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comments30.xml" ContentType="application/vnd.openxmlformats-officedocument.spreadsheetml.comments+xml"/>
  <Override PartName="/xl/comments28.xml" ContentType="application/vnd.openxmlformats-officedocument.spreadsheetml.comments+xml"/>
  <Override PartName="/xl/comments27.xml" ContentType="application/vnd.openxmlformats-officedocument.spreadsheetml.comments+xml"/>
  <Override PartName="/xl/comments25.xml" ContentType="application/vnd.openxmlformats-officedocument.spreadsheetml.comments+xml"/>
  <Override PartName="/xl/workbook.xml" ContentType="application/vnd.openxmlformats-officedocument.spreadsheetml.sheet.main+xml"/>
  <Override PartName="/xl/comments23.xml" ContentType="application/vnd.openxmlformats-officedocument.spreadsheetml.comments+xml"/>
  <Override PartName="/xl/comments22.xml" ContentType="application/vnd.openxmlformats-officedocument.spreadsheetml.comments+xml"/>
  <Override PartName="/xl/styles.xml" ContentType="application/vnd.openxmlformats-officedocument.spreadsheetml.styles+xml"/>
  <Override PartName="/xl/comments59.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8.xml" ContentType="application/vnd.openxmlformats-officedocument.spreadsheetml.comments+xml"/>
  <Override PartName="/xl/theme/theme1.xml" ContentType="application/vnd.openxmlformats-officedocument.theme+xml"/>
  <Override PartName="/xl/comments60.xml" ContentType="application/vnd.openxmlformats-officedocument.spreadsheetml.comments+xml"/>
  <Override PartName="/xl/comments21.xml" ContentType="application/vnd.openxmlformats-officedocument.spreadsheetml.comments+xml"/>
  <Override PartName="/xl/comments58.xml" ContentType="application/vnd.openxmlformats-officedocument.spreadsheetml.comments+xml"/>
  <Override PartName="/xl/comments19.xml" ContentType="application/vnd.openxmlformats-officedocument.spreadsheetml.comments+xml"/>
  <Override PartName="/xl/worksheets/_rels/sheet5.xml.rels" ContentType="application/vnd.openxmlformats-package.relationships+xml"/>
  <Override PartName="/xl/worksheets/_rels/sheet62.xml.rels" ContentType="application/vnd.openxmlformats-package.relationships+xml"/>
  <Override PartName="/xl/worksheets/_rels/sheet9.xml.rels" ContentType="application/vnd.openxmlformats-package.relationships+xml"/>
  <Override PartName="/xl/worksheets/_rels/sheet13.xml.rels" ContentType="application/vnd.openxmlformats-package.relationships+xml"/>
  <Override PartName="/xl/worksheets/_rels/sheet7.xml.rels" ContentType="application/vnd.openxmlformats-package.relationships+xml"/>
  <Override PartName="/xl/worksheets/_rels/sheet14.xml.rels" ContentType="application/vnd.openxmlformats-package.relationships+xml"/>
  <Override PartName="/xl/worksheets/_rels/sheet49.xml.rels" ContentType="application/vnd.openxmlformats-package.relationships+xml"/>
  <Override PartName="/xl/worksheets/_rels/sheet12.xml.rels" ContentType="application/vnd.openxmlformats-package.relationships+xml"/>
  <Override PartName="/xl/worksheets/_rels/sheet4.xml.rels" ContentType="application/vnd.openxmlformats-package.relationships+xml"/>
  <Override PartName="/xl/worksheets/_rels/sheet19.xml.rels" ContentType="application/vnd.openxmlformats-package.relationships+xml"/>
  <Override PartName="/xl/worksheets/_rels/sheet3.xml.rels" ContentType="application/vnd.openxmlformats-package.relationships+xml"/>
  <Override PartName="/xl/worksheets/_rels/sheet60.xml.rels" ContentType="application/vnd.openxmlformats-package.relationships+xml"/>
  <Override PartName="/xl/worksheets/_rels/sheet18.xml.rels" ContentType="application/vnd.openxmlformats-package.relationships+xml"/>
  <Override PartName="/xl/worksheets/_rels/sheet15.xml.rels" ContentType="application/vnd.openxmlformats-package.relationships+xml"/>
  <Override PartName="/xl/worksheets/_rels/sheet27.xml.rels" ContentType="application/vnd.openxmlformats-package.relationships+xml"/>
  <Override PartName="/xl/worksheets/_rels/sheet25.xml.rels" ContentType="application/vnd.openxmlformats-package.relationships+xml"/>
  <Override PartName="/xl/worksheets/_rels/sheet30.xml.rels" ContentType="application/vnd.openxmlformats-package.relationships+xml"/>
  <Override PartName="/xl/worksheets/_rels/sheet1.xml.rels" ContentType="application/vnd.openxmlformats-package.relationships+xml"/>
  <Override PartName="/xl/worksheets/_rels/sheet28.xml.rels" ContentType="application/vnd.openxmlformats-package.relationships+xml"/>
  <Override PartName="/xl/worksheets/_rels/sheet26.xml.rels" ContentType="application/vnd.openxmlformats-package.relationships+xml"/>
  <Override PartName="/xl/worksheets/_rels/sheet24.xml.rels" ContentType="application/vnd.openxmlformats-package.relationships+xml"/>
  <Override PartName="/xl/worksheets/_rels/sheet59.xml.rels" ContentType="application/vnd.openxmlformats-package.relationships+xml"/>
  <Override PartName="/xl/worksheets/_rels/sheet22.xml.rels" ContentType="application/vnd.openxmlformats-package.relationships+xml"/>
  <Override PartName="/xl/worksheets/_rels/sheet23.xml.rels" ContentType="application/vnd.openxmlformats-package.relationships+xml"/>
  <Override PartName="/xl/worksheets/_rels/sheet58.xml.rels" ContentType="application/vnd.openxmlformats-package.relationships+xml"/>
  <Override PartName="/xl/worksheets/_rels/sheet21.xml.rels" ContentType="application/vnd.openxmlformats-package.relationships+xml"/>
  <Override PartName="/xl/worksheets/_rels/sheet31.xml.rels" ContentType="application/vnd.openxmlformats-package.relationships+xml"/>
  <Override PartName="/xl/worksheets/_rels/sheet29.xml.rels" ContentType="application/vnd.openxmlformats-package.relationships+xml"/>
  <Override PartName="/xl/worksheets/_rels/sheet45.xml.rels" ContentType="application/vnd.openxmlformats-package.relationships+xml"/>
  <Override PartName="/xl/worksheets/_rels/sheet46.xml.rels" ContentType="application/vnd.openxmlformats-package.relationships+xml"/>
  <Override PartName="/xl/worksheets/_rels/sheet50.xml.rels" ContentType="application/vnd.openxmlformats-package.relationships+xml"/>
  <Override PartName="/xl/worksheets/_rels/sheet11.xml.rels" ContentType="application/vnd.openxmlformats-package.relationships+xml"/>
  <Override PartName="/xl/worksheets/_rels/sheet48.xml.rels" ContentType="application/vnd.openxmlformats-package.relationships+xml"/>
  <Override PartName="/xl/worksheets/_rels/sheet51.xml.rels" ContentType="application/vnd.openxmlformats-package.relationships+xml"/>
  <Override PartName="/xl/worksheets/_rels/sheet52.xml.rels" ContentType="application/vnd.openxmlformats-package.relationships+xml"/>
  <Override PartName="/xl/worksheets/_rels/sheet41.xml.rels" ContentType="application/vnd.openxmlformats-package.relationships+xml"/>
  <Override PartName="/xl/worksheets/_rels/sheet39.xml.rels" ContentType="application/vnd.openxmlformats-package.relationships+xml"/>
  <Override PartName="/xl/worksheets/_rels/sheet53.xml.rels" ContentType="application/vnd.openxmlformats-package.relationships+xml"/>
  <Override PartName="/xl/worksheets/_rels/sheet42.xml.rels" ContentType="application/vnd.openxmlformats-package.relationships+xml"/>
  <Override PartName="/xl/worksheets/_rels/sheet54.xml.rels" ContentType="application/vnd.openxmlformats-package.relationships+xml"/>
  <Override PartName="/xl/worksheets/_rels/sheet43.xml.rels" ContentType="application/vnd.openxmlformats-package.relationships+xml"/>
  <Override PartName="/xl/worksheets/_rels/sheet55.xml.rels" ContentType="application/vnd.openxmlformats-package.relationships+xml"/>
  <Override PartName="/xl/worksheets/_rels/sheet44.xml.rels" ContentType="application/vnd.openxmlformats-package.relationships+xml"/>
  <Override PartName="/xl/worksheets/_rels/sheet56.xml.rels" ContentType="application/vnd.openxmlformats-package.relationships+xml"/>
  <Override PartName="/xl/worksheets/_rels/sheet40.xml.rels" ContentType="application/vnd.openxmlformats-package.relationships+xml"/>
  <Override PartName="/xl/worksheets/_rels/sheet38.xml.rels" ContentType="application/vnd.openxmlformats-package.relationships+xml"/>
  <Override PartName="/xl/worksheets/_rels/sheet37.xml.rels" ContentType="application/vnd.openxmlformats-package.relationships+xml"/>
  <Override PartName="/xl/worksheets/_rels/sheet36.xml.rels" ContentType="application/vnd.openxmlformats-package.relationships+xml"/>
  <Override PartName="/xl/worksheets/_rels/sheet35.xml.rels" ContentType="application/vnd.openxmlformats-package.relationships+xml"/>
  <Override PartName="/xl/worksheets/_rels/sheet6.xml.rels" ContentType="application/vnd.openxmlformats-package.relationships+xml"/>
  <Override PartName="/xl/worksheets/_rels/sheet34.xml.rels" ContentType="application/vnd.openxmlformats-package.relationships+xml"/>
  <Override PartName="/xl/worksheets/_rels/sheet33.xml.rels" ContentType="application/vnd.openxmlformats-package.relationships+xml"/>
  <Override PartName="/xl/worksheets/_rels/sheet32.xml.rels" ContentType="application/vnd.openxmlformats-package.relationships+xml"/>
  <Override PartName="/xl/worksheets/_rels/sheet10.xml.rels" ContentType="application/vnd.openxmlformats-package.relationships+xml"/>
  <Override PartName="/xl/worksheets/_rels/sheet47.xml.rels" ContentType="application/vnd.openxmlformats-package.relationships+xml"/>
  <Override PartName="/xl/worksheets/_rels/sheet57.xml.rels" ContentType="application/vnd.openxmlformats-package.relationships+xml"/>
  <Override PartName="/xl/worksheets/_rels/sheet2.xml.rels" ContentType="application/vnd.openxmlformats-package.relationships+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13.xml" ContentType="application/vnd.openxmlformats-officedocument.spreadsheetml.worksheet+xml"/>
  <Override PartName="/xl/worksheets/sheet49.xml" ContentType="application/vnd.openxmlformats-officedocument.spreadsheetml.worksheet+xml"/>
  <Override PartName="/xl/worksheets/sheet12.xml" ContentType="application/vnd.openxmlformats-officedocument.spreadsheetml.worksheet+xml"/>
  <Override PartName="/xl/worksheets/sheet4.xml" ContentType="application/vnd.openxmlformats-officedocument.spreadsheetml.worksheet+xml"/>
  <Override PartName="/xl/worksheets/sheet63.xml" ContentType="application/vnd.openxmlformats-officedocument.spreadsheetml.worksheet+xml"/>
  <Override PartName="/xl/worksheets/sheet3.xml" ContentType="application/vnd.openxmlformats-officedocument.spreadsheetml.worksheet+xml"/>
  <Override PartName="/xl/worksheets/sheet6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xml" ContentType="application/vnd.openxmlformats-officedocument.spreadsheetml.worksheet+xml"/>
  <Override PartName="/xl/worksheets/sheet18.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22.xml" ContentType="application/vnd.openxmlformats-officedocument.spreadsheetml.worksheet+xml"/>
  <Override PartName="/xl/worksheets/sheet59.xml" ContentType="application/vnd.openxmlformats-officedocument.spreadsheetml.worksheet+xml"/>
  <Override PartName="/xl/worksheets/sheet57.xml" ContentType="application/vnd.openxmlformats-officedocument.spreadsheetml.worksheet+xml"/>
  <Override PartName="/xl/worksheets/sheet2.xml" ContentType="application/vnd.openxmlformats-officedocument.spreadsheetml.worksheet+xml"/>
  <Override PartName="/xl/worksheets/sheet19.xml" ContentType="application/vnd.openxmlformats-officedocument.spreadsheetml.worksheet+xml"/>
  <Override PartName="/xl/worksheets/sheet61.xml" ContentType="application/vnd.openxmlformats-officedocument.spreadsheetml.worksheet+xml"/>
  <Override PartName="/xl/worksheets/sheet29.xml" ContentType="application/vnd.openxmlformats-officedocument.spreadsheetml.worksheet+xml"/>
  <Override PartName="/xl/worksheets/sheet65.xml" ContentType="application/vnd.openxmlformats-officedocument.spreadsheetml.worksheet+xml"/>
  <Override PartName="/xl/worksheets/sheet28.xml" ContentType="application/vnd.openxmlformats-officedocument.spreadsheetml.worksheet+xml"/>
  <Override PartName="/xl/worksheets/sheet64.xml" ContentType="application/vnd.openxmlformats-officedocument.spreadsheetml.worksheet+xml"/>
  <Override PartName="/xl/worksheets/sheet20.xml" ContentType="application/vnd.openxmlformats-officedocument.spreadsheetml.worksheet+xml"/>
  <Override PartName="/xl/worksheets/sheet5.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58.xml" ContentType="application/vnd.openxmlformats-officedocument.spreadsheetml.worksheet+xml"/>
  <Override PartName="/xl/worksheets/sheet6.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worksheets/sheet8.xml" ContentType="application/vnd.openxmlformats-officedocument.spreadsheetml.worksheet+xml"/>
  <Override PartName="/xl/worksheets/sheet30.xml" ContentType="application/vnd.openxmlformats-officedocument.spreadsheetml.worksheet+xml"/>
  <Override PartName="/xl/worksheets/sheet14.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31.xml" ContentType="application/vnd.openxmlformats-officedocument.spreadsheetml.worksheet+xml"/>
  <Override PartName="/xl/worksheets/sheet10.xml" ContentType="application/vnd.openxmlformats-officedocument.spreadsheetml.worksheet+xml"/>
  <Override PartName="/xl/worksheets/sheet47.xml" ContentType="application/vnd.openxmlformats-officedocument.spreadsheetml.worksheet+xml"/>
  <Override PartName="/xl/worksheets/sheet11.xml" ContentType="application/vnd.openxmlformats-officedocument.spreadsheetml.worksheet+xml"/>
  <Override PartName="/xl/worksheets/sheet48.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0.xml" ContentType="application/vnd.openxmlformats-officedocument.spreadsheetml.worksheet+xml"/>
  <Override PartName="/xl/comments44.xml" ContentType="application/vnd.openxmlformats-officedocument.spreadsheetml.comments+xml"/>
  <Override PartName="/xl/comments9.xml" ContentType="application/vnd.openxmlformats-officedocument.spreadsheetml.comments+xml"/>
  <Override PartName="/xl/externalLinks/_rels/externalLink2.xml.rels" ContentType="application/vnd.openxmlformats-package.relationships+xml"/>
  <Override PartName="/xl/externalLinks/_rels/externalLink1.xml.rels" ContentType="application/vnd.openxmlformats-package.relationship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50.xml" ContentType="application/vnd.openxmlformats-officedocument.spreadsheetml.comments+xml"/>
  <Override PartName="/xl/comments26.xml" ContentType="application/vnd.openxmlformats-officedocument.spreadsheetml.comments+xml"/>
  <Override PartName="/xl/comments6.xml" ContentType="application/vnd.openxmlformats-officedocument.spreadsheetml.comments+xml"/>
  <Override PartName="/xl/sharedStrings.xml" ContentType="application/vnd.openxmlformats-officedocument.spreadsheetml.sharedStrings+xml"/>
  <Override PartName="/xl/comments31.xml" ContentType="application/vnd.openxmlformats-officedocument.spreadsheetml.comments+xml"/>
  <Override PartName="/xl/comments29.xml" ContentType="application/vnd.openxmlformats-officedocument.spreadsheetml.comments+xml"/>
  <Override PartName="/xl/ctrlProps/ctrlProps87.xml" ContentType="application/vnd.ms-excel.controlproperties+xml"/>
  <Override PartName="/xl/ctrlProps/ctrlProps102.xml" ContentType="application/vnd.ms-excel.controlproperties+xml"/>
  <Override PartName="/xl/ctrlProps/ctrlProps85.xml" ContentType="application/vnd.ms-excel.controlproperties+xml"/>
  <Override PartName="/xl/ctrlProps/ctrlProps100.xml" ContentType="application/vnd.ms-excel.controlproperties+xml"/>
  <Override PartName="/xl/ctrlProps/ctrlProps84.xml" ContentType="application/vnd.ms-excel.controlproperties+xml"/>
  <Override PartName="/xl/ctrlProps/ctrlProps19.xml" ContentType="application/vnd.ms-excel.controlproperties+xml"/>
  <Override PartName="/xl/ctrlProps/ctrlProps82.xml" ContentType="application/vnd.ms-excel.controlproperties+xml"/>
  <Override PartName="/xl/ctrlProps/ctrlProps17.xml" ContentType="application/vnd.ms-excel.controlproperties+xml"/>
  <Override PartName="/xl/ctrlProps/ctrlProps81.xml" ContentType="application/vnd.ms-excel.controlproperties+xml"/>
  <Override PartName="/xl/ctrlProps/ctrlProps16.xml" ContentType="application/vnd.ms-excel.controlproperties+xml"/>
  <Override PartName="/xl/ctrlProps/ctrlProps78.xml" ContentType="application/vnd.ms-excel.controlproperties+xml"/>
  <Override PartName="/xl/ctrlProps/ctrlProps76.xml" ContentType="application/vnd.ms-excel.controlproperties+xml"/>
  <Override PartName="/xl/ctrlProps/ctrlProps75.xml" ContentType="application/vnd.ms-excel.controlproperties+xml"/>
  <Override PartName="/xl/ctrlProps/ctrlProps73.xml" ContentType="application/vnd.ms-excel.controlproperties+xml"/>
  <Override PartName="/xl/ctrlProps/ctrlProps72.xml" ContentType="application/vnd.ms-excel.controlproperties+xml"/>
  <Override PartName="/xl/ctrlProps/ctrlProps70.xml" ContentType="application/vnd.ms-excel.controlproperties+xml"/>
  <Override PartName="/xl/ctrlProps/ctrlProps67.xml" ContentType="application/vnd.ms-excel.controlproperties+xml"/>
  <Override PartName="/xl/ctrlProps/ctrlProps66.xml" ContentType="application/vnd.ms-excel.controlproperties+xml"/>
  <Override PartName="/xl/ctrlProps/ctrlProps64.xml" ContentType="application/vnd.ms-excel.controlproperties+xml"/>
  <Override PartName="/xl/ctrlProps/ctrlProps63.xml" ContentType="application/vnd.ms-excel.controlproperties+xml"/>
  <Override PartName="/xl/ctrlProps/ctrlProps60.xml" ContentType="application/vnd.ms-excel.controlproperties+xml"/>
  <Override PartName="/xl/ctrlProps/ctrlProps88.xml" ContentType="application/vnd.ms-excel.controlproperties+xml"/>
  <Override PartName="/xl/ctrlProps/ctrlProps103.xml" ContentType="application/vnd.ms-excel.controlproperties+xml"/>
  <Override PartName="/xl/ctrlProps/ctrlProps51.xml" ContentType="application/vnd.ms-excel.controlproperties+xml"/>
  <Override PartName="/xl/ctrlProps/ctrlProps46.xml" ContentType="application/vnd.ms-excel.controlproperties+xml"/>
  <Override PartName="/xl/ctrlProps/ctrlProps44.xml" ContentType="application/vnd.ms-excel.controlproperties+xml"/>
  <Override PartName="/xl/ctrlProps/ctrlProps10.xml" ContentType="application/vnd.ms-excel.controlproperties+xml"/>
  <Override PartName="/xl/ctrlProps/ctrlProps136.xml" ContentType="application/vnd.ms-excel.controlproperties+xml"/>
  <Override PartName="/xl/ctrlProps/ctrlProps57.xml" ContentType="application/vnd.ms-excel.controlproperties+xml"/>
  <Override PartName="/xl/ctrlProps/ctrlProps20.xml" ContentType="application/vnd.ms-excel.controlproperties+xml"/>
  <Override PartName="/xl/ctrlProps/ctrlProps7.xml" ContentType="application/vnd.ms-excel.controlproperties+xml"/>
  <Override PartName="/xl/ctrlProps/ctrlProps15.xml" ContentType="application/vnd.ms-excel.controlproperties+xml"/>
  <Override PartName="/xl/ctrlProps/ctrlProps6.xml" ContentType="application/vnd.ms-excel.controlproperties+xml"/>
  <Override PartName="/xl/ctrlProps/ctrlProps38.xml" ContentType="application/vnd.ms-excel.controlproperties+xml"/>
  <Override PartName="/xl/ctrlProps/ctrlProps14.xml" ContentType="application/vnd.ms-excel.controlproperties+xml"/>
  <Override PartName="/xl/ctrlProps/ctrlProps55.xml" ContentType="application/vnd.ms-excel.controlproperties+xml"/>
  <Override PartName="/xl/ctrlProps/ctrlProps5.xml" ContentType="application/vnd.ms-excel.controlproperties+xml"/>
  <Override PartName="/xl/ctrlProps/ctrlProps54.xml" ContentType="application/vnd.ms-excel.controlproperties+xml"/>
  <Override PartName="/xl/ctrlProps/ctrlProps4.xml" ContentType="application/vnd.ms-excel.controlproperties+xml"/>
  <Override PartName="/xl/ctrlProps/ctrlProps36.xml" ContentType="application/vnd.ms-excel.controlproperties+xml"/>
  <Override PartName="/xl/ctrlProps/ctrlProps49.xml" ContentType="application/vnd.ms-excel.controlproperties+xml"/>
  <Override PartName="/xl/ctrlProps/ctrlProps12.xml" ContentType="application/vnd.ms-excel.controlproperties+xml"/>
  <Override PartName="/xl/ctrlProps/ctrlProps138.xml" ContentType="application/vnd.ms-excel.controlproperties+xml"/>
  <Override PartName="/xl/ctrlProps/ctrlProps3.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52.xml" ContentType="application/vnd.ms-excel.controlproperties+xml"/>
  <Override PartName="/xl/ctrlProps/ctrlProps2.xml" ContentType="application/vnd.ms-excel.controlproperties+xml"/>
  <Override PartName="/xl/ctrlProps/ctrlProps34.xml" ContentType="application/vnd.ms-excel.controlproperties+xml"/>
  <Override PartName="/xl/ctrlProps/ctrlProps61.xml" ContentType="application/vnd.ms-excel.controlproperties+xml"/>
  <Override PartName="/xl/ctrlProps/ctrlProps58.xml" ContentType="application/vnd.ms-excel.controlproperties+xml"/>
  <Override PartName="/xl/ctrlProps/ctrlProps115.xml" ContentType="application/vnd.ms-excel.controlproperties+xml"/>
  <Override PartName="/xl/ctrlProps/ctrlProps118.xml" ContentType="application/vnd.ms-excel.controlproperties+xml"/>
  <Override PartName="/xl/ctrlProps/ctrlProps160.xml" ContentType="application/vnd.ms-excel.controlproperties+xml"/>
  <Override PartName="/xl/ctrlProps/ctrlProps24.xml" ContentType="application/vnd.ms-excel.controlproperties+xml"/>
  <Override PartName="/xl/ctrlProps/ctrlProps120.xml" ContentType="application/vnd.ms-excel.controlproperties+xml"/>
  <Override PartName="/xl/ctrlProps/ctrlProps157.xml" ContentType="application/vnd.ms-excel.controlproperties+xml"/>
  <Override PartName="/xl/ctrlProps/ctrlProps127.xml" ContentType="application/vnd.ms-excel.controlproperties+xml"/>
  <Override PartName="/xl/ctrlProps/ctrlProps129.xml" ContentType="application/vnd.ms-excel.controlproperties+xml"/>
  <Override PartName="/xl/ctrlProps/ctrlProps132.xml" ContentType="application/vnd.ms-excel.controlproperties+xml"/>
  <Override PartName="/xl/ctrlProps/ctrlProps133.xml" ContentType="application/vnd.ms-excel.controlproperties+xml"/>
  <Override PartName="/xl/ctrlProps/ctrlProps135.xml" ContentType="application/vnd.ms-excel.controlproperties+xml"/>
  <Override PartName="/xl/ctrlProps/ctrlProps139.xml" ContentType="application/vnd.ms-excel.controlproperties+xml"/>
  <Override PartName="/xl/ctrlProps/ctrlProps141.xml" ContentType="application/vnd.ms-excel.controlproperties+xml"/>
  <Override PartName="/xl/ctrlProps/ctrlProps142.xml" ContentType="application/vnd.ms-excel.controlproperties+xml"/>
  <Override PartName="/xl/ctrlProps/ctrlProps130.xml" ContentType="application/vnd.ms-excel.controlproperties+xml"/>
  <Override PartName="/xl/ctrlProps/ctrlProps165.xml" ContentType="application/vnd.ms-excel.controlproperties+xml"/>
  <Override PartName="/xl/ctrlProps/ctrlProps153.xml" ContentType="application/vnd.ms-excel.controlproperties+xml"/>
  <Override PartName="/xl/ctrlProps/ctrlProps126.xml" ContentType="application/vnd.ms-excel.controlproperties+xml"/>
  <Override PartName="/xl/ctrlProps/ctrlProps32.xml" ContentType="application/vnd.ms-excel.controlproperties+xml"/>
  <Override PartName="/xl/ctrlProps/ctrlProps69.xml" ContentType="application/vnd.ms-excel.controlproperties+xml"/>
  <Override PartName="/xl/ctrlProps/ctrlProps163.xml" ContentType="application/vnd.ms-excel.controlproperties+xml"/>
  <Override PartName="/xl/ctrlProps/ctrlProps27.xml" ContentType="application/vnd.ms-excel.controlproperties+xml"/>
  <Override PartName="/xl/ctrlProps/ctrlProps151.xml" ContentType="application/vnd.ms-excel.controlproperties+xml"/>
  <Override PartName="/xl/ctrlProps/ctrlProps109.xml" ContentType="application/vnd.ms-excel.controlproperties+xml"/>
  <Override PartName="/xl/ctrlProps/ctrlProps29.xml" ContentType="application/vnd.ms-excel.controlproperties+xml"/>
  <Override PartName="/xl/ctrlProps/ctrlProps94.xml" ContentType="application/vnd.ms-excel.controlproperties+xml"/>
  <Override PartName="/xl/ctrlProps/ctrlProps162.xml" ContentType="application/vnd.ms-excel.controlproperties+xml"/>
  <Override PartName="/xl/ctrlProps/ctrlProps150.xml" ContentType="application/vnd.ms-excel.controlproperties+xml"/>
  <Override PartName="/xl/ctrlProps/ctrlProps108.xml" ContentType="application/vnd.ms-excel.controlproperties+xml"/>
  <Override PartName="/xl/ctrlProps/ctrlProps93.xml" ContentType="application/vnd.ms-excel.controlproperties+xml"/>
  <Override PartName="/xl/ctrlProps/ctrlProps123.xml" ContentType="application/vnd.ms-excel.controlproperties+xml"/>
  <Override PartName="/xl/ctrlProps/ctrlProps124.xml" ContentType="application/vnd.ms-excel.controlproperties+xml"/>
  <Override PartName="/xl/ctrlProps/ctrlProps159.xml" ContentType="application/vnd.ms-excel.controlproperties+xml"/>
  <Override PartName="/xl/ctrlProps/ctrlProps145.xml" ContentType="application/vnd.ms-excel.controlproperties+xml"/>
  <Override PartName="/xl/ctrlProps/ctrlProps156.xml" ContentType="application/vnd.ms-excel.controlproperties+xml"/>
  <Override PartName="/xl/ctrlProps/ctrlProps144.xml" ContentType="application/vnd.ms-excel.controlproperties+xml"/>
  <Override PartName="/xl/ctrlProps/ctrlProps117.xml" ContentType="application/vnd.ms-excel.controlproperties+xml"/>
  <Override PartName="/xl/ctrlProps/ctrlProps154.xml" ContentType="application/vnd.ms-excel.controlproperties+xml"/>
  <Override PartName="/xl/ctrlProps/ctrlProps106.xml" ContentType="application/vnd.ms-excel.controlproperties+xml"/>
  <Override PartName="/xl/ctrlProps/ctrlProps26.xml" ContentType="application/vnd.ms-excel.controlproperties+xml"/>
  <Override PartName="/xl/ctrlProps/ctrlProps91.xml" ContentType="application/vnd.ms-excel.controlproperties+xml"/>
  <Override PartName="/xl/ctrlProps/ctrlProps105.xml" ContentType="application/vnd.ms-excel.controlproperties+xml"/>
  <Override PartName="/xl/ctrlProps/ctrlProps99.xml" ContentType="application/vnd.ms-excel.controlproperties+xml"/>
  <Override PartName="/xl/ctrlProps/ctrlProps114.xml" ContentType="application/vnd.ms-excel.controlproperties+xml"/>
  <Override PartName="/xl/ctrlProps/ctrlProps97.xml" ContentType="application/vnd.ms-excel.controlproperties+xml"/>
  <Override PartName="/xl/ctrlProps/ctrlProps112.xml" ContentType="application/vnd.ms-excel.controlproperties+xml"/>
  <Override PartName="/xl/ctrlProps/ctrlProps96.xml" ContentType="application/vnd.ms-excel.controlproperties+xml"/>
  <Override PartName="/xl/ctrlProps/ctrlProps111.xml" ContentType="application/vnd.ms-excel.controlproperties+xml"/>
  <Override PartName="/xl/ctrlProps/ctrlProps42.xml" ContentType="application/vnd.ms-excel.controlproperties+xml"/>
  <Override PartName="/xl/ctrlProps/ctrlProps79.xml" ContentType="application/vnd.ms-excel.controlproperties+xml"/>
  <Override PartName="/xl/ctrlProps/ctrlProps166.xml" ContentType="application/vnd.ms-excel.controlproperties+xml"/>
  <Override PartName="/xl/ctrlProps/ctrlProps40.xml" ContentType="application/vnd.ms-excel.controlproperties+xml"/>
  <Override PartName="/xl/ctrlProps/ctrlProps90.xml" ContentType="application/vnd.ms-excel.controlproperties+xml"/>
  <Override PartName="/xl/ctrlProps/ctrlProps25.xml" ContentType="application/vnd.ms-excel.controlproperties+xml"/>
  <Override PartName="/xl/ctrlProps/ctrlProps148.xml" ContentType="application/vnd.ms-excel.controlproperties+xml"/>
  <Override PartName="/xl/ctrlProps/ctrlProps22.xml" ContentType="application/vnd.ms-excel.controlproperties+xml"/>
  <Override PartName="/xl/ctrlProps/ctrlProps9.xml" ContentType="application/vnd.ms-excel.controlproperties+xml"/>
  <Override PartName="/xl/ctrlProps/ctrlProps121.xml" ContentType="application/vnd.ms-excel.controlproperties+xml"/>
  <Override PartName="/xl/ctrlProps/ctrlProps21.xml" ContentType="application/vnd.ms-excel.controlproperties+xml"/>
  <Override PartName="/xl/ctrlProps/ctrlProps147.xml" ContentType="application/vnd.ms-excel.controlproperties+xml"/>
  <Override PartName="/xl/comments39.xml" ContentType="application/vnd.openxmlformats-officedocument.spreadsheetml.comments+xml"/>
  <Override PartName="/xl/comments46.xml" ContentType="application/vnd.openxmlformats-officedocument.spreadsheetml.comments+xml"/>
  <Override PartName="/xl/comments51.xml" ContentType="application/vnd.openxmlformats-officedocument.spreadsheetml.comments+xml"/>
  <Override PartName="/xl/comments40.xml" ContentType="application/vnd.openxmlformats-officedocument.spreadsheetml.comments+xml"/>
  <Override PartName="/xl/_rels/workbook.xml.rels" ContentType="application/vnd.openxmlformats-package.relationships+xml"/>
  <Override PartName="/xl/comments38.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42.xml" ContentType="application/vnd.openxmlformats-officedocument.spreadsheetml.comments+xml"/>
  <Override PartName="/xl/comments54.xml" ContentType="application/vnd.openxmlformats-officedocument.spreadsheetml.comments+xml"/>
  <Override PartName="/xl/comments43.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45.xml" ContentType="application/vnd.openxmlformats-officedocument.spreadsheetml.comments+xml"/>
  <Override PartName="/xl/comments57.xml" ContentType="application/vnd.openxmlformats-officedocument.spreadsheetml.comments+xml"/>
  <Override PartName="/xl/comments37.xml" ContentType="application/vnd.openxmlformats-officedocument.spreadsheetml.comments+xml"/>
  <Override PartName="/xl/comments36.xml" ContentType="application/vnd.openxmlformats-officedocument.spreadsheetml.comments+xml"/>
  <Override PartName="/xl/comments35.xml" ContentType="application/vnd.openxmlformats-officedocument.spreadsheetml.comments+xml"/>
  <Override PartName="/xl/comments34.xml" ContentType="application/vnd.openxmlformats-officedocument.spreadsheetml.comments+xml"/>
  <Override PartName="/xl/comments33.xml" ContentType="application/vnd.openxmlformats-officedocument.spreadsheetml.comments+xml"/>
  <Override PartName="/xl/comments32.xml" ContentType="application/vnd.openxmlformats-officedocument.spreadsheetml.comments+xml"/>
  <Override PartName="/xl/comments49.xml" ContentType="application/vnd.openxmlformats-officedocument.spreadsheetml.comments+xml"/>
  <Override PartName="/xl/comments12.xml" ContentType="application/vnd.openxmlformats-officedocument.spreadsheetml.comments+xml"/>
  <Override PartName="/xl/comments10.xml" ContentType="application/vnd.openxmlformats-officedocument.spreadsheetml.comments+xml"/>
  <Override PartName="/xl/comments47.xml" ContentType="application/vnd.openxmlformats-officedocument.spreadsheetml.comments+xml"/>
  <Override PartName="/xl/comments11.xml" ContentType="application/vnd.openxmlformats-officedocument.spreadsheetml.comments+xml"/>
  <Override PartName="/xl/comments48.xml" ContentType="application/vnd.openxmlformats-officedocument.spreadsheetml.comments+xml"/>
  <Override PartName="/xl/comments41.xml" ContentType="application/vnd.openxmlformats-officedocument.spreadsheetml.comments+xml"/>
  <Override PartName="/xl/drawings/drawing89.xml" ContentType="application/vnd.openxmlformats-officedocument.drawing+xml"/>
  <Override PartName="/xl/drawings/vmlDrawing29.vml" ContentType="application/vnd.openxmlformats-officedocument.vmlDrawing"/>
  <Override PartName="/xl/drawings/drawing59.xml" ContentType="application/vnd.openxmlformats-officedocument.drawing+xml"/>
  <Override PartName="/xl/drawings/drawing86.xml" ContentType="application/vnd.openxmlformats-officedocument.drawing+xml"/>
  <Override PartName="/xl/drawings/vmlDrawing28.vml" ContentType="application/vnd.openxmlformats-officedocument.vmlDrawing"/>
  <Override PartName="/xl/drawings/drawing158.xml" ContentType="application/vnd.openxmlformats-officedocument.drawing+xml"/>
  <Override PartName="/xl/drawings/drawing83.xml" ContentType="application/vnd.openxmlformats-officedocument.drawing+xml"/>
  <Override PartName="/xl/drawings/drawing18.xml" ContentType="application/vnd.openxmlformats-officedocument.drawing+xml"/>
  <Override PartName="/xl/drawings/vmlDrawing53.vml" ContentType="application/vnd.openxmlformats-officedocument.vmlDrawing"/>
  <Override PartName="/xl/drawings/vmlDrawing27.vml" ContentType="application/vnd.openxmlformats-officedocument.vmlDrawing"/>
  <Override PartName="/xl/drawings/drawing77.xml" ContentType="application/vnd.openxmlformats-officedocument.drawing+xml"/>
  <Override PartName="/xl/drawings/vmlDrawing47.vml" ContentType="application/vnd.openxmlformats-officedocument.vmlDrawing"/>
  <Override PartName="/xl/drawings/drawing80.xml" ContentType="application/vnd.openxmlformats-officedocument.drawing+xml"/>
  <Override PartName="/xl/drawings/vmlDrawing50.vml" ContentType="application/vnd.openxmlformats-officedocument.vmlDrawing"/>
  <Override PartName="/xl/drawings/vmlDrawing25.vml" ContentType="application/vnd.openxmlformats-officedocument.vmlDrawing"/>
  <Override PartName="/xl/drawings/drawing155.xml" ContentType="application/vnd.openxmlformats-officedocument.drawing+xml"/>
  <Override PartName="/xl/drawings/vmlDrawing23.vml" ContentType="application/vnd.openxmlformats-officedocument.vmlDrawing"/>
  <Override PartName="/xl/drawings/drawing53.xml" ContentType="application/vnd.openxmlformats-officedocument.drawing+xml"/>
  <Override PartName="/xl/drawings/drawing65.xml" ContentType="application/vnd.openxmlformats-officedocument.drawing+xml"/>
  <Override PartName="/xl/drawings/vmlDrawing35.vml" ContentType="application/vnd.openxmlformats-officedocument.vmlDrawing"/>
  <Override PartName="/xl/drawings/vmlDrawing21.vml" ContentType="application/vnd.openxmlformats-officedocument.vmlDrawing"/>
  <Override PartName="/xl/drawings/drawing62.xml" ContentType="application/vnd.openxmlformats-officedocument.drawing+xml"/>
  <Override PartName="/xl/drawings/vmlDrawing32.vml" ContentType="application/vnd.openxmlformats-officedocument.vmlDrawing"/>
  <Override PartName="/xl/drawings/drawing74.xml" ContentType="application/vnd.openxmlformats-officedocument.drawing+xml"/>
  <Override PartName="/xl/drawings/vmlDrawing44.vml" ContentType="application/vnd.openxmlformats-officedocument.vmlDrawing"/>
  <Override PartName="/xl/drawings/vmlDrawing19.vml" ContentType="application/vnd.openxmlformats-officedocument.vmlDrawing"/>
  <Override PartName="/xl/drawings/drawing149.xml" ContentType="application/vnd.openxmlformats-officedocument.drawing+xml"/>
  <Override PartName="/xl/drawings/drawing56.xml" ContentType="application/vnd.openxmlformats-officedocument.drawing+xml"/>
  <Override PartName="/xl/drawings/drawing1.xml" ContentType="application/vnd.openxmlformats-officedocument.drawing+xml"/>
  <Override PartName="/xl/drawings/vmlDrawing26.vml" ContentType="application/vnd.openxmlformats-officedocument.vmlDrawing"/>
  <Override PartName="/xl/drawings/vmlDrawing18.vml" ContentType="application/vnd.openxmlformats-officedocument.vmlDrawing"/>
  <Override PartName="/xl/drawings/vmlDrawing17.vml" ContentType="application/vnd.openxmlformats-officedocument.vmlDrawing"/>
  <Override PartName="/xl/drawings/drawing47.xml" ContentType="application/vnd.openxmlformats-officedocument.drawing+xml"/>
  <Override PartName="/xl/drawings/drawing50.xml" ContentType="application/vnd.openxmlformats-officedocument.drawing+xml"/>
  <Override PartName="/xl/drawings/vmlDrawing20.vml" ContentType="application/vnd.openxmlformats-officedocument.vmlDrawing"/>
  <Override PartName="/xl/drawings/drawing71.xml" ContentType="application/vnd.openxmlformats-officedocument.drawing+xml"/>
  <Override PartName="/xl/drawings/vmlDrawing41.vml" ContentType="application/vnd.openxmlformats-officedocument.vmlDrawing"/>
  <Override PartName="/xl/drawings/vmlDrawing16.vml" ContentType="application/vnd.openxmlformats-officedocument.vmlDrawing"/>
  <Override PartName="/xl/drawings/drawing146.xml" ContentType="application/vnd.openxmlformats-officedocument.drawing+xml"/>
  <Override PartName="/xl/drawings/vmlDrawing6.vml" ContentType="application/vnd.openxmlformats-officedocument.vmlDrawing"/>
  <Override PartName="/xl/drawings/vmlDrawing12.vml" ContentType="application/vnd.openxmlformats-officedocument.vmlDrawing"/>
  <Override PartName="/xl/drawings/drawing30.xml" ContentType="application/vnd.openxmlformats-officedocument.drawing+xml"/>
  <Override PartName="/xl/drawings/drawing13.xml" ContentType="application/vnd.openxmlformats-officedocument.drawing+xml"/>
  <Override PartName="/xl/drawings/drawing113.xml" ContentType="application/vnd.openxmlformats-officedocument.drawing+xml"/>
  <Override PartName="/xl/drawings/vmlDrawing3.vml" ContentType="application/vnd.openxmlformats-officedocument.vmlDrawing"/>
  <Override PartName="/xl/drawings/vmlDrawing2.vml" ContentType="application/vnd.openxmlformats-officedocument.vmlDrawing"/>
  <Override PartName="/xl/drawings/drawing98.xml" ContentType="application/vnd.openxmlformats-officedocument.drawing+xml"/>
  <Override PartName="/xl/drawings/drawing8.xml" ContentType="application/vnd.openxmlformats-officedocument.drawing+xml"/>
  <Override PartName="/xl/drawings/vmlDrawing1.vml" ContentType="application/vnd.openxmlformats-officedocument.vmlDrawing"/>
  <Override PartName="/xl/drawings/drawing45.xml" ContentType="application/vnd.openxmlformats-officedocument.drawing+xml"/>
  <Override PartName="/xl/drawings/vmlDrawing15.vml" ContentType="application/vnd.openxmlformats-officedocument.vmlDrawing"/>
  <Override PartName="/xl/drawings/drawing95.xml" ContentType="application/vnd.openxmlformats-officedocument.drawing+xml"/>
  <Override PartName="/xl/drawings/drawing122.xml" ContentType="application/vnd.openxmlformats-officedocument.drawing+xml"/>
  <Override PartName="/xl/drawings/vmlDrawing33.vml" ContentType="application/vnd.openxmlformats-officedocument.vmlDrawing"/>
  <Override PartName="/xl/drawings/vmlDrawing34.vml" ContentType="application/vnd.openxmlformats-officedocument.vmlDrawing"/>
  <Override PartName="/xl/drawings/drawing164.xml" ContentType="application/vnd.openxmlformats-officedocument.drawing+xml"/>
  <Override PartName="/xl/drawings/vmlDrawing45.vml" ContentType="application/vnd.openxmlformats-officedocument.vmlDrawing"/>
  <Override PartName="/xl/drawings/vmlDrawing36.vml" ContentType="application/vnd.openxmlformats-officedocument.vmlDrawing"/>
  <Override PartName="/xl/drawings/drawing92.xml" ContentType="application/vnd.openxmlformats-officedocument.drawing+xml"/>
  <Override PartName="/xl/drawings/vmlDrawing37.vml" ContentType="application/vnd.openxmlformats-officedocument.vmlDrawing"/>
  <Override PartName="/xl/drawings/drawing167.xml" ContentType="application/vnd.openxmlformats-officedocument.drawing+xml"/>
  <Override PartName="/xl/drawings/vmlDrawing48.vml" ContentType="application/vnd.openxmlformats-officedocument.vmlDrawing"/>
  <Override PartName="/xl/drawings/vmlDrawing5.vml" ContentType="application/vnd.openxmlformats-officedocument.vmlDrawing"/>
  <Override PartName="/xl/drawings/vmlDrawing55.vml" ContentType="application/vnd.openxmlformats-officedocument.vmlDrawing"/>
  <Override PartName="/xl/drawings/drawing101.xml" ContentType="application/vnd.openxmlformats-officedocument.drawing+xml"/>
  <Override PartName="/xl/drawings/vmlDrawing43.vml" ContentType="application/vnd.openxmlformats-officedocument.vmlDrawing"/>
  <Override PartName="/xl/drawings/drawing110.xml" ContentType="application/vnd.openxmlformats-officedocument.drawing+xml"/>
  <Override PartName="/xl/drawings/vmlDrawing52.vml" ContentType="application/vnd.openxmlformats-officedocument.vmlDrawing"/>
  <Override PartName="/xl/drawings/vmlDrawing40.vml" ContentType="application/vnd.openxmlformats-officedocument.vmlDrawing"/>
  <Override PartName="/xl/drawings/vmlDrawing42.vml" ContentType="application/vnd.openxmlformats-officedocument.vmlDrawing"/>
  <Override PartName="/xl/drawings/drawing107.xml" ContentType="application/vnd.openxmlformats-officedocument.drawing+xml"/>
  <Override PartName="/xl/drawings/vmlDrawing30.vml" ContentType="application/vnd.openxmlformats-officedocument.vmlDrawing"/>
  <Override PartName="/xl/drawings/drawing116.xml" ContentType="application/vnd.openxmlformats-officedocument.drawing+xml"/>
  <Override PartName="/xl/drawings/vmlDrawing51.vml" ContentType="application/vnd.openxmlformats-officedocument.vmlDrawing"/>
  <Override PartName="/xl/drawings/vmlDrawing49.vml" ContentType="application/vnd.openxmlformats-officedocument.vmlDrawing"/>
  <Override PartName="/xl/drawings/drawing31.xml" ContentType="application/vnd.openxmlformats-officedocument.drawing+xml"/>
  <Override PartName="/xl/drawings/drawing131.xml" ContentType="application/vnd.openxmlformats-officedocument.drawing+xml"/>
  <Override PartName="/xl/drawings/drawing104.xml" ContentType="application/vnd.openxmlformats-officedocument.drawing+xml"/>
  <Override PartName="/xl/drawings/vmlDrawing46.vml" ContentType="application/vnd.openxmlformats-officedocument.vmlDrawing"/>
  <Override PartName="/xl/drawings/vmlDrawing39.vml" ContentType="application/vnd.openxmlformats-officedocument.vmlDrawing"/>
  <Override PartName="/xl/drawings/drawing134.xml" ContentType="application/vnd.openxmlformats-officedocument.drawing+xml"/>
  <Override PartName="/xl/drawings/vmlDrawing9.vml" ContentType="application/vnd.openxmlformats-officedocument.vmlDrawing"/>
  <Override PartName="/xl/drawings/drawing128.xml" ContentType="application/vnd.openxmlformats-officedocument.drawing+xml"/>
  <Override PartName="/xl/drawings/drawing28.xml" ContentType="application/vnd.openxmlformats-officedocument.drawing+xml"/>
  <Override PartName="/xl/drawings/drawing125.xml" ContentType="application/vnd.openxmlformats-officedocument.drawing+xml"/>
  <Override PartName="/xl/drawings/drawing119.xml" ContentType="application/vnd.openxmlformats-officedocument.drawing+xml"/>
  <Override PartName="/xl/drawings/vmlDrawing54.vml" ContentType="application/vnd.openxmlformats-officedocument.vmlDrawing"/>
  <Override PartName="/xl/drawings/drawing161.xml" ContentType="application/vnd.openxmlformats-officedocument.drawing+xml"/>
  <Override PartName="/xl/drawings/vmlDrawing31.vml" ContentType="application/vnd.openxmlformats-officedocument.vmlDrawing"/>
  <Override PartName="/xl/drawings/vmlDrawing14.vml" ContentType="application/vnd.openxmlformats-officedocument.vmlDrawing"/>
  <Override PartName="/xl/drawings/vmlDrawing8.vml" ContentType="application/vnd.openxmlformats-officedocument.vmlDrawing"/>
  <Override PartName="/xl/drawings/vmlDrawing24.vml" ContentType="application/vnd.openxmlformats-officedocument.vmlDrawing"/>
  <Override PartName="/xl/drawings/drawing43.xml" ContentType="application/vnd.openxmlformats-officedocument.drawing+xml"/>
  <Override PartName="/xl/drawings/drawing143.xml" ContentType="application/vnd.openxmlformats-officedocument.drawing+xml"/>
  <Override PartName="/xl/drawings/vmlDrawing13.vml" ContentType="application/vnd.openxmlformats-officedocument.vmlDrawing"/>
  <Override PartName="/xl/drawings/vmlDrawing7.vml" ContentType="application/vnd.openxmlformats-officedocument.vmlDrawing"/>
  <Override PartName="/xl/drawings/drawing39.xml" ContentType="application/vnd.openxmlformats-officedocument.drawing+xml"/>
  <Override PartName="/xl/drawings/vmlDrawing11.vml" ContentType="application/vnd.openxmlformats-officedocument.vmlDrawing"/>
  <Override PartName="/xl/drawings/drawing41.xml" ContentType="application/vnd.openxmlformats-officedocument.drawing+xml"/>
  <Override PartName="/xl/drawings/drawing37.xml" ContentType="application/vnd.openxmlformats-officedocument.drawing+xml"/>
  <Override PartName="/xl/drawings/drawing137.xml" ContentType="application/vnd.openxmlformats-officedocument.drawing+xml"/>
  <Override PartName="/xl/drawings/drawing35.xml" ContentType="application/vnd.openxmlformats-officedocument.drawing+xml"/>
  <Override PartName="/xl/drawings/drawing152.xml" ContentType="application/vnd.openxmlformats-officedocument.drawing+xml"/>
  <Override PartName="/xl/drawings/vmlDrawing22.vml" ContentType="application/vnd.openxmlformats-officedocument.vmlDrawing"/>
  <Override PartName="/xl/drawings/drawing140.xml" ContentType="application/vnd.openxmlformats-officedocument.drawing+xml"/>
  <Override PartName="/xl/drawings/vmlDrawing10.vml" ContentType="application/vnd.openxmlformats-officedocument.vmlDrawing"/>
  <Override PartName="/xl/drawings/vmlDrawing4.vml" ContentType="application/vnd.openxmlformats-officedocument.vmlDrawing"/>
  <Override PartName="/xl/drawings/drawing23.xml" ContentType="application/vnd.openxmlformats-officedocument.drawing+xml"/>
  <Override PartName="/xl/drawings/drawing33.xml" ContentType="application/vnd.openxmlformats-officedocument.drawing+xml"/>
  <Override PartName="/xl/drawings/drawing68.xml" ContentType="application/vnd.openxmlformats-officedocument.drawing+xml"/>
  <Override PartName="/xl/drawings/vmlDrawing38.vml" ContentType="application/vnd.openxmlformats-officedocument.vmlDrawing"/>
  <Override PartName="/xl/comments24.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Daily Operation" sheetId="1" state="visible" r:id="rId3"/>
    <sheet name="Contract DB (Central)" sheetId="2" state="visible" r:id="rId4"/>
    <sheet name="Contract DB (West)" sheetId="3" state="visible" r:id="rId5"/>
    <sheet name="Contract DB (East)" sheetId="4" state="visible" r:id="rId6"/>
    <sheet name="Contract DB (Ontario)" sheetId="5" state="visible" r:id="rId7"/>
    <sheet name="P&amp;L Report" sheetId="6" state="visible" r:id="rId8"/>
    <sheet name="Curves" sheetId="7" state="visible" r:id="rId9"/>
    <sheet name="Correlations" sheetId="8" state="visible" r:id="rId10"/>
    <sheet name="P&amp;L Template" sheetId="9" state="visible" r:id="rId11"/>
    <sheet name="Central Position Rpt" sheetId="10" state="visible" r:id="rId12"/>
    <sheet name="WestHolst Position Rpt" sheetId="11" state="visible" r:id="rId13"/>
    <sheet name="WestErmis Position Rpt" sheetId="12" state="visible" r:id="rId14"/>
    <sheet name="WestGrigsby Position Rpt" sheetId="13" state="visible" r:id="rId15"/>
    <sheet name="WestAllen Position Rpt" sheetId="14" state="visible" r:id="rId16"/>
    <sheet name="Denver Positions" sheetId="15" state="visible" r:id="rId17"/>
    <sheet name="Phillip Delta Positions" sheetId="16" state="visible" r:id="rId18"/>
    <sheet name="Keith Delta Positions" sheetId="17" state="visible" r:id="rId19"/>
    <sheet name="East Postition Rpt" sheetId="18" state="visible" r:id="rId20"/>
    <sheet name="Ontario Position Rpt" sheetId="19" state="visible" r:id="rId21"/>
    <sheet name="sTOREY" sheetId="20" state="visible" r:id="rId22"/>
    <sheet name="LongTerm1" sheetId="21" state="visible" r:id="rId23"/>
    <sheet name="LongTerm2" sheetId="22" state="visible" r:id="rId24"/>
    <sheet name="LongTerm9" sheetId="23" state="visible" r:id="rId25"/>
    <sheet name="LongTerm10" sheetId="24" state="visible" r:id="rId26"/>
    <sheet name="LongTerm17" sheetId="25" state="visible" r:id="rId27"/>
    <sheet name="LongTerm19" sheetId="26" state="visible" r:id="rId28"/>
    <sheet name="LongTerm20" sheetId="27" state="visible" r:id="rId29"/>
    <sheet name="LongTerm21" sheetId="28" state="visible" r:id="rId30"/>
    <sheet name="LongTerm24" sheetId="29" state="visible" r:id="rId31"/>
    <sheet name="LongTerm25" sheetId="30" state="visible" r:id="rId32"/>
    <sheet name="LongTerm26" sheetId="31" state="visible" r:id="rId33"/>
    <sheet name="LongTerm50" sheetId="32" state="visible" r:id="rId34"/>
    <sheet name="LongTerm51" sheetId="33" state="visible" r:id="rId35"/>
    <sheet name="LongTerm52" sheetId="34" state="visible" r:id="rId36"/>
    <sheet name="LongTerm53" sheetId="35" state="visible" r:id="rId37"/>
    <sheet name="LongTerm54" sheetId="36" state="visible" r:id="rId38"/>
    <sheet name="LongTerm55" sheetId="37" state="visible" r:id="rId39"/>
    <sheet name="LongTerm56" sheetId="38" state="visible" r:id="rId40"/>
    <sheet name="LongTerm57" sheetId="39" state="visible" r:id="rId41"/>
    <sheet name="LongTerm62" sheetId="40" state="visible" r:id="rId42"/>
    <sheet name="LongTerm72" sheetId="41" state="visible" r:id="rId43"/>
    <sheet name="LongTerm73" sheetId="42" state="visible" r:id="rId44"/>
    <sheet name="LongTerm74" sheetId="43" state="visible" r:id="rId45"/>
    <sheet name="LongTerm83" sheetId="44" state="visible" r:id="rId46"/>
    <sheet name="LongTerm84" sheetId="45" state="visible" r:id="rId47"/>
    <sheet name="LongTerm85" sheetId="46" state="visible" r:id="rId48"/>
    <sheet name="LongTerm86" sheetId="47" state="visible" r:id="rId49"/>
    <sheet name="LongTerm87" sheetId="48" state="visible" r:id="rId50"/>
    <sheet name="LongTerm88" sheetId="49" state="visible" r:id="rId51"/>
    <sheet name="LongTerm89" sheetId="50" state="visible" r:id="rId52"/>
    <sheet name="LongTerm90" sheetId="51" state="visible" r:id="rId53"/>
    <sheet name="LongTerm100" sheetId="52" state="visible" r:id="rId54"/>
    <sheet name="LongTerm101" sheetId="53" state="visible" r:id="rId55"/>
    <sheet name="LongTerm102" sheetId="54" state="visible" r:id="rId56"/>
    <sheet name="LongTerm103" sheetId="55" state="visible" r:id="rId57"/>
    <sheet name="LongTerm104" sheetId="56" state="visible" r:id="rId58"/>
    <sheet name="LongTerm105" sheetId="57" state="visible" r:id="rId59"/>
    <sheet name="LongTerm106" sheetId="58" state="visible" r:id="rId60"/>
    <sheet name="LongTerm107" sheetId="59" state="visible" r:id="rId61"/>
    <sheet name="LongTerm108" sheetId="60" state="visible" r:id="rId62"/>
    <sheet name="Help" sheetId="61" state="visible" r:id="rId63"/>
    <sheet name="Codes" sheetId="62" state="visible" r:id="rId64"/>
    <sheet name="Book and CPID" sheetId="63" state="visible" r:id="rId65"/>
    <sheet name="Configuration" sheetId="64" state="visible" r:id="rId66"/>
    <sheet name="Lavorato Rpt" sheetId="65" state="visible" r:id="rId67"/>
  </sheets>
  <externalReferences>
    <externalReference r:id="rId68"/>
    <externalReference r:id="rId69"/>
  </externalReferences>
  <definedNames>
    <definedName function="false" hidden="false" localSheetId="9" name="_xlnm.Print_Area" vbProcedure="false">'Central Position Rpt'!$C$7:$V$19</definedName>
    <definedName function="false" hidden="false" localSheetId="17" name="_xlnm.Print_Area" vbProcedure="false">'East Postition Rpt'!$C$7:$V$77</definedName>
    <definedName function="false" hidden="false" localSheetId="16" name="_xlnm.Print_Area" vbProcedure="false">'Keith Delta Positions'!$S$1:$X$32</definedName>
    <definedName function="false" hidden="false" localSheetId="64" name="_xlnm.Print_Area" vbProcedure="false">'Lavorato Rpt'!$A$2:$V$48</definedName>
    <definedName function="false" hidden="false" localSheetId="18" name="_xlnm.Print_Area" vbProcedure="false">'Ontario Position Rpt'!$C$7:$V$11</definedName>
    <definedName function="false" hidden="false" localSheetId="19" name="_xlnm.Print_Area" vbProcedure="false">sTOREY!$B$15:$AH$108</definedName>
    <definedName function="false" hidden="false" localSheetId="11" name="_xlnm.Print_Area" vbProcedure="false">'WestErmis Position Rpt'!$C$7:$V$18</definedName>
    <definedName function="false" hidden="false" localSheetId="12" name="_xlnm.Print_Area" vbProcedure="false">'WestGrigsby Position Rpt'!$C$7:$V$28</definedName>
    <definedName function="false" hidden="false" name="BookCodes" vbProcedure="false">Codes!$G$7:$H$11</definedName>
    <definedName function="false" hidden="false" name="ContractList" vbProcedure="false">'[1]'!$C$9</definedName>
    <definedName function="false" hidden="false" name="CorrelationOne" vbProcedure="false">Correlations!$A$3:$BQ$304</definedName>
    <definedName function="false" hidden="false" name="CorrelationTwo" vbProcedure="false">Configuration!$C$16:$E$21</definedName>
    <definedName function="false" hidden="false" name="CorrelFile" vbProcedure="false">Configuration!$D$10</definedName>
    <definedName function="false" hidden="false" name="CorrelPage" vbProcedure="false">Configuration!$D$11</definedName>
    <definedName function="false" hidden="false" name="CurveCodes" vbProcedure="false">Codes!$C$7:$D$114</definedName>
    <definedName function="false" hidden="false" name="CurveNames" vbProcedure="false">Curves!$D$17</definedName>
    <definedName function="false" hidden="false" name="CurveStart" vbProcedure="false">Curves!$D$14</definedName>
    <definedName function="false" hidden="false" name="CurveTbl" vbProcedure="false">Curves!$D$19:$DV$307</definedName>
    <definedName function="false" hidden="false" name="CurveTypes" vbProcedure="false">Codes!$K$7:$L$15</definedName>
    <definedName function="false" hidden="false" name="DBName" vbProcedure="false">Curves!$D$5</definedName>
    <definedName function="false" hidden="false" name="Deal1" vbProcedure="false">sTOREY!$AM$17:$AP$119</definedName>
    <definedName function="false" hidden="false" name="Deal2" vbProcedure="false">sTOREY!$AQ$17:$AT$32</definedName>
    <definedName function="false" hidden="false" name="Deal25" vbProcedure="false">sTOREY!$BG$17:$BJ$100</definedName>
    <definedName function="false" hidden="false" name="Deal26" vbProcedure="false">sTOREY!$BK$17:$BN$19</definedName>
    <definedName function="false" hidden="false" name="Deal3" vbProcedure="false">sTOREY!$AU$17:$AX$20</definedName>
    <definedName function="false" hidden="false" name="Deal4" vbProcedure="false">sTOREY!$AY$17:$BB$21</definedName>
    <definedName function="false" hidden="false" name="Deal7" vbProcedure="false">sTOREY!$BC$17:$BF$21</definedName>
    <definedName function="false" hidden="false" name="EndDate" vbProcedure="false">Curves!$H$7</definedName>
    <definedName function="false" hidden="false" name="Exp2" vbProcedure="false">Configuration!$D$41</definedName>
    <definedName function="false" hidden="false" name="ExportFile" vbProcedure="false">Configuration!$D$40</definedName>
    <definedName function="false" hidden="false" name="FetchDate" vbProcedure="false">Curves!$H$5</definedName>
    <definedName function="false" hidden="false" name="GRITable" vbProcedure="false">Configuration!$H$16:$I$20</definedName>
    <definedName function="false" hidden="false" name="InfoStart" vbProcedure="false">Curves!$D$19</definedName>
    <definedName function="false" hidden="false" name="LiborCurve" vbProcedure="false">Configuration!$D$7</definedName>
    <definedName function="false" hidden="false" name="NymexCurve" vbProcedure="false">Configuration!$D$6</definedName>
    <definedName function="false" hidden="false" name="OffsetDays" vbProcedure="false">Configuration!$D$5</definedName>
    <definedName function="false" hidden="false" name="Password" vbProcedure="false">Curves!$D$7</definedName>
    <definedName function="false" hidden="false" name="RegionList" vbProcedure="false">Configuration!$H$27</definedName>
    <definedName function="false" hidden="false" name="RegionRptConfig" vbProcedure="false">Configuration!$H$27</definedName>
    <definedName function="false" hidden="false" name="StartDate" vbProcedure="false">Curves!$H$6</definedName>
    <definedName function="false" hidden="false" name="TodayDate" vbProcedure="false">Configuration!$D$3</definedName>
    <definedName function="false" hidden="false" name="UserName" vbProcedure="false">Curves!$D$6</definedName>
    <definedName function="false" hidden="false" name="XTable" vbProcedure="false">'Book and CPID'!$C$5</definedName>
    <definedName function="false" hidden="false" name="_11_1_99" vbProcedure="false">Correlations!$A$3:$BF$304</definedName>
    <definedName function="false" hidden="false" localSheetId="0" name="CorrelationTwo" vbProcedure="false">#REF!</definedName>
    <definedName function="false" hidden="false" localSheetId="0" name="GRITable" vbProcedure="false">#REF!</definedName>
    <definedName function="false" hidden="false" localSheetId="0" name="LiborCurve" vbProcedure="false">#REF!</definedName>
    <definedName function="false" hidden="false" localSheetId="0" name="NymexCurve" vbProcedure="false">#REF!</definedName>
    <definedName function="false" hidden="false" localSheetId="0" name="OffsetDays" vbProcedure="false">#REF!</definedName>
    <definedName function="false" hidden="false" localSheetId="0" name="RegionRptConfig" vbProcedure="false">#REF!</definedName>
    <definedName function="false" hidden="false" localSheetId="0" name="TodayDate" vbProcedure="false">#REF!</definedName>
    <definedName function="false" hidden="false" localSheetId="1" name="ContractList" vbProcedure="false">'Contract DB (Central)'!$C$9</definedName>
    <definedName function="false" hidden="false" localSheetId="2" name="ContractList" vbProcedure="false">'Contract DB (West)'!$C$9</definedName>
    <definedName function="false" hidden="false" localSheetId="3" name="ContractList" vbProcedure="false">'Contract DB (East)'!$C$9</definedName>
    <definedName function="false" hidden="false" localSheetId="4" name="ContractList" vbProcedure="false">'Contract DB (Ontario)'!$C$9</definedName>
    <definedName function="false" hidden="false" localSheetId="4" name="Deal1" vbProcedure="false">#REF!</definedName>
    <definedName function="false" hidden="false" localSheetId="4" name="Deal2" vbProcedure="false">#REF!</definedName>
    <definedName function="false" hidden="false" localSheetId="4" name="Deal25" vbProcedure="false">#REF!</definedName>
    <definedName function="false" hidden="false" localSheetId="4" name="Deal26" vbProcedure="false">#REF!</definedName>
    <definedName function="false" hidden="false" localSheetId="4" name="Deal3" vbProcedure="false">#REF!</definedName>
    <definedName function="false" hidden="false" localSheetId="4" name="Deal4" vbProcedure="false">#REF!</definedName>
    <definedName function="false" hidden="false" localSheetId="4" name="Deal7" vbProcedure="false">#REF!</definedName>
    <definedName function="false" hidden="false" localSheetId="5" name="Excel_BuiltIn_Print_Area" vbProcedure="false">#REF!</definedName>
    <definedName function="true" hidden="false" name="xSPRDOPT" vbProcedure="true"/>
  </definedNames>
  <calcPr iterateCount="100" refMode="A1" iterate="false" iterateDelta="0.001"/>
  <extLst>
    <ext xmlns:loext="http://schemas.libreoffice.org/" uri="{7626C862-2A13-11E5-B345-FEFF819CDC9F}">
      <loext:extCalcPr stringRefSyntax="CalcA1"/>
    </ext>
  </extLst>
</workbook>
</file>

<file path=xl/comments10.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4</xdr:col>
                <xdr:colOff>26</xdr:colOff>
                <xdr:row>4</xdr:row>
                <xdr:rowOff>6</xdr:rowOff>
              </xdr:to>
            </anchor>
          </commentPr>
        </mc:Choice>
        <mc:Fallback/>
      </mc:AlternateContent>
    </comment>
  </commentList>
</comments>
</file>

<file path=xl/comments1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4</xdr:col>
                <xdr:colOff>26</xdr:colOff>
                <xdr:row>4</xdr:row>
                <xdr:rowOff>6</xdr:rowOff>
              </xdr:to>
            </anchor>
          </commentPr>
        </mc:Choice>
        <mc:Fallback/>
      </mc:AlternateContent>
    </comment>
  </commentList>
</comments>
</file>

<file path=xl/comments1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2</xdr:rowOff>
              </xdr:from>
              <xdr:to>
                <xdr:col>4</xdr:col>
                <xdr:colOff>26</xdr:colOff>
                <xdr:row>4</xdr:row>
                <xdr:rowOff>5</xdr:rowOff>
              </xdr:to>
            </anchor>
          </commentPr>
        </mc:Choice>
        <mc:Fallback/>
      </mc:AlternateContent>
    </comment>
  </commentList>
</comments>
</file>

<file path=xl/comments13.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2</xdr:rowOff>
              </xdr:from>
              <xdr:to>
                <xdr:col>4</xdr:col>
                <xdr:colOff>26</xdr:colOff>
                <xdr:row>4</xdr:row>
                <xdr:rowOff>5</xdr:rowOff>
              </xdr:to>
            </anchor>
          </commentPr>
        </mc:Choice>
        <mc:Fallback/>
      </mc:AlternateContent>
    </comment>
  </commentList>
</comments>
</file>

<file path=xl/comments14.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4</xdr:col>
                <xdr:colOff>26</xdr:colOff>
                <xdr:row>4</xdr:row>
                <xdr:rowOff>6</xdr:rowOff>
              </xdr:to>
            </anchor>
          </commentPr>
        </mc:Choice>
        <mc:Fallback/>
      </mc:AlternateContent>
    </comment>
  </commentList>
</comments>
</file>

<file path=xl/comments15.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4</xdr:col>
                <xdr:colOff>26</xdr:colOff>
                <xdr:row>4</xdr:row>
                <xdr:rowOff>6</xdr:rowOff>
              </xdr:to>
            </anchor>
          </commentPr>
        </mc:Choice>
        <mc:Fallback/>
      </mc:AlternateContent>
    </comment>
  </commentList>
</comments>
</file>

<file path=xl/comments1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4</xdr:col>
                <xdr:colOff>26</xdr:colOff>
                <xdr:row>4</xdr:row>
                <xdr:rowOff>6</xdr:rowOff>
              </xdr:to>
            </anchor>
          </commentPr>
        </mc:Choice>
        <mc:Fallback/>
      </mc:AlternateContent>
    </comment>
  </commentList>
</comments>
</file>

<file path=xl/comments19.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4</xdr:col>
                <xdr:colOff>26</xdr:colOff>
                <xdr:row>4</xdr:row>
                <xdr:rowOff>6</xdr:rowOff>
              </xdr:to>
            </anchor>
          </commentPr>
        </mc:Choice>
        <mc:Fallback/>
      </mc:AlternateContent>
    </comment>
  </commentList>
</comments>
</file>

<file path=xl/comments2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36</xdr:col>
                <xdr:colOff>86</xdr:colOff>
                <xdr:row>0</xdr:row>
                <xdr:rowOff>14</xdr:rowOff>
              </xdr:from>
              <xdr:to>
                <xdr:col>45</xdr:col>
                <xdr:colOff>12</xdr:colOff>
                <xdr:row>4</xdr:row>
                <xdr:rowOff>3</xdr:rowOff>
              </xdr:to>
            </anchor>
          </commentPr>
        </mc:Choice>
        <mc:Fallback/>
      </mc:AlternateContent>
    </comment>
  </commentList>
</comments>
</file>

<file path=xl/comments2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23.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24.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25.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2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2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2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29.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0.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3.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4.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5.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39.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40.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17</xdr:col>
                <xdr:colOff>85</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36</xdr:col>
                <xdr:colOff>12</xdr:colOff>
                <xdr:row>0</xdr:row>
                <xdr:rowOff>14</xdr:rowOff>
              </xdr:from>
              <xdr:to>
                <xdr:col>44</xdr:col>
                <xdr:colOff>17</xdr:colOff>
                <xdr:row>4</xdr:row>
                <xdr:rowOff>3</xdr:rowOff>
              </xdr:to>
            </anchor>
          </commentPr>
        </mc:Choice>
        <mc:Fallback/>
      </mc:AlternateContent>
    </comment>
  </commentList>
</comments>
</file>

<file path=xl/comments4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36</xdr:col>
                <xdr:colOff>86</xdr:colOff>
                <xdr:row>0</xdr:row>
                <xdr:rowOff>14</xdr:rowOff>
              </xdr:from>
              <xdr:to>
                <xdr:col>45</xdr:col>
                <xdr:colOff>12</xdr:colOff>
                <xdr:row>4</xdr:row>
                <xdr:rowOff>3</xdr:rowOff>
              </xdr:to>
            </anchor>
          </commentPr>
        </mc:Choice>
        <mc:Fallback/>
      </mc:AlternateContent>
    </comment>
  </commentList>
</comments>
</file>

<file path=xl/comments4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36</xdr:col>
                <xdr:colOff>86</xdr:colOff>
                <xdr:row>0</xdr:row>
                <xdr:rowOff>14</xdr:rowOff>
              </xdr:from>
              <xdr:to>
                <xdr:col>45</xdr:col>
                <xdr:colOff>12</xdr:colOff>
                <xdr:row>4</xdr:row>
                <xdr:rowOff>3</xdr:rowOff>
              </xdr:to>
            </anchor>
          </commentPr>
        </mc:Choice>
        <mc:Fallback/>
      </mc:AlternateContent>
    </comment>
  </commentList>
</comments>
</file>

<file path=xl/comments43.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36</xdr:col>
                <xdr:colOff>86</xdr:colOff>
                <xdr:row>0</xdr:row>
                <xdr:rowOff>14</xdr:rowOff>
              </xdr:from>
              <xdr:to>
                <xdr:col>45</xdr:col>
                <xdr:colOff>12</xdr:colOff>
                <xdr:row>4</xdr:row>
                <xdr:rowOff>3</xdr:rowOff>
              </xdr:to>
            </anchor>
          </commentPr>
        </mc:Choice>
        <mc:Fallback/>
      </mc:AlternateContent>
    </comment>
  </commentList>
</comments>
</file>

<file path=xl/comments44.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45.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4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4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13</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13</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13</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13</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4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14</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6</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11</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13</xdr:rowOff>
              </xdr:from>
              <xdr:to>
                <xdr:col>3</xdr:col>
                <xdr:colOff>95</xdr:colOff>
                <xdr:row>6</xdr:row>
                <xdr:rowOff>16</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11</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11</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11</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58</xdr:colOff>
                <xdr:row>5</xdr:row>
                <xdr:rowOff>0</xdr:rowOff>
              </xdr:from>
              <xdr:to>
                <xdr:col>10</xdr:col>
                <xdr:colOff>16</xdr:colOff>
                <xdr:row>6</xdr:row>
                <xdr:rowOff>17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105</xdr:colOff>
                <xdr:row>19</xdr:row>
                <xdr:rowOff>12</xdr:rowOff>
              </xdr:from>
              <xdr:to>
                <xdr:col>15</xdr:col>
                <xdr:colOff>100</xdr:colOff>
                <xdr:row>20</xdr:row>
                <xdr:rowOff>51</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12</xdr:rowOff>
              </xdr:from>
              <xdr:to>
                <xdr:col>16</xdr:col>
                <xdr:colOff>14</xdr:colOff>
                <xdr:row>20</xdr:row>
                <xdr:rowOff>51</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94</xdr:colOff>
                <xdr:row>19</xdr:row>
                <xdr:rowOff>12</xdr:rowOff>
              </xdr:from>
              <xdr:to>
                <xdr:col>17</xdr:col>
                <xdr:colOff>20</xdr:colOff>
                <xdr:row>20</xdr:row>
                <xdr:rowOff>51</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13</xdr:col>
                <xdr:colOff>62</xdr:colOff>
                <xdr:row>19</xdr:row>
                <xdr:rowOff>12</xdr:rowOff>
              </xdr:from>
              <xdr:to>
                <xdr:col>18</xdr:col>
                <xdr:colOff>57</xdr:colOff>
                <xdr:row>20</xdr:row>
                <xdr:rowOff>51</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37</xdr:col>
                <xdr:colOff>6</xdr:colOff>
                <xdr:row>0</xdr:row>
                <xdr:rowOff>14</xdr:rowOff>
              </xdr:from>
              <xdr:to>
                <xdr:col>45</xdr:col>
                <xdr:colOff>19</xdr:colOff>
                <xdr:row>4</xdr:row>
                <xdr:rowOff>3</xdr:rowOff>
              </xdr:to>
            </anchor>
          </commentPr>
        </mc:Choice>
        <mc:Fallback/>
      </mc:AlternateContent>
    </comment>
  </commentList>
</comments>
</file>

<file path=xl/comments49.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2</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12</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12</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7</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7</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7</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7</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7</xdr:rowOff>
              </xdr:from>
              <xdr:to>
                <xdr:col>9</xdr:col>
                <xdr:colOff>1</xdr:colOff>
                <xdr:row>7</xdr:row>
                <xdr:rowOff>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12</xdr:rowOff>
              </xdr:from>
              <xdr:to>
                <xdr:col>47</xdr:col>
                <xdr:colOff>29</xdr:colOff>
                <xdr:row>5</xdr:row>
                <xdr:rowOff>6</xdr:rowOff>
              </xdr:to>
            </anchor>
          </commentPr>
        </mc:Choice>
        <mc:Fallback/>
      </mc:AlternateContent>
    </comment>
  </commentList>
</comments>
</file>

<file path=xl/comments50.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8</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8</xdr:rowOff>
              </xdr:from>
              <xdr:to>
                <xdr:col>9</xdr:col>
                <xdr:colOff>1</xdr:colOff>
                <xdr:row>7</xdr:row>
                <xdr:rowOff>8</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13</xdr:rowOff>
              </xdr:from>
              <xdr:to>
                <xdr:col>47</xdr:col>
                <xdr:colOff>30</xdr:colOff>
                <xdr:row>5</xdr:row>
                <xdr:rowOff>6</xdr:rowOff>
              </xdr:to>
            </anchor>
          </commentPr>
        </mc:Choice>
        <mc:Fallback/>
      </mc:AlternateContent>
    </comment>
  </commentList>
</comments>
</file>

<file path=xl/comments5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8</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8</xdr:rowOff>
              </xdr:from>
              <xdr:to>
                <xdr:col>9</xdr:col>
                <xdr:colOff>1</xdr:colOff>
                <xdr:row>7</xdr:row>
                <xdr:rowOff>8</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13</xdr:rowOff>
              </xdr:from>
              <xdr:to>
                <xdr:col>47</xdr:col>
                <xdr:colOff>30</xdr:colOff>
                <xdr:row>5</xdr:row>
                <xdr:rowOff>6</xdr:rowOff>
              </xdr:to>
            </anchor>
          </commentPr>
        </mc:Choice>
        <mc:Fallback/>
      </mc:AlternateContent>
    </comment>
  </commentList>
</comments>
</file>

<file path=xl/comments5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8</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8</xdr:rowOff>
              </xdr:from>
              <xdr:to>
                <xdr:col>9</xdr:col>
                <xdr:colOff>1</xdr:colOff>
                <xdr:row>7</xdr:row>
                <xdr:rowOff>8</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13</xdr:rowOff>
              </xdr:from>
              <xdr:to>
                <xdr:col>47</xdr:col>
                <xdr:colOff>30</xdr:colOff>
                <xdr:row>5</xdr:row>
                <xdr:rowOff>6</xdr:rowOff>
              </xdr:to>
            </anchor>
          </commentPr>
        </mc:Choice>
        <mc:Fallback/>
      </mc:AlternateContent>
    </comment>
  </commentList>
</comments>
</file>

<file path=xl/comments53.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8</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8</xdr:rowOff>
              </xdr:from>
              <xdr:to>
                <xdr:col>9</xdr:col>
                <xdr:colOff>1</xdr:colOff>
                <xdr:row>7</xdr:row>
                <xdr:rowOff>8</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13</xdr:rowOff>
              </xdr:from>
              <xdr:to>
                <xdr:col>47</xdr:col>
                <xdr:colOff>30</xdr:colOff>
                <xdr:row>5</xdr:row>
                <xdr:rowOff>6</xdr:rowOff>
              </xdr:to>
            </anchor>
          </commentPr>
        </mc:Choice>
        <mc:Fallback/>
      </mc:AlternateContent>
    </comment>
  </commentList>
</comments>
</file>

<file path=xl/comments54.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8</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8</xdr:rowOff>
              </xdr:from>
              <xdr:to>
                <xdr:col>9</xdr:col>
                <xdr:colOff>1</xdr:colOff>
                <xdr:row>7</xdr:row>
                <xdr:rowOff>8</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13</xdr:rowOff>
              </xdr:from>
              <xdr:to>
                <xdr:col>47</xdr:col>
                <xdr:colOff>30</xdr:colOff>
                <xdr:row>5</xdr:row>
                <xdr:rowOff>6</xdr:rowOff>
              </xdr:to>
            </anchor>
          </commentPr>
        </mc:Choice>
        <mc:Fallback/>
      </mc:AlternateContent>
    </comment>
  </commentList>
</comments>
</file>

<file path=xl/comments55.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8</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8</xdr:rowOff>
              </xdr:from>
              <xdr:to>
                <xdr:col>9</xdr:col>
                <xdr:colOff>1</xdr:colOff>
                <xdr:row>7</xdr:row>
                <xdr:rowOff>8</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13</xdr:rowOff>
              </xdr:from>
              <xdr:to>
                <xdr:col>47</xdr:col>
                <xdr:colOff>30</xdr:colOff>
                <xdr:row>5</xdr:row>
                <xdr:rowOff>6</xdr:rowOff>
              </xdr:to>
            </anchor>
          </commentPr>
        </mc:Choice>
        <mc:Fallback/>
      </mc:AlternateContent>
    </comment>
  </commentList>
</comments>
</file>

<file path=xl/comments5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8</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8</xdr:rowOff>
              </xdr:from>
              <xdr:to>
                <xdr:col>9</xdr:col>
                <xdr:colOff>1</xdr:colOff>
                <xdr:row>7</xdr:row>
                <xdr:rowOff>8</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13</xdr:rowOff>
              </xdr:from>
              <xdr:to>
                <xdr:col>47</xdr:col>
                <xdr:colOff>30</xdr:colOff>
                <xdr:row>5</xdr:row>
                <xdr:rowOff>6</xdr:rowOff>
              </xdr:to>
            </anchor>
          </commentPr>
        </mc:Choice>
        <mc:Fallback/>
      </mc:AlternateContent>
    </comment>
  </commentList>
</comments>
</file>

<file path=xl/comments5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8</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8</xdr:rowOff>
              </xdr:from>
              <xdr:to>
                <xdr:col>9</xdr:col>
                <xdr:colOff>1</xdr:colOff>
                <xdr:row>7</xdr:row>
                <xdr:rowOff>8</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13</xdr:rowOff>
              </xdr:from>
              <xdr:to>
                <xdr:col>47</xdr:col>
                <xdr:colOff>30</xdr:colOff>
                <xdr:row>5</xdr:row>
                <xdr:rowOff>6</xdr:rowOff>
              </xdr:to>
            </anchor>
          </commentPr>
        </mc:Choice>
        <mc:Fallback/>
      </mc:AlternateContent>
    </comment>
  </commentList>
</comments>
</file>

<file path=xl/comments5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13</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13</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8</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8</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8</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8</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8</xdr:rowOff>
              </xdr:from>
              <xdr:to>
                <xdr:col>9</xdr:col>
                <xdr:colOff>1</xdr:colOff>
                <xdr:row>7</xdr:row>
                <xdr:rowOff>8</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48</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48</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48</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48</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13</xdr:rowOff>
              </xdr:from>
              <xdr:to>
                <xdr:col>47</xdr:col>
                <xdr:colOff>30</xdr:colOff>
                <xdr:row>5</xdr:row>
                <xdr:rowOff>6</xdr:rowOff>
              </xdr:to>
            </anchor>
          </commentPr>
        </mc:Choice>
        <mc:Fallback/>
      </mc:AlternateContent>
    </comment>
  </commentList>
</comments>
</file>

<file path=xl/comments59.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2</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12</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12</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7</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7</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7</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7</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7</xdr:rowOff>
              </xdr:from>
              <xdr:to>
                <xdr:col>9</xdr:col>
                <xdr:colOff>1</xdr:colOff>
                <xdr:row>7</xdr:row>
                <xdr:rowOff>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47</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47</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47</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47</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12</xdr:rowOff>
              </xdr:from>
              <xdr:to>
                <xdr:col>47</xdr:col>
                <xdr:colOff>29</xdr:colOff>
                <xdr:row>5</xdr:row>
                <xdr:rowOff>6</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4</xdr:col>
                <xdr:colOff>26</xdr:colOff>
                <xdr:row>4</xdr:row>
                <xdr:rowOff>6</xdr:rowOff>
              </xdr:to>
            </anchor>
          </commentPr>
        </mc:Choice>
        <mc:Fallback/>
      </mc:AlternateContent>
    </comment>
  </commentList>
</comments>
</file>

<file path=xl/comments60.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2</xdr:rowOff>
              </xdr:from>
              <xdr:to>
                <xdr:col>3</xdr:col>
                <xdr:colOff>94</xdr:colOff>
                <xdr:row>3</xdr:row>
                <xdr:rowOff>13</xdr:rowOff>
              </xdr:to>
            </anchor>
          </commentPr>
        </mc:Choice>
        <mc:Fallback/>
      </mc:AlternateContent>
    </comment>
    <comment ref="A2" authorId="0">
      <text>
        <r>
          <rPr>
            <sz val="8"/>
            <color rgb="FF000000"/>
            <rFont val="Tahoma"/>
            <family val="2"/>
          </rPr>
          <t xml:space="preserve">Used to point to the start of the output information.</t>
        </r>
      </text>
      <mc:AlternateContent>
        <mc:Choice Requires="v2">
          <commentPr autoFill="true" autoScale="false" colHidden="false" locked="false" rowHidden="false" textHAlign="justify" textVAlign="top">
            <anchor moveWithCells="false" sizeWithCells="false">
              <xdr:from>
                <xdr:col>1</xdr:col>
                <xdr:colOff>16</xdr:colOff>
                <xdr:row>0</xdr:row>
                <xdr:rowOff>12</xdr:rowOff>
              </xdr:from>
              <xdr:to>
                <xdr:col>3</xdr:col>
                <xdr:colOff>95</xdr:colOff>
                <xdr:row>4</xdr:row>
                <xdr:rowOff>5</xdr:rowOff>
              </xdr:to>
            </anchor>
          </commentPr>
        </mc:Choice>
        <mc:Fallback/>
      </mc:AlternateContent>
    </comment>
    <comment ref="A3" authorId="0">
      <text>
        <r>
          <rPr>
            <sz val="8"/>
            <color rgb="FF000000"/>
            <rFont val="Tahoma"/>
            <family val="2"/>
          </rPr>
          <t xml:space="preserve">Used to point to Start of Date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1</xdr:row>
                <xdr:rowOff>12</xdr:rowOff>
              </xdr:from>
              <xdr:to>
                <xdr:col>3</xdr:col>
                <xdr:colOff>95</xdr:colOff>
                <xdr:row>5</xdr:row>
                <xdr:rowOff>10</xdr:rowOff>
              </xdr:to>
            </anchor>
          </commentPr>
        </mc:Choice>
        <mc:Fallback/>
      </mc:AlternateContent>
    </comment>
    <comment ref="A4" authorId="0">
      <text>
        <r>
          <rPr>
            <sz val="8"/>
            <color rgb="FF000000"/>
            <rFont val="Tahoma"/>
            <family val="2"/>
          </rPr>
          <t xml:space="preserve">Used to point to Start of Receipt Positions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2</xdr:row>
                <xdr:rowOff>7</xdr:rowOff>
              </xdr:from>
              <xdr:to>
                <xdr:col>3</xdr:col>
                <xdr:colOff>95</xdr:colOff>
                <xdr:row>6</xdr:row>
                <xdr:rowOff>10</xdr:rowOff>
              </xdr:to>
            </anchor>
          </commentPr>
        </mc:Choice>
        <mc:Fallback/>
      </mc:AlternateContent>
    </comment>
    <comment ref="A5"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3</xdr:row>
                <xdr:rowOff>7</xdr:rowOff>
              </xdr:from>
              <xdr:to>
                <xdr:col>3</xdr:col>
                <xdr:colOff>95</xdr:colOff>
                <xdr:row>7</xdr:row>
                <xdr:rowOff>10</xdr:rowOff>
              </xdr:to>
            </anchor>
          </commentPr>
        </mc:Choice>
        <mc:Fallback/>
      </mc:AlternateContent>
    </comment>
    <comment ref="A6"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4</xdr:row>
                <xdr:rowOff>7</xdr:rowOff>
              </xdr:from>
              <xdr:to>
                <xdr:col>3</xdr:col>
                <xdr:colOff>95</xdr:colOff>
                <xdr:row>8</xdr:row>
                <xdr:rowOff>10</xdr:rowOff>
              </xdr:to>
            </anchor>
          </commentPr>
        </mc:Choice>
        <mc:Fallback/>
      </mc:AlternateContent>
    </comment>
    <comment ref="A7" authorId="0">
      <text>
        <r>
          <rPr>
            <sz val="8"/>
            <color rgb="FF000000"/>
            <rFont val="Tahoma"/>
            <family val="2"/>
          </rPr>
          <t xml:space="preserve">Used to point to Receipt curve (for position reporting purposes).</t>
        </r>
      </text>
      <mc:AlternateContent>
        <mc:Choice Requires="v2">
          <commentPr autoFill="true" autoScale="false" colHidden="false" locked="false" rowHidden="false" textHAlign="justify" textVAlign="top">
            <anchor moveWithCells="false" sizeWithCells="false">
              <xdr:from>
                <xdr:col>1</xdr:col>
                <xdr:colOff>16</xdr:colOff>
                <xdr:row>5</xdr:row>
                <xdr:rowOff>7</xdr:rowOff>
              </xdr:from>
              <xdr:to>
                <xdr:col>3</xdr:col>
                <xdr:colOff>95</xdr:colOff>
                <xdr:row>9</xdr:row>
                <xdr:rowOff>10</xdr:rowOff>
              </xdr:to>
            </anchor>
          </commentPr>
        </mc:Choice>
        <mc:Fallback/>
      </mc:AlternateContent>
    </comment>
    <comment ref="G7" authorId="0">
      <text>
        <r>
          <rPr>
            <sz val="8"/>
            <color rgb="FF000000"/>
            <rFont val="Tahoma"/>
            <family val="2"/>
          </rPr>
          <t xml:space="preserve">This field will be the later of contract start date or prompt month.</t>
        </r>
      </text>
      <mc:AlternateContent>
        <mc:Choice Requires="v2">
          <commentPr autoFill="true" autoScale="false" colHidden="false" locked="false" rowHidden="false" textHAlign="justify" textVAlign="top">
            <anchor moveWithCells="false" sizeWithCells="false">
              <xdr:from>
                <xdr:col>7</xdr:col>
                <xdr:colOff>16</xdr:colOff>
                <xdr:row>5</xdr:row>
                <xdr:rowOff>7</xdr:rowOff>
              </xdr:from>
              <xdr:to>
                <xdr:col>9</xdr:col>
                <xdr:colOff>1</xdr:colOff>
                <xdr:row>7</xdr:row>
                <xdr:rowOff>7</xdr:rowOff>
              </xdr:to>
            </anchor>
          </commentPr>
        </mc:Choice>
        <mc:Fallback/>
      </mc:AlternateContent>
    </comment>
    <comment ref="H21" authorId="0">
      <text>
        <r>
          <rPr>
            <sz val="8"/>
            <color rgb="FF000000"/>
            <rFont val="Tahoma"/>
            <family val="0"/>
          </rPr>
          <t xml:space="preserve">Total Receipt Price = (NYMEX + Receipt Pt Basis + Receipt Pt Index + Index Adjustment) grossed up for fuel rate
</t>
        </r>
      </text>
      <mc:AlternateContent>
        <mc:Choice Requires="v2">
          <commentPr autoFill="true" autoScale="false" colHidden="false" locked="false" rowHidden="false" textHAlign="justify" textVAlign="top">
            <anchor moveWithCells="false" sizeWithCells="false">
              <xdr:from>
                <xdr:col>8</xdr:col>
                <xdr:colOff>16</xdr:colOff>
                <xdr:row>19</xdr:row>
                <xdr:rowOff>9</xdr:rowOff>
              </xdr:from>
              <xdr:to>
                <xdr:col>15</xdr:col>
                <xdr:colOff>12</xdr:colOff>
                <xdr:row>20</xdr:row>
                <xdr:rowOff>47</xdr:rowOff>
              </xdr:to>
            </anchor>
          </commentPr>
        </mc:Choice>
        <mc:Fallback/>
      </mc:AlternateContent>
    </comment>
    <comment ref="I21" authorId="0">
      <text>
        <r>
          <rPr>
            <sz val="8"/>
            <color rgb="FF000000"/>
            <rFont val="Tahoma"/>
            <family val="0"/>
          </rPr>
          <t xml:space="preserve">Total Delivery Price = (NYMEX + Delivery Pt Basis + Delivery Pt Index + Index Adjustment)</t>
        </r>
      </text>
      <mc:AlternateContent>
        <mc:Choice Requires="v2">
          <commentPr autoFill="true" autoScale="false" colHidden="false" locked="false" rowHidden="false" textHAlign="justify" textVAlign="top">
            <anchor moveWithCells="false" sizeWithCells="false">
              <xdr:from>
                <xdr:col>9</xdr:col>
                <xdr:colOff>16</xdr:colOff>
                <xdr:row>19</xdr:row>
                <xdr:rowOff>9</xdr:rowOff>
              </xdr:from>
              <xdr:to>
                <xdr:col>16</xdr:col>
                <xdr:colOff>14</xdr:colOff>
                <xdr:row>20</xdr:row>
                <xdr:rowOff>47</xdr:rowOff>
              </xdr:to>
            </anchor>
          </commentPr>
        </mc:Choice>
        <mc:Fallback/>
      </mc:AlternateContent>
    </comment>
    <comment ref="K21" authorId="0">
      <text>
        <r>
          <rPr>
            <sz val="8"/>
            <color rgb="FF000000"/>
            <rFont val="Tahoma"/>
            <family val="0"/>
          </rPr>
          <t xml:space="preserve">Intrinsic Value = Value of gas at delivery point less receipt point price and variable transport charges</t>
        </r>
      </text>
      <mc:AlternateContent>
        <mc:Choice Requires="v2">
          <commentPr autoFill="true" autoScale="false" colHidden="false" locked="false" rowHidden="false" textHAlign="justify" textVAlign="top">
            <anchor moveWithCells="false" sizeWithCells="false">
              <xdr:from>
                <xdr:col>11</xdr:col>
                <xdr:colOff>16</xdr:colOff>
                <xdr:row>19</xdr:row>
                <xdr:rowOff>9</xdr:rowOff>
              </xdr:from>
              <xdr:to>
                <xdr:col>16</xdr:col>
                <xdr:colOff>63</xdr:colOff>
                <xdr:row>20</xdr:row>
                <xdr:rowOff>47</xdr:rowOff>
              </xdr:to>
            </anchor>
          </commentPr>
        </mc:Choice>
        <mc:Fallback/>
      </mc:AlternateContent>
    </comment>
    <comment ref="L21" authorId="0">
      <text>
        <r>
          <rPr>
            <sz val="8"/>
            <color rgb="FF000000"/>
            <rFont val="Tahoma"/>
            <family val="2"/>
          </rPr>
          <t xml:space="preserve">Extrinsic Value = Total Value of Option less Intrinsic Value
   (The value of an option = Intrinsic Value + Extrinsic (Time) Value)</t>
        </r>
      </text>
      <mc:AlternateContent>
        <mc:Choice Requires="v2">
          <commentPr autoFill="true" autoScale="false" colHidden="false" locked="false" rowHidden="false" textHAlign="justify" textVAlign="top">
            <anchor moveWithCells="false" sizeWithCells="false">
              <xdr:from>
                <xdr:col>12</xdr:col>
                <xdr:colOff>16</xdr:colOff>
                <xdr:row>19</xdr:row>
                <xdr:rowOff>9</xdr:rowOff>
              </xdr:from>
              <xdr:to>
                <xdr:col>17</xdr:col>
                <xdr:colOff>11</xdr:colOff>
                <xdr:row>20</xdr:row>
                <xdr:rowOff>47</xdr:rowOff>
              </xdr:to>
            </anchor>
          </commentPr>
        </mc:Choice>
        <mc:Fallback/>
      </mc:AlternateContent>
    </comment>
    <comment ref="AM3" authorId="0">
      <text>
        <r>
          <rPr>
            <sz val="8"/>
            <color rgb="FF000000"/>
            <rFont val="Tahoma"/>
            <family val="0"/>
          </rPr>
          <t xml:space="preserve">This table has the responsibility of searching through the database records for this path's record number and then pull all volume and rate information by month.  Prior to pulling the information, it must first determine the appropriate tier for the month.  Once determined, that tier's information is loaded into this table for use by the calculation sheet.
</t>
        </r>
      </text>
      <mc:AlternateContent>
        <mc:Choice Requires="v2">
          <commentPr autoFill="true" autoScale="false" colHidden="false" locked="false" rowHidden="false" textHAlign="justify" textVAlign="top">
            <anchor moveWithCells="false" sizeWithCells="false">
              <xdr:from>
                <xdr:col>39</xdr:col>
                <xdr:colOff>16</xdr:colOff>
                <xdr:row>1</xdr:row>
                <xdr:rowOff>12</xdr:rowOff>
              </xdr:from>
              <xdr:to>
                <xdr:col>47</xdr:col>
                <xdr:colOff>29</xdr:colOff>
                <xdr:row>5</xdr:row>
                <xdr:rowOff>6</xdr:rowOff>
              </xdr:to>
            </anchor>
          </commentPr>
        </mc:Choice>
        <mc:Fallback/>
      </mc:AlternateContent>
    </comment>
  </commentList>
</comments>
</file>

<file path=xl/comments9.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2"/>
          </rPr>
          <t xml:space="preserve">"PATH" here indicates this is a worksheet where a path is valued.</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4</xdr:col>
                <xdr:colOff>26</xdr:colOff>
                <xdr:row>4</xdr:row>
                <xdr:rowOff>6</xdr:rowOff>
              </xdr:to>
            </anchor>
          </commentPr>
        </mc:Choice>
        <mc:Fallback/>
      </mc:AlternateContent>
    </comment>
  </commentList>
</comments>
</file>

<file path=xl/sharedStrings.xml><?xml version="1.0" encoding="utf-8"?>
<sst xmlns="http://schemas.openxmlformats.org/spreadsheetml/2006/main" count="9762" uniqueCount="839">
  <si>
    <t xml:space="preserve">T r a n s p o r t a t i o n   M o d e l</t>
  </si>
  <si>
    <t xml:space="preserve">Daily Operations Page</t>
  </si>
  <si>
    <t xml:space="preserve">Today</t>
  </si>
  <si>
    <t xml:space="preserve"> </t>
  </si>
  <si>
    <t xml:space="preserve">Full Operation</t>
  </si>
  <si>
    <t xml:space="preserve">Subset Operations</t>
  </si>
  <si>
    <t xml:space="preserve">Reporting</t>
  </si>
  <si>
    <t xml:space="preserve">Notes:</t>
  </si>
  <si>
    <t xml:space="preserve">Due to the complexity of this model, please use CTRL-ALT-F9 to make sure the model is fully recalculated before printing reports.</t>
  </si>
  <si>
    <t xml:space="preserve">DB</t>
  </si>
  <si>
    <t xml:space="preserve">Database Operations</t>
  </si>
  <si>
    <t xml:space="preserve">DB Key (Rec No)</t>
  </si>
  <si>
    <t xml:space="preserve">TRANSPORTATION CONTRACT INFORMATION</t>
  </si>
  <si>
    <t xml:space="preserve">Pipeline</t>
  </si>
  <si>
    <t xml:space="preserve">NBPL</t>
  </si>
  <si>
    <t xml:space="preserve">Receipt</t>
  </si>
  <si>
    <t xml:space="preserve">Delivery</t>
  </si>
  <si>
    <t xml:space="preserve">Start</t>
  </si>
  <si>
    <t xml:space="preserve">End</t>
  </si>
  <si>
    <t xml:space="preserve">Contract #</t>
  </si>
  <si>
    <t xml:space="preserve">Ventura</t>
  </si>
  <si>
    <t xml:space="preserve">Chicago</t>
  </si>
  <si>
    <t xml:space="preserve">Tier1</t>
  </si>
  <si>
    <t xml:space="preserve">Tier2</t>
  </si>
  <si>
    <t xml:space="preserve">Tier3</t>
  </si>
  <si>
    <t xml:space="preserve">Tier4</t>
  </si>
  <si>
    <t xml:space="preserve">Months</t>
  </si>
  <si>
    <t xml:space="preserve">All</t>
  </si>
  <si>
    <t xml:space="preserve">(none)</t>
  </si>
  <si>
    <t xml:space="preserve">Volume</t>
  </si>
  <si>
    <t xml:space="preserve">Commodity</t>
  </si>
  <si>
    <t xml:space="preserve">Fuel Rate</t>
  </si>
  <si>
    <t xml:space="preserve">Demand</t>
  </si>
  <si>
    <t xml:space="preserve">Surcharge</t>
  </si>
  <si>
    <t xml:space="preserve">RecPt Index Adj</t>
  </si>
  <si>
    <t xml:space="preserve">DelPt Index Adj</t>
  </si>
  <si>
    <t xml:space="preserve">Receipt Basis</t>
  </si>
  <si>
    <t xml:space="preserve">IF-NNG/VENT Basis Mid</t>
  </si>
  <si>
    <t xml:space="preserve">Delivery Basis</t>
  </si>
  <si>
    <t xml:space="preserve">NGI/CHI. GATE Basis Mid</t>
  </si>
  <si>
    <t xml:space="preserve">Region</t>
  </si>
  <si>
    <t xml:space="preserve">Receipt Index</t>
  </si>
  <si>
    <t xml:space="preserve">IF-NNG/Vent Index Mid</t>
  </si>
  <si>
    <t xml:space="preserve">Delivery Index</t>
  </si>
  <si>
    <t xml:space="preserve">CHI./N/BORDER Index Mid</t>
  </si>
  <si>
    <t xml:space="preserve">Central</t>
  </si>
  <si>
    <t xml:space="preserve">Receipt Omicron</t>
  </si>
  <si>
    <t xml:space="preserve">NG_OMICRON_5</t>
  </si>
  <si>
    <t xml:space="preserve">Delivery Omicron</t>
  </si>
  <si>
    <t xml:space="preserve">NG_OMICRON_11</t>
  </si>
  <si>
    <t xml:space="preserve">Include Variable GRI (Y/N)</t>
  </si>
  <si>
    <t xml:space="preserve">Correlation Col</t>
  </si>
  <si>
    <t xml:space="preserve">N</t>
  </si>
  <si>
    <t xml:space="preserve">Comments</t>
  </si>
  <si>
    <t xml:space="preserve">This is a test comment</t>
  </si>
  <si>
    <t xml:space="preserve">Monchy</t>
  </si>
  <si>
    <t xml:space="preserve">IF-MONCHY Basis Mid</t>
  </si>
  <si>
    <t xml:space="preserve">IF-MONCHY Index Mid</t>
  </si>
  <si>
    <t xml:space="preserve">MidCon</t>
  </si>
  <si>
    <t xml:space="preserve">Permian</t>
  </si>
  <si>
    <t xml:space="preserve">IF-NGPL/MIDCON Basis Mid</t>
  </si>
  <si>
    <t xml:space="preserve">IF-ELPO/PERMIAN Basis Mid</t>
  </si>
  <si>
    <t xml:space="preserve">IF-NGPL/MIDCON Index Mid</t>
  </si>
  <si>
    <t xml:space="preserve">IF-ELPO/PERMIAN Index Mid</t>
  </si>
  <si>
    <t xml:space="preserve">NG_OMICRON_3</t>
  </si>
  <si>
    <t xml:space="preserve">NG_OMICRON_4</t>
  </si>
  <si>
    <t xml:space="preserve">Entered 2/13</t>
  </si>
  <si>
    <t xml:space="preserve">Harper</t>
  </si>
  <si>
    <t xml:space="preserve">IF-HARPER Basis Mid</t>
  </si>
  <si>
    <t xml:space="preserve">IF-HARPER Index Mid</t>
  </si>
  <si>
    <t xml:space="preserve">Entered 10/26/01</t>
  </si>
  <si>
    <t xml:space="preserve">PGT</t>
  </si>
  <si>
    <t xml:space="preserve">Kingsgate</t>
  </si>
  <si>
    <t xml:space="preserve">Malin</t>
  </si>
  <si>
    <t xml:space="preserve">CGPR-KINGSGATE Basis Mid</t>
  </si>
  <si>
    <t xml:space="preserve">NGI-MALIN Basis Mid</t>
  </si>
  <si>
    <t xml:space="preserve">CGPR-KINGSGATE Index Mid</t>
  </si>
  <si>
    <t xml:space="preserve">NGI-MALIN Index Mid</t>
  </si>
  <si>
    <t xml:space="preserve">West/Grigsby</t>
  </si>
  <si>
    <t xml:space="preserve">NG_OMICRON_9</t>
  </si>
  <si>
    <t xml:space="preserve">NG_OMICRON_15</t>
  </si>
  <si>
    <t xml:space="preserve">EPNG</t>
  </si>
  <si>
    <t xml:space="preserve">ELPO/SJ</t>
  </si>
  <si>
    <t xml:space="preserve">Valero</t>
  </si>
  <si>
    <t xml:space="preserve">9E3X</t>
  </si>
  <si>
    <t xml:space="preserve">IF-ELPO/SJ Basis Mid</t>
  </si>
  <si>
    <t xml:space="preserve">IF-WAHA-TX Basis Mid</t>
  </si>
  <si>
    <t xml:space="preserve">IF-ELPO/SJ Index Mid</t>
  </si>
  <si>
    <t xml:space="preserve">IF-WAHA-TX Index Mid</t>
  </si>
  <si>
    <t xml:space="preserve">West/Holst</t>
  </si>
  <si>
    <t xml:space="preserve">PGE</t>
  </si>
  <si>
    <t xml:space="preserve">PGE/Topock</t>
  </si>
  <si>
    <t xml:space="preserve">PGE City Gate</t>
  </si>
  <si>
    <t xml:space="preserve">0202BON007</t>
  </si>
  <si>
    <t xml:space="preserve">NGI-SOBDR-PG&amp;E Basis Mid</t>
  </si>
  <si>
    <t xml:space="preserve">NGI-PGE/CG Basis Mid</t>
  </si>
  <si>
    <t xml:space="preserve">NGI-SOBDR-PG&amp;E Index Mid</t>
  </si>
  <si>
    <t xml:space="preserve">NGI-PGE/CG Index Mid</t>
  </si>
  <si>
    <t xml:space="preserve">Entered 12/12</t>
  </si>
  <si>
    <t xml:space="preserve">Kern River Station</t>
  </si>
  <si>
    <t xml:space="preserve">0202BOF016</t>
  </si>
  <si>
    <t xml:space="preserve">Entered 2/15/01</t>
  </si>
  <si>
    <t xml:space="preserve">0202BON009</t>
  </si>
  <si>
    <t xml:space="preserve">Apr,May,Jun,Jul,Aug,Sep,Oct,Dec</t>
  </si>
  <si>
    <t xml:space="preserve">Nov</t>
  </si>
  <si>
    <t xml:space="preserve">West/Allen</t>
  </si>
  <si>
    <t xml:space="preserve">Entered 04/10</t>
  </si>
  <si>
    <t xml:space="preserve">KERN</t>
  </si>
  <si>
    <t xml:space="preserve">NWPL Rockies</t>
  </si>
  <si>
    <t xml:space="preserve">Socal</t>
  </si>
  <si>
    <t xml:space="preserve">(See LongTerm84 Sheet)</t>
  </si>
  <si>
    <t xml:space="preserve">IF-NWPL_ROCKY_M Basis Mid</t>
  </si>
  <si>
    <t xml:space="preserve">NGI-SOCAL Basis Mid</t>
  </si>
  <si>
    <t xml:space="preserve">IF-NWPL_ROCKY_M Index Mid</t>
  </si>
  <si>
    <t xml:space="preserve">NGI-SOCAL Index Mid</t>
  </si>
  <si>
    <t xml:space="preserve">West/ERMIS</t>
  </si>
  <si>
    <t xml:space="preserve">Y</t>
  </si>
  <si>
    <t xml:space="preserve">(See LongTerm85 Sheet)</t>
  </si>
  <si>
    <t xml:space="preserve">(See LongTerm86 Sheet)</t>
  </si>
  <si>
    <t xml:space="preserve">(See LongTerm87 Sheet)</t>
  </si>
  <si>
    <t xml:space="preserve">CGT</t>
  </si>
  <si>
    <t xml:space="preserve">Rayne</t>
  </si>
  <si>
    <t xml:space="preserve">Leach</t>
  </si>
  <si>
    <t xml:space="preserve">IF-COLGUL/RAYNE Basis Mid</t>
  </si>
  <si>
    <t xml:space="preserve">IF-CGT/APPALAC Basis Mid</t>
  </si>
  <si>
    <t xml:space="preserve">IF-COLGUL/RAYNE Index Mid</t>
  </si>
  <si>
    <t xml:space="preserve">IF-CGT/APPALAC Index Mid</t>
  </si>
  <si>
    <t xml:space="preserve">East</t>
  </si>
  <si>
    <t xml:space="preserve">NG_OMICRON_1</t>
  </si>
  <si>
    <t xml:space="preserve">NG_OMICRON_7</t>
  </si>
  <si>
    <t xml:space="preserve">Onshore</t>
  </si>
  <si>
    <t xml:space="preserve">IF-COLGULF/LA Basis Mid</t>
  </si>
  <si>
    <t xml:space="preserve">IF-COLGULF/LA Index Mid</t>
  </si>
  <si>
    <t xml:space="preserve">CGLF</t>
  </si>
  <si>
    <t xml:space="preserve">FGT</t>
  </si>
  <si>
    <t xml:space="preserve">FGT/Zone 1</t>
  </si>
  <si>
    <t xml:space="preserve">FGT/MKT</t>
  </si>
  <si>
    <t xml:space="preserve">IF-FGT/Z1 Basis Mid</t>
  </si>
  <si>
    <t xml:space="preserve">IF-FGT/MKT Basis Mid</t>
  </si>
  <si>
    <t xml:space="preserve">IF-FGT/Z1 Index Mid</t>
  </si>
  <si>
    <t xml:space="preserve">IF-FGT/MKT Index Mid</t>
  </si>
  <si>
    <t xml:space="preserve">NG_OMICRON_12</t>
  </si>
  <si>
    <t xml:space="preserve">Entered 11/2</t>
  </si>
  <si>
    <t xml:space="preserve">FGT/Zone 2</t>
  </si>
  <si>
    <t xml:space="preserve">IF-FGT/Z2 Basis Mid</t>
  </si>
  <si>
    <t xml:space="preserve">IF-FGT/Z2 Index Mid</t>
  </si>
  <si>
    <t xml:space="preserve">FGT/Zone 3</t>
  </si>
  <si>
    <t xml:space="preserve">IF-FGT/Z3 Basis Mid</t>
  </si>
  <si>
    <t xml:space="preserve">IF-FGT/Z3 Index Mid</t>
  </si>
  <si>
    <t xml:space="preserve">Jan, Feb, Mar, Apr, Oct, Nov, Dec</t>
  </si>
  <si>
    <t xml:space="preserve">May, Jun, Jul, Aug, Sep</t>
  </si>
  <si>
    <t xml:space="preserve">Oct</t>
  </si>
  <si>
    <t xml:space="preserve">Nov, Dec, Jan, Feb, Mar</t>
  </si>
  <si>
    <t xml:space="preserve">Apr</t>
  </si>
  <si>
    <t xml:space="preserve">Entered 2/14</t>
  </si>
  <si>
    <t xml:space="preserve">IF-TRANSCO/Z1</t>
  </si>
  <si>
    <t xml:space="preserve">IF-TRANSCO/Z6</t>
  </si>
  <si>
    <t xml:space="preserve">all</t>
  </si>
  <si>
    <t xml:space="preserve">IF-TRANSCO/Z1 Basis Mid</t>
  </si>
  <si>
    <t xml:space="preserve">IF-TRANSCO/Z6 Basis Mid</t>
  </si>
  <si>
    <t xml:space="preserve">IF-TRANSCO/Z1 Index Mid</t>
  </si>
  <si>
    <t xml:space="preserve">IF-TRANSCO/Z6 Index Mid</t>
  </si>
  <si>
    <t xml:space="preserve">NG_OMICRON_2</t>
  </si>
  <si>
    <t xml:space="preserve">NG_OMICRON_13</t>
  </si>
  <si>
    <t xml:space="preserve">Entered 4/27</t>
  </si>
  <si>
    <t xml:space="preserve">IF-TRANSCO/Z2</t>
  </si>
  <si>
    <t xml:space="preserve">IF-TRANSCO/Z2 Basis Mid</t>
  </si>
  <si>
    <t xml:space="preserve">IF-TRANSCO/Z2 Index Mid</t>
  </si>
  <si>
    <t xml:space="preserve">IF-TRANSCO/Z3</t>
  </si>
  <si>
    <t xml:space="preserve">IF-TRANSCO/Z3 Basis Mid</t>
  </si>
  <si>
    <t xml:space="preserve">IF-TRANSCO/Z3 Index Mid</t>
  </si>
  <si>
    <t xml:space="preserve">Tetco/ETX</t>
  </si>
  <si>
    <t xml:space="preserve">CNG/Appalach</t>
  </si>
  <si>
    <t xml:space="preserve">Dec,Jan,Feb,Mar</t>
  </si>
  <si>
    <t xml:space="preserve">IF-TETCO/ETX Basis Mid</t>
  </si>
  <si>
    <t xml:space="preserve">IF-CNG/APPALACH Basis Mid</t>
  </si>
  <si>
    <t xml:space="preserve">IF-TETCO/ETX Index Mid</t>
  </si>
  <si>
    <t xml:space="preserve">IF-CNG/APPALACH Index Mid</t>
  </si>
  <si>
    <t xml:space="preserve">ETX</t>
  </si>
  <si>
    <t xml:space="preserve">TCO</t>
  </si>
  <si>
    <t xml:space="preserve">Entered 10/17/01</t>
  </si>
  <si>
    <t xml:space="preserve">Tetco/ELA</t>
  </si>
  <si>
    <t xml:space="preserve">IF-TETCO/ELA Basis Mid</t>
  </si>
  <si>
    <t xml:space="preserve">IF-TETCO/ELA Index Mid</t>
  </si>
  <si>
    <t xml:space="preserve">ELA</t>
  </si>
  <si>
    <t xml:space="preserve">Tetco/WLA</t>
  </si>
  <si>
    <t xml:space="preserve">IF-TETCO/WLA Basis Mid</t>
  </si>
  <si>
    <t xml:space="preserve">IF-TETCO/WLA Index Mid</t>
  </si>
  <si>
    <t xml:space="preserve">WLA</t>
  </si>
  <si>
    <t xml:space="preserve">Tetco/STX</t>
  </si>
  <si>
    <t xml:space="preserve">Tetco/M3</t>
  </si>
  <si>
    <t xml:space="preserve">IF-TETCO/STX Basis Mid</t>
  </si>
  <si>
    <t xml:space="preserve">IF-TETCO/M3 Basis Mid</t>
  </si>
  <si>
    <t xml:space="preserve">IF-TETCO/STX Index Mid</t>
  </si>
  <si>
    <t xml:space="preserve">IF-TETCO/M3 Index Mid</t>
  </si>
  <si>
    <t xml:space="preserve">NG_OMICRON_6</t>
  </si>
  <si>
    <t xml:space="preserve">Tetco STX</t>
  </si>
  <si>
    <t xml:space="preserve">Tetco M3</t>
  </si>
  <si>
    <t xml:space="preserve">Tetco ETX</t>
  </si>
  <si>
    <t xml:space="preserve"> ELA</t>
  </si>
  <si>
    <t xml:space="preserve">Parkway</t>
  </si>
  <si>
    <t xml:space="preserve">Niagara</t>
  </si>
  <si>
    <t xml:space="preserve">Nov,Dec,Jan,Feb,Mar</t>
  </si>
  <si>
    <t xml:space="preserve">CGPR-PARKWAY Basis Mid</t>
  </si>
  <si>
    <t xml:space="preserve">CGPR-NIAGARA Basis Mid</t>
  </si>
  <si>
    <t xml:space="preserve">CGPR-PARKWAY Index Mid</t>
  </si>
  <si>
    <t xml:space="preserve">CGPR-NIAGARA Index Mid</t>
  </si>
  <si>
    <t xml:space="preserve">Ontario</t>
  </si>
  <si>
    <t xml:space="preserve">LONGTERMPLREPORT</t>
  </si>
  <si>
    <t xml:space="preserve">Type</t>
  </si>
  <si>
    <t xml:space="preserve">LongTermPLReport</t>
  </si>
  <si>
    <t xml:space="preserve">Group</t>
  </si>
  <si>
    <t xml:space="preserve">CENTRAL REGION</t>
  </si>
  <si>
    <t xml:space="preserve">Leg</t>
  </si>
  <si>
    <t xml:space="preserve">Receipt Pt </t>
  </si>
  <si>
    <t xml:space="preserve">Asset Value</t>
  </si>
  <si>
    <t xml:space="preserve">Demand Costs</t>
  </si>
  <si>
    <t xml:space="preserve">Today's P&amp;L</t>
  </si>
  <si>
    <t xml:space="preserve">Yesterday's P&amp;L</t>
  </si>
  <si>
    <t xml:space="preserve">P&amp;L Change</t>
  </si>
  <si>
    <t xml:space="preserve">Intrinsic Value</t>
  </si>
  <si>
    <t xml:space="preserve">Extrinsic Value</t>
  </si>
  <si>
    <t xml:space="preserve">Change in Price</t>
  </si>
  <si>
    <t xml:space="preserve">Change in Basis</t>
  </si>
  <si>
    <t xml:space="preserve">Change in Index</t>
  </si>
  <si>
    <t xml:space="preserve">Change in Fuel</t>
  </si>
  <si>
    <t xml:space="preserve">Change in Var Charges</t>
  </si>
  <si>
    <t xml:space="preserve">Delta</t>
  </si>
  <si>
    <t xml:space="preserve">Gamma</t>
  </si>
  <si>
    <t xml:space="preserve">Theta</t>
  </si>
  <si>
    <t xml:space="preserve">Vega</t>
  </si>
  <si>
    <t xml:space="preserve">Rho</t>
  </si>
  <si>
    <t xml:space="preserve">Drift</t>
  </si>
  <si>
    <t xml:space="preserve">Path</t>
  </si>
  <si>
    <t xml:space="preserve">Delivery Pt</t>
  </si>
  <si>
    <t xml:space="preserve">REGION SUB-TOTAL</t>
  </si>
  <si>
    <t xml:space="preserve">EAST  REGION</t>
  </si>
  <si>
    <t xml:space="preserve">ONTARIO REGION</t>
  </si>
  <si>
    <t xml:space="preserve">WEST/ALLEN REGION</t>
  </si>
  <si>
    <t xml:space="preserve">WEST/ERMIS REGION</t>
  </si>
  <si>
    <t xml:space="preserve">WEST/GRIGSBY REGION</t>
  </si>
  <si>
    <t xml:space="preserve">WEST/HOLST REGION</t>
  </si>
  <si>
    <t xml:space="preserve">Database Connection Parameters</t>
  </si>
  <si>
    <t xml:space="preserve">Curve Parameters</t>
  </si>
  <si>
    <t xml:space="preserve">Database Name</t>
  </si>
  <si>
    <t xml:space="preserve">EGSPROD32</t>
  </si>
  <si>
    <t xml:space="preserve">Fetch As Of</t>
  </si>
  <si>
    <t xml:space="preserve">UserId</t>
  </si>
  <si>
    <t xml:space="preserve">MHAYS_PC</t>
  </si>
  <si>
    <t xml:space="preserve">Start Date</t>
  </si>
  <si>
    <t xml:space="preserve">Password</t>
  </si>
  <si>
    <t xml:space="preserve">End Date</t>
  </si>
  <si>
    <t xml:space="preserve">Fetch</t>
  </si>
  <si>
    <t xml:space="preserve">Last Updated</t>
  </si>
  <si>
    <t xml:space="preserve">Curve Date</t>
  </si>
  <si>
    <t xml:space="preserve">Curve Code</t>
  </si>
  <si>
    <t xml:space="preserve">NG</t>
  </si>
  <si>
    <t xml:space="preserve">INT</t>
  </si>
  <si>
    <t xml:space="preserve">NG_OMICRON_8</t>
  </si>
  <si>
    <t xml:space="preserve">NG_OMICRON_10</t>
  </si>
  <si>
    <t xml:space="preserve">IF-NNG/VENT</t>
  </si>
  <si>
    <t xml:space="preserve">NGI/CHI. GATE</t>
  </si>
  <si>
    <t xml:space="preserve">CGPR-NIAGARA</t>
  </si>
  <si>
    <t xml:space="preserve">CGPR-PARKWAY</t>
  </si>
  <si>
    <t xml:space="preserve">CGPR-CHIPPAWA</t>
  </si>
  <si>
    <t xml:space="preserve">CGPR-ST.CLAIR</t>
  </si>
  <si>
    <t xml:space="preserve">CGPR-FARWELL</t>
  </si>
  <si>
    <t xml:space="preserve">CHI./N/BORDER</t>
  </si>
  <si>
    <t xml:space="preserve">IF-NGPLTXOK</t>
  </si>
  <si>
    <t xml:space="preserve">IF-MONCHY</t>
  </si>
  <si>
    <t xml:space="preserve">IF-NGPL/LA</t>
  </si>
  <si>
    <t xml:space="preserve">IF-NGPL/MIDCON</t>
  </si>
  <si>
    <t xml:space="preserve">IF-NORAM/WEST</t>
  </si>
  <si>
    <t xml:space="preserve">IF-TRUNKL/LA</t>
  </si>
  <si>
    <t xml:space="preserve">MICH/CONS</t>
  </si>
  <si>
    <t xml:space="preserve">IF-ELPO/SJ</t>
  </si>
  <si>
    <t xml:space="preserve">IF-ELPO/PERMIAN</t>
  </si>
  <si>
    <t xml:space="preserve">NGI-MOJAVE</t>
  </si>
  <si>
    <t xml:space="preserve">IF-WAHA-TX</t>
  </si>
  <si>
    <t xml:space="preserve">NGI-MALIN</t>
  </si>
  <si>
    <t xml:space="preserve">NGI-SOCAL</t>
  </si>
  <si>
    <t xml:space="preserve">CGPR-KINGSGATE</t>
  </si>
  <si>
    <t xml:space="preserve">IF-NWPL_ROCKY_M</t>
  </si>
  <si>
    <t xml:space="preserve">NGI-PGE/CG</t>
  </si>
  <si>
    <t xml:space="preserve">NGI-SOBDR-PG&amp;E</t>
  </si>
  <si>
    <t xml:space="preserve">NGI-SOCAL(KRS)</t>
  </si>
  <si>
    <t xml:space="preserve">IF-COLGUL/RAYNE</t>
  </si>
  <si>
    <t xml:space="preserve">IF-CGT/APPALAC</t>
  </si>
  <si>
    <t xml:space="preserve">IF-COLGULF/LA</t>
  </si>
  <si>
    <t xml:space="preserve">IF-HEHUB</t>
  </si>
  <si>
    <t xml:space="preserve">IF-TENN/TX</t>
  </si>
  <si>
    <t xml:space="preserve">PORTLAND</t>
  </si>
  <si>
    <t xml:space="preserve">NW STANF/1ST-GD</t>
  </si>
  <si>
    <t xml:space="preserve">IF-CNG/APPALACH</t>
  </si>
  <si>
    <t xml:space="preserve">WY/WELLHEAD</t>
  </si>
  <si>
    <t xml:space="preserve">WY/MKTZONE</t>
  </si>
  <si>
    <t xml:space="preserve">IF-FGT/MKT</t>
  </si>
  <si>
    <t xml:space="preserve">IF-FGT/Z1</t>
  </si>
  <si>
    <t xml:space="preserve">IF-FGT/Z2</t>
  </si>
  <si>
    <t xml:space="preserve">IF-FGT/Z3</t>
  </si>
  <si>
    <t xml:space="preserve">IF-TETCO/ETX</t>
  </si>
  <si>
    <t xml:space="preserve">IF-TETCO/ELA</t>
  </si>
  <si>
    <t xml:space="preserve">IF-TETCO/WLA</t>
  </si>
  <si>
    <t xml:space="preserve">IF-TETCO/STX</t>
  </si>
  <si>
    <t xml:space="preserve">IF-TETCO/M3</t>
  </si>
  <si>
    <t xml:space="preserve">IF-HARPER</t>
  </si>
  <si>
    <t xml:space="preserve">Curve Type</t>
  </si>
  <si>
    <t xml:space="preserve">PR</t>
  </si>
  <si>
    <t xml:space="preserve">AA</t>
  </si>
  <si>
    <t xml:space="preserve">VO</t>
  </si>
  <si>
    <t xml:space="preserve">Book Code</t>
  </si>
  <si>
    <t xml:space="preserve">P</t>
  </si>
  <si>
    <t xml:space="preserve">R</t>
  </si>
  <si>
    <t xml:space="preserve">D</t>
  </si>
  <si>
    <t xml:space="preserve">I</t>
  </si>
  <si>
    <t xml:space="preserve">Curve Descrip</t>
  </si>
  <si>
    <t xml:space="preserve">Nymex Mid</t>
  </si>
  <si>
    <t xml:space="preserve">Libor AA</t>
  </si>
  <si>
    <t xml:space="preserve">Nymex Vol</t>
  </si>
  <si>
    <t xml:space="preserve">IF-NNG/VENT Index Mid</t>
  </si>
  <si>
    <t xml:space="preserve">NGI/CHI. GATE Index Mid</t>
  </si>
  <si>
    <t xml:space="preserve">CGPR-CHIPPAWA Basis Mid</t>
  </si>
  <si>
    <t xml:space="preserve">CGPR-CHIPPAWA Index Mid</t>
  </si>
  <si>
    <t xml:space="preserve">CGPR-ST.CLAIR Basis Mid</t>
  </si>
  <si>
    <t xml:space="preserve">CGPR-ST.CLAIR Index Mid</t>
  </si>
  <si>
    <t xml:space="preserve">CGPR-FARWELL Basis Mid</t>
  </si>
  <si>
    <t xml:space="preserve">CGPR-FARWELL Index Mid</t>
  </si>
  <si>
    <t xml:space="preserve">CHI./N/BORDER Basis Mid</t>
  </si>
  <si>
    <t xml:space="preserve">IF-NGPLTXOK Basis Mid</t>
  </si>
  <si>
    <t xml:space="preserve">IF-NGPLTXOK Index Mid</t>
  </si>
  <si>
    <t xml:space="preserve">IF-NGPL/LA Basis Mid</t>
  </si>
  <si>
    <t xml:space="preserve">IF-NGPL/LA Index Mid</t>
  </si>
  <si>
    <t xml:space="preserve">IF-NORAM/WEST Basis Mid</t>
  </si>
  <si>
    <t xml:space="preserve">IF-NORAM/WEST Index Mid</t>
  </si>
  <si>
    <t xml:space="preserve">IF-TRUNKL/LA Basis Mid</t>
  </si>
  <si>
    <t xml:space="preserve">IF-TRUNKL/LA Index Mid</t>
  </si>
  <si>
    <t xml:space="preserve">MICH/CONS Basis Mid</t>
  </si>
  <si>
    <t xml:space="preserve">MICH/CONS Index Mid</t>
  </si>
  <si>
    <t xml:space="preserve">NGI-MOJAVE Basis Mid</t>
  </si>
  <si>
    <t xml:space="preserve">NGI-MOJAVE Index Mid</t>
  </si>
  <si>
    <t xml:space="preserve">NGI-SOCAL(KRS) Basis Mid</t>
  </si>
  <si>
    <t xml:space="preserve">NGI-SOCAL(KRS) Index Mid</t>
  </si>
  <si>
    <t xml:space="preserve">IF-HEHUB Basis Mid</t>
  </si>
  <si>
    <t xml:space="preserve">IF-HEHUB Index Mid</t>
  </si>
  <si>
    <t xml:space="preserve">IF-TENN/TX Basis Mid</t>
  </si>
  <si>
    <t xml:space="preserve">IF-TENN/TX Index Mid</t>
  </si>
  <si>
    <t xml:space="preserve">PORTLAND Basis Mid</t>
  </si>
  <si>
    <t xml:space="preserve">PORTLAND Index Mid</t>
  </si>
  <si>
    <t xml:space="preserve">NW STANF/1ST-GD Basis Mid</t>
  </si>
  <si>
    <t xml:space="preserve">NW STANF/1ST-GD Index Mid</t>
  </si>
  <si>
    <t xml:space="preserve">WY/Wellhead Basis Mid</t>
  </si>
  <si>
    <t xml:space="preserve">Wy/Wellhead Index Mid</t>
  </si>
  <si>
    <t xml:space="preserve">WY/MktZone Basis Mid</t>
  </si>
  <si>
    <t xml:space="preserve">Wy/MktZone Index Mid</t>
  </si>
  <si>
    <t xml:space="preserve">IF-EPSJ(BONDAD)</t>
  </si>
  <si>
    <t xml:space="preserve">Tenn Z0</t>
  </si>
  <si>
    <t xml:space="preserve">IF-TENN/LA</t>
  </si>
  <si>
    <t xml:space="preserve">M1</t>
  </si>
  <si>
    <t xml:space="preserve">Tenn Z1</t>
  </si>
  <si>
    <t xml:space="preserve">Texas Gas SL</t>
  </si>
  <si>
    <t xml:space="preserve">CNG-S</t>
  </si>
  <si>
    <t xml:space="preserve">IF-ANR/LA</t>
  </si>
  <si>
    <t xml:space="preserve">IF-NNG/TOK</t>
  </si>
  <si>
    <t xml:space="preserve">IF-TGT/ZSL</t>
  </si>
  <si>
    <t xml:space="preserve">IF-ANR/OK</t>
  </si>
  <si>
    <t xml:space="preserve">NGI-CHI. GATE</t>
  </si>
  <si>
    <t xml:space="preserve">IF-PAN/TX/OK</t>
  </si>
  <si>
    <t xml:space="preserve">NGI-MICH_CG</t>
  </si>
  <si>
    <t xml:space="preserve">IF-NGPL/STX</t>
  </si>
  <si>
    <t xml:space="preserve">WY/Wellhead</t>
  </si>
  <si>
    <t xml:space="preserve">MIDCON</t>
  </si>
  <si>
    <t xml:space="preserve">Park</t>
  </si>
  <si>
    <t xml:space="preserve">St Clair</t>
  </si>
  <si>
    <t xml:space="preserve">Midcon</t>
  </si>
  <si>
    <t xml:space="preserve">M3</t>
  </si>
  <si>
    <t xml:space="preserve">IF-TENN/Z6</t>
  </si>
  <si>
    <t xml:space="preserve">Tenn Z5</t>
  </si>
  <si>
    <t xml:space="preserve">Tenn Z3</t>
  </si>
  <si>
    <t xml:space="preserve">Texas Gas Z4</t>
  </si>
  <si>
    <t xml:space="preserve">Leidy</t>
  </si>
  <si>
    <t xml:space="preserve">MICH_CG-GD</t>
  </si>
  <si>
    <t xml:space="preserve">IF-NNG/DEMARCAT</t>
  </si>
  <si>
    <t xml:space="preserve">CGPR-DAWN</t>
  </si>
  <si>
    <t xml:space="preserve">WY/MktZone</t>
  </si>
  <si>
    <t xml:space="preserve">FGTZ</t>
  </si>
  <si>
    <t xml:space="preserve">PGE City</t>
  </si>
  <si>
    <t xml:space="preserve">Kern</t>
  </si>
  <si>
    <t xml:space="preserve">Niag</t>
  </si>
  <si>
    <t xml:space="preserve">Niagara/Parkway</t>
  </si>
  <si>
    <t xml:space="preserve">Farwell</t>
  </si>
  <si>
    <t xml:space="preserve">IF-COLGULF/RAYNE</t>
  </si>
  <si>
    <t xml:space="preserve">LONGTERMPLREPORTTEMPLATE</t>
  </si>
  <si>
    <t xml:space="preserve">LongTerm</t>
  </si>
  <si>
    <t xml:space="preserve">TEMPLATE</t>
  </si>
  <si>
    <t xml:space="preserve">REPORT</t>
  </si>
  <si>
    <t xml:space="preserve">Totals</t>
  </si>
  <si>
    <t xml:space="preserve">SUMMARY BY POINT</t>
  </si>
  <si>
    <t xml:space="preserve">TOTAL LONG AND SHORT POSITIONS</t>
  </si>
  <si>
    <t xml:space="preserve">Long</t>
  </si>
  <si>
    <t xml:space="preserve">Short</t>
  </si>
  <si>
    <t xml:space="preserve">West/Ermis</t>
  </si>
  <si>
    <t xml:space="preserve">Denver</t>
  </si>
  <si>
    <t xml:space="preserve">Notional Positions</t>
  </si>
  <si>
    <t xml:space="preserve">Delta Positions</t>
  </si>
  <si>
    <t xml:space="preserve">Topock</t>
  </si>
  <si>
    <t xml:space="preserve">Citygate</t>
  </si>
  <si>
    <t xml:space="preserve">SJ to Valero</t>
  </si>
  <si>
    <t xml:space="preserve">ADJUSTED DELTA POSITIONS</t>
  </si>
  <si>
    <t xml:space="preserve">BASIS HEDGES</t>
  </si>
  <si>
    <t xml:space="preserve">DELTA POSITONS + HEDGES</t>
  </si>
  <si>
    <t xml:space="preserve">Price</t>
  </si>
  <si>
    <t xml:space="preserve">Basis A</t>
  </si>
  <si>
    <t xml:space="preserve">Basis B</t>
  </si>
  <si>
    <t xml:space="preserve">PRICE</t>
  </si>
  <si>
    <t xml:space="preserve">SAN JUAN</t>
  </si>
  <si>
    <t xml:space="preserve">WAHA</t>
  </si>
  <si>
    <t xml:space="preserve">TOTALS</t>
  </si>
  <si>
    <t xml:space="preserve">Number</t>
  </si>
  <si>
    <t xml:space="preserve">Pipe</t>
  </si>
  <si>
    <t xml:space="preserve">Location</t>
  </si>
  <si>
    <t xml:space="preserve">Basis</t>
  </si>
  <si>
    <t xml:space="preserve">Index</t>
  </si>
  <si>
    <t xml:space="preserve">Kingsgate to Malin</t>
  </si>
  <si>
    <t xml:space="preserve">ELPO/SJ to Valero</t>
  </si>
  <si>
    <t xml:space="preserve">Theretical Net Position (Theretical Delta + Hedges)</t>
  </si>
  <si>
    <t xml:space="preserve">Vent</t>
  </si>
  <si>
    <t xml:space="preserve">Perm</t>
  </si>
  <si>
    <t xml:space="preserve">Deal # 1</t>
  </si>
  <si>
    <t xml:space="preserve">Deal # 2</t>
  </si>
  <si>
    <t xml:space="preserve">Deal # 72</t>
  </si>
  <si>
    <t xml:space="preserve">Deal # 25</t>
  </si>
  <si>
    <t xml:space="preserve">Deal # 26</t>
  </si>
  <si>
    <t xml:space="preserve">Deal # 62</t>
  </si>
  <si>
    <t xml:space="preserve">Deal 107</t>
  </si>
  <si>
    <t xml:space="preserve">Deal 108</t>
  </si>
  <si>
    <t xml:space="preserve">TOTAL</t>
  </si>
  <si>
    <t xml:space="preserve">From Model</t>
  </si>
  <si>
    <t xml:space="preserve">Hedges</t>
  </si>
  <si>
    <t xml:space="preserve">Chic</t>
  </si>
  <si>
    <t xml:space="preserve">ELPO/PERM</t>
  </si>
  <si>
    <t xml:space="preserve">NGPL/MIDCON</t>
  </si>
  <si>
    <t xml:space="preserve">Harper </t>
  </si>
  <si>
    <t xml:space="preserve">LONGTERMPATH</t>
  </si>
  <si>
    <t xml:space="preserve">Record Number</t>
  </si>
  <si>
    <t xml:space="preserve">O U T P U T   S U M M A R Y</t>
  </si>
  <si>
    <t xml:space="preserve">I N T E R M E D I A T E   C A L C U L A T I O N S</t>
  </si>
  <si>
    <t xml:space="preserve">I N T E R M E D I A T E   G R E E K S</t>
  </si>
  <si>
    <t xml:space="preserve">P R I O R    D A Y   C A L C U L A T I O N S</t>
  </si>
  <si>
    <t xml:space="preserve">Roll Schedule</t>
  </si>
  <si>
    <t xml:space="preserve">Prior Day</t>
  </si>
  <si>
    <t xml:space="preserve">Change</t>
  </si>
  <si>
    <t xml:space="preserve">Receipt Basis Column</t>
  </si>
  <si>
    <t xml:space="preserve">Nymex Curve</t>
  </si>
  <si>
    <t xml:space="preserve">Month</t>
  </si>
  <si>
    <t xml:space="preserve">Tier</t>
  </si>
  <si>
    <t xml:space="preserve">Total Intrinsic</t>
  </si>
  <si>
    <t xml:space="preserve">Receipt Index Column</t>
  </si>
  <si>
    <t xml:space="preserve">Nymex Column</t>
  </si>
  <si>
    <t xml:space="preserve">Valued as Of</t>
  </si>
  <si>
    <t xml:space="preserve">Total Extrinsic</t>
  </si>
  <si>
    <t xml:space="preserve">Delivery Basis Column</t>
  </si>
  <si>
    <t xml:space="preserve">Libor Curve</t>
  </si>
  <si>
    <t xml:space="preserve">NPV</t>
  </si>
  <si>
    <t xml:space="preserve">Total MMBtus</t>
  </si>
  <si>
    <t xml:space="preserve">Delivery Index Column</t>
  </si>
  <si>
    <t xml:space="preserve">Libor Column</t>
  </si>
  <si>
    <t xml:space="preserve">Price Change</t>
  </si>
  <si>
    <t xml:space="preserve">Extrinsic $/MMBtu</t>
  </si>
  <si>
    <t xml:space="preserve">Omicron R</t>
  </si>
  <si>
    <t xml:space="preserve">Omicron NG</t>
  </si>
  <si>
    <t xml:space="preserve">Basis Change</t>
  </si>
  <si>
    <t xml:space="preserve">Avg Correlation</t>
  </si>
  <si>
    <t xml:space="preserve">Omicron D</t>
  </si>
  <si>
    <t xml:space="preserve">Omicron NG Col</t>
  </si>
  <si>
    <t xml:space="preserve">R / D Basis</t>
  </si>
  <si>
    <t xml:space="preserve">Index Change</t>
  </si>
  <si>
    <t xml:space="preserve">R / D Index</t>
  </si>
  <si>
    <t xml:space="preserve">Status Messages</t>
  </si>
  <si>
    <t xml:space="preserve">Fuel Change</t>
  </si>
  <si>
    <t xml:space="preserve">Variable GRI Factor</t>
  </si>
  <si>
    <t xml:space="preserve">Fuel</t>
  </si>
  <si>
    <t xml:space="preserve">Variable Change</t>
  </si>
  <si>
    <t xml:space="preserve">Var Charges</t>
  </si>
  <si>
    <t xml:space="preserve">DB Page</t>
  </si>
  <si>
    <t xml:space="preserve">Record Ndx</t>
  </si>
  <si>
    <t xml:space="preserve">Intrinsic</t>
  </si>
  <si>
    <t xml:space="preserve">Extrinsic</t>
  </si>
  <si>
    <t xml:space="preserve">R / D Value</t>
  </si>
  <si>
    <t xml:space="preserve">Expiration Date</t>
  </si>
  <si>
    <t xml:space="preserve">PV Vol</t>
  </si>
  <si>
    <t xml:space="preserve">Receipt Price</t>
  </si>
  <si>
    <t xml:space="preserve">Delivery Price</t>
  </si>
  <si>
    <t xml:space="preserve">Monthly PV'ed Intrinsic Value</t>
  </si>
  <si>
    <t xml:space="preserve">Monthly PV'ed Extrinsic (Time) Value</t>
  </si>
  <si>
    <t xml:space="preserve">Receipt Price Volatility</t>
  </si>
  <si>
    <t xml:space="preserve">Delivery Price Volatility</t>
  </si>
  <si>
    <t xml:space="preserve">Correlation</t>
  </si>
  <si>
    <t xml:space="preserve">Monthly Daily Opt Price</t>
  </si>
  <si>
    <t xml:space="preserve">Delta Value</t>
  </si>
  <si>
    <t xml:space="preserve">Gamma Value</t>
  </si>
  <si>
    <t xml:space="preserve">Theta Value</t>
  </si>
  <si>
    <t xml:space="preserve">Vega Value</t>
  </si>
  <si>
    <t xml:space="preserve">Rho Value</t>
  </si>
  <si>
    <t xml:space="preserve">Drift Value</t>
  </si>
  <si>
    <t xml:space="preserve">Valid Month Factor</t>
  </si>
  <si>
    <t xml:space="preserve">Days In Month</t>
  </si>
  <si>
    <t xml:space="preserve">Days Until First of Month</t>
  </si>
  <si>
    <t xml:space="preserve">Days From Yesterday</t>
  </si>
  <si>
    <t xml:space="preserve">Nymex</t>
  </si>
  <si>
    <t xml:space="preserve">Variable Transport Charges</t>
  </si>
  <si>
    <t xml:space="preserve">Fuel Cost</t>
  </si>
  <si>
    <t xml:space="preserve">Libor</t>
  </si>
  <si>
    <t xml:space="preserve">Discount Factor</t>
  </si>
  <si>
    <t xml:space="preserve">PV Monthly Fuel Vol</t>
  </si>
  <si>
    <t xml:space="preserve">Omicron (NG)</t>
  </si>
  <si>
    <t xml:space="preserve">Omicron (Receipt)</t>
  </si>
  <si>
    <t xml:space="preserve">Omicron (Delivery)</t>
  </si>
  <si>
    <t xml:space="preserve">Receipt Price Change</t>
  </si>
  <si>
    <t xml:space="preserve">Delivery Price Change</t>
  </si>
  <si>
    <t xml:space="preserve">Receipt Volatility Change</t>
  </si>
  <si>
    <t xml:space="preserve">Delivery Volatility Change</t>
  </si>
  <si>
    <t xml:space="preserve">Receipt Gamma</t>
  </si>
  <si>
    <t xml:space="preserve">Delivery Gamma</t>
  </si>
  <si>
    <t xml:space="preserve">Cross Gamma</t>
  </si>
  <si>
    <t xml:space="preserve">Annualized Theta</t>
  </si>
  <si>
    <t xml:space="preserve">Receipt Vega</t>
  </si>
  <si>
    <t xml:space="preserve">Delivery Vega</t>
  </si>
  <si>
    <t xml:space="preserve">Receipt Delta</t>
  </si>
  <si>
    <t xml:space="preserve">Delivery Delta</t>
  </si>
  <si>
    <t xml:space="preserve">Receipt (Fuel Adjusted)</t>
  </si>
  <si>
    <t xml:space="preserve">Delta P/L</t>
  </si>
  <si>
    <t xml:space="preserve">Current</t>
  </si>
  <si>
    <t xml:space="preserve">Prior</t>
  </si>
  <si>
    <t xml:space="preserve">Demand Rates</t>
  </si>
  <si>
    <t xml:space="preserve">Reservation</t>
  </si>
  <si>
    <t xml:space="preserve">Variable GRI Table</t>
  </si>
  <si>
    <t xml:space="preserve">Year</t>
  </si>
  <si>
    <t xml:space="preserve">Rate</t>
  </si>
  <si>
    <t xml:space="preserve">General Description</t>
  </si>
  <si>
    <t xml:space="preserve">This spreadsheet allow a user to fetch multiple curves at once from the designated database.</t>
  </si>
  <si>
    <t xml:space="preserve">Overview Of Operation</t>
  </si>
  <si>
    <t xml:space="preserve">1) Decide what curves are needed for a particular project/evaluation</t>
  </si>
  <si>
    <t xml:space="preserve">2) Add each curve, via the "Add Curves" button on the "Fetch" sheet, to the list of curves to be fetched.</t>
  </si>
  <si>
    <t xml:space="preserve">3) Update the curves via the "Update Curves" button.</t>
  </si>
  <si>
    <t xml:space="preserve">How Do I ?</t>
  </si>
  <si>
    <t xml:space="preserve">Use the curve information in my project?</t>
  </si>
  <si>
    <t xml:space="preserve">The easiest way to access the curve information is using the VLOOKUP function.  The date would be the first argument, the named range "CurveTbl" the second, and the offset of the desired curve the third.</t>
  </si>
  <si>
    <t xml:space="preserve">Add a new curve to be fetched?</t>
  </si>
  <si>
    <t xml:space="preserve">Add a new curve via the "Add Curve" button on the "Fetch" sheet.  A dialog with pop-up with a list of valid curves.  Select the desired curve and press the "Next" button on the dialog sheet.  Continue adding curve by specifying the curve code, curve type, and curve description.  You may also specify a format to apply to the display of the new curve, if desired.</t>
  </si>
  <si>
    <t xml:space="preserve">Only update specific curves?</t>
  </si>
  <si>
    <t xml:space="preserve">Only those curves with a "Y" coded in the "Fetch" row on the "Fetch" sheet will be updated during the update process.  The only exception to this is if the desired start date for curves differs from the starting date already in the CurveTbl.  If there is a difference, all curves, except "Trader Quotes", those coded with a "T" in the "Fetch" row, will be overwritten.  This protects the user from rolling off a month at the start of the valuation but forgetting to set all the automatic curves to "Y" for the "Fetch" row, and thus using inaccurate curves.  Since "Trader Quotes" are not fetched, there is no provision to update these except through a manual process.  If the start date changes, and there are existing "Trader Quotes", a verify indicator appears above the "Trader Quote" and it is up to the user to update appropriately.</t>
  </si>
  <si>
    <t xml:space="preserve">Prevent a "Trader Quote" from being updated along with the rest of the quotes?</t>
  </si>
  <si>
    <t xml:space="preserve">See the discussion above.</t>
  </si>
  <si>
    <t xml:space="preserve">Add a new curve code?</t>
  </si>
  <si>
    <t xml:space="preserve">Use the "Add…" button to add a new curve code.  Specify "Curve Code" in the pop-up window along with a Code and Description.</t>
  </si>
  <si>
    <t xml:space="preserve">Add a new curve type?</t>
  </si>
  <si>
    <t xml:space="preserve">Use the "Add…" button to add a new curve code.  Specify "Curve Type" in the pop-up window along with a Code and Description.</t>
  </si>
  <si>
    <t xml:space="preserve">Add a new book code?</t>
  </si>
  <si>
    <t xml:space="preserve">Use the "Add…" button to add a new curve code.  Specify "Book Code" in the pop-up window along with a Code and Description.</t>
  </si>
  <si>
    <t xml:space="preserve">Detailed Operation</t>
  </si>
  <si>
    <t xml:space="preserve">"Fetch" Sheet</t>
  </si>
  <si>
    <t xml:space="preserve">* All user inputs are in blue</t>
  </si>
  <si>
    <t xml:space="preserve">* Specify appropriate "Database Name", "UserID", and "Password" for access to the curves database</t>
  </si>
  <si>
    <t xml:space="preserve">* Enter the three dates "Fetch as of", "Start Date", and "End Date".  The first date, "Fetch as of" designates the date of the curves to be fetched.  "Start Date" and "End Date" control the range of values that are returned.</t>
  </si>
  <si>
    <t xml:space="preserve">* Press the "Update Curves" button to access the database and refresh the desired curves.</t>
  </si>
  <si>
    <t xml:space="preserve">* Press the "Add Curve" button to add a curve to the fetch list.</t>
  </si>
  <si>
    <t xml:space="preserve">* Use the row labeled "Fetch" to control whether a curve is actually refreshed when the "Update Curves" button is pressed.  For curves that are manually input (ex: trader curves), turn the setting to "N".  For all others that should be updated, leave as "Y".  Code "Trader Quotes" with a "T".  These are never updated, except manually.  See discussion above under "How Do I?".</t>
  </si>
  <si>
    <t xml:space="preserve">* To delete a curve, simply remove the information in the "Curve Code", "Curve Type", and "Book Code" rows for that curve.  For ease of use and operation, keep all curves in contiguous columns.</t>
  </si>
  <si>
    <t xml:space="preserve">"Codes" Sheet</t>
  </si>
  <si>
    <t xml:space="preserve">* The information contained in each of the tables on this sheet is used by the "Add Curves" button on the "Fetch" sheet to determine, when adding a new curve, what "Curve Code", "Curve Type", and "Book Code" to use for the new curve.</t>
  </si>
  <si>
    <t xml:space="preserve">* For proper program operation, it is imperitive that new codes, and types be entered via the "Add Curve/Book Code, Curve Type" button and that the "Code" information entered in the associated window be correct for the particular item being entered.   It is also helpful to enter a meaningful description since this is the information actually displayed via the "Add Curve" button when adding a new curve to the fetch list.</t>
  </si>
  <si>
    <t xml:space="preserve">C U R V E   C O D E S</t>
  </si>
  <si>
    <t xml:space="preserve">B O O K   C O D E S</t>
  </si>
  <si>
    <t xml:space="preserve">C U R V E   T Y P E S</t>
  </si>
  <si>
    <t xml:space="preserve">Description</t>
  </si>
  <si>
    <t xml:space="preserve">Code</t>
  </si>
  <si>
    <t xml:space="preserve">Nymex Natural Gas</t>
  </si>
  <si>
    <t xml:space="preserve">P - Price</t>
  </si>
  <si>
    <t xml:space="preserve">PR - Mid Price</t>
  </si>
  <si>
    <t xml:space="preserve">Libor AA Interest Rate</t>
  </si>
  <si>
    <t xml:space="preserve">D - Basis</t>
  </si>
  <si>
    <t xml:space="preserve">BP - Bid Price</t>
  </si>
  <si>
    <t xml:space="preserve">BP</t>
  </si>
  <si>
    <t xml:space="preserve">IF Auga Dulce</t>
  </si>
  <si>
    <t xml:space="preserve">IF-AGUA DULCE</t>
  </si>
  <si>
    <t xml:space="preserve">I - Index</t>
  </si>
  <si>
    <t xml:space="preserve">AP - Ask Price</t>
  </si>
  <si>
    <t xml:space="preserve">AP</t>
  </si>
  <si>
    <t xml:space="preserve">IF ANR Oklahoma</t>
  </si>
  <si>
    <t xml:space="preserve">R - Rate</t>
  </si>
  <si>
    <t xml:space="preserve">AA - Libor AA</t>
  </si>
  <si>
    <t xml:space="preserve">IF Arkla/Ark,OK-50%</t>
  </si>
  <si>
    <t xml:space="preserve">IF-ARKLA/ARK-OK</t>
  </si>
  <si>
    <t xml:space="preserve">F - Foreign Exchange</t>
  </si>
  <si>
    <t xml:space="preserve">F</t>
  </si>
  <si>
    <t xml:space="preserve">VO - Mid Volatility</t>
  </si>
  <si>
    <t xml:space="preserve">IF CNG Appalachia</t>
  </si>
  <si>
    <t xml:space="preserve">BV - Bid Volatility</t>
  </si>
  <si>
    <t xml:space="preserve">BV</t>
  </si>
  <si>
    <t xml:space="preserve">IF CIG Rocky Mountains</t>
  </si>
  <si>
    <t xml:space="preserve">IF-CIG/RKYMTN</t>
  </si>
  <si>
    <t xml:space="preserve">AV - Ask Volatility</t>
  </si>
  <si>
    <t xml:space="preserve">AV</t>
  </si>
  <si>
    <t xml:space="preserve">IF Columbia Gas Appalachia</t>
  </si>
  <si>
    <t xml:space="preserve">FX - Foreign Exchange</t>
  </si>
  <si>
    <t xml:space="preserve">FX</t>
  </si>
  <si>
    <t xml:space="preserve">IF Columbia Gulf Louisiana</t>
  </si>
  <si>
    <t xml:space="preserve">IR - Interest Rate</t>
  </si>
  <si>
    <t xml:space="preserve">IR</t>
  </si>
  <si>
    <t xml:space="preserve">IF EL Paso Permian</t>
  </si>
  <si>
    <t xml:space="preserve">IF EL Paso San Juan</t>
  </si>
  <si>
    <t xml:space="preserve">IF FGT Zone 1</t>
  </si>
  <si>
    <t xml:space="preserve">IF FGT Zone 2</t>
  </si>
  <si>
    <t xml:space="preserve">IF FGT Zone 3</t>
  </si>
  <si>
    <t xml:space="preserve">IF Henry Hub</t>
  </si>
  <si>
    <t xml:space="preserve">IF HPL Ship Channel</t>
  </si>
  <si>
    <t xml:space="preserve">IF-HPL/SHPCHAN</t>
  </si>
  <si>
    <t xml:space="preserve">IF KATY Hub East Texas</t>
  </si>
  <si>
    <t xml:space="preserve">IF-KATY</t>
  </si>
  <si>
    <t xml:space="preserve">IF Kern River Wyoming</t>
  </si>
  <si>
    <t xml:space="preserve">IF-KERN/RIVER</t>
  </si>
  <si>
    <t xml:space="preserve">IF Koch South Louisiana</t>
  </si>
  <si>
    <t xml:space="preserve">IF-KOCH</t>
  </si>
  <si>
    <t xml:space="preserve">IF Koch Texas</t>
  </si>
  <si>
    <t xml:space="preserve">IF-KOCH/TX</t>
  </si>
  <si>
    <t xml:space="preserve">IF NGPL Mid Continent</t>
  </si>
  <si>
    <t xml:space="preserve">IF NGPL Louisiana</t>
  </si>
  <si>
    <t xml:space="preserve">IF NGPL TX-OK</t>
  </si>
  <si>
    <t xml:space="preserve">IF NGPL South Texas</t>
  </si>
  <si>
    <t xml:space="preserve">IF-NGPL/TX</t>
  </si>
  <si>
    <t xml:space="preserve">IF NorAm East</t>
  </si>
  <si>
    <t xml:space="preserve">IF-NORAM/EAST</t>
  </si>
  <si>
    <t xml:space="preserve">IF NorAm West</t>
  </si>
  <si>
    <t xml:space="preserve">IF NNG TX-OK-KS</t>
  </si>
  <si>
    <t xml:space="preserve">IF NNG Demarcation</t>
  </si>
  <si>
    <t xml:space="preserve">IF NNG Ventura</t>
  </si>
  <si>
    <t xml:space="preserve">IF NWPL Rocky Mountains</t>
  </si>
  <si>
    <t xml:space="preserve">IF NWPL Canadian Border</t>
  </si>
  <si>
    <t xml:space="preserve">IF-NTHWST/CANBR</t>
  </si>
  <si>
    <t xml:space="preserve">IF ONG Oklahoma</t>
  </si>
  <si>
    <t xml:space="preserve">IF-ONG/OKLAHOMA</t>
  </si>
  <si>
    <t xml:space="preserve">IF PEPL TX-OK</t>
  </si>
  <si>
    <t xml:space="preserve">IF Questar Rocky Mountains</t>
  </si>
  <si>
    <t xml:space="preserve">IF-QUESTAR</t>
  </si>
  <si>
    <t xml:space="preserve">IF Sonat Louisiana</t>
  </si>
  <si>
    <t xml:space="preserve">IF-SONAT/LA</t>
  </si>
  <si>
    <t xml:space="preserve">IF Tenn LA Zone 1 (500 Line)</t>
  </si>
  <si>
    <t xml:space="preserve">IF Tenn LA Zone 1 (800 Line)</t>
  </si>
  <si>
    <t xml:space="preserve">IF-TENN/LA_OFF</t>
  </si>
  <si>
    <t xml:space="preserve">IF Tenn TX Zone 0 (100 Line)</t>
  </si>
  <si>
    <t xml:space="preserve">IF-TENN/Z5</t>
  </si>
  <si>
    <t xml:space="preserve">IF TETCO East Louisiana</t>
  </si>
  <si>
    <t xml:space="preserve">IF TETCO West Louisiana</t>
  </si>
  <si>
    <t xml:space="preserve">IF TETCO East Texas</t>
  </si>
  <si>
    <t xml:space="preserve">IF TETCO South Texas</t>
  </si>
  <si>
    <t xml:space="preserve">IF TETCO Zone M3 (Market)</t>
  </si>
  <si>
    <t xml:space="preserve">IF TGT Zone 1</t>
  </si>
  <si>
    <t xml:space="preserve">IF-TGT/Z1</t>
  </si>
  <si>
    <t xml:space="preserve">IF TGT South Louisiana</t>
  </si>
  <si>
    <t xml:space="preserve">IF Transco Zone 1  (30)</t>
  </si>
  <si>
    <t xml:space="preserve">IF Transco Zone 2  (45)</t>
  </si>
  <si>
    <t xml:space="preserve">IF Transco Zone 3  (50,62,65)</t>
  </si>
  <si>
    <t xml:space="preserve">IF Transco Miss/Ala  (85)</t>
  </si>
  <si>
    <t xml:space="preserve">IF-TRANSCO/Z4</t>
  </si>
  <si>
    <t xml:space="preserve">IF-TRANSCO/Z5</t>
  </si>
  <si>
    <t xml:space="preserve">IF Transco Zone 6 (Market)</t>
  </si>
  <si>
    <t xml:space="preserve">IF TW Permian</t>
  </si>
  <si>
    <t xml:space="preserve">IF-TW/PERMIAN</t>
  </si>
  <si>
    <t xml:space="preserve">IF Trunkline Louisiana</t>
  </si>
  <si>
    <t xml:space="preserve">IF Trunkline Texas</t>
  </si>
  <si>
    <t xml:space="preserve">IF-TRUNKL/TX</t>
  </si>
  <si>
    <t xml:space="preserve">IF Valero Texas</t>
  </si>
  <si>
    <t xml:space="preserve">IF-VALERO/TX</t>
  </si>
  <si>
    <t xml:space="preserve">IF Williams TX-OK-KS</t>
  </si>
  <si>
    <t xml:space="preserve">IF-WNG/TOK</t>
  </si>
  <si>
    <t xml:space="preserve">NGI Chicago City Gate</t>
  </si>
  <si>
    <t xml:space="preserve">NGI Michigan ConsoIidated</t>
  </si>
  <si>
    <t xml:space="preserve">NGI Malin (North Cal Border)</t>
  </si>
  <si>
    <t xml:space="preserve">NGI Socal (South Cal Border)</t>
  </si>
  <si>
    <t xml:space="preserve">Alberta Aeco Basis</t>
  </si>
  <si>
    <t xml:space="preserve">CGPR-AECO/BASIS</t>
  </si>
  <si>
    <t xml:space="preserve">Waha Hub West Texas</t>
  </si>
  <si>
    <t xml:space="preserve">WAHA KCBT</t>
  </si>
  <si>
    <t xml:space="preserve">GD Niagara (1st of Month)</t>
  </si>
  <si>
    <t xml:space="preserve">NIAGARA-GDM</t>
  </si>
  <si>
    <t xml:space="preserve">FGT City Gate</t>
  </si>
  <si>
    <t xml:space="preserve">IF-FGT/MKTAREA</t>
  </si>
  <si>
    <t xml:space="preserve">MB Ethane</t>
  </si>
  <si>
    <t xml:space="preserve">C2GC</t>
  </si>
  <si>
    <t xml:space="preserve">MB Ethane/Propane Mix</t>
  </si>
  <si>
    <t xml:space="preserve">EPMX</t>
  </si>
  <si>
    <t xml:space="preserve">Conway Ethane</t>
  </si>
  <si>
    <t xml:space="preserve">C2CN</t>
  </si>
  <si>
    <t xml:space="preserve">MB TET Propane</t>
  </si>
  <si>
    <t xml:space="preserve">C3GC</t>
  </si>
  <si>
    <t xml:space="preserve">MB NTET Propane</t>
  </si>
  <si>
    <t xml:space="preserve">C3XT</t>
  </si>
  <si>
    <t xml:space="preserve">Conway Propane</t>
  </si>
  <si>
    <t xml:space="preserve">C3CN</t>
  </si>
  <si>
    <t xml:space="preserve">MB TET N-Butane</t>
  </si>
  <si>
    <t xml:space="preserve">NC4</t>
  </si>
  <si>
    <t xml:space="preserve">MB NTET N-Butane</t>
  </si>
  <si>
    <t xml:space="preserve">NBXT</t>
  </si>
  <si>
    <t xml:space="preserve">Conway N-Butane</t>
  </si>
  <si>
    <t xml:space="preserve">NBCN</t>
  </si>
  <si>
    <t xml:space="preserve">MB TET Iso-Butane</t>
  </si>
  <si>
    <t xml:space="preserve">IC4</t>
  </si>
  <si>
    <t xml:space="preserve">MB NTET Iso-Butane</t>
  </si>
  <si>
    <t xml:space="preserve">IBXT</t>
  </si>
  <si>
    <t xml:space="preserve">Conway Iso-Butane</t>
  </si>
  <si>
    <t xml:space="preserve">IBCN</t>
  </si>
  <si>
    <t xml:space="preserve">MB TET Nat Gasoline</t>
  </si>
  <si>
    <t xml:space="preserve">C5+</t>
  </si>
  <si>
    <t xml:space="preserve">MB NTET Nat Gasoline</t>
  </si>
  <si>
    <t xml:space="preserve">C5XT</t>
  </si>
  <si>
    <t xml:space="preserve">Conway Nat Gasoline</t>
  </si>
  <si>
    <t xml:space="preserve">C5CN</t>
  </si>
  <si>
    <t xml:space="preserve">WTI Crude Oil</t>
  </si>
  <si>
    <t xml:space="preserve">WTI</t>
  </si>
  <si>
    <t xml:space="preserve">#6 Oil 1%S New York</t>
  </si>
  <si>
    <t xml:space="preserve">61NY</t>
  </si>
  <si>
    <t xml:space="preserve">#6 Oil 2%S New York</t>
  </si>
  <si>
    <t xml:space="preserve">62NY</t>
  </si>
  <si>
    <t xml:space="preserve">#6 Oil 1%S Gulf coast</t>
  </si>
  <si>
    <t xml:space="preserve">61GC</t>
  </si>
  <si>
    <t xml:space="preserve">#6 Oil 3%S Gulf coast</t>
  </si>
  <si>
    <t xml:space="preserve">63GC</t>
  </si>
  <si>
    <t xml:space="preserve">#2 Oil New York</t>
  </si>
  <si>
    <t xml:space="preserve">NYHO</t>
  </si>
  <si>
    <t xml:space="preserve">#2 Oil Gulf Coast</t>
  </si>
  <si>
    <t xml:space="preserve">GCHO</t>
  </si>
  <si>
    <t xml:space="preserve">Unleaded Gasoline</t>
  </si>
  <si>
    <t xml:space="preserve">HU</t>
  </si>
  <si>
    <t xml:space="preserve">Methanol Gulf Coast</t>
  </si>
  <si>
    <t xml:space="preserve">MEOH</t>
  </si>
  <si>
    <t xml:space="preserve">MTBE Gulf coast</t>
  </si>
  <si>
    <t xml:space="preserve">MTBE</t>
  </si>
  <si>
    <t xml:space="preserve">Omi Vol - LA/Offshore South</t>
  </si>
  <si>
    <t xml:space="preserve">Omi Vol - HSC/Katy/ETX</t>
  </si>
  <si>
    <t xml:space="preserve">Omi Vol - OK/Mid Continent</t>
  </si>
  <si>
    <t xml:space="preserve">Omi Vol - Permian/San Juan</t>
  </si>
  <si>
    <t xml:space="preserve">Omi Vol - NNG Demrc/Vent</t>
  </si>
  <si>
    <t xml:space="preserve">Omi Vol - NE Market Area</t>
  </si>
  <si>
    <t xml:space="preserve">Omi Vol - Appalachia</t>
  </si>
  <si>
    <t xml:space="preserve">Omi Vol - Rocky Mountains</t>
  </si>
  <si>
    <t xml:space="preserve">Omi Vol - Alberta/Sumas</t>
  </si>
  <si>
    <t xml:space="preserve">Omi Vol - Sithe (ANR/LA)</t>
  </si>
  <si>
    <t xml:space="preserve">Canada/US Dollar</t>
  </si>
  <si>
    <t xml:space="preserve">CAD/USD</t>
  </si>
  <si>
    <t xml:space="preserve">IF-CNG/NORTH</t>
  </si>
  <si>
    <t xml:space="preserve">DJ BASIN </t>
  </si>
  <si>
    <t xml:space="preserve">DJ/BASIN/CIG</t>
  </si>
  <si>
    <t xml:space="preserve">IF NGPL Harper</t>
  </si>
  <si>
    <t xml:space="preserve">IF-NGPL/HARPER</t>
  </si>
  <si>
    <t xml:space="preserve">IF NGPL OK NW ( GAGE)</t>
  </si>
  <si>
    <t xml:space="preserve">IF-NGPL/OK-NW</t>
  </si>
  <si>
    <t xml:space="preserve">ML7 CITYGATE (CRYSTAL FALLS)</t>
  </si>
  <si>
    <t xml:space="preserve">ML7/CG</t>
  </si>
  <si>
    <t xml:space="preserve">IF Texas City Loop</t>
  </si>
  <si>
    <t xml:space="preserve">IF-TX CITY LOOP</t>
  </si>
  <si>
    <t xml:space="preserve">Trade #</t>
  </si>
  <si>
    <t xml:space="preserve">Price Book</t>
  </si>
  <si>
    <t xml:space="preserve">Basis Book</t>
  </si>
  <si>
    <t xml:space="preserve">CPID</t>
  </si>
  <si>
    <t xml:space="preserve">TRANS-CENT-PRC</t>
  </si>
  <si>
    <t xml:space="preserve">TRANS-CENT-BAS</t>
  </si>
  <si>
    <t xml:space="preserve">TRANS-WEST-PRC</t>
  </si>
  <si>
    <t xml:space="preserve">TRANS-WEST-BAS</t>
  </si>
  <si>
    <t xml:space="preserve">LT-TRANS-WE-PRC</t>
  </si>
  <si>
    <t xml:space="preserve">LT-TRANS-WE-BAS</t>
  </si>
  <si>
    <t xml:space="preserve">TRANS-EAST-PRC</t>
  </si>
  <si>
    <t xml:space="preserve">TRANS-EAST-BAS</t>
  </si>
  <si>
    <t xml:space="preserve">Fetch Curves Through</t>
  </si>
  <si>
    <t xml:space="preserve">Increment Days</t>
  </si>
  <si>
    <t xml:space="preserve">Todo</t>
  </si>
  <si>
    <t xml:space="preserve">Correlation File</t>
  </si>
  <si>
    <t xml:space="preserve">O:\Transport\TransportY2K\Correlation Mids.xls</t>
  </si>
  <si>
    <t xml:space="preserve">  (full path name with extention)</t>
  </si>
  <si>
    <t xml:space="preserve">Complete Add/Edit/Copy</t>
  </si>
  <si>
    <t xml:space="preserve">Page to Import</t>
  </si>
  <si>
    <t xml:space="preserve">Grabthis</t>
  </si>
  <si>
    <t xml:space="preserve">   (name of page from correlation file)</t>
  </si>
  <si>
    <t xml:space="preserve">Additional reports?</t>
  </si>
  <si>
    <t xml:space="preserve">Cell of First Curve</t>
  </si>
  <si>
    <t xml:space="preserve">B1</t>
  </si>
  <si>
    <t xml:space="preserve">   (cell address of first curve name on import page - ie: A4)</t>
  </si>
  <si>
    <t xml:space="preserve">Imbedded help</t>
  </si>
  <si>
    <t xml:space="preserve">Figure out error where code modify breaks RollToPrior procedure</t>
  </si>
  <si>
    <t xml:space="preserve">Documentation</t>
  </si>
  <si>
    <t xml:space="preserve">Correlation Table</t>
  </si>
  <si>
    <t xml:space="preserve">Variable GRI Charges</t>
  </si>
  <si>
    <t xml:space="preserve">Fix calcs that end prior to end of the month</t>
  </si>
  <si>
    <t xml:space="preserve">Date Ranges for Position Reports</t>
  </si>
  <si>
    <t xml:space="preserve">Region List and P&amp;L Rpt Configuration</t>
  </si>
  <si>
    <t xml:space="preserve">Position 1</t>
  </si>
  <si>
    <t xml:space="preserve">Region List</t>
  </si>
  <si>
    <t xml:space="preserve">Include in P&amp;L (Y/N)</t>
  </si>
  <si>
    <t xml:space="preserve">P&amp;L Group</t>
  </si>
  <si>
    <t xml:space="preserve">Position 2</t>
  </si>
  <si>
    <t xml:space="preserve">Position 3</t>
  </si>
  <si>
    <t xml:space="preserve">1</t>
  </si>
  <si>
    <t xml:space="preserve">Position 4</t>
  </si>
  <si>
    <t xml:space="preserve">Position 5</t>
  </si>
  <si>
    <t xml:space="preserve">Position 6</t>
  </si>
  <si>
    <t xml:space="preserve">East </t>
  </si>
  <si>
    <t xml:space="preserve">Position 7</t>
  </si>
  <si>
    <t xml:space="preserve">Position 8</t>
  </si>
  <si>
    <t xml:space="preserve">Position 9</t>
  </si>
  <si>
    <t xml:space="preserve">Position 10</t>
  </si>
  <si>
    <t xml:space="preserve">Position 11</t>
  </si>
  <si>
    <t xml:space="preserve">Position 12</t>
  </si>
  <si>
    <t xml:space="preserve">Position 13</t>
  </si>
  <si>
    <t xml:space="preserve">Position Export File</t>
  </si>
  <si>
    <t xml:space="preserve">O:\Transport\Position.TXT</t>
  </si>
  <si>
    <t xml:space="preserve">RiskTrac Export</t>
  </si>
  <si>
    <t xml:space="preserve">O:\Transport\Transport.TXT</t>
  </si>
  <si>
    <t xml:space="preserve">Show Value On:</t>
  </si>
  <si>
    <t xml:space="preserve">Average Correlation</t>
  </si>
  <si>
    <t xml:space="preserve">Trader</t>
  </si>
  <si>
    <t xml:space="preserve">CENTRAL</t>
  </si>
  <si>
    <t xml:space="preserve">NB</t>
  </si>
  <si>
    <t xml:space="preserve">Cuilla</t>
  </si>
  <si>
    <t xml:space="preserve">9,300-15,000</t>
  </si>
  <si>
    <t xml:space="preserve">NGPL</t>
  </si>
  <si>
    <t xml:space="preserve">NGPL/TX OK</t>
  </si>
  <si>
    <t xml:space="preserve">NGPL/LA</t>
  </si>
  <si>
    <t xml:space="preserve">ANR</t>
  </si>
  <si>
    <t xml:space="preserve">Consumers</t>
  </si>
  <si>
    <t xml:space="preserve">WEST</t>
  </si>
  <si>
    <t xml:space="preserve">Holst</t>
  </si>
  <si>
    <t xml:space="preserve">SJ/Permian</t>
  </si>
  <si>
    <t xml:space="preserve">Stanfield</t>
  </si>
  <si>
    <t xml:space="preserve">Allen</t>
  </si>
  <si>
    <t xml:space="preserve">CityGate</t>
  </si>
  <si>
    <t xml:space="preserve">EAST</t>
  </si>
  <si>
    <t xml:space="preserve">Keavey</t>
  </si>
  <si>
    <t xml:space="preserve">FGT Field</t>
  </si>
  <si>
    <t xml:space="preserve">FGT Market</t>
  </si>
  <si>
    <t xml:space="preserve">ALL REGIONS TOTAL EXTRINSIC</t>
  </si>
</sst>
</file>

<file path=xl/styles.xml><?xml version="1.0" encoding="utf-8"?>
<styleSheet xmlns="http://schemas.openxmlformats.org/spreadsheetml/2006/main">
  <numFmts count="39">
    <numFmt numFmtId="164" formatCode="General"/>
    <numFmt numFmtId="165" formatCode="[$-409]m/d/yyyy"/>
    <numFmt numFmtId="166" formatCode="[$-409]d\-mmm\-yy"/>
    <numFmt numFmtId="167" formatCode="#,##0_ ;[RED]\-#,##0\ "/>
    <numFmt numFmtId="168" formatCode="\$#,##0.0000_);&quot;($&quot;#,##0.0000\)"/>
    <numFmt numFmtId="169" formatCode="0.0000%"/>
    <numFmt numFmtId="170" formatCode="\$#,##0.00;[RED]&quot;-$&quot;#,##0.00"/>
    <numFmt numFmtId="171" formatCode="0"/>
    <numFmt numFmtId="172" formatCode="[$-409]d\-mmm"/>
    <numFmt numFmtId="173" formatCode="[$-409]#,##0_);[RED]\(#,##0\)"/>
    <numFmt numFmtId="174" formatCode="[$-409]mmm\-yy"/>
    <numFmt numFmtId="175" formatCode="\$#,##0;[RED]&quot;-$&quot;#,##0"/>
    <numFmt numFmtId="176" formatCode="\$#,##0.0000"/>
    <numFmt numFmtId="177" formatCode="0%"/>
    <numFmt numFmtId="178" formatCode="0.00%"/>
    <numFmt numFmtId="179" formatCode="_-* #,##0.00_-;\-* #,##0.00_-;_-* \-??_-;_-@_-"/>
    <numFmt numFmtId="180" formatCode="[$-409]#,##0_);\(#,##0\)"/>
    <numFmt numFmtId="181" formatCode="_-* #,##0_-;\-* #,##0_-;_-* \-??_-;_-@_-"/>
    <numFmt numFmtId="182" formatCode="0.00"/>
    <numFmt numFmtId="183" formatCode="[$-409]#,##0.00_);[RED]\(#,##0.00\)"/>
    <numFmt numFmtId="184" formatCode="#,##0.0_);[RED]\(#,##0.0\)"/>
    <numFmt numFmtId="185" formatCode="0.0_ ;[RED]\-0.0\ "/>
    <numFmt numFmtId="186" formatCode="_-* #,##0.0_-;\-* #,##0.0_-;_-* \-??_-;_-@_-"/>
    <numFmt numFmtId="187" formatCode="0.0"/>
    <numFmt numFmtId="188" formatCode="#,##0"/>
    <numFmt numFmtId="189" formatCode="_(* #,##0_);_(* \(#,##0\);_(* \-??_);_(@_)"/>
    <numFmt numFmtId="190" formatCode="\$#,##0.0000;[RED]&quot;-$&quot;#,##0.0000"/>
    <numFmt numFmtId="191" formatCode="\$#,##0"/>
    <numFmt numFmtId="192" formatCode="@"/>
    <numFmt numFmtId="193" formatCode="\$#,##0;&quot;-$&quot;#,##0"/>
    <numFmt numFmtId="194" formatCode="#,##0.0000"/>
    <numFmt numFmtId="195" formatCode="\$#,##0.000;[RED]&quot;-$&quot;#,##0.000"/>
    <numFmt numFmtId="196" formatCode="\$#,##0.00000;[RED]&quot;-$&quot;#,##0.00000"/>
    <numFmt numFmtId="197" formatCode="#,##0.00"/>
    <numFmt numFmtId="198" formatCode="\$#,##0.00"/>
    <numFmt numFmtId="199" formatCode="0.00000"/>
    <numFmt numFmtId="200" formatCode="&quot;$ &quot;#,##0;&quot;($ &quot;#,##0\)"/>
    <numFmt numFmtId="201" formatCode="\$#,##0_);[RED]&quot;($&quot;#,##0\)"/>
    <numFmt numFmtId="202" formatCode="\$#,##0.000"/>
  </numFmts>
  <fonts count="42">
    <font>
      <sz val="10"/>
      <name val="Arial"/>
      <family val="0"/>
    </font>
    <font>
      <sz val="10"/>
      <name val="Arial"/>
      <family val="0"/>
    </font>
    <font>
      <sz val="10"/>
      <name val="Arial"/>
      <family val="0"/>
    </font>
    <font>
      <sz val="10"/>
      <name val="Arial"/>
      <family val="0"/>
    </font>
    <font>
      <sz val="11"/>
      <name val="Arial"/>
      <family val="0"/>
    </font>
    <font>
      <b val="true"/>
      <sz val="20"/>
      <color rgb="FF0000FF"/>
      <name val="Arial"/>
      <family val="2"/>
    </font>
    <font>
      <b val="true"/>
      <sz val="12"/>
      <name val="Arial"/>
      <family val="2"/>
    </font>
    <font>
      <b val="true"/>
      <sz val="10"/>
      <name val="Arial"/>
      <family val="2"/>
    </font>
    <font>
      <sz val="10"/>
      <color rgb="FF0000FF"/>
      <name val="Arial"/>
      <family val="2"/>
    </font>
    <font>
      <b val="true"/>
      <sz val="10"/>
      <color rgb="FFFF0000"/>
      <name val="Arial"/>
      <family val="2"/>
    </font>
    <font>
      <b val="true"/>
      <sz val="10"/>
      <color rgb="FFFFFFFF"/>
      <name val="Arial"/>
      <family val="2"/>
    </font>
    <font>
      <b val="true"/>
      <sz val="18"/>
      <color rgb="FFFFFFFF"/>
      <name val="Arial"/>
      <family val="2"/>
    </font>
    <font>
      <i val="true"/>
      <sz val="12"/>
      <name val="Arial"/>
      <family val="2"/>
    </font>
    <font>
      <b val="true"/>
      <sz val="18"/>
      <name val="Arial"/>
      <family val="2"/>
    </font>
    <font>
      <b val="true"/>
      <sz val="12"/>
      <color rgb="FF0000FF"/>
      <name val="Arial"/>
      <family val="2"/>
    </font>
    <font>
      <sz val="12"/>
      <color rgb="FF0000FF"/>
      <name val="Arial"/>
      <family val="2"/>
    </font>
    <font>
      <b val="true"/>
      <sz val="10"/>
      <color rgb="FF333333"/>
      <name val="Arial"/>
      <family val="2"/>
    </font>
    <font>
      <b val="true"/>
      <sz val="10"/>
      <color rgb="FF000000"/>
      <name val="Arial"/>
      <family val="2"/>
    </font>
    <font>
      <sz val="10"/>
      <color rgb="FF333333"/>
      <name val="Arial"/>
      <family val="2"/>
    </font>
    <font>
      <b val="true"/>
      <i val="true"/>
      <sz val="14"/>
      <name val="Arial"/>
      <family val="2"/>
    </font>
    <font>
      <sz val="10"/>
      <color rgb="FF000000"/>
      <name val="Arial"/>
      <family val="2"/>
    </font>
    <font>
      <sz val="10"/>
      <color rgb="FFC0C0C0"/>
      <name val="Arial"/>
      <family val="2"/>
    </font>
    <font>
      <sz val="10"/>
      <color rgb="FF969696"/>
      <name val="Arial"/>
      <family val="2"/>
    </font>
    <font>
      <sz val="8"/>
      <color rgb="FF000000"/>
      <name val="Tahoma"/>
      <family val="2"/>
    </font>
    <font>
      <sz val="9"/>
      <name val="Times New Roman"/>
      <family val="1"/>
    </font>
    <font>
      <sz val="10"/>
      <name val="Arial"/>
      <family val="2"/>
    </font>
    <font>
      <b val="true"/>
      <sz val="10"/>
      <color rgb="FFC0C0C0"/>
      <name val="Arial"/>
      <family val="2"/>
    </font>
    <font>
      <b val="true"/>
      <sz val="8"/>
      <name val="Arial"/>
      <family val="2"/>
    </font>
    <font>
      <sz val="8"/>
      <name val="Arial"/>
      <family val="2"/>
    </font>
    <font>
      <sz val="10"/>
      <name val="Times New Roman"/>
      <family val="1"/>
    </font>
    <font>
      <b val="true"/>
      <sz val="10"/>
      <name val="Times New Roman"/>
      <family val="1"/>
    </font>
    <font>
      <sz val="10"/>
      <color rgb="FF0000FF"/>
      <name val="Times New Roman"/>
      <family val="1"/>
    </font>
    <font>
      <b val="true"/>
      <sz val="12"/>
      <color rgb="FF008000"/>
      <name val="Arial"/>
      <family val="2"/>
    </font>
    <font>
      <b val="true"/>
      <sz val="10"/>
      <color rgb="FFFFFF00"/>
      <name val="Arial"/>
      <family val="2"/>
    </font>
    <font>
      <b val="true"/>
      <sz val="12"/>
      <color rgb="FF808080"/>
      <name val="Arial"/>
      <family val="2"/>
    </font>
    <font>
      <b val="true"/>
      <i val="true"/>
      <sz val="10"/>
      <color rgb="FF008000"/>
      <name val="Arial"/>
      <family val="2"/>
    </font>
    <font>
      <b val="true"/>
      <sz val="10"/>
      <color rgb="FF969696"/>
      <name val="Arial"/>
      <family val="2"/>
    </font>
    <font>
      <b val="true"/>
      <sz val="10"/>
      <color rgb="FF808080"/>
      <name val="Arial"/>
      <family val="2"/>
    </font>
    <font>
      <sz val="10"/>
      <color rgb="FF808080"/>
      <name val="Arial"/>
      <family val="2"/>
    </font>
    <font>
      <sz val="8"/>
      <color rgb="FF000000"/>
      <name val="Tahoma"/>
      <family val="0"/>
    </font>
    <font>
      <b val="true"/>
      <sz val="10"/>
      <color rgb="FF008000"/>
      <name val="Arial"/>
      <family val="2"/>
    </font>
    <font>
      <b val="true"/>
      <sz val="10"/>
      <color rgb="FF0000FF"/>
      <name val="Arial"/>
      <family val="2"/>
    </font>
  </fonts>
  <fills count="17">
    <fill>
      <patternFill patternType="none"/>
    </fill>
    <fill>
      <patternFill patternType="gray125"/>
    </fill>
    <fill>
      <patternFill patternType="solid">
        <fgColor rgb="FFEAEAEA"/>
        <bgColor rgb="FFCCECFF"/>
      </patternFill>
    </fill>
    <fill>
      <patternFill patternType="solid">
        <fgColor rgb="FFFFFF99"/>
        <bgColor rgb="FFFFFFCC"/>
      </patternFill>
    </fill>
    <fill>
      <patternFill patternType="solid">
        <fgColor rgb="FFFFFFFF"/>
        <bgColor rgb="FFFFFFCC"/>
      </patternFill>
    </fill>
    <fill>
      <patternFill patternType="solid">
        <fgColor rgb="FFCCFFCC"/>
        <bgColor rgb="FFDDFFDD"/>
      </patternFill>
    </fill>
    <fill>
      <patternFill patternType="solid">
        <fgColor rgb="FFC0C0C0"/>
        <bgColor rgb="FFCCCCFF"/>
      </patternFill>
    </fill>
    <fill>
      <patternFill patternType="solid">
        <fgColor rgb="FF808080"/>
        <bgColor rgb="FF969696"/>
      </patternFill>
    </fill>
    <fill>
      <patternFill patternType="solid">
        <fgColor rgb="FFCCECFF"/>
        <bgColor rgb="FFCCFFFF"/>
      </patternFill>
    </fill>
    <fill>
      <patternFill patternType="solid">
        <fgColor rgb="FFDDFFDD"/>
        <bgColor rgb="FFCCFFCC"/>
      </patternFill>
    </fill>
    <fill>
      <patternFill patternType="solid">
        <fgColor rgb="FFFFFFCC"/>
        <bgColor rgb="FFFFFFFF"/>
      </patternFill>
    </fill>
    <fill>
      <patternFill patternType="solid">
        <fgColor rgb="FFFFFF00"/>
        <bgColor rgb="FFFFCC00"/>
      </patternFill>
    </fill>
    <fill>
      <patternFill patternType="solid">
        <fgColor rgb="FFCCFFFF"/>
        <bgColor rgb="FFCCECFF"/>
      </patternFill>
    </fill>
    <fill>
      <patternFill patternType="solid">
        <fgColor rgb="FFFFCC99"/>
        <bgColor rgb="FFEAEAEA"/>
      </patternFill>
    </fill>
    <fill>
      <patternFill patternType="solid">
        <fgColor rgb="FF3366FF"/>
        <bgColor rgb="FF0066CC"/>
      </patternFill>
    </fill>
    <fill>
      <patternFill patternType="solid">
        <fgColor rgb="FFCCCCFF"/>
        <bgColor rgb="FFC0C0C0"/>
      </patternFill>
    </fill>
    <fill>
      <patternFill patternType="solid">
        <fgColor rgb="FF969696"/>
        <bgColor rgb="FF808080"/>
      </patternFill>
    </fill>
  </fills>
  <borders count="141">
    <border diagonalUp="false" diagonalDown="false">
      <left/>
      <right/>
      <top/>
      <bottom/>
      <diagonal/>
    </border>
    <border diagonalUp="false" diagonalDown="false">
      <left style="medium">
        <color rgb="FFFFFFFF"/>
      </left>
      <right style="medium"/>
      <top style="medium">
        <color rgb="FFFFFFFF"/>
      </top>
      <bottom style="medium"/>
      <diagonal/>
    </border>
    <border diagonalUp="false" diagonalDown="false">
      <left style="thin"/>
      <right style="thin"/>
      <top style="thin"/>
      <bottom style="thin"/>
      <diagonal/>
    </border>
    <border diagonalUp="false" diagonalDown="false">
      <left style="medium"/>
      <right style="medium">
        <color rgb="FFFFFFFF"/>
      </right>
      <top style="medium"/>
      <bottom style="thin">
        <color rgb="FF339966"/>
      </bottom>
      <diagonal/>
    </border>
    <border diagonalUp="false" diagonalDown="false">
      <left style="medium"/>
      <right/>
      <top/>
      <bottom/>
      <diagonal/>
    </border>
    <border diagonalUp="false" diagonalDown="false">
      <left/>
      <right style="medium">
        <color rgb="FFFFFFFF"/>
      </right>
      <top/>
      <bottom/>
      <diagonal/>
    </border>
    <border diagonalUp="false" diagonalDown="false">
      <left style="medium"/>
      <right/>
      <top/>
      <bottom style="medium">
        <color rgb="FFFFFFFF"/>
      </bottom>
      <diagonal/>
    </border>
    <border diagonalUp="false" diagonalDown="false">
      <left/>
      <right/>
      <top/>
      <bottom style="medium">
        <color rgb="FFFFFFFF"/>
      </bottom>
      <diagonal/>
    </border>
    <border diagonalUp="false" diagonalDown="false">
      <left/>
      <right style="medium">
        <color rgb="FFFFFFFF"/>
      </right>
      <top/>
      <bottom style="medium">
        <color rgb="FFFFFFFF"/>
      </bottom>
      <diagonal/>
    </border>
    <border diagonalUp="false" diagonalDown="false">
      <left style="medium">
        <color rgb="FFFFFFFF"/>
      </left>
      <right style="medium"/>
      <top style="medium">
        <color rgb="FFFFFFFF"/>
      </top>
      <bottom style="thin">
        <color rgb="FF339966"/>
      </bottom>
      <diagonal/>
    </border>
    <border diagonalUp="false" diagonalDown="false">
      <left style="medium">
        <color rgb="FFFFFFFF"/>
      </left>
      <right style="medium"/>
      <top style="thin">
        <color rgb="FF339966"/>
      </top>
      <bottom/>
      <diagonal/>
    </border>
    <border diagonalUp="false" diagonalDown="false">
      <left style="medium">
        <color rgb="FFFFFFFF"/>
      </left>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ck"/>
      <right style="medium"/>
      <top style="thick"/>
      <bottom style="medium"/>
      <diagonal/>
    </border>
    <border diagonalUp="false" diagonalDown="false">
      <left style="medium"/>
      <right style="thick"/>
      <top style="thick"/>
      <bottom style="medium"/>
      <diagonal/>
    </border>
    <border diagonalUp="false" diagonalDown="false">
      <left style="thick"/>
      <right style="medium"/>
      <top style="thick"/>
      <bottom style="thick"/>
      <diagonal/>
    </border>
    <border diagonalUp="false" diagonalDown="false">
      <left/>
      <right style="thick"/>
      <top style="thick"/>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right style="thick"/>
      <top style="medium"/>
      <bottom style="thin"/>
      <diagonal/>
    </border>
    <border diagonalUp="false" diagonalDown="false">
      <left style="medium"/>
      <right style="hair"/>
      <top style="thin"/>
      <bottom style="thin"/>
      <diagonal/>
    </border>
    <border diagonalUp="false" diagonalDown="false">
      <left style="thin"/>
      <right style="thin"/>
      <top/>
      <bottom/>
      <diagonal/>
    </border>
    <border diagonalUp="false" diagonalDown="false">
      <left/>
      <right style="thick"/>
      <top/>
      <bottom/>
      <diagonal/>
    </border>
    <border diagonalUp="false" diagonalDown="false">
      <left style="medium"/>
      <right/>
      <top/>
      <bottom style="medium"/>
      <diagonal/>
    </border>
    <border diagonalUp="false" diagonalDown="false">
      <left style="medium"/>
      <right style="thin"/>
      <top style="medium"/>
      <bottom style="dotted"/>
      <diagonal/>
    </border>
    <border diagonalUp="false" diagonalDown="false">
      <left style="thin"/>
      <right style="thin"/>
      <top style="thin"/>
      <bottom style="dotted"/>
      <diagonal/>
    </border>
    <border diagonalUp="false" diagonalDown="false">
      <left/>
      <right style="thick"/>
      <top style="thin"/>
      <bottom style="dotted"/>
      <diagonal/>
    </border>
    <border diagonalUp="false" diagonalDown="false">
      <left style="medium"/>
      <right style="thin"/>
      <top style="dotted"/>
      <bottom style="dotted"/>
      <diagonal/>
    </border>
    <border diagonalUp="false" diagonalDown="false">
      <left style="thin"/>
      <right style="thin"/>
      <top style="dotted"/>
      <bottom style="dotted"/>
      <diagonal/>
    </border>
    <border diagonalUp="false" diagonalDown="false">
      <left/>
      <right style="thick"/>
      <top style="dotted"/>
      <bottom style="dotted"/>
      <diagonal/>
    </border>
    <border diagonalUp="false" diagonalDown="false">
      <left style="medium"/>
      <right style="thin"/>
      <top/>
      <bottom/>
      <diagonal/>
    </border>
    <border diagonalUp="false" diagonalDown="false">
      <left/>
      <right style="thin"/>
      <top/>
      <bottom/>
      <diagonal/>
    </border>
    <border diagonalUp="false" diagonalDown="false">
      <left style="medium"/>
      <right style="thin"/>
      <top style="thin"/>
      <bottom style="dotted"/>
      <diagonal/>
    </border>
    <border diagonalUp="false" diagonalDown="false">
      <left style="thin"/>
      <right/>
      <top style="thin"/>
      <bottom style="dotted"/>
      <diagonal/>
    </border>
    <border diagonalUp="false" diagonalDown="false">
      <left/>
      <right style="thin"/>
      <top style="thin"/>
      <bottom style="dotted"/>
      <diagonal/>
    </border>
    <border diagonalUp="false" diagonalDown="false">
      <left/>
      <right style="thick"/>
      <top style="thin"/>
      <bottom/>
      <diagonal/>
    </border>
    <border diagonalUp="false" diagonalDown="false">
      <left style="thin"/>
      <right style="thick"/>
      <top style="dotted"/>
      <bottom style="medium"/>
      <diagonal/>
    </border>
    <border diagonalUp="false" diagonalDown="false">
      <left/>
      <right/>
      <top style="medium"/>
      <bottom style="dotted"/>
      <diagonal/>
    </border>
    <border diagonalUp="false" diagonalDown="false">
      <left style="thin"/>
      <right style="thin"/>
      <top style="medium"/>
      <bottom style="dotted"/>
      <diagonal/>
    </border>
    <border diagonalUp="false" diagonalDown="false">
      <left style="thin"/>
      <right/>
      <top style="medium"/>
      <bottom style="dotted"/>
      <diagonal/>
    </border>
    <border diagonalUp="false" diagonalDown="false">
      <left style="medium"/>
      <right style="thick"/>
      <top style="medium"/>
      <bottom style="thin"/>
      <diagonal/>
    </border>
    <border diagonalUp="false" diagonalDown="false">
      <left style="medium"/>
      <right style="thin"/>
      <top/>
      <bottom style="dotted"/>
      <diagonal/>
    </border>
    <border diagonalUp="false" diagonalDown="false">
      <left/>
      <right/>
      <top/>
      <bottom style="dotted"/>
      <diagonal/>
    </border>
    <border diagonalUp="false" diagonalDown="false">
      <left style="thin"/>
      <right style="thin"/>
      <top/>
      <bottom style="dotted"/>
      <diagonal/>
    </border>
    <border diagonalUp="false" diagonalDown="false">
      <left style="thin"/>
      <right/>
      <top/>
      <bottom style="dotted"/>
      <diagonal/>
    </border>
    <border diagonalUp="false" diagonalDown="false">
      <left style="medium"/>
      <right style="thick"/>
      <top style="thin"/>
      <bottom style="medium"/>
      <diagonal/>
    </border>
    <border diagonalUp="false" diagonalDown="false">
      <left style="medium"/>
      <right style="thin"/>
      <top style="dotted"/>
      <bottom style="medium"/>
      <diagonal/>
    </border>
    <border diagonalUp="false" diagonalDown="false">
      <left/>
      <right/>
      <top style="dotted"/>
      <bottom style="medium"/>
      <diagonal/>
    </border>
    <border diagonalUp="false" diagonalDown="false">
      <left style="thin"/>
      <right style="thin"/>
      <top style="dotted"/>
      <bottom style="medium"/>
      <diagonal/>
    </border>
    <border diagonalUp="false" diagonalDown="false">
      <left style="thin"/>
      <right style="medium"/>
      <top style="dotted"/>
      <bottom style="medium"/>
      <diagonal/>
    </border>
    <border diagonalUp="false" diagonalDown="false">
      <left style="medium"/>
      <right style="thin"/>
      <top style="medium"/>
      <bottom style="medium"/>
      <diagonal/>
    </border>
    <border diagonalUp="false" diagonalDown="false">
      <left style="thin"/>
      <right style="hair"/>
      <top style="medium"/>
      <bottom style="medium"/>
      <diagonal/>
    </border>
    <border diagonalUp="false" diagonalDown="false">
      <left style="hair"/>
      <right style="hair"/>
      <top style="medium"/>
      <bottom style="medium"/>
      <diagonal/>
    </border>
    <border diagonalUp="false" diagonalDown="false">
      <left style="medium"/>
      <right style="thick"/>
      <top/>
      <bottom style="medium"/>
      <diagonal/>
    </border>
    <border diagonalUp="false" diagonalDown="false">
      <left style="medium"/>
      <right style="thin"/>
      <top/>
      <bottom style="thick"/>
      <diagonal/>
    </border>
    <border diagonalUp="false" diagonalDown="false">
      <left style="thin"/>
      <right style="thick"/>
      <top style="medium"/>
      <bottom style="thick"/>
      <diagonal/>
    </border>
    <border diagonalUp="false" diagonalDown="false">
      <left style="thin"/>
      <right style="thick"/>
      <top style="dotted"/>
      <bottom style="dotted"/>
      <diagonal/>
    </border>
    <border diagonalUp="false" diagonalDown="false">
      <left style="thin"/>
      <right style="thick"/>
      <top style="dotted"/>
      <bottom/>
      <diagonal/>
    </border>
    <border diagonalUp="false" diagonalDown="false">
      <left style="thin"/>
      <right style="thick"/>
      <top style="thin"/>
      <bottom style="dotted"/>
      <diagonal/>
    </border>
    <border diagonalUp="false" diagonalDown="false">
      <left style="thin"/>
      <right style="thick"/>
      <top/>
      <bottom/>
      <diagonal/>
    </border>
    <border diagonalUp="false" diagonalDown="false">
      <left style="thin"/>
      <right style="thick"/>
      <top/>
      <bottom style="medium"/>
      <diagonal/>
    </border>
    <border diagonalUp="false" diagonalDown="false">
      <left style="thin"/>
      <right style="hair"/>
      <top style="thin"/>
      <bottom/>
      <diagonal/>
    </border>
    <border diagonalUp="false" diagonalDown="false">
      <left style="hair"/>
      <right style="hair"/>
      <top style="thin"/>
      <bottom/>
      <diagonal/>
    </border>
    <border diagonalUp="false" diagonalDown="false">
      <left style="hair"/>
      <right style="thin"/>
      <top style="thin"/>
      <bottom/>
      <diagonal/>
    </border>
    <border diagonalUp="false" diagonalDown="false">
      <left style="thin"/>
      <right style="dotted"/>
      <top style="thin"/>
      <bottom style="thin"/>
      <diagonal/>
    </border>
    <border diagonalUp="false" diagonalDown="false">
      <left/>
      <right style="dotted"/>
      <top style="thin"/>
      <bottom style="thin"/>
      <diagonal/>
    </border>
    <border diagonalUp="false" diagonalDown="false">
      <left style="dotted"/>
      <right style="thin"/>
      <top style="thin"/>
      <bottom style="thin"/>
      <diagonal/>
    </border>
    <border diagonalUp="false" diagonalDown="false">
      <left/>
      <right style="thin"/>
      <top style="thin"/>
      <bottom style="thin"/>
      <diagonal/>
    </border>
    <border diagonalUp="false" diagonalDown="false">
      <left style="thin"/>
      <right style="hair"/>
      <top/>
      <bottom style="thin"/>
      <diagonal/>
    </border>
    <border diagonalUp="false" diagonalDown="false">
      <left style="hair"/>
      <right style="hair"/>
      <top/>
      <bottom style="thin"/>
      <diagonal/>
    </border>
    <border diagonalUp="false" diagonalDown="false">
      <left style="hair"/>
      <right style="thin"/>
      <top/>
      <bottom style="thin"/>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dotted"/>
      <right style="dotted"/>
      <top style="thin"/>
      <bottom style="thin"/>
      <diagonal/>
    </border>
    <border diagonalUp="false" diagonalDown="false">
      <left/>
      <right/>
      <top/>
      <bottom style="thin"/>
      <diagonal/>
    </border>
    <border diagonalUp="false" diagonalDown="false">
      <left/>
      <right/>
      <top style="thin"/>
      <bottom style="thin"/>
      <diagonal/>
    </border>
    <border diagonalUp="false" diagonalDown="false">
      <left/>
      <right style="hair"/>
      <top style="thin"/>
      <bottom/>
      <diagonal/>
    </border>
    <border diagonalUp="false" diagonalDown="false">
      <left/>
      <right style="hair"/>
      <top/>
      <bottom style="thin"/>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style="thin"/>
      <right style="thin"/>
      <top/>
      <bottom style="medium"/>
      <diagonal/>
    </border>
    <border diagonalUp="false" diagonalDown="false">
      <left style="medium"/>
      <right style="medium"/>
      <top style="medium"/>
      <bottom style="mediu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right style="medium"/>
      <top/>
      <bottom/>
      <diagonal/>
    </border>
    <border diagonalUp="false" diagonalDown="false">
      <left/>
      <right/>
      <top style="thin"/>
      <bottom style="double"/>
      <diagonal/>
    </border>
    <border diagonalUp="false" diagonalDown="false">
      <left style="thin"/>
      <right/>
      <top style="thin"/>
      <bottom style="thin"/>
      <diagonal/>
    </border>
    <border diagonalUp="false" diagonalDown="false">
      <left/>
      <right style="thin"/>
      <top style="thin"/>
      <bottom/>
      <diagonal/>
    </border>
    <border diagonalUp="false" diagonalDown="false">
      <left style="thin"/>
      <right style="thin"/>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right style="medium"/>
      <top style="medium"/>
      <bottom style="medium"/>
      <diagonal/>
    </border>
    <border diagonalUp="false" diagonalDown="false">
      <left style="medium"/>
      <right/>
      <top style="medium"/>
      <bottom style="thin"/>
      <diagonal/>
    </border>
    <border diagonalUp="false" diagonalDown="false">
      <left style="thin"/>
      <right/>
      <top/>
      <bottom/>
      <diagonal/>
    </border>
    <border diagonalUp="false" diagonalDown="false">
      <left/>
      <right style="thin"/>
      <top/>
      <bottom style="thin"/>
      <diagonal/>
    </border>
    <border diagonalUp="false" diagonalDown="false">
      <left/>
      <right style="thin"/>
      <top style="thin"/>
      <bottom style="medium"/>
      <diagonal/>
    </border>
    <border diagonalUp="false" diagonalDown="false">
      <left style="thin"/>
      <right style="thin"/>
      <top style="thin"/>
      <bottom style="medium"/>
      <diagonal/>
    </border>
    <border diagonalUp="false" diagonalDown="false">
      <left/>
      <right style="thin"/>
      <top/>
      <bottom style="medium"/>
      <diagonal/>
    </border>
    <border diagonalUp="false" diagonalDown="false">
      <left style="thin"/>
      <right/>
      <top/>
      <bottom style="thin"/>
      <diagonal/>
    </border>
    <border diagonalUp="false" diagonalDown="false">
      <left style="thin"/>
      <right/>
      <top style="medium"/>
      <bottom style="medium"/>
      <diagonal/>
    </border>
    <border diagonalUp="false" diagonalDown="false">
      <left style="thin"/>
      <right style="thin"/>
      <top style="thin"/>
      <bottom style="hair"/>
      <diagonal/>
    </border>
    <border diagonalUp="false" diagonalDown="false">
      <left style="medium">
        <color rgb="FF808080"/>
      </left>
      <right style="hair">
        <color rgb="FF808080"/>
      </right>
      <top style="medium">
        <color rgb="FF808080"/>
      </top>
      <bottom style="thin">
        <color rgb="FF808080"/>
      </bottom>
      <diagonal/>
    </border>
    <border diagonalUp="false" diagonalDown="false">
      <left style="hair">
        <color rgb="FF808080"/>
      </left>
      <right style="hair">
        <color rgb="FF808080"/>
      </right>
      <top style="medium">
        <color rgb="FF808080"/>
      </top>
      <bottom style="thin">
        <color rgb="FF808080"/>
      </bottom>
      <diagonal/>
    </border>
    <border diagonalUp="false" diagonalDown="false">
      <left style="hair">
        <color rgb="FF808080"/>
      </left>
      <right/>
      <top style="medium">
        <color rgb="FF808080"/>
      </top>
      <bottom style="thin">
        <color rgb="FF808080"/>
      </bottom>
      <diagonal/>
    </border>
    <border diagonalUp="false" diagonalDown="false">
      <left style="hair">
        <color rgb="FF808080"/>
      </left>
      <right style="medium">
        <color rgb="FF808080"/>
      </right>
      <top style="medium">
        <color rgb="FF808080"/>
      </top>
      <bottom style="thin">
        <color rgb="FF808080"/>
      </bottom>
      <diagonal/>
    </border>
    <border diagonalUp="false" diagonalDown="false">
      <left style="thin"/>
      <right style="thin"/>
      <top style="hair"/>
      <bottom style="hair"/>
      <diagonal/>
    </border>
    <border diagonalUp="false" diagonalDown="false">
      <left style="medium">
        <color rgb="FF808080"/>
      </left>
      <right style="hair">
        <color rgb="FF808080"/>
      </right>
      <top/>
      <bottom style="hair">
        <color rgb="FF808080"/>
      </bottom>
      <diagonal/>
    </border>
    <border diagonalUp="false" diagonalDown="false">
      <left style="hair">
        <color rgb="FF808080"/>
      </left>
      <right style="hair">
        <color rgb="FF808080"/>
      </right>
      <top/>
      <bottom style="hair">
        <color rgb="FF808080"/>
      </bottom>
      <diagonal/>
    </border>
    <border diagonalUp="false" diagonalDown="false">
      <left style="hair">
        <color rgb="FF808080"/>
      </left>
      <right/>
      <top/>
      <bottom style="hair">
        <color rgb="FF808080"/>
      </bottom>
      <diagonal/>
    </border>
    <border diagonalUp="false" diagonalDown="false">
      <left style="hair">
        <color rgb="FF808080"/>
      </left>
      <right style="medium">
        <color rgb="FF808080"/>
      </right>
      <top/>
      <bottom style="hair">
        <color rgb="FF808080"/>
      </bottom>
      <diagonal/>
    </border>
    <border diagonalUp="false" diagonalDown="false">
      <left style="medium">
        <color rgb="FF808080"/>
      </left>
      <right style="hair">
        <color rgb="FF808080"/>
      </right>
      <top style="hair">
        <color rgb="FF808080"/>
      </top>
      <bottom style="hair">
        <color rgb="FF808080"/>
      </bottom>
      <diagonal/>
    </border>
    <border diagonalUp="false" diagonalDown="false">
      <left style="hair">
        <color rgb="FF808080"/>
      </left>
      <right style="hair">
        <color rgb="FF808080"/>
      </right>
      <top style="hair">
        <color rgb="FF808080"/>
      </top>
      <bottom style="hair">
        <color rgb="FF808080"/>
      </bottom>
      <diagonal/>
    </border>
    <border diagonalUp="false" diagonalDown="false">
      <left style="hair">
        <color rgb="FF808080"/>
      </left>
      <right/>
      <top style="hair">
        <color rgb="FF808080"/>
      </top>
      <bottom style="hair">
        <color rgb="FF808080"/>
      </bottom>
      <diagonal/>
    </border>
    <border diagonalUp="false" diagonalDown="false">
      <left style="hair">
        <color rgb="FF808080"/>
      </left>
      <right style="medium">
        <color rgb="FF808080"/>
      </right>
      <top style="hair">
        <color rgb="FF808080"/>
      </top>
      <bottom style="hair">
        <color rgb="FF808080"/>
      </bottom>
      <diagonal/>
    </border>
    <border diagonalUp="false" diagonalDown="false">
      <left style="thin">
        <color rgb="FF969696"/>
      </left>
      <right style="thin">
        <color rgb="FF969696"/>
      </right>
      <top style="thin">
        <color rgb="FF969696"/>
      </top>
      <bottom style="thin">
        <color rgb="FF969696"/>
      </bottom>
      <diagonal/>
    </border>
    <border diagonalUp="false" diagonalDown="false">
      <left/>
      <right style="thin"/>
      <top/>
      <bottom style="dotted"/>
      <diagonal/>
    </border>
    <border diagonalUp="false" diagonalDown="false">
      <left style="thin"/>
      <right style="thin"/>
      <top style="hair"/>
      <bottom style="thin"/>
      <diagonal/>
    </border>
    <border diagonalUp="false" diagonalDown="false">
      <left style="thin"/>
      <right/>
      <top style="thin"/>
      <bottom/>
      <diagonal/>
    </border>
    <border diagonalUp="false" diagonalDown="false">
      <left/>
      <right/>
      <top style="thin"/>
      <bottom/>
      <diagonal/>
    </border>
    <border diagonalUp="false" diagonalDown="false">
      <left style="medium">
        <color rgb="FF808080"/>
      </left>
      <right style="hair">
        <color rgb="FF808080"/>
      </right>
      <top style="hair">
        <color rgb="FF808080"/>
      </top>
      <bottom style="medium">
        <color rgb="FF808080"/>
      </bottom>
      <diagonal/>
    </border>
    <border diagonalUp="false" diagonalDown="false">
      <left style="hair">
        <color rgb="FF808080"/>
      </left>
      <right style="hair">
        <color rgb="FF808080"/>
      </right>
      <top style="hair">
        <color rgb="FF808080"/>
      </top>
      <bottom style="medium">
        <color rgb="FF808080"/>
      </bottom>
      <diagonal/>
    </border>
    <border diagonalUp="false" diagonalDown="false">
      <left style="hair">
        <color rgb="FF808080"/>
      </left>
      <right/>
      <top style="hair">
        <color rgb="FF808080"/>
      </top>
      <bottom style="medium">
        <color rgb="FF808080"/>
      </bottom>
      <diagonal/>
    </border>
    <border diagonalUp="false" diagonalDown="false">
      <left style="hair">
        <color rgb="FF808080"/>
      </left>
      <right style="medium">
        <color rgb="FF808080"/>
      </right>
      <top style="hair">
        <color rgb="FF808080"/>
      </top>
      <bottom style="medium">
        <color rgb="FF808080"/>
      </bottom>
      <diagonal/>
    </border>
    <border diagonalUp="false" diagonalDown="false">
      <left style="thin"/>
      <right style="hair"/>
      <top style="thin"/>
      <bottom style="hair"/>
      <diagonal/>
    </border>
    <border diagonalUp="false" diagonalDown="false">
      <left/>
      <right style="thin"/>
      <top style="thin"/>
      <bottom style="hair"/>
      <diagonal/>
    </border>
    <border diagonalUp="false" diagonalDown="false">
      <left style="thin"/>
      <right style="hair"/>
      <top style="hair"/>
      <bottom style="hair"/>
      <diagonal/>
    </border>
    <border diagonalUp="false" diagonalDown="false">
      <left/>
      <right style="thin"/>
      <top style="hair"/>
      <bottom style="hair"/>
      <diagonal/>
    </border>
    <border diagonalUp="false" diagonalDown="false">
      <left style="thin"/>
      <right style="thin"/>
      <top style="hair"/>
      <bottom/>
      <diagonal/>
    </border>
    <border diagonalUp="false" diagonalDown="false">
      <left/>
      <right style="thin"/>
      <top style="hair"/>
      <bottom/>
      <diagonal/>
    </border>
    <border diagonalUp="false" diagonalDown="false">
      <left/>
      <right style="thin"/>
      <top style="hair"/>
      <bottom style="thin"/>
      <diagonal/>
    </border>
    <border diagonalUp="false" diagonalDown="false">
      <left style="thin"/>
      <right style="hair"/>
      <top style="hair"/>
      <bottom style="thin"/>
      <diagonal/>
    </border>
    <border diagonalUp="false" diagonalDown="false">
      <left/>
      <right style="hair"/>
      <top style="thin"/>
      <bottom style="hair"/>
      <diagonal/>
    </border>
    <border diagonalUp="false" diagonalDown="false">
      <left style="thin"/>
      <right style="thin"/>
      <top/>
      <bottom style="hair"/>
      <diagonal/>
    </border>
    <border diagonalUp="false" diagonalDown="false">
      <left style="thin"/>
      <right style="hair"/>
      <top/>
      <bottom style="hair"/>
      <diagonal/>
    </border>
    <border diagonalUp="false" diagonalDown="false">
      <left/>
      <right style="thin"/>
      <top/>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right style="hair"/>
      <top style="hair"/>
      <bottom style="thin"/>
      <diagonal/>
    </border>
    <border diagonalUp="false" diagonalDown="false">
      <left style="hair"/>
      <right style="thin"/>
      <top style="hair"/>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9" fontId="0"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7" fontId="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cellStyleXfs>
  <cellXfs count="660">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5" fillId="3" borderId="1" xfId="0" applyFont="true" applyBorder="true" applyAlignment="true" applyProtection="false">
      <alignment horizontal="center" vertical="center" textRotation="0" wrapText="false" indent="0" shrinkToFit="false"/>
      <protection locked="true" hidden="false"/>
    </xf>
    <xf numFmtId="164" fontId="6" fillId="2" borderId="0" xfId="0" applyFont="true" applyBorder="true" applyAlignment="true" applyProtection="false">
      <alignment horizontal="center" vertical="bottom" textRotation="0" wrapText="false" indent="0" shrinkToFit="false"/>
      <protection locked="true" hidden="false"/>
    </xf>
    <xf numFmtId="164" fontId="7" fillId="2" borderId="0" xfId="0" applyFont="true" applyBorder="false" applyAlignment="true" applyProtection="false">
      <alignment horizontal="center" vertical="bottom" textRotation="0" wrapText="false" indent="0" shrinkToFit="false"/>
      <protection locked="true" hidden="false"/>
    </xf>
    <xf numFmtId="165" fontId="8" fillId="4" borderId="2" xfId="0" applyFont="true" applyBorder="true" applyAlignment="true" applyProtection="true">
      <alignment horizontal="center" vertical="bottom" textRotation="0" wrapText="false" indent="0" shrinkToFit="false"/>
      <protection locked="false" hidden="false"/>
    </xf>
    <xf numFmtId="164" fontId="7" fillId="5" borderId="3" xfId="0" applyFont="true" applyBorder="true" applyAlignment="true" applyProtection="false">
      <alignment horizontal="center" vertical="center" textRotation="0" wrapText="false" indent="0" shrinkToFit="false"/>
      <protection locked="true" hidden="false"/>
    </xf>
    <xf numFmtId="164" fontId="0" fillId="2" borderId="4" xfId="0" applyFont="false" applyBorder="true" applyAlignment="true" applyProtection="false">
      <alignment horizontal="center" vertical="bottom" textRotation="0" wrapText="false" indent="0" shrinkToFit="false"/>
      <protection locked="true" hidden="false"/>
    </xf>
    <xf numFmtId="164" fontId="0" fillId="2" borderId="0" xfId="0" applyFont="false" applyBorder="true" applyAlignment="true" applyProtection="false">
      <alignment horizontal="center" vertical="bottom" textRotation="0" wrapText="false" indent="0" shrinkToFit="false"/>
      <protection locked="true" hidden="false"/>
    </xf>
    <xf numFmtId="164" fontId="0" fillId="2" borderId="5" xfId="0" applyFont="false" applyBorder="true" applyAlignment="true" applyProtection="false">
      <alignment horizontal="center" vertical="bottom" textRotation="0" wrapText="false" indent="0" shrinkToFit="false"/>
      <protection locked="true" hidden="false"/>
    </xf>
    <xf numFmtId="164" fontId="0" fillId="2" borderId="4" xfId="0" applyFont="false" applyBorder="true" applyAlignment="true" applyProtection="false">
      <alignment horizontal="left" vertical="bottom" textRotation="0" wrapText="false" indent="0" shrinkToFit="false"/>
      <protection locked="true" hidden="false"/>
    </xf>
    <xf numFmtId="164" fontId="0" fillId="2" borderId="6" xfId="0" applyFont="false" applyBorder="true" applyAlignment="true" applyProtection="false">
      <alignment horizontal="center" vertical="bottom" textRotation="0" wrapText="false" indent="0" shrinkToFit="false"/>
      <protection locked="true" hidden="false"/>
    </xf>
    <xf numFmtId="164" fontId="0" fillId="2" borderId="7" xfId="0" applyFont="false" applyBorder="true" applyAlignment="true" applyProtection="false">
      <alignment horizontal="center" vertical="bottom" textRotation="0" wrapText="false" indent="0" shrinkToFit="false"/>
      <protection locked="true" hidden="false"/>
    </xf>
    <xf numFmtId="164" fontId="0" fillId="2" borderId="8" xfId="0" applyFont="false" applyBorder="true" applyAlignment="true" applyProtection="false">
      <alignment horizontal="center" vertical="bottom" textRotation="0" wrapText="false" indent="0" shrinkToFit="false"/>
      <protection locked="true" hidden="false"/>
    </xf>
    <xf numFmtId="164" fontId="7" fillId="5" borderId="9" xfId="0" applyFont="true" applyBorder="true" applyAlignment="true" applyProtection="false">
      <alignment horizontal="left" vertical="bottom" textRotation="0" wrapText="false" indent="0" shrinkToFit="false"/>
      <protection locked="true" hidden="false"/>
    </xf>
    <xf numFmtId="164" fontId="9" fillId="4" borderId="10" xfId="0" applyFont="true" applyBorder="true" applyAlignment="true" applyProtection="false">
      <alignment horizontal="left" vertical="center" textRotation="0" wrapText="true" indent="0" shrinkToFit="false"/>
      <protection locked="true" hidden="false"/>
    </xf>
    <xf numFmtId="164" fontId="0" fillId="4" borderId="11" xfId="0" applyFont="false" applyBorder="true" applyAlignment="false" applyProtection="false">
      <alignment horizontal="general" vertical="bottom" textRotation="0" wrapText="false" indent="0" shrinkToFit="false"/>
      <protection locked="true" hidden="false"/>
    </xf>
    <xf numFmtId="164" fontId="0" fillId="4" borderId="12" xfId="0" applyFont="false" applyBorder="true" applyAlignment="false" applyProtection="false">
      <alignment horizontal="general" vertical="bottom" textRotation="0" wrapText="false" indent="0" shrinkToFit="false"/>
      <protection locked="true" hidden="false"/>
    </xf>
    <xf numFmtId="164" fontId="0" fillId="4" borderId="13" xfId="0" applyFont="false" applyBorder="true" applyAlignment="false" applyProtection="false">
      <alignment horizontal="general" vertical="bottom" textRotation="0" wrapText="false" indent="0" shrinkToFit="false"/>
      <protection locked="true" hidden="false"/>
    </xf>
    <xf numFmtId="164" fontId="7" fillId="6" borderId="2" xfId="0" applyFont="true" applyBorder="true" applyAlignment="true" applyProtection="false">
      <alignment horizontal="right" vertical="bottom" textRotation="0" wrapText="false" indent="0" shrinkToFit="false"/>
      <protection locked="true" hidden="false"/>
    </xf>
    <xf numFmtId="164" fontId="7" fillId="5" borderId="3" xfId="0" applyFont="true" applyBorder="true" applyAlignment="true" applyProtection="false">
      <alignment horizontal="left" vertical="bottom" textRotation="0" wrapText="false" indent="0" shrinkToFit="false"/>
      <protection locked="true" hidden="false"/>
    </xf>
    <xf numFmtId="164" fontId="0" fillId="2" borderId="4"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5" xfId="0" applyFont="false" applyBorder="true" applyAlignment="false" applyProtection="false">
      <alignment horizontal="general" vertical="bottom" textRotation="0" wrapText="false" indent="0" shrinkToFit="false"/>
      <protection locked="true" hidden="false"/>
    </xf>
    <xf numFmtId="164" fontId="0" fillId="2" borderId="6" xfId="0" applyFont="false" applyBorder="true" applyAlignment="false" applyProtection="false">
      <alignment horizontal="general" vertical="bottom" textRotation="0" wrapText="false" indent="0" shrinkToFit="false"/>
      <protection locked="true" hidden="false"/>
    </xf>
    <xf numFmtId="164" fontId="0" fillId="2" borderId="7" xfId="0" applyFont="false" applyBorder="tru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7" borderId="14" xfId="0" applyFont="true" applyBorder="true" applyAlignment="true" applyProtection="false">
      <alignment horizontal="center" vertical="center" textRotation="0" wrapText="true" indent="0" shrinkToFit="false"/>
      <protection locked="true" hidden="false"/>
    </xf>
    <xf numFmtId="164" fontId="11" fillId="7" borderId="15" xfId="0" applyFont="true" applyBorder="true" applyAlignment="true" applyProtection="false">
      <alignment horizontal="center" vertical="center" textRotation="0" wrapText="false" indent="0" shrinkToFit="false"/>
      <protection locked="true" hidden="false"/>
    </xf>
    <xf numFmtId="164" fontId="12" fillId="2" borderId="0" xfId="0" applyFont="true" applyBorder="false" applyAlignment="true" applyProtection="false">
      <alignment horizontal="center" vertical="bottom" textRotation="0" wrapText="false" indent="0" shrinkToFit="false"/>
      <protection locked="true" hidden="false"/>
    </xf>
    <xf numFmtId="164" fontId="13" fillId="8" borderId="16" xfId="0" applyFont="true" applyBorder="true" applyAlignment="true" applyProtection="false">
      <alignment horizontal="center" vertical="center" textRotation="0" wrapText="false" indent="0" shrinkToFit="false"/>
      <protection locked="true" hidden="false"/>
    </xf>
    <xf numFmtId="164" fontId="6" fillId="3" borderId="17" xfId="0" applyFont="true" applyBorder="true" applyAlignment="true" applyProtection="false">
      <alignment horizontal="left" vertical="bottom" textRotation="0" wrapText="false" indent="0" shrinkToFit="false"/>
      <protection locked="true" hidden="false"/>
    </xf>
    <xf numFmtId="164" fontId="14" fillId="4" borderId="18" xfId="0" applyFont="true" applyBorder="true" applyAlignment="true" applyProtection="true">
      <alignment horizontal="center" vertical="bottom" textRotation="0" wrapText="false" indent="0" shrinkToFit="false"/>
      <protection locked="false" hidden="false"/>
    </xf>
    <xf numFmtId="164" fontId="7" fillId="2" borderId="19" xfId="0" applyFont="true" applyBorder="true" applyAlignment="true" applyProtection="false">
      <alignment horizontal="center" vertical="bottom" textRotation="0" wrapText="false" indent="0" shrinkToFit="false"/>
      <protection locked="true" hidden="false"/>
    </xf>
    <xf numFmtId="164" fontId="7" fillId="2" borderId="20" xfId="0" applyFont="true" applyBorder="true" applyAlignment="true" applyProtection="false">
      <alignment horizontal="center" vertical="bottom" textRotation="0" wrapText="false" indent="0" shrinkToFit="false"/>
      <protection locked="true" hidden="false"/>
    </xf>
    <xf numFmtId="164" fontId="7" fillId="2" borderId="21" xfId="0" applyFont="true" applyBorder="true" applyAlignment="true" applyProtection="false">
      <alignment horizontal="center" vertical="bottom" textRotation="0" wrapText="false" indent="0" shrinkToFit="false"/>
      <protection locked="true" hidden="false"/>
    </xf>
    <xf numFmtId="164" fontId="8" fillId="4" borderId="22" xfId="0" applyFont="true" applyBorder="true" applyAlignment="true" applyProtection="true">
      <alignment horizontal="center" vertical="bottom" textRotation="0" wrapText="false" indent="0" shrinkToFit="false"/>
      <protection locked="false" hidden="false"/>
    </xf>
    <xf numFmtId="166" fontId="8" fillId="4" borderId="22" xfId="0" applyFont="true" applyBorder="true" applyAlignment="true" applyProtection="true">
      <alignment horizontal="center" vertical="bottom" textRotation="0" wrapText="false" indent="0" shrinkToFit="false"/>
      <protection locked="false" hidden="false"/>
    </xf>
    <xf numFmtId="166" fontId="8" fillId="4" borderId="23" xfId="0" applyFont="true" applyBorder="true" applyAlignment="true" applyProtection="true">
      <alignment horizontal="center" vertical="bottom" textRotation="0" wrapText="false" indent="0" shrinkToFit="false"/>
      <protection locked="false" hidden="false"/>
    </xf>
    <xf numFmtId="164" fontId="15" fillId="9" borderId="24" xfId="0" applyFont="true" applyBorder="true" applyAlignment="true" applyProtection="true">
      <alignment horizontal="center" vertical="bottom" textRotation="0" wrapText="false" indent="0" shrinkToFit="false"/>
      <protection locked="false" hidden="false"/>
    </xf>
    <xf numFmtId="164" fontId="16" fillId="2" borderId="18" xfId="0" applyFont="true" applyBorder="true" applyAlignment="true" applyProtection="false">
      <alignment horizontal="center" vertical="bottom" textRotation="0" wrapText="false" indent="0" shrinkToFit="false"/>
      <protection locked="true" hidden="false"/>
    </xf>
    <xf numFmtId="164" fontId="16" fillId="2" borderId="19" xfId="0" applyFont="true" applyBorder="true" applyAlignment="true" applyProtection="false">
      <alignment horizontal="center" vertical="bottom" textRotation="0" wrapText="false" indent="0" shrinkToFit="false"/>
      <protection locked="true" hidden="false"/>
    </xf>
    <xf numFmtId="164" fontId="16" fillId="2" borderId="20" xfId="0" applyFont="true" applyBorder="true" applyAlignment="true" applyProtection="false">
      <alignment horizontal="center" vertical="bottom" textRotation="0" wrapText="false" indent="0" shrinkToFit="false"/>
      <protection locked="true" hidden="false"/>
    </xf>
    <xf numFmtId="164" fontId="16" fillId="2" borderId="25" xfId="0" applyFont="true" applyBorder="true" applyAlignment="true" applyProtection="false">
      <alignment horizontal="right" vertical="center" textRotation="0" wrapText="false" indent="0" shrinkToFit="false"/>
      <protection locked="true" hidden="false"/>
    </xf>
    <xf numFmtId="164" fontId="8" fillId="9" borderId="26" xfId="0" applyFont="true" applyBorder="true" applyAlignment="true" applyProtection="true">
      <alignment horizontal="center" vertical="center" textRotation="0" wrapText="true" indent="0" shrinkToFit="false"/>
      <protection locked="false" hidden="false"/>
    </xf>
    <xf numFmtId="164" fontId="8" fillId="9" borderId="27" xfId="0" applyFont="true" applyBorder="true" applyAlignment="true" applyProtection="true">
      <alignment horizontal="center" vertical="center" textRotation="0" wrapText="true" indent="0" shrinkToFit="false"/>
      <protection locked="false" hidden="false"/>
    </xf>
    <xf numFmtId="164" fontId="16" fillId="2" borderId="28" xfId="0" applyFont="true" applyBorder="true" applyAlignment="true" applyProtection="false">
      <alignment horizontal="right" vertical="bottom" textRotation="0" wrapText="false" indent="0" shrinkToFit="false"/>
      <protection locked="true" hidden="false"/>
    </xf>
    <xf numFmtId="167" fontId="8" fillId="4" borderId="29" xfId="0" applyFont="true" applyBorder="true" applyAlignment="true" applyProtection="true">
      <alignment horizontal="center" vertical="bottom" textRotation="0" wrapText="false" indent="0" shrinkToFit="false"/>
      <protection locked="false" hidden="false"/>
    </xf>
    <xf numFmtId="167" fontId="8" fillId="4" borderId="30" xfId="0" applyFont="true" applyBorder="true" applyAlignment="true" applyProtection="true">
      <alignment horizontal="center" vertical="bottom" textRotation="0" wrapText="false" indent="0" shrinkToFit="false"/>
      <protection locked="false" hidden="false"/>
    </xf>
    <xf numFmtId="168" fontId="8" fillId="9" borderId="29" xfId="0" applyFont="true" applyBorder="true" applyAlignment="true" applyProtection="true">
      <alignment horizontal="center" vertical="bottom" textRotation="0" wrapText="false" indent="0" shrinkToFit="false"/>
      <protection locked="false" hidden="false"/>
    </xf>
    <xf numFmtId="168" fontId="8" fillId="9" borderId="30" xfId="0" applyFont="true" applyBorder="true" applyAlignment="true" applyProtection="true">
      <alignment horizontal="center" vertical="bottom" textRotation="0" wrapText="false" indent="0" shrinkToFit="false"/>
      <protection locked="false" hidden="false"/>
    </xf>
    <xf numFmtId="169" fontId="8" fillId="4" borderId="29" xfId="0" applyFont="true" applyBorder="true" applyAlignment="true" applyProtection="true">
      <alignment horizontal="center" vertical="bottom" textRotation="0" wrapText="false" indent="0" shrinkToFit="false"/>
      <protection locked="false" hidden="false"/>
    </xf>
    <xf numFmtId="169" fontId="8" fillId="4" borderId="30" xfId="0" applyFont="true" applyBorder="true" applyAlignment="true" applyProtection="true">
      <alignment horizontal="center" vertical="bottom" textRotation="0" wrapText="false" indent="0" shrinkToFit="false"/>
      <protection locked="false" hidden="false"/>
    </xf>
    <xf numFmtId="164" fontId="16" fillId="2" borderId="31" xfId="0" applyFont="true" applyBorder="true" applyAlignment="true" applyProtection="false">
      <alignment horizontal="right" vertical="bottom" textRotation="0" wrapText="false" indent="0" shrinkToFit="false"/>
      <protection locked="true" hidden="false"/>
    </xf>
    <xf numFmtId="168" fontId="8" fillId="4" borderId="0" xfId="0" applyFont="true" applyBorder="true" applyAlignment="true" applyProtection="true">
      <alignment horizontal="center" vertical="bottom" textRotation="0" wrapText="false" indent="0" shrinkToFit="false"/>
      <protection locked="false" hidden="false"/>
    </xf>
    <xf numFmtId="168" fontId="8" fillId="4" borderId="22" xfId="0" applyFont="true" applyBorder="true" applyAlignment="true" applyProtection="true">
      <alignment horizontal="center" vertical="bottom" textRotation="0" wrapText="false" indent="0" shrinkToFit="false"/>
      <protection locked="false" hidden="false"/>
    </xf>
    <xf numFmtId="168" fontId="8" fillId="4" borderId="32" xfId="0" applyFont="true" applyBorder="true" applyAlignment="true" applyProtection="true">
      <alignment horizontal="center" vertical="bottom" textRotation="0" wrapText="false" indent="0" shrinkToFit="false"/>
      <protection locked="false" hidden="false"/>
    </xf>
    <xf numFmtId="168" fontId="8" fillId="4" borderId="23" xfId="0" applyFont="true" applyBorder="true" applyAlignment="true" applyProtection="true">
      <alignment horizontal="center" vertical="bottom" textRotation="0" wrapText="false" indent="0" shrinkToFit="false"/>
      <protection locked="false" hidden="false"/>
    </xf>
    <xf numFmtId="164" fontId="16" fillId="2" borderId="33" xfId="0" applyFont="true" applyBorder="true" applyAlignment="true" applyProtection="false">
      <alignment horizontal="right" vertical="bottom" textRotation="0" wrapText="false" indent="0" shrinkToFit="false"/>
      <protection locked="true" hidden="false"/>
    </xf>
    <xf numFmtId="168" fontId="8" fillId="9" borderId="34" xfId="0" applyFont="true" applyBorder="true" applyAlignment="true" applyProtection="true">
      <alignment horizontal="center" vertical="bottom" textRotation="0" wrapText="false" indent="0" shrinkToFit="false"/>
      <protection locked="false" hidden="false"/>
    </xf>
    <xf numFmtId="168" fontId="8" fillId="9" borderId="26" xfId="0" applyFont="true" applyBorder="true" applyAlignment="true" applyProtection="true">
      <alignment horizontal="center" vertical="bottom" textRotation="0" wrapText="false" indent="0" shrinkToFit="false"/>
      <protection locked="false" hidden="false"/>
    </xf>
    <xf numFmtId="168" fontId="8" fillId="9" borderId="35" xfId="0" applyFont="true" applyBorder="true" applyAlignment="true" applyProtection="true">
      <alignment horizontal="center" vertical="bottom" textRotation="0" wrapText="false" indent="0" shrinkToFit="false"/>
      <protection locked="false" hidden="false"/>
    </xf>
    <xf numFmtId="168" fontId="8" fillId="9" borderId="36" xfId="0" applyFont="true" applyBorder="true" applyAlignment="true" applyProtection="true">
      <alignment horizontal="center" vertical="bottom" textRotation="0" wrapText="false" indent="0" shrinkToFit="false"/>
      <protection locked="false" hidden="false"/>
    </xf>
    <xf numFmtId="168" fontId="8" fillId="4" borderId="37" xfId="0" applyFont="true" applyBorder="true" applyAlignment="true" applyProtection="true">
      <alignment horizontal="center" vertical="bottom" textRotation="0" wrapText="false" indent="0" shrinkToFit="false"/>
      <protection locked="false" hidden="false"/>
    </xf>
    <xf numFmtId="164" fontId="16" fillId="2" borderId="25" xfId="0" applyFont="true" applyBorder="true" applyAlignment="true" applyProtection="false">
      <alignment horizontal="right" vertical="bottom" textRotation="0" wrapText="false" indent="0" shrinkToFit="false"/>
      <protection locked="true" hidden="false"/>
    </xf>
    <xf numFmtId="170" fontId="8" fillId="9" borderId="38" xfId="0" applyFont="true" applyBorder="true" applyAlignment="true" applyProtection="true">
      <alignment horizontal="center" vertical="bottom" textRotation="0" wrapText="false" indent="0" shrinkToFit="false"/>
      <protection locked="false" hidden="false"/>
    </xf>
    <xf numFmtId="164" fontId="16" fillId="2" borderId="39" xfId="0" applyFont="true" applyBorder="true" applyAlignment="true" applyProtection="false">
      <alignment horizontal="right" vertical="bottom" textRotation="0" wrapText="false" indent="0" shrinkToFit="false"/>
      <protection locked="true" hidden="false"/>
    </xf>
    <xf numFmtId="170" fontId="8" fillId="9" borderId="40" xfId="0" applyFont="true" applyBorder="true" applyAlignment="true" applyProtection="true">
      <alignment horizontal="center" vertical="bottom" textRotation="0" wrapText="false" indent="0" shrinkToFit="false"/>
      <protection locked="false" hidden="false"/>
    </xf>
    <xf numFmtId="170" fontId="17" fillId="2" borderId="41" xfId="0" applyFont="true" applyBorder="true" applyAlignment="true" applyProtection="true">
      <alignment horizontal="center" vertical="bottom" textRotation="0" wrapText="false" indent="0" shrinkToFit="false"/>
      <protection locked="false" hidden="false"/>
    </xf>
    <xf numFmtId="164" fontId="16" fillId="2" borderId="42" xfId="0" applyFont="true" applyBorder="true" applyAlignment="true" applyProtection="false">
      <alignment horizontal="right" vertical="bottom" textRotation="0" wrapText="false" indent="0" shrinkToFit="false"/>
      <protection locked="true" hidden="false"/>
    </xf>
    <xf numFmtId="170" fontId="8" fillId="4" borderId="43" xfId="0" applyFont="true" applyBorder="true" applyAlignment="true" applyProtection="true">
      <alignment horizontal="center" vertical="bottom" textRotation="0" wrapText="false" indent="0" shrinkToFit="false"/>
      <protection locked="false" hidden="false"/>
    </xf>
    <xf numFmtId="164" fontId="16" fillId="2" borderId="44" xfId="0" applyFont="true" applyBorder="true" applyAlignment="true" applyProtection="false">
      <alignment horizontal="right" vertical="bottom" textRotation="0" wrapText="false" indent="0" shrinkToFit="false"/>
      <protection locked="true" hidden="false"/>
    </xf>
    <xf numFmtId="170" fontId="8" fillId="4" borderId="45" xfId="0" applyFont="true" applyBorder="true" applyAlignment="true" applyProtection="true">
      <alignment horizontal="center" vertical="bottom" textRotation="0" wrapText="false" indent="0" shrinkToFit="false"/>
      <protection locked="false" hidden="false"/>
    </xf>
    <xf numFmtId="164" fontId="15" fillId="9" borderId="46" xfId="0" applyFont="true" applyBorder="true" applyAlignment="true" applyProtection="true">
      <alignment horizontal="center" vertical="center" textRotation="0" wrapText="false" indent="0" shrinkToFit="false"/>
      <protection locked="false" hidden="false"/>
    </xf>
    <xf numFmtId="164" fontId="16" fillId="2" borderId="47" xfId="0" applyFont="true" applyBorder="true" applyAlignment="true" applyProtection="false">
      <alignment horizontal="right" vertical="bottom" textRotation="0" wrapText="false" indent="0" shrinkToFit="false"/>
      <protection locked="true" hidden="false"/>
    </xf>
    <xf numFmtId="170" fontId="8" fillId="9" borderId="48" xfId="0" applyFont="true" applyBorder="true" applyAlignment="true" applyProtection="true">
      <alignment horizontal="center" vertical="bottom" textRotation="0" wrapText="false" indent="0" shrinkToFit="false"/>
      <protection locked="false" hidden="false"/>
    </xf>
    <xf numFmtId="164" fontId="16" fillId="2" borderId="49" xfId="0" applyFont="true" applyBorder="true" applyAlignment="true" applyProtection="false">
      <alignment horizontal="right" vertical="bottom" textRotation="0" wrapText="false" indent="0" shrinkToFit="false"/>
      <protection locked="true" hidden="false"/>
    </xf>
    <xf numFmtId="170" fontId="8" fillId="9" borderId="50" xfId="0" applyFont="true" applyBorder="true" applyAlignment="true" applyProtection="true">
      <alignment horizontal="center" vertical="bottom" textRotation="0" wrapText="false" indent="0" shrinkToFit="false"/>
      <protection locked="false" hidden="false"/>
    </xf>
    <xf numFmtId="164" fontId="16" fillId="2" borderId="51" xfId="0" applyFont="true" applyBorder="true" applyAlignment="true" applyProtection="false">
      <alignment horizontal="right" vertical="bottom" textRotation="0" wrapText="false" indent="0" shrinkToFit="false"/>
      <protection locked="true" hidden="false"/>
    </xf>
    <xf numFmtId="171" fontId="8" fillId="4" borderId="52" xfId="0" applyFont="true" applyBorder="true" applyAlignment="true" applyProtection="true">
      <alignment horizontal="center" vertical="bottom" textRotation="0" wrapText="false" indent="0" shrinkToFit="false"/>
      <protection locked="false" hidden="false"/>
    </xf>
    <xf numFmtId="164" fontId="18" fillId="6" borderId="53" xfId="0" applyFont="true" applyBorder="true" applyAlignment="true" applyProtection="false">
      <alignment horizontal="center" vertical="bottom" textRotation="0" wrapText="false" indent="0" shrinkToFit="false"/>
      <protection locked="true" hidden="false"/>
    </xf>
    <xf numFmtId="170" fontId="18" fillId="6" borderId="0" xfId="0" applyFont="true" applyBorder="true" applyAlignment="true" applyProtection="true">
      <alignment horizontal="center" vertical="bottom" textRotation="0" wrapText="false" indent="0" shrinkToFit="false"/>
      <protection locked="false" hidden="false"/>
    </xf>
    <xf numFmtId="164" fontId="8" fillId="9" borderId="54" xfId="0" applyFont="true" applyBorder="true" applyAlignment="true" applyProtection="true">
      <alignment horizontal="center" vertical="center" textRotation="0" wrapText="false" indent="0" shrinkToFit="false"/>
      <protection locked="false" hidden="false"/>
    </xf>
    <xf numFmtId="164" fontId="16" fillId="2" borderId="55" xfId="0" applyFont="true" applyBorder="true" applyAlignment="true" applyProtection="false">
      <alignment horizontal="right" vertical="center" textRotation="0" wrapText="false" indent="0" shrinkToFit="false"/>
      <protection locked="true" hidden="false"/>
    </xf>
    <xf numFmtId="170" fontId="8" fillId="4" borderId="56" xfId="0" applyFont="true" applyBorder="true" applyAlignment="true" applyProtection="true">
      <alignment horizontal="left" vertical="center" textRotation="0" wrapText="true" indent="0" shrinkToFit="false"/>
      <protection locked="false" hidden="false"/>
    </xf>
    <xf numFmtId="172" fontId="8" fillId="4" borderId="56" xfId="0" applyFont="true" applyBorder="true" applyAlignment="true" applyProtection="true">
      <alignment horizontal="left" vertical="center" textRotation="0" wrapText="true" indent="0" shrinkToFit="false"/>
      <protection locked="false" hidden="false"/>
    </xf>
    <xf numFmtId="168" fontId="9" fillId="9" borderId="29" xfId="0" applyFont="true" applyBorder="true" applyAlignment="true" applyProtection="true">
      <alignment horizontal="center" vertical="bottom" textRotation="0" wrapText="false" indent="0" shrinkToFit="false"/>
      <protection locked="false" hidden="false"/>
    </xf>
    <xf numFmtId="168" fontId="8" fillId="9" borderId="57" xfId="0" applyFont="true" applyBorder="true" applyAlignment="true" applyProtection="true">
      <alignment horizontal="center" vertical="bottom" textRotation="0" wrapText="false" indent="0" shrinkToFit="false"/>
      <protection locked="false" hidden="false"/>
    </xf>
    <xf numFmtId="169" fontId="8" fillId="4" borderId="57" xfId="0" applyFont="true" applyBorder="true" applyAlignment="true" applyProtection="true">
      <alignment horizontal="center" vertical="bottom" textRotation="0" wrapText="false" indent="0" shrinkToFit="false"/>
      <protection locked="false" hidden="false"/>
    </xf>
    <xf numFmtId="168" fontId="8" fillId="9" borderId="58" xfId="0" applyFont="true" applyBorder="true" applyAlignment="true" applyProtection="true">
      <alignment horizontal="center" vertical="bottom" textRotation="0" wrapText="false" indent="0" shrinkToFit="false"/>
      <protection locked="false" hidden="false"/>
    </xf>
    <xf numFmtId="164" fontId="8" fillId="9" borderId="59" xfId="0" applyFont="true" applyBorder="true" applyAlignment="true" applyProtection="true">
      <alignment horizontal="center" vertical="center" textRotation="0" wrapText="true" indent="0" shrinkToFit="false"/>
      <protection locked="false" hidden="false"/>
    </xf>
    <xf numFmtId="167" fontId="8" fillId="4" borderId="57" xfId="0" applyFont="true" applyBorder="true" applyAlignment="true" applyProtection="true">
      <alignment horizontal="center" vertical="bottom" textRotation="0" wrapText="false" indent="0" shrinkToFit="false"/>
      <protection locked="false" hidden="false"/>
    </xf>
    <xf numFmtId="168" fontId="8" fillId="4" borderId="60" xfId="0" applyFont="true" applyBorder="true" applyAlignment="true" applyProtection="true">
      <alignment horizontal="center" vertical="bottom" textRotation="0" wrapText="false" indent="0" shrinkToFit="false"/>
      <protection locked="false" hidden="false"/>
    </xf>
    <xf numFmtId="168" fontId="8" fillId="9" borderId="59" xfId="0" applyFont="true" applyBorder="true" applyAlignment="true" applyProtection="true">
      <alignment horizontal="center" vertical="bottom" textRotation="0" wrapText="false" indent="0" shrinkToFit="false"/>
      <protection locked="false" hidden="false"/>
    </xf>
    <xf numFmtId="168" fontId="8" fillId="4" borderId="61"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false">
      <alignment horizontal="general" vertical="bottom" textRotation="0" wrapText="false" indent="0" shrinkToFit="false"/>
      <protection locked="true" hidden="false"/>
    </xf>
    <xf numFmtId="164" fontId="0" fillId="4" borderId="0" xfId="0" applyFont="false" applyBorder="false" applyAlignment="true" applyProtection="false">
      <alignment horizontal="left" vertical="bottom" textRotation="0" wrapText="false" indent="0" shrinkToFit="false"/>
      <protection locked="true" hidden="false"/>
    </xf>
    <xf numFmtId="164" fontId="0" fillId="4" borderId="0" xfId="0" applyFont="false" applyBorder="false" applyAlignment="true" applyProtection="false">
      <alignment horizontal="left" vertical="center" textRotation="0" wrapText="true" indent="0" shrinkToFit="false"/>
      <protection locked="true" hidden="false"/>
    </xf>
    <xf numFmtId="173" fontId="0" fillId="4" borderId="0" xfId="0" applyFont="false" applyBorder="false" applyAlignment="true" applyProtection="false">
      <alignment horizontal="right" vertical="bottom" textRotation="0" wrapText="false" indent="0" shrinkToFit="false"/>
      <protection locked="true" hidden="false"/>
    </xf>
    <xf numFmtId="173" fontId="0" fillId="4" borderId="0" xfId="0" applyFont="false" applyBorder="false" applyAlignment="false" applyProtection="false">
      <alignment horizontal="general" vertical="bottom" textRotation="0" wrapText="false" indent="0" shrinkToFit="false"/>
      <protection locked="true" hidden="false"/>
    </xf>
    <xf numFmtId="164" fontId="7" fillId="4" borderId="0" xfId="0" applyFont="true" applyBorder="false" applyAlignment="false" applyProtection="false">
      <alignment horizontal="general" vertical="bottom" textRotation="0" wrapText="false" indent="0" shrinkToFit="false"/>
      <protection locked="true" hidden="false"/>
    </xf>
    <xf numFmtId="173" fontId="8" fillId="4" borderId="2" xfId="0" applyFont="true" applyBorder="true" applyAlignment="true" applyProtection="false">
      <alignment horizontal="right" vertical="bottom" textRotation="0" wrapText="false" indent="0" shrinkToFit="false"/>
      <protection locked="true" hidden="false"/>
    </xf>
    <xf numFmtId="164" fontId="19" fillId="4" borderId="0" xfId="0" applyFont="true" applyBorder="false" applyAlignment="false" applyProtection="false">
      <alignment horizontal="general" vertical="bottom" textRotation="0" wrapText="false" indent="0" shrinkToFit="false"/>
      <protection locked="true" hidden="false"/>
    </xf>
    <xf numFmtId="174" fontId="7" fillId="4" borderId="0" xfId="0" applyFont="true" applyBorder="false" applyAlignment="false" applyProtection="false">
      <alignment horizontal="general" vertical="bottom" textRotation="0" wrapText="false" indent="0" shrinkToFit="false"/>
      <protection locked="true" hidden="false"/>
    </xf>
    <xf numFmtId="174" fontId="7" fillId="3" borderId="2" xfId="0" applyFont="true" applyBorder="true" applyAlignment="true" applyProtection="false">
      <alignment horizontal="center" vertical="bottom" textRotation="0" wrapText="false" indent="0" shrinkToFit="false"/>
      <protection locked="true" hidden="false"/>
    </xf>
    <xf numFmtId="174" fontId="7" fillId="3" borderId="62" xfId="0" applyFont="true" applyBorder="true" applyAlignment="false" applyProtection="false">
      <alignment horizontal="general" vertical="bottom" textRotation="0" wrapText="false" indent="0" shrinkToFit="false"/>
      <protection locked="true" hidden="false"/>
    </xf>
    <xf numFmtId="174" fontId="7" fillId="3" borderId="63" xfId="0" applyFont="true" applyBorder="true" applyAlignment="true" applyProtection="false">
      <alignment horizontal="left" vertical="bottom" textRotation="0" wrapText="false" indent="0" shrinkToFit="false"/>
      <protection locked="true" hidden="false"/>
    </xf>
    <xf numFmtId="174" fontId="7" fillId="3" borderId="64" xfId="0" applyFont="true" applyBorder="true" applyAlignment="true" applyProtection="false">
      <alignment horizontal="left" vertical="center" textRotation="0" wrapText="true" indent="0" shrinkToFit="false"/>
      <protection locked="true" hidden="false"/>
    </xf>
    <xf numFmtId="173" fontId="7" fillId="3" borderId="65" xfId="0" applyFont="true" applyBorder="true" applyAlignment="true" applyProtection="false">
      <alignment horizontal="right" vertical="bottom" textRotation="0" wrapText="true" indent="0" shrinkToFit="false"/>
      <protection locked="true" hidden="false"/>
    </xf>
    <xf numFmtId="173" fontId="7" fillId="3" borderId="66" xfId="0" applyFont="true" applyBorder="true" applyAlignment="true" applyProtection="false">
      <alignment horizontal="right" vertical="bottom" textRotation="0" wrapText="true" indent="0" shrinkToFit="false"/>
      <protection locked="true" hidden="false"/>
    </xf>
    <xf numFmtId="173" fontId="7" fillId="3" borderId="67" xfId="0" applyFont="true" applyBorder="true" applyAlignment="true" applyProtection="false">
      <alignment horizontal="right" vertical="bottom" textRotation="0" wrapText="true" indent="0" shrinkToFit="false"/>
      <protection locked="true" hidden="false"/>
    </xf>
    <xf numFmtId="173" fontId="7" fillId="3" borderId="68" xfId="0" applyFont="true" applyBorder="true" applyAlignment="true" applyProtection="false">
      <alignment horizontal="right" vertical="bottom" textRotation="0" wrapText="true" indent="0" shrinkToFit="false"/>
      <protection locked="true" hidden="false"/>
    </xf>
    <xf numFmtId="174" fontId="7" fillId="3" borderId="69" xfId="0" applyFont="true" applyBorder="true" applyAlignment="true" applyProtection="false">
      <alignment horizontal="center" vertical="bottom" textRotation="0" wrapText="false" indent="0" shrinkToFit="false"/>
      <protection locked="true" hidden="false"/>
    </xf>
    <xf numFmtId="174" fontId="7" fillId="3" borderId="70" xfId="0" applyFont="true" applyBorder="true" applyAlignment="true" applyProtection="false">
      <alignment horizontal="left" vertical="bottom" textRotation="0" wrapText="false" indent="0" shrinkToFit="false"/>
      <protection locked="true" hidden="false"/>
    </xf>
    <xf numFmtId="174" fontId="7" fillId="3" borderId="71" xfId="0" applyFont="true" applyBorder="true" applyAlignment="true" applyProtection="false">
      <alignment horizontal="left" vertical="center" textRotation="0" wrapText="true" indent="0" shrinkToFit="false"/>
      <protection locked="true" hidden="false"/>
    </xf>
    <xf numFmtId="164" fontId="20" fillId="2" borderId="2" xfId="0" applyFont="true" applyBorder="true" applyAlignment="true" applyProtection="false">
      <alignment horizontal="center" vertical="center" textRotation="0" wrapText="false" indent="0" shrinkToFit="false"/>
      <protection locked="true" hidden="false"/>
    </xf>
    <xf numFmtId="164" fontId="7" fillId="9" borderId="72" xfId="0" applyFont="true" applyBorder="true" applyAlignment="true" applyProtection="false">
      <alignment horizontal="center" vertical="center" textRotation="0" wrapText="false" indent="0" shrinkToFit="false"/>
      <protection locked="true" hidden="false"/>
    </xf>
    <xf numFmtId="164" fontId="0" fillId="9" borderId="73" xfId="0" applyFont="false" applyBorder="true" applyAlignment="true" applyProtection="false">
      <alignment horizontal="left" vertical="center" textRotation="0" wrapText="false" indent="0" shrinkToFit="false"/>
      <protection locked="true" hidden="false"/>
    </xf>
    <xf numFmtId="164" fontId="0" fillId="9" borderId="64" xfId="0" applyFont="false" applyBorder="true" applyAlignment="true" applyProtection="false">
      <alignment horizontal="left" vertical="center" textRotation="0" wrapText="true" indent="0" shrinkToFit="false"/>
      <protection locked="true" hidden="false"/>
    </xf>
    <xf numFmtId="175" fontId="0" fillId="4" borderId="65" xfId="0" applyFont="false" applyBorder="true" applyAlignment="true" applyProtection="false">
      <alignment horizontal="right" vertical="center" textRotation="0" wrapText="false" indent="0" shrinkToFit="false"/>
      <protection locked="true" hidden="false"/>
    </xf>
    <xf numFmtId="175" fontId="0" fillId="4" borderId="74" xfId="0" applyFont="false" applyBorder="true" applyAlignment="true" applyProtection="false">
      <alignment horizontal="right" vertical="center" textRotation="0" wrapText="false" indent="0" shrinkToFit="false"/>
      <protection locked="true" hidden="false"/>
    </xf>
    <xf numFmtId="175" fontId="0" fillId="4" borderId="67" xfId="0" applyFont="false" applyBorder="true" applyAlignment="true" applyProtection="false">
      <alignment horizontal="right" vertical="center" textRotation="0" wrapText="false" indent="0" shrinkToFit="false"/>
      <protection locked="true" hidden="false"/>
    </xf>
    <xf numFmtId="175" fontId="0" fillId="4" borderId="0" xfId="0" applyFont="false" applyBorder="true" applyAlignment="true" applyProtection="false">
      <alignment horizontal="center" vertical="center" textRotation="0" wrapText="false" indent="0" shrinkToFit="false"/>
      <protection locked="true" hidden="false"/>
    </xf>
    <xf numFmtId="175" fontId="0" fillId="4" borderId="68" xfId="0" applyFont="false" applyBorder="true" applyAlignment="true" applyProtection="false">
      <alignment horizontal="right" vertical="center" textRotation="0" wrapText="false" indent="0" shrinkToFit="false"/>
      <protection locked="true" hidden="false"/>
    </xf>
    <xf numFmtId="164" fontId="21" fillId="4" borderId="0" xfId="0" applyFont="true" applyBorder="false" applyAlignment="false" applyProtection="false">
      <alignment horizontal="general" vertical="bottom" textRotation="0" wrapText="false" indent="0" shrinkToFit="false"/>
      <protection locked="true" hidden="false"/>
    </xf>
    <xf numFmtId="164" fontId="21" fillId="4" borderId="0" xfId="0" applyFont="true" applyBorder="false" applyAlignment="true" applyProtection="false">
      <alignment horizontal="general" vertical="bottom" textRotation="0" wrapText="false" indent="0" shrinkToFit="false"/>
      <protection locked="true" hidden="false"/>
    </xf>
    <xf numFmtId="164" fontId="0" fillId="9" borderId="71" xfId="0" applyFont="false" applyBorder="true" applyAlignment="true" applyProtection="false">
      <alignment horizontal="left" vertical="center" textRotation="0" wrapText="true" indent="0" shrinkToFit="false"/>
      <protection locked="true" hidden="false"/>
    </xf>
    <xf numFmtId="175" fontId="0" fillId="4" borderId="0" xfId="0" applyFont="false" applyBorder="true" applyAlignment="true" applyProtection="false">
      <alignment horizontal="right" vertical="center" textRotation="0" wrapText="false" indent="0" shrinkToFit="false"/>
      <protection locked="true" hidden="false"/>
    </xf>
    <xf numFmtId="164" fontId="7" fillId="3" borderId="2" xfId="0" applyFont="true" applyBorder="true" applyAlignment="true" applyProtection="false">
      <alignment horizontal="left" vertical="center" textRotation="0" wrapText="true" indent="0" shrinkToFit="false"/>
      <protection locked="true" hidden="false"/>
    </xf>
    <xf numFmtId="175" fontId="0" fillId="4" borderId="66" xfId="0" applyFont="false" applyBorder="true" applyAlignment="true" applyProtection="false">
      <alignment horizontal="right" vertical="bottom" textRotation="0" wrapText="false" indent="0" shrinkToFit="false"/>
      <protection locked="true" hidden="false"/>
    </xf>
    <xf numFmtId="175" fontId="0" fillId="4" borderId="67" xfId="0" applyFont="false" applyBorder="true" applyAlignment="true" applyProtection="false">
      <alignment horizontal="right" vertical="bottom" textRotation="0" wrapText="false" indent="0" shrinkToFit="false"/>
      <protection locked="true" hidden="false"/>
    </xf>
    <xf numFmtId="175" fontId="0" fillId="4" borderId="0" xfId="0" applyFont="false" applyBorder="true" applyAlignment="true" applyProtection="false">
      <alignment horizontal="right" vertical="bottom" textRotation="0" wrapText="false" indent="0" shrinkToFit="false"/>
      <protection locked="true" hidden="false"/>
    </xf>
    <xf numFmtId="175" fontId="0" fillId="4" borderId="65" xfId="0" applyFont="false" applyBorder="true" applyAlignment="true" applyProtection="false">
      <alignment horizontal="right" vertical="bottom" textRotation="0" wrapText="false" indent="0" shrinkToFit="false"/>
      <protection locked="true" hidden="false"/>
    </xf>
    <xf numFmtId="175" fontId="0" fillId="4" borderId="68" xfId="0" applyFont="false" applyBorder="true" applyAlignment="true" applyProtection="false">
      <alignment horizontal="right" vertical="bottom" textRotation="0" wrapText="false" indent="0" shrinkToFit="false"/>
      <protection locked="true" hidden="false"/>
    </xf>
    <xf numFmtId="164" fontId="22" fillId="4" borderId="0" xfId="0" applyFont="true" applyBorder="false" applyAlignment="false" applyProtection="false">
      <alignment horizontal="general" vertical="bottom" textRotation="0" wrapText="false" indent="0" shrinkToFit="false"/>
      <protection locked="true" hidden="false"/>
    </xf>
    <xf numFmtId="174" fontId="7"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64" fontId="7" fillId="3" borderId="75" xfId="0" applyFont="true" applyBorder="true" applyAlignment="false" applyProtection="false">
      <alignment horizontal="general" vertical="bottom" textRotation="0" wrapText="false" indent="0" shrinkToFit="false"/>
      <protection locked="true" hidden="false"/>
    </xf>
    <xf numFmtId="164" fontId="0" fillId="3" borderId="75" xfId="0" applyFont="false" applyBorder="true" applyAlignment="false" applyProtection="false">
      <alignment horizontal="general" vertical="bottom" textRotation="0" wrapText="false" indent="0" shrinkToFit="false"/>
      <protection locked="true" hidden="false"/>
    </xf>
    <xf numFmtId="174" fontId="7" fillId="3" borderId="75" xfId="0" applyFont="true" applyBorder="true" applyAlignment="false" applyProtection="false">
      <alignment horizontal="general" vertical="bottom" textRotation="0" wrapText="false" indent="0" shrinkToFit="false"/>
      <protection locked="true" hidden="false"/>
    </xf>
    <xf numFmtId="164" fontId="0" fillId="3" borderId="75" xfId="0" applyFont="false" applyBorder="true" applyAlignment="false" applyProtection="false">
      <alignment horizontal="general" vertical="bottom" textRotation="0" wrapText="false" indent="0" shrinkToFit="false"/>
      <protection locked="true" hidden="false"/>
    </xf>
    <xf numFmtId="164" fontId="7" fillId="3" borderId="75" xfId="0" applyFont="true" applyBorder="true" applyAlignment="false" applyProtection="false">
      <alignment horizontal="general" vertical="bottom" textRotation="0" wrapText="false" indent="0" shrinkToFit="false"/>
      <protection locked="true" hidden="false"/>
    </xf>
    <xf numFmtId="164" fontId="0" fillId="10" borderId="0" xfId="0" applyFont="false" applyBorder="false" applyAlignment="false" applyProtection="false">
      <alignment horizontal="general" vertical="bottom" textRotation="0" wrapText="false" indent="0" shrinkToFit="false"/>
      <protection locked="true" hidden="false"/>
    </xf>
    <xf numFmtId="174" fontId="7" fillId="10" borderId="0" xfId="0" applyFont="true" applyBorder="false" applyAlignment="false" applyProtection="false">
      <alignment horizontal="general" vertical="bottom" textRotation="0" wrapText="false" indent="0" shrinkToFit="false"/>
      <protection locked="true" hidden="false"/>
    </xf>
    <xf numFmtId="164" fontId="0" fillId="10" borderId="0" xfId="0" applyFont="false" applyBorder="false" applyAlignment="false" applyProtection="false">
      <alignment horizontal="general" vertical="bottom" textRotation="0" wrapText="false" indent="0" shrinkToFit="false"/>
      <protection locked="true" hidden="false"/>
    </xf>
    <xf numFmtId="174" fontId="8" fillId="4" borderId="2" xfId="0" applyFont="true" applyBorder="true" applyAlignment="false" applyProtection="true">
      <alignment horizontal="general" vertical="bottom" textRotation="0" wrapText="false" indent="0" shrinkToFit="false"/>
      <protection locked="false" hidden="false"/>
    </xf>
    <xf numFmtId="164" fontId="0" fillId="10" borderId="0" xfId="0" applyFont="true" applyBorder="false" applyAlignment="true" applyProtection="false">
      <alignment horizontal="left" vertical="bottom" textRotation="0" wrapText="false" indent="1" shrinkToFit="false"/>
      <protection locked="true" hidden="false"/>
    </xf>
    <xf numFmtId="166" fontId="8" fillId="4" borderId="2" xfId="0" applyFont="true" applyBorder="true" applyAlignment="false" applyProtection="true">
      <alignment horizontal="general" vertical="bottom" textRotation="0" wrapText="false" indent="0" shrinkToFit="false"/>
      <protection locked="fals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8" fillId="0" borderId="0" xfId="0" applyFont="true" applyBorder="false" applyAlignment="true" applyProtection="true">
      <alignment horizontal="right" vertical="bottom" textRotation="0" wrapText="false" indent="0" shrinkToFit="false"/>
      <protection locked="false" hidden="false"/>
    </xf>
    <xf numFmtId="174" fontId="17" fillId="2" borderId="2" xfId="0" applyFont="true" applyBorder="true" applyAlignment="true" applyProtection="true">
      <alignment horizontal="right" vertical="center" textRotation="0" wrapText="true" indent="0" shrinkToFit="false"/>
      <protection locked="false" hidden="false"/>
    </xf>
    <xf numFmtId="164" fontId="8" fillId="0" borderId="76" xfId="0" applyFont="true" applyBorder="true" applyAlignment="true" applyProtection="true">
      <alignment horizontal="right" vertical="top" textRotation="0" wrapText="true" indent="0" shrinkToFit="false"/>
      <protection locked="false" hidden="false"/>
    </xf>
    <xf numFmtId="164" fontId="8" fillId="0" borderId="76" xfId="0" applyFont="true" applyBorder="true" applyAlignment="true" applyProtection="true">
      <alignment horizontal="right" vertical="top" textRotation="0" wrapText="false" indent="0" shrinkToFit="false"/>
      <protection locked="false" hidden="false"/>
    </xf>
    <xf numFmtId="164" fontId="8" fillId="0" borderId="76" xfId="0" applyFont="true" applyBorder="true" applyAlignment="true" applyProtection="true">
      <alignment horizontal="right" vertical="top" textRotation="0" wrapText="false" indent="0" shrinkToFit="false"/>
      <protection locked="false" hidden="false"/>
    </xf>
    <xf numFmtId="166" fontId="20" fillId="0" borderId="0" xfId="0" applyFont="true" applyBorder="false" applyAlignment="true" applyProtection="false">
      <alignment horizontal="right" vertical="bottom" textRotation="0" wrapText="false" indent="0" shrinkToFit="false"/>
      <protection locked="true" hidden="false"/>
    </xf>
    <xf numFmtId="174" fontId="17" fillId="2" borderId="2" xfId="0" applyFont="true" applyBorder="true" applyAlignment="true" applyProtection="false">
      <alignment horizontal="right" vertical="center" textRotation="0" wrapText="true" indent="0" shrinkToFit="false"/>
      <protection locked="true" hidden="false"/>
    </xf>
    <xf numFmtId="164" fontId="20" fillId="0" borderId="75" xfId="0" applyFont="true" applyBorder="true" applyAlignment="true" applyProtection="false">
      <alignment horizontal="right" vertical="top" textRotation="0" wrapText="true" indent="0" shrinkToFit="false"/>
      <protection locked="true" hidden="false"/>
    </xf>
    <xf numFmtId="166" fontId="20" fillId="0" borderId="75" xfId="0" applyFont="true" applyBorder="true" applyAlignment="true" applyProtection="false">
      <alignment horizontal="right" vertical="top" textRotation="0" wrapText="true" indent="0" shrinkToFit="false"/>
      <protection locked="true" hidden="false"/>
    </xf>
    <xf numFmtId="166" fontId="20" fillId="0" borderId="75" xfId="0" applyFont="true" applyBorder="true" applyAlignment="true" applyProtection="false">
      <alignment horizontal="right" vertical="top" textRotation="0" wrapText="false" indent="0" shrinkToFit="false"/>
      <protection locked="true" hidden="false"/>
    </xf>
    <xf numFmtId="164" fontId="0" fillId="0" borderId="0" xfId="0" applyFont="false" applyBorder="false" applyAlignment="true" applyProtection="false">
      <alignment horizontal="right" vertical="bottom" textRotation="0" wrapText="true" indent="0" shrinkToFit="false"/>
      <protection locked="true" hidden="false"/>
    </xf>
    <xf numFmtId="164" fontId="0" fillId="0" borderId="0" xfId="0" applyFont="false" applyBorder="false" applyAlignment="true" applyProtection="false">
      <alignment horizontal="right" vertical="bottom" textRotation="0" wrapText="true" indent="0" shrinkToFit="false"/>
      <protection locked="true" hidden="false"/>
    </xf>
    <xf numFmtId="174" fontId="7" fillId="2" borderId="2" xfId="0" applyFont="true" applyBorder="true" applyAlignment="true" applyProtection="false">
      <alignment horizontal="right" vertical="center" textRotation="0" wrapText="true" indent="0" shrinkToFit="false"/>
      <protection locked="true" hidden="false"/>
    </xf>
    <xf numFmtId="164" fontId="0" fillId="0" borderId="75" xfId="0" applyFont="false" applyBorder="true" applyAlignment="true" applyProtection="false">
      <alignment horizontal="right" vertical="top" textRotation="0" wrapText="true" indent="0" shrinkToFit="false"/>
      <protection locked="true" hidden="false"/>
    </xf>
    <xf numFmtId="164" fontId="0" fillId="0" borderId="75" xfId="0" applyFont="true" applyBorder="true" applyAlignment="true" applyProtection="false">
      <alignment horizontal="right" vertical="top" textRotation="0" wrapText="true" indent="0" shrinkToFit="false"/>
      <protection locked="true" hidden="false"/>
    </xf>
    <xf numFmtId="164" fontId="0" fillId="0" borderId="76" xfId="0" applyFont="false" applyBorder="true" applyAlignment="true" applyProtection="false">
      <alignment horizontal="right" vertical="bottom" textRotation="0" wrapText="true" indent="0" shrinkToFit="false"/>
      <protection locked="true" hidden="false"/>
    </xf>
    <xf numFmtId="164" fontId="0" fillId="0" borderId="76" xfId="0" applyFont="true" applyBorder="true" applyAlignment="true" applyProtection="false">
      <alignment horizontal="right" vertical="bottom" textRotation="0" wrapText="false" indent="0" shrinkToFit="false"/>
      <protection locked="true" hidden="false"/>
    </xf>
    <xf numFmtId="164" fontId="0" fillId="0" borderId="76" xfId="0" applyFont="true" applyBorder="true" applyAlignment="true" applyProtection="false">
      <alignment horizontal="right" vertical="bottom" textRotation="0" wrapText="false" indent="0" shrinkToFit="false"/>
      <protection locked="true" hidden="false"/>
    </xf>
    <xf numFmtId="164" fontId="0" fillId="0" borderId="76" xfId="0" applyFont="true" applyBorder="true" applyAlignment="true" applyProtection="false">
      <alignment horizontal="right" vertical="bottom" textRotation="0" wrapText="tru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64" fontId="9" fillId="4" borderId="0" xfId="0" applyFont="true" applyBorder="false" applyAlignment="true" applyProtection="true">
      <alignment horizontal="right" vertical="bottom" textRotation="0" wrapText="true" indent="0" shrinkToFit="false"/>
      <protection locked="true" hidden="false"/>
    </xf>
    <xf numFmtId="174" fontId="7" fillId="0" borderId="0" xfId="0" applyFont="true" applyBorder="false" applyAlignment="true" applyProtection="false">
      <alignment horizontal="right" vertical="bottom" textRotation="0" wrapText="true" indent="0" shrinkToFit="false"/>
      <protection locked="true" hidden="false"/>
    </xf>
    <xf numFmtId="176" fontId="0" fillId="0" borderId="0" xfId="0" applyFont="false" applyBorder="false" applyAlignment="true" applyProtection="false">
      <alignment horizontal="right" vertical="bottom" textRotation="0" wrapText="true" indent="0" shrinkToFit="false"/>
      <protection locked="true" hidden="false"/>
    </xf>
    <xf numFmtId="169" fontId="0" fillId="0" borderId="0" xfId="0" applyFont="false" applyBorder="false" applyAlignment="true" applyProtection="false">
      <alignment horizontal="right" vertical="bottom" textRotation="0" wrapText="true" indent="0" shrinkToFit="false"/>
      <protection locked="true" hidden="false"/>
    </xf>
    <xf numFmtId="176" fontId="0" fillId="0" borderId="0" xfId="0" applyFont="false" applyBorder="false" applyAlignment="false" applyProtection="false">
      <alignment horizontal="general" vertical="bottom" textRotation="0" wrapText="false" indent="0" shrinkToFit="false"/>
      <protection locked="true" hidden="false"/>
    </xf>
    <xf numFmtId="169" fontId="0" fillId="0" borderId="0" xfId="0" applyFont="false" applyBorder="false" applyAlignment="false" applyProtection="false">
      <alignment horizontal="general" vertical="bottom" textRotation="0" wrapText="fals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24" fillId="0" borderId="0" xfId="0" applyFont="true" applyBorder="true" applyAlignment="false" applyProtection="false">
      <alignment horizontal="general" vertical="bottom" textRotation="0" wrapText="false" indent="0" shrinkToFit="false"/>
      <protection locked="true" hidden="false"/>
    </xf>
    <xf numFmtId="164" fontId="24" fillId="0" borderId="0" xfId="0" applyFont="true" applyBorder="true" applyAlignment="true" applyProtection="false">
      <alignment horizontal="left" vertical="bottom"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24" fillId="6" borderId="0" xfId="0" applyFont="true" applyBorder="true" applyAlignment="false" applyProtection="false">
      <alignment horizontal="general" vertical="bottom" textRotation="0" wrapText="false" indent="0" shrinkToFit="false"/>
      <protection locked="true" hidden="false"/>
    </xf>
    <xf numFmtId="164" fontId="25" fillId="0" borderId="0" xfId="0" applyFont="true" applyBorder="false" applyAlignment="false" applyProtection="false">
      <alignment horizontal="general" vertical="bottom" textRotation="0" wrapText="false" indent="0" shrinkToFit="false"/>
      <protection locked="true" hidden="false"/>
    </xf>
    <xf numFmtId="164" fontId="24" fillId="6" borderId="0" xfId="0" applyFont="true" applyBorder="true" applyAlignment="true" applyProtection="false">
      <alignment horizontal="left" vertical="bottom" textRotation="0" wrapText="false" indent="0" shrinkToFit="false"/>
      <protection locked="true" hidden="false"/>
    </xf>
    <xf numFmtId="164" fontId="25" fillId="0" borderId="0" xfId="0" applyFont="true" applyBorder="false" applyAlignment="true" applyProtection="false">
      <alignment horizontal="left" vertical="bottom" textRotation="0" wrapText="false" indent="0" shrinkToFit="false"/>
      <protection locked="true" hidden="false"/>
    </xf>
    <xf numFmtId="164" fontId="0" fillId="11" borderId="0" xfId="0" applyFont="false" applyBorder="false" applyAlignment="false" applyProtection="false">
      <alignment horizontal="general" vertical="bottom" textRotation="0" wrapText="false" indent="0" shrinkToFit="false"/>
      <protection locked="true" hidden="false"/>
    </xf>
    <xf numFmtId="177" fontId="0" fillId="0" borderId="0" xfId="0" applyFont="false" applyBorder="false" applyAlignment="false" applyProtection="false">
      <alignment horizontal="general"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8" fillId="4" borderId="2" xfId="0" applyFont="true" applyBorder="true" applyAlignment="true" applyProtection="false">
      <alignment horizontal="left" vertical="bottom" textRotation="0" wrapText="false" indent="0" shrinkToFit="false"/>
      <protection locked="true" hidden="false"/>
    </xf>
    <xf numFmtId="174" fontId="7" fillId="3" borderId="77" xfId="0" applyFont="true" applyBorder="true" applyAlignment="true" applyProtection="false">
      <alignment horizontal="right" vertical="bottom" textRotation="0" wrapText="false" indent="0" shrinkToFit="false"/>
      <protection locked="true" hidden="false"/>
    </xf>
    <xf numFmtId="174" fontId="7" fillId="3" borderId="63" xfId="0" applyFont="true" applyBorder="true" applyAlignment="true" applyProtection="false">
      <alignment horizontal="right" vertical="bottom" textRotation="0" wrapText="false" indent="0" shrinkToFit="false"/>
      <protection locked="true" hidden="false"/>
    </xf>
    <xf numFmtId="174" fontId="7" fillId="3" borderId="64" xfId="0" applyFont="true" applyBorder="true" applyAlignment="true" applyProtection="false">
      <alignment horizontal="right" vertical="bottom" textRotation="0" wrapText="false" indent="0" shrinkToFit="false"/>
      <protection locked="true" hidden="false"/>
    </xf>
    <xf numFmtId="174" fontId="7" fillId="3" borderId="78" xfId="0" applyFont="true" applyBorder="true" applyAlignment="true" applyProtection="false">
      <alignment horizontal="right" vertical="bottom" textRotation="0" wrapText="false" indent="0" shrinkToFit="false"/>
      <protection locked="true" hidden="false"/>
    </xf>
    <xf numFmtId="174" fontId="7" fillId="3" borderId="70" xfId="0" applyFont="true" applyBorder="true" applyAlignment="true" applyProtection="false">
      <alignment horizontal="right" vertical="bottom" textRotation="0" wrapText="false" indent="0" shrinkToFit="false"/>
      <protection locked="true" hidden="false"/>
    </xf>
    <xf numFmtId="174" fontId="7" fillId="3" borderId="71" xfId="0" applyFont="true" applyBorder="true" applyAlignment="true" applyProtection="false">
      <alignment horizontal="right" vertical="bottom" textRotation="0" wrapText="false" indent="0" shrinkToFit="false"/>
      <protection locked="true" hidden="false"/>
    </xf>
    <xf numFmtId="173" fontId="0" fillId="4" borderId="63" xfId="0" applyFont="false" applyBorder="true" applyAlignment="true" applyProtection="false">
      <alignment horizontal="right" vertical="bottom" textRotation="0" wrapText="false" indent="0" shrinkToFit="false"/>
      <protection locked="true" hidden="false"/>
    </xf>
    <xf numFmtId="173" fontId="0" fillId="4" borderId="64" xfId="0" applyFont="false" applyBorder="true" applyAlignment="true" applyProtection="false">
      <alignment horizontal="right" vertical="bottom" textRotation="0" wrapText="false" indent="0" shrinkToFit="false"/>
      <protection locked="true" hidden="false"/>
    </xf>
    <xf numFmtId="173" fontId="0" fillId="4" borderId="79" xfId="0" applyFont="false" applyBorder="true" applyAlignment="false" applyProtection="false">
      <alignment horizontal="general" vertical="bottom" textRotation="0" wrapText="false" indent="0" shrinkToFit="false"/>
      <protection locked="true" hidden="false"/>
    </xf>
    <xf numFmtId="173" fontId="0" fillId="4" borderId="78" xfId="0" applyFont="false" applyBorder="true" applyAlignment="true" applyProtection="false">
      <alignment horizontal="right" vertical="bottom" textRotation="0" wrapText="false" indent="0" shrinkToFit="false"/>
      <protection locked="true" hidden="false"/>
    </xf>
    <xf numFmtId="173" fontId="0" fillId="4" borderId="70" xfId="0" applyFont="false" applyBorder="true" applyAlignment="true" applyProtection="false">
      <alignment horizontal="right" vertical="bottom" textRotation="0" wrapText="false" indent="0" shrinkToFit="false"/>
      <protection locked="true" hidden="false"/>
    </xf>
    <xf numFmtId="173" fontId="0" fillId="4" borderId="71" xfId="0" applyFont="false" applyBorder="true" applyAlignment="true" applyProtection="false">
      <alignment horizontal="right" vertical="bottom" textRotation="0" wrapText="false" indent="0" shrinkToFit="false"/>
      <protection locked="true" hidden="false"/>
    </xf>
    <xf numFmtId="173" fontId="0" fillId="4" borderId="80" xfId="0" applyFont="false" applyBorder="true" applyAlignment="false" applyProtection="false">
      <alignment horizontal="general" vertical="bottom" textRotation="0" wrapText="false" indent="0" shrinkToFit="false"/>
      <protection locked="true" hidden="false"/>
    </xf>
    <xf numFmtId="164" fontId="7" fillId="4" borderId="0" xfId="0" applyFont="true" applyBorder="false" applyAlignment="true" applyProtection="false">
      <alignment horizontal="left" vertical="center" textRotation="0" wrapText="true" indent="0" shrinkToFit="false"/>
      <protection locked="true" hidden="false"/>
    </xf>
    <xf numFmtId="164" fontId="0" fillId="4" borderId="22" xfId="0" applyFont="false" applyBorder="true" applyAlignment="false" applyProtection="false">
      <alignment horizontal="general" vertical="bottom" textRotation="0" wrapText="false" indent="0" shrinkToFit="false"/>
      <protection locked="true" hidden="false"/>
    </xf>
    <xf numFmtId="164" fontId="7" fillId="4" borderId="0" xfId="0" applyFont="true" applyBorder="false" applyAlignment="true" applyProtection="false">
      <alignment horizontal="left" vertical="center" textRotation="0" wrapText="false" indent="0" shrinkToFit="false"/>
      <protection locked="true" hidden="false"/>
    </xf>
    <xf numFmtId="164" fontId="0" fillId="4" borderId="81" xfId="0" applyFont="false" applyBorder="true" applyAlignment="false" applyProtection="false">
      <alignment horizontal="general" vertical="bottom" textRotation="0" wrapText="false" indent="0" shrinkToFit="false"/>
      <protection locked="true" hidden="false"/>
    </xf>
    <xf numFmtId="173" fontId="0" fillId="4" borderId="82" xfId="0" applyFont="false" applyBorder="true" applyAlignment="false" applyProtection="false">
      <alignment horizontal="general" vertical="bottom" textRotation="0" wrapText="false" indent="0" shrinkToFit="false"/>
      <protection locked="true" hidden="false"/>
    </xf>
    <xf numFmtId="174" fontId="26" fillId="4" borderId="0" xfId="0" applyFont="true" applyBorder="false" applyAlignment="false" applyProtection="false">
      <alignment horizontal="general" vertical="bottom" textRotation="0" wrapText="false" indent="0" shrinkToFit="false"/>
      <protection locked="true" hidden="false"/>
    </xf>
    <xf numFmtId="173" fontId="0" fillId="4" borderId="77" xfId="0" applyFont="false" applyBorder="true" applyAlignment="true" applyProtection="false">
      <alignment horizontal="right" vertical="bottom" textRotation="0" wrapText="false" indent="0" shrinkToFit="false"/>
      <protection locked="true" hidden="false"/>
    </xf>
    <xf numFmtId="178" fontId="0" fillId="0" borderId="0" xfId="19" applyFont="true" applyBorder="true" applyAlignment="true" applyProtection="true">
      <alignment horizontal="general" vertical="bottom" textRotation="0" wrapText="false" indent="0" shrinkToFit="false"/>
      <protection locked="true" hidden="false"/>
    </xf>
    <xf numFmtId="174" fontId="0" fillId="0" borderId="0" xfId="0" applyFont="false" applyBorder="false" applyAlignment="false" applyProtection="false">
      <alignment horizontal="general" vertical="bottom" textRotation="0" wrapText="false" indent="0" shrinkToFit="false"/>
      <protection locked="true" hidden="false"/>
    </xf>
    <xf numFmtId="180" fontId="0" fillId="0" borderId="0" xfId="15" applyFont="true" applyBorder="true" applyAlignment="true" applyProtection="true">
      <alignment horizontal="general" vertical="bottom" textRotation="0" wrapText="false" indent="0" shrinkToFit="false"/>
      <protection locked="true" hidden="false"/>
    </xf>
    <xf numFmtId="180"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81" fontId="0" fillId="0" borderId="0" xfId="15" applyFont="true" applyBorder="tru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7" fillId="0" borderId="0" xfId="0" applyFont="true" applyBorder="true" applyAlignment="true" applyProtection="false">
      <alignment horizontal="center" vertical="bottom" textRotation="0" wrapText="false" indent="0" shrinkToFit="false"/>
      <protection locked="true" hidden="false"/>
    </xf>
    <xf numFmtId="164" fontId="25"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center" vertical="bottom" textRotation="0" wrapText="false" indent="0" shrinkToFit="false"/>
      <protection locked="true" hidden="false"/>
    </xf>
    <xf numFmtId="164" fontId="7" fillId="11" borderId="0" xfId="0" applyFont="true" applyBorder="false" applyAlignment="false" applyProtection="false">
      <alignment horizontal="general" vertical="bottom" textRotation="0" wrapText="false" indent="0" shrinkToFit="false"/>
      <protection locked="true" hidden="false"/>
    </xf>
    <xf numFmtId="164" fontId="0" fillId="0" borderId="83" xfId="0" applyFont="false" applyBorder="true" applyAlignment="false" applyProtection="false">
      <alignment horizontal="general" vertical="bottom" textRotation="0" wrapText="false" indent="0" shrinkToFit="false"/>
      <protection locked="true" hidden="false"/>
    </xf>
    <xf numFmtId="164" fontId="6" fillId="0" borderId="84" xfId="0" applyFont="true" applyBorder="true" applyAlignment="false" applyProtection="false">
      <alignment horizontal="general" vertical="bottom" textRotation="0" wrapText="false" indent="0" shrinkToFit="false"/>
      <protection locked="true" hidden="false"/>
    </xf>
    <xf numFmtId="164" fontId="0" fillId="0" borderId="84" xfId="0" applyFont="false" applyBorder="true" applyAlignment="false" applyProtection="false">
      <alignment horizontal="general" vertical="bottom" textRotation="0" wrapText="false" indent="0" shrinkToFit="false"/>
      <protection locked="true" hidden="false"/>
    </xf>
    <xf numFmtId="164" fontId="0" fillId="0" borderId="85" xfId="0" applyFont="false" applyBorder="true" applyAlignment="false" applyProtection="false">
      <alignment horizontal="general" vertical="bottom" textRotation="0" wrapText="fals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86" xfId="0" applyFont="false" applyBorder="true" applyAlignment="false" applyProtection="false">
      <alignment horizontal="general" vertical="bottom" textRotation="0" wrapText="false" indent="0" shrinkToFit="false"/>
      <protection locked="true" hidden="false"/>
    </xf>
    <xf numFmtId="164" fontId="7" fillId="0" borderId="4" xfId="0" applyFont="true" applyBorder="true" applyAlignment="true" applyProtection="false">
      <alignment horizontal="center" vertical="bottom" textRotation="0" wrapText="false" indent="0" shrinkToFit="false"/>
      <protection locked="true" hidden="false"/>
    </xf>
    <xf numFmtId="174" fontId="0" fillId="0" borderId="0" xfId="0" applyFont="false" applyBorder="false" applyAlignment="false" applyProtection="false">
      <alignment horizontal="general" vertical="bottom" textRotation="0" wrapText="false" indent="0" shrinkToFit="false"/>
      <protection locked="true" hidden="false"/>
    </xf>
    <xf numFmtId="182" fontId="0" fillId="0" borderId="0" xfId="0" applyFont="false" applyBorder="false" applyAlignment="false" applyProtection="false">
      <alignment horizontal="general" vertical="bottom" textRotation="0" wrapText="false" indent="0" shrinkToFit="false"/>
      <protection locked="true" hidden="false"/>
    </xf>
    <xf numFmtId="183" fontId="0" fillId="0" borderId="0" xfId="0" applyFont="false" applyBorder="false" applyAlignment="true" applyProtection="false">
      <alignment horizontal="center" vertical="bottom" textRotation="0" wrapText="false" indent="0" shrinkToFit="false"/>
      <protection locked="true" hidden="false"/>
    </xf>
    <xf numFmtId="184" fontId="0" fillId="0" borderId="0" xfId="0" applyFont="false" applyBorder="false" applyAlignment="true" applyProtection="false">
      <alignment horizontal="center" vertical="bottom" textRotation="0" wrapText="false" indent="0" shrinkToFit="false"/>
      <protection locked="true" hidden="false"/>
    </xf>
    <xf numFmtId="174" fontId="0" fillId="0" borderId="0" xfId="0" applyFont="false" applyBorder="true" applyAlignment="false" applyProtection="false">
      <alignment horizontal="general" vertical="bottom" textRotation="0" wrapText="false" indent="0" shrinkToFit="false"/>
      <protection locked="true" hidden="false"/>
    </xf>
    <xf numFmtId="185" fontId="0" fillId="0" borderId="0" xfId="0" applyFont="false" applyBorder="true" applyAlignment="true" applyProtection="false">
      <alignment horizontal="center"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74" fontId="27" fillId="0" borderId="0" xfId="0" applyFont="true" applyBorder="true" applyAlignment="false" applyProtection="false">
      <alignment horizontal="general" vertical="bottom" textRotation="0" wrapText="false" indent="0" shrinkToFit="false"/>
      <protection locked="true" hidden="false"/>
    </xf>
    <xf numFmtId="174" fontId="27" fillId="0" borderId="0" xfId="0" applyFont="true" applyBorder="true" applyAlignment="true" applyProtection="false">
      <alignment horizontal="left" vertical="bottom" textRotation="0" wrapText="false" indent="0" shrinkToFit="false"/>
      <protection locked="true" hidden="false"/>
    </xf>
    <xf numFmtId="182" fontId="0" fillId="0" borderId="0" xfId="0" applyFont="false" applyBorder="false" applyAlignment="false" applyProtection="false">
      <alignment horizontal="general" vertical="bottom" textRotation="0" wrapText="false" indent="0" shrinkToFit="false"/>
      <protection locked="true" hidden="false"/>
    </xf>
    <xf numFmtId="164" fontId="28" fillId="0" borderId="0" xfId="0" applyFont="true" applyBorder="true" applyAlignment="true" applyProtection="false">
      <alignment horizontal="center" vertical="center" textRotation="0" wrapText="false" indent="0" shrinkToFit="false"/>
      <protection locked="true" hidden="false"/>
    </xf>
    <xf numFmtId="164" fontId="28" fillId="0" borderId="0" xfId="0" applyFont="true" applyBorder="true" applyAlignment="true" applyProtection="false">
      <alignment horizontal="left" vertical="center" textRotation="0" wrapText="false" indent="0" shrinkToFit="false"/>
      <protection locked="true" hidden="false"/>
    </xf>
    <xf numFmtId="173" fontId="0" fillId="0" borderId="0" xfId="0" applyFont="false" applyBorder="fals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85" fontId="6" fillId="0" borderId="0" xfId="0" applyFont="true" applyBorder="true" applyAlignment="true" applyProtection="false">
      <alignment horizontal="center" vertical="bottom" textRotation="0" wrapText="fals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64" fontId="0" fillId="0" borderId="12" xfId="0" applyFont="false" applyBorder="true" applyAlignment="false" applyProtection="false">
      <alignment horizontal="general" vertical="bottom" textRotation="0" wrapText="false" indent="0" shrinkToFit="false"/>
      <protection locked="true" hidden="false"/>
    </xf>
    <xf numFmtId="164" fontId="0" fillId="0" borderId="13" xfId="0" applyFont="false" applyBorder="true" applyAlignment="false" applyProtection="false">
      <alignment horizontal="general" vertical="bottom" textRotation="0" wrapText="false" indent="0" shrinkToFit="false"/>
      <protection locked="true" hidden="false"/>
    </xf>
    <xf numFmtId="182" fontId="0" fillId="0" borderId="0" xfId="0" applyFont="false" applyBorder="false" applyAlignment="true" applyProtection="false">
      <alignment horizontal="center" vertical="bottom" textRotation="0" wrapText="false" indent="0" shrinkToFit="false"/>
      <protection locked="true" hidden="false"/>
    </xf>
    <xf numFmtId="174" fontId="27" fillId="0" borderId="0" xfId="0" applyFont="true" applyBorder="true" applyAlignment="true" applyProtection="false">
      <alignment horizontal="center" vertical="bottom" textRotation="0" wrapText="false" indent="0" shrinkToFit="false"/>
      <protection locked="true" hidden="false"/>
    </xf>
    <xf numFmtId="173" fontId="0" fillId="0" borderId="87" xfId="0" applyFont="false" applyBorder="true" applyAlignment="true" applyProtection="false">
      <alignment horizontal="center" vertical="bottom" textRotation="0" wrapText="false" indent="0" shrinkToFit="false"/>
      <protection locked="true" hidden="false"/>
    </xf>
    <xf numFmtId="165" fontId="0" fillId="4" borderId="0" xfId="0" applyFont="false" applyBorder="false" applyAlignment="false" applyProtection="false">
      <alignment horizontal="general" vertical="bottom" textRotation="0" wrapText="fals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64" fontId="29" fillId="0" borderId="0" xfId="0" applyFont="true" applyBorder="true" applyAlignment="false" applyProtection="false">
      <alignment horizontal="general" vertical="bottom" textRotation="0" wrapText="fals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86" fontId="29" fillId="0" borderId="0" xfId="15" applyFont="true" applyBorder="true" applyAlignment="true" applyProtection="true">
      <alignment horizontal="general" vertical="bottom" textRotation="0" wrapText="false" indent="0" shrinkToFit="false"/>
      <protection locked="true" hidden="false"/>
    </xf>
    <xf numFmtId="164" fontId="29" fillId="12" borderId="88" xfId="0" applyFont="true" applyBorder="true" applyAlignment="false" applyProtection="false">
      <alignment horizontal="general" vertical="bottom" textRotation="0" wrapText="false" indent="0" shrinkToFit="false"/>
      <protection locked="true" hidden="false"/>
    </xf>
    <xf numFmtId="164" fontId="29" fillId="6" borderId="76" xfId="0" applyFont="true" applyBorder="true" applyAlignment="false" applyProtection="false">
      <alignment horizontal="general" vertical="bottom" textRotation="0" wrapText="false" indent="0" shrinkToFit="false"/>
      <protection locked="true" hidden="false"/>
    </xf>
    <xf numFmtId="164" fontId="30" fillId="12" borderId="68" xfId="0" applyFont="true" applyBorder="true" applyAlignment="true" applyProtection="false">
      <alignment horizontal="center" vertical="bottom" textRotation="0" wrapText="false" indent="0" shrinkToFit="false"/>
      <protection locked="true" hidden="false"/>
    </xf>
    <xf numFmtId="164" fontId="29" fillId="12" borderId="22" xfId="0" applyFont="true" applyBorder="true" applyAlignment="false" applyProtection="false">
      <alignment horizontal="general" vertical="bottom" textRotation="0" wrapText="false" indent="0" shrinkToFit="false"/>
      <protection locked="true" hidden="false"/>
    </xf>
    <xf numFmtId="164" fontId="30" fillId="12" borderId="2" xfId="0" applyFont="true" applyBorder="true" applyAlignment="true" applyProtection="false">
      <alignment horizontal="center" vertical="bottom" textRotation="0" wrapText="false" indent="0" shrinkToFit="false"/>
      <protection locked="true" hidden="false"/>
    </xf>
    <xf numFmtId="164" fontId="30" fillId="12" borderId="76" xfId="0" applyFont="true" applyBorder="true" applyAlignment="true" applyProtection="false">
      <alignment horizontal="center" vertical="bottom" textRotation="0" wrapText="false" indent="0" shrinkToFit="false"/>
      <protection locked="true" hidden="false"/>
    </xf>
    <xf numFmtId="164" fontId="30" fillId="12" borderId="22" xfId="0" applyFont="true" applyBorder="true" applyAlignment="false" applyProtection="false">
      <alignment horizontal="general" vertical="bottom" textRotation="0" wrapText="false" indent="0" shrinkToFit="false"/>
      <protection locked="true" hidden="false"/>
    </xf>
    <xf numFmtId="171" fontId="29" fillId="0" borderId="22" xfId="0" applyFont="true" applyBorder="true" applyAlignment="false" applyProtection="false">
      <alignment horizontal="general" vertical="bottom" textRotation="0" wrapText="false" indent="0" shrinkToFit="false"/>
      <protection locked="true" hidden="false"/>
    </xf>
    <xf numFmtId="171" fontId="29" fillId="0" borderId="0" xfId="0" applyFont="true" applyBorder="true" applyAlignment="false" applyProtection="false">
      <alignment horizontal="general" vertical="bottom" textRotation="0" wrapText="false" indent="0" shrinkToFit="false"/>
      <protection locked="true" hidden="false"/>
    </xf>
    <xf numFmtId="171" fontId="29" fillId="0" borderId="32" xfId="0" applyFont="true" applyBorder="true" applyAlignment="false" applyProtection="false">
      <alignment horizontal="general" vertical="bottom" textRotation="0" wrapText="false" indent="0" shrinkToFit="false"/>
      <protection locked="true" hidden="false"/>
    </xf>
    <xf numFmtId="171" fontId="29" fillId="0" borderId="79" xfId="0" applyFont="true" applyBorder="true" applyAlignment="false" applyProtection="false">
      <alignment horizontal="general" vertical="bottom" textRotation="0" wrapText="false" indent="0" shrinkToFit="false"/>
      <protection locked="true" hidden="false"/>
    </xf>
    <xf numFmtId="171" fontId="29" fillId="0" borderId="89" xfId="0" applyFont="true" applyBorder="true" applyAlignment="false" applyProtection="false">
      <alignment horizontal="general" vertical="bottom" textRotation="0" wrapText="false" indent="0" shrinkToFit="false"/>
      <protection locked="true" hidden="false"/>
    </xf>
    <xf numFmtId="164" fontId="30" fillId="12" borderId="80" xfId="0" applyFont="true" applyBorder="true" applyAlignment="false" applyProtection="false">
      <alignment horizontal="general" vertical="bottom" textRotation="0" wrapText="false" indent="0" shrinkToFit="false"/>
      <protection locked="true" hidden="false"/>
    </xf>
    <xf numFmtId="171" fontId="29" fillId="0" borderId="81" xfId="0" applyFont="true" applyBorder="true" applyAlignment="false" applyProtection="false">
      <alignment horizontal="general" vertical="bottom" textRotation="0" wrapText="false" indent="0" shrinkToFit="false"/>
      <protection locked="true" hidden="false"/>
    </xf>
    <xf numFmtId="171" fontId="30" fillId="0" borderId="51" xfId="0" applyFont="true" applyBorder="true" applyAlignment="false" applyProtection="false">
      <alignment horizontal="general" vertical="bottom" textRotation="0" wrapText="false" indent="0" shrinkToFit="false"/>
      <protection locked="true" hidden="false"/>
    </xf>
    <xf numFmtId="171" fontId="30" fillId="0" borderId="90" xfId="0" applyFont="true" applyBorder="true" applyAlignment="false" applyProtection="false">
      <alignment horizontal="general" vertical="bottom" textRotation="0" wrapText="false" indent="0" shrinkToFit="false"/>
      <protection locked="true" hidden="false"/>
    </xf>
    <xf numFmtId="171" fontId="30" fillId="0" borderId="91" xfId="0" applyFont="true" applyBorder="true" applyAlignment="false" applyProtection="false">
      <alignment horizontal="general" vertical="bottom" textRotation="0" wrapText="false" indent="0" shrinkToFit="false"/>
      <protection locked="true" hidden="false"/>
    </xf>
    <xf numFmtId="171" fontId="30" fillId="0" borderId="92" xfId="0" applyFont="true" applyBorder="true" applyAlignment="false" applyProtection="false">
      <alignment horizontal="general" vertical="bottom" textRotation="0" wrapText="false" indent="0" shrinkToFit="false"/>
      <protection locked="true" hidden="false"/>
    </xf>
    <xf numFmtId="171" fontId="30" fillId="0" borderId="93" xfId="0" applyFont="true" applyBorder="true" applyAlignment="false" applyProtection="false">
      <alignment horizontal="general" vertical="bottom" textRotation="0" wrapText="false" indent="0" shrinkToFit="false"/>
      <protection locked="true" hidden="false"/>
    </xf>
    <xf numFmtId="171" fontId="30" fillId="0" borderId="82" xfId="0" applyFont="true" applyBorder="true" applyAlignment="false" applyProtection="false">
      <alignment horizontal="general" vertical="bottom" textRotation="0" wrapText="false" indent="0" shrinkToFit="false"/>
      <protection locked="true" hidden="false"/>
    </xf>
    <xf numFmtId="164" fontId="29" fillId="0" borderId="0" xfId="0" applyFont="true" applyBorder="true" applyAlignment="true" applyProtection="false">
      <alignment horizontal="center" vertical="bottom" textRotation="0" wrapText="false" indent="0" shrinkToFit="false"/>
      <protection locked="true" hidden="false"/>
    </xf>
    <xf numFmtId="164" fontId="30" fillId="3" borderId="2" xfId="0" applyFont="true" applyBorder="true" applyAlignment="true" applyProtection="false">
      <alignment horizontal="center" vertical="bottom" textRotation="0" wrapText="false" indent="0" shrinkToFit="false"/>
      <protection locked="true" hidden="false"/>
    </xf>
    <xf numFmtId="164" fontId="30" fillId="0" borderId="88" xfId="0" applyFont="true" applyBorder="true" applyAlignment="true" applyProtection="false">
      <alignment horizontal="center" vertical="bottom" textRotation="0" wrapText="false" indent="0" shrinkToFit="false"/>
      <protection locked="true" hidden="false"/>
    </xf>
    <xf numFmtId="164" fontId="30" fillId="0" borderId="76" xfId="0" applyFont="true" applyBorder="true" applyAlignment="true" applyProtection="false">
      <alignment horizontal="center" vertical="bottom" textRotation="0" wrapText="false" indent="0" shrinkToFit="false"/>
      <protection locked="true" hidden="false"/>
    </xf>
    <xf numFmtId="164" fontId="30" fillId="0" borderId="68" xfId="0" applyFont="true" applyBorder="true" applyAlignment="true" applyProtection="false">
      <alignment horizontal="center" vertical="bottom" textRotation="0" wrapText="false" indent="0" shrinkToFit="false"/>
      <protection locked="true" hidden="false"/>
    </xf>
    <xf numFmtId="164" fontId="30" fillId="3" borderId="88" xfId="0" applyFont="true" applyBorder="true" applyAlignment="true" applyProtection="false">
      <alignment horizontal="center" vertical="bottom" textRotation="0" wrapText="false" indent="0" shrinkToFit="false"/>
      <protection locked="true" hidden="false"/>
    </xf>
    <xf numFmtId="164" fontId="30" fillId="3" borderId="68" xfId="0" applyFont="true" applyBorder="true" applyAlignment="true" applyProtection="false">
      <alignment horizontal="left" vertical="bottom" textRotation="0" wrapText="false" indent="0" shrinkToFit="false"/>
      <protection locked="true" hidden="false"/>
    </xf>
    <xf numFmtId="164" fontId="30" fillId="0" borderId="0" xfId="0" applyFont="true" applyBorder="true" applyAlignment="true" applyProtection="false">
      <alignment horizontal="center" vertical="bottom" textRotation="0" wrapText="false" indent="0" shrinkToFit="false"/>
      <protection locked="true" hidden="false"/>
    </xf>
    <xf numFmtId="164" fontId="29" fillId="12" borderId="76" xfId="0" applyFont="true" applyBorder="true" applyAlignment="false" applyProtection="false">
      <alignment horizontal="general" vertical="bottom" textRotation="0" wrapText="false" indent="0" shrinkToFit="false"/>
      <protection locked="true" hidden="false"/>
    </xf>
    <xf numFmtId="171" fontId="29" fillId="12" borderId="76" xfId="0" applyFont="true" applyBorder="true" applyAlignment="false" applyProtection="false">
      <alignment horizontal="general" vertical="bottom" textRotation="0" wrapText="false" indent="0" shrinkToFit="false"/>
      <protection locked="true" hidden="false"/>
    </xf>
    <xf numFmtId="164" fontId="30" fillId="12" borderId="76" xfId="0" applyFont="true" applyBorder="true" applyAlignment="false" applyProtection="false">
      <alignment horizontal="general" vertical="bottom" textRotation="0" wrapText="false" indent="0" shrinkToFit="false"/>
      <protection locked="true" hidden="false"/>
    </xf>
    <xf numFmtId="164" fontId="29" fillId="12" borderId="68" xfId="0" applyFont="true" applyBorder="true" applyAlignment="false" applyProtection="false">
      <alignment horizontal="general" vertical="bottom" textRotation="0" wrapText="false" indent="0" shrinkToFit="false"/>
      <protection locked="true" hidden="false"/>
    </xf>
    <xf numFmtId="164" fontId="29" fillId="12" borderId="2" xfId="0" applyFont="true" applyBorder="true" applyAlignment="false" applyProtection="false">
      <alignment horizontal="general" vertical="bottom" textRotation="0" wrapText="false" indent="0" shrinkToFit="false"/>
      <protection locked="true" hidden="false"/>
    </xf>
    <xf numFmtId="164" fontId="30" fillId="12" borderId="94" xfId="0" applyFont="true" applyBorder="true" applyAlignment="true" applyProtection="false">
      <alignment horizontal="center" vertical="bottom" textRotation="0" wrapText="false" indent="0" shrinkToFit="false"/>
      <protection locked="true" hidden="false"/>
    </xf>
    <xf numFmtId="164" fontId="29" fillId="12" borderId="76" xfId="0" applyFont="true" applyBorder="true" applyAlignment="true" applyProtection="false">
      <alignment horizontal="center" vertical="bottom" textRotation="0" wrapText="false" indent="0" shrinkToFit="false"/>
      <protection locked="true" hidden="false"/>
    </xf>
    <xf numFmtId="164" fontId="29" fillId="12" borderId="68" xfId="0" applyFont="true" applyBorder="true" applyAlignment="true" applyProtection="false">
      <alignment horizontal="center" vertical="bottom" textRotation="0" wrapText="false" indent="0" shrinkToFit="false"/>
      <protection locked="true" hidden="false"/>
    </xf>
    <xf numFmtId="164" fontId="29" fillId="12" borderId="79" xfId="0" applyFont="true" applyBorder="true" applyAlignment="true" applyProtection="false">
      <alignment horizontal="center" vertical="bottom" textRotation="0" wrapText="false" indent="0" shrinkToFit="false"/>
      <protection locked="true" hidden="false"/>
    </xf>
    <xf numFmtId="164" fontId="30" fillId="13" borderId="95" xfId="0" applyFont="true" applyBorder="true" applyAlignment="true" applyProtection="false">
      <alignment horizontal="center" vertical="bottom" textRotation="0" wrapText="false" indent="0" shrinkToFit="false"/>
      <protection locked="true" hidden="false"/>
    </xf>
    <xf numFmtId="164" fontId="30" fillId="13" borderId="0" xfId="0" applyFont="true" applyBorder="true" applyAlignment="true" applyProtection="false">
      <alignment horizontal="center" vertical="bottom" textRotation="0" wrapText="false" indent="0" shrinkToFit="false"/>
      <protection locked="true" hidden="false"/>
    </xf>
    <xf numFmtId="164" fontId="30" fillId="13" borderId="32" xfId="0" applyFont="true" applyBorder="true" applyAlignment="true" applyProtection="false">
      <alignment horizontal="center" vertical="bottom" textRotation="0" wrapText="false" indent="0" shrinkToFit="false"/>
      <protection locked="true" hidden="false"/>
    </xf>
    <xf numFmtId="164" fontId="30" fillId="0" borderId="95" xfId="0" applyFont="true" applyBorder="true" applyAlignment="true" applyProtection="false">
      <alignment horizontal="center" vertical="bottom" textRotation="0" wrapText="false" indent="0" shrinkToFit="false"/>
      <protection locked="true" hidden="false"/>
    </xf>
    <xf numFmtId="164" fontId="30" fillId="0" borderId="0" xfId="0" applyFont="true" applyBorder="true" applyAlignment="true" applyProtection="false">
      <alignment horizontal="center" vertical="bottom" textRotation="0" wrapText="false" indent="0" shrinkToFit="false"/>
      <protection locked="true" hidden="false"/>
    </xf>
    <xf numFmtId="164" fontId="30" fillId="0" borderId="32" xfId="0" applyFont="true" applyBorder="true" applyAlignment="true" applyProtection="false">
      <alignment horizontal="center" vertical="bottom" textRotation="0" wrapText="false" indent="0" shrinkToFit="false"/>
      <protection locked="true" hidden="false"/>
    </xf>
    <xf numFmtId="164" fontId="30" fillId="12" borderId="96" xfId="0" applyFont="true" applyBorder="true" applyAlignment="true" applyProtection="false">
      <alignment horizontal="center" vertical="bottom" textRotation="0" wrapText="false" indent="0" shrinkToFit="false"/>
      <protection locked="true" hidden="false"/>
    </xf>
    <xf numFmtId="164" fontId="30" fillId="12" borderId="75" xfId="0" applyFont="true" applyBorder="true" applyAlignment="true" applyProtection="false">
      <alignment horizontal="center" vertical="bottom" textRotation="0" wrapText="false" indent="0" shrinkToFit="false"/>
      <protection locked="true" hidden="false"/>
    </xf>
    <xf numFmtId="164" fontId="29" fillId="12" borderId="24" xfId="0" applyFont="true" applyBorder="true" applyAlignment="false" applyProtection="false">
      <alignment horizontal="general" vertical="bottom" textRotation="0" wrapText="false" indent="0" shrinkToFit="false"/>
      <protection locked="true" hidden="false"/>
    </xf>
    <xf numFmtId="164" fontId="30" fillId="12" borderId="97" xfId="0" applyFont="true" applyBorder="true" applyAlignment="true" applyProtection="false">
      <alignment horizontal="center" vertical="bottom" textRotation="0" wrapText="false" indent="0" shrinkToFit="false"/>
      <protection locked="true" hidden="false"/>
    </xf>
    <xf numFmtId="164" fontId="30" fillId="12" borderId="98" xfId="0" applyFont="true" applyBorder="true" applyAlignment="true" applyProtection="false">
      <alignment horizontal="center" vertical="bottom" textRotation="0" wrapText="false" indent="0" shrinkToFit="false"/>
      <protection locked="true" hidden="false"/>
    </xf>
    <xf numFmtId="164" fontId="30" fillId="12" borderId="99" xfId="0" applyFont="true" applyBorder="true" applyAlignment="true" applyProtection="false">
      <alignment horizontal="center" vertical="bottom" textRotation="0" wrapText="false" indent="0" shrinkToFit="false"/>
      <protection locked="true" hidden="false"/>
    </xf>
    <xf numFmtId="164" fontId="30" fillId="12" borderId="100" xfId="0" applyFont="true" applyBorder="true" applyAlignment="true" applyProtection="false">
      <alignment horizontal="center" vertical="bottom" textRotation="0" wrapText="false" indent="0" shrinkToFit="false"/>
      <protection locked="true" hidden="false"/>
    </xf>
    <xf numFmtId="164" fontId="30" fillId="13" borderId="100" xfId="0" applyFont="true" applyBorder="true" applyAlignment="true" applyProtection="false">
      <alignment horizontal="center" vertical="bottom" textRotation="0" wrapText="false" indent="0" shrinkToFit="false"/>
      <protection locked="true" hidden="false"/>
    </xf>
    <xf numFmtId="164" fontId="30" fillId="13" borderId="75" xfId="0" applyFont="true" applyBorder="true" applyAlignment="true" applyProtection="false">
      <alignment horizontal="center" vertical="bottom" textRotation="0" wrapText="false" indent="0" shrinkToFit="false"/>
      <protection locked="true" hidden="false"/>
    </xf>
    <xf numFmtId="164" fontId="30" fillId="13" borderId="96" xfId="0" applyFont="true" applyBorder="true" applyAlignment="true" applyProtection="false">
      <alignment horizontal="center" vertical="bottom" textRotation="0" wrapText="false" indent="0" shrinkToFit="false"/>
      <protection locked="true" hidden="false"/>
    </xf>
    <xf numFmtId="164" fontId="30" fillId="0" borderId="100" xfId="0" applyFont="true" applyBorder="true" applyAlignment="true" applyProtection="false">
      <alignment horizontal="center" vertical="bottom" textRotation="0" wrapText="false" indent="0" shrinkToFit="false"/>
      <protection locked="true" hidden="false"/>
    </xf>
    <xf numFmtId="164" fontId="30" fillId="0" borderId="75" xfId="0" applyFont="true" applyBorder="true" applyAlignment="true" applyProtection="false">
      <alignment horizontal="center" vertical="bottom" textRotation="0" wrapText="false" indent="0" shrinkToFit="false"/>
      <protection locked="true" hidden="false"/>
    </xf>
    <xf numFmtId="164" fontId="30" fillId="0" borderId="96" xfId="0" applyFont="true" applyBorder="true" applyAlignment="true" applyProtection="false">
      <alignment horizontal="center" vertical="bottom" textRotation="0" wrapText="false" indent="0" shrinkToFit="false"/>
      <protection locked="true" hidden="false"/>
    </xf>
    <xf numFmtId="164" fontId="29" fillId="3" borderId="88" xfId="0" applyFont="true" applyBorder="true" applyAlignment="false" applyProtection="false">
      <alignment horizontal="general" vertical="bottom" textRotation="0" wrapText="false" indent="0" shrinkToFit="false"/>
      <protection locked="true" hidden="false"/>
    </xf>
    <xf numFmtId="164" fontId="30" fillId="3" borderId="76" xfId="0" applyFont="true" applyBorder="true" applyAlignment="false" applyProtection="false">
      <alignment horizontal="general" vertical="bottom" textRotation="0" wrapText="false" indent="0" shrinkToFit="false"/>
      <protection locked="true" hidden="false"/>
    </xf>
    <xf numFmtId="164" fontId="29" fillId="3" borderId="76" xfId="0" applyFont="true" applyBorder="true" applyAlignment="false" applyProtection="false">
      <alignment horizontal="general" vertical="bottom" textRotation="0" wrapText="false" indent="0" shrinkToFit="false"/>
      <protection locked="true" hidden="false"/>
    </xf>
    <xf numFmtId="186" fontId="29" fillId="3" borderId="76" xfId="15" applyFont="true" applyBorder="true" applyAlignment="true" applyProtection="true">
      <alignment horizontal="general" vertical="bottom" textRotation="0" wrapText="false" indent="0" shrinkToFit="false"/>
      <protection locked="true" hidden="false"/>
    </xf>
    <xf numFmtId="164" fontId="29" fillId="3" borderId="68" xfId="0" applyFont="true" applyBorder="true" applyAlignment="false" applyProtection="false">
      <alignment horizontal="general" vertical="bottom" textRotation="0" wrapText="false" indent="0" shrinkToFit="false"/>
      <protection locked="true" hidden="false"/>
    </xf>
    <xf numFmtId="166" fontId="29" fillId="12" borderId="79" xfId="0" applyFont="true" applyBorder="true" applyAlignment="false" applyProtection="false">
      <alignment horizontal="general" vertical="bottom" textRotation="0" wrapText="false" indent="0" shrinkToFit="false"/>
      <protection locked="true" hidden="false"/>
    </xf>
    <xf numFmtId="171" fontId="29" fillId="0" borderId="0" xfId="0" applyFont="true" applyBorder="false" applyAlignment="false" applyProtection="false">
      <alignment horizontal="general" vertical="bottom" textRotation="0" wrapText="false" indent="0" shrinkToFit="false"/>
      <protection locked="true" hidden="false"/>
    </xf>
    <xf numFmtId="166" fontId="29" fillId="12" borderId="22" xfId="0" applyFont="true" applyBorder="true" applyAlignment="false" applyProtection="false">
      <alignment horizontal="general" vertical="bottom" textRotation="0" wrapText="false" indent="0" shrinkToFit="false"/>
      <protection locked="true" hidden="false"/>
    </xf>
    <xf numFmtId="187" fontId="29" fillId="0" borderId="32" xfId="0" applyFont="true" applyBorder="true" applyAlignment="false" applyProtection="false">
      <alignment horizontal="general" vertical="bottom" textRotation="0" wrapText="false" indent="0" shrinkToFit="false"/>
      <protection locked="true" hidden="false"/>
    </xf>
    <xf numFmtId="166" fontId="29" fillId="0" borderId="2" xfId="0" applyFont="true" applyBorder="true" applyAlignment="false" applyProtection="false">
      <alignment horizontal="general" vertical="bottom" textRotation="0" wrapText="false" indent="0" shrinkToFit="false"/>
      <protection locked="true" hidden="false"/>
    </xf>
    <xf numFmtId="171" fontId="29" fillId="0" borderId="2" xfId="0" applyFont="true" applyBorder="true" applyAlignment="false" applyProtection="false">
      <alignment horizontal="general" vertical="bottom" textRotation="0" wrapText="false" indent="0" shrinkToFit="false"/>
      <protection locked="true" hidden="false"/>
    </xf>
    <xf numFmtId="166" fontId="29" fillId="0" borderId="0" xfId="0" applyFont="true" applyBorder="false" applyAlignment="false" applyProtection="false">
      <alignment horizontal="general" vertical="bottom" textRotation="0" wrapText="false" indent="0" shrinkToFit="false"/>
      <protection locked="true" hidden="false"/>
    </xf>
    <xf numFmtId="166" fontId="29" fillId="13" borderId="2" xfId="0" applyFont="true" applyBorder="true" applyAlignment="false" applyProtection="false">
      <alignment horizontal="general" vertical="bottom" textRotation="0" wrapText="false" indent="0" shrinkToFit="false"/>
      <protection locked="true" hidden="false"/>
    </xf>
    <xf numFmtId="171" fontId="29" fillId="0" borderId="0" xfId="0" applyFont="true" applyBorder="true" applyAlignment="false" applyProtection="false">
      <alignment horizontal="general" vertical="bottom" textRotation="0" wrapText="false" indent="0" shrinkToFit="false"/>
      <protection locked="true" hidden="false"/>
    </xf>
    <xf numFmtId="188" fontId="29" fillId="0" borderId="0" xfId="0" applyFont="true" applyBorder="false" applyAlignment="false" applyProtection="false">
      <alignment horizontal="general" vertical="bottom" textRotation="0" wrapText="false" indent="0" shrinkToFit="false"/>
      <protection locked="true" hidden="false"/>
    </xf>
    <xf numFmtId="164" fontId="29" fillId="13" borderId="79" xfId="0" applyFont="true" applyBorder="true" applyAlignment="false" applyProtection="false">
      <alignment horizontal="general" vertical="bottom" textRotation="0" wrapText="false" indent="0" shrinkToFit="false"/>
      <protection locked="true" hidden="false"/>
    </xf>
    <xf numFmtId="164" fontId="29" fillId="13" borderId="89" xfId="0" applyFont="true" applyBorder="true" applyAlignment="false" applyProtection="false">
      <alignment horizontal="general" vertical="bottom" textRotation="0" wrapText="false" indent="0" shrinkToFit="false"/>
      <protection locked="true" hidden="false"/>
    </xf>
    <xf numFmtId="186" fontId="29" fillId="13" borderId="79" xfId="15" applyFont="true" applyBorder="true" applyAlignment="true" applyProtection="true">
      <alignment horizontal="general" vertical="bottom" textRotation="0" wrapText="false" indent="0" shrinkToFit="false"/>
      <protection locked="true" hidden="false"/>
    </xf>
    <xf numFmtId="164" fontId="29" fillId="13" borderId="2" xfId="0" applyFont="true" applyBorder="true" applyAlignment="false" applyProtection="false">
      <alignment horizontal="general" vertical="bottom" textRotation="0" wrapText="false" indent="0" shrinkToFit="false"/>
      <protection locked="true" hidden="false"/>
    </xf>
    <xf numFmtId="165" fontId="29" fillId="0" borderId="0" xfId="0" applyFont="true" applyBorder="true" applyAlignment="false" applyProtection="false">
      <alignment horizontal="general" vertical="bottom" textRotation="0" wrapText="false" indent="0" shrinkToFit="false"/>
      <protection locked="true" hidden="false"/>
    </xf>
    <xf numFmtId="165" fontId="29" fillId="13" borderId="2" xfId="0" applyFont="true" applyBorder="true" applyAlignment="false" applyProtection="false">
      <alignment horizontal="general" vertical="bottom" textRotation="0" wrapText="false" indent="0" shrinkToFit="false"/>
      <protection locked="true" hidden="false"/>
    </xf>
    <xf numFmtId="189" fontId="29" fillId="0" borderId="2" xfId="15" applyFont="true" applyBorder="true" applyAlignment="true" applyProtection="true">
      <alignment horizontal="general" vertical="bottom" textRotation="0" wrapText="false" indent="0" shrinkToFit="false"/>
      <protection locked="true" hidden="false"/>
    </xf>
    <xf numFmtId="164" fontId="29" fillId="0" borderId="2" xfId="0" applyFont="true" applyBorder="true" applyAlignment="false" applyProtection="false">
      <alignment horizontal="general" vertical="bottom" textRotation="0" wrapText="false" indent="0" shrinkToFit="false"/>
      <protection locked="true" hidden="false"/>
    </xf>
    <xf numFmtId="186" fontId="0" fillId="0" borderId="2" xfId="15" applyFont="true" applyBorder="true" applyAlignment="true" applyProtection="true">
      <alignment horizontal="general" vertical="bottom" textRotation="0" wrapText="false" indent="0" shrinkToFit="false"/>
      <protection locked="true" hidden="false"/>
    </xf>
    <xf numFmtId="164" fontId="31" fillId="0" borderId="2" xfId="0" applyFont="true" applyBorder="true" applyAlignment="false" applyProtection="false">
      <alignment horizontal="general" vertical="bottom" textRotation="0" wrapText="false" indent="0" shrinkToFit="false"/>
      <protection locked="true" hidden="false"/>
    </xf>
    <xf numFmtId="171" fontId="29" fillId="0" borderId="0" xfId="0" applyFont="true" applyBorder="false" applyAlignment="false" applyProtection="false">
      <alignment horizontal="general" vertical="bottom" textRotation="0" wrapText="false" indent="0" shrinkToFit="false"/>
      <protection locked="true" hidden="false"/>
    </xf>
    <xf numFmtId="166" fontId="29" fillId="12" borderId="80" xfId="0" applyFont="true" applyBorder="true" applyAlignment="false" applyProtection="false">
      <alignment horizontal="general" vertical="bottom" textRotation="0" wrapText="false" indent="0" shrinkToFit="false"/>
      <protection locked="true" hidden="false"/>
    </xf>
    <xf numFmtId="171" fontId="29" fillId="0" borderId="99" xfId="0" applyFont="true" applyBorder="true" applyAlignment="false" applyProtection="false">
      <alignment horizontal="general" vertical="bottom" textRotation="0" wrapText="false" indent="0" shrinkToFit="false"/>
      <protection locked="true" hidden="false"/>
    </xf>
    <xf numFmtId="171" fontId="29" fillId="0" borderId="12" xfId="0" applyFont="true" applyBorder="true" applyAlignment="false" applyProtection="false">
      <alignment horizontal="general" vertical="bottom" textRotation="0" wrapText="false" indent="0" shrinkToFit="false"/>
      <protection locked="true" hidden="false"/>
    </xf>
    <xf numFmtId="166" fontId="29" fillId="12" borderId="100" xfId="0" applyFont="true" applyBorder="true" applyAlignment="false" applyProtection="false">
      <alignment horizontal="general" vertical="bottom" textRotation="0" wrapText="false" indent="0" shrinkToFit="false"/>
      <protection locked="true" hidden="false"/>
    </xf>
    <xf numFmtId="187" fontId="29" fillId="0" borderId="22" xfId="0" applyFont="true" applyBorder="true" applyAlignment="false" applyProtection="false">
      <alignment horizontal="general" vertical="bottom" textRotation="0" wrapText="false" indent="0" shrinkToFit="false"/>
      <protection locked="true" hidden="false"/>
    </xf>
    <xf numFmtId="171" fontId="29" fillId="0" borderId="51" xfId="0" applyFont="true" applyBorder="true" applyAlignment="false" applyProtection="false">
      <alignment horizontal="general" vertical="bottom" textRotation="0" wrapText="false" indent="0" shrinkToFit="false"/>
      <protection locked="true" hidden="false"/>
    </xf>
    <xf numFmtId="171" fontId="29" fillId="0" borderId="92" xfId="0" applyFont="true" applyBorder="true" applyAlignment="false" applyProtection="false">
      <alignment horizontal="general" vertical="bottom" textRotation="0" wrapText="false" indent="0" shrinkToFit="false"/>
      <protection locked="true" hidden="false"/>
    </xf>
    <xf numFmtId="171" fontId="29" fillId="0" borderId="91" xfId="0" applyFont="true" applyBorder="true" applyAlignment="false" applyProtection="false">
      <alignment horizontal="general" vertical="bottom" textRotation="0" wrapText="false" indent="0" shrinkToFit="false"/>
      <protection locked="true" hidden="false"/>
    </xf>
    <xf numFmtId="171" fontId="29" fillId="0" borderId="101" xfId="0" applyFont="true" applyBorder="true" applyAlignment="false" applyProtection="false">
      <alignment horizontal="general" vertical="bottom" textRotation="0" wrapText="false" indent="0" shrinkToFit="false"/>
      <protection locked="true" hidden="false"/>
    </xf>
    <xf numFmtId="171" fontId="29" fillId="0" borderId="82" xfId="0" applyFont="true" applyBorder="true" applyAlignment="false" applyProtection="false">
      <alignment horizontal="general" vertical="bottom" textRotation="0" wrapText="false" indent="0" shrinkToFit="false"/>
      <protection locked="true" hidden="false"/>
    </xf>
    <xf numFmtId="166" fontId="29" fillId="0" borderId="0" xfId="0" applyFont="true" applyBorder="true" applyAlignment="false" applyProtection="false">
      <alignment horizontal="general" vertical="bottom" textRotation="0" wrapText="false" indent="0" shrinkToFit="false"/>
      <protection locked="true" hidden="false"/>
    </xf>
    <xf numFmtId="171" fontId="29" fillId="0" borderId="93" xfId="0" applyFont="true" applyBorder="true" applyAlignment="false" applyProtection="false">
      <alignment horizontal="general" vertical="bottom" textRotation="0" wrapText="false" indent="0" shrinkToFit="false"/>
      <protection locked="true" hidden="false"/>
    </xf>
    <xf numFmtId="171" fontId="29" fillId="0" borderId="90" xfId="0" applyFont="true" applyBorder="true" applyAlignment="false" applyProtection="false">
      <alignment horizontal="general" vertical="bottom" textRotation="0" wrapText="false" indent="0" shrinkToFit="false"/>
      <protection locked="true" hidden="false"/>
    </xf>
    <xf numFmtId="187" fontId="29" fillId="0" borderId="51" xfId="0" applyFont="true" applyBorder="true" applyAlignment="false" applyProtection="false">
      <alignment horizontal="general" vertical="bottom" textRotation="0" wrapText="false" indent="0" shrinkToFit="false"/>
      <protection locked="true" hidden="false"/>
    </xf>
    <xf numFmtId="187" fontId="29" fillId="0" borderId="0" xfId="0" applyFont="true" applyBorder="true" applyAlignment="false" applyProtection="false">
      <alignment horizontal="general" vertical="bottom" textRotation="0" wrapText="false" indent="0" shrinkToFit="false"/>
      <protection locked="true" hidden="false"/>
    </xf>
    <xf numFmtId="189" fontId="29" fillId="0" borderId="95" xfId="15" applyFont="true" applyBorder="true" applyAlignment="true" applyProtection="true">
      <alignment horizontal="general" vertical="bottom" textRotation="0" wrapText="false" indent="0" shrinkToFit="false"/>
      <protection locked="true" hidden="false"/>
    </xf>
    <xf numFmtId="189" fontId="29" fillId="0" borderId="0" xfId="15" applyFont="true" applyBorder="true" applyAlignment="true" applyProtection="true">
      <alignment horizontal="general" vertical="bottom" textRotation="0" wrapText="false" indent="0" shrinkToFit="false"/>
      <protection locked="true" hidden="false"/>
    </xf>
    <xf numFmtId="186" fontId="0" fillId="0" borderId="22" xfId="15" applyFont="true" applyBorder="true" applyAlignment="true" applyProtection="true">
      <alignment horizontal="general" vertical="bottom" textRotation="0" wrapText="false" indent="0" shrinkToFit="false"/>
      <protection locked="true" hidden="false"/>
    </xf>
    <xf numFmtId="189" fontId="29" fillId="0" borderId="100" xfId="15" applyFont="true" applyBorder="true" applyAlignment="true" applyProtection="true">
      <alignment horizontal="general" vertical="bottom" textRotation="0" wrapText="false" indent="0" shrinkToFit="false"/>
      <protection locked="true" hidden="false"/>
    </xf>
    <xf numFmtId="189" fontId="29" fillId="0" borderId="75" xfId="15" applyFont="true" applyBorder="true" applyAlignment="true" applyProtection="true">
      <alignment horizontal="general" vertical="bottom" textRotation="0" wrapText="false" indent="0" shrinkToFit="false"/>
      <protection locked="true" hidden="false"/>
    </xf>
    <xf numFmtId="186" fontId="0" fillId="0" borderId="80" xfId="15" applyFont="true" applyBorder="true" applyAlignment="true" applyProtection="true">
      <alignment horizontal="general" vertical="bottom" textRotation="0" wrapText="false" indent="0" shrinkToFit="false"/>
      <protection locked="true" hidden="false"/>
    </xf>
    <xf numFmtId="186" fontId="0" fillId="0" borderId="0" xfId="15" applyFont="true" applyBorder="true" applyAlignment="true" applyProtection="true">
      <alignment horizontal="general" vertical="bottom" textRotation="0" wrapText="false" indent="0" shrinkToFit="false"/>
      <protection locked="true" hidden="false"/>
    </xf>
    <xf numFmtId="166" fontId="0" fillId="4" borderId="0" xfId="0" applyFont="false" applyBorder="false" applyAlignment="false" applyProtection="false">
      <alignment horizontal="general" vertical="bottom" textRotation="0" wrapText="false" indent="0" shrinkToFit="false"/>
      <protection locked="true" hidden="false"/>
    </xf>
    <xf numFmtId="188" fontId="0" fillId="4" borderId="0" xfId="0" applyFont="false" applyBorder="false" applyAlignment="false" applyProtection="false">
      <alignment horizontal="general" vertical="bottom" textRotation="0" wrapText="false" indent="0" shrinkToFit="false"/>
      <protection locked="true" hidden="false"/>
    </xf>
    <xf numFmtId="190" fontId="0" fillId="4" borderId="0" xfId="0" applyFont="false" applyBorder="false" applyAlignment="false" applyProtection="false">
      <alignment horizontal="general" vertical="bottom" textRotation="0" wrapText="false" indent="0" shrinkToFit="false"/>
      <protection locked="true" hidden="false"/>
    </xf>
    <xf numFmtId="171" fontId="0" fillId="4" borderId="0" xfId="0" applyFont="false" applyBorder="false" applyAlignment="false" applyProtection="false">
      <alignment horizontal="general" vertical="bottom" textRotation="0" wrapText="false" indent="0" shrinkToFit="false"/>
      <protection locked="true" hidden="false"/>
    </xf>
    <xf numFmtId="180" fontId="0" fillId="4" borderId="0" xfId="0" applyFont="false" applyBorder="false" applyAlignment="false" applyProtection="false">
      <alignment horizontal="general" vertical="bottom" textRotation="0" wrapText="false" indent="0" shrinkToFit="false"/>
      <protection locked="true" hidden="false"/>
    </xf>
    <xf numFmtId="191" fontId="0" fillId="4" borderId="0" xfId="0" applyFont="false" applyBorder="false" applyAlignment="false" applyProtection="false">
      <alignment horizontal="general" vertical="bottom" textRotation="0" wrapText="false" indent="0" shrinkToFit="false"/>
      <protection locked="true" hidden="false"/>
    </xf>
    <xf numFmtId="164" fontId="0" fillId="4" borderId="32" xfId="0" applyFont="false" applyBorder="true" applyAlignment="false" applyProtection="false">
      <alignment horizontal="general" vertical="bottom" textRotation="0" wrapText="false" indent="0" shrinkToFit="false"/>
      <protection locked="true" hidden="false"/>
    </xf>
    <xf numFmtId="164" fontId="0" fillId="4" borderId="0" xfId="0" applyFont="false" applyBorder="true" applyAlignment="false" applyProtection="false">
      <alignment horizontal="general" vertical="bottom" textRotation="0" wrapText="false" indent="0" shrinkToFit="false"/>
      <protection locked="true" hidden="false"/>
    </xf>
    <xf numFmtId="190" fontId="22" fillId="4" borderId="0" xfId="0" applyFont="true" applyBorder="false" applyAlignment="false" applyProtection="false">
      <alignment horizontal="general" vertical="bottom" textRotation="0" wrapText="false" indent="0" shrinkToFit="false"/>
      <protection locked="true" hidden="false"/>
    </xf>
    <xf numFmtId="169" fontId="22" fillId="4" borderId="0" xfId="0" applyFont="true" applyBorder="false" applyAlignment="false" applyProtection="false">
      <alignment horizontal="general" vertical="bottom" textRotation="0" wrapText="false" indent="0" shrinkToFit="false"/>
      <protection locked="true" hidden="false"/>
    </xf>
    <xf numFmtId="169" fontId="0" fillId="4" borderId="0" xfId="0" applyFont="false" applyBorder="false" applyAlignment="false" applyProtection="false">
      <alignment horizontal="general" vertical="bottom" textRotation="0" wrapText="false" indent="0" shrinkToFit="false"/>
      <protection locked="true" hidden="false"/>
    </xf>
    <xf numFmtId="169" fontId="0" fillId="4" borderId="95" xfId="0" applyFont="false" applyBorder="true" applyAlignment="false" applyProtection="false">
      <alignment horizontal="general" vertical="bottom" textRotation="0" wrapText="false" indent="0" shrinkToFit="false"/>
      <protection locked="true" hidden="false"/>
    </xf>
    <xf numFmtId="164" fontId="0" fillId="4" borderId="95" xfId="0" applyFont="false" applyBorder="true" applyAlignment="false" applyProtection="false">
      <alignment horizontal="general" vertical="bottom" textRotation="0" wrapText="false" indent="0" shrinkToFit="false"/>
      <protection locked="true" hidden="false"/>
    </xf>
    <xf numFmtId="166" fontId="7" fillId="4" borderId="0" xfId="0" applyFont="true" applyBorder="false" applyAlignment="true" applyProtection="false">
      <alignment horizontal="right" vertical="bottom" textRotation="0" wrapText="false" indent="0" shrinkToFit="true"/>
      <protection locked="true" hidden="false"/>
    </xf>
    <xf numFmtId="192" fontId="32" fillId="3" borderId="2" xfId="0" applyFont="true" applyBorder="true" applyAlignment="true" applyProtection="false">
      <alignment horizontal="center" vertical="bottom" textRotation="0" wrapText="false" indent="0" shrinkToFit="false"/>
      <protection locked="true" hidden="false"/>
    </xf>
    <xf numFmtId="190" fontId="33" fillId="14" borderId="82" xfId="0" applyFont="true" applyBorder="true" applyAlignment="true" applyProtection="false">
      <alignment horizontal="center" vertical="center" textRotation="0" wrapText="false" indent="0" shrinkToFit="false"/>
      <protection locked="true" hidden="false"/>
    </xf>
    <xf numFmtId="164" fontId="34" fillId="6" borderId="2" xfId="0" applyFont="true" applyBorder="true" applyAlignment="true" applyProtection="false">
      <alignment horizontal="left" vertical="bottom" textRotation="0" wrapText="false" indent="0" shrinkToFit="false"/>
      <protection locked="true" hidden="false"/>
    </xf>
    <xf numFmtId="171" fontId="22" fillId="4" borderId="0" xfId="0" applyFont="true" applyBorder="false" applyAlignment="false" applyProtection="false">
      <alignment horizontal="general" vertical="bottom" textRotation="0" wrapText="false" indent="0" shrinkToFit="false"/>
      <protection locked="true" hidden="false"/>
    </xf>
    <xf numFmtId="164" fontId="25" fillId="6" borderId="2" xfId="0" applyFont="true" applyBorder="true" applyAlignment="true" applyProtection="false">
      <alignment horizontal="right" vertical="bottom" textRotation="0" wrapText="false" indent="0" shrinkToFit="false"/>
      <protection locked="true" hidden="false"/>
    </xf>
    <xf numFmtId="188" fontId="14" fillId="4" borderId="2" xfId="0" applyFont="true" applyBorder="true" applyAlignment="true" applyProtection="false">
      <alignment horizontal="center" vertical="bottom" textRotation="0" wrapText="false" indent="0" shrinkToFit="false"/>
      <protection locked="true" hidden="false"/>
    </xf>
    <xf numFmtId="190" fontId="35" fillId="2" borderId="88" xfId="0" applyFont="true" applyBorder="true" applyAlignment="true" applyProtection="false">
      <alignment horizontal="left" vertical="bottom" textRotation="0" wrapText="false" indent="0" shrinkToFit="false"/>
      <protection locked="true" hidden="false"/>
    </xf>
    <xf numFmtId="190" fontId="35" fillId="2" borderId="68" xfId="0" applyFont="true" applyBorder="true" applyAlignment="true" applyProtection="false">
      <alignment horizontal="right" vertical="bottom" textRotation="0" wrapText="false" indent="0" shrinkToFit="false"/>
      <protection locked="true" hidden="false"/>
    </xf>
    <xf numFmtId="180" fontId="22" fillId="4" borderId="0" xfId="0" applyFont="true" applyBorder="false" applyAlignment="true" applyProtection="false">
      <alignment horizontal="right" vertical="bottom" textRotation="0" wrapText="false" indent="0" shrinkToFit="false"/>
      <protection locked="true" hidden="false"/>
    </xf>
    <xf numFmtId="164" fontId="36" fillId="4" borderId="0" xfId="0" applyFont="true" applyBorder="true" applyAlignment="false" applyProtection="false">
      <alignment horizontal="general" vertical="bottom" textRotation="0" wrapText="false" indent="0" shrinkToFit="false"/>
      <protection locked="true" hidden="false"/>
    </xf>
    <xf numFmtId="164" fontId="22" fillId="2" borderId="2" xfId="0" applyFont="true" applyBorder="true" applyAlignment="true" applyProtection="false">
      <alignment horizontal="right" vertical="bottom" textRotation="0" wrapText="false" indent="0" shrinkToFit="false"/>
      <protection locked="true" hidden="false"/>
    </xf>
    <xf numFmtId="190" fontId="0" fillId="4" borderId="96" xfId="0" applyFont="false" applyBorder="true" applyAlignment="true" applyProtection="false">
      <alignment horizontal="center" vertical="bottom" textRotation="0" wrapText="false" indent="0" shrinkToFit="false"/>
      <protection locked="true" hidden="false"/>
    </xf>
    <xf numFmtId="190" fontId="7" fillId="15" borderId="88" xfId="0" applyFont="true" applyBorder="true" applyAlignment="true" applyProtection="false">
      <alignment horizontal="right" vertical="bottom" textRotation="0" wrapText="false" indent="0" shrinkToFit="false"/>
      <protection locked="true" hidden="false"/>
    </xf>
    <xf numFmtId="164" fontId="7" fillId="15" borderId="76" xfId="0" applyFont="true" applyBorder="true" applyAlignment="true" applyProtection="false">
      <alignment horizontal="right" vertical="bottom" textRotation="0" wrapText="false" indent="0" shrinkToFit="false"/>
      <protection locked="true" hidden="false"/>
    </xf>
    <xf numFmtId="164" fontId="7" fillId="15" borderId="68" xfId="0" applyFont="true" applyBorder="true" applyAlignment="true" applyProtection="false">
      <alignment horizontal="right" vertical="bottom" textRotation="0" wrapText="false" indent="0" shrinkToFit="false"/>
      <protection locked="true" hidden="false"/>
    </xf>
    <xf numFmtId="190" fontId="37" fillId="4" borderId="0" xfId="0" applyFont="true" applyBorder="false" applyAlignment="true" applyProtection="false">
      <alignment horizontal="right" vertical="bottom" textRotation="0" wrapText="false" indent="0" shrinkToFit="false"/>
      <protection locked="true" hidden="false"/>
    </xf>
    <xf numFmtId="167" fontId="38" fillId="4" borderId="102" xfId="0" applyFont="true" applyBorder="true" applyAlignment="true" applyProtection="false">
      <alignment horizontal="center" vertical="bottom" textRotation="0" wrapText="false" indent="0" shrinkToFit="false"/>
      <protection locked="true" hidden="false"/>
    </xf>
    <xf numFmtId="164" fontId="36" fillId="4" borderId="0" xfId="0" applyFont="true" applyBorder="false" applyAlignment="true" applyProtection="false">
      <alignment horizontal="right" vertical="bottom" textRotation="0" wrapText="false" indent="0" shrinkToFit="false"/>
      <protection locked="true" hidden="false"/>
    </xf>
    <xf numFmtId="188" fontId="36" fillId="4" borderId="103" xfId="0" applyFont="true" applyBorder="true" applyAlignment="true" applyProtection="false">
      <alignment horizontal="right" vertical="bottom" textRotation="0" wrapText="false" indent="0" shrinkToFit="false"/>
      <protection locked="true" hidden="false"/>
    </xf>
    <xf numFmtId="190" fontId="36" fillId="4" borderId="104" xfId="0" applyFont="true" applyBorder="true" applyAlignment="true" applyProtection="false">
      <alignment horizontal="right" vertical="bottom" textRotation="0" wrapText="false" indent="0" shrinkToFit="false"/>
      <protection locked="true" hidden="false"/>
    </xf>
    <xf numFmtId="169" fontId="36" fillId="4" borderId="104" xfId="0" applyFont="true" applyBorder="true" applyAlignment="true" applyProtection="false">
      <alignment horizontal="right" vertical="bottom" textRotation="0" wrapText="false" indent="0" shrinkToFit="false"/>
      <protection locked="true" hidden="false"/>
    </xf>
    <xf numFmtId="164" fontId="36" fillId="4" borderId="105" xfId="0" applyFont="true" applyBorder="true" applyAlignment="true" applyProtection="false">
      <alignment horizontal="right" vertical="bottom" textRotation="0" wrapText="false" indent="0" shrinkToFit="false"/>
      <protection locked="true" hidden="false"/>
    </xf>
    <xf numFmtId="190" fontId="36" fillId="4" borderId="106" xfId="0" applyFont="true" applyBorder="true" applyAlignment="true" applyProtection="false">
      <alignment horizontal="right" vertical="bottom" textRotation="0" wrapText="false" indent="0" shrinkToFit="false"/>
      <protection locked="true" hidden="false"/>
    </xf>
    <xf numFmtId="188" fontId="36" fillId="4" borderId="0" xfId="0" applyFont="true" applyBorder="false" applyAlignment="true" applyProtection="false">
      <alignment horizontal="left" vertical="bottom" textRotation="0" wrapText="false" indent="0" shrinkToFit="false"/>
      <protection locked="true" hidden="false"/>
    </xf>
    <xf numFmtId="190" fontId="7" fillId="15" borderId="79" xfId="0" applyFont="true" applyBorder="true" applyAlignment="true" applyProtection="false">
      <alignment horizontal="center" vertical="bottom" textRotation="0" wrapText="false" indent="0" shrinkToFit="false"/>
      <protection locked="true" hidden="false"/>
    </xf>
    <xf numFmtId="175" fontId="0" fillId="10" borderId="0" xfId="0" applyFont="false" applyBorder="true" applyAlignment="false" applyProtection="false">
      <alignment horizontal="general" vertical="bottom" textRotation="0" wrapText="false" indent="0" shrinkToFit="false"/>
      <protection locked="true" hidden="false"/>
    </xf>
    <xf numFmtId="175" fontId="0" fillId="10" borderId="89" xfId="0" applyFont="false" applyBorder="true" applyAlignment="true" applyProtection="false">
      <alignment horizontal="right" vertical="bottom" textRotation="0" wrapText="false" indent="0" shrinkToFit="false"/>
      <protection locked="true" hidden="false"/>
    </xf>
    <xf numFmtId="180" fontId="7" fillId="3" borderId="79" xfId="0" applyFont="true" applyBorder="true" applyAlignment="false" applyProtection="false">
      <alignment horizontal="general" vertical="bottom" textRotation="0" wrapText="false" indent="0" shrinkToFit="false"/>
      <protection locked="true" hidden="false"/>
    </xf>
    <xf numFmtId="191" fontId="0" fillId="4" borderId="89" xfId="0" applyFont="false" applyBorder="true" applyAlignment="false" applyProtection="false">
      <alignment horizontal="general" vertical="bottom" textRotation="0" wrapText="false" indent="0" shrinkToFit="false"/>
      <protection locked="true" hidden="false"/>
    </xf>
    <xf numFmtId="167" fontId="38" fillId="4" borderId="107" xfId="0" applyFont="true" applyBorder="true" applyAlignment="true" applyProtection="false">
      <alignment horizontal="center" vertical="bottom" textRotation="0" wrapText="false" indent="0" shrinkToFit="false"/>
      <protection locked="true" hidden="false"/>
    </xf>
    <xf numFmtId="188" fontId="22" fillId="4" borderId="108" xfId="0" applyFont="true" applyBorder="true" applyAlignment="false" applyProtection="false">
      <alignment horizontal="general" vertical="bottom" textRotation="0" wrapText="false" indent="0" shrinkToFit="false"/>
      <protection locked="true" hidden="false"/>
    </xf>
    <xf numFmtId="190" fontId="22" fillId="4" borderId="109" xfId="0" applyFont="true" applyBorder="true" applyAlignment="false" applyProtection="false">
      <alignment horizontal="general" vertical="bottom" textRotation="0" wrapText="false" indent="0" shrinkToFit="false"/>
      <protection locked="true" hidden="false"/>
    </xf>
    <xf numFmtId="169" fontId="22" fillId="4" borderId="109" xfId="0" applyFont="true" applyBorder="true" applyAlignment="false" applyProtection="false">
      <alignment horizontal="general" vertical="bottom" textRotation="0" wrapText="false" indent="0" shrinkToFit="false"/>
      <protection locked="true" hidden="false"/>
    </xf>
    <xf numFmtId="168" fontId="22" fillId="4" borderId="110" xfId="0" applyFont="true" applyBorder="true" applyAlignment="false" applyProtection="false">
      <alignment horizontal="general" vertical="bottom" textRotation="0" wrapText="false" indent="0" shrinkToFit="false"/>
      <protection locked="true" hidden="false"/>
    </xf>
    <xf numFmtId="190" fontId="22" fillId="4" borderId="111" xfId="0" applyFont="true" applyBorder="true" applyAlignment="false" applyProtection="false">
      <alignment horizontal="general" vertical="bottom" textRotation="0" wrapText="false" indent="0" shrinkToFit="false"/>
      <protection locked="true" hidden="false"/>
    </xf>
    <xf numFmtId="188" fontId="22" fillId="4" borderId="0" xfId="0" applyFont="true" applyBorder="false" applyAlignment="true" applyProtection="false">
      <alignment horizontal="left" vertical="bottom" textRotation="0" wrapText="false" indent="0" shrinkToFit="false"/>
      <protection locked="true" hidden="false"/>
    </xf>
    <xf numFmtId="164" fontId="36" fillId="4" borderId="0" xfId="0" applyFont="true" applyBorder="true" applyAlignment="true" applyProtection="false">
      <alignment horizontal="right" vertical="bottom" textRotation="0" wrapText="false" indent="0" shrinkToFit="false"/>
      <protection locked="true" hidden="false"/>
    </xf>
    <xf numFmtId="171" fontId="17" fillId="4" borderId="0" xfId="0" applyFont="true" applyBorder="false" applyAlignment="true" applyProtection="false">
      <alignment horizontal="right" vertical="bottom" textRotation="0" wrapText="true" indent="0" shrinkToFit="false"/>
      <protection locked="true" hidden="false"/>
    </xf>
    <xf numFmtId="166" fontId="20" fillId="2" borderId="2" xfId="0" applyFont="true" applyBorder="true" applyAlignment="true" applyProtection="false">
      <alignment horizontal="center" vertical="bottom" textRotation="0" wrapText="false" indent="0" shrinkToFit="false"/>
      <protection locked="true" hidden="false"/>
    </xf>
    <xf numFmtId="190" fontId="7" fillId="15" borderId="22" xfId="0" applyFont="true" applyBorder="true" applyAlignment="true" applyProtection="false">
      <alignment horizontal="center" vertical="bottom" textRotation="0" wrapText="false" indent="0" shrinkToFit="false"/>
      <protection locked="true" hidden="false"/>
    </xf>
    <xf numFmtId="175" fontId="0" fillId="10" borderId="32" xfId="0" applyFont="false" applyBorder="true" applyAlignment="true" applyProtection="false">
      <alignment horizontal="right" vertical="bottom" textRotation="0" wrapText="false" indent="0" shrinkToFit="false"/>
      <protection locked="true" hidden="false"/>
    </xf>
    <xf numFmtId="180" fontId="7" fillId="3" borderId="22" xfId="0" applyFont="true" applyBorder="true" applyAlignment="false" applyProtection="false">
      <alignment horizontal="general" vertical="bottom" textRotation="0" wrapText="false" indent="0" shrinkToFit="false"/>
      <protection locked="true" hidden="false"/>
    </xf>
    <xf numFmtId="191" fontId="0" fillId="4" borderId="32" xfId="0" applyFont="false" applyBorder="true" applyAlignment="false" applyProtection="false">
      <alignment horizontal="general" vertical="bottom" textRotation="0" wrapText="false" indent="0" shrinkToFit="false"/>
      <protection locked="true" hidden="false"/>
    </xf>
    <xf numFmtId="188" fontId="22" fillId="4" borderId="112" xfId="0" applyFont="true" applyBorder="true" applyAlignment="false" applyProtection="false">
      <alignment horizontal="general" vertical="bottom" textRotation="0" wrapText="false" indent="0" shrinkToFit="false"/>
      <protection locked="true" hidden="false"/>
    </xf>
    <xf numFmtId="190" fontId="22" fillId="4" borderId="113" xfId="0" applyFont="true" applyBorder="true" applyAlignment="false" applyProtection="false">
      <alignment horizontal="general" vertical="bottom" textRotation="0" wrapText="false" indent="0" shrinkToFit="false"/>
      <protection locked="true" hidden="false"/>
    </xf>
    <xf numFmtId="169" fontId="22" fillId="4" borderId="113" xfId="0" applyFont="true" applyBorder="true" applyAlignment="false" applyProtection="false">
      <alignment horizontal="general" vertical="bottom" textRotation="0" wrapText="false" indent="0" shrinkToFit="false"/>
      <protection locked="true" hidden="false"/>
    </xf>
    <xf numFmtId="168" fontId="22" fillId="4" borderId="114" xfId="0" applyFont="true" applyBorder="true" applyAlignment="false" applyProtection="false">
      <alignment horizontal="general" vertical="bottom" textRotation="0" wrapText="false" indent="0" shrinkToFit="false"/>
      <protection locked="true" hidden="false"/>
    </xf>
    <xf numFmtId="190" fontId="22" fillId="4" borderId="115" xfId="0" applyFont="true" applyBorder="true" applyAlignment="false" applyProtection="false">
      <alignment horizontal="general" vertical="bottom" textRotation="0" wrapText="false" indent="0" shrinkToFit="false"/>
      <protection locked="true" hidden="false"/>
    </xf>
    <xf numFmtId="166" fontId="22" fillId="4" borderId="116" xfId="0" applyFont="true" applyBorder="true" applyAlignment="false" applyProtection="false">
      <alignment horizontal="general" vertical="bottom" textRotation="0" wrapText="false" indent="0" shrinkToFit="false"/>
      <protection locked="true" hidden="false"/>
    </xf>
    <xf numFmtId="188" fontId="20" fillId="4" borderId="0" xfId="0" applyFont="true" applyBorder="false" applyAlignment="false" applyProtection="false">
      <alignment horizontal="general" vertical="bottom" textRotation="0" wrapText="false" indent="0" shrinkToFit="false"/>
      <protection locked="true" hidden="false"/>
    </xf>
    <xf numFmtId="190" fontId="7" fillId="15" borderId="44" xfId="0" applyFont="true" applyBorder="true" applyAlignment="true" applyProtection="false">
      <alignment horizontal="center" vertical="bottom" textRotation="0" wrapText="false" indent="0" shrinkToFit="false"/>
      <protection locked="true" hidden="false"/>
    </xf>
    <xf numFmtId="175" fontId="0" fillId="10" borderId="45" xfId="0" applyFont="false" applyBorder="true" applyAlignment="false" applyProtection="false">
      <alignment horizontal="general" vertical="bottom" textRotation="0" wrapText="false" indent="0" shrinkToFit="false"/>
      <protection locked="true" hidden="false"/>
    </xf>
    <xf numFmtId="175" fontId="0" fillId="10" borderId="43" xfId="0" applyFont="false" applyBorder="true" applyAlignment="false" applyProtection="false">
      <alignment horizontal="general" vertical="bottom" textRotation="0" wrapText="false" indent="0" shrinkToFit="false"/>
      <protection locked="true" hidden="false"/>
    </xf>
    <xf numFmtId="175" fontId="0" fillId="10" borderId="117" xfId="0" applyFont="false" applyBorder="true" applyAlignment="true" applyProtection="false">
      <alignment horizontal="right" vertical="bottom" textRotation="0" wrapText="false" indent="0" shrinkToFit="false"/>
      <protection locked="true" hidden="false"/>
    </xf>
    <xf numFmtId="180" fontId="0" fillId="4" borderId="32" xfId="0" applyFont="false" applyBorder="true" applyAlignment="false" applyProtection="false">
      <alignment horizontal="general" vertical="bottom" textRotation="0" wrapText="false" indent="0" shrinkToFit="false"/>
      <protection locked="true" hidden="false"/>
    </xf>
    <xf numFmtId="166" fontId="20" fillId="2" borderId="102" xfId="0" applyFont="true" applyBorder="true" applyAlignment="true" applyProtection="false">
      <alignment horizontal="center" vertical="bottom" textRotation="0" wrapText="false" indent="0" shrinkToFit="false"/>
      <protection locked="true" hidden="false"/>
    </xf>
    <xf numFmtId="193" fontId="22" fillId="16" borderId="0" xfId="0" applyFont="true" applyBorder="true" applyAlignment="false" applyProtection="false">
      <alignment horizontal="general" vertical="bottom" textRotation="0" wrapText="false" indent="0" shrinkToFit="false"/>
      <protection locked="true" hidden="false"/>
    </xf>
    <xf numFmtId="176" fontId="0" fillId="4" borderId="32" xfId="0" applyFont="false" applyBorder="true" applyAlignment="false" applyProtection="false">
      <alignment horizontal="general" vertical="bottom" textRotation="0" wrapText="false" indent="0" shrinkToFit="false"/>
      <protection locked="true" hidden="false"/>
    </xf>
    <xf numFmtId="169" fontId="36" fillId="4" borderId="0" xfId="0" applyFont="true" applyBorder="false" applyAlignment="false" applyProtection="false">
      <alignment horizontal="general" vertical="bottom" textRotation="0" wrapText="false" indent="0" shrinkToFit="false"/>
      <protection locked="true" hidden="false"/>
    </xf>
    <xf numFmtId="164" fontId="25" fillId="4" borderId="0" xfId="0" applyFont="true" applyBorder="false" applyAlignment="true" applyProtection="false">
      <alignment horizontal="general" vertical="bottom" textRotation="0" wrapText="false" indent="0" shrinkToFit="false"/>
      <protection locked="true" hidden="false"/>
    </xf>
    <xf numFmtId="166" fontId="20" fillId="2" borderId="118" xfId="0" applyFont="true" applyBorder="true" applyAlignment="true" applyProtection="false">
      <alignment horizontal="center" vertical="bottom" textRotation="0" wrapText="false" indent="0" shrinkToFit="false"/>
      <protection locked="true" hidden="false"/>
    </xf>
    <xf numFmtId="180" fontId="7" fillId="3" borderId="80" xfId="0" applyFont="true" applyBorder="true" applyAlignment="false" applyProtection="false">
      <alignment horizontal="general" vertical="bottom" textRotation="0" wrapText="false" indent="0" shrinkToFit="false"/>
      <protection locked="true" hidden="false"/>
    </xf>
    <xf numFmtId="178" fontId="0" fillId="4" borderId="96" xfId="0" applyFont="false" applyBorder="true" applyAlignment="false" applyProtection="false">
      <alignment horizontal="general" vertical="bottom" textRotation="0" wrapText="false" indent="0" shrinkToFit="false"/>
      <protection locked="true" hidden="false"/>
    </xf>
    <xf numFmtId="167" fontId="38" fillId="4" borderId="118" xfId="0" applyFont="true" applyBorder="true" applyAlignment="true" applyProtection="false">
      <alignment horizontal="center" vertical="bottom" textRotation="0" wrapText="false" indent="0" shrinkToFit="false"/>
      <protection locked="true" hidden="false"/>
    </xf>
    <xf numFmtId="169" fontId="36" fillId="4" borderId="0" xfId="0" applyFont="true" applyBorder="false" applyAlignment="true" applyProtection="false">
      <alignment horizontal="right" vertical="bottom" textRotation="0" wrapText="false" indent="0" shrinkToFit="false"/>
      <protection locked="true" hidden="false"/>
    </xf>
    <xf numFmtId="188" fontId="7" fillId="5" borderId="2" xfId="0" applyFont="true" applyBorder="true" applyAlignment="true" applyProtection="false">
      <alignment horizontal="left" vertical="bottom" textRotation="0" wrapText="false" indent="0" shrinkToFit="false"/>
      <protection locked="true" hidden="false"/>
    </xf>
    <xf numFmtId="167" fontId="38" fillId="4" borderId="2" xfId="0" applyFont="true" applyBorder="true" applyAlignment="true" applyProtection="false">
      <alignment horizontal="center" vertical="bottom" textRotation="0" wrapText="false" indent="0" shrinkToFit="false"/>
      <protection locked="true" hidden="false"/>
    </xf>
    <xf numFmtId="188" fontId="0" fillId="2" borderId="119" xfId="0" applyFont="false" applyBorder="true" applyAlignment="false" applyProtection="false">
      <alignment horizontal="general" vertical="bottom" textRotation="0" wrapText="false" indent="0" shrinkToFit="false"/>
      <protection locked="true" hidden="false"/>
    </xf>
    <xf numFmtId="188" fontId="0" fillId="2" borderId="120" xfId="0" applyFont="false" applyBorder="true" applyAlignment="false" applyProtection="false">
      <alignment horizontal="general" vertical="bottom" textRotation="0" wrapText="false" indent="0" shrinkToFit="false"/>
      <protection locked="true" hidden="false"/>
    </xf>
    <xf numFmtId="190" fontId="0" fillId="2" borderId="120" xfId="0" applyFont="false" applyBorder="true" applyAlignment="false" applyProtection="false">
      <alignment horizontal="general" vertical="bottom" textRotation="0" wrapText="false" indent="0" shrinkToFit="false"/>
      <protection locked="true" hidden="false"/>
    </xf>
    <xf numFmtId="190" fontId="0" fillId="2" borderId="89" xfId="0" applyFont="false" applyBorder="true" applyAlignment="false" applyProtection="false">
      <alignment horizontal="general" vertical="bottom" textRotation="0" wrapText="false" indent="0" shrinkToFit="false"/>
      <protection locked="true" hidden="false"/>
    </xf>
    <xf numFmtId="188" fontId="0" fillId="2" borderId="95" xfId="0" applyFont="false" applyBorder="true" applyAlignment="false" applyProtection="false">
      <alignment horizontal="general" vertical="bottom" textRotation="0" wrapText="false" indent="0" shrinkToFit="false"/>
      <protection locked="true" hidden="false"/>
    </xf>
    <xf numFmtId="188" fontId="0" fillId="2" borderId="0" xfId="0" applyFont="false" applyBorder="true" applyAlignment="false" applyProtection="false">
      <alignment horizontal="general" vertical="bottom" textRotation="0" wrapText="false" indent="0" shrinkToFit="false"/>
      <protection locked="true" hidden="false"/>
    </xf>
    <xf numFmtId="190" fontId="0" fillId="2" borderId="0" xfId="0" applyFont="false" applyBorder="true" applyAlignment="false" applyProtection="false">
      <alignment horizontal="general" vertical="bottom" textRotation="0" wrapText="false" indent="0" shrinkToFit="false"/>
      <protection locked="true" hidden="false"/>
    </xf>
    <xf numFmtId="190" fontId="0" fillId="2" borderId="32" xfId="0" applyFont="false" applyBorder="true" applyAlignment="false" applyProtection="false">
      <alignment horizontal="general" vertical="bottom" textRotation="0" wrapText="false" indent="0" shrinkToFit="false"/>
      <protection locked="true" hidden="false"/>
    </xf>
    <xf numFmtId="171" fontId="36" fillId="4" borderId="0" xfId="0" applyFont="true" applyBorder="false" applyAlignment="true" applyProtection="false">
      <alignment horizontal="right" vertical="bottom" textRotation="0" wrapText="false" indent="0" shrinkToFit="false"/>
      <protection locked="true" hidden="false"/>
    </xf>
    <xf numFmtId="164" fontId="9" fillId="4" borderId="0" xfId="0" applyFont="true" applyBorder="false" applyAlignment="false" applyProtection="false">
      <alignment horizontal="general" vertical="bottom" textRotation="0" wrapText="false" indent="0" shrinkToFit="false"/>
      <protection locked="true" hidden="false"/>
    </xf>
    <xf numFmtId="191" fontId="22" fillId="4" borderId="0" xfId="0" applyFont="true" applyBorder="false" applyAlignment="false" applyProtection="false">
      <alignment horizontal="general" vertical="bottom" textRotation="0" wrapText="false" indent="0" shrinkToFit="false"/>
      <protection locked="true" hidden="false"/>
    </xf>
    <xf numFmtId="188" fontId="22" fillId="4" borderId="121" xfId="0" applyFont="true" applyBorder="true" applyAlignment="false" applyProtection="false">
      <alignment horizontal="general" vertical="bottom" textRotation="0" wrapText="false" indent="0" shrinkToFit="false"/>
      <protection locked="true" hidden="false"/>
    </xf>
    <xf numFmtId="190" fontId="22" fillId="4" borderId="122" xfId="0" applyFont="true" applyBorder="true" applyAlignment="false" applyProtection="false">
      <alignment horizontal="general" vertical="bottom" textRotation="0" wrapText="false" indent="0" shrinkToFit="false"/>
      <protection locked="true" hidden="false"/>
    </xf>
    <xf numFmtId="169" fontId="22" fillId="4" borderId="122" xfId="0" applyFont="true" applyBorder="true" applyAlignment="false" applyProtection="false">
      <alignment horizontal="general" vertical="bottom" textRotation="0" wrapText="false" indent="0" shrinkToFit="false"/>
      <protection locked="true" hidden="false"/>
    </xf>
    <xf numFmtId="168" fontId="22" fillId="4" borderId="123" xfId="0" applyFont="true" applyBorder="true" applyAlignment="false" applyProtection="false">
      <alignment horizontal="general" vertical="bottom" textRotation="0" wrapText="false" indent="0" shrinkToFit="false"/>
      <protection locked="true" hidden="false"/>
    </xf>
    <xf numFmtId="190" fontId="22" fillId="4" borderId="124" xfId="0" applyFont="true" applyBorder="true" applyAlignment="false" applyProtection="false">
      <alignment horizontal="general" vertical="bottom" textRotation="0" wrapText="false" indent="0" shrinkToFit="false"/>
      <protection locked="true" hidden="false"/>
    </xf>
    <xf numFmtId="191" fontId="36" fillId="4" borderId="0" xfId="0" applyFont="true" applyBorder="false" applyAlignment="false" applyProtection="false">
      <alignment horizontal="general" vertical="bottom" textRotation="0" wrapText="false" indent="0" shrinkToFit="false"/>
      <protection locked="true" hidden="false"/>
    </xf>
    <xf numFmtId="188" fontId="0" fillId="2" borderId="100" xfId="0" applyFont="false" applyBorder="true" applyAlignment="false" applyProtection="false">
      <alignment horizontal="general" vertical="bottom" textRotation="0" wrapText="false" indent="0" shrinkToFit="false"/>
      <protection locked="true" hidden="false"/>
    </xf>
    <xf numFmtId="188" fontId="0" fillId="2" borderId="75" xfId="0" applyFont="false" applyBorder="true" applyAlignment="false" applyProtection="false">
      <alignment horizontal="general" vertical="bottom" textRotation="0" wrapText="false" indent="0" shrinkToFit="false"/>
      <protection locked="true" hidden="false"/>
    </xf>
    <xf numFmtId="190" fontId="0" fillId="2" borderId="75" xfId="0" applyFont="false" applyBorder="true" applyAlignment="false" applyProtection="false">
      <alignment horizontal="general" vertical="bottom" textRotation="0" wrapText="false" indent="0" shrinkToFit="false"/>
      <protection locked="true" hidden="false"/>
    </xf>
    <xf numFmtId="190" fontId="0" fillId="2" borderId="96" xfId="0" applyFont="false" applyBorder="true" applyAlignment="false" applyProtection="false">
      <alignment horizontal="general" vertical="bottom" textRotation="0" wrapText="false" indent="0" shrinkToFit="false"/>
      <protection locked="true" hidden="false"/>
    </xf>
    <xf numFmtId="190" fontId="7" fillId="15" borderId="80" xfId="0" applyFont="true" applyBorder="true" applyAlignment="true" applyProtection="false">
      <alignment horizontal="center" vertical="bottom" textRotation="0" wrapText="false" indent="0" shrinkToFit="false"/>
      <protection locked="true" hidden="false"/>
    </xf>
    <xf numFmtId="175" fontId="0" fillId="10" borderId="75" xfId="0" applyFont="false" applyBorder="true" applyAlignment="false" applyProtection="false">
      <alignment horizontal="general" vertical="bottom" textRotation="0" wrapText="false" indent="0" shrinkToFit="false"/>
      <protection locked="true" hidden="false"/>
    </xf>
    <xf numFmtId="175" fontId="0" fillId="10" borderId="96" xfId="0" applyFont="false" applyBorder="true" applyAlignment="true" applyProtection="false">
      <alignment horizontal="right" vertical="bottom" textRotation="0" wrapText="false" indent="0" shrinkToFit="false"/>
      <protection locked="true" hidden="false"/>
    </xf>
    <xf numFmtId="166" fontId="22" fillId="4" borderId="0" xfId="0" applyFont="true" applyBorder="true" applyAlignment="false" applyProtection="false">
      <alignment horizontal="general" vertical="bottom" textRotation="0" wrapText="false" indent="0" shrinkToFit="false"/>
      <protection locked="true" hidden="false"/>
    </xf>
    <xf numFmtId="166" fontId="0" fillId="4" borderId="0" xfId="0" applyFont="false" applyBorder="true" applyAlignment="false" applyProtection="false">
      <alignment horizontal="general" vertical="bottom" textRotation="0" wrapText="false" indent="0" shrinkToFit="false"/>
      <protection locked="true" hidden="false"/>
    </xf>
    <xf numFmtId="188" fontId="0" fillId="4" borderId="0" xfId="0" applyFont="false" applyBorder="true" applyAlignment="false" applyProtection="false">
      <alignment horizontal="general" vertical="bottom" textRotation="0" wrapText="false" indent="0" shrinkToFit="false"/>
      <protection locked="true" hidden="false"/>
    </xf>
    <xf numFmtId="190" fontId="0" fillId="4" borderId="0" xfId="0" applyFont="false" applyBorder="true" applyAlignment="false" applyProtection="false">
      <alignment horizontal="general" vertical="bottom" textRotation="0" wrapText="false" indent="0" shrinkToFit="false"/>
      <protection locked="true" hidden="false"/>
    </xf>
    <xf numFmtId="171" fontId="0" fillId="4" borderId="0" xfId="0" applyFont="false" applyBorder="true" applyAlignment="false" applyProtection="false">
      <alignment horizontal="general" vertical="bottom" textRotation="0" wrapText="false" indent="0" shrinkToFit="false"/>
      <protection locked="true" hidden="false"/>
    </xf>
    <xf numFmtId="180" fontId="0" fillId="4" borderId="0" xfId="0" applyFont="false" applyBorder="true" applyAlignment="false" applyProtection="false">
      <alignment horizontal="general" vertical="bottom" textRotation="0" wrapText="false" indent="0" shrinkToFit="false"/>
      <protection locked="true" hidden="false"/>
    </xf>
    <xf numFmtId="191" fontId="0" fillId="4" borderId="0" xfId="0" applyFont="false" applyBorder="true" applyAlignment="false" applyProtection="false">
      <alignment horizontal="general" vertical="bottom" textRotation="0" wrapText="false" indent="0" shrinkToFit="false"/>
      <protection locked="true" hidden="false"/>
    </xf>
    <xf numFmtId="190" fontId="36" fillId="3" borderId="2" xfId="0" applyFont="true" applyBorder="true" applyAlignment="true" applyProtection="false">
      <alignment horizontal="center" vertical="bottom" textRotation="0" wrapText="false" indent="0" shrinkToFit="false"/>
      <protection locked="true" hidden="false"/>
    </xf>
    <xf numFmtId="164" fontId="7" fillId="4" borderId="0" xfId="0" applyFont="true" applyBorder="false" applyAlignment="true" applyProtection="false">
      <alignment horizontal="right" vertical="bottom" textRotation="0" wrapText="true" indent="0" shrinkToFit="false"/>
      <protection locked="true" hidden="false"/>
    </xf>
    <xf numFmtId="166" fontId="7" fillId="5" borderId="2" xfId="0" applyFont="true" applyBorder="true" applyAlignment="true" applyProtection="false">
      <alignment horizontal="right" vertical="bottom" textRotation="0" wrapText="true" indent="0" shrinkToFit="false"/>
      <protection locked="true" hidden="false"/>
    </xf>
    <xf numFmtId="188" fontId="7" fillId="5" borderId="88" xfId="0" applyFont="true" applyBorder="true" applyAlignment="true" applyProtection="false">
      <alignment horizontal="right" vertical="bottom" textRotation="0" wrapText="true" indent="0" shrinkToFit="false"/>
      <protection locked="true" hidden="false"/>
    </xf>
    <xf numFmtId="188" fontId="7" fillId="5" borderId="76" xfId="0" applyFont="true" applyBorder="true" applyAlignment="true" applyProtection="false">
      <alignment horizontal="right" vertical="bottom" textRotation="0" wrapText="true" indent="0" shrinkToFit="false"/>
      <protection locked="true" hidden="false"/>
    </xf>
    <xf numFmtId="190" fontId="7" fillId="5" borderId="76" xfId="0" applyFont="true" applyBorder="true" applyAlignment="true" applyProtection="false">
      <alignment horizontal="right" vertical="bottom" textRotation="0" wrapText="true" indent="0" shrinkToFit="false"/>
      <protection locked="true" hidden="false"/>
    </xf>
    <xf numFmtId="190" fontId="7" fillId="5" borderId="68" xfId="0" applyFont="true" applyBorder="true" applyAlignment="true" applyProtection="false">
      <alignment horizontal="right" vertical="bottom" textRotation="0" wrapText="true" indent="0" shrinkToFit="false"/>
      <protection locked="true" hidden="false"/>
    </xf>
    <xf numFmtId="164" fontId="7" fillId="5" borderId="88" xfId="0" applyFont="true" applyBorder="true" applyAlignment="true" applyProtection="false">
      <alignment horizontal="right" vertical="bottom" textRotation="0" wrapText="true" indent="0" shrinkToFit="false"/>
      <protection locked="true" hidden="false"/>
    </xf>
    <xf numFmtId="164" fontId="7" fillId="5" borderId="68" xfId="0" applyFont="true" applyBorder="true" applyAlignment="true" applyProtection="false">
      <alignment horizontal="right" vertical="bottom" textRotation="0" wrapText="true" indent="0" shrinkToFit="false"/>
      <protection locked="true" hidden="false"/>
    </xf>
    <xf numFmtId="164" fontId="7" fillId="5" borderId="76" xfId="0" applyFont="true" applyBorder="true" applyAlignment="true" applyProtection="false">
      <alignment horizontal="right" vertical="bottom" textRotation="0" wrapText="true" indent="0" shrinkToFit="false"/>
      <protection locked="true" hidden="false"/>
    </xf>
    <xf numFmtId="169" fontId="7" fillId="5" borderId="76" xfId="0" applyFont="true" applyBorder="true" applyAlignment="true" applyProtection="false">
      <alignment horizontal="right" vertical="bottom" textRotation="0" wrapText="true" indent="0" shrinkToFit="false"/>
      <protection locked="true" hidden="false"/>
    </xf>
    <xf numFmtId="169" fontId="7" fillId="5" borderId="68" xfId="0" applyFont="true" applyBorder="true" applyAlignment="true" applyProtection="false">
      <alignment horizontal="right" vertical="bottom" textRotation="0" wrapText="true" indent="0" shrinkToFit="false"/>
      <protection locked="true" hidden="false"/>
    </xf>
    <xf numFmtId="180" fontId="7" fillId="5" borderId="88" xfId="0" applyFont="true" applyBorder="true" applyAlignment="true" applyProtection="false">
      <alignment horizontal="right" vertical="bottom" textRotation="0" wrapText="true" indent="0" shrinkToFit="false"/>
      <protection locked="true" hidden="false"/>
    </xf>
    <xf numFmtId="180" fontId="7" fillId="5" borderId="68" xfId="0" applyFont="true" applyBorder="true" applyAlignment="true" applyProtection="false">
      <alignment horizontal="right" vertical="bottom" textRotation="0" wrapText="true" indent="0" shrinkToFit="false"/>
      <protection locked="true" hidden="false"/>
    </xf>
    <xf numFmtId="190" fontId="17" fillId="5" borderId="2" xfId="0" applyFont="true" applyBorder="true" applyAlignment="true" applyProtection="false">
      <alignment horizontal="right" vertical="bottom" textRotation="0" wrapText="true" indent="0" shrinkToFit="false"/>
      <protection locked="true" hidden="false"/>
    </xf>
    <xf numFmtId="164" fontId="7" fillId="4" borderId="32" xfId="0" applyFont="true" applyBorder="true" applyAlignment="true" applyProtection="false">
      <alignment horizontal="right" vertical="bottom" textRotation="0" wrapText="true" indent="0" shrinkToFit="false"/>
      <protection locked="true" hidden="false"/>
    </xf>
    <xf numFmtId="191" fontId="17" fillId="5" borderId="2" xfId="0" applyFont="true" applyBorder="true" applyAlignment="true" applyProtection="false">
      <alignment horizontal="right" vertical="bottom" textRotation="0" wrapText="true" indent="0" shrinkToFit="false"/>
      <protection locked="true" hidden="false"/>
    </xf>
    <xf numFmtId="191" fontId="17" fillId="5" borderId="68" xfId="0" applyFont="true" applyBorder="true" applyAlignment="true" applyProtection="false">
      <alignment horizontal="right" vertical="bottom" textRotation="0" wrapText="true" indent="0" shrinkToFit="false"/>
      <protection locked="true" hidden="false"/>
    </xf>
    <xf numFmtId="164" fontId="7" fillId="4" borderId="0" xfId="0" applyFont="true" applyBorder="true" applyAlignment="true" applyProtection="false">
      <alignment horizontal="right" vertical="bottom" textRotation="0" wrapText="true" indent="0" shrinkToFit="false"/>
      <protection locked="true" hidden="false"/>
    </xf>
    <xf numFmtId="171" fontId="36" fillId="4" borderId="0" xfId="0" applyFont="true" applyBorder="false" applyAlignment="true" applyProtection="false">
      <alignment horizontal="right" vertical="bottom" textRotation="0" wrapText="true" indent="0" shrinkToFit="false"/>
      <protection locked="true" hidden="false"/>
    </xf>
    <xf numFmtId="190" fontId="36" fillId="4" borderId="0" xfId="0" applyFont="true" applyBorder="false" applyAlignment="true" applyProtection="false">
      <alignment horizontal="right" vertical="bottom" textRotation="0" wrapText="true" indent="0" shrinkToFit="false"/>
      <protection locked="true" hidden="false"/>
    </xf>
    <xf numFmtId="169" fontId="36" fillId="4" borderId="0" xfId="0" applyFont="true" applyBorder="false" applyAlignment="true" applyProtection="false">
      <alignment horizontal="right" vertical="bottom" textRotation="0" wrapText="true" indent="0" shrinkToFit="false"/>
      <protection locked="true" hidden="false"/>
    </xf>
    <xf numFmtId="164" fontId="36" fillId="4" borderId="0" xfId="0" applyFont="true" applyBorder="false" applyAlignment="true" applyProtection="false">
      <alignment horizontal="right" vertical="bottom" textRotation="0" wrapText="true" indent="0" shrinkToFit="false"/>
      <protection locked="true" hidden="false"/>
    </xf>
    <xf numFmtId="169" fontId="36" fillId="4" borderId="95" xfId="0" applyFont="true" applyBorder="true" applyAlignment="true" applyProtection="false">
      <alignment horizontal="right" vertical="bottom" textRotation="0" wrapText="true" indent="0" shrinkToFit="false"/>
      <protection locked="true" hidden="false"/>
    </xf>
    <xf numFmtId="164" fontId="7" fillId="4" borderId="95" xfId="0" applyFont="true" applyBorder="true" applyAlignment="true" applyProtection="false">
      <alignment horizontal="right" vertical="bottom" textRotation="0" wrapText="true" indent="0" shrinkToFit="false"/>
      <protection locked="true" hidden="false"/>
    </xf>
    <xf numFmtId="169" fontId="36" fillId="4" borderId="0" xfId="0" applyFont="true" applyBorder="true" applyAlignment="true" applyProtection="false">
      <alignment horizontal="right" vertical="bottom" textRotation="0" wrapText="true" indent="0" shrinkToFit="false"/>
      <protection locked="true" hidden="false"/>
    </xf>
    <xf numFmtId="176" fontId="36" fillId="4" borderId="0" xfId="0" applyFont="true" applyBorder="false" applyAlignment="true" applyProtection="false">
      <alignment horizontal="right" vertical="bottom" textRotation="0" wrapText="true" indent="0" shrinkToFit="false"/>
      <protection locked="true" hidden="false"/>
    </xf>
    <xf numFmtId="164" fontId="0" fillId="4" borderId="0" xfId="0" applyFont="false" applyBorder="true" applyAlignment="true" applyProtection="false">
      <alignment horizontal="center" vertical="bottom" textRotation="0" wrapText="false" indent="0" shrinkToFit="false"/>
      <protection locked="true" hidden="false"/>
    </xf>
    <xf numFmtId="168" fontId="0" fillId="4" borderId="0" xfId="0" applyFont="false" applyBorder="false" applyAlignment="false" applyProtection="false">
      <alignment horizontal="general" vertical="bottom" textRotation="0" wrapText="false" indent="0" shrinkToFit="false"/>
      <protection locked="true" hidden="false"/>
    </xf>
    <xf numFmtId="178" fontId="0" fillId="4" borderId="0" xfId="0" applyFont="false" applyBorder="false" applyAlignment="false" applyProtection="false">
      <alignment horizontal="general" vertical="bottom" textRotation="0" wrapText="false" indent="0" shrinkToFit="false"/>
      <protection locked="true" hidden="false"/>
    </xf>
    <xf numFmtId="190" fontId="20" fillId="4" borderId="0" xfId="0" applyFont="true" applyBorder="false" applyAlignment="false" applyProtection="false">
      <alignment horizontal="general" vertical="bottom" textRotation="0" wrapText="false" indent="0" shrinkToFit="false"/>
      <protection locked="true" hidden="false"/>
    </xf>
    <xf numFmtId="191" fontId="20" fillId="4" borderId="0" xfId="0" applyFont="true" applyBorder="false" applyAlignment="false" applyProtection="false">
      <alignment horizontal="general" vertical="bottom" textRotation="0" wrapText="false" indent="0" shrinkToFit="false"/>
      <protection locked="true" hidden="false"/>
    </xf>
    <xf numFmtId="176" fontId="22" fillId="4" borderId="0" xfId="0" applyFont="true" applyBorder="false" applyAlignment="false" applyProtection="false">
      <alignment horizontal="general" vertical="bottom" textRotation="0" wrapText="false" indent="0" shrinkToFit="false"/>
      <protection locked="true" hidden="false"/>
    </xf>
    <xf numFmtId="188" fontId="22" fillId="4" borderId="0" xfId="0" applyFont="true" applyBorder="false" applyAlignment="false" applyProtection="false">
      <alignment horizontal="general" vertical="bottom" textRotation="0" wrapText="false" indent="0" shrinkToFit="false"/>
      <protection locked="true" hidden="false"/>
    </xf>
    <xf numFmtId="169" fontId="22" fillId="4" borderId="95" xfId="0" applyFont="true" applyBorder="true" applyAlignment="false" applyProtection="false">
      <alignment horizontal="general" vertical="bottom" textRotation="0" wrapText="false" indent="0" shrinkToFit="false"/>
      <protection locked="true" hidden="false"/>
    </xf>
    <xf numFmtId="190" fontId="22" fillId="4" borderId="0" xfId="0" applyFont="true" applyBorder="true" applyAlignment="false" applyProtection="false">
      <alignment horizontal="general" vertical="bottom" textRotation="0" wrapText="false" indent="0" shrinkToFit="false"/>
      <protection locked="true" hidden="false"/>
    </xf>
    <xf numFmtId="194" fontId="0" fillId="4" borderId="0" xfId="0" applyFont="false" applyBorder="true" applyAlignment="true" applyProtection="false">
      <alignment horizontal="center" vertical="bottom" textRotation="0" wrapText="false" indent="0" shrinkToFit="false"/>
      <protection locked="true" hidden="false"/>
    </xf>
    <xf numFmtId="180" fontId="21" fillId="4" borderId="0" xfId="0" applyFont="true" applyBorder="false" applyAlignment="true" applyProtection="false">
      <alignment horizontal="right" vertical="bottom" textRotation="0" wrapText="false" indent="0" shrinkToFit="false"/>
      <protection locked="true" hidden="false"/>
    </xf>
    <xf numFmtId="177" fontId="0" fillId="4" borderId="0" xfId="0" applyFont="false" applyBorder="false" applyAlignment="false" applyProtection="false">
      <alignment horizontal="general" vertical="bottom" textRotation="0" wrapText="false" indent="0" shrinkToFit="false"/>
      <protection locked="true" hidden="false"/>
    </xf>
    <xf numFmtId="190" fontId="0" fillId="4" borderId="0" xfId="0" applyFont="false" applyBorder="true" applyAlignment="true" applyProtection="false">
      <alignment horizontal="center" vertical="bottom" textRotation="0" wrapText="false" indent="0" shrinkToFit="false"/>
      <protection locked="true" hidden="false"/>
    </xf>
    <xf numFmtId="164" fontId="7" fillId="4" borderId="79" xfId="0" applyFont="true" applyBorder="true" applyAlignment="true" applyProtection="false">
      <alignment horizontal="center" vertical="bottom" textRotation="0" wrapText="false" indent="0" shrinkToFit="false"/>
      <protection locked="true" hidden="false"/>
    </xf>
    <xf numFmtId="164" fontId="7" fillId="4" borderId="95" xfId="0" applyFont="true" applyBorder="true" applyAlignment="true" applyProtection="false">
      <alignment horizontal="center" vertical="bottom" textRotation="0" wrapText="false" indent="0" shrinkToFit="false"/>
      <protection locked="true" hidden="false"/>
    </xf>
    <xf numFmtId="164" fontId="7" fillId="4" borderId="0" xfId="0" applyFont="true" applyBorder="true" applyAlignment="true" applyProtection="false">
      <alignment horizontal="center" vertical="bottom" textRotation="0" wrapText="false" indent="0" shrinkToFit="false"/>
      <protection locked="true" hidden="false"/>
    </xf>
    <xf numFmtId="164" fontId="7" fillId="4" borderId="32" xfId="0" applyFont="true" applyBorder="true" applyAlignment="true" applyProtection="false">
      <alignment horizontal="center" vertical="bottom" textRotation="0" wrapText="false" indent="0" shrinkToFit="false"/>
      <protection locked="true" hidden="false"/>
    </xf>
    <xf numFmtId="164" fontId="7" fillId="4" borderId="22" xfId="0" applyFont="true" applyBorder="true" applyAlignment="true" applyProtection="false">
      <alignment horizontal="center" vertical="bottom" textRotation="0" wrapText="false" indent="0" shrinkToFit="false"/>
      <protection locked="true" hidden="false"/>
    </xf>
    <xf numFmtId="175" fontId="0" fillId="4" borderId="95" xfId="0" applyFont="false" applyBorder="true" applyAlignment="true" applyProtection="false">
      <alignment horizontal="center" vertical="bottom" textRotation="0" wrapText="false" indent="0" shrinkToFit="false"/>
      <protection locked="true" hidden="false"/>
    </xf>
    <xf numFmtId="175" fontId="0" fillId="4" borderId="0" xfId="0" applyFont="false" applyBorder="true" applyAlignment="true" applyProtection="false">
      <alignment horizontal="center" vertical="bottom" textRotation="0" wrapText="false" indent="0" shrinkToFit="false"/>
      <protection locked="true" hidden="false"/>
    </xf>
    <xf numFmtId="175" fontId="0" fillId="4" borderId="32" xfId="0" applyFont="false" applyBorder="true" applyAlignment="true" applyProtection="false">
      <alignment horizontal="center" vertical="bottom" textRotation="0" wrapText="false" indent="0" shrinkToFit="false"/>
      <protection locked="true" hidden="false"/>
    </xf>
    <xf numFmtId="164" fontId="7" fillId="4" borderId="95" xfId="0" applyFont="true" applyBorder="true" applyAlignment="true" applyProtection="false">
      <alignment horizontal="center" vertical="bottom" textRotation="0" wrapText="true" indent="0" shrinkToFit="false"/>
      <protection locked="true" hidden="false"/>
    </xf>
    <xf numFmtId="164" fontId="7" fillId="4" borderId="0" xfId="0" applyFont="true" applyBorder="true" applyAlignment="true" applyProtection="false">
      <alignment horizontal="center" vertical="bottom" textRotation="0" wrapText="true" indent="0" shrinkToFit="false"/>
      <protection locked="true" hidden="false"/>
    </xf>
    <xf numFmtId="164" fontId="7" fillId="4" borderId="32" xfId="0" applyFont="true" applyBorder="true" applyAlignment="true" applyProtection="false">
      <alignment horizontal="center" vertical="bottom" textRotation="0" wrapText="true" indent="0" shrinkToFit="false"/>
      <protection locked="true" hidden="false"/>
    </xf>
    <xf numFmtId="195" fontId="0" fillId="4" borderId="95" xfId="0" applyFont="false" applyBorder="true" applyAlignment="true" applyProtection="false">
      <alignment horizontal="center" vertical="bottom" textRotation="0" wrapText="false" indent="0" shrinkToFit="false"/>
      <protection locked="true" hidden="false"/>
    </xf>
    <xf numFmtId="195" fontId="0" fillId="4" borderId="0" xfId="0" applyFont="false" applyBorder="true" applyAlignment="true" applyProtection="false">
      <alignment horizontal="center" vertical="bottom" textRotation="0" wrapText="false" indent="0" shrinkToFit="false"/>
      <protection locked="true" hidden="false"/>
    </xf>
    <xf numFmtId="195" fontId="0" fillId="4" borderId="32" xfId="0" applyFont="false" applyBorder="true" applyAlignment="true" applyProtection="false">
      <alignment horizontal="center" vertical="bottom" textRotation="0" wrapText="false" indent="0" shrinkToFit="false"/>
      <protection locked="true" hidden="false"/>
    </xf>
    <xf numFmtId="164" fontId="0" fillId="4" borderId="100" xfId="0" applyFont="false" applyBorder="true" applyAlignment="false" applyProtection="false">
      <alignment horizontal="general" vertical="bottom" textRotation="0" wrapText="false" indent="0" shrinkToFit="false"/>
      <protection locked="true" hidden="false"/>
    </xf>
    <xf numFmtId="164" fontId="0" fillId="4" borderId="75" xfId="0" applyFont="false" applyBorder="true" applyAlignment="false" applyProtection="false">
      <alignment horizontal="general" vertical="bottom" textRotation="0" wrapText="false" indent="0" shrinkToFit="false"/>
      <protection locked="true" hidden="false"/>
    </xf>
    <xf numFmtId="164" fontId="0" fillId="4" borderId="96" xfId="0" applyFont="false" applyBorder="true" applyAlignment="false" applyProtection="false">
      <alignment horizontal="general" vertical="bottom" textRotation="0" wrapText="false" indent="0" shrinkToFit="false"/>
      <protection locked="true" hidden="false"/>
    </xf>
    <xf numFmtId="168" fontId="22" fillId="4" borderId="0" xfId="0" applyFont="true" applyBorder="false" applyAlignment="false" applyProtection="false">
      <alignment horizontal="general" vertical="bottom" textRotation="0" wrapText="false" indent="0" shrinkToFit="false"/>
      <protection locked="true" hidden="false"/>
    </xf>
    <xf numFmtId="171" fontId="7" fillId="11" borderId="2" xfId="0" applyFont="true" applyBorder="true" applyAlignment="true" applyProtection="false">
      <alignment horizontal="center" vertical="bottom" textRotation="0" wrapText="false" indent="0" shrinkToFit="false"/>
      <protection locked="true" hidden="false"/>
    </xf>
    <xf numFmtId="171" fontId="7" fillId="4" borderId="0" xfId="0" applyFont="true" applyBorder="false" applyAlignment="false" applyProtection="false">
      <alignment horizontal="general" vertical="bottom" textRotation="0" wrapText="false" indent="0" shrinkToFit="false"/>
      <protection locked="true" hidden="false"/>
    </xf>
    <xf numFmtId="196" fontId="8" fillId="4" borderId="0" xfId="0" applyFont="true" applyBorder="false" applyAlignment="false" applyProtection="false">
      <alignment horizontal="general" vertical="bottom" textRotation="0" wrapText="false" indent="0" shrinkToFit="false"/>
      <protection locked="true" hidden="false"/>
    </xf>
    <xf numFmtId="171" fontId="0" fillId="3" borderId="88" xfId="0" applyFont="true" applyBorder="true" applyAlignment="true" applyProtection="false">
      <alignment horizontal="right" vertical="bottom" textRotation="0" wrapText="false" indent="0" shrinkToFit="false"/>
      <protection locked="true" hidden="false"/>
    </xf>
    <xf numFmtId="191" fontId="0" fillId="3" borderId="68" xfId="0" applyFont="true" applyBorder="true" applyAlignment="true" applyProtection="false">
      <alignment horizontal="right" vertical="bottom" textRotation="0" wrapText="false" indent="0" shrinkToFit="false"/>
      <protection locked="true" hidden="false"/>
    </xf>
    <xf numFmtId="171" fontId="8" fillId="4" borderId="95" xfId="0" applyFont="true" applyBorder="true" applyAlignment="false" applyProtection="false">
      <alignment horizontal="general" vertical="bottom" textRotation="0" wrapText="false" indent="0" shrinkToFit="false"/>
      <protection locked="true" hidden="false"/>
    </xf>
    <xf numFmtId="196" fontId="8" fillId="4" borderId="32" xfId="0" applyFont="true" applyBorder="true" applyAlignment="false" applyProtection="false">
      <alignment horizontal="general" vertical="bottom" textRotation="0" wrapText="false" indent="0" shrinkToFit="false"/>
      <protection locked="true" hidden="false"/>
    </xf>
    <xf numFmtId="171" fontId="8" fillId="4" borderId="100" xfId="0" applyFont="true" applyBorder="true" applyAlignment="false" applyProtection="false">
      <alignment horizontal="general" vertical="bottom" textRotation="0" wrapText="false" indent="0" shrinkToFit="false"/>
      <protection locked="true" hidden="false"/>
    </xf>
    <xf numFmtId="196" fontId="8" fillId="4" borderId="96" xfId="0" applyFont="true" applyBorder="true" applyAlignment="false" applyProtection="false">
      <alignment horizontal="general" vertical="bottom" textRotation="0" wrapText="false" indent="0" shrinkToFit="false"/>
      <protection locked="true" hidden="false"/>
    </xf>
    <xf numFmtId="164" fontId="0" fillId="10" borderId="0" xfId="0" applyFont="false" applyBorder="false" applyAlignment="true" applyProtection="false">
      <alignment horizontal="general" vertical="bottom" textRotation="0" wrapText="true" indent="0" shrinkToFit="false"/>
      <protection locked="true" hidden="false"/>
    </xf>
    <xf numFmtId="164" fontId="0" fillId="10" borderId="0" xfId="0" applyFont="false" applyBorder="false" applyAlignment="true" applyProtection="false">
      <alignment horizontal="left" vertical="bottom" textRotation="0" wrapText="true" indent="0" shrinkToFit="false"/>
      <protection locked="true" hidden="false"/>
    </xf>
    <xf numFmtId="164" fontId="0" fillId="10" borderId="0" xfId="0" applyFont="false" applyBorder="false" applyAlignment="true" applyProtection="false">
      <alignment horizontal="left" vertical="bottom" textRotation="0" wrapText="false" indent="0" shrinkToFit="false"/>
      <protection locked="true" hidden="false"/>
    </xf>
    <xf numFmtId="164" fontId="40" fillId="10" borderId="0" xfId="0" applyFont="true" applyBorder="true" applyAlignment="true" applyProtection="false">
      <alignment horizontal="left" vertical="bottom" textRotation="0" wrapText="true" indent="0" shrinkToFit="false"/>
      <protection locked="true" hidden="false"/>
    </xf>
    <xf numFmtId="164" fontId="0" fillId="10" borderId="0" xfId="0" applyFont="true" applyBorder="true" applyAlignment="true" applyProtection="false">
      <alignment horizontal="left" vertical="bottom" textRotation="0" wrapText="true" indent="0" shrinkToFit="false"/>
      <protection locked="true" hidden="false"/>
    </xf>
    <xf numFmtId="164" fontId="8" fillId="10" borderId="0" xfId="0" applyFont="true" applyBorder="true" applyAlignment="true" applyProtection="false">
      <alignment horizontal="left" vertical="bottom" textRotation="0" wrapText="true" indent="0" shrinkToFit="false"/>
      <protection locked="true" hidden="false"/>
    </xf>
    <xf numFmtId="164" fontId="8" fillId="10" borderId="0" xfId="0" applyFont="true" applyBorder="false" applyAlignment="true" applyProtection="false">
      <alignment horizontal="left" vertical="bottom" textRotation="0" wrapText="true" indent="0" shrinkToFit="false"/>
      <protection locked="true" hidden="false"/>
    </xf>
    <xf numFmtId="164" fontId="40" fillId="10" borderId="0" xfId="0" applyFont="true" applyBorder="false" applyAlignment="true" applyProtection="false">
      <alignment horizontal="left" vertical="bottom" textRotation="0" wrapText="true" indent="0" shrinkToFit="false"/>
      <protection locked="true" hidden="false"/>
    </xf>
    <xf numFmtId="164" fontId="20" fillId="10" borderId="0" xfId="0" applyFont="true" applyBorder="false" applyAlignment="true" applyProtection="false">
      <alignment horizontal="left" vertical="bottom" textRotation="0" wrapText="true" indent="0" shrinkToFit="false"/>
      <protection locked="true" hidden="false"/>
    </xf>
    <xf numFmtId="197" fontId="0" fillId="2"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7" fillId="3" borderId="2" xfId="0" applyFont="true" applyBorder="true" applyAlignment="true" applyProtection="false">
      <alignment horizontal="center" vertical="bottom" textRotation="0" wrapText="false" indent="0" shrinkToFit="false"/>
      <protection locked="true" hidden="false"/>
    </xf>
    <xf numFmtId="164" fontId="41" fillId="2" borderId="0" xfId="0" applyFont="true" applyBorder="false" applyAlignment="false" applyProtection="false">
      <alignment horizontal="general" vertical="bottom" textRotation="0" wrapText="false" indent="0" shrinkToFit="false"/>
      <protection locked="true" hidden="false"/>
    </xf>
    <xf numFmtId="164" fontId="7" fillId="2" borderId="0" xfId="0" applyFont="true" applyBorder="false" applyAlignment="false" applyProtection="false">
      <alignment horizontal="general" vertical="bottom" textRotation="0" wrapText="false" indent="0" shrinkToFit="false"/>
      <protection locked="true" hidden="false"/>
    </xf>
    <xf numFmtId="164" fontId="25" fillId="2" borderId="0" xfId="0" applyFont="true" applyBorder="true" applyAlignment="true" applyProtection="false">
      <alignment horizontal="left" vertical="bottom" textRotation="0" wrapText="false" indent="0" shrinkToFit="false"/>
      <protection locked="true" hidden="false"/>
    </xf>
    <xf numFmtId="164" fontId="25" fillId="2" borderId="0" xfId="0" applyFont="true" applyBorder="true" applyAlignment="false" applyProtection="false">
      <alignment horizontal="general" vertical="bottom" textRotation="0" wrapText="false" indent="0" shrinkToFit="false"/>
      <protection locked="true" hidden="false"/>
    </xf>
    <xf numFmtId="164" fontId="25" fillId="2" borderId="0" xfId="20" applyFont="true" applyBorder="true" applyAlignment="true" applyProtection="false">
      <alignment horizontal="left" vertical="bottom" textRotation="0" wrapText="false" indent="0" shrinkToFit="false"/>
      <protection locked="true" hidden="false"/>
    </xf>
    <xf numFmtId="164" fontId="25" fillId="2" borderId="0" xfId="20" applyFont="true" applyBorder="true" applyAlignment="false" applyProtection="false">
      <alignment horizontal="general" vertical="bottom" textRotation="0" wrapText="false" indent="0" shrinkToFit="false"/>
      <protection locked="true" hidden="false"/>
    </xf>
    <xf numFmtId="164" fontId="25" fillId="2" borderId="0" xfId="20" applyFont="true" applyBorder="true" applyAlignment="false" applyProtection="false">
      <alignment horizontal="general" vertical="bottom" textRotation="0" wrapText="false" indent="0" shrinkToFit="false"/>
      <protection locked="true" hidden="false"/>
    </xf>
    <xf numFmtId="198" fontId="0" fillId="2" borderId="0" xfId="0" applyFont="fals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right" vertical="bottom" textRotation="0" wrapText="false" indent="0" shrinkToFit="false"/>
      <protection locked="true" hidden="false"/>
    </xf>
    <xf numFmtId="164" fontId="7" fillId="0" borderId="0" xfId="0" applyFont="true" applyBorder="false" applyAlignment="true" applyProtection="false">
      <alignment horizontal="left"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0" fillId="2" borderId="0" xfId="0" applyFont="false" applyBorder="false" applyAlignment="true" applyProtection="false">
      <alignment horizontal="right" vertical="bottom" textRotation="0" wrapText="false" indent="0" shrinkToFit="false"/>
      <protection locked="true" hidden="false"/>
    </xf>
    <xf numFmtId="164" fontId="7" fillId="2" borderId="0" xfId="0" applyFont="true" applyBorder="false" applyAlignment="true" applyProtection="false">
      <alignment horizontal="right" vertical="bottom" textRotation="0" wrapText="false" indent="0" shrinkToFit="false"/>
      <protection locked="true" hidden="false"/>
    </xf>
    <xf numFmtId="166" fontId="0" fillId="2" borderId="2" xfId="0" applyFont="false" applyBorder="true" applyAlignment="false" applyProtection="false">
      <alignment horizontal="general" vertical="bottom" textRotation="0" wrapText="false" indent="0" shrinkToFit="false"/>
      <protection locked="true" hidden="false"/>
    </xf>
    <xf numFmtId="166" fontId="8" fillId="4" borderId="2" xfId="0" applyFont="true" applyBorder="true" applyAlignment="false" applyProtection="false">
      <alignment horizontal="general" vertical="bottom" textRotation="0" wrapText="false" indent="0" shrinkToFit="false"/>
      <protection locked="true" hidden="false"/>
    </xf>
    <xf numFmtId="165" fontId="8" fillId="4" borderId="2" xfId="0" applyFont="true" applyBorder="true" applyAlignment="false" applyProtection="false">
      <alignment horizontal="general" vertical="bottom" textRotation="0" wrapText="false" indent="0" shrinkToFit="false"/>
      <protection locked="true" hidden="false"/>
    </xf>
    <xf numFmtId="164" fontId="8" fillId="4" borderId="2" xfId="0" applyFont="true" applyBorder="true" applyAlignment="false" applyProtection="false">
      <alignment horizontal="general" vertical="bottom" textRotation="0" wrapText="false" indent="0" shrinkToFit="false"/>
      <protection locked="true" hidden="false"/>
    </xf>
    <xf numFmtId="164" fontId="8" fillId="4" borderId="2" xfId="0" applyFont="true" applyBorder="true" applyAlignment="true" applyProtection="false">
      <alignment horizontal="right" vertical="bottom" textRotation="0" wrapText="false" indent="0" shrinkToFit="false"/>
      <protection locked="true" hidden="false"/>
    </xf>
    <xf numFmtId="164" fontId="7" fillId="2" borderId="88" xfId="0" applyFont="true" applyBorder="true" applyAlignment="false" applyProtection="false">
      <alignment horizontal="general" vertical="bottom" textRotation="0" wrapText="false" indent="0" shrinkToFit="false"/>
      <protection locked="true" hidden="false"/>
    </xf>
    <xf numFmtId="164" fontId="7" fillId="2" borderId="76" xfId="0" applyFont="true" applyBorder="true" applyAlignment="false" applyProtection="false">
      <alignment horizontal="general" vertical="bottom" textRotation="0" wrapText="false" indent="0" shrinkToFit="false"/>
      <protection locked="true" hidden="false"/>
    </xf>
    <xf numFmtId="164" fontId="0" fillId="2" borderId="76" xfId="0" applyFont="false" applyBorder="true" applyAlignment="false" applyProtection="false">
      <alignment horizontal="general" vertical="bottom" textRotation="0" wrapText="false" indent="0" shrinkToFit="false"/>
      <protection locked="true" hidden="false"/>
    </xf>
    <xf numFmtId="164" fontId="0" fillId="2" borderId="68" xfId="0" applyFont="false" applyBorder="true" applyAlignment="false" applyProtection="false">
      <alignment horizontal="general" vertical="bottom" textRotation="0" wrapText="false" indent="0" shrinkToFit="false"/>
      <protection locked="true" hidden="false"/>
    </xf>
    <xf numFmtId="164" fontId="0" fillId="2" borderId="119" xfId="0" applyFont="true" applyBorder="true" applyAlignment="false" applyProtection="false">
      <alignment horizontal="general" vertical="bottom" textRotation="0" wrapText="false" indent="0" shrinkToFit="false"/>
      <protection locked="true" hidden="false"/>
    </xf>
    <xf numFmtId="164" fontId="0" fillId="2" borderId="120" xfId="0" applyFont="false" applyBorder="true" applyAlignment="false" applyProtection="false">
      <alignment horizontal="general" vertical="bottom" textRotation="0" wrapText="false" indent="0" shrinkToFit="false"/>
      <protection locked="true" hidden="false"/>
    </xf>
    <xf numFmtId="164" fontId="0" fillId="2" borderId="89" xfId="0" applyFont="false" applyBorder="true" applyAlignment="false" applyProtection="false">
      <alignment horizontal="general" vertical="bottom" textRotation="0" wrapText="false" indent="0" shrinkToFit="false"/>
      <protection locked="true" hidden="false"/>
    </xf>
    <xf numFmtId="164" fontId="0" fillId="2" borderId="95" xfId="0" applyFont="true" applyBorder="true" applyAlignment="false" applyProtection="false">
      <alignment horizontal="general" vertical="bottom" textRotation="0" wrapText="false" indent="0" shrinkToFit="false"/>
      <protection locked="true" hidden="false"/>
    </xf>
    <xf numFmtId="164" fontId="0" fillId="2" borderId="32" xfId="0" applyFont="false" applyBorder="true" applyAlignment="false" applyProtection="false">
      <alignment horizontal="general" vertical="bottom" textRotation="0" wrapText="false" indent="0" shrinkToFit="false"/>
      <protection locked="true" hidden="false"/>
    </xf>
    <xf numFmtId="164" fontId="6" fillId="9" borderId="2" xfId="0" applyFont="true" applyBorder="true" applyAlignment="true" applyProtection="false">
      <alignment horizontal="center" vertical="bottom" textRotation="0" wrapText="false" indent="0" shrinkToFit="false"/>
      <protection locked="true" hidden="false"/>
    </xf>
    <xf numFmtId="164" fontId="0" fillId="2" borderId="100" xfId="0" applyFont="true" applyBorder="true" applyAlignment="false" applyProtection="false">
      <alignment horizontal="general" vertical="bottom" textRotation="0" wrapText="false" indent="0" shrinkToFit="false"/>
      <protection locked="true" hidden="false"/>
    </xf>
    <xf numFmtId="164" fontId="0" fillId="2" borderId="75" xfId="0" applyFont="false" applyBorder="true" applyAlignment="false" applyProtection="false">
      <alignment horizontal="general" vertical="bottom" textRotation="0" wrapText="false" indent="0" shrinkToFit="false"/>
      <protection locked="true" hidden="false"/>
    </xf>
    <xf numFmtId="164" fontId="0" fillId="2" borderId="96" xfId="0" applyFont="false" applyBorder="true" applyAlignment="false" applyProtection="false">
      <alignment horizontal="general" vertical="bottom" textRotation="0" wrapText="false" indent="0" shrinkToFit="false"/>
      <protection locked="true" hidden="false"/>
    </xf>
    <xf numFmtId="164" fontId="7" fillId="2" borderId="102" xfId="0" applyFont="true" applyBorder="true" applyAlignment="false" applyProtection="false">
      <alignment horizontal="general" vertical="bottom" textRotation="0" wrapText="false" indent="0" shrinkToFit="false"/>
      <protection locked="true" hidden="false"/>
    </xf>
    <xf numFmtId="178" fontId="8" fillId="4" borderId="125" xfId="0" applyFont="true" applyBorder="true" applyAlignment="false" applyProtection="false">
      <alignment horizontal="general" vertical="bottom" textRotation="0" wrapText="false" indent="0" shrinkToFit="false"/>
      <protection locked="true" hidden="false"/>
    </xf>
    <xf numFmtId="178" fontId="8" fillId="4" borderId="126" xfId="0" applyFont="true" applyBorder="true" applyAlignment="false" applyProtection="false">
      <alignment horizontal="general" vertical="bottom" textRotation="0" wrapText="false" indent="0" shrinkToFit="false"/>
      <protection locked="true" hidden="false"/>
    </xf>
    <xf numFmtId="166" fontId="7" fillId="2" borderId="102" xfId="0" applyFont="true" applyBorder="true" applyAlignment="false" applyProtection="false">
      <alignment horizontal="general" vertical="bottom" textRotation="0" wrapText="false" indent="0" shrinkToFit="false"/>
      <protection locked="true" hidden="false"/>
    </xf>
    <xf numFmtId="176" fontId="8" fillId="4" borderId="126" xfId="0" applyFont="true" applyBorder="true" applyAlignment="false" applyProtection="false">
      <alignment horizontal="general" vertical="bottom" textRotation="0" wrapText="false" indent="0" shrinkToFit="false"/>
      <protection locked="true" hidden="false"/>
    </xf>
    <xf numFmtId="164" fontId="7" fillId="2" borderId="107" xfId="0" applyFont="true" applyBorder="true" applyAlignment="false" applyProtection="false">
      <alignment horizontal="general" vertical="bottom" textRotation="0" wrapText="false" indent="0" shrinkToFit="false"/>
      <protection locked="true" hidden="false"/>
    </xf>
    <xf numFmtId="178" fontId="8" fillId="4" borderId="127" xfId="0" applyFont="true" applyBorder="true" applyAlignment="false" applyProtection="false">
      <alignment horizontal="general" vertical="bottom" textRotation="0" wrapText="false" indent="0" shrinkToFit="false"/>
      <protection locked="true" hidden="false"/>
    </xf>
    <xf numFmtId="178" fontId="8" fillId="4" borderId="128" xfId="0" applyFont="true" applyBorder="true" applyAlignment="false" applyProtection="false">
      <alignment horizontal="general" vertical="bottom" textRotation="0" wrapText="false" indent="0" shrinkToFit="false"/>
      <protection locked="true" hidden="false"/>
    </xf>
    <xf numFmtId="166" fontId="7" fillId="2" borderId="107" xfId="0" applyFont="true" applyBorder="true" applyAlignment="false" applyProtection="false">
      <alignment horizontal="general" vertical="bottom" textRotation="0" wrapText="false" indent="0" shrinkToFit="false"/>
      <protection locked="true" hidden="false"/>
    </xf>
    <xf numFmtId="176" fontId="8" fillId="4" borderId="128" xfId="0" applyFont="true" applyBorder="true" applyAlignment="false" applyProtection="false">
      <alignment horizontal="general" vertical="bottom" textRotation="0" wrapText="false" indent="0" shrinkToFit="false"/>
      <protection locked="true" hidden="false"/>
    </xf>
    <xf numFmtId="199" fontId="0" fillId="2" borderId="0" xfId="0" applyFont="false" applyBorder="false" applyAlignment="false" applyProtection="false">
      <alignment horizontal="general" vertical="bottom" textRotation="0" wrapText="false" indent="0" shrinkToFit="false"/>
      <protection locked="true" hidden="false"/>
    </xf>
    <xf numFmtId="166" fontId="7" fillId="2" borderId="129" xfId="0" applyFont="true" applyBorder="true" applyAlignment="false" applyProtection="false">
      <alignment horizontal="general" vertical="bottom" textRotation="0" wrapText="false" indent="0" shrinkToFit="false"/>
      <protection locked="true" hidden="false"/>
    </xf>
    <xf numFmtId="176" fontId="8" fillId="4" borderId="130" xfId="0" applyFont="true" applyBorder="true" applyAlignment="false" applyProtection="false">
      <alignment horizontal="general" vertical="bottom" textRotation="0" wrapText="false" indent="0" shrinkToFit="false"/>
      <protection locked="true" hidden="false"/>
    </xf>
    <xf numFmtId="166" fontId="7" fillId="2" borderId="118" xfId="0" applyFont="true" applyBorder="true" applyAlignment="false" applyProtection="false">
      <alignment horizontal="general" vertical="bottom" textRotation="0" wrapText="false" indent="0" shrinkToFit="false"/>
      <protection locked="true" hidden="false"/>
    </xf>
    <xf numFmtId="176" fontId="8" fillId="4" borderId="131" xfId="0" applyFont="true" applyBorder="true" applyAlignment="false" applyProtection="false">
      <alignment horizontal="general" vertical="bottom" textRotation="0" wrapText="false" indent="0" shrinkToFit="false"/>
      <protection locked="true" hidden="false"/>
    </xf>
    <xf numFmtId="164" fontId="7" fillId="2" borderId="118" xfId="0" applyFont="true" applyBorder="true" applyAlignment="false" applyProtection="false">
      <alignment horizontal="general" vertical="bottom" textRotation="0" wrapText="false" indent="0" shrinkToFit="false"/>
      <protection locked="true" hidden="false"/>
    </xf>
    <xf numFmtId="178" fontId="8" fillId="4" borderId="132" xfId="0" applyFont="true" applyBorder="true" applyAlignment="false" applyProtection="false">
      <alignment horizontal="general" vertical="bottom" textRotation="0" wrapText="false" indent="0" shrinkToFit="false"/>
      <protection locked="true" hidden="false"/>
    </xf>
    <xf numFmtId="178" fontId="8" fillId="4" borderId="131" xfId="0" applyFont="true" applyBorder="true" applyAlignment="false" applyProtection="false">
      <alignment horizontal="general" vertical="bottom" textRotation="0" wrapText="false" indent="0" shrinkToFit="false"/>
      <protection locked="true" hidden="false"/>
    </xf>
    <xf numFmtId="164" fontId="6" fillId="9" borderId="2" xfId="0" applyFont="true" applyBorder="true" applyAlignment="true" applyProtection="false">
      <alignment horizontal="left" vertical="bottom" textRotation="0" wrapText="false" indent="0" shrinkToFit="false"/>
      <protection locked="true" hidden="false"/>
    </xf>
    <xf numFmtId="174" fontId="8" fillId="4" borderId="133" xfId="0" applyFont="true" applyBorder="true" applyAlignment="false" applyProtection="false">
      <alignment horizontal="general" vertical="bottom" textRotation="0" wrapText="false" indent="0" shrinkToFit="false"/>
      <protection locked="true" hidden="false"/>
    </xf>
    <xf numFmtId="166" fontId="25" fillId="2" borderId="2" xfId="0" applyFont="true" applyBorder="true" applyAlignment="true" applyProtection="false">
      <alignment horizontal="center" vertical="bottom" textRotation="0" wrapText="true" indent="0" shrinkToFit="false"/>
      <protection locked="true" hidden="false"/>
    </xf>
    <xf numFmtId="166" fontId="25" fillId="2" borderId="72" xfId="0" applyFont="true" applyBorder="true" applyAlignment="true" applyProtection="false">
      <alignment horizontal="center" vertical="bottom" textRotation="0" wrapText="true" indent="0" shrinkToFit="false"/>
      <protection locked="true" hidden="false"/>
    </xf>
    <xf numFmtId="166" fontId="25" fillId="2" borderId="68" xfId="0" applyFont="true" applyBorder="true" applyAlignment="true" applyProtection="false">
      <alignment horizontal="center" vertical="bottom" textRotation="0" wrapText="true" indent="0" shrinkToFit="false"/>
      <protection locked="true" hidden="false"/>
    </xf>
    <xf numFmtId="192" fontId="8" fillId="4" borderId="134" xfId="0" applyFont="true" applyBorder="true" applyAlignment="false" applyProtection="false">
      <alignment horizontal="general" vertical="bottom" textRotation="0" wrapText="false" indent="0" shrinkToFit="false"/>
      <protection locked="true" hidden="false"/>
    </xf>
    <xf numFmtId="192" fontId="8" fillId="4" borderId="135" xfId="0" applyFont="true" applyBorder="true" applyAlignment="true" applyProtection="false">
      <alignment horizontal="right" vertical="bottom" textRotation="0" wrapText="false" indent="0" shrinkToFit="false"/>
      <protection locked="true" hidden="false"/>
    </xf>
    <xf numFmtId="192" fontId="8" fillId="4" borderId="136" xfId="0" applyFont="true" applyBorder="true" applyAlignment="true" applyProtection="false">
      <alignment horizontal="center" vertical="bottom" textRotation="0" wrapText="false" indent="0" shrinkToFit="false"/>
      <protection locked="true" hidden="false"/>
    </xf>
    <xf numFmtId="192" fontId="8" fillId="4" borderId="107" xfId="0" applyFont="true" applyBorder="true" applyAlignment="false" applyProtection="false">
      <alignment horizontal="general" vertical="bottom" textRotation="0" wrapText="false" indent="0" shrinkToFit="false"/>
      <protection locked="true" hidden="false"/>
    </xf>
    <xf numFmtId="192" fontId="8" fillId="4" borderId="127" xfId="0" applyFont="true" applyBorder="true" applyAlignment="true" applyProtection="false">
      <alignment horizontal="right" vertical="bottom" textRotation="0" wrapText="false" indent="0" shrinkToFit="false"/>
      <protection locked="true" hidden="false"/>
    </xf>
    <xf numFmtId="192" fontId="8" fillId="4" borderId="128" xfId="0" applyFont="true" applyBorder="true" applyAlignment="true" applyProtection="false">
      <alignment horizontal="center" vertical="bottom" textRotation="0" wrapText="false" indent="0" shrinkToFit="false"/>
      <protection locked="true" hidden="false"/>
    </xf>
    <xf numFmtId="174" fontId="8" fillId="4" borderId="137" xfId="0" applyFont="true" applyBorder="true" applyAlignment="false" applyProtection="false">
      <alignment horizontal="general" vertical="bottom" textRotation="0" wrapText="false" indent="0" shrinkToFit="false"/>
      <protection locked="true" hidden="false"/>
    </xf>
    <xf numFmtId="174" fontId="8" fillId="4" borderId="138" xfId="0" applyFont="true" applyBorder="true" applyAlignment="false" applyProtection="false">
      <alignment horizontal="general" vertical="bottom" textRotation="0" wrapText="false" indent="0" shrinkToFit="false"/>
      <protection locked="true" hidden="false"/>
    </xf>
    <xf numFmtId="192" fontId="8" fillId="4" borderId="127" xfId="0" applyFont="true" applyBorder="true" applyAlignment="false" applyProtection="false">
      <alignment horizontal="general" vertical="bottom" textRotation="0" wrapText="false" indent="0" shrinkToFit="false"/>
      <protection locked="true" hidden="false"/>
    </xf>
    <xf numFmtId="174" fontId="8" fillId="4" borderId="139" xfId="0" applyFont="true" applyBorder="true" applyAlignment="false" applyProtection="false">
      <alignment horizontal="general" vertical="bottom" textRotation="0" wrapText="false" indent="0" shrinkToFit="false"/>
      <protection locked="true" hidden="false"/>
    </xf>
    <xf numFmtId="174" fontId="8" fillId="4" borderId="140" xfId="0" applyFont="true" applyBorder="true" applyAlignment="false" applyProtection="false">
      <alignment horizontal="general" vertical="bottom" textRotation="0" wrapText="false" indent="0" shrinkToFit="false"/>
      <protection locked="true" hidden="false"/>
    </xf>
    <xf numFmtId="192" fontId="8" fillId="4" borderId="118" xfId="0" applyFont="true" applyBorder="true" applyAlignment="false" applyProtection="false">
      <alignment horizontal="general" vertical="bottom" textRotation="0" wrapText="false" indent="0" shrinkToFit="false"/>
      <protection locked="true" hidden="false"/>
    </xf>
    <xf numFmtId="192" fontId="8" fillId="4" borderId="132" xfId="0" applyFont="true" applyBorder="true" applyAlignment="false" applyProtection="false">
      <alignment horizontal="general" vertical="bottom" textRotation="0" wrapText="false" indent="0" shrinkToFit="false"/>
      <protection locked="true" hidden="false"/>
    </xf>
    <xf numFmtId="188" fontId="0" fillId="0" borderId="0" xfId="0" applyFont="false" applyBorder="false" applyAlignment="true" applyProtection="false">
      <alignment horizontal="right"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71" fontId="0" fillId="0" borderId="0" xfId="0" applyFont="false" applyBorder="false" applyAlignment="true" applyProtection="false">
      <alignment horizontal="right" vertical="bottom" textRotation="0" wrapText="false" indent="0" shrinkToFit="false"/>
      <protection locked="true" hidden="false"/>
    </xf>
    <xf numFmtId="200" fontId="0" fillId="0" borderId="0" xfId="0" applyFont="false" applyBorder="false" applyAlignment="false" applyProtection="false">
      <alignment horizontal="general" vertical="bottom" textRotation="0" wrapText="false" indent="0" shrinkToFit="false"/>
      <protection locked="true" hidden="false"/>
    </xf>
    <xf numFmtId="178" fontId="0" fillId="0" borderId="0" xfId="0" applyFont="fals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true" applyProtection="false">
      <alignment horizontal="right" vertical="bottom" textRotation="0" wrapText="false" indent="0" shrinkToFit="false"/>
      <protection locked="true" hidden="false"/>
    </xf>
    <xf numFmtId="164" fontId="0" fillId="3" borderId="2" xfId="0" applyFont="true" applyBorder="true" applyAlignment="true" applyProtection="false">
      <alignment horizontal="center" vertical="bottom" textRotation="0" wrapText="true" indent="0" shrinkToFit="false"/>
      <protection locked="true" hidden="false"/>
    </xf>
    <xf numFmtId="165" fontId="8" fillId="0" borderId="2" xfId="0" applyFont="true" applyBorder="true" applyAlignment="true" applyProtection="false">
      <alignment horizontal="center" vertical="center" textRotation="0" wrapText="false" indent="0" shrinkToFit="false"/>
      <protection locked="true" hidden="false"/>
    </xf>
    <xf numFmtId="178" fontId="7" fillId="11" borderId="2" xfId="0" applyFont="true" applyBorder="tru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general" vertical="bottom" textRotation="0" wrapText="true" indent="0" shrinkToFit="false"/>
      <protection locked="true" hidden="false"/>
    </xf>
    <xf numFmtId="188" fontId="7" fillId="0" borderId="0" xfId="0" applyFont="true" applyBorder="false" applyAlignment="true" applyProtection="false">
      <alignment horizontal="right" vertical="bottom" textRotation="0" wrapText="true" indent="0" shrinkToFit="false"/>
      <protection locked="true" hidden="false"/>
    </xf>
    <xf numFmtId="166" fontId="7" fillId="0" borderId="0" xfId="0" applyFont="true" applyBorder="false" applyAlignment="true" applyProtection="false">
      <alignment horizontal="right" vertical="bottom" textRotation="0" wrapText="true" indent="0" shrinkToFit="false"/>
      <protection locked="true" hidden="false"/>
    </xf>
    <xf numFmtId="171" fontId="7" fillId="0" borderId="0" xfId="0" applyFont="true" applyBorder="false" applyAlignment="true" applyProtection="false">
      <alignment horizontal="right" vertical="bottom" textRotation="0" wrapText="true" indent="0" shrinkToFit="false"/>
      <protection locked="true" hidden="false"/>
    </xf>
    <xf numFmtId="200" fontId="7" fillId="0" borderId="0" xfId="0" applyFont="true" applyBorder="false" applyAlignment="true" applyProtection="false">
      <alignment horizontal="right" vertical="bottom" textRotation="0" wrapText="true" indent="0" shrinkToFit="false"/>
      <protection locked="true" hidden="false"/>
    </xf>
    <xf numFmtId="164" fontId="7" fillId="0" borderId="0" xfId="0" applyFont="true" applyBorder="false" applyAlignment="true" applyProtection="false">
      <alignment horizontal="center" vertical="bottom" textRotation="0" wrapText="true" indent="0" shrinkToFit="false"/>
      <protection locked="true" hidden="false"/>
    </xf>
    <xf numFmtId="200" fontId="7" fillId="0" borderId="0" xfId="0" applyFont="true" applyBorder="false" applyAlignment="true" applyProtection="false">
      <alignment horizontal="center" vertical="bottom" textRotation="0" wrapText="true" indent="0" shrinkToFit="false"/>
      <protection locked="true" hidden="false"/>
    </xf>
    <xf numFmtId="178" fontId="7" fillId="0" borderId="0" xfId="0" applyFont="true" applyBorder="false" applyAlignment="true" applyProtection="false">
      <alignment horizontal="right" vertical="bottom" textRotation="0" wrapText="true" indent="0" shrinkToFit="false"/>
      <protection locked="true" hidden="false"/>
    </xf>
    <xf numFmtId="178" fontId="7" fillId="0" borderId="0" xfId="0" applyFont="true" applyBorder="false" applyAlignment="true" applyProtection="false">
      <alignment horizontal="center" vertical="bottom" textRotation="0" wrapText="true" indent="0" shrinkToFit="false"/>
      <protection locked="true" hidden="false"/>
    </xf>
    <xf numFmtId="164" fontId="36" fillId="0" borderId="0" xfId="0" applyFont="true" applyBorder="false" applyAlignment="true" applyProtection="false">
      <alignment horizontal="right" vertical="bottom" textRotation="0" wrapText="tru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88" fontId="0" fillId="0" borderId="0" xfId="0" applyFont="false" applyBorder="true" applyAlignment="true" applyProtection="false">
      <alignment horizontal="right" vertical="bottom" textRotation="0" wrapText="false" indent="0" shrinkToFit="false"/>
      <protection locked="true" hidden="false"/>
    </xf>
    <xf numFmtId="166" fontId="0" fillId="0" borderId="0" xfId="0" applyFont="false" applyBorder="true" applyAlignment="false" applyProtection="false">
      <alignment horizontal="general" vertical="bottom" textRotation="0" wrapText="false" indent="0" shrinkToFit="false"/>
      <protection locked="true" hidden="false"/>
    </xf>
    <xf numFmtId="171" fontId="0" fillId="0" borderId="0" xfId="0" applyFont="false" applyBorder="true" applyAlignment="true" applyProtection="false">
      <alignment horizontal="right" vertical="bottom" textRotation="0" wrapText="false" indent="0" shrinkToFit="false"/>
      <protection locked="true" hidden="false"/>
    </xf>
    <xf numFmtId="200" fontId="0" fillId="0" borderId="0" xfId="0" applyFont="false" applyBorder="true" applyAlignment="false" applyProtection="false">
      <alignment horizontal="general" vertical="bottom" textRotation="0" wrapText="false" indent="0" shrinkToFit="false"/>
      <protection locked="true" hidden="false"/>
    </xf>
    <xf numFmtId="176" fontId="0" fillId="0" borderId="0" xfId="0" applyFont="false" applyBorder="true" applyAlignment="false" applyProtection="false">
      <alignment horizontal="general" vertical="bottom" textRotation="0" wrapText="false" indent="0" shrinkToFit="false"/>
      <protection locked="true" hidden="false"/>
    </xf>
    <xf numFmtId="178" fontId="0" fillId="0" borderId="0" xfId="0" applyFont="false" applyBorder="tru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78" fontId="0" fillId="0" borderId="0" xfId="0" applyFont="false" applyBorder="true" applyAlignment="false" applyProtection="false">
      <alignment horizontal="general" vertical="bottom" textRotation="0" wrapText="false" indent="0" shrinkToFit="false"/>
      <protection locked="true" hidden="false"/>
    </xf>
    <xf numFmtId="200" fontId="0" fillId="0" borderId="0" xfId="0" applyFont="false" applyBorder="true" applyAlignment="false" applyProtection="false">
      <alignment horizontal="general" vertical="bottom" textRotation="0" wrapText="false" indent="0" shrinkToFit="false"/>
      <protection locked="true" hidden="false"/>
    </xf>
    <xf numFmtId="200" fontId="0" fillId="0" borderId="0" xfId="0" applyFont="false" applyBorder="true" applyAlignment="true" applyProtection="false">
      <alignment horizontal="center" vertical="bottom" textRotation="0" wrapText="false" indent="0" shrinkToFit="false"/>
      <protection locked="true" hidden="false"/>
    </xf>
    <xf numFmtId="164" fontId="22" fillId="0" borderId="0" xfId="0" applyFont="true" applyBorder="true" applyAlignment="true" applyProtection="false">
      <alignment horizontal="right" vertical="bottom" textRotation="0" wrapText="false" indent="0" shrinkToFit="false"/>
      <protection locked="true" hidden="false"/>
    </xf>
    <xf numFmtId="200" fontId="0" fillId="0" borderId="87"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center" vertical="bottom" textRotation="0" wrapText="false" indent="0" shrinkToFit="false"/>
      <protection locked="true" hidden="false"/>
    </xf>
    <xf numFmtId="201" fontId="0" fillId="0" borderId="0" xfId="0" applyFont="false" applyBorder="true" applyAlignment="false" applyProtection="false">
      <alignment horizontal="general" vertical="bottom" textRotation="0" wrapText="false" indent="0" shrinkToFit="false"/>
      <protection locked="true" hidden="false"/>
    </xf>
    <xf numFmtId="178" fontId="0" fillId="0" borderId="0" xfId="0" applyFont="false" applyBorder="fals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7" fillId="0" borderId="0" xfId="0" applyFont="true" applyBorder="true" applyAlignment="false" applyProtection="false">
      <alignment horizontal="general" vertical="bottom" textRotation="0" wrapText="false" indent="0" shrinkToFit="false"/>
      <protection locked="true" hidden="false"/>
    </xf>
    <xf numFmtId="200" fontId="7" fillId="0" borderId="0" xfId="0" applyFont="true" applyBorder="false" applyAlignment="true" applyProtection="false">
      <alignment horizontal="center" vertical="bottom" textRotation="0" wrapText="false" indent="0" shrinkToFit="false"/>
      <protection locked="true" hidden="false"/>
    </xf>
    <xf numFmtId="200" fontId="7" fillId="0" borderId="0" xfId="0" applyFont="true" applyBorder="true" applyAlignment="true" applyProtection="false">
      <alignment horizontal="center" vertical="bottom" textRotation="0" wrapText="false" indent="0" shrinkToFit="false"/>
      <protection locked="true" hidden="false"/>
    </xf>
    <xf numFmtId="200" fontId="0" fillId="0" borderId="0" xfId="0" applyFont="false" applyBorder="false" applyAlignment="true" applyProtection="false">
      <alignment horizontal="right" vertical="bottom" textRotation="0" wrapText="false" indent="0" shrinkToFit="false"/>
      <protection locked="true" hidden="false"/>
    </xf>
    <xf numFmtId="202" fontId="0" fillId="0" borderId="0" xfId="0" applyFont="false" applyBorder="false" applyAlignment="true" applyProtection="false">
      <alignment horizontal="right" vertical="bottom" textRotation="0" wrapText="fals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Normal_Codes2" xfId="20"/>
  </cellStyles>
  <dxfs count="1">
    <dxf>
      <font>
        <name val="Arial"/>
        <family val="0"/>
        <b val="1"/>
        <i val="0"/>
        <color rgb="FFFF0000"/>
      </font>
      <fill>
        <patternFill>
          <bgColor rgb="FFFFFF0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DDFFDD"/>
      <rgbColor rgb="FF00FFFF"/>
      <rgbColor rgb="FF800080"/>
      <rgbColor rgb="FF800000"/>
      <rgbColor rgb="FF008080"/>
      <rgbColor rgb="FF0000FF"/>
      <rgbColor rgb="FF00CCFF"/>
      <rgbColor rgb="FFCCECFF"/>
      <rgbColor rgb="FFCCFFCC"/>
      <rgbColor rgb="FFFFFF99"/>
      <rgbColor rgb="FFEAEAEA"/>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worksheet" Target="worksheets/sheet21.xml"/><Relationship Id="rId24" Type="http://schemas.openxmlformats.org/officeDocument/2006/relationships/worksheet" Target="worksheets/sheet22.xml"/><Relationship Id="rId25" Type="http://schemas.openxmlformats.org/officeDocument/2006/relationships/worksheet" Target="worksheets/sheet23.xml"/><Relationship Id="rId26" Type="http://schemas.openxmlformats.org/officeDocument/2006/relationships/worksheet" Target="worksheets/sheet24.xml"/><Relationship Id="rId27" Type="http://schemas.openxmlformats.org/officeDocument/2006/relationships/worksheet" Target="worksheets/sheet25.xml"/><Relationship Id="rId28" Type="http://schemas.openxmlformats.org/officeDocument/2006/relationships/worksheet" Target="worksheets/sheet26.xml"/><Relationship Id="rId29" Type="http://schemas.openxmlformats.org/officeDocument/2006/relationships/worksheet" Target="worksheets/sheet27.xml"/><Relationship Id="rId30" Type="http://schemas.openxmlformats.org/officeDocument/2006/relationships/worksheet" Target="worksheets/sheet28.xml"/><Relationship Id="rId31" Type="http://schemas.openxmlformats.org/officeDocument/2006/relationships/worksheet" Target="worksheets/sheet29.xml"/><Relationship Id="rId32" Type="http://schemas.openxmlformats.org/officeDocument/2006/relationships/worksheet" Target="worksheets/sheet30.xml"/><Relationship Id="rId33" Type="http://schemas.openxmlformats.org/officeDocument/2006/relationships/worksheet" Target="worksheets/sheet31.xml"/><Relationship Id="rId34" Type="http://schemas.openxmlformats.org/officeDocument/2006/relationships/worksheet" Target="worksheets/sheet32.xml"/><Relationship Id="rId35" Type="http://schemas.openxmlformats.org/officeDocument/2006/relationships/worksheet" Target="worksheets/sheet33.xml"/><Relationship Id="rId36" Type="http://schemas.openxmlformats.org/officeDocument/2006/relationships/worksheet" Target="worksheets/sheet34.xml"/><Relationship Id="rId37" Type="http://schemas.openxmlformats.org/officeDocument/2006/relationships/worksheet" Target="worksheets/sheet35.xml"/><Relationship Id="rId38" Type="http://schemas.openxmlformats.org/officeDocument/2006/relationships/worksheet" Target="worksheets/sheet36.xml"/><Relationship Id="rId39" Type="http://schemas.openxmlformats.org/officeDocument/2006/relationships/worksheet" Target="worksheets/sheet37.xml"/><Relationship Id="rId40" Type="http://schemas.openxmlformats.org/officeDocument/2006/relationships/worksheet" Target="worksheets/sheet38.xml"/><Relationship Id="rId41" Type="http://schemas.openxmlformats.org/officeDocument/2006/relationships/worksheet" Target="worksheets/sheet39.xml"/><Relationship Id="rId42" Type="http://schemas.openxmlformats.org/officeDocument/2006/relationships/worksheet" Target="worksheets/sheet40.xml"/><Relationship Id="rId43" Type="http://schemas.openxmlformats.org/officeDocument/2006/relationships/worksheet" Target="worksheets/sheet41.xml"/><Relationship Id="rId44" Type="http://schemas.openxmlformats.org/officeDocument/2006/relationships/worksheet" Target="worksheets/sheet42.xml"/><Relationship Id="rId45" Type="http://schemas.openxmlformats.org/officeDocument/2006/relationships/worksheet" Target="worksheets/sheet43.xml"/><Relationship Id="rId46" Type="http://schemas.openxmlformats.org/officeDocument/2006/relationships/worksheet" Target="worksheets/sheet44.xml"/><Relationship Id="rId47" Type="http://schemas.openxmlformats.org/officeDocument/2006/relationships/worksheet" Target="worksheets/sheet45.xml"/><Relationship Id="rId48" Type="http://schemas.openxmlformats.org/officeDocument/2006/relationships/worksheet" Target="worksheets/sheet46.xml"/><Relationship Id="rId49" Type="http://schemas.openxmlformats.org/officeDocument/2006/relationships/worksheet" Target="worksheets/sheet47.xml"/><Relationship Id="rId50" Type="http://schemas.openxmlformats.org/officeDocument/2006/relationships/worksheet" Target="worksheets/sheet48.xml"/><Relationship Id="rId51" Type="http://schemas.openxmlformats.org/officeDocument/2006/relationships/worksheet" Target="worksheets/sheet49.xml"/><Relationship Id="rId52" Type="http://schemas.openxmlformats.org/officeDocument/2006/relationships/worksheet" Target="worksheets/sheet50.xml"/><Relationship Id="rId53" Type="http://schemas.openxmlformats.org/officeDocument/2006/relationships/worksheet" Target="worksheets/sheet51.xml"/><Relationship Id="rId54" Type="http://schemas.openxmlformats.org/officeDocument/2006/relationships/worksheet" Target="worksheets/sheet52.xml"/><Relationship Id="rId55" Type="http://schemas.openxmlformats.org/officeDocument/2006/relationships/worksheet" Target="worksheets/sheet53.xml"/><Relationship Id="rId56" Type="http://schemas.openxmlformats.org/officeDocument/2006/relationships/worksheet" Target="worksheets/sheet54.xml"/><Relationship Id="rId57" Type="http://schemas.openxmlformats.org/officeDocument/2006/relationships/worksheet" Target="worksheets/sheet55.xml"/><Relationship Id="rId58" Type="http://schemas.openxmlformats.org/officeDocument/2006/relationships/worksheet" Target="worksheets/sheet56.xml"/><Relationship Id="rId59" Type="http://schemas.openxmlformats.org/officeDocument/2006/relationships/worksheet" Target="worksheets/sheet57.xml"/><Relationship Id="rId60" Type="http://schemas.openxmlformats.org/officeDocument/2006/relationships/worksheet" Target="worksheets/sheet58.xml"/><Relationship Id="rId61" Type="http://schemas.openxmlformats.org/officeDocument/2006/relationships/worksheet" Target="worksheets/sheet59.xml"/><Relationship Id="rId62" Type="http://schemas.openxmlformats.org/officeDocument/2006/relationships/worksheet" Target="worksheets/sheet60.xml"/><Relationship Id="rId63" Type="http://schemas.openxmlformats.org/officeDocument/2006/relationships/worksheet" Target="worksheets/sheet61.xml"/><Relationship Id="rId64" Type="http://schemas.openxmlformats.org/officeDocument/2006/relationships/worksheet" Target="worksheets/sheet62.xml"/><Relationship Id="rId65" Type="http://schemas.openxmlformats.org/officeDocument/2006/relationships/worksheet" Target="worksheets/sheet63.xml"/><Relationship Id="rId66" Type="http://schemas.openxmlformats.org/officeDocument/2006/relationships/worksheet" Target="worksheets/sheet64.xml"/><Relationship Id="rId67" Type="http://schemas.openxmlformats.org/officeDocument/2006/relationships/worksheet" Target="worksheets/sheet65.xml"/><Relationship Id="rId68" Type="http://schemas.openxmlformats.org/officeDocument/2006/relationships/externalLink" Target="externalLinks/externalLink1.xml"/><Relationship Id="rId69" Type="http://schemas.openxmlformats.org/officeDocument/2006/relationships/externalLink" Target="externalLinks/externalLink2.xml"/><Relationship Id="rId70" Type="http://schemas.openxmlformats.org/officeDocument/2006/relationships/sharedStrings" Target="sharedStrings.xml"/>
</Relationships>
</file>

<file path=xl/ctrlProps/ctrlProps10.xml><?xml version="1.0" encoding="utf-8"?>
<formControlPr xmlns="http://schemas.microsoft.com/office/spreadsheetml/2009/9/main" objectType="Button" lockText="1"/>
</file>

<file path=xl/ctrlProps/ctrlProps100.xml><?xml version="1.0" encoding="utf-8"?>
<formControlPr xmlns="http://schemas.microsoft.com/office/spreadsheetml/2009/9/main" objectType="Button" lockText="1"/>
</file>

<file path=xl/ctrlProps/ctrlProps102.xml><?xml version="1.0" encoding="utf-8"?>
<formControlPr xmlns="http://schemas.microsoft.com/office/spreadsheetml/2009/9/main" objectType="Button" lockText="1"/>
</file>

<file path=xl/ctrlProps/ctrlProps103.xml><?xml version="1.0" encoding="utf-8"?>
<formControlPr xmlns="http://schemas.microsoft.com/office/spreadsheetml/2009/9/main" objectType="Button" lockText="1"/>
</file>

<file path=xl/ctrlProps/ctrlProps105.xml><?xml version="1.0" encoding="utf-8"?>
<formControlPr xmlns="http://schemas.microsoft.com/office/spreadsheetml/2009/9/main" objectType="Button" lockText="1"/>
</file>

<file path=xl/ctrlProps/ctrlProps106.xml><?xml version="1.0" encoding="utf-8"?>
<formControlPr xmlns="http://schemas.microsoft.com/office/spreadsheetml/2009/9/main" objectType="Button" lockText="1"/>
</file>

<file path=xl/ctrlProps/ctrlProps108.xml><?xml version="1.0" encoding="utf-8"?>
<formControlPr xmlns="http://schemas.microsoft.com/office/spreadsheetml/2009/9/main" objectType="Button" lockText="1"/>
</file>

<file path=xl/ctrlProps/ctrlProps109.xml><?xml version="1.0" encoding="utf-8"?>
<formControlPr xmlns="http://schemas.microsoft.com/office/spreadsheetml/2009/9/main" objectType="Button" lockText="1"/>
</file>

<file path=xl/ctrlProps/ctrlProps11.xml><?xml version="1.0" encoding="utf-8"?>
<formControlPr xmlns="http://schemas.microsoft.com/office/spreadsheetml/2009/9/main" objectType="Button" lockText="1"/>
</file>

<file path=xl/ctrlProps/ctrlProps111.xml><?xml version="1.0" encoding="utf-8"?>
<formControlPr xmlns="http://schemas.microsoft.com/office/spreadsheetml/2009/9/main" objectType="Button" lockText="1"/>
</file>

<file path=xl/ctrlProps/ctrlProps112.xml><?xml version="1.0" encoding="utf-8"?>
<formControlPr xmlns="http://schemas.microsoft.com/office/spreadsheetml/2009/9/main" objectType="Button" lockText="1"/>
</file>

<file path=xl/ctrlProps/ctrlProps114.xml><?xml version="1.0" encoding="utf-8"?>
<formControlPr xmlns="http://schemas.microsoft.com/office/spreadsheetml/2009/9/main" objectType="Button" lockText="1"/>
</file>

<file path=xl/ctrlProps/ctrlProps115.xml><?xml version="1.0" encoding="utf-8"?>
<formControlPr xmlns="http://schemas.microsoft.com/office/spreadsheetml/2009/9/main" objectType="Button" lockText="1"/>
</file>

<file path=xl/ctrlProps/ctrlProps117.xml><?xml version="1.0" encoding="utf-8"?>
<formControlPr xmlns="http://schemas.microsoft.com/office/spreadsheetml/2009/9/main" objectType="Button" lockText="1"/>
</file>

<file path=xl/ctrlProps/ctrlProps118.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20.xml><?xml version="1.0" encoding="utf-8"?>
<formControlPr xmlns="http://schemas.microsoft.com/office/spreadsheetml/2009/9/main" objectType="Button" lockText="1"/>
</file>

<file path=xl/ctrlProps/ctrlProps121.xml><?xml version="1.0" encoding="utf-8"?>
<formControlPr xmlns="http://schemas.microsoft.com/office/spreadsheetml/2009/9/main" objectType="Button" lockText="1"/>
</file>

<file path=xl/ctrlProps/ctrlProps123.xml><?xml version="1.0" encoding="utf-8"?>
<formControlPr xmlns="http://schemas.microsoft.com/office/spreadsheetml/2009/9/main" objectType="Button" lockText="1"/>
</file>

<file path=xl/ctrlProps/ctrlProps124.xml><?xml version="1.0" encoding="utf-8"?>
<formControlPr xmlns="http://schemas.microsoft.com/office/spreadsheetml/2009/9/main" objectType="Button" lockText="1"/>
</file>

<file path=xl/ctrlProps/ctrlProps126.xml><?xml version="1.0" encoding="utf-8"?>
<formControlPr xmlns="http://schemas.microsoft.com/office/spreadsheetml/2009/9/main" objectType="Button" lockText="1"/>
</file>

<file path=xl/ctrlProps/ctrlProps127.xml><?xml version="1.0" encoding="utf-8"?>
<formControlPr xmlns="http://schemas.microsoft.com/office/spreadsheetml/2009/9/main" objectType="Button" lockText="1"/>
</file>

<file path=xl/ctrlProps/ctrlProps129.xml><?xml version="1.0" encoding="utf-8"?>
<formControlPr xmlns="http://schemas.microsoft.com/office/spreadsheetml/2009/9/main" objectType="Button" lockText="1"/>
</file>

<file path=xl/ctrlProps/ctrlProps130.xml><?xml version="1.0" encoding="utf-8"?>
<formControlPr xmlns="http://schemas.microsoft.com/office/spreadsheetml/2009/9/main" objectType="Button" lockText="1"/>
</file>

<file path=xl/ctrlProps/ctrlProps132.xml><?xml version="1.0" encoding="utf-8"?>
<formControlPr xmlns="http://schemas.microsoft.com/office/spreadsheetml/2009/9/main" objectType="Button" lockText="1"/>
</file>

<file path=xl/ctrlProps/ctrlProps133.xml><?xml version="1.0" encoding="utf-8"?>
<formControlPr xmlns="http://schemas.microsoft.com/office/spreadsheetml/2009/9/main" objectType="Button" lockText="1"/>
</file>

<file path=xl/ctrlProps/ctrlProps135.xml><?xml version="1.0" encoding="utf-8"?>
<formControlPr xmlns="http://schemas.microsoft.com/office/spreadsheetml/2009/9/main" objectType="Button" lockText="1"/>
</file>

<file path=xl/ctrlProps/ctrlProps136.xml><?xml version="1.0" encoding="utf-8"?>
<formControlPr xmlns="http://schemas.microsoft.com/office/spreadsheetml/2009/9/main" objectType="Button" lockText="1"/>
</file>

<file path=xl/ctrlProps/ctrlProps138.xml><?xml version="1.0" encoding="utf-8"?>
<formControlPr xmlns="http://schemas.microsoft.com/office/spreadsheetml/2009/9/main" objectType="Button" lockText="1"/>
</file>

<file path=xl/ctrlProps/ctrlProps139.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41.xml><?xml version="1.0" encoding="utf-8"?>
<formControlPr xmlns="http://schemas.microsoft.com/office/spreadsheetml/2009/9/main" objectType="Button" lockText="1"/>
</file>

<file path=xl/ctrlProps/ctrlProps142.xml><?xml version="1.0" encoding="utf-8"?>
<formControlPr xmlns="http://schemas.microsoft.com/office/spreadsheetml/2009/9/main" objectType="Button" lockText="1"/>
</file>

<file path=xl/ctrlProps/ctrlProps144.xml><?xml version="1.0" encoding="utf-8"?>
<formControlPr xmlns="http://schemas.microsoft.com/office/spreadsheetml/2009/9/main" objectType="Button" lockText="1"/>
</file>

<file path=xl/ctrlProps/ctrlProps145.xml><?xml version="1.0" encoding="utf-8"?>
<formControlPr xmlns="http://schemas.microsoft.com/office/spreadsheetml/2009/9/main" objectType="Button" lockText="1"/>
</file>

<file path=xl/ctrlProps/ctrlProps147.xml><?xml version="1.0" encoding="utf-8"?>
<formControlPr xmlns="http://schemas.microsoft.com/office/spreadsheetml/2009/9/main" objectType="Button" lockText="1"/>
</file>

<file path=xl/ctrlProps/ctrlProps148.xml><?xml version="1.0" encoding="utf-8"?>
<formControlPr xmlns="http://schemas.microsoft.com/office/spreadsheetml/2009/9/main" objectType="Button" lockText="1"/>
</file>

<file path=xl/ctrlProps/ctrlProps15.xml><?xml version="1.0" encoding="utf-8"?>
<formControlPr xmlns="http://schemas.microsoft.com/office/spreadsheetml/2009/9/main" objectType="Button" lockText="1"/>
</file>

<file path=xl/ctrlProps/ctrlProps150.xml><?xml version="1.0" encoding="utf-8"?>
<formControlPr xmlns="http://schemas.microsoft.com/office/spreadsheetml/2009/9/main" objectType="Button" lockText="1"/>
</file>

<file path=xl/ctrlProps/ctrlProps151.xml><?xml version="1.0" encoding="utf-8"?>
<formControlPr xmlns="http://schemas.microsoft.com/office/spreadsheetml/2009/9/main" objectType="Button" lockText="1"/>
</file>

<file path=xl/ctrlProps/ctrlProps153.xml><?xml version="1.0" encoding="utf-8"?>
<formControlPr xmlns="http://schemas.microsoft.com/office/spreadsheetml/2009/9/main" objectType="Button" lockText="1"/>
</file>

<file path=xl/ctrlProps/ctrlProps154.xml><?xml version="1.0" encoding="utf-8"?>
<formControlPr xmlns="http://schemas.microsoft.com/office/spreadsheetml/2009/9/main" objectType="Button" lockText="1"/>
</file>

<file path=xl/ctrlProps/ctrlProps156.xml><?xml version="1.0" encoding="utf-8"?>
<formControlPr xmlns="http://schemas.microsoft.com/office/spreadsheetml/2009/9/main" objectType="Button" lockText="1"/>
</file>

<file path=xl/ctrlProps/ctrlProps157.xml><?xml version="1.0" encoding="utf-8"?>
<formControlPr xmlns="http://schemas.microsoft.com/office/spreadsheetml/2009/9/main" objectType="Button" lockText="1"/>
</file>

<file path=xl/ctrlProps/ctrlProps159.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60.xml><?xml version="1.0" encoding="utf-8"?>
<formControlPr xmlns="http://schemas.microsoft.com/office/spreadsheetml/2009/9/main" objectType="Button" lockText="1"/>
</file>

<file path=xl/ctrlProps/ctrlProps162.xml><?xml version="1.0" encoding="utf-8"?>
<formControlPr xmlns="http://schemas.microsoft.com/office/spreadsheetml/2009/9/main" objectType="Button" lockText="1"/>
</file>

<file path=xl/ctrlProps/ctrlProps163.xml><?xml version="1.0" encoding="utf-8"?>
<formControlPr xmlns="http://schemas.microsoft.com/office/spreadsheetml/2009/9/main" objectType="Button" lockText="1"/>
</file>

<file path=xl/ctrlProps/ctrlProps165.xml><?xml version="1.0" encoding="utf-8"?>
<formControlPr xmlns="http://schemas.microsoft.com/office/spreadsheetml/2009/9/main" objectType="Button" lockText="1"/>
</file>

<file path=xl/ctrlProps/ctrlProps16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xml><?xml version="1.0" encoding="utf-8"?>
<formControlPr xmlns="http://schemas.microsoft.com/office/spreadsheetml/2009/9/main" objectType="Button" lockText="1"/>
</file>

<file path=xl/ctrlProps/ctrlProps20.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2.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6.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51.xml><?xml version="1.0" encoding="utf-8"?>
<formControlPr xmlns="http://schemas.microsoft.com/office/spreadsheetml/2009/9/main" objectType="Button" lockText="1"/>
</file>

<file path=xl/ctrlProps/ctrlProps52.xml><?xml version="1.0" encoding="utf-8"?>
<formControlPr xmlns="http://schemas.microsoft.com/office/spreadsheetml/2009/9/main" objectType="Button" lockText="1"/>
</file>

<file path=xl/ctrlProps/ctrlProps54.xml><?xml version="1.0" encoding="utf-8"?>
<formControlPr xmlns="http://schemas.microsoft.com/office/spreadsheetml/2009/9/main" objectType="Button" lockText="1"/>
</file>

<file path=xl/ctrlProps/ctrlProps55.xml><?xml version="1.0" encoding="utf-8"?>
<formControlPr xmlns="http://schemas.microsoft.com/office/spreadsheetml/2009/9/main" objectType="Button" lockText="1"/>
</file>

<file path=xl/ctrlProps/ctrlProps57.xml><?xml version="1.0" encoding="utf-8"?>
<formControlPr xmlns="http://schemas.microsoft.com/office/spreadsheetml/2009/9/main" objectType="Button" lockText="1"/>
</file>

<file path=xl/ctrlProps/ctrlProps58.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60.xml><?xml version="1.0" encoding="utf-8"?>
<formControlPr xmlns="http://schemas.microsoft.com/office/spreadsheetml/2009/9/main" objectType="Button" lockText="1"/>
</file>

<file path=xl/ctrlProps/ctrlProps61.xml><?xml version="1.0" encoding="utf-8"?>
<formControlPr xmlns="http://schemas.microsoft.com/office/spreadsheetml/2009/9/main" objectType="Button" lockText="1"/>
</file>

<file path=xl/ctrlProps/ctrlProps63.xml><?xml version="1.0" encoding="utf-8"?>
<formControlPr xmlns="http://schemas.microsoft.com/office/spreadsheetml/2009/9/main" objectType="Button" lockText="1"/>
</file>

<file path=xl/ctrlProps/ctrlProps64.xml><?xml version="1.0" encoding="utf-8"?>
<formControlPr xmlns="http://schemas.microsoft.com/office/spreadsheetml/2009/9/main" objectType="Button" lockText="1"/>
</file>

<file path=xl/ctrlProps/ctrlProps66.xml><?xml version="1.0" encoding="utf-8"?>
<formControlPr xmlns="http://schemas.microsoft.com/office/spreadsheetml/2009/9/main" objectType="Button" lockText="1"/>
</file>

<file path=xl/ctrlProps/ctrlProps67.xml><?xml version="1.0" encoding="utf-8"?>
<formControlPr xmlns="http://schemas.microsoft.com/office/spreadsheetml/2009/9/main" objectType="Button" lockText="1"/>
</file>

<file path=xl/ctrlProps/ctrlProps69.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70.xml><?xml version="1.0" encoding="utf-8"?>
<formControlPr xmlns="http://schemas.microsoft.com/office/spreadsheetml/2009/9/main" objectType="Button" lockText="1"/>
</file>

<file path=xl/ctrlProps/ctrlProps72.xml><?xml version="1.0" encoding="utf-8"?>
<formControlPr xmlns="http://schemas.microsoft.com/office/spreadsheetml/2009/9/main" objectType="Button" lockText="1"/>
</file>

<file path=xl/ctrlProps/ctrlProps73.xml><?xml version="1.0" encoding="utf-8"?>
<formControlPr xmlns="http://schemas.microsoft.com/office/spreadsheetml/2009/9/main" objectType="Button" lockText="1"/>
</file>

<file path=xl/ctrlProps/ctrlProps75.xml><?xml version="1.0" encoding="utf-8"?>
<formControlPr xmlns="http://schemas.microsoft.com/office/spreadsheetml/2009/9/main" objectType="Button" lockText="1"/>
</file>

<file path=xl/ctrlProps/ctrlProps76.xml><?xml version="1.0" encoding="utf-8"?>
<formControlPr xmlns="http://schemas.microsoft.com/office/spreadsheetml/2009/9/main" objectType="Button" lockText="1"/>
</file>

<file path=xl/ctrlProps/ctrlProps78.xml><?xml version="1.0" encoding="utf-8"?>
<formControlPr xmlns="http://schemas.microsoft.com/office/spreadsheetml/2009/9/main" objectType="Button" lockText="1"/>
</file>

<file path=xl/ctrlProps/ctrlProps79.xml><?xml version="1.0" encoding="utf-8"?>
<formControlPr xmlns="http://schemas.microsoft.com/office/spreadsheetml/2009/9/main" objectType="Button" lockText="1"/>
</file>

<file path=xl/ctrlProps/ctrlProps81.xml><?xml version="1.0" encoding="utf-8"?>
<formControlPr xmlns="http://schemas.microsoft.com/office/spreadsheetml/2009/9/main" objectType="Button" lockText="1"/>
</file>

<file path=xl/ctrlProps/ctrlProps82.xml><?xml version="1.0" encoding="utf-8"?>
<formControlPr xmlns="http://schemas.microsoft.com/office/spreadsheetml/2009/9/main" objectType="Button" lockText="1"/>
</file>

<file path=xl/ctrlProps/ctrlProps84.xml><?xml version="1.0" encoding="utf-8"?>
<formControlPr xmlns="http://schemas.microsoft.com/office/spreadsheetml/2009/9/main" objectType="Button" lockText="1"/>
</file>

<file path=xl/ctrlProps/ctrlProps85.xml><?xml version="1.0" encoding="utf-8"?>
<formControlPr xmlns="http://schemas.microsoft.com/office/spreadsheetml/2009/9/main" objectType="Button" lockText="1"/>
</file>

<file path=xl/ctrlProps/ctrlProps87.xml><?xml version="1.0" encoding="utf-8"?>
<formControlPr xmlns="http://schemas.microsoft.com/office/spreadsheetml/2009/9/main" objectType="Button" lockText="1"/>
</file>

<file path=xl/ctrlProps/ctrlProps8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ctrlProps/ctrlProps90.xml><?xml version="1.0" encoding="utf-8"?>
<formControlPr xmlns="http://schemas.microsoft.com/office/spreadsheetml/2009/9/main" objectType="Button" lockText="1"/>
</file>

<file path=xl/ctrlProps/ctrlProps91.xml><?xml version="1.0" encoding="utf-8"?>
<formControlPr xmlns="http://schemas.microsoft.com/office/spreadsheetml/2009/9/main" objectType="Button" lockText="1"/>
</file>

<file path=xl/ctrlProps/ctrlProps93.xml><?xml version="1.0" encoding="utf-8"?>
<formControlPr xmlns="http://schemas.microsoft.com/office/spreadsheetml/2009/9/main" objectType="Button" lockText="1"/>
</file>

<file path=xl/ctrlProps/ctrlProps94.xml><?xml version="1.0" encoding="utf-8"?>
<formControlPr xmlns="http://schemas.microsoft.com/office/spreadsheetml/2009/9/main" objectType="Button" lockText="1"/>
</file>

<file path=xl/ctrlProps/ctrlProps96.xml><?xml version="1.0" encoding="utf-8"?>
<formControlPr xmlns="http://schemas.microsoft.com/office/spreadsheetml/2009/9/main" objectType="Button" lockText="1"/>
</file>

<file path=xl/ctrlProps/ctrlProps97.xml><?xml version="1.0" encoding="utf-8"?>
<formControlPr xmlns="http://schemas.microsoft.com/office/spreadsheetml/2009/9/main" objectType="Button" lockText="1"/>
</file>

<file path=xl/ctrlProps/ctrlProps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331920</xdr:colOff>
          <xdr:row>11</xdr:row>
          <xdr:rowOff>0</xdr:rowOff>
        </xdr:from>
        <xdr:to>
          <xdr:col>5</xdr:col>
          <xdr:colOff>765360</xdr:colOff>
          <xdr:row>15</xdr:row>
          <xdr:rowOff>105120</xdr:rowOff>
        </xdr:to>
        <xdr:sp>
          <xdr:nvSpPr>
            <xdr:cNvPr id="1001" name="Button 2" descr="Calc Today" hidden="0"/>
            <xdr:cNvSpPr/>
          </xdr:nvSpPr>
          <xdr:spPr>
            <a:xfrm>
              <a:off x="0" y="0"/>
              <a:ext cx="0" cy="0"/>
            </a:xfrm>
            <a:prstGeom prst="rect">
              <a:avLst/>
            </a:prstGeom>
          </xdr:spPr>
          <xdr:txBody>
            <a:bodyPr anchor="ctr">
              <a:noAutofit/>
            </a:bodyPr>
            <a:p>
              <a:r>
                <a:t>Calc Today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331920</xdr:colOff>
          <xdr:row>11</xdr:row>
          <xdr:rowOff>0</xdr:rowOff>
        </xdr:from>
        <xdr:to>
          <xdr:col>9</xdr:col>
          <xdr:colOff>765360</xdr:colOff>
          <xdr:row>15</xdr:row>
          <xdr:rowOff>105120</xdr:rowOff>
        </xdr:to>
        <xdr:sp>
          <xdr:nvSpPr>
            <xdr:cNvPr id="1002" name="Button 3" descr="Roll Pages" hidden="0"/>
            <xdr:cNvSpPr/>
          </xdr:nvSpPr>
          <xdr:spPr>
            <a:xfrm>
              <a:off x="0" y="0"/>
              <a:ext cx="0" cy="0"/>
            </a:xfrm>
            <a:prstGeom prst="rect">
              <a:avLst/>
            </a:prstGeom>
          </xdr:spPr>
          <xdr:txBody>
            <a:bodyPr anchor="ctr">
              <a:noAutofit/>
            </a:bodyPr>
            <a:p>
              <a:r>
                <a:t>Roll Pages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331920</xdr:colOff>
          <xdr:row>16</xdr:row>
          <xdr:rowOff>75960</xdr:rowOff>
        </xdr:from>
        <xdr:to>
          <xdr:col>9</xdr:col>
          <xdr:colOff>765360</xdr:colOff>
          <xdr:row>21</xdr:row>
          <xdr:rowOff>18720</xdr:rowOff>
        </xdr:to>
        <xdr:sp>
          <xdr:nvSpPr>
            <xdr:cNvPr id="1003" name="Button 4" descr="Fetch Curves" hidden="0"/>
            <xdr:cNvSpPr/>
          </xdr:nvSpPr>
          <xdr:spPr>
            <a:xfrm>
              <a:off x="0" y="0"/>
              <a:ext cx="0" cy="0"/>
            </a:xfrm>
            <a:prstGeom prst="rect">
              <a:avLst/>
            </a:prstGeom>
          </xdr:spPr>
          <xdr:txBody>
            <a:bodyPr anchor="ctr">
              <a:noAutofit/>
            </a:bodyPr>
            <a:p>
              <a:r>
                <a:t>Fetch Curves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312480</xdr:colOff>
          <xdr:row>22</xdr:row>
          <xdr:rowOff>28440</xdr:rowOff>
        </xdr:from>
        <xdr:to>
          <xdr:col>5</xdr:col>
          <xdr:colOff>725400</xdr:colOff>
          <xdr:row>26</xdr:row>
          <xdr:rowOff>152280</xdr:rowOff>
        </xdr:to>
        <xdr:sp>
          <xdr:nvSpPr>
            <xdr:cNvPr id="1004" name="Button 6" descr="Print Reports" hidden="0"/>
            <xdr:cNvSpPr/>
          </xdr:nvSpPr>
          <xdr:spPr>
            <a:xfrm>
              <a:off x="0" y="0"/>
              <a:ext cx="0" cy="0"/>
            </a:xfrm>
            <a:prstGeom prst="rect">
              <a:avLst/>
            </a:prstGeom>
          </xdr:spPr>
          <xdr:txBody>
            <a:bodyPr anchor="ctr">
              <a:noAutofit/>
            </a:bodyPr>
            <a:p>
              <a:r>
                <a:t>Print Reports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1086120</xdr:colOff>
          <xdr:row>37</xdr:row>
          <xdr:rowOff>47520</xdr:rowOff>
        </xdr:from>
        <xdr:to>
          <xdr:col>7</xdr:col>
          <xdr:colOff>414000</xdr:colOff>
          <xdr:row>39</xdr:row>
          <xdr:rowOff>75960</xdr:rowOff>
        </xdr:to>
        <xdr:sp>
          <xdr:nvSpPr>
            <xdr:cNvPr id="1005" name="Button 10" descr="Export Positions File" hidden="0"/>
            <xdr:cNvSpPr/>
          </xdr:nvSpPr>
          <xdr:spPr>
            <a:xfrm>
              <a:off x="0" y="0"/>
              <a:ext cx="0" cy="0"/>
            </a:xfrm>
            <a:prstGeom prst="rect">
              <a:avLst/>
            </a:prstGeom>
          </xdr:spPr>
          <xdr:txBody>
            <a:bodyPr anchor="ctr">
              <a:noAutofit/>
            </a:bodyPr>
            <a:p>
              <a:r>
                <a:t>Export Positions File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1086120</xdr:colOff>
          <xdr:row>39</xdr:row>
          <xdr:rowOff>152640</xdr:rowOff>
        </xdr:from>
        <xdr:to>
          <xdr:col>7</xdr:col>
          <xdr:colOff>414000</xdr:colOff>
          <xdr:row>42</xdr:row>
          <xdr:rowOff>18720</xdr:rowOff>
        </xdr:to>
        <xdr:sp>
          <xdr:nvSpPr>
            <xdr:cNvPr id="1006" name="Button 11" descr="Export RiskTrac File" hidden="0"/>
            <xdr:cNvSpPr/>
          </xdr:nvSpPr>
          <xdr:spPr>
            <a:xfrm>
              <a:off x="0" y="0"/>
              <a:ext cx="0" cy="0"/>
            </a:xfrm>
            <a:prstGeom prst="rect">
              <a:avLst/>
            </a:prstGeom>
          </xdr:spPr>
          <xdr:txBody>
            <a:bodyPr anchor="ctr">
              <a:noAutofit/>
            </a:bodyPr>
            <a:p>
              <a:r>
                <a:t>Export RiskTrac File</a:t>
              </a:r>
            </a:p>
          </xdr:txBody>
        </xdr:sp>
        <xdr:clientData/>
      </xdr:twoCellAnchor>
    </mc:Choice>
  </mc:AlternateContent>
</xdr:wsDr>
</file>

<file path=xl/drawings/drawing10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04.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07.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1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1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19.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25.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28.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4</xdr:col>
          <xdr:colOff>1006200</xdr:colOff>
          <xdr:row>3</xdr:row>
          <xdr:rowOff>104760</xdr:rowOff>
        </xdr:from>
        <xdr:to>
          <xdr:col>5</xdr:col>
          <xdr:colOff>435240</xdr:colOff>
          <xdr:row>5</xdr:row>
          <xdr:rowOff>162000</xdr:rowOff>
        </xdr:to>
        <xdr:sp>
          <xdr:nvSpPr>
            <xdr:cNvPr id="1001" name="Button 1" descr="Edit Transport Leg" hidden="0"/>
            <xdr:cNvSpPr/>
          </xdr:nvSpPr>
          <xdr:spPr>
            <a:xfrm>
              <a:off x="0" y="0"/>
              <a:ext cx="0" cy="0"/>
            </a:xfrm>
            <a:prstGeom prst="rect">
              <a:avLst/>
            </a:prstGeom>
          </xdr:spPr>
          <xdr:txBody>
            <a:bodyPr anchor="ctr">
              <a:noAutofit/>
            </a:bodyPr>
            <a:p>
              <a:r>
                <a:t>Edit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130320</xdr:colOff>
          <xdr:row>3</xdr:row>
          <xdr:rowOff>104760</xdr:rowOff>
        </xdr:from>
        <xdr:to>
          <xdr:col>3</xdr:col>
          <xdr:colOff>966960</xdr:colOff>
          <xdr:row>5</xdr:row>
          <xdr:rowOff>162000</xdr:rowOff>
        </xdr:to>
        <xdr:sp>
          <xdr:nvSpPr>
            <xdr:cNvPr id="1002" name="Button 2" descr="Add Transport Leg" hidden="0"/>
            <xdr:cNvSpPr/>
          </xdr:nvSpPr>
          <xdr:spPr>
            <a:xfrm>
              <a:off x="0" y="0"/>
              <a:ext cx="0" cy="0"/>
            </a:xfrm>
            <a:prstGeom prst="rect">
              <a:avLst/>
            </a:prstGeom>
          </xdr:spPr>
          <xdr:txBody>
            <a:bodyPr anchor="ctr">
              <a:noAutofit/>
            </a:bodyPr>
            <a:p>
              <a:r>
                <a:t>Add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1802520</xdr:colOff>
          <xdr:row>3</xdr:row>
          <xdr:rowOff>104760</xdr:rowOff>
        </xdr:from>
        <xdr:to>
          <xdr:col>6</xdr:col>
          <xdr:colOff>1230120</xdr:colOff>
          <xdr:row>5</xdr:row>
          <xdr:rowOff>162000</xdr:rowOff>
        </xdr:to>
        <xdr:sp>
          <xdr:nvSpPr>
            <xdr:cNvPr id="1003" name="Button 3" descr="Copy Transport Leg" hidden="0"/>
            <xdr:cNvSpPr/>
          </xdr:nvSpPr>
          <xdr:spPr>
            <a:xfrm>
              <a:off x="0" y="0"/>
              <a:ext cx="0" cy="0"/>
            </a:xfrm>
            <a:prstGeom prst="rect">
              <a:avLst/>
            </a:prstGeom>
          </xdr:spPr>
          <xdr:txBody>
            <a:bodyPr anchor="ctr">
              <a:noAutofit/>
            </a:bodyPr>
            <a:p>
              <a:r>
                <a:t>Copy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433440</xdr:colOff>
          <xdr:row>3</xdr:row>
          <xdr:rowOff>104760</xdr:rowOff>
        </xdr:from>
        <xdr:to>
          <xdr:col>8</xdr:col>
          <xdr:colOff>-139680</xdr:colOff>
          <xdr:row>5</xdr:row>
          <xdr:rowOff>162000</xdr:rowOff>
        </xdr:to>
        <xdr:sp>
          <xdr:nvSpPr>
            <xdr:cNvPr id="1004" name="Button 4" descr="Delete Transport Leg" hidden="0"/>
            <xdr:cNvSpPr/>
          </xdr:nvSpPr>
          <xdr:spPr>
            <a:xfrm>
              <a:off x="0" y="0"/>
              <a:ext cx="0" cy="0"/>
            </a:xfrm>
            <a:prstGeom prst="rect">
              <a:avLst/>
            </a:prstGeom>
          </xdr:spPr>
          <xdr:txBody>
            <a:bodyPr anchor="ctr">
              <a:noAutofit/>
            </a:bodyPr>
            <a:p>
              <a:r>
                <a:t>Delete Transport Leg</a:t>
              </a:r>
            </a:p>
          </xdr:txBody>
        </xdr:sp>
        <xdr:clientData/>
      </xdr:twoCellAnchor>
    </mc:Choice>
  </mc:AlternateContent>
</xdr:wsDr>
</file>

<file path=xl/drawings/drawing13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34.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37.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4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4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4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49.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5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55.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58.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6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64.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1"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2"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167.xml><?xml version="1.0" encoding="utf-8"?>
<xdr:wsDr xmlns:xdr="http://schemas.openxmlformats.org/drawingml/2006/spreadsheetDrawing" xmlns:a="http://schemas.openxmlformats.org/drawingml/2006/main" xmlns:r="http://schemas.openxmlformats.org/officeDocument/2006/relationships"/>
</file>

<file path=xl/drawings/drawing18.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4</xdr:col>
          <xdr:colOff>1006200</xdr:colOff>
          <xdr:row>3</xdr:row>
          <xdr:rowOff>104760</xdr:rowOff>
        </xdr:from>
        <xdr:to>
          <xdr:col>5</xdr:col>
          <xdr:colOff>435240</xdr:colOff>
          <xdr:row>5</xdr:row>
          <xdr:rowOff>162000</xdr:rowOff>
        </xdr:to>
        <xdr:sp>
          <xdr:nvSpPr>
            <xdr:cNvPr id="1001" name="Button 1" descr="Edit Transport Leg" hidden="0"/>
            <xdr:cNvSpPr/>
          </xdr:nvSpPr>
          <xdr:spPr>
            <a:xfrm>
              <a:off x="0" y="0"/>
              <a:ext cx="0" cy="0"/>
            </a:xfrm>
            <a:prstGeom prst="rect">
              <a:avLst/>
            </a:prstGeom>
          </xdr:spPr>
          <xdr:txBody>
            <a:bodyPr anchor="ctr">
              <a:noAutofit/>
            </a:bodyPr>
            <a:p>
              <a:r>
                <a:t>Edit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130320</xdr:colOff>
          <xdr:row>3</xdr:row>
          <xdr:rowOff>104760</xdr:rowOff>
        </xdr:from>
        <xdr:to>
          <xdr:col>3</xdr:col>
          <xdr:colOff>966960</xdr:colOff>
          <xdr:row>5</xdr:row>
          <xdr:rowOff>162000</xdr:rowOff>
        </xdr:to>
        <xdr:sp>
          <xdr:nvSpPr>
            <xdr:cNvPr id="1002" name="Button 2" descr="Add Transport Leg" hidden="0"/>
            <xdr:cNvSpPr/>
          </xdr:nvSpPr>
          <xdr:spPr>
            <a:xfrm>
              <a:off x="0" y="0"/>
              <a:ext cx="0" cy="0"/>
            </a:xfrm>
            <a:prstGeom prst="rect">
              <a:avLst/>
            </a:prstGeom>
          </xdr:spPr>
          <xdr:txBody>
            <a:bodyPr anchor="ctr">
              <a:noAutofit/>
            </a:bodyPr>
            <a:p>
              <a:r>
                <a:t>Add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1802520</xdr:colOff>
          <xdr:row>3</xdr:row>
          <xdr:rowOff>104760</xdr:rowOff>
        </xdr:from>
        <xdr:to>
          <xdr:col>6</xdr:col>
          <xdr:colOff>1230120</xdr:colOff>
          <xdr:row>5</xdr:row>
          <xdr:rowOff>162000</xdr:rowOff>
        </xdr:to>
        <xdr:sp>
          <xdr:nvSpPr>
            <xdr:cNvPr id="1003" name="Button 3" descr="Copy Transport Leg" hidden="0"/>
            <xdr:cNvSpPr/>
          </xdr:nvSpPr>
          <xdr:spPr>
            <a:xfrm>
              <a:off x="0" y="0"/>
              <a:ext cx="0" cy="0"/>
            </a:xfrm>
            <a:prstGeom prst="rect">
              <a:avLst/>
            </a:prstGeom>
          </xdr:spPr>
          <xdr:txBody>
            <a:bodyPr anchor="ctr">
              <a:noAutofit/>
            </a:bodyPr>
            <a:p>
              <a:r>
                <a:t>Copy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433440</xdr:colOff>
          <xdr:row>3</xdr:row>
          <xdr:rowOff>104760</xdr:rowOff>
        </xdr:from>
        <xdr:to>
          <xdr:col>8</xdr:col>
          <xdr:colOff>-139680</xdr:colOff>
          <xdr:row>5</xdr:row>
          <xdr:rowOff>162000</xdr:rowOff>
        </xdr:to>
        <xdr:sp>
          <xdr:nvSpPr>
            <xdr:cNvPr id="1004" name="Button 4" descr="Delete Transport Leg" hidden="0"/>
            <xdr:cNvSpPr/>
          </xdr:nvSpPr>
          <xdr:spPr>
            <a:xfrm>
              <a:off x="0" y="0"/>
              <a:ext cx="0" cy="0"/>
            </a:xfrm>
            <a:prstGeom prst="rect">
              <a:avLst/>
            </a:prstGeom>
          </xdr:spPr>
          <xdr:txBody>
            <a:bodyPr anchor="ctr">
              <a:noAutofit/>
            </a:bodyPr>
            <a:p>
              <a:r>
                <a:t>Delete Transport Leg</a:t>
              </a:r>
            </a:p>
          </xdr:txBody>
        </xdr:sp>
        <xdr:clientData/>
      </xdr:twoCellAnchor>
    </mc:Choice>
  </mc:AlternateContent>
</xdr:wsDr>
</file>

<file path=xl/drawings/drawing2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4</xdr:col>
          <xdr:colOff>1006200</xdr:colOff>
          <xdr:row>3</xdr:row>
          <xdr:rowOff>104760</xdr:rowOff>
        </xdr:from>
        <xdr:to>
          <xdr:col>5</xdr:col>
          <xdr:colOff>435240</xdr:colOff>
          <xdr:row>5</xdr:row>
          <xdr:rowOff>162000</xdr:rowOff>
        </xdr:to>
        <xdr:sp>
          <xdr:nvSpPr>
            <xdr:cNvPr id="1001" name="Button 1" descr="Edit Transport Leg" hidden="0"/>
            <xdr:cNvSpPr/>
          </xdr:nvSpPr>
          <xdr:spPr>
            <a:xfrm>
              <a:off x="0" y="0"/>
              <a:ext cx="0" cy="0"/>
            </a:xfrm>
            <a:prstGeom prst="rect">
              <a:avLst/>
            </a:prstGeom>
          </xdr:spPr>
          <xdr:txBody>
            <a:bodyPr anchor="ctr">
              <a:noAutofit/>
            </a:bodyPr>
            <a:p>
              <a:r>
                <a:t>Edit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130320</xdr:colOff>
          <xdr:row>3</xdr:row>
          <xdr:rowOff>104760</xdr:rowOff>
        </xdr:from>
        <xdr:to>
          <xdr:col>3</xdr:col>
          <xdr:colOff>966960</xdr:colOff>
          <xdr:row>5</xdr:row>
          <xdr:rowOff>162000</xdr:rowOff>
        </xdr:to>
        <xdr:sp>
          <xdr:nvSpPr>
            <xdr:cNvPr id="1002" name="Button 2" descr="Add Transport Leg" hidden="0"/>
            <xdr:cNvSpPr/>
          </xdr:nvSpPr>
          <xdr:spPr>
            <a:xfrm>
              <a:off x="0" y="0"/>
              <a:ext cx="0" cy="0"/>
            </a:xfrm>
            <a:prstGeom prst="rect">
              <a:avLst/>
            </a:prstGeom>
          </xdr:spPr>
          <xdr:txBody>
            <a:bodyPr anchor="ctr">
              <a:noAutofit/>
            </a:bodyPr>
            <a:p>
              <a:r>
                <a:t>Add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1802520</xdr:colOff>
          <xdr:row>3</xdr:row>
          <xdr:rowOff>104760</xdr:rowOff>
        </xdr:from>
        <xdr:to>
          <xdr:col>6</xdr:col>
          <xdr:colOff>1230120</xdr:colOff>
          <xdr:row>5</xdr:row>
          <xdr:rowOff>162000</xdr:rowOff>
        </xdr:to>
        <xdr:sp>
          <xdr:nvSpPr>
            <xdr:cNvPr id="1003" name="Button 3" descr="Copy Transport Leg" hidden="0"/>
            <xdr:cNvSpPr/>
          </xdr:nvSpPr>
          <xdr:spPr>
            <a:xfrm>
              <a:off x="0" y="0"/>
              <a:ext cx="0" cy="0"/>
            </a:xfrm>
            <a:prstGeom prst="rect">
              <a:avLst/>
            </a:prstGeom>
          </xdr:spPr>
          <xdr:txBody>
            <a:bodyPr anchor="ctr">
              <a:noAutofit/>
            </a:bodyPr>
            <a:p>
              <a:r>
                <a:t>Copy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433440</xdr:colOff>
          <xdr:row>3</xdr:row>
          <xdr:rowOff>104760</xdr:rowOff>
        </xdr:from>
        <xdr:to>
          <xdr:col>8</xdr:col>
          <xdr:colOff>-139680</xdr:colOff>
          <xdr:row>5</xdr:row>
          <xdr:rowOff>162000</xdr:rowOff>
        </xdr:to>
        <xdr:sp>
          <xdr:nvSpPr>
            <xdr:cNvPr id="1004" name="Button 4" descr="Delete Transport Leg" hidden="0"/>
            <xdr:cNvSpPr/>
          </xdr:nvSpPr>
          <xdr:spPr>
            <a:xfrm>
              <a:off x="0" y="0"/>
              <a:ext cx="0" cy="0"/>
            </a:xfrm>
            <a:prstGeom prst="rect">
              <a:avLst/>
            </a:prstGeom>
          </xdr:spPr>
          <xdr:txBody>
            <a:bodyPr anchor="ctr">
              <a:noAutofit/>
            </a:bodyPr>
            <a:p>
              <a:r>
                <a:t>Delete Transport Leg</a:t>
              </a:r>
            </a:p>
          </xdr:txBody>
        </xdr:sp>
        <xdr:clientData/>
      </xdr:twoCellAnchor>
    </mc:Choice>
  </mc:AlternateContent>
</xdr:wsDr>
</file>

<file path=xl/drawings/drawing28.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190800</xdr:colOff>
          <xdr:row>1</xdr:row>
          <xdr:rowOff>75960</xdr:rowOff>
        </xdr:from>
        <xdr:to>
          <xdr:col>3</xdr:col>
          <xdr:colOff>50400</xdr:colOff>
          <xdr:row>4</xdr:row>
          <xdr:rowOff>66600</xdr:rowOff>
        </xdr:to>
        <xdr:sp>
          <xdr:nvSpPr>
            <xdr:cNvPr id="1001" name="Button 2" descr="Setup Report" hidden="0"/>
            <xdr:cNvSpPr/>
          </xdr:nvSpPr>
          <xdr:spPr>
            <a:xfrm>
              <a:off x="0" y="0"/>
              <a:ext cx="0" cy="0"/>
            </a:xfrm>
            <a:prstGeom prst="rect">
              <a:avLst/>
            </a:prstGeom>
          </xdr:spPr>
          <xdr:txBody>
            <a:bodyPr anchor="ctr">
              <a:noAutofit/>
            </a:bodyPr>
            <a:p>
              <a:r>
                <a:t>Setup Report</a:t>
              </a:r>
            </a:p>
          </xdr:txBody>
        </xdr:sp>
        <xdr:clientData/>
      </xdr:twoCellAnchor>
    </mc:Choice>
  </mc:AlternateContent>
</xdr:wsDr>
</file>

<file path=xl/drawings/drawing3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2</xdr:row>
      <xdr:rowOff>0</xdr:rowOff>
    </xdr:from>
    <xdr:to>
      <xdr:col>5</xdr:col>
      <xdr:colOff>720</xdr:colOff>
      <xdr:row>7</xdr:row>
      <xdr:rowOff>161640</xdr:rowOff>
    </xdr:to>
    <xdr:sp>
      <xdr:nvSpPr>
        <xdr:cNvPr id="0" name="Rectangle 2"/>
        <xdr:cNvSpPr/>
      </xdr:nvSpPr>
      <xdr:spPr>
        <a:xfrm>
          <a:off x="261000" y="324000"/>
          <a:ext cx="2736360" cy="971280"/>
        </a:xfrm>
        <a:prstGeom prst="rect">
          <a:avLst/>
        </a:prstGeom>
        <a:noFill/>
        <a:ln w="9360">
          <a:solidFill>
            <a:srgbClr val="000000"/>
          </a:solidFill>
          <a:miter/>
        </a:ln>
        <a:effectLst>
          <a:outerShdw dist="17819" dir="2700000" blurRad="0" rotWithShape="0">
            <a:srgbClr val="808080"/>
          </a:outerShdw>
        </a:effectLst>
      </xdr:spPr>
      <xdr:style>
        <a:lnRef idx="0"/>
        <a:fillRef idx="0"/>
        <a:effectRef idx="0"/>
        <a:fontRef idx="minor"/>
      </xdr:style>
    </xdr:sp>
    <xdr:clientData/>
  </xdr:twoCellAnchor>
  <xdr:twoCellAnchor editAs="oneCell">
    <xdr:from>
      <xdr:col>6</xdr:col>
      <xdr:colOff>0</xdr:colOff>
      <xdr:row>2</xdr:row>
      <xdr:rowOff>0</xdr:rowOff>
    </xdr:from>
    <xdr:to>
      <xdr:col>9</xdr:col>
      <xdr:colOff>1080</xdr:colOff>
      <xdr:row>7</xdr:row>
      <xdr:rowOff>161640</xdr:rowOff>
    </xdr:to>
    <xdr:sp>
      <xdr:nvSpPr>
        <xdr:cNvPr id="1" name="Rectangle 4"/>
        <xdr:cNvSpPr/>
      </xdr:nvSpPr>
      <xdr:spPr>
        <a:xfrm>
          <a:off x="3962520" y="324000"/>
          <a:ext cx="2898360" cy="971280"/>
        </a:xfrm>
        <a:prstGeom prst="rect">
          <a:avLst/>
        </a:prstGeom>
        <a:noFill/>
        <a:ln w="9360">
          <a:solidFill>
            <a:srgbClr val="000000"/>
          </a:solidFill>
          <a:miter/>
        </a:ln>
        <a:effectLst>
          <a:outerShdw dist="17819" dir="2700000" blurRad="0" rotWithShape="0">
            <a:srgbClr val="808080"/>
          </a:outerShdw>
        </a:effectLst>
      </xdr:spPr>
      <xdr:style>
        <a:lnRef idx="0"/>
        <a:fillRef idx="0"/>
        <a:effectRef idx="0"/>
        <a:fontRef idx="minor"/>
      </xdr:style>
    </xdr:sp>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190800</xdr:colOff>
          <xdr:row>1</xdr:row>
          <xdr:rowOff>75960</xdr:rowOff>
        </xdr:from>
        <xdr:to>
          <xdr:col>3</xdr:col>
          <xdr:colOff>50400</xdr:colOff>
          <xdr:row>4</xdr:row>
          <xdr:rowOff>66600</xdr:rowOff>
        </xdr:to>
        <xdr:sp>
          <xdr:nvSpPr>
            <xdr:cNvPr id="1001" name="Button 2" descr="Setup Report" hidden="0"/>
            <xdr:cNvSpPr/>
          </xdr:nvSpPr>
          <xdr:spPr>
            <a:xfrm>
              <a:off x="0" y="0"/>
              <a:ext cx="0" cy="0"/>
            </a:xfrm>
            <a:prstGeom prst="rect">
              <a:avLst/>
            </a:prstGeom>
          </xdr:spPr>
          <xdr:txBody>
            <a:bodyPr anchor="ctr">
              <a:noAutofit/>
            </a:bodyPr>
            <a:p>
              <a:r>
                <a:t>Setup Report</a:t>
              </a:r>
            </a:p>
          </xdr:txBody>
        </xdr:sp>
        <xdr:clientData/>
      </xdr:twoCellAnchor>
    </mc:Choice>
  </mc:AlternateContent>
</xdr:wsDr>
</file>

<file path=xl/drawings/drawing3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190800</xdr:colOff>
          <xdr:row>1</xdr:row>
          <xdr:rowOff>75960</xdr:rowOff>
        </xdr:from>
        <xdr:to>
          <xdr:col>3</xdr:col>
          <xdr:colOff>50400</xdr:colOff>
          <xdr:row>4</xdr:row>
          <xdr:rowOff>66600</xdr:rowOff>
        </xdr:to>
        <xdr:sp>
          <xdr:nvSpPr>
            <xdr:cNvPr id="1001" name="Button 2" descr="Setup Report" hidden="0"/>
            <xdr:cNvSpPr/>
          </xdr:nvSpPr>
          <xdr:spPr>
            <a:xfrm>
              <a:off x="0" y="0"/>
              <a:ext cx="0" cy="0"/>
            </a:xfrm>
            <a:prstGeom prst="rect">
              <a:avLst/>
            </a:prstGeom>
          </xdr:spPr>
          <xdr:txBody>
            <a:bodyPr anchor="ctr">
              <a:noAutofit/>
            </a:bodyPr>
            <a:p>
              <a:r>
                <a:t>Setup Report</a:t>
              </a:r>
            </a:p>
          </xdr:txBody>
        </xdr:sp>
        <xdr:clientData/>
      </xdr:twoCellAnchor>
    </mc:Choice>
  </mc:AlternateContent>
</xdr:wsDr>
</file>

<file path=xl/drawings/drawing35.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190800</xdr:colOff>
          <xdr:row>1</xdr:row>
          <xdr:rowOff>75960</xdr:rowOff>
        </xdr:from>
        <xdr:to>
          <xdr:col>3</xdr:col>
          <xdr:colOff>50400</xdr:colOff>
          <xdr:row>4</xdr:row>
          <xdr:rowOff>66600</xdr:rowOff>
        </xdr:to>
        <xdr:sp>
          <xdr:nvSpPr>
            <xdr:cNvPr id="1001" name="Button 1" descr="Setup Report" hidden="0"/>
            <xdr:cNvSpPr/>
          </xdr:nvSpPr>
          <xdr:spPr>
            <a:xfrm>
              <a:off x="0" y="0"/>
              <a:ext cx="0" cy="0"/>
            </a:xfrm>
            <a:prstGeom prst="rect">
              <a:avLst/>
            </a:prstGeom>
          </xdr:spPr>
          <xdr:txBody>
            <a:bodyPr anchor="ctr">
              <a:noAutofit/>
            </a:bodyPr>
            <a:p>
              <a:r>
                <a:t>Setup Report</a:t>
              </a:r>
            </a:p>
          </xdr:txBody>
        </xdr:sp>
        <xdr:clientData/>
      </xdr:twoCellAnchor>
    </mc:Choice>
  </mc:AlternateContent>
</xdr:wsDr>
</file>

<file path=xl/drawings/drawing37.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190800</xdr:colOff>
          <xdr:row>1</xdr:row>
          <xdr:rowOff>75960</xdr:rowOff>
        </xdr:from>
        <xdr:to>
          <xdr:col>3</xdr:col>
          <xdr:colOff>50400</xdr:colOff>
          <xdr:row>4</xdr:row>
          <xdr:rowOff>66600</xdr:rowOff>
        </xdr:to>
        <xdr:sp>
          <xdr:nvSpPr>
            <xdr:cNvPr id="1001" name="Button 1" descr="Setup Report" hidden="0"/>
            <xdr:cNvSpPr/>
          </xdr:nvSpPr>
          <xdr:spPr>
            <a:xfrm>
              <a:off x="0" y="0"/>
              <a:ext cx="0" cy="0"/>
            </a:xfrm>
            <a:prstGeom prst="rect">
              <a:avLst/>
            </a:prstGeom>
          </xdr:spPr>
          <xdr:txBody>
            <a:bodyPr anchor="ctr">
              <a:noAutofit/>
            </a:bodyPr>
            <a:p>
              <a:r>
                <a:t>Setup Report</a:t>
              </a:r>
            </a:p>
          </xdr:txBody>
        </xdr:sp>
        <xdr:clientData/>
      </xdr:twoCellAnchor>
    </mc:Choice>
  </mc:AlternateContent>
</xdr:wsDr>
</file>

<file path=xl/drawings/drawing39.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190800</xdr:colOff>
          <xdr:row>1</xdr:row>
          <xdr:rowOff>75960</xdr:rowOff>
        </xdr:from>
        <xdr:to>
          <xdr:col>3</xdr:col>
          <xdr:colOff>50400</xdr:colOff>
          <xdr:row>4</xdr:row>
          <xdr:rowOff>66600</xdr:rowOff>
        </xdr:to>
        <xdr:sp>
          <xdr:nvSpPr>
            <xdr:cNvPr id="1001" name="Button 2" descr="Setup Report" hidden="0"/>
            <xdr:cNvSpPr/>
          </xdr:nvSpPr>
          <xdr:spPr>
            <a:xfrm>
              <a:off x="0" y="0"/>
              <a:ext cx="0" cy="0"/>
            </a:xfrm>
            <a:prstGeom prst="rect">
              <a:avLst/>
            </a:prstGeom>
          </xdr:spPr>
          <xdr:txBody>
            <a:bodyPr anchor="ctr">
              <a:noAutofit/>
            </a:bodyPr>
            <a:p>
              <a:r>
                <a:t>Setup Report</a:t>
              </a:r>
            </a:p>
          </xdr:txBody>
        </xdr:sp>
        <xdr:clientData/>
      </xdr:twoCellAnchor>
    </mc:Choice>
  </mc:AlternateContent>
</xdr:wsDr>
</file>

<file path=xl/drawings/drawing4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190800</xdr:colOff>
          <xdr:row>1</xdr:row>
          <xdr:rowOff>75960</xdr:rowOff>
        </xdr:from>
        <xdr:to>
          <xdr:col>3</xdr:col>
          <xdr:colOff>50400</xdr:colOff>
          <xdr:row>4</xdr:row>
          <xdr:rowOff>66600</xdr:rowOff>
        </xdr:to>
        <xdr:sp>
          <xdr:nvSpPr>
            <xdr:cNvPr id="1001" name="Button 2" descr="Setup Report" hidden="0"/>
            <xdr:cNvSpPr/>
          </xdr:nvSpPr>
          <xdr:spPr>
            <a:xfrm>
              <a:off x="0" y="0"/>
              <a:ext cx="0" cy="0"/>
            </a:xfrm>
            <a:prstGeom prst="rect">
              <a:avLst/>
            </a:prstGeom>
          </xdr:spPr>
          <xdr:txBody>
            <a:bodyPr anchor="ctr">
              <a:noAutofit/>
            </a:bodyPr>
            <a:p>
              <a:r>
                <a:t>Setup Report</a:t>
              </a:r>
            </a:p>
          </xdr:txBody>
        </xdr:sp>
        <xdr:clientData/>
      </xdr:twoCellAnchor>
    </mc:Choice>
  </mc:AlternateContent>
</xdr:wsDr>
</file>

<file path=xl/drawings/drawing4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190800</xdr:colOff>
          <xdr:row>1</xdr:row>
          <xdr:rowOff>75960</xdr:rowOff>
        </xdr:from>
        <xdr:to>
          <xdr:col>3</xdr:col>
          <xdr:colOff>50400</xdr:colOff>
          <xdr:row>4</xdr:row>
          <xdr:rowOff>66600</xdr:rowOff>
        </xdr:to>
        <xdr:sp>
          <xdr:nvSpPr>
            <xdr:cNvPr id="1001" name="Button 2" descr="Setup Report" hidden="0"/>
            <xdr:cNvSpPr/>
          </xdr:nvSpPr>
          <xdr:spPr>
            <a:xfrm>
              <a:off x="0" y="0"/>
              <a:ext cx="0" cy="0"/>
            </a:xfrm>
            <a:prstGeom prst="rect">
              <a:avLst/>
            </a:prstGeom>
          </xdr:spPr>
          <xdr:txBody>
            <a:bodyPr anchor="ctr">
              <a:noAutofit/>
            </a:bodyPr>
            <a:p>
              <a:r>
                <a:t>Setup Report</a:t>
              </a:r>
            </a:p>
          </xdr:txBody>
        </xdr:sp>
        <xdr:clientData/>
      </xdr:twoCellAnchor>
    </mc:Choice>
  </mc:AlternateContent>
</xdr:wsDr>
</file>

<file path=xl/drawings/drawing45.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190800</xdr:colOff>
          <xdr:row>1</xdr:row>
          <xdr:rowOff>75960</xdr:rowOff>
        </xdr:from>
        <xdr:to>
          <xdr:col>3</xdr:col>
          <xdr:colOff>50400</xdr:colOff>
          <xdr:row>4</xdr:row>
          <xdr:rowOff>66600</xdr:rowOff>
        </xdr:to>
        <xdr:sp>
          <xdr:nvSpPr>
            <xdr:cNvPr id="1001" name="Button 2" descr="Setup Report" hidden="0"/>
            <xdr:cNvSpPr/>
          </xdr:nvSpPr>
          <xdr:spPr>
            <a:xfrm>
              <a:off x="0" y="0"/>
              <a:ext cx="0" cy="0"/>
            </a:xfrm>
            <a:prstGeom prst="rect">
              <a:avLst/>
            </a:prstGeom>
          </xdr:spPr>
          <xdr:txBody>
            <a:bodyPr anchor="ctr">
              <a:noAutofit/>
            </a:bodyPr>
            <a:p>
              <a:r>
                <a:t>Setup Report</a:t>
              </a:r>
            </a:p>
          </xdr:txBody>
        </xdr:sp>
        <xdr:clientData/>
      </xdr:twoCellAnchor>
    </mc:Choice>
  </mc:AlternateContent>
</xdr:wsDr>
</file>

<file path=xl/drawings/drawing47.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7"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8"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5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5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59.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6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65.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68.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7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74.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77.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8.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4</xdr:col>
          <xdr:colOff>1006200</xdr:colOff>
          <xdr:row>3</xdr:row>
          <xdr:rowOff>104760</xdr:rowOff>
        </xdr:from>
        <xdr:to>
          <xdr:col>5</xdr:col>
          <xdr:colOff>435240</xdr:colOff>
          <xdr:row>5</xdr:row>
          <xdr:rowOff>162000</xdr:rowOff>
        </xdr:to>
        <xdr:sp>
          <xdr:nvSpPr>
            <xdr:cNvPr id="1001" name="Button 1" descr="Edit Transport Leg" hidden="0"/>
            <xdr:cNvSpPr/>
          </xdr:nvSpPr>
          <xdr:spPr>
            <a:xfrm>
              <a:off x="0" y="0"/>
              <a:ext cx="0" cy="0"/>
            </a:xfrm>
            <a:prstGeom prst="rect">
              <a:avLst/>
            </a:prstGeom>
          </xdr:spPr>
          <xdr:txBody>
            <a:bodyPr anchor="ctr">
              <a:noAutofit/>
            </a:bodyPr>
            <a:p>
              <a:r>
                <a:t>Edit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130320</xdr:colOff>
          <xdr:row>3</xdr:row>
          <xdr:rowOff>104760</xdr:rowOff>
        </xdr:from>
        <xdr:to>
          <xdr:col>3</xdr:col>
          <xdr:colOff>966960</xdr:colOff>
          <xdr:row>5</xdr:row>
          <xdr:rowOff>162000</xdr:rowOff>
        </xdr:to>
        <xdr:sp>
          <xdr:nvSpPr>
            <xdr:cNvPr id="1002" name="Button 2" descr="Add Transport Leg" hidden="0"/>
            <xdr:cNvSpPr/>
          </xdr:nvSpPr>
          <xdr:spPr>
            <a:xfrm>
              <a:off x="0" y="0"/>
              <a:ext cx="0" cy="0"/>
            </a:xfrm>
            <a:prstGeom prst="rect">
              <a:avLst/>
            </a:prstGeom>
          </xdr:spPr>
          <xdr:txBody>
            <a:bodyPr anchor="ctr">
              <a:noAutofit/>
            </a:bodyPr>
            <a:p>
              <a:r>
                <a:t>Add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1802520</xdr:colOff>
          <xdr:row>3</xdr:row>
          <xdr:rowOff>104760</xdr:rowOff>
        </xdr:from>
        <xdr:to>
          <xdr:col>6</xdr:col>
          <xdr:colOff>1230120</xdr:colOff>
          <xdr:row>5</xdr:row>
          <xdr:rowOff>162000</xdr:rowOff>
        </xdr:to>
        <xdr:sp>
          <xdr:nvSpPr>
            <xdr:cNvPr id="1003" name="Button 3" descr="Copy Transport Leg" hidden="0"/>
            <xdr:cNvSpPr/>
          </xdr:nvSpPr>
          <xdr:spPr>
            <a:xfrm>
              <a:off x="0" y="0"/>
              <a:ext cx="0" cy="0"/>
            </a:xfrm>
            <a:prstGeom prst="rect">
              <a:avLst/>
            </a:prstGeom>
          </xdr:spPr>
          <xdr:txBody>
            <a:bodyPr anchor="ctr">
              <a:noAutofit/>
            </a:bodyPr>
            <a:p>
              <a:r>
                <a:t>Copy Transport Leg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433440</xdr:colOff>
          <xdr:row>3</xdr:row>
          <xdr:rowOff>104760</xdr:rowOff>
        </xdr:from>
        <xdr:to>
          <xdr:col>8</xdr:col>
          <xdr:colOff>-139680</xdr:colOff>
          <xdr:row>5</xdr:row>
          <xdr:rowOff>162000</xdr:rowOff>
        </xdr:to>
        <xdr:sp>
          <xdr:nvSpPr>
            <xdr:cNvPr id="1004" name="Button 4" descr="Delete Transport Leg" hidden="0"/>
            <xdr:cNvSpPr/>
          </xdr:nvSpPr>
          <xdr:spPr>
            <a:xfrm>
              <a:off x="0" y="0"/>
              <a:ext cx="0" cy="0"/>
            </a:xfrm>
            <a:prstGeom prst="rect">
              <a:avLst/>
            </a:prstGeom>
          </xdr:spPr>
          <xdr:txBody>
            <a:bodyPr anchor="ctr">
              <a:noAutofit/>
            </a:bodyPr>
            <a:p>
              <a:r>
                <a:t>Delete Transport Leg</a:t>
              </a:r>
            </a:p>
          </xdr:txBody>
        </xdr:sp>
        <xdr:clientData/>
      </xdr:twoCellAnchor>
    </mc:Choice>
  </mc:AlternateContent>
</xdr:wsDr>
</file>

<file path=xl/drawings/drawing8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83.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8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89.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9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95.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drawings/drawing98.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3</xdr:row>
          <xdr:rowOff>37800</xdr:rowOff>
        </xdr:from>
        <xdr:to>
          <xdr:col>5</xdr:col>
          <xdr:colOff>1080</xdr:colOff>
          <xdr:row>5</xdr:row>
          <xdr:rowOff>56880</xdr:rowOff>
        </xdr:to>
        <xdr:sp>
          <xdr:nvSpPr>
            <xdr:cNvPr id="1001" name="Button 4" descr="Roll To Prior Day" hidden="0"/>
            <xdr:cNvSpPr/>
          </xdr:nvSpPr>
          <xdr:spPr>
            <a:xfrm>
              <a:off x="0" y="0"/>
              <a:ext cx="0" cy="0"/>
            </a:xfrm>
            <a:prstGeom prst="rect">
              <a:avLst/>
            </a:prstGeom>
          </xdr:spPr>
          <xdr:txBody>
            <a:bodyPr anchor="ctr">
              <a:noAutofit/>
            </a:bodyPr>
            <a:p>
              <a:r>
                <a:t>Roll To Prior 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5</xdr:row>
          <xdr:rowOff>133200</xdr:rowOff>
        </xdr:from>
        <xdr:to>
          <xdr:col>5</xdr:col>
          <xdr:colOff>1080</xdr:colOff>
          <xdr:row>7</xdr:row>
          <xdr:rowOff>142920</xdr:rowOff>
        </xdr:to>
        <xdr:sp>
          <xdr:nvSpPr>
            <xdr:cNvPr id="1002" name="Button 5" descr="Setup Dates" hidden="0"/>
            <xdr:cNvSpPr/>
          </xdr:nvSpPr>
          <xdr:spPr>
            <a:xfrm>
              <a:off x="0" y="0"/>
              <a:ext cx="0" cy="0"/>
            </a:xfrm>
            <a:prstGeom prst="rect">
              <a:avLst/>
            </a:prstGeom>
          </xdr:spPr>
          <xdr:txBody>
            <a:bodyPr anchor="ctr">
              <a:noAutofit/>
            </a:bodyPr>
            <a:p>
              <a:r>
                <a:t>Setup Dates</a:t>
              </a:r>
            </a:p>
          </xdr:txBody>
        </xdr:sp>
        <xdr:clientData/>
      </xdr:twoCellAnchor>
    </mc:Choice>
  </mc:AlternateContent>
</xdr:wsDr>
</file>

<file path=xl/externalLinks/_rels/externalLink1.xml.rels><?xml version="1.0" encoding="UTF-8"?>
<Relationships xmlns="http://schemas.openxmlformats.org/package/2006/relationships"><Relationship Id="rId1" Type="http://schemas.openxmlformats.org/officeDocument/2006/relationships/externalLinkPath" Target="../../../../../../../../H:/Transport/Central%20Transport/0700/model/Financial%20Transport/Intra-Month%20Financial.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H:/Transport/Central%20Transport/2001/0101/Financial%20Transport/Financial%20Transport%20010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Daily Operation"/>
      <sheetName val="Contract DB (Central)"/>
      <sheetName val="Contract DB (West)"/>
      <sheetName val="Contract DB (East)"/>
      <sheetName val="P&amp;L Template"/>
      <sheetName val="P&amp;L Report"/>
      <sheetName val="Central Position Rpt"/>
      <sheetName val="West Position Rpt"/>
      <sheetName val="East Position Rpt"/>
      <sheetName val="IntraMonth1"/>
      <sheetName val="IntraMonth2"/>
      <sheetName val="IntraMonth3"/>
      <sheetName val="IntraMonth4"/>
      <sheetName val="IntraMonth5"/>
      <sheetName val="IntraMonth6"/>
      <sheetName val="IntraMonth7"/>
      <sheetName val="IntraMonth8"/>
      <sheetName val="IntraMonth9"/>
      <sheetName val="IntraMonth10"/>
      <sheetName val="IntraMonth11"/>
      <sheetName val="IntraMonth12"/>
      <sheetName val="IntraMonth13"/>
      <sheetName val="IntraMonth14"/>
      <sheetName val="IntraMonth15"/>
      <sheetName val="IntraMonth16"/>
      <sheetName val="IntraMonth17"/>
      <sheetName val="IntraMonth18"/>
      <sheetName val="IntraMonth19"/>
      <sheetName val="IntraMonth20"/>
      <sheetName val="IntraMonth21"/>
      <sheetName val="IntraMonth22"/>
      <sheetName val="IntraMonth23"/>
      <sheetName val="IntraMonth24"/>
      <sheetName val="IntraMonth25"/>
      <sheetName val="IntraMonth26"/>
      <sheetName val="IntraMonth27"/>
      <sheetName val="IntraMonth28"/>
      <sheetName val="IntraMonth29"/>
      <sheetName val="IntraMonth30"/>
      <sheetName val="IntraMonth31"/>
      <sheetName val="IntraMonth32"/>
      <sheetName val="IntraMonth33"/>
      <sheetName val="IntraMonth34"/>
      <sheetName val="IntraMonth35"/>
      <sheetName val="IntraMonth36"/>
      <sheetName val="IntraMonth37"/>
      <sheetName val="IntraMonth38"/>
      <sheetName val="IntraMonth39"/>
      <sheetName val="IntraMonth40"/>
      <sheetName val="IntraMonth41"/>
      <sheetName val="IntraMonth42"/>
      <sheetName val="Configuration"/>
      <sheetName val="Correlations"/>
      <sheetName val="Help"/>
      <sheetName val="Curves"/>
      <sheetName val="Codes"/>
      <sheetName val="East CurveShift"/>
      <sheetName val="WestHolst Position Rpt"/>
      <sheetName val="WestAllen Position Rpt"/>
      <sheetName val="West Delta Positions"/>
      <sheetName val="East Postition Rpt"/>
      <sheetName val="LongTerm1"/>
      <sheetName val="LongTerm2"/>
      <sheetName val="LongTerm3"/>
      <sheetName val="LongTerm4"/>
      <sheetName val="LongTerm5"/>
      <sheetName val="LongTerm6"/>
      <sheetName val="LongTerm7"/>
      <sheetName val="LongTerm8"/>
      <sheetName val="LongTerm9"/>
      <sheetName val="LongTerm10"/>
      <sheetName val="LongTerm11"/>
      <sheetName val="LongTerm12"/>
      <sheetName val="LongTerm14"/>
      <sheetName val="LongTerm15"/>
      <sheetName val="LongTerm16"/>
      <sheetName val="LongTerm17"/>
      <sheetName val="LongTerm19"/>
      <sheetName val="LongTerm20"/>
      <sheetName val="LongTerm21"/>
      <sheetName val="LongTerm22"/>
      <sheetName val="LongTerm23"/>
      <sheetName val="LongTerm24"/>
      <sheetName val="LongTerm25"/>
      <sheetName val="LongTerm26"/>
      <sheetName val="LongTerm27"/>
      <sheetName val="LongTerm28"/>
      <sheetName val="LongTerm29"/>
      <sheetName val="LongTerm37"/>
      <sheetName val="LongTerm38"/>
      <sheetName val="LongTerm39"/>
      <sheetName val="LongTerm43"/>
      <sheetName val="LongTerm44"/>
      <sheetName val="LongTerm45"/>
      <sheetName val="LongTerm46"/>
      <sheetName val="LongTerm4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ily Operation"/>
      <sheetName val="Contract DB (Central)"/>
      <sheetName val="Contract DB (West)"/>
      <sheetName val="Contract DB (East)"/>
      <sheetName val="Contract DB (Denver)"/>
      <sheetName val="P&amp;L Report"/>
      <sheetName val="P&amp;L Template"/>
      <sheetName val="Central Position Rpt"/>
      <sheetName val="WestHolst Position Rpt"/>
      <sheetName val="WestAllen Position Rpt"/>
      <sheetName val="Denver Positions"/>
      <sheetName val="West Delta Positions"/>
      <sheetName val="East Postition Rpt"/>
      <sheetName val="Martin"/>
      <sheetName val="LongTerm1"/>
      <sheetName val="LongTerm2"/>
      <sheetName val="LongTerm3"/>
      <sheetName val="LongTerm4"/>
      <sheetName val="LongTerm7"/>
      <sheetName val="LongTerm9"/>
      <sheetName val="LongTerm10"/>
      <sheetName val="LongTerm17"/>
      <sheetName val="LongTerm19"/>
      <sheetName val="LongTerm20"/>
      <sheetName val="LongTerm21"/>
      <sheetName val="LongTerm24"/>
      <sheetName val="LongTerm25"/>
      <sheetName val="LongTerm26"/>
      <sheetName val="LongTerm27"/>
      <sheetName val="LongTerm28"/>
      <sheetName val="LongTerm43"/>
      <sheetName val="LongTerm44"/>
      <sheetName val="LongTerm45"/>
      <sheetName val="LongTerm46"/>
      <sheetName val="LongTerm47"/>
      <sheetName val="LongTerm48"/>
      <sheetName val="LongTerm49"/>
      <sheetName val="LongTerm50"/>
      <sheetName val="LongTerm51"/>
      <sheetName val="LongTerm52"/>
      <sheetName val="LongTerm53"/>
      <sheetName val="LongTerm54"/>
      <sheetName val="LongTerm55"/>
      <sheetName val="LongTerm56"/>
      <sheetName val="LongTerm57"/>
      <sheetName val="LongTerm58"/>
      <sheetName val="Correlations"/>
      <sheetName val="Curves"/>
      <sheetName val="Help"/>
      <sheetName val="Codes"/>
      <sheetName val="Configu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T7">
            <v>0.0338816657723862</v>
          </cell>
        </row>
        <row r="8">
          <cell r="T8">
            <v>0.997541147602236</v>
          </cell>
        </row>
      </sheetData>
      <sheetData sheetId="15">
        <row r="5">
          <cell r="T5">
            <v>284990.191491269</v>
          </cell>
        </row>
        <row r="6">
          <cell r="T6">
            <v>3790317.879943</v>
          </cell>
        </row>
        <row r="8">
          <cell r="Y8">
            <v>12.9421100691982</v>
          </cell>
          <cell r="Z8">
            <v>13</v>
          </cell>
        </row>
      </sheetData>
      <sheetData sheetId="16">
        <row r="7">
          <cell r="T7">
            <v>0.0644528733982686</v>
          </cell>
        </row>
        <row r="8">
          <cell r="T8">
            <v>0.995649050266215</v>
          </cell>
        </row>
      </sheetData>
      <sheetData sheetId="17">
        <row r="7">
          <cell r="T7">
            <v>0.114047204432389</v>
          </cell>
        </row>
        <row r="8">
          <cell r="T8">
            <v>0.994182641432993</v>
          </cell>
        </row>
      </sheetData>
      <sheetData sheetId="18">
        <row r="7">
          <cell r="T7">
            <v>0.0649989750522741</v>
          </cell>
        </row>
        <row r="8">
          <cell r="T8">
            <v>0.994182641432993</v>
          </cell>
        </row>
      </sheetData>
      <sheetData sheetId="19">
        <row r="7">
          <cell r="T7">
            <v>0.0249489421580632</v>
          </cell>
        </row>
        <row r="8">
          <cell r="T8">
            <v>0.997961215850071</v>
          </cell>
        </row>
      </sheetData>
      <sheetData sheetId="20">
        <row r="7">
          <cell r="T7">
            <v>0.106717433416508</v>
          </cell>
        </row>
        <row r="8">
          <cell r="T8">
            <v>0.971578811917877</v>
          </cell>
        </row>
      </sheetData>
      <sheetData sheetId="21">
        <row r="7">
          <cell r="T7">
            <v>0.0419117243544122</v>
          </cell>
        </row>
        <row r="8">
          <cell r="T8">
            <v>0.997593056075677</v>
          </cell>
        </row>
      </sheetData>
      <sheetData sheetId="22">
        <row r="7">
          <cell r="T7">
            <v>0.00622263143563146</v>
          </cell>
        </row>
        <row r="8">
          <cell r="T8">
            <v>0.999775807701608</v>
          </cell>
        </row>
      </sheetData>
      <sheetData sheetId="23">
        <row r="7">
          <cell r="T7">
            <v>0.00491591992757267</v>
          </cell>
        </row>
        <row r="8">
          <cell r="T8">
            <v>0.999822765909387</v>
          </cell>
        </row>
      </sheetData>
      <sheetData sheetId="24">
        <row r="7">
          <cell r="T7">
            <v>0.0465965142296654</v>
          </cell>
        </row>
        <row r="8">
          <cell r="T8">
            <v>0.996947965051343</v>
          </cell>
        </row>
      </sheetData>
      <sheetData sheetId="25">
        <row r="7">
          <cell r="T7">
            <v>0.0667241058789044</v>
          </cell>
        </row>
        <row r="8">
          <cell r="T8">
            <v>0.995538723529323</v>
          </cell>
        </row>
      </sheetData>
      <sheetData sheetId="26">
        <row r="5">
          <cell r="T5">
            <v>112116.327588394</v>
          </cell>
        </row>
        <row r="6">
          <cell r="T6">
            <v>18394174.4543405</v>
          </cell>
        </row>
        <row r="8">
          <cell r="Y8">
            <v>83.8316643093481</v>
          </cell>
          <cell r="Z8">
            <v>84</v>
          </cell>
        </row>
      </sheetData>
      <sheetData sheetId="27">
        <row r="5">
          <cell r="T5">
            <v>76.1886071378193</v>
          </cell>
        </row>
        <row r="6">
          <cell r="T6">
            <v>855392.488034378</v>
          </cell>
        </row>
        <row r="8">
          <cell r="Y8">
            <v>2.99525279021052</v>
          </cell>
          <cell r="Z8">
            <v>3</v>
          </cell>
        </row>
      </sheetData>
      <sheetData sheetId="28">
        <row r="7">
          <cell r="T7">
            <v>0.204520875432088</v>
          </cell>
        </row>
        <row r="8">
          <cell r="T8">
            <v>0.820742583689898</v>
          </cell>
        </row>
      </sheetData>
      <sheetData sheetId="29">
        <row r="7">
          <cell r="T7">
            <v>0.0745994540611334</v>
          </cell>
        </row>
        <row r="8">
          <cell r="T8">
            <v>0.994835506472605</v>
          </cell>
        </row>
      </sheetData>
      <sheetData sheetId="30">
        <row r="7">
          <cell r="T7">
            <v>0.0437926737887321</v>
          </cell>
        </row>
        <row r="8">
          <cell r="T8">
            <v>0.998442613649178</v>
          </cell>
        </row>
      </sheetData>
      <sheetData sheetId="31">
        <row r="7">
          <cell r="T7">
            <v>0.0666428460325985</v>
          </cell>
        </row>
        <row r="8">
          <cell r="T8">
            <v>0.994835506472605</v>
          </cell>
        </row>
      </sheetData>
      <sheetData sheetId="32">
        <row r="7">
          <cell r="T7">
            <v>0.0318799295324578</v>
          </cell>
        </row>
        <row r="8">
          <cell r="T8">
            <v>0.995763825757059</v>
          </cell>
        </row>
      </sheetData>
      <sheetData sheetId="33">
        <row r="7">
          <cell r="T7">
            <v>0.202944304847177</v>
          </cell>
        </row>
        <row r="8">
          <cell r="T8">
            <v>0.878193462816566</v>
          </cell>
        </row>
      </sheetData>
      <sheetData sheetId="34">
        <row r="7">
          <cell r="T7">
            <v>0.202944304847176</v>
          </cell>
        </row>
        <row r="8">
          <cell r="T8">
            <v>0.878193462816566</v>
          </cell>
        </row>
      </sheetData>
      <sheetData sheetId="35"/>
      <sheetData sheetId="36"/>
      <sheetData sheetId="37">
        <row r="5">
          <cell r="T5">
            <v>1911.29854798478</v>
          </cell>
        </row>
        <row r="6">
          <cell r="T6">
            <v>1133331.00876009</v>
          </cell>
        </row>
        <row r="8">
          <cell r="Y8">
            <v>71.9941800320976</v>
          </cell>
          <cell r="Z8">
            <v>72</v>
          </cell>
        </row>
      </sheetData>
      <sheetData sheetId="38">
        <row r="5">
          <cell r="T5">
            <v>3425.12496058164</v>
          </cell>
        </row>
        <row r="6">
          <cell r="T6">
            <v>1355552.77518363</v>
          </cell>
        </row>
        <row r="8">
          <cell r="Y8">
            <v>71.9941800320976</v>
          </cell>
          <cell r="Z8">
            <v>72</v>
          </cell>
        </row>
      </sheetData>
      <sheetData sheetId="39">
        <row r="5">
          <cell r="T5">
            <v>1155.38711649697</v>
          </cell>
        </row>
        <row r="6">
          <cell r="T6">
            <v>659257.907056521</v>
          </cell>
        </row>
        <row r="8">
          <cell r="Y8">
            <v>71.9941800320976</v>
          </cell>
          <cell r="Z8">
            <v>72</v>
          </cell>
        </row>
      </sheetData>
      <sheetData sheetId="40">
        <row r="5">
          <cell r="T5">
            <v>1236.71768362454</v>
          </cell>
        </row>
        <row r="6">
          <cell r="T6">
            <v>621325.269670638</v>
          </cell>
        </row>
        <row r="8">
          <cell r="Y8">
            <v>71.9941800320976</v>
          </cell>
          <cell r="Z8">
            <v>72</v>
          </cell>
        </row>
      </sheetData>
      <sheetData sheetId="41">
        <row r="5">
          <cell r="T5">
            <v>2217.90337882869</v>
          </cell>
        </row>
        <row r="6">
          <cell r="T6">
            <v>742434.717944471</v>
          </cell>
        </row>
        <row r="8">
          <cell r="Y8">
            <v>71.9941800320976</v>
          </cell>
          <cell r="Z8">
            <v>72</v>
          </cell>
        </row>
      </sheetData>
      <sheetData sheetId="42">
        <row r="5">
          <cell r="T5">
            <v>746.455316087952</v>
          </cell>
        </row>
        <row r="6">
          <cell r="T6">
            <v>362143.539247774</v>
          </cell>
        </row>
        <row r="8">
          <cell r="Y8">
            <v>71.9941800320976</v>
          </cell>
          <cell r="Z8">
            <v>72</v>
          </cell>
        </row>
      </sheetData>
      <sheetData sheetId="43">
        <row r="7">
          <cell r="T7">
            <v>0.00184960895621351</v>
          </cell>
        </row>
        <row r="8">
          <cell r="T8">
            <v>0.999951880638384</v>
          </cell>
        </row>
      </sheetData>
      <sheetData sheetId="44">
        <row r="7">
          <cell r="T7">
            <v>0.00232481998784594</v>
          </cell>
        </row>
        <row r="8">
          <cell r="T8">
            <v>0.999951880638384</v>
          </cell>
        </row>
      </sheetData>
      <sheetData sheetId="45">
        <row r="7">
          <cell r="T7">
            <v>0.0979130156360608</v>
          </cell>
        </row>
        <row r="8">
          <cell r="T8">
            <v>0.994410796665846</v>
          </cell>
        </row>
      </sheetData>
      <sheetData sheetId="46"/>
      <sheetData sheetId="47"/>
      <sheetData sheetId="48"/>
      <sheetData sheetId="49"/>
      <sheetData sheetId="50"/>
    </sheetDataSet>
  </externalBook>
</externalLink>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trlProp" Target="../ctrlProps/ctrlProps2.x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
</Relationships>
</file>

<file path=xl/worksheets/_rels/sheet10.xml.rels><?xml version="1.0" encoding="UTF-8"?>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31.xml"/><Relationship Id="rId3" Type="http://schemas.openxmlformats.org/officeDocument/2006/relationships/vmlDrawing" Target="../drawings/vmlDrawing8.vml"/><Relationship Id="rId4" Type="http://schemas.openxmlformats.org/officeDocument/2006/relationships/ctrlProp" Target="../ctrlProps/ctrlProps32.xml"/>
</Relationships>
</file>

<file path=xl/worksheets/_rels/sheet11.xml.rels><?xml version="1.0" encoding="UTF-8"?>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33.xml"/><Relationship Id="rId3" Type="http://schemas.openxmlformats.org/officeDocument/2006/relationships/vmlDrawing" Target="../drawings/vmlDrawing9.vml"/><Relationship Id="rId4" Type="http://schemas.openxmlformats.org/officeDocument/2006/relationships/ctrlProp" Target="../ctrlProps/ctrlProps34.xml"/>
</Relationships>
</file>

<file path=xl/worksheets/_rels/sheet12.xml.rels><?xml version="1.0" encoding="UTF-8"?>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35.xml"/><Relationship Id="rId3" Type="http://schemas.openxmlformats.org/officeDocument/2006/relationships/vmlDrawing" Target="../drawings/vmlDrawing10.vml"/><Relationship Id="rId4" Type="http://schemas.openxmlformats.org/officeDocument/2006/relationships/ctrlProp" Target="../ctrlProps/ctrlProps36.xml"/>
</Relationships>
</file>

<file path=xl/worksheets/_rels/sheet13.xml.rels><?xml version="1.0" encoding="UTF-8"?>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37.xml"/><Relationship Id="rId3" Type="http://schemas.openxmlformats.org/officeDocument/2006/relationships/vmlDrawing" Target="../drawings/vmlDrawing11.vml"/><Relationship Id="rId4" Type="http://schemas.openxmlformats.org/officeDocument/2006/relationships/ctrlProp" Target="../ctrlProps/ctrlProps38.xml"/>
</Relationships>
</file>

<file path=xl/worksheets/_rels/sheet14.xml.rels><?xml version="1.0" encoding="UTF-8"?>
<Relationships xmlns="http://schemas.openxmlformats.org/package/2006/relationships"><Relationship Id="rId1" Type="http://schemas.openxmlformats.org/officeDocument/2006/relationships/comments" Target="../comments14.xml"/><Relationship Id="rId2" Type="http://schemas.openxmlformats.org/officeDocument/2006/relationships/drawing" Target="../drawings/drawing39.xml"/><Relationship Id="rId3" Type="http://schemas.openxmlformats.org/officeDocument/2006/relationships/vmlDrawing" Target="../drawings/vmlDrawing12.vml"/><Relationship Id="rId4" Type="http://schemas.openxmlformats.org/officeDocument/2006/relationships/ctrlProp" Target="../ctrlProps/ctrlProps40.xml"/>
</Relationships>
</file>

<file path=xl/worksheets/_rels/sheet15.xml.rels><?xml version="1.0" encoding="UTF-8"?>
<Relationships xmlns="http://schemas.openxmlformats.org/package/2006/relationships"><Relationship Id="rId1" Type="http://schemas.openxmlformats.org/officeDocument/2006/relationships/comments" Target="../comments15.xml"/><Relationship Id="rId2" Type="http://schemas.openxmlformats.org/officeDocument/2006/relationships/drawing" Target="../drawings/drawing41.xml"/><Relationship Id="rId3" Type="http://schemas.openxmlformats.org/officeDocument/2006/relationships/vmlDrawing" Target="../drawings/vmlDrawing13.vml"/><Relationship Id="rId4" Type="http://schemas.openxmlformats.org/officeDocument/2006/relationships/ctrlProp" Target="../ctrlProps/ctrlProps42.xml"/>
</Relationships>
</file>

<file path=xl/worksheets/_rels/sheet18.xml.rels><?xml version="1.0" encoding="UTF-8"?>
<Relationships xmlns="http://schemas.openxmlformats.org/package/2006/relationships"><Relationship Id="rId1" Type="http://schemas.openxmlformats.org/officeDocument/2006/relationships/comments" Target="../comments18.xml"/><Relationship Id="rId2" Type="http://schemas.openxmlformats.org/officeDocument/2006/relationships/drawing" Target="../drawings/drawing43.xml"/><Relationship Id="rId3" Type="http://schemas.openxmlformats.org/officeDocument/2006/relationships/vmlDrawing" Target="../drawings/vmlDrawing14.vml"/><Relationship Id="rId4" Type="http://schemas.openxmlformats.org/officeDocument/2006/relationships/ctrlProp" Target="../ctrlProps/ctrlProps44.xml"/>
</Relationships>
</file>

<file path=xl/worksheets/_rels/sheet19.xml.rels><?xml version="1.0" encoding="UTF-8"?>
<Relationships xmlns="http://schemas.openxmlformats.org/package/2006/relationships"><Relationship Id="rId1" Type="http://schemas.openxmlformats.org/officeDocument/2006/relationships/comments" Target="../comments19.xml"/><Relationship Id="rId2" Type="http://schemas.openxmlformats.org/officeDocument/2006/relationships/drawing" Target="../drawings/drawing45.xml"/><Relationship Id="rId3" Type="http://schemas.openxmlformats.org/officeDocument/2006/relationships/vmlDrawing" Target="../drawings/vmlDrawing15.vml"/><Relationship Id="rId4" Type="http://schemas.openxmlformats.org/officeDocument/2006/relationships/ctrlProp" Target="../ctrlProps/ctrlProps46.xml"/>
</Relationships>
</file>

<file path=xl/worksheets/_rels/sheet2.xml.rels><?xml version="1.0" encoding="UTF-8"?>
<Relationships xmlns="http://schemas.openxmlformats.org/package/2006/relationships"><Relationship Id="rId1" Type="http://schemas.openxmlformats.org/officeDocument/2006/relationships/drawing" Target="../drawings/drawing8.xml"/><Relationship Id="rId2" Type="http://schemas.openxmlformats.org/officeDocument/2006/relationships/vmlDrawing" Target="../drawings/vmlDrawing2.vml"/><Relationship Id="rId3" Type="http://schemas.openxmlformats.org/officeDocument/2006/relationships/ctrlProp" Target="../ctrlProps/ctrlProps9.xml"/><Relationship Id="rId4" Type="http://schemas.openxmlformats.org/officeDocument/2006/relationships/ctrlProp" Target="../ctrlProps/ctrlProps10.xml"/><Relationship Id="rId5" Type="http://schemas.openxmlformats.org/officeDocument/2006/relationships/ctrlProp" Target="../ctrlProps/ctrlProps11.xml"/><Relationship Id="rId6" Type="http://schemas.openxmlformats.org/officeDocument/2006/relationships/ctrlProp" Target="../ctrlProps/ctrlProps12.xml"/>
</Relationships>
</file>

<file path=xl/worksheets/_rels/sheet21.xml.rels><?xml version="1.0" encoding="UTF-8"?>
<Relationships xmlns="http://schemas.openxmlformats.org/package/2006/relationships"><Relationship Id="rId1" Type="http://schemas.openxmlformats.org/officeDocument/2006/relationships/comments" Target="../comments21.xml"/><Relationship Id="rId2" Type="http://schemas.openxmlformats.org/officeDocument/2006/relationships/drawing" Target="../drawings/drawing47.xml"/><Relationship Id="rId3" Type="http://schemas.openxmlformats.org/officeDocument/2006/relationships/vmlDrawing" Target="../drawings/vmlDrawing16.vml"/><Relationship Id="rId4" Type="http://schemas.openxmlformats.org/officeDocument/2006/relationships/ctrlProp" Target="../ctrlProps/ctrlProps48.xml"/><Relationship Id="rId5" Type="http://schemas.openxmlformats.org/officeDocument/2006/relationships/ctrlProp" Target="../ctrlProps/ctrlProps49.xml"/>
</Relationships>
</file>

<file path=xl/worksheets/_rels/sheet22.xml.rels><?xml version="1.0" encoding="UTF-8"?>
<Relationships xmlns="http://schemas.openxmlformats.org/package/2006/relationships"><Relationship Id="rId1" Type="http://schemas.openxmlformats.org/officeDocument/2006/relationships/comments" Target="../comments22.xml"/><Relationship Id="rId2" Type="http://schemas.openxmlformats.org/officeDocument/2006/relationships/drawing" Target="../drawings/drawing50.xml"/><Relationship Id="rId3" Type="http://schemas.openxmlformats.org/officeDocument/2006/relationships/vmlDrawing" Target="../drawings/vmlDrawing17.vml"/><Relationship Id="rId4" Type="http://schemas.openxmlformats.org/officeDocument/2006/relationships/ctrlProp" Target="../ctrlProps/ctrlProps51.xml"/><Relationship Id="rId5" Type="http://schemas.openxmlformats.org/officeDocument/2006/relationships/ctrlProp" Target="../ctrlProps/ctrlProps52.xml"/>
</Relationships>
</file>

<file path=xl/worksheets/_rels/sheet23.xml.rels><?xml version="1.0" encoding="UTF-8"?>
<Relationships xmlns="http://schemas.openxmlformats.org/package/2006/relationships"><Relationship Id="rId1" Type="http://schemas.openxmlformats.org/officeDocument/2006/relationships/comments" Target="../comments23.xml"/><Relationship Id="rId2" Type="http://schemas.openxmlformats.org/officeDocument/2006/relationships/drawing" Target="../drawings/drawing53.xml"/><Relationship Id="rId3" Type="http://schemas.openxmlformats.org/officeDocument/2006/relationships/vmlDrawing" Target="../drawings/vmlDrawing18.vml"/><Relationship Id="rId4" Type="http://schemas.openxmlformats.org/officeDocument/2006/relationships/ctrlProp" Target="../ctrlProps/ctrlProps54.xml"/><Relationship Id="rId5" Type="http://schemas.openxmlformats.org/officeDocument/2006/relationships/ctrlProp" Target="../ctrlProps/ctrlProps55.xml"/>
</Relationships>
</file>

<file path=xl/worksheets/_rels/sheet24.xml.rels><?xml version="1.0" encoding="UTF-8"?>
<Relationships xmlns="http://schemas.openxmlformats.org/package/2006/relationships"><Relationship Id="rId1" Type="http://schemas.openxmlformats.org/officeDocument/2006/relationships/comments" Target="../comments24.xml"/><Relationship Id="rId2" Type="http://schemas.openxmlformats.org/officeDocument/2006/relationships/drawing" Target="../drawings/drawing56.xml"/><Relationship Id="rId3" Type="http://schemas.openxmlformats.org/officeDocument/2006/relationships/vmlDrawing" Target="../drawings/vmlDrawing19.vml"/><Relationship Id="rId4" Type="http://schemas.openxmlformats.org/officeDocument/2006/relationships/ctrlProp" Target="../ctrlProps/ctrlProps57.xml"/><Relationship Id="rId5" Type="http://schemas.openxmlformats.org/officeDocument/2006/relationships/ctrlProp" Target="../ctrlProps/ctrlProps58.xml"/>
</Relationships>
</file>

<file path=xl/worksheets/_rels/sheet25.xml.rels><?xml version="1.0" encoding="UTF-8"?>
<Relationships xmlns="http://schemas.openxmlformats.org/package/2006/relationships"><Relationship Id="rId1" Type="http://schemas.openxmlformats.org/officeDocument/2006/relationships/comments" Target="../comments25.xml"/><Relationship Id="rId2" Type="http://schemas.openxmlformats.org/officeDocument/2006/relationships/drawing" Target="../drawings/drawing59.xml"/><Relationship Id="rId3" Type="http://schemas.openxmlformats.org/officeDocument/2006/relationships/vmlDrawing" Target="../drawings/vmlDrawing20.vml"/><Relationship Id="rId4" Type="http://schemas.openxmlformats.org/officeDocument/2006/relationships/ctrlProp" Target="../ctrlProps/ctrlProps60.xml"/><Relationship Id="rId5" Type="http://schemas.openxmlformats.org/officeDocument/2006/relationships/ctrlProp" Target="../ctrlProps/ctrlProps61.xml"/>
</Relationships>
</file>

<file path=xl/worksheets/_rels/sheet26.xml.rels><?xml version="1.0" encoding="UTF-8"?>
<Relationships xmlns="http://schemas.openxmlformats.org/package/2006/relationships"><Relationship Id="rId1" Type="http://schemas.openxmlformats.org/officeDocument/2006/relationships/comments" Target="../comments26.xml"/><Relationship Id="rId2" Type="http://schemas.openxmlformats.org/officeDocument/2006/relationships/drawing" Target="../drawings/drawing62.xml"/><Relationship Id="rId3" Type="http://schemas.openxmlformats.org/officeDocument/2006/relationships/vmlDrawing" Target="../drawings/vmlDrawing21.vml"/><Relationship Id="rId4" Type="http://schemas.openxmlformats.org/officeDocument/2006/relationships/ctrlProp" Target="../ctrlProps/ctrlProps63.xml"/><Relationship Id="rId5" Type="http://schemas.openxmlformats.org/officeDocument/2006/relationships/ctrlProp" Target="../ctrlProps/ctrlProps64.xml"/>
</Relationships>
</file>

<file path=xl/worksheets/_rels/sheet27.xml.rels><?xml version="1.0" encoding="UTF-8"?>
<Relationships xmlns="http://schemas.openxmlformats.org/package/2006/relationships"><Relationship Id="rId1" Type="http://schemas.openxmlformats.org/officeDocument/2006/relationships/comments" Target="../comments27.xml"/><Relationship Id="rId2" Type="http://schemas.openxmlformats.org/officeDocument/2006/relationships/drawing" Target="../drawings/drawing65.xml"/><Relationship Id="rId3" Type="http://schemas.openxmlformats.org/officeDocument/2006/relationships/vmlDrawing" Target="../drawings/vmlDrawing22.vml"/><Relationship Id="rId4" Type="http://schemas.openxmlformats.org/officeDocument/2006/relationships/ctrlProp" Target="../ctrlProps/ctrlProps66.xml"/><Relationship Id="rId5" Type="http://schemas.openxmlformats.org/officeDocument/2006/relationships/ctrlProp" Target="../ctrlProps/ctrlProps67.xml"/>
</Relationships>
</file>

<file path=xl/worksheets/_rels/sheet28.xml.rels><?xml version="1.0" encoding="UTF-8"?>
<Relationships xmlns="http://schemas.openxmlformats.org/package/2006/relationships"><Relationship Id="rId1" Type="http://schemas.openxmlformats.org/officeDocument/2006/relationships/comments" Target="../comments28.xml"/><Relationship Id="rId2" Type="http://schemas.openxmlformats.org/officeDocument/2006/relationships/drawing" Target="../drawings/drawing68.xml"/><Relationship Id="rId3" Type="http://schemas.openxmlformats.org/officeDocument/2006/relationships/vmlDrawing" Target="../drawings/vmlDrawing23.vml"/><Relationship Id="rId4" Type="http://schemas.openxmlformats.org/officeDocument/2006/relationships/ctrlProp" Target="../ctrlProps/ctrlProps69.xml"/><Relationship Id="rId5" Type="http://schemas.openxmlformats.org/officeDocument/2006/relationships/ctrlProp" Target="../ctrlProps/ctrlProps70.xml"/>
</Relationships>
</file>

<file path=xl/worksheets/_rels/sheet29.xml.rels><?xml version="1.0" encoding="UTF-8"?>
<Relationships xmlns="http://schemas.openxmlformats.org/package/2006/relationships"><Relationship Id="rId1" Type="http://schemas.openxmlformats.org/officeDocument/2006/relationships/comments" Target="../comments29.xml"/><Relationship Id="rId2" Type="http://schemas.openxmlformats.org/officeDocument/2006/relationships/drawing" Target="../drawings/drawing71.xml"/><Relationship Id="rId3" Type="http://schemas.openxmlformats.org/officeDocument/2006/relationships/vmlDrawing" Target="../drawings/vmlDrawing24.vml"/><Relationship Id="rId4" Type="http://schemas.openxmlformats.org/officeDocument/2006/relationships/ctrlProp" Target="../ctrlProps/ctrlProps72.xml"/><Relationship Id="rId5" Type="http://schemas.openxmlformats.org/officeDocument/2006/relationships/ctrlProp" Target="../ctrlProps/ctrlProps73.xml"/>
</Relationships>
</file>

<file path=xl/worksheets/_rels/sheet3.xml.rels><?xml version="1.0" encoding="UTF-8"?>
<Relationships xmlns="http://schemas.openxmlformats.org/package/2006/relationships"><Relationship Id="rId1" Type="http://schemas.openxmlformats.org/officeDocument/2006/relationships/drawing" Target="../drawings/drawing13.xml"/><Relationship Id="rId2" Type="http://schemas.openxmlformats.org/officeDocument/2006/relationships/vmlDrawing" Target="../drawings/vmlDrawing3.vml"/><Relationship Id="rId3" Type="http://schemas.openxmlformats.org/officeDocument/2006/relationships/ctrlProp" Target="../ctrlProps/ctrlProps14.xml"/><Relationship Id="rId4" Type="http://schemas.openxmlformats.org/officeDocument/2006/relationships/ctrlProp" Target="../ctrlProps/ctrlProps15.xml"/><Relationship Id="rId5" Type="http://schemas.openxmlformats.org/officeDocument/2006/relationships/ctrlProp" Target="../ctrlProps/ctrlProps16.xml"/><Relationship Id="rId6" Type="http://schemas.openxmlformats.org/officeDocument/2006/relationships/ctrlProp" Target="../ctrlProps/ctrlProps17.xml"/>
</Relationships>
</file>

<file path=xl/worksheets/_rels/sheet30.xml.rels><?xml version="1.0" encoding="UTF-8"?>
<Relationships xmlns="http://schemas.openxmlformats.org/package/2006/relationships"><Relationship Id="rId1" Type="http://schemas.openxmlformats.org/officeDocument/2006/relationships/comments" Target="../comments30.xml"/><Relationship Id="rId2" Type="http://schemas.openxmlformats.org/officeDocument/2006/relationships/drawing" Target="../drawings/drawing74.xml"/><Relationship Id="rId3" Type="http://schemas.openxmlformats.org/officeDocument/2006/relationships/vmlDrawing" Target="../drawings/vmlDrawing25.vml"/><Relationship Id="rId4" Type="http://schemas.openxmlformats.org/officeDocument/2006/relationships/ctrlProp" Target="../ctrlProps/ctrlProps75.xml"/><Relationship Id="rId5" Type="http://schemas.openxmlformats.org/officeDocument/2006/relationships/ctrlProp" Target="../ctrlProps/ctrlProps76.xml"/>
</Relationships>
</file>

<file path=xl/worksheets/_rels/sheet31.xml.rels><?xml version="1.0" encoding="UTF-8"?>
<Relationships xmlns="http://schemas.openxmlformats.org/package/2006/relationships"><Relationship Id="rId1" Type="http://schemas.openxmlformats.org/officeDocument/2006/relationships/comments" Target="../comments31.xml"/><Relationship Id="rId2" Type="http://schemas.openxmlformats.org/officeDocument/2006/relationships/drawing" Target="../drawings/drawing77.xml"/><Relationship Id="rId3" Type="http://schemas.openxmlformats.org/officeDocument/2006/relationships/vmlDrawing" Target="../drawings/vmlDrawing26.vml"/><Relationship Id="rId4" Type="http://schemas.openxmlformats.org/officeDocument/2006/relationships/ctrlProp" Target="../ctrlProps/ctrlProps78.xml"/><Relationship Id="rId5" Type="http://schemas.openxmlformats.org/officeDocument/2006/relationships/ctrlProp" Target="../ctrlProps/ctrlProps79.xml"/>
</Relationships>
</file>

<file path=xl/worksheets/_rels/sheet32.xml.rels><?xml version="1.0" encoding="UTF-8"?>
<Relationships xmlns="http://schemas.openxmlformats.org/package/2006/relationships"><Relationship Id="rId1" Type="http://schemas.openxmlformats.org/officeDocument/2006/relationships/comments" Target="../comments32.xml"/><Relationship Id="rId2" Type="http://schemas.openxmlformats.org/officeDocument/2006/relationships/drawing" Target="../drawings/drawing80.xml"/><Relationship Id="rId3" Type="http://schemas.openxmlformats.org/officeDocument/2006/relationships/vmlDrawing" Target="../drawings/vmlDrawing27.vml"/><Relationship Id="rId4" Type="http://schemas.openxmlformats.org/officeDocument/2006/relationships/ctrlProp" Target="../ctrlProps/ctrlProps81.xml"/><Relationship Id="rId5" Type="http://schemas.openxmlformats.org/officeDocument/2006/relationships/ctrlProp" Target="../ctrlProps/ctrlProps82.xml"/>
</Relationships>
</file>

<file path=xl/worksheets/_rels/sheet33.xml.rels><?xml version="1.0" encoding="UTF-8"?>
<Relationships xmlns="http://schemas.openxmlformats.org/package/2006/relationships"><Relationship Id="rId1" Type="http://schemas.openxmlformats.org/officeDocument/2006/relationships/comments" Target="../comments33.xml"/><Relationship Id="rId2" Type="http://schemas.openxmlformats.org/officeDocument/2006/relationships/drawing" Target="../drawings/drawing83.xml"/><Relationship Id="rId3" Type="http://schemas.openxmlformats.org/officeDocument/2006/relationships/vmlDrawing" Target="../drawings/vmlDrawing28.vml"/><Relationship Id="rId4" Type="http://schemas.openxmlformats.org/officeDocument/2006/relationships/ctrlProp" Target="../ctrlProps/ctrlProps84.xml"/><Relationship Id="rId5" Type="http://schemas.openxmlformats.org/officeDocument/2006/relationships/ctrlProp" Target="../ctrlProps/ctrlProps85.xml"/>
</Relationships>
</file>

<file path=xl/worksheets/_rels/sheet34.xml.rels><?xml version="1.0" encoding="UTF-8"?>
<Relationships xmlns="http://schemas.openxmlformats.org/package/2006/relationships"><Relationship Id="rId1" Type="http://schemas.openxmlformats.org/officeDocument/2006/relationships/comments" Target="../comments34.xml"/><Relationship Id="rId2" Type="http://schemas.openxmlformats.org/officeDocument/2006/relationships/drawing" Target="../drawings/drawing86.xml"/><Relationship Id="rId3" Type="http://schemas.openxmlformats.org/officeDocument/2006/relationships/vmlDrawing" Target="../drawings/vmlDrawing29.vml"/><Relationship Id="rId4" Type="http://schemas.openxmlformats.org/officeDocument/2006/relationships/ctrlProp" Target="../ctrlProps/ctrlProps87.xml"/><Relationship Id="rId5" Type="http://schemas.openxmlformats.org/officeDocument/2006/relationships/ctrlProp" Target="../ctrlProps/ctrlProps88.xml"/>
</Relationships>
</file>

<file path=xl/worksheets/_rels/sheet35.xml.rels><?xml version="1.0" encoding="UTF-8"?>
<Relationships xmlns="http://schemas.openxmlformats.org/package/2006/relationships"><Relationship Id="rId1" Type="http://schemas.openxmlformats.org/officeDocument/2006/relationships/comments" Target="../comments35.xml"/><Relationship Id="rId2" Type="http://schemas.openxmlformats.org/officeDocument/2006/relationships/drawing" Target="../drawings/drawing89.xml"/><Relationship Id="rId3" Type="http://schemas.openxmlformats.org/officeDocument/2006/relationships/vmlDrawing" Target="../drawings/vmlDrawing30.vml"/><Relationship Id="rId4" Type="http://schemas.openxmlformats.org/officeDocument/2006/relationships/ctrlProp" Target="../ctrlProps/ctrlProps90.xml"/><Relationship Id="rId5" Type="http://schemas.openxmlformats.org/officeDocument/2006/relationships/ctrlProp" Target="../ctrlProps/ctrlProps91.xml"/>
</Relationships>
</file>

<file path=xl/worksheets/_rels/sheet36.xml.rels><?xml version="1.0" encoding="UTF-8"?>
<Relationships xmlns="http://schemas.openxmlformats.org/package/2006/relationships"><Relationship Id="rId1" Type="http://schemas.openxmlformats.org/officeDocument/2006/relationships/comments" Target="../comments36.xml"/><Relationship Id="rId2" Type="http://schemas.openxmlformats.org/officeDocument/2006/relationships/drawing" Target="../drawings/drawing92.xml"/><Relationship Id="rId3" Type="http://schemas.openxmlformats.org/officeDocument/2006/relationships/vmlDrawing" Target="../drawings/vmlDrawing31.vml"/><Relationship Id="rId4" Type="http://schemas.openxmlformats.org/officeDocument/2006/relationships/ctrlProp" Target="../ctrlProps/ctrlProps93.xml"/><Relationship Id="rId5" Type="http://schemas.openxmlformats.org/officeDocument/2006/relationships/ctrlProp" Target="../ctrlProps/ctrlProps94.xml"/>
</Relationships>
</file>

<file path=xl/worksheets/_rels/sheet37.xml.rels><?xml version="1.0" encoding="UTF-8"?>
<Relationships xmlns="http://schemas.openxmlformats.org/package/2006/relationships"><Relationship Id="rId1" Type="http://schemas.openxmlformats.org/officeDocument/2006/relationships/comments" Target="../comments37.xml"/><Relationship Id="rId2" Type="http://schemas.openxmlformats.org/officeDocument/2006/relationships/drawing" Target="../drawings/drawing95.xml"/><Relationship Id="rId3" Type="http://schemas.openxmlformats.org/officeDocument/2006/relationships/vmlDrawing" Target="../drawings/vmlDrawing32.vml"/><Relationship Id="rId4" Type="http://schemas.openxmlformats.org/officeDocument/2006/relationships/ctrlProp" Target="../ctrlProps/ctrlProps96.xml"/><Relationship Id="rId5" Type="http://schemas.openxmlformats.org/officeDocument/2006/relationships/ctrlProp" Target="../ctrlProps/ctrlProps97.xml"/>
</Relationships>
</file>

<file path=xl/worksheets/_rels/sheet38.xml.rels><?xml version="1.0" encoding="UTF-8"?>
<Relationships xmlns="http://schemas.openxmlformats.org/package/2006/relationships"><Relationship Id="rId1" Type="http://schemas.openxmlformats.org/officeDocument/2006/relationships/comments" Target="../comments38.xml"/><Relationship Id="rId2" Type="http://schemas.openxmlformats.org/officeDocument/2006/relationships/drawing" Target="../drawings/drawing98.xml"/><Relationship Id="rId3" Type="http://schemas.openxmlformats.org/officeDocument/2006/relationships/vmlDrawing" Target="../drawings/vmlDrawing33.vml"/><Relationship Id="rId4" Type="http://schemas.openxmlformats.org/officeDocument/2006/relationships/ctrlProp" Target="../ctrlProps/ctrlProps99.xml"/><Relationship Id="rId5" Type="http://schemas.openxmlformats.org/officeDocument/2006/relationships/ctrlProp" Target="../ctrlProps/ctrlProps100.xml"/>
</Relationships>
</file>

<file path=xl/worksheets/_rels/sheet39.xml.rels><?xml version="1.0" encoding="UTF-8"?>
<Relationships xmlns="http://schemas.openxmlformats.org/package/2006/relationships"><Relationship Id="rId1" Type="http://schemas.openxmlformats.org/officeDocument/2006/relationships/comments" Target="../comments39.xml"/><Relationship Id="rId2" Type="http://schemas.openxmlformats.org/officeDocument/2006/relationships/drawing" Target="../drawings/drawing101.xml"/><Relationship Id="rId3" Type="http://schemas.openxmlformats.org/officeDocument/2006/relationships/vmlDrawing" Target="../drawings/vmlDrawing34.vml"/><Relationship Id="rId4" Type="http://schemas.openxmlformats.org/officeDocument/2006/relationships/ctrlProp" Target="../ctrlProps/ctrlProps102.xml"/><Relationship Id="rId5" Type="http://schemas.openxmlformats.org/officeDocument/2006/relationships/ctrlProp" Target="../ctrlProps/ctrlProps103.xml"/>
</Relationships>
</file>

<file path=xl/worksheets/_rels/sheet4.xml.rels><?xml version="1.0" encoding="UTF-8"?>
<Relationships xmlns="http://schemas.openxmlformats.org/package/2006/relationships"><Relationship Id="rId1" Type="http://schemas.openxmlformats.org/officeDocument/2006/relationships/drawing" Target="../drawings/drawing18.xml"/><Relationship Id="rId2" Type="http://schemas.openxmlformats.org/officeDocument/2006/relationships/vmlDrawing" Target="../drawings/vmlDrawing4.vml"/><Relationship Id="rId3" Type="http://schemas.openxmlformats.org/officeDocument/2006/relationships/ctrlProp" Target="../ctrlProps/ctrlProps19.xml"/><Relationship Id="rId4" Type="http://schemas.openxmlformats.org/officeDocument/2006/relationships/ctrlProp" Target="../ctrlProps/ctrlProps20.xml"/><Relationship Id="rId5" Type="http://schemas.openxmlformats.org/officeDocument/2006/relationships/ctrlProp" Target="../ctrlProps/ctrlProps21.xml"/><Relationship Id="rId6" Type="http://schemas.openxmlformats.org/officeDocument/2006/relationships/ctrlProp" Target="../ctrlProps/ctrlProps22.xml"/>
</Relationships>
</file>

<file path=xl/worksheets/_rels/sheet40.xml.rels><?xml version="1.0" encoding="UTF-8"?>
<Relationships xmlns="http://schemas.openxmlformats.org/package/2006/relationships"><Relationship Id="rId1" Type="http://schemas.openxmlformats.org/officeDocument/2006/relationships/comments" Target="../comments40.xml"/><Relationship Id="rId2" Type="http://schemas.openxmlformats.org/officeDocument/2006/relationships/drawing" Target="../drawings/drawing104.xml"/><Relationship Id="rId3" Type="http://schemas.openxmlformats.org/officeDocument/2006/relationships/vmlDrawing" Target="../drawings/vmlDrawing35.vml"/><Relationship Id="rId4" Type="http://schemas.openxmlformats.org/officeDocument/2006/relationships/ctrlProp" Target="../ctrlProps/ctrlProps105.xml"/><Relationship Id="rId5" Type="http://schemas.openxmlformats.org/officeDocument/2006/relationships/ctrlProp" Target="../ctrlProps/ctrlProps106.xml"/>
</Relationships>
</file>

<file path=xl/worksheets/_rels/sheet41.xml.rels><?xml version="1.0" encoding="UTF-8"?>
<Relationships xmlns="http://schemas.openxmlformats.org/package/2006/relationships"><Relationship Id="rId1" Type="http://schemas.openxmlformats.org/officeDocument/2006/relationships/comments" Target="../comments41.xml"/><Relationship Id="rId2" Type="http://schemas.openxmlformats.org/officeDocument/2006/relationships/drawing" Target="../drawings/drawing107.xml"/><Relationship Id="rId3" Type="http://schemas.openxmlformats.org/officeDocument/2006/relationships/vmlDrawing" Target="../drawings/vmlDrawing36.vml"/><Relationship Id="rId4" Type="http://schemas.openxmlformats.org/officeDocument/2006/relationships/ctrlProp" Target="../ctrlProps/ctrlProps108.xml"/><Relationship Id="rId5" Type="http://schemas.openxmlformats.org/officeDocument/2006/relationships/ctrlProp" Target="../ctrlProps/ctrlProps109.xml"/>
</Relationships>
</file>

<file path=xl/worksheets/_rels/sheet42.xml.rels><?xml version="1.0" encoding="UTF-8"?>
<Relationships xmlns="http://schemas.openxmlformats.org/package/2006/relationships"><Relationship Id="rId1" Type="http://schemas.openxmlformats.org/officeDocument/2006/relationships/comments" Target="../comments42.xml"/><Relationship Id="rId2" Type="http://schemas.openxmlformats.org/officeDocument/2006/relationships/drawing" Target="../drawings/drawing110.xml"/><Relationship Id="rId3" Type="http://schemas.openxmlformats.org/officeDocument/2006/relationships/vmlDrawing" Target="../drawings/vmlDrawing37.vml"/><Relationship Id="rId4" Type="http://schemas.openxmlformats.org/officeDocument/2006/relationships/ctrlProp" Target="../ctrlProps/ctrlProps111.xml"/><Relationship Id="rId5" Type="http://schemas.openxmlformats.org/officeDocument/2006/relationships/ctrlProp" Target="../ctrlProps/ctrlProps112.xml"/>
</Relationships>
</file>

<file path=xl/worksheets/_rels/sheet43.xml.rels><?xml version="1.0" encoding="UTF-8"?>
<Relationships xmlns="http://schemas.openxmlformats.org/package/2006/relationships"><Relationship Id="rId1" Type="http://schemas.openxmlformats.org/officeDocument/2006/relationships/comments" Target="../comments43.xml"/><Relationship Id="rId2" Type="http://schemas.openxmlformats.org/officeDocument/2006/relationships/drawing" Target="../drawings/drawing113.xml"/><Relationship Id="rId3" Type="http://schemas.openxmlformats.org/officeDocument/2006/relationships/vmlDrawing" Target="../drawings/vmlDrawing38.vml"/><Relationship Id="rId4" Type="http://schemas.openxmlformats.org/officeDocument/2006/relationships/ctrlProp" Target="../ctrlProps/ctrlProps114.xml"/><Relationship Id="rId5" Type="http://schemas.openxmlformats.org/officeDocument/2006/relationships/ctrlProp" Target="../ctrlProps/ctrlProps115.xml"/>
</Relationships>
</file>

<file path=xl/worksheets/_rels/sheet44.xml.rels><?xml version="1.0" encoding="UTF-8"?>
<Relationships xmlns="http://schemas.openxmlformats.org/package/2006/relationships"><Relationship Id="rId1" Type="http://schemas.openxmlformats.org/officeDocument/2006/relationships/comments" Target="../comments44.xml"/><Relationship Id="rId2" Type="http://schemas.openxmlformats.org/officeDocument/2006/relationships/drawing" Target="../drawings/drawing116.xml"/><Relationship Id="rId3" Type="http://schemas.openxmlformats.org/officeDocument/2006/relationships/vmlDrawing" Target="../drawings/vmlDrawing39.vml"/><Relationship Id="rId4" Type="http://schemas.openxmlformats.org/officeDocument/2006/relationships/ctrlProp" Target="../ctrlProps/ctrlProps117.xml"/><Relationship Id="rId5" Type="http://schemas.openxmlformats.org/officeDocument/2006/relationships/ctrlProp" Target="../ctrlProps/ctrlProps118.xml"/>
</Relationships>
</file>

<file path=xl/worksheets/_rels/sheet45.xml.rels><?xml version="1.0" encoding="UTF-8"?>
<Relationships xmlns="http://schemas.openxmlformats.org/package/2006/relationships"><Relationship Id="rId1" Type="http://schemas.openxmlformats.org/officeDocument/2006/relationships/comments" Target="../comments45.xml"/><Relationship Id="rId2" Type="http://schemas.openxmlformats.org/officeDocument/2006/relationships/drawing" Target="../drawings/drawing119.xml"/><Relationship Id="rId3" Type="http://schemas.openxmlformats.org/officeDocument/2006/relationships/vmlDrawing" Target="../drawings/vmlDrawing40.vml"/><Relationship Id="rId4" Type="http://schemas.openxmlformats.org/officeDocument/2006/relationships/ctrlProp" Target="../ctrlProps/ctrlProps120.xml"/><Relationship Id="rId5" Type="http://schemas.openxmlformats.org/officeDocument/2006/relationships/ctrlProp" Target="../ctrlProps/ctrlProps121.xml"/>
</Relationships>
</file>

<file path=xl/worksheets/_rels/sheet46.xml.rels><?xml version="1.0" encoding="UTF-8"?>
<Relationships xmlns="http://schemas.openxmlformats.org/package/2006/relationships"><Relationship Id="rId1" Type="http://schemas.openxmlformats.org/officeDocument/2006/relationships/comments" Target="../comments46.xml"/><Relationship Id="rId2" Type="http://schemas.openxmlformats.org/officeDocument/2006/relationships/drawing" Target="../drawings/drawing122.xml"/><Relationship Id="rId3" Type="http://schemas.openxmlformats.org/officeDocument/2006/relationships/vmlDrawing" Target="../drawings/vmlDrawing41.vml"/><Relationship Id="rId4" Type="http://schemas.openxmlformats.org/officeDocument/2006/relationships/ctrlProp" Target="../ctrlProps/ctrlProps123.xml"/><Relationship Id="rId5" Type="http://schemas.openxmlformats.org/officeDocument/2006/relationships/ctrlProp" Target="../ctrlProps/ctrlProps124.xml"/>
</Relationships>
</file>

<file path=xl/worksheets/_rels/sheet47.xml.rels><?xml version="1.0" encoding="UTF-8"?>
<Relationships xmlns="http://schemas.openxmlformats.org/package/2006/relationships"><Relationship Id="rId1" Type="http://schemas.openxmlformats.org/officeDocument/2006/relationships/comments" Target="../comments47.xml"/><Relationship Id="rId2" Type="http://schemas.openxmlformats.org/officeDocument/2006/relationships/drawing" Target="../drawings/drawing125.xml"/><Relationship Id="rId3" Type="http://schemas.openxmlformats.org/officeDocument/2006/relationships/vmlDrawing" Target="../drawings/vmlDrawing42.vml"/><Relationship Id="rId4" Type="http://schemas.openxmlformats.org/officeDocument/2006/relationships/ctrlProp" Target="../ctrlProps/ctrlProps126.xml"/><Relationship Id="rId5" Type="http://schemas.openxmlformats.org/officeDocument/2006/relationships/ctrlProp" Target="../ctrlProps/ctrlProps127.xml"/>
</Relationships>
</file>

<file path=xl/worksheets/_rels/sheet48.xml.rels><?xml version="1.0" encoding="UTF-8"?>
<Relationships xmlns="http://schemas.openxmlformats.org/package/2006/relationships"><Relationship Id="rId1" Type="http://schemas.openxmlformats.org/officeDocument/2006/relationships/comments" Target="../comments48.xml"/><Relationship Id="rId2" Type="http://schemas.openxmlformats.org/officeDocument/2006/relationships/drawing" Target="../drawings/drawing128.xml"/><Relationship Id="rId3" Type="http://schemas.openxmlformats.org/officeDocument/2006/relationships/vmlDrawing" Target="../drawings/vmlDrawing43.vml"/><Relationship Id="rId4" Type="http://schemas.openxmlformats.org/officeDocument/2006/relationships/ctrlProp" Target="../ctrlProps/ctrlProps129.xml"/><Relationship Id="rId5" Type="http://schemas.openxmlformats.org/officeDocument/2006/relationships/ctrlProp" Target="../ctrlProps/ctrlProps130.xml"/>
</Relationships>
</file>

<file path=xl/worksheets/_rels/sheet49.xml.rels><?xml version="1.0" encoding="UTF-8"?>
<Relationships xmlns="http://schemas.openxmlformats.org/package/2006/relationships"><Relationship Id="rId1" Type="http://schemas.openxmlformats.org/officeDocument/2006/relationships/comments" Target="../comments49.xml"/><Relationship Id="rId2" Type="http://schemas.openxmlformats.org/officeDocument/2006/relationships/drawing" Target="../drawings/drawing131.xml"/><Relationship Id="rId3" Type="http://schemas.openxmlformats.org/officeDocument/2006/relationships/vmlDrawing" Target="../drawings/vmlDrawing44.vml"/><Relationship Id="rId4" Type="http://schemas.openxmlformats.org/officeDocument/2006/relationships/ctrlProp" Target="../ctrlProps/ctrlProps132.xml"/><Relationship Id="rId5" Type="http://schemas.openxmlformats.org/officeDocument/2006/relationships/ctrlProp" Target="../ctrlProps/ctrlProps133.xml"/>
</Relationships>
</file>

<file path=xl/worksheets/_rels/sheet5.xml.rels><?xml version="1.0" encoding="UTF-8"?>
<Relationships xmlns="http://schemas.openxmlformats.org/package/2006/relationships"><Relationship Id="rId1" Type="http://schemas.openxmlformats.org/officeDocument/2006/relationships/drawing" Target="../drawings/drawing23.xml"/><Relationship Id="rId2" Type="http://schemas.openxmlformats.org/officeDocument/2006/relationships/vmlDrawing" Target="../drawings/vmlDrawing5.vml"/><Relationship Id="rId3" Type="http://schemas.openxmlformats.org/officeDocument/2006/relationships/ctrlProp" Target="../ctrlProps/ctrlProps24.xml"/><Relationship Id="rId4" Type="http://schemas.openxmlformats.org/officeDocument/2006/relationships/ctrlProp" Target="../ctrlProps/ctrlProps25.xml"/><Relationship Id="rId5" Type="http://schemas.openxmlformats.org/officeDocument/2006/relationships/ctrlProp" Target="../ctrlProps/ctrlProps26.xml"/><Relationship Id="rId6" Type="http://schemas.openxmlformats.org/officeDocument/2006/relationships/ctrlProp" Target="../ctrlProps/ctrlProps27.xml"/>
</Relationships>
</file>

<file path=xl/worksheets/_rels/sheet50.xml.rels><?xml version="1.0" encoding="UTF-8"?>
<Relationships xmlns="http://schemas.openxmlformats.org/package/2006/relationships"><Relationship Id="rId1" Type="http://schemas.openxmlformats.org/officeDocument/2006/relationships/comments" Target="../comments50.xml"/><Relationship Id="rId2" Type="http://schemas.openxmlformats.org/officeDocument/2006/relationships/drawing" Target="../drawings/drawing134.xml"/><Relationship Id="rId3" Type="http://schemas.openxmlformats.org/officeDocument/2006/relationships/vmlDrawing" Target="../drawings/vmlDrawing45.vml"/><Relationship Id="rId4" Type="http://schemas.openxmlformats.org/officeDocument/2006/relationships/ctrlProp" Target="../ctrlProps/ctrlProps135.xml"/><Relationship Id="rId5" Type="http://schemas.openxmlformats.org/officeDocument/2006/relationships/ctrlProp" Target="../ctrlProps/ctrlProps136.xml"/>
</Relationships>
</file>

<file path=xl/worksheets/_rels/sheet51.xml.rels><?xml version="1.0" encoding="UTF-8"?>
<Relationships xmlns="http://schemas.openxmlformats.org/package/2006/relationships"><Relationship Id="rId1" Type="http://schemas.openxmlformats.org/officeDocument/2006/relationships/comments" Target="../comments51.xml"/><Relationship Id="rId2" Type="http://schemas.openxmlformats.org/officeDocument/2006/relationships/drawing" Target="../drawings/drawing137.xml"/><Relationship Id="rId3" Type="http://schemas.openxmlformats.org/officeDocument/2006/relationships/vmlDrawing" Target="../drawings/vmlDrawing46.vml"/><Relationship Id="rId4" Type="http://schemas.openxmlformats.org/officeDocument/2006/relationships/ctrlProp" Target="../ctrlProps/ctrlProps138.xml"/><Relationship Id="rId5" Type="http://schemas.openxmlformats.org/officeDocument/2006/relationships/ctrlProp" Target="../ctrlProps/ctrlProps139.xml"/>
</Relationships>
</file>

<file path=xl/worksheets/_rels/sheet52.xml.rels><?xml version="1.0" encoding="UTF-8"?>
<Relationships xmlns="http://schemas.openxmlformats.org/package/2006/relationships"><Relationship Id="rId1" Type="http://schemas.openxmlformats.org/officeDocument/2006/relationships/comments" Target="../comments52.xml"/><Relationship Id="rId2" Type="http://schemas.openxmlformats.org/officeDocument/2006/relationships/drawing" Target="../drawings/drawing140.xml"/><Relationship Id="rId3" Type="http://schemas.openxmlformats.org/officeDocument/2006/relationships/vmlDrawing" Target="../drawings/vmlDrawing47.vml"/><Relationship Id="rId4" Type="http://schemas.openxmlformats.org/officeDocument/2006/relationships/ctrlProp" Target="../ctrlProps/ctrlProps141.xml"/><Relationship Id="rId5" Type="http://schemas.openxmlformats.org/officeDocument/2006/relationships/ctrlProp" Target="../ctrlProps/ctrlProps142.xml"/>
</Relationships>
</file>

<file path=xl/worksheets/_rels/sheet53.xml.rels><?xml version="1.0" encoding="UTF-8"?>
<Relationships xmlns="http://schemas.openxmlformats.org/package/2006/relationships"><Relationship Id="rId1" Type="http://schemas.openxmlformats.org/officeDocument/2006/relationships/comments" Target="../comments53.xml"/><Relationship Id="rId2" Type="http://schemas.openxmlformats.org/officeDocument/2006/relationships/drawing" Target="../drawings/drawing143.xml"/><Relationship Id="rId3" Type="http://schemas.openxmlformats.org/officeDocument/2006/relationships/vmlDrawing" Target="../drawings/vmlDrawing48.vml"/><Relationship Id="rId4" Type="http://schemas.openxmlformats.org/officeDocument/2006/relationships/ctrlProp" Target="../ctrlProps/ctrlProps144.xml"/><Relationship Id="rId5" Type="http://schemas.openxmlformats.org/officeDocument/2006/relationships/ctrlProp" Target="../ctrlProps/ctrlProps145.xml"/>
</Relationships>
</file>

<file path=xl/worksheets/_rels/sheet54.xml.rels><?xml version="1.0" encoding="UTF-8"?>
<Relationships xmlns="http://schemas.openxmlformats.org/package/2006/relationships"><Relationship Id="rId1" Type="http://schemas.openxmlformats.org/officeDocument/2006/relationships/comments" Target="../comments54.xml"/><Relationship Id="rId2" Type="http://schemas.openxmlformats.org/officeDocument/2006/relationships/drawing" Target="../drawings/drawing146.xml"/><Relationship Id="rId3" Type="http://schemas.openxmlformats.org/officeDocument/2006/relationships/vmlDrawing" Target="../drawings/vmlDrawing49.vml"/><Relationship Id="rId4" Type="http://schemas.openxmlformats.org/officeDocument/2006/relationships/ctrlProp" Target="../ctrlProps/ctrlProps147.xml"/><Relationship Id="rId5" Type="http://schemas.openxmlformats.org/officeDocument/2006/relationships/ctrlProp" Target="../ctrlProps/ctrlProps148.xml"/>
</Relationships>
</file>

<file path=xl/worksheets/_rels/sheet55.xml.rels><?xml version="1.0" encoding="UTF-8"?>
<Relationships xmlns="http://schemas.openxmlformats.org/package/2006/relationships"><Relationship Id="rId1" Type="http://schemas.openxmlformats.org/officeDocument/2006/relationships/comments" Target="../comments55.xml"/><Relationship Id="rId2" Type="http://schemas.openxmlformats.org/officeDocument/2006/relationships/drawing" Target="../drawings/drawing149.xml"/><Relationship Id="rId3" Type="http://schemas.openxmlformats.org/officeDocument/2006/relationships/vmlDrawing" Target="../drawings/vmlDrawing50.vml"/><Relationship Id="rId4" Type="http://schemas.openxmlformats.org/officeDocument/2006/relationships/ctrlProp" Target="../ctrlProps/ctrlProps150.xml"/><Relationship Id="rId5" Type="http://schemas.openxmlformats.org/officeDocument/2006/relationships/ctrlProp" Target="../ctrlProps/ctrlProps151.xml"/>
</Relationships>
</file>

<file path=xl/worksheets/_rels/sheet56.xml.rels><?xml version="1.0" encoding="UTF-8"?>
<Relationships xmlns="http://schemas.openxmlformats.org/package/2006/relationships"><Relationship Id="rId1" Type="http://schemas.openxmlformats.org/officeDocument/2006/relationships/comments" Target="../comments56.xml"/><Relationship Id="rId2" Type="http://schemas.openxmlformats.org/officeDocument/2006/relationships/drawing" Target="../drawings/drawing152.xml"/><Relationship Id="rId3" Type="http://schemas.openxmlformats.org/officeDocument/2006/relationships/vmlDrawing" Target="../drawings/vmlDrawing51.vml"/><Relationship Id="rId4" Type="http://schemas.openxmlformats.org/officeDocument/2006/relationships/ctrlProp" Target="../ctrlProps/ctrlProps153.xml"/><Relationship Id="rId5" Type="http://schemas.openxmlformats.org/officeDocument/2006/relationships/ctrlProp" Target="../ctrlProps/ctrlProps154.xml"/>
</Relationships>
</file>

<file path=xl/worksheets/_rels/sheet57.xml.rels><?xml version="1.0" encoding="UTF-8"?>
<Relationships xmlns="http://schemas.openxmlformats.org/package/2006/relationships"><Relationship Id="rId1" Type="http://schemas.openxmlformats.org/officeDocument/2006/relationships/comments" Target="../comments57.xml"/><Relationship Id="rId2" Type="http://schemas.openxmlformats.org/officeDocument/2006/relationships/drawing" Target="../drawings/drawing155.xml"/><Relationship Id="rId3" Type="http://schemas.openxmlformats.org/officeDocument/2006/relationships/vmlDrawing" Target="../drawings/vmlDrawing52.vml"/><Relationship Id="rId4" Type="http://schemas.openxmlformats.org/officeDocument/2006/relationships/ctrlProp" Target="../ctrlProps/ctrlProps156.xml"/><Relationship Id="rId5" Type="http://schemas.openxmlformats.org/officeDocument/2006/relationships/ctrlProp" Target="../ctrlProps/ctrlProps157.xml"/>
</Relationships>
</file>

<file path=xl/worksheets/_rels/sheet58.xml.rels><?xml version="1.0" encoding="UTF-8"?>
<Relationships xmlns="http://schemas.openxmlformats.org/package/2006/relationships"><Relationship Id="rId1" Type="http://schemas.openxmlformats.org/officeDocument/2006/relationships/comments" Target="../comments58.xml"/><Relationship Id="rId2" Type="http://schemas.openxmlformats.org/officeDocument/2006/relationships/drawing" Target="../drawings/drawing158.xml"/><Relationship Id="rId3" Type="http://schemas.openxmlformats.org/officeDocument/2006/relationships/vmlDrawing" Target="../drawings/vmlDrawing53.vml"/><Relationship Id="rId4" Type="http://schemas.openxmlformats.org/officeDocument/2006/relationships/ctrlProp" Target="../ctrlProps/ctrlProps159.xml"/><Relationship Id="rId5" Type="http://schemas.openxmlformats.org/officeDocument/2006/relationships/ctrlProp" Target="../ctrlProps/ctrlProps160.xml"/>
</Relationships>
</file>

<file path=xl/worksheets/_rels/sheet59.xml.rels><?xml version="1.0" encoding="UTF-8"?>
<Relationships xmlns="http://schemas.openxmlformats.org/package/2006/relationships"><Relationship Id="rId1" Type="http://schemas.openxmlformats.org/officeDocument/2006/relationships/comments" Target="../comments59.xml"/><Relationship Id="rId2" Type="http://schemas.openxmlformats.org/officeDocument/2006/relationships/drawing" Target="../drawings/drawing161.xml"/><Relationship Id="rId3" Type="http://schemas.openxmlformats.org/officeDocument/2006/relationships/vmlDrawing" Target="../drawings/vmlDrawing54.vml"/><Relationship Id="rId4" Type="http://schemas.openxmlformats.org/officeDocument/2006/relationships/ctrlProp" Target="../ctrlProps/ctrlProps162.xml"/><Relationship Id="rId5" Type="http://schemas.openxmlformats.org/officeDocument/2006/relationships/ctrlProp" Target="../ctrlProps/ctrlProps163.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8.xml"/><Relationship Id="rId3" Type="http://schemas.openxmlformats.org/officeDocument/2006/relationships/vmlDrawing" Target="../drawings/vmlDrawing6.vml"/><Relationship Id="rId4" Type="http://schemas.openxmlformats.org/officeDocument/2006/relationships/ctrlProp" Target="../ctrlProps/ctrlProps29.xml"/>
</Relationships>
</file>

<file path=xl/worksheets/_rels/sheet60.xml.rels><?xml version="1.0" encoding="UTF-8"?>
<Relationships xmlns="http://schemas.openxmlformats.org/package/2006/relationships"><Relationship Id="rId1" Type="http://schemas.openxmlformats.org/officeDocument/2006/relationships/comments" Target="../comments60.xml"/><Relationship Id="rId2" Type="http://schemas.openxmlformats.org/officeDocument/2006/relationships/drawing" Target="../drawings/drawing164.xml"/><Relationship Id="rId3" Type="http://schemas.openxmlformats.org/officeDocument/2006/relationships/vmlDrawing" Target="../drawings/vmlDrawing55.vml"/><Relationship Id="rId4" Type="http://schemas.openxmlformats.org/officeDocument/2006/relationships/ctrlProp" Target="../ctrlProps/ctrlProps165.xml"/><Relationship Id="rId5" Type="http://schemas.openxmlformats.org/officeDocument/2006/relationships/ctrlProp" Target="../ctrlProps/ctrlProps166.xml"/>
</Relationships>
</file>

<file path=xl/worksheets/_rels/sheet62.xml.rels><?xml version="1.0" encoding="UTF-8"?>
<Relationships xmlns="http://schemas.openxmlformats.org/package/2006/relationships"><Relationship Id="rId1" Type="http://schemas.openxmlformats.org/officeDocument/2006/relationships/drawing" Target="../drawings/drawing167.xml"/>
</Relationships>
</file>

<file path=xl/worksheets/_rels/sheet7.xml.rels><?xml version="1.0" encoding="UTF-8"?>
<Relationships xmlns="http://schemas.openxmlformats.org/package/2006/relationships"><Relationship Id="rId1" Type="http://schemas.openxmlformats.org/officeDocument/2006/relationships/drawing" Target="../drawings/drawing30.x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vmlDrawing" Target="../drawings/vmlDrawing7.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D2:J36"/>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13671875" defaultRowHeight="12.75" customHeight="true" zeroHeight="false" outlineLevelRow="0" outlineLevelCol="0"/>
  <cols>
    <col collapsed="false" customWidth="true" hidden="false" outlineLevel="0" max="2" min="1" style="1" width="3.7"/>
    <col collapsed="false" customWidth="true" hidden="false" outlineLevel="0" max="11" min="3" style="1" width="15.7"/>
    <col collapsed="false" customWidth="true" hidden="false" outlineLevel="0" max="13" min="12" style="1" width="3.7"/>
    <col collapsed="false" customWidth="false" hidden="false" outlineLevel="0" max="257" min="14" style="1" width="9.14"/>
  </cols>
  <sheetData>
    <row r="2" customFormat="false" ht="13.5" hidden="false" customHeight="false" outlineLevel="0" collapsed="false"/>
    <row r="3" customFormat="false" ht="12.75" hidden="false" customHeight="false" outlineLevel="0" collapsed="false">
      <c r="D3" s="2" t="s">
        <v>0</v>
      </c>
      <c r="E3" s="2"/>
      <c r="F3" s="2"/>
      <c r="G3" s="2"/>
      <c r="H3" s="2"/>
      <c r="I3" s="2"/>
      <c r="J3" s="2"/>
    </row>
    <row r="4" customFormat="false" ht="13.5" hidden="false" customHeight="false" outlineLevel="0" collapsed="false">
      <c r="D4" s="2"/>
      <c r="E4" s="2"/>
      <c r="F4" s="2"/>
      <c r="G4" s="2"/>
      <c r="H4" s="2"/>
      <c r="I4" s="2"/>
      <c r="J4" s="2"/>
    </row>
    <row r="5" customFormat="false" ht="15.75" hidden="false" customHeight="false" outlineLevel="0" collapsed="false">
      <c r="D5" s="3" t="s">
        <v>1</v>
      </c>
      <c r="E5" s="3"/>
      <c r="F5" s="3"/>
      <c r="G5" s="3"/>
      <c r="H5" s="3"/>
      <c r="I5" s="3"/>
      <c r="J5" s="3"/>
    </row>
    <row r="6" customFormat="false" ht="12.75" hidden="false" customHeight="false" outlineLevel="0" collapsed="false">
      <c r="D6" s="4" t="s">
        <v>2</v>
      </c>
    </row>
    <row r="7" customFormat="false" ht="12.75" hidden="false" customHeight="false" outlineLevel="0" collapsed="false">
      <c r="D7" s="5" t="n">
        <v>37242</v>
      </c>
    </row>
    <row r="8" customFormat="false" ht="13.5" hidden="false" customHeight="false" outlineLevel="0" collapsed="false">
      <c r="D8" s="1" t="s">
        <v>3</v>
      </c>
    </row>
    <row r="9" customFormat="false" ht="12.75" hidden="false" customHeight="false" outlineLevel="0" collapsed="false">
      <c r="D9" s="6" t="s">
        <v>4</v>
      </c>
      <c r="E9" s="6"/>
      <c r="F9" s="6"/>
      <c r="H9" s="6" t="s">
        <v>5</v>
      </c>
      <c r="I9" s="6"/>
      <c r="J9" s="6"/>
    </row>
    <row r="10" customFormat="false" ht="12.75" hidden="false" customHeight="false" outlineLevel="0" collapsed="false">
      <c r="D10" s="6"/>
      <c r="E10" s="6"/>
      <c r="F10" s="6"/>
      <c r="H10" s="6"/>
      <c r="I10" s="6"/>
      <c r="J10" s="6"/>
    </row>
    <row r="11" customFormat="false" ht="12.75" hidden="false" customHeight="false" outlineLevel="0" collapsed="false">
      <c r="D11" s="7"/>
      <c r="E11" s="8"/>
      <c r="F11" s="9"/>
      <c r="H11" s="7"/>
      <c r="I11" s="8"/>
      <c r="J11" s="9"/>
    </row>
    <row r="12" customFormat="false" ht="12.75" hidden="false" customHeight="false" outlineLevel="0" collapsed="false">
      <c r="D12" s="7"/>
      <c r="E12" s="8"/>
      <c r="F12" s="9"/>
      <c r="H12" s="7"/>
      <c r="I12" s="8"/>
      <c r="J12" s="9"/>
    </row>
    <row r="13" customFormat="false" ht="12.75" hidden="false" customHeight="false" outlineLevel="0" collapsed="false">
      <c r="D13" s="7"/>
      <c r="E13" s="8"/>
      <c r="F13" s="9"/>
      <c r="H13" s="7"/>
      <c r="I13" s="8"/>
      <c r="J13" s="9"/>
    </row>
    <row r="14" customFormat="false" ht="12.75" hidden="false" customHeight="false" outlineLevel="0" collapsed="false">
      <c r="D14" s="7"/>
      <c r="E14" s="8"/>
      <c r="F14" s="9"/>
      <c r="H14" s="10"/>
      <c r="I14" s="8"/>
      <c r="J14" s="9"/>
    </row>
    <row r="15" customFormat="false" ht="12.75" hidden="false" customHeight="false" outlineLevel="0" collapsed="false">
      <c r="D15" s="7"/>
      <c r="E15" s="8"/>
      <c r="F15" s="9"/>
      <c r="H15" s="7"/>
      <c r="I15" s="8"/>
      <c r="J15" s="9"/>
    </row>
    <row r="16" customFormat="false" ht="12.75" hidden="false" customHeight="false" outlineLevel="0" collapsed="false">
      <c r="D16" s="7"/>
      <c r="E16" s="8"/>
      <c r="F16" s="9"/>
      <c r="H16" s="7"/>
      <c r="I16" s="8"/>
      <c r="J16" s="9"/>
    </row>
    <row r="17" customFormat="false" ht="12.75" hidden="false" customHeight="false" outlineLevel="0" collapsed="false">
      <c r="D17" s="7"/>
      <c r="E17" s="8"/>
      <c r="F17" s="9"/>
      <c r="H17" s="7"/>
      <c r="I17" s="8"/>
      <c r="J17" s="9"/>
    </row>
    <row r="18" customFormat="false" ht="13.5" hidden="false" customHeight="false" outlineLevel="0" collapsed="false">
      <c r="D18" s="11"/>
      <c r="E18" s="12"/>
      <c r="F18" s="13"/>
      <c r="H18" s="7"/>
      <c r="I18" s="8"/>
      <c r="J18" s="9"/>
    </row>
    <row r="19" customFormat="false" ht="13.5" hidden="false" customHeight="false" outlineLevel="0" collapsed="false">
      <c r="H19" s="7"/>
      <c r="I19" s="8"/>
      <c r="J19" s="9"/>
    </row>
    <row r="20" customFormat="false" ht="12.75" hidden="false" customHeight="false" outlineLevel="0" collapsed="false">
      <c r="D20" s="6" t="s">
        <v>6</v>
      </c>
      <c r="E20" s="6"/>
      <c r="F20" s="6"/>
      <c r="H20" s="7"/>
      <c r="I20" s="8"/>
      <c r="J20" s="9"/>
    </row>
    <row r="21" customFormat="false" ht="12.75" hidden="false" customHeight="false" outlineLevel="0" collapsed="false">
      <c r="D21" s="6"/>
      <c r="E21" s="6"/>
      <c r="F21" s="6"/>
      <c r="H21" s="7"/>
      <c r="I21" s="8"/>
      <c r="J21" s="9"/>
    </row>
    <row r="22" customFormat="false" ht="12.75" hidden="false" customHeight="false" outlineLevel="0" collapsed="false">
      <c r="D22" s="7"/>
      <c r="E22" s="8"/>
      <c r="F22" s="9"/>
      <c r="H22" s="7"/>
      <c r="I22" s="8"/>
      <c r="J22" s="9"/>
    </row>
    <row r="23" customFormat="false" ht="12.75" hidden="false" customHeight="false" outlineLevel="0" collapsed="false">
      <c r="D23" s="7"/>
      <c r="E23" s="8"/>
      <c r="F23" s="9"/>
      <c r="H23" s="7"/>
      <c r="I23" s="8"/>
      <c r="J23" s="9"/>
    </row>
    <row r="24" customFormat="false" ht="12.75" hidden="false" customHeight="false" outlineLevel="0" collapsed="false">
      <c r="D24" s="7"/>
      <c r="E24" s="8"/>
      <c r="F24" s="9"/>
      <c r="H24" s="7"/>
      <c r="I24" s="8"/>
      <c r="J24" s="9"/>
    </row>
    <row r="25" customFormat="false" ht="12.75" hidden="false" customHeight="false" outlineLevel="0" collapsed="false">
      <c r="D25" s="7"/>
      <c r="E25" s="8"/>
      <c r="F25" s="9"/>
      <c r="H25" s="7"/>
      <c r="I25" s="8"/>
      <c r="J25" s="9"/>
    </row>
    <row r="26" customFormat="false" ht="12.75" hidden="false" customHeight="false" outlineLevel="0" collapsed="false">
      <c r="D26" s="7"/>
      <c r="E26" s="8"/>
      <c r="F26" s="9"/>
      <c r="H26" s="7"/>
      <c r="I26" s="8"/>
      <c r="J26" s="9"/>
    </row>
    <row r="27" customFormat="false" ht="12.75" hidden="false" customHeight="false" outlineLevel="0" collapsed="false">
      <c r="D27" s="7"/>
      <c r="E27" s="8"/>
      <c r="F27" s="9"/>
      <c r="H27" s="7"/>
      <c r="I27" s="8"/>
      <c r="J27" s="9"/>
    </row>
    <row r="28" customFormat="false" ht="12.75" hidden="false" customHeight="false" outlineLevel="0" collapsed="false">
      <c r="D28" s="7"/>
      <c r="E28" s="8"/>
      <c r="F28" s="9"/>
      <c r="H28" s="7"/>
      <c r="I28" s="8"/>
      <c r="J28" s="9"/>
    </row>
    <row r="29" customFormat="false" ht="13.5" hidden="false" customHeight="false" outlineLevel="0" collapsed="false">
      <c r="D29" s="11"/>
      <c r="E29" s="12"/>
      <c r="F29" s="13"/>
      <c r="H29" s="11"/>
      <c r="I29" s="12"/>
      <c r="J29" s="13"/>
    </row>
    <row r="31" customFormat="false" ht="13.5" hidden="false" customHeight="false" outlineLevel="0" collapsed="false"/>
    <row r="32" customFormat="false" ht="12.75" hidden="false" customHeight="false" outlineLevel="0" collapsed="false">
      <c r="D32" s="14" t="s">
        <v>7</v>
      </c>
      <c r="E32" s="14"/>
      <c r="F32" s="14"/>
      <c r="G32" s="14"/>
      <c r="H32" s="14"/>
      <c r="I32" s="14"/>
      <c r="J32" s="14"/>
    </row>
    <row r="33" customFormat="false" ht="12.75" hidden="false" customHeight="true" outlineLevel="0" collapsed="false">
      <c r="D33" s="15" t="s">
        <v>8</v>
      </c>
      <c r="E33" s="15"/>
      <c r="F33" s="15"/>
      <c r="G33" s="15"/>
      <c r="H33" s="15"/>
      <c r="I33" s="15"/>
      <c r="J33" s="15"/>
    </row>
    <row r="34" customFormat="false" ht="12.75" hidden="false" customHeight="false" outlineLevel="0" collapsed="false">
      <c r="D34" s="15"/>
      <c r="E34" s="15"/>
      <c r="F34" s="15"/>
      <c r="G34" s="15"/>
      <c r="H34" s="15"/>
      <c r="I34" s="15"/>
      <c r="J34" s="15"/>
    </row>
    <row r="35" customFormat="false" ht="13.5" hidden="false" customHeight="false" outlineLevel="0" collapsed="false">
      <c r="D35" s="16"/>
      <c r="E35" s="17"/>
      <c r="F35" s="17"/>
      <c r="G35" s="17"/>
      <c r="H35" s="17"/>
      <c r="I35" s="17"/>
      <c r="J35" s="18"/>
    </row>
    <row r="36" customFormat="false" ht="12.75" hidden="false" customHeight="false" outlineLevel="0" collapsed="false">
      <c r="I36" s="1" t="s">
        <v>3</v>
      </c>
    </row>
  </sheetData>
  <mergeCells count="7">
    <mergeCell ref="D3:J4"/>
    <mergeCell ref="D5:J5"/>
    <mergeCell ref="D9:F10"/>
    <mergeCell ref="H9:J10"/>
    <mergeCell ref="D20:F21"/>
    <mergeCell ref="D32:J32"/>
    <mergeCell ref="D33:J34"/>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anchor moveWithCells="true" sizeWithCells="false">
                  <from>
                    <xdr:col>3</xdr:col>
                    <xdr:colOff>331920</xdr:colOff>
                    <xdr:row>11</xdr:row>
                    <xdr:rowOff>0</xdr:rowOff>
                  </from>
                  <to>
                    <xdr:col>5</xdr:col>
                    <xdr:colOff>765360</xdr:colOff>
                    <xdr:row>15</xdr:row>
                    <xdr:rowOff>105120</xdr:rowOff>
                  </to>
                </anchor>
              </controlPr>
            </control>
          </mc:Choice>
        </mc:AlternateContent>
        <mc:AlternateContent xmlns:mc="http://schemas.openxmlformats.org/markup-compatibility/2006">
          <mc:Choice Requires="x14">
            <control shapeId="1002" r:id="rId4" name="Button 3">
              <controlPr defaultSize="0" print="false" autoFill="0" autoPict="0" macro="Module4.Button3_Click">
                <anchor moveWithCells="true" sizeWithCells="false">
                  <from>
                    <xdr:col>7</xdr:col>
                    <xdr:colOff>331920</xdr:colOff>
                    <xdr:row>11</xdr:row>
                    <xdr:rowOff>0</xdr:rowOff>
                  </from>
                  <to>
                    <xdr:col>9</xdr:col>
                    <xdr:colOff>765360</xdr:colOff>
                    <xdr:row>15</xdr:row>
                    <xdr:rowOff>105120</xdr:rowOff>
                  </to>
                </anchor>
              </controlPr>
            </control>
          </mc:Choice>
        </mc:AlternateContent>
        <mc:AlternateContent xmlns:mc="http://schemas.openxmlformats.org/markup-compatibility/2006">
          <mc:Choice Requires="x14">
            <control shapeId="1003" r:id="rId5" name="Button 4">
              <controlPr defaultSize="0" print="false" autoFill="0" autoPict="0" macro="Module5.Button4_Click">
                <anchor moveWithCells="true" sizeWithCells="false">
                  <from>
                    <xdr:col>7</xdr:col>
                    <xdr:colOff>331920</xdr:colOff>
                    <xdr:row>16</xdr:row>
                    <xdr:rowOff>75960</xdr:rowOff>
                  </from>
                  <to>
                    <xdr:col>9</xdr:col>
                    <xdr:colOff>765360</xdr:colOff>
                    <xdr:row>21</xdr:row>
                    <xdr:rowOff>18720</xdr:rowOff>
                  </to>
                </anchor>
              </controlPr>
            </control>
          </mc:Choice>
        </mc:AlternateContent>
        <mc:AlternateContent xmlns:mc="http://schemas.openxmlformats.org/markup-compatibility/2006">
          <mc:Choice Requires="x14">
            <control shapeId="1004" r:id="rId6" name="Button 6">
              <controlPr defaultSize="0" print="false" autoFill="0" autoPict="0">
                <anchor moveWithCells="true" sizeWithCells="false">
                  <from>
                    <xdr:col>3</xdr:col>
                    <xdr:colOff>312480</xdr:colOff>
                    <xdr:row>22</xdr:row>
                    <xdr:rowOff>28440</xdr:rowOff>
                  </from>
                  <to>
                    <xdr:col>5</xdr:col>
                    <xdr:colOff>725400</xdr:colOff>
                    <xdr:row>26</xdr:row>
                    <xdr:rowOff>152280</xdr:rowOff>
                  </to>
                </anchor>
              </controlPr>
            </control>
          </mc:Choice>
        </mc:AlternateContent>
        <mc:AlternateContent xmlns:mc="http://schemas.openxmlformats.org/markup-compatibility/2006">
          <mc:Choice Requires="x14">
            <control shapeId="1005" r:id="rId7" name="Button 10">
              <controlPr defaultSize="0" print="false" autoFill="0" autoPict="0" macro="Module7.DailyOperation_Button10_Click">
                <anchor moveWithCells="true" sizeWithCells="false">
                  <from>
                    <xdr:col>4</xdr:col>
                    <xdr:colOff>1086120</xdr:colOff>
                    <xdr:row>37</xdr:row>
                    <xdr:rowOff>47520</xdr:rowOff>
                  </from>
                  <to>
                    <xdr:col>7</xdr:col>
                    <xdr:colOff>414000</xdr:colOff>
                    <xdr:row>39</xdr:row>
                    <xdr:rowOff>75960</xdr:rowOff>
                  </to>
                </anchor>
              </controlPr>
            </control>
          </mc:Choice>
        </mc:AlternateContent>
        <mc:AlternateContent xmlns:mc="http://schemas.openxmlformats.org/markup-compatibility/2006">
          <mc:Choice Requires="x14">
            <control shapeId="1006" r:id="rId8" name="Button 11">
              <controlPr defaultSize="0" print="false" autoFill="0" autoPict="0" macro="Module8.DailyOperation_Button11_Click">
                <anchor moveWithCells="true" sizeWithCells="false">
                  <from>
                    <xdr:col>4</xdr:col>
                    <xdr:colOff>1086120</xdr:colOff>
                    <xdr:row>39</xdr:row>
                    <xdr:rowOff>152640</xdr:rowOff>
                  </from>
                  <to>
                    <xdr:col>7</xdr:col>
                    <xdr:colOff>414000</xdr:colOff>
                    <xdr:row>42</xdr:row>
                    <xdr:rowOff>18720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3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V7" activeCellId="0" sqref="C7:V36"/>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9.28"/>
    <col collapsed="false" customWidth="true" hidden="false" outlineLevel="0" max="6" min="6" style="96" width="23.99"/>
    <col collapsed="false" customWidth="true" hidden="false" outlineLevel="0" max="7" min="7" style="97" width="30.7"/>
    <col collapsed="false" customWidth="true" hidden="false" outlineLevel="0" max="20" min="8" style="98" width="13.7"/>
    <col collapsed="false" customWidth="true" hidden="false" outlineLevel="0" max="21" min="21" style="99" width="3.7"/>
    <col collapsed="false" customWidth="true" hidden="false" outlineLevel="0" max="22" min="22" style="95" width="13.7"/>
    <col collapsed="false" customWidth="false" hidden="false" outlineLevel="0" max="23" min="23" style="95" width="9.14"/>
    <col collapsed="false" customWidth="true" hidden="false" outlineLevel="0" max="24" min="24" style="95" width="14.28"/>
    <col collapsed="false" customWidth="true" hidden="false" outlineLevel="0" max="26" min="25" style="95" width="23.14"/>
    <col collapsed="false" customWidth="true" hidden="false" outlineLevel="0" max="27" min="27" style="95" width="35.56"/>
    <col collapsed="false" customWidth="true" hidden="false" outlineLevel="0" max="28" min="28" style="95" width="26.28"/>
    <col collapsed="false" customWidth="false" hidden="false" outlineLevel="0" max="257" min="29" style="95" width="9.14"/>
  </cols>
  <sheetData>
    <row r="1" customFormat="false" ht="12.75" hidden="false" customHeight="false" outlineLevel="0" collapsed="false">
      <c r="A1" s="19" t="s">
        <v>394</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ADDRESS(ROW($C$10),COLUMN($C$10))</f>
        <v>$C$10</v>
      </c>
      <c r="E3" s="100" t="s">
        <v>40</v>
      </c>
      <c r="F3" s="189" t="s">
        <v>45</v>
      </c>
    </row>
    <row r="7" customFormat="false" ht="18.75" hidden="false" customHeight="false" outlineLevel="0" collapsed="false">
      <c r="E7" s="102" t="str">
        <f aca="false">CONCATENATE("POSITION REPORT : ",UPPER(F3))</f>
        <v>POSITION REPORT : CENTRAL</v>
      </c>
    </row>
    <row r="8" customFormat="false" ht="12.75" hidden="false" customHeight="false" outlineLevel="0" collapsed="false">
      <c r="A8" s="103"/>
      <c r="B8" s="103"/>
      <c r="C8" s="104" t="s">
        <v>213</v>
      </c>
      <c r="E8" s="105"/>
      <c r="F8" s="106"/>
      <c r="G8" s="107" t="s">
        <v>214</v>
      </c>
      <c r="H8" s="190" t="n">
        <f aca="false" t="array" ref="H8:T8">TRANSPOSE(Configuration!D25:D37)</f>
        <v>37043</v>
      </c>
      <c r="I8" s="191" t="n">
        <v>37073</v>
      </c>
      <c r="J8" s="191" t="n">
        <v>37104</v>
      </c>
      <c r="K8" s="191" t="n">
        <v>37135</v>
      </c>
      <c r="L8" s="191" t="n">
        <v>37165</v>
      </c>
      <c r="M8" s="191" t="n">
        <v>37196</v>
      </c>
      <c r="N8" s="191" t="n">
        <v>37226</v>
      </c>
      <c r="O8" s="191" t="n">
        <v>37257</v>
      </c>
      <c r="P8" s="191" t="n">
        <v>37622</v>
      </c>
      <c r="Q8" s="191" t="n">
        <v>37987</v>
      </c>
      <c r="R8" s="191" t="n">
        <v>38353</v>
      </c>
      <c r="S8" s="191" t="n">
        <v>40544</v>
      </c>
      <c r="T8" s="192" t="n">
        <v>42370</v>
      </c>
      <c r="U8" s="103"/>
      <c r="V8" s="104" t="s">
        <v>395</v>
      </c>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false" outlineLevel="0" collapsed="false">
      <c r="A9" s="103"/>
      <c r="B9" s="103"/>
      <c r="C9" s="104"/>
      <c r="E9" s="112" t="s">
        <v>13</v>
      </c>
      <c r="F9" s="113" t="s">
        <v>233</v>
      </c>
      <c r="G9" s="114" t="s">
        <v>234</v>
      </c>
      <c r="H9" s="193" t="n">
        <f aca="false" t="array" ref="H9:T9">TRANSPOSE(Configuration!E25:E37)</f>
        <v>37072</v>
      </c>
      <c r="I9" s="194" t="n">
        <v>37103</v>
      </c>
      <c r="J9" s="194" t="n">
        <v>37134</v>
      </c>
      <c r="K9" s="194" t="n">
        <v>37164</v>
      </c>
      <c r="L9" s="194" t="n">
        <v>37195</v>
      </c>
      <c r="M9" s="194" t="n">
        <v>37225</v>
      </c>
      <c r="N9" s="194" t="n">
        <v>37256</v>
      </c>
      <c r="O9" s="194" t="n">
        <v>37621</v>
      </c>
      <c r="P9" s="194" t="n">
        <v>37986</v>
      </c>
      <c r="Q9" s="194" t="n">
        <v>38352</v>
      </c>
      <c r="R9" s="194" t="n">
        <v>40543</v>
      </c>
      <c r="S9" s="194" t="n">
        <v>42369</v>
      </c>
      <c r="T9" s="195" t="n">
        <v>45657</v>
      </c>
      <c r="U9" s="103"/>
      <c r="V9" s="104"/>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1</v>
      </c>
      <c r="E10" s="116" t="e">
        <f aca="false">GetPipeName($Z10,$AC10)</f>
        <v>#VALUE!</v>
      </c>
      <c r="F10" s="117" t="e">
        <f aca="false">CONCATENATE(GetRcptPoint($Z10,$AC10)," to ",GetDelPoint($Z10,$AC10))</f>
        <v>#VALUE!</v>
      </c>
      <c r="G10" s="118" t="e">
        <f aca="false">GetRcptBasis($Z10,$AC10)</f>
        <v>#VALUE!</v>
      </c>
      <c r="H10" s="196" t="e">
        <f aca="true" t="array" ref="H10:H10">SUM((INDIRECT($AA10)&gt;'Central Position Rpt'!H$8)*(INDIRECT($AA10)&lt;'Central Position Rpt'!H$9)*(INDIRECT($AB10)))</f>
        <v>#VALUE!</v>
      </c>
      <c r="I10" s="196" t="e">
        <f aca="true" t="array" ref="I10:I10">SUM((INDIRECT($AA10)&gt;'Central Position Rpt'!I$8)*(INDIRECT($AA10)&lt;'Central Position Rpt'!I$9)*(INDIRECT($AB10)))</f>
        <v>#VALUE!</v>
      </c>
      <c r="J10" s="196" t="e">
        <f aca="true" t="array" ref="J10:J10">SUM((INDIRECT($AA10)&gt;'Central Position Rpt'!J$8)*(INDIRECT($AA10)&lt;'Central Position Rpt'!J$9)*(INDIRECT($AB10)))</f>
        <v>#VALUE!</v>
      </c>
      <c r="K10" s="196" t="e">
        <f aca="true" t="array" ref="K10:K10">SUM((INDIRECT($AA10)&gt;'Central Position Rpt'!K$8)*(INDIRECT($AA10)&lt;'Central Position Rpt'!K$9)*(INDIRECT($AB10)))</f>
        <v>#VALUE!</v>
      </c>
      <c r="L10" s="196" t="e">
        <f aca="true" t="array" ref="L10:L10">SUM((INDIRECT($AA10)&gt;'Central Position Rpt'!L$8)*(INDIRECT($AA10)&lt;'Central Position Rpt'!L$9)*(INDIRECT($AB10)))</f>
        <v>#VALUE!</v>
      </c>
      <c r="M10" s="196" t="e">
        <f aca="true" t="array" ref="M10:M10">SUM((INDIRECT($AA10)&gt;'Central Position Rpt'!M$8)*(INDIRECT($AA10)&lt;'Central Position Rpt'!M$9)*(INDIRECT($AB10)))</f>
        <v>#VALUE!</v>
      </c>
      <c r="N10" s="196" t="e">
        <f aca="true" t="array" ref="N10:N10">SUM((INDIRECT($AA10)&gt;'Central Position Rpt'!N$8)*(INDIRECT($AA10)&lt;'Central Position Rpt'!N$9)*(INDIRECT($AB10)))</f>
        <v>#VALUE!</v>
      </c>
      <c r="O10" s="196" t="e">
        <f aca="true" t="array" ref="O10:O10">SUM((INDIRECT($AA10)&gt;'Central Position Rpt'!O$8)*(INDIRECT($AA10)&lt;'Central Position Rpt'!O$9)*(INDIRECT($AB10)))</f>
        <v>#VALUE!</v>
      </c>
      <c r="P10" s="196" t="e">
        <f aca="true" t="array" ref="P10:P10">SUM((INDIRECT($AA10)&gt;'Central Position Rpt'!P$8)*(INDIRECT($AA10)&lt;'Central Position Rpt'!P$9)*(INDIRECT($AB10)))</f>
        <v>#VALUE!</v>
      </c>
      <c r="Q10" s="196" t="e">
        <f aca="true" t="array" ref="Q10:Q10">SUM((INDIRECT($AA10)&gt;'Central Position Rpt'!Q$8)*(INDIRECT($AA10)&lt;'Central Position Rpt'!Q$9)*(INDIRECT($AB10)))</f>
        <v>#VALUE!</v>
      </c>
      <c r="R10" s="196" t="e">
        <f aca="true" t="array" ref="R10:R10">SUM((INDIRECT($AA10)&gt;'Central Position Rpt'!R$8)*(INDIRECT($AA10)&lt;'Central Position Rpt'!R$9)*(INDIRECT($AB10)))</f>
        <v>#VALUE!</v>
      </c>
      <c r="S10" s="196" t="e">
        <f aca="true" t="array" ref="S10:S10">SUM((INDIRECT($AA10)&gt;'Central Position Rpt'!S$8)*(INDIRECT($AA10)&lt;'Central Position Rpt'!S$9)*(INDIRECT($AB10)))</f>
        <v>#VALUE!</v>
      </c>
      <c r="T10" s="197" t="e">
        <f aca="true" t="array" ref="T10:T10">SUM((INDIRECT($AA10)&gt;'Central Position Rpt'!T$8)*(INDIRECT($AA10)&lt;'Central Position Rpt'!T$9)*(INDIRECT($AB10)))</f>
        <v>#VALUE!</v>
      </c>
      <c r="V10" s="198" t="e">
        <f aca="false">SUM(H10:T10)</f>
        <v>#VALUE!</v>
      </c>
      <c r="Y10" s="125" t="e">
        <f aca="false">GetWorkSheet($C10)</f>
        <v>#VALUE!</v>
      </c>
      <c r="Z10" s="124" t="e">
        <f aca="false">FetchDBPage(Y10)</f>
        <v>#VALUE!</v>
      </c>
      <c r="AA10" s="125" t="e">
        <f aca="false">IF(NOT($Y10="#VALUE#"),CONCATENATE($Y10,"!",GetDateStart($Y10),":",GetDateEnd($Y10)),"")</f>
        <v>#VALUE!</v>
      </c>
      <c r="AB10" s="125" t="e">
        <f aca="false">IF(NOT($Y10="#VALUE#"),CONCATENATE($Y10,"!",GetReceiptStart($Y10),":",GetReceiptEnd($Y10)),"")</f>
        <v>#VALUE!</v>
      </c>
      <c r="AC10" s="125" t="e">
        <f aca="false">GetRecNdx($Z10,$C10)</f>
        <v>#VALUE!</v>
      </c>
    </row>
    <row r="11" customFormat="false" ht="12.75" hidden="false" customHeight="false" outlineLevel="0" collapsed="false">
      <c r="C11" s="115"/>
      <c r="E11" s="116"/>
      <c r="F11" s="117"/>
      <c r="G11" s="126" t="e">
        <f aca="false">GetDelBasis($Z10,$AC11)</f>
        <v>#VALUE!</v>
      </c>
      <c r="H11" s="199" t="e">
        <f aca="true" t="array" ref="H11:H11">SUM((INDIRECT($AA11)&gt;'Central Position Rpt'!H$8)*(INDIRECT($AA11)&lt;'Central Position Rpt'!H$9)*(INDIRECT($AB11)))</f>
        <v>#VALUE!</v>
      </c>
      <c r="I11" s="200" t="e">
        <f aca="true" t="array" ref="I11:I11">SUM((INDIRECT($AA11)&gt;'Central Position Rpt'!I$8)*(INDIRECT($AA11)&lt;'Central Position Rpt'!I$9)*(INDIRECT($AB11)))</f>
        <v>#VALUE!</v>
      </c>
      <c r="J11" s="200" t="e">
        <f aca="true" t="array" ref="J11:J11">SUM((INDIRECT($AA11)&gt;'Central Position Rpt'!J$8)*(INDIRECT($AA11)&lt;'Central Position Rpt'!J$9)*(INDIRECT($AB11)))</f>
        <v>#VALUE!</v>
      </c>
      <c r="K11" s="200" t="e">
        <f aca="true" t="array" ref="K11:K11">SUM((INDIRECT($AA11)&gt;'Central Position Rpt'!K$8)*(INDIRECT($AA11)&lt;'Central Position Rpt'!K$9)*(INDIRECT($AB11)))</f>
        <v>#VALUE!</v>
      </c>
      <c r="L11" s="200" t="e">
        <f aca="true" t="array" ref="L11:L11">SUM((INDIRECT($AA11)&gt;'Central Position Rpt'!L$8)*(INDIRECT($AA11)&lt;'Central Position Rpt'!L$9)*(INDIRECT($AB11)))</f>
        <v>#VALUE!</v>
      </c>
      <c r="M11" s="200" t="e">
        <f aca="true" t="array" ref="M11:M11">SUM((INDIRECT($AA11)&gt;'Central Position Rpt'!M$8)*(INDIRECT($AA11)&lt;'Central Position Rpt'!M$9)*(INDIRECT($AB11)))</f>
        <v>#VALUE!</v>
      </c>
      <c r="N11" s="200" t="e">
        <f aca="true" t="array" ref="N11:N11">SUM((INDIRECT($AA11)&gt;'Central Position Rpt'!N$8)*(INDIRECT($AA11)&lt;'Central Position Rpt'!N$9)*(INDIRECT($AB11)))</f>
        <v>#VALUE!</v>
      </c>
      <c r="O11" s="200" t="e">
        <f aca="true" t="array" ref="O11:O11">SUM((INDIRECT($AA11)&gt;'Central Position Rpt'!O$8)*(INDIRECT($AA11)&lt;'Central Position Rpt'!O$9)*(INDIRECT($AB11)))</f>
        <v>#VALUE!</v>
      </c>
      <c r="P11" s="200" t="e">
        <f aca="true" t="array" ref="P11:P11">SUM((INDIRECT($AA11)&gt;'Central Position Rpt'!P$8)*(INDIRECT($AA11)&lt;'Central Position Rpt'!P$9)*(INDIRECT($AB11)))</f>
        <v>#VALUE!</v>
      </c>
      <c r="Q11" s="200" t="e">
        <f aca="true" t="array" ref="Q11:Q11">SUM((INDIRECT($AA11)&gt;'Central Position Rpt'!Q$8)*(INDIRECT($AA11)&lt;'Central Position Rpt'!Q$9)*(INDIRECT($AB11)))</f>
        <v>#VALUE!</v>
      </c>
      <c r="R11" s="200" t="e">
        <f aca="true" t="array" ref="R11:R11">SUM((INDIRECT($AA11)&gt;'Central Position Rpt'!R$8)*(INDIRECT($AA11)&lt;'Central Position Rpt'!R$9)*(INDIRECT($AB11)))</f>
        <v>#VALUE!</v>
      </c>
      <c r="S11" s="200" t="e">
        <f aca="true" t="array" ref="S11:S11">SUM((INDIRECT($AA11)&gt;'Central Position Rpt'!S$8)*(INDIRECT($AA11)&lt;'Central Position Rpt'!S$9)*(INDIRECT($AB11)))</f>
        <v>#VALUE!</v>
      </c>
      <c r="T11" s="201" t="e">
        <f aca="true" t="array" ref="T11:T11">SUM((INDIRECT($AA11)&gt;'Central Position Rpt'!T$8)*(INDIRECT($AA11)&lt;'Central Position Rpt'!T$9)*(INDIRECT($AB11)))</f>
        <v>#VALUE!</v>
      </c>
      <c r="V11" s="202" t="e">
        <f aca="false">SUM(H11:T11)</f>
        <v>#VALUE!</v>
      </c>
      <c r="Y11" s="125" t="e">
        <f aca="false">GetWorkSheet($C10)</f>
        <v>#VALUE!</v>
      </c>
      <c r="Z11" s="124"/>
      <c r="AA11" s="125" t="e">
        <f aca="false">IF(NOT($Y11="#VALUE#"),CONCATENATE($Y11,"!",GetDateStart($Y11),":",GetDateEnd($Y11)),"")</f>
        <v>#VALUE!</v>
      </c>
      <c r="AB11" s="125" t="e">
        <f aca="false">IF(NOT($Y11="#VALUE#"),CONCATENATE($Y11,"!",GetDeliveryStart($Y11),":",GetDeliveryEnd($Y11)),"")</f>
        <v>#VALUE!</v>
      </c>
      <c r="AC11" s="125" t="e">
        <f aca="false">GetRecNdx($Z10,$C10)</f>
        <v>#VALUE!</v>
      </c>
    </row>
    <row r="12" customFormat="false" ht="12.75" hidden="false" customHeight="false" outlineLevel="0" collapsed="false">
      <c r="C12" s="115" t="n">
        <v>2</v>
      </c>
      <c r="E12" s="116" t="e">
        <f aca="false">GetPipeName($Z12,$AC12)</f>
        <v>#VALUE!</v>
      </c>
      <c r="F12" s="117" t="e">
        <f aca="false">CONCATENATE(GetRcptPoint($Z12,$AC12)," to ",GetDelPoint($Z12,$AC12))</f>
        <v>#VALUE!</v>
      </c>
      <c r="G12" s="118" t="e">
        <f aca="false">GetRcptBasis($Z12,$AC12)</f>
        <v>#VALUE!</v>
      </c>
      <c r="H12" s="196" t="e">
        <f aca="true" t="array" ref="H12:H12">SUM((INDIRECT($AA12)&gt;'Central Position Rpt'!H$8)*(INDIRECT($AA12)&lt;'Central Position Rpt'!H$9)*(INDIRECT($AB12)))</f>
        <v>#VALUE!</v>
      </c>
      <c r="I12" s="196" t="e">
        <f aca="true" t="array" ref="I12:I12">SUM((INDIRECT($AA12)&gt;'Central Position Rpt'!I$8)*(INDIRECT($AA12)&lt;'Central Position Rpt'!I$9)*(INDIRECT($AB12)))</f>
        <v>#VALUE!</v>
      </c>
      <c r="J12" s="196" t="e">
        <f aca="true" t="array" ref="J12:J12">SUM((INDIRECT($AA12)&gt;'Central Position Rpt'!J$8)*(INDIRECT($AA12)&lt;'Central Position Rpt'!J$9)*(INDIRECT($AB12)))</f>
        <v>#VALUE!</v>
      </c>
      <c r="K12" s="196" t="e">
        <f aca="true" t="array" ref="K12:K12">SUM((INDIRECT($AA12)&gt;'Central Position Rpt'!K$8)*(INDIRECT($AA12)&lt;'Central Position Rpt'!K$9)*(INDIRECT($AB12)))</f>
        <v>#VALUE!</v>
      </c>
      <c r="L12" s="196" t="e">
        <f aca="true" t="array" ref="L12:L12">SUM((INDIRECT($AA12)&gt;'Central Position Rpt'!L$8)*(INDIRECT($AA12)&lt;'Central Position Rpt'!L$9)*(INDIRECT($AB12)))</f>
        <v>#VALUE!</v>
      </c>
      <c r="M12" s="196" t="e">
        <f aca="true" t="array" ref="M12:M12">SUM((INDIRECT($AA12)&gt;'Central Position Rpt'!M$8)*(INDIRECT($AA12)&lt;'Central Position Rpt'!M$9)*(INDIRECT($AB12)))</f>
        <v>#VALUE!</v>
      </c>
      <c r="N12" s="196" t="e">
        <f aca="true" t="array" ref="N12:N12">SUM((INDIRECT($AA12)&gt;'Central Position Rpt'!N$8)*(INDIRECT($AA12)&lt;'Central Position Rpt'!N$9)*(INDIRECT($AB12)))</f>
        <v>#VALUE!</v>
      </c>
      <c r="O12" s="196" t="e">
        <f aca="true" t="array" ref="O12:O12">SUM((INDIRECT($AA12)&gt;'Central Position Rpt'!O$8)*(INDIRECT($AA12)&lt;'Central Position Rpt'!O$9)*(INDIRECT($AB12)))</f>
        <v>#VALUE!</v>
      </c>
      <c r="P12" s="196" t="e">
        <f aca="true" t="array" ref="P12:P12">SUM((INDIRECT($AA12)&gt;'Central Position Rpt'!P$8)*(INDIRECT($AA12)&lt;'Central Position Rpt'!P$9)*(INDIRECT($AB12)))</f>
        <v>#VALUE!</v>
      </c>
      <c r="Q12" s="196" t="e">
        <f aca="true" t="array" ref="Q12:Q12">SUM((INDIRECT($AA12)&gt;'Central Position Rpt'!Q$8)*(INDIRECT($AA12)&lt;'Central Position Rpt'!Q$9)*(INDIRECT($AB12)))</f>
        <v>#VALUE!</v>
      </c>
      <c r="R12" s="196" t="e">
        <f aca="true" t="array" ref="R12:R12">SUM((INDIRECT($AA12)&gt;'Central Position Rpt'!R$8)*(INDIRECT($AA12)&lt;'Central Position Rpt'!R$9)*(INDIRECT($AB12)))</f>
        <v>#VALUE!</v>
      </c>
      <c r="S12" s="196" t="e">
        <f aca="true" t="array" ref="S12:S12">SUM((INDIRECT($AA12)&gt;'Central Position Rpt'!S$8)*(INDIRECT($AA12)&lt;'Central Position Rpt'!S$9)*(INDIRECT($AB12)))</f>
        <v>#VALUE!</v>
      </c>
      <c r="T12" s="197" t="e">
        <f aca="true" t="array" ref="T12:T12">SUM((INDIRECT($AA12)&gt;'Central Position Rpt'!T$8)*(INDIRECT($AA12)&lt;'Central Position Rpt'!T$9)*(INDIRECT($AB12)))</f>
        <v>#VALUE!</v>
      </c>
      <c r="V12" s="198" t="e">
        <f aca="false">SUM(H12:T12)</f>
        <v>#VALUE!</v>
      </c>
      <c r="Y12" s="125" t="e">
        <f aca="false">GetWorkSheet($C12)</f>
        <v>#VALUE!</v>
      </c>
      <c r="Z12" s="124" t="e">
        <f aca="false">FetchDBPage(Y12)</f>
        <v>#VALUE!</v>
      </c>
      <c r="AA12" s="125" t="e">
        <f aca="false">IF(NOT($Y12="#VALUE#"),CONCATENATE($Y12,"!",GetDateStart($Y12),":",GetDateEnd($Y12)),"")</f>
        <v>#VALUE!</v>
      </c>
      <c r="AB12" s="125" t="e">
        <f aca="false">IF(NOT($Y12="#VALUE#"),CONCATENATE($Y12,"!",GetReceiptStart($Y12),":",GetReceiptEnd($Y12)),"")</f>
        <v>#VALUE!</v>
      </c>
      <c r="AC12" s="125" t="e">
        <f aca="false">GetRecNdx($Z12,$C12)</f>
        <v>#VALUE!</v>
      </c>
    </row>
    <row r="13" customFormat="false" ht="12.75" hidden="false" customHeight="false" outlineLevel="0" collapsed="false">
      <c r="C13" s="115"/>
      <c r="E13" s="116"/>
      <c r="F13" s="117"/>
      <c r="G13" s="126" t="e">
        <f aca="false">GetDelBasis($Z12,$AC13)</f>
        <v>#VALUE!</v>
      </c>
      <c r="H13" s="199" t="e">
        <f aca="true" t="array" ref="H13:H13">SUM((INDIRECT($AA13)&gt;'Central Position Rpt'!H$8)*(INDIRECT($AA13)&lt;'Central Position Rpt'!H$9)*(INDIRECT($AB13)))</f>
        <v>#VALUE!</v>
      </c>
      <c r="I13" s="200" t="e">
        <f aca="true" t="array" ref="I13:I13">SUM((INDIRECT($AA13)&gt;'Central Position Rpt'!I$8)*(INDIRECT($AA13)&lt;'Central Position Rpt'!I$9)*(INDIRECT($AB13)))</f>
        <v>#VALUE!</v>
      </c>
      <c r="J13" s="200" t="e">
        <f aca="true" t="array" ref="J13:J13">SUM((INDIRECT($AA13)&gt;'Central Position Rpt'!J$8)*(INDIRECT($AA13)&lt;'Central Position Rpt'!J$9)*(INDIRECT($AB13)))</f>
        <v>#VALUE!</v>
      </c>
      <c r="K13" s="200" t="e">
        <f aca="true" t="array" ref="K13:K13">SUM((INDIRECT($AA13)&gt;'Central Position Rpt'!K$8)*(INDIRECT($AA13)&lt;'Central Position Rpt'!K$9)*(INDIRECT($AB13)))</f>
        <v>#VALUE!</v>
      </c>
      <c r="L13" s="200" t="e">
        <f aca="true" t="array" ref="L13:L13">SUM((INDIRECT($AA13)&gt;'Central Position Rpt'!L$8)*(INDIRECT($AA13)&lt;'Central Position Rpt'!L$9)*(INDIRECT($AB13)))</f>
        <v>#VALUE!</v>
      </c>
      <c r="M13" s="200" t="e">
        <f aca="true" t="array" ref="M13:M13">SUM((INDIRECT($AA13)&gt;'Central Position Rpt'!M$8)*(INDIRECT($AA13)&lt;'Central Position Rpt'!M$9)*(INDIRECT($AB13)))</f>
        <v>#VALUE!</v>
      </c>
      <c r="N13" s="200" t="e">
        <f aca="true" t="array" ref="N13:N13">SUM((INDIRECT($AA13)&gt;'Central Position Rpt'!N$8)*(INDIRECT($AA13)&lt;'Central Position Rpt'!N$9)*(INDIRECT($AB13)))</f>
        <v>#VALUE!</v>
      </c>
      <c r="O13" s="200" t="e">
        <f aca="true" t="array" ref="O13:O13">SUM((INDIRECT($AA13)&gt;'Central Position Rpt'!O$8)*(INDIRECT($AA13)&lt;'Central Position Rpt'!O$9)*(INDIRECT($AB13)))</f>
        <v>#VALUE!</v>
      </c>
      <c r="P13" s="200" t="e">
        <f aca="true" t="array" ref="P13:P13">SUM((INDIRECT($AA13)&gt;'Central Position Rpt'!P$8)*(INDIRECT($AA13)&lt;'Central Position Rpt'!P$9)*(INDIRECT($AB13)))</f>
        <v>#VALUE!</v>
      </c>
      <c r="Q13" s="200" t="e">
        <f aca="true" t="array" ref="Q13:Q13">SUM((INDIRECT($AA13)&gt;'Central Position Rpt'!Q$8)*(INDIRECT($AA13)&lt;'Central Position Rpt'!Q$9)*(INDIRECT($AB13)))</f>
        <v>#VALUE!</v>
      </c>
      <c r="R13" s="200" t="e">
        <f aca="true" t="array" ref="R13:R13">SUM((INDIRECT($AA13)&gt;'Central Position Rpt'!R$8)*(INDIRECT($AA13)&lt;'Central Position Rpt'!R$9)*(INDIRECT($AB13)))</f>
        <v>#VALUE!</v>
      </c>
      <c r="S13" s="200" t="e">
        <f aca="true" t="array" ref="S13:S13">SUM((INDIRECT($AA13)&gt;'Central Position Rpt'!S$8)*(INDIRECT($AA13)&lt;'Central Position Rpt'!S$9)*(INDIRECT($AB13)))</f>
        <v>#VALUE!</v>
      </c>
      <c r="T13" s="201" t="e">
        <f aca="true" t="array" ref="T13:T13">SUM((INDIRECT($AA13)&gt;'Central Position Rpt'!T$8)*(INDIRECT($AA13)&lt;'Central Position Rpt'!T$9)*(INDIRECT($AB13)))</f>
        <v>#VALUE!</v>
      </c>
      <c r="V13" s="202" t="e">
        <f aca="false">SUM(H13:T13)</f>
        <v>#VALUE!</v>
      </c>
      <c r="Y13" s="125" t="e">
        <f aca="false">GetWorkSheet($C12)</f>
        <v>#VALUE!</v>
      </c>
      <c r="Z13" s="124"/>
      <c r="AA13" s="125" t="e">
        <f aca="false">IF(NOT($Y13="#VALUE#"),CONCATENATE($Y13,"!",GetDateStart($Y13),":",GetDateEnd($Y13)),"")</f>
        <v>#VALUE!</v>
      </c>
      <c r="AB13" s="125" t="e">
        <f aca="false">IF(NOT($Y13="#VALUE#"),CONCATENATE($Y13,"!",GetDeliveryStart($Y13),":",GetDeliveryEnd($Y13)),"")</f>
        <v>#VALUE!</v>
      </c>
      <c r="AC13" s="125" t="e">
        <f aca="false">GetRecNdx($Z12,$C12)</f>
        <v>#VALUE!</v>
      </c>
    </row>
    <row r="14" customFormat="false" ht="12.75" hidden="false" customHeight="false" outlineLevel="0" collapsed="false">
      <c r="C14" s="115" t="n">
        <v>25</v>
      </c>
      <c r="E14" s="116" t="e">
        <f aca="false">GetPipeName($Z14,$AC14)</f>
        <v>#VALUE!</v>
      </c>
      <c r="F14" s="117" t="e">
        <f aca="false">CONCATENATE(GetRcptPoint($Z14,$AC14)," to ",GetDelPoint($Z14,$AC14))</f>
        <v>#VALUE!</v>
      </c>
      <c r="G14" s="118" t="e">
        <f aca="false">GetRcptBasis($Z14,$AC14)</f>
        <v>#VALUE!</v>
      </c>
      <c r="H14" s="196" t="e">
        <f aca="true" t="array" ref="H14:H14">SUM((INDIRECT($AA14)&gt;'Central Position Rpt'!H$8)*(INDIRECT($AA14)&lt;'Central Position Rpt'!H$9)*(INDIRECT($AB14)))</f>
        <v>#VALUE!</v>
      </c>
      <c r="I14" s="196" t="e">
        <f aca="true" t="array" ref="I14:I14">SUM((INDIRECT($AA14)&gt;'Central Position Rpt'!I$8)*(INDIRECT($AA14)&lt;'Central Position Rpt'!I$9)*(INDIRECT($AB14)))</f>
        <v>#VALUE!</v>
      </c>
      <c r="J14" s="196" t="e">
        <f aca="true" t="array" ref="J14:J14">SUM((INDIRECT($AA14)&gt;'Central Position Rpt'!J$8)*(INDIRECT($AA14)&lt;'Central Position Rpt'!J$9)*(INDIRECT($AB14)))</f>
        <v>#VALUE!</v>
      </c>
      <c r="K14" s="196" t="e">
        <f aca="true" t="array" ref="K14:K14">SUM((INDIRECT($AA14)&gt;'Central Position Rpt'!K$8)*(INDIRECT($AA14)&lt;'Central Position Rpt'!K$9)*(INDIRECT($AB14)))</f>
        <v>#VALUE!</v>
      </c>
      <c r="L14" s="196" t="e">
        <f aca="true" t="array" ref="L14:L14">SUM((INDIRECT($AA14)&gt;'Central Position Rpt'!L$8)*(INDIRECT($AA14)&lt;'Central Position Rpt'!L$9)*(INDIRECT($AB14)))</f>
        <v>#VALUE!</v>
      </c>
      <c r="M14" s="196" t="e">
        <f aca="true" t="array" ref="M14:M14">SUM((INDIRECT($AA14)&gt;'Central Position Rpt'!M$8)*(INDIRECT($AA14)&lt;'Central Position Rpt'!M$9)*(INDIRECT($AB14)))</f>
        <v>#VALUE!</v>
      </c>
      <c r="N14" s="196" t="e">
        <f aca="true" t="array" ref="N14:N14">SUM((INDIRECT($AA14)&gt;'Central Position Rpt'!N$8)*(INDIRECT($AA14)&lt;'Central Position Rpt'!N$9)*(INDIRECT($AB14)))</f>
        <v>#VALUE!</v>
      </c>
      <c r="O14" s="196" t="e">
        <f aca="true" t="array" ref="O14:O14">SUM((INDIRECT($AA14)&gt;'Central Position Rpt'!O$8)*(INDIRECT($AA14)&lt;'Central Position Rpt'!O$9)*(INDIRECT($AB14)))</f>
        <v>#VALUE!</v>
      </c>
      <c r="P14" s="196" t="e">
        <f aca="true" t="array" ref="P14:P14">SUM((INDIRECT($AA14)&gt;'Central Position Rpt'!P$8)*(INDIRECT($AA14)&lt;'Central Position Rpt'!P$9)*(INDIRECT($AB14)))</f>
        <v>#VALUE!</v>
      </c>
      <c r="Q14" s="196" t="e">
        <f aca="true" t="array" ref="Q14:Q14">SUM((INDIRECT($AA14)&gt;'Central Position Rpt'!Q$8)*(INDIRECT($AA14)&lt;'Central Position Rpt'!Q$9)*(INDIRECT($AB14)))</f>
        <v>#VALUE!</v>
      </c>
      <c r="R14" s="196" t="e">
        <f aca="true" t="array" ref="R14:R14">SUM((INDIRECT($AA14)&gt;'Central Position Rpt'!R$8)*(INDIRECT($AA14)&lt;'Central Position Rpt'!R$9)*(INDIRECT($AB14)))</f>
        <v>#VALUE!</v>
      </c>
      <c r="S14" s="196" t="e">
        <f aca="true" t="array" ref="S14:S14">SUM((INDIRECT($AA14)&gt;'Central Position Rpt'!S$8)*(INDIRECT($AA14)&lt;'Central Position Rpt'!S$9)*(INDIRECT($AB14)))</f>
        <v>#VALUE!</v>
      </c>
      <c r="T14" s="197" t="e">
        <f aca="true" t="array" ref="T14:T14">SUM((INDIRECT($AA14)&gt;'Central Position Rpt'!T$8)*(INDIRECT($AA14)&lt;'Central Position Rpt'!T$9)*(INDIRECT($AB14)))</f>
        <v>#VALUE!</v>
      </c>
      <c r="V14" s="198" t="e">
        <f aca="false">SUM(H14:T14)</f>
        <v>#VALUE!</v>
      </c>
      <c r="Y14" s="125" t="e">
        <f aca="false">GetWorkSheet($C14)</f>
        <v>#VALUE!</v>
      </c>
      <c r="Z14" s="124" t="e">
        <f aca="false">FetchDBPage(Y14)</f>
        <v>#VALUE!</v>
      </c>
      <c r="AA14" s="125" t="e">
        <f aca="false">IF(NOT($Y14="#VALUE#"),CONCATENATE($Y14,"!",GetDateStart($Y14),":",GetDateEnd($Y14)),"")</f>
        <v>#VALUE!</v>
      </c>
      <c r="AB14" s="125" t="e">
        <f aca="false">IF(NOT($Y14="#VALUE#"),CONCATENATE($Y14,"!",GetReceiptStart($Y14),":",GetReceiptEnd($Y14)),"")</f>
        <v>#VALUE!</v>
      </c>
      <c r="AC14" s="125" t="e">
        <f aca="false">GetRecNdx($Z14,$C14)</f>
        <v>#VALUE!</v>
      </c>
    </row>
    <row r="15" customFormat="false" ht="12.75" hidden="false" customHeight="false" outlineLevel="0" collapsed="false">
      <c r="C15" s="115"/>
      <c r="E15" s="116"/>
      <c r="F15" s="117"/>
      <c r="G15" s="126" t="e">
        <f aca="false">GetDelBasis($Z14,$AC15)</f>
        <v>#VALUE!</v>
      </c>
      <c r="H15" s="199" t="e">
        <f aca="true" t="array" ref="H15:H15">SUM((INDIRECT($AA15)&gt;'Central Position Rpt'!H$8)*(INDIRECT($AA15)&lt;'Central Position Rpt'!H$9)*(INDIRECT($AB15)))</f>
        <v>#VALUE!</v>
      </c>
      <c r="I15" s="200" t="e">
        <f aca="true" t="array" ref="I15:I15">SUM((INDIRECT($AA15)&gt;'Central Position Rpt'!I$8)*(INDIRECT($AA15)&lt;'Central Position Rpt'!I$9)*(INDIRECT($AB15)))</f>
        <v>#VALUE!</v>
      </c>
      <c r="J15" s="200" t="e">
        <f aca="true" t="array" ref="J15:J15">SUM((INDIRECT($AA15)&gt;'Central Position Rpt'!J$8)*(INDIRECT($AA15)&lt;'Central Position Rpt'!J$9)*(INDIRECT($AB15)))</f>
        <v>#VALUE!</v>
      </c>
      <c r="K15" s="200" t="e">
        <f aca="true" t="array" ref="K15:K15">SUM((INDIRECT($AA15)&gt;'Central Position Rpt'!K$8)*(INDIRECT($AA15)&lt;'Central Position Rpt'!K$9)*(INDIRECT($AB15)))</f>
        <v>#VALUE!</v>
      </c>
      <c r="L15" s="200" t="e">
        <f aca="true" t="array" ref="L15:L15">SUM((INDIRECT($AA15)&gt;'Central Position Rpt'!L$8)*(INDIRECT($AA15)&lt;'Central Position Rpt'!L$9)*(INDIRECT($AB15)))</f>
        <v>#VALUE!</v>
      </c>
      <c r="M15" s="200" t="e">
        <f aca="true" t="array" ref="M15:M15">SUM((INDIRECT($AA15)&gt;'Central Position Rpt'!M$8)*(INDIRECT($AA15)&lt;'Central Position Rpt'!M$9)*(INDIRECT($AB15)))</f>
        <v>#VALUE!</v>
      </c>
      <c r="N15" s="200" t="e">
        <f aca="true" t="array" ref="N15:N15">SUM((INDIRECT($AA15)&gt;'Central Position Rpt'!N$8)*(INDIRECT($AA15)&lt;'Central Position Rpt'!N$9)*(INDIRECT($AB15)))</f>
        <v>#VALUE!</v>
      </c>
      <c r="O15" s="200" t="e">
        <f aca="true" t="array" ref="O15:O15">SUM((INDIRECT($AA15)&gt;'Central Position Rpt'!O$8)*(INDIRECT($AA15)&lt;'Central Position Rpt'!O$9)*(INDIRECT($AB15)))</f>
        <v>#VALUE!</v>
      </c>
      <c r="P15" s="200" t="e">
        <f aca="true" t="array" ref="P15:P15">SUM((INDIRECT($AA15)&gt;'Central Position Rpt'!P$8)*(INDIRECT($AA15)&lt;'Central Position Rpt'!P$9)*(INDIRECT($AB15)))</f>
        <v>#VALUE!</v>
      </c>
      <c r="Q15" s="200" t="e">
        <f aca="true" t="array" ref="Q15:Q15">SUM((INDIRECT($AA15)&gt;'Central Position Rpt'!Q$8)*(INDIRECT($AA15)&lt;'Central Position Rpt'!Q$9)*(INDIRECT($AB15)))</f>
        <v>#VALUE!</v>
      </c>
      <c r="R15" s="200" t="e">
        <f aca="true" t="array" ref="R15:R15">SUM((INDIRECT($AA15)&gt;'Central Position Rpt'!R$8)*(INDIRECT($AA15)&lt;'Central Position Rpt'!R$9)*(INDIRECT($AB15)))</f>
        <v>#VALUE!</v>
      </c>
      <c r="S15" s="200" t="e">
        <f aca="true" t="array" ref="S15:S15">SUM((INDIRECT($AA15)&gt;'Central Position Rpt'!S$8)*(INDIRECT($AA15)&lt;'Central Position Rpt'!S$9)*(INDIRECT($AB15)))</f>
        <v>#VALUE!</v>
      </c>
      <c r="T15" s="201" t="e">
        <f aca="true" t="array" ref="T15:T15">SUM((INDIRECT($AA15)&gt;'Central Position Rpt'!T$8)*(INDIRECT($AA15)&lt;'Central Position Rpt'!T$9)*(INDIRECT($AB15)))</f>
        <v>#VALUE!</v>
      </c>
      <c r="V15" s="202" t="e">
        <f aca="false">SUM(H15:T15)</f>
        <v>#VALUE!</v>
      </c>
      <c r="Y15" s="125" t="e">
        <f aca="false">GetWorkSheet($C14)</f>
        <v>#VALUE!</v>
      </c>
      <c r="Z15" s="124"/>
      <c r="AA15" s="125" t="e">
        <f aca="false">IF(NOT($Y15="#VALUE#"),CONCATENATE($Y15,"!",GetDateStart($Y15),":",GetDateEnd($Y15)),"")</f>
        <v>#VALUE!</v>
      </c>
      <c r="AB15" s="125" t="e">
        <f aca="false">IF(NOT($Y15="#VALUE#"),CONCATENATE($Y15,"!",GetDeliveryStart($Y15),":",GetDeliveryEnd($Y15)),"")</f>
        <v>#VALUE!</v>
      </c>
      <c r="AC15" s="125" t="e">
        <f aca="false">GetRecNdx($Z14,$C14)</f>
        <v>#VALUE!</v>
      </c>
    </row>
    <row r="16" customFormat="false" ht="12.75" hidden="false" customHeight="false" outlineLevel="0" collapsed="false">
      <c r="C16" s="115" t="n">
        <v>26</v>
      </c>
      <c r="E16" s="116" t="e">
        <f aca="false">GetPipeName($Z16,$AC16)</f>
        <v>#VALUE!</v>
      </c>
      <c r="F16" s="117" t="e">
        <f aca="false">CONCATENATE(GetRcptPoint($Z16,$AC16)," to ",GetDelPoint($Z16,$AC16))</f>
        <v>#VALUE!</v>
      </c>
      <c r="G16" s="118" t="e">
        <f aca="false">GetRcptBasis($Z16,$AC16)</f>
        <v>#VALUE!</v>
      </c>
      <c r="H16" s="196" t="e">
        <f aca="true" t="array" ref="H16:H16">SUM((INDIRECT($AA16)&gt;'Central Position Rpt'!H$8)*(INDIRECT($AA16)&lt;'Central Position Rpt'!H$9)*(INDIRECT($AB16)))</f>
        <v>#VALUE!</v>
      </c>
      <c r="I16" s="196" t="e">
        <f aca="true" t="array" ref="I16:I16">SUM((INDIRECT($AA16)&gt;'Central Position Rpt'!I$8)*(INDIRECT($AA16)&lt;'Central Position Rpt'!I$9)*(INDIRECT($AB16)))</f>
        <v>#VALUE!</v>
      </c>
      <c r="J16" s="196" t="e">
        <f aca="true" t="array" ref="J16:J16">SUM((INDIRECT($AA16)&gt;'Central Position Rpt'!J$8)*(INDIRECT($AA16)&lt;'Central Position Rpt'!J$9)*(INDIRECT($AB16)))</f>
        <v>#VALUE!</v>
      </c>
      <c r="K16" s="196" t="e">
        <f aca="true" t="array" ref="K16:K16">SUM((INDIRECT($AA16)&gt;'Central Position Rpt'!K$8)*(INDIRECT($AA16)&lt;'Central Position Rpt'!K$9)*(INDIRECT($AB16)))</f>
        <v>#VALUE!</v>
      </c>
      <c r="L16" s="196" t="e">
        <f aca="true" t="array" ref="L16:L16">SUM((INDIRECT($AA16)&gt;'Central Position Rpt'!L$8)*(INDIRECT($AA16)&lt;'Central Position Rpt'!L$9)*(INDIRECT($AB16)))</f>
        <v>#VALUE!</v>
      </c>
      <c r="M16" s="196" t="e">
        <f aca="true" t="array" ref="M16:M16">SUM((INDIRECT($AA16)&gt;'Central Position Rpt'!M$8)*(INDIRECT($AA16)&lt;'Central Position Rpt'!M$9)*(INDIRECT($AB16)))</f>
        <v>#VALUE!</v>
      </c>
      <c r="N16" s="196" t="e">
        <f aca="true" t="array" ref="N16:N16">SUM((INDIRECT($AA16)&gt;'Central Position Rpt'!N$8)*(INDIRECT($AA16)&lt;'Central Position Rpt'!N$9)*(INDIRECT($AB16)))</f>
        <v>#VALUE!</v>
      </c>
      <c r="O16" s="196" t="e">
        <f aca="true" t="array" ref="O16:O16">SUM((INDIRECT($AA16)&gt;'Central Position Rpt'!O$8)*(INDIRECT($AA16)&lt;'Central Position Rpt'!O$9)*(INDIRECT($AB16)))</f>
        <v>#VALUE!</v>
      </c>
      <c r="P16" s="196" t="e">
        <f aca="true" t="array" ref="P16:P16">SUM((INDIRECT($AA16)&gt;'Central Position Rpt'!P$8)*(INDIRECT($AA16)&lt;'Central Position Rpt'!P$9)*(INDIRECT($AB16)))</f>
        <v>#VALUE!</v>
      </c>
      <c r="Q16" s="196" t="e">
        <f aca="true" t="array" ref="Q16:Q16">SUM((INDIRECT($AA16)&gt;'Central Position Rpt'!Q$8)*(INDIRECT($AA16)&lt;'Central Position Rpt'!Q$9)*(INDIRECT($AB16)))</f>
        <v>#VALUE!</v>
      </c>
      <c r="R16" s="196" t="e">
        <f aca="true" t="array" ref="R16:R16">SUM((INDIRECT($AA16)&gt;'Central Position Rpt'!R$8)*(INDIRECT($AA16)&lt;'Central Position Rpt'!R$9)*(INDIRECT($AB16)))</f>
        <v>#VALUE!</v>
      </c>
      <c r="S16" s="196" t="e">
        <f aca="true" t="array" ref="S16:S16">SUM((INDIRECT($AA16)&gt;'Central Position Rpt'!S$8)*(INDIRECT($AA16)&lt;'Central Position Rpt'!S$9)*(INDIRECT($AB16)))</f>
        <v>#VALUE!</v>
      </c>
      <c r="T16" s="197" t="e">
        <f aca="true" t="array" ref="T16:T16">SUM((INDIRECT($AA16)&gt;'Central Position Rpt'!T$8)*(INDIRECT($AA16)&lt;'Central Position Rpt'!T$9)*(INDIRECT($AB16)))</f>
        <v>#VALUE!</v>
      </c>
      <c r="V16" s="198" t="e">
        <f aca="false">SUM(H16:T16)</f>
        <v>#VALUE!</v>
      </c>
      <c r="Y16" s="125" t="e">
        <f aca="false">GetWorkSheet($C16)</f>
        <v>#VALUE!</v>
      </c>
      <c r="Z16" s="124" t="e">
        <f aca="false">FetchDBPage(Y16)</f>
        <v>#VALUE!</v>
      </c>
      <c r="AA16" s="125" t="e">
        <f aca="false">IF(NOT($Y16="#VALUE#"),CONCATENATE($Y16,"!",GetDateStart($Y16),":",GetDateEnd($Y16)),"")</f>
        <v>#VALUE!</v>
      </c>
      <c r="AB16" s="125" t="e">
        <f aca="false">IF(NOT($Y16="#VALUE#"),CONCATENATE($Y16,"!",GetReceiptStart($Y16),":",GetReceiptEnd($Y16)),"")</f>
        <v>#VALUE!</v>
      </c>
      <c r="AC16" s="125" t="e">
        <f aca="false">GetRecNdx($Z16,$C16)</f>
        <v>#VALUE!</v>
      </c>
    </row>
    <row r="17" customFormat="false" ht="12.75" hidden="false" customHeight="false" outlineLevel="0" collapsed="false">
      <c r="C17" s="115"/>
      <c r="E17" s="116"/>
      <c r="F17" s="117"/>
      <c r="G17" s="126" t="e">
        <f aca="false">GetDelBasis($Z16,$AC17)</f>
        <v>#VALUE!</v>
      </c>
      <c r="H17" s="199" t="e">
        <f aca="true" t="array" ref="H17:H17">SUM((INDIRECT($AA17)&gt;'Central Position Rpt'!H$8)*(INDIRECT($AA17)&lt;'Central Position Rpt'!H$9)*(INDIRECT($AB17)))</f>
        <v>#VALUE!</v>
      </c>
      <c r="I17" s="200" t="e">
        <f aca="true" t="array" ref="I17:I17">SUM((INDIRECT($AA17)&gt;'Central Position Rpt'!I$8)*(INDIRECT($AA17)&lt;'Central Position Rpt'!I$9)*(INDIRECT($AB17)))</f>
        <v>#VALUE!</v>
      </c>
      <c r="J17" s="200" t="e">
        <f aca="true" t="array" ref="J17:J17">SUM((INDIRECT($AA17)&gt;'Central Position Rpt'!J$8)*(INDIRECT($AA17)&lt;'Central Position Rpt'!J$9)*(INDIRECT($AB17)))</f>
        <v>#VALUE!</v>
      </c>
      <c r="K17" s="200" t="e">
        <f aca="true" t="array" ref="K17:K17">SUM((INDIRECT($AA17)&gt;'Central Position Rpt'!K$8)*(INDIRECT($AA17)&lt;'Central Position Rpt'!K$9)*(INDIRECT($AB17)))</f>
        <v>#VALUE!</v>
      </c>
      <c r="L17" s="200" t="e">
        <f aca="true" t="array" ref="L17:L17">SUM((INDIRECT($AA17)&gt;'Central Position Rpt'!L$8)*(INDIRECT($AA17)&lt;'Central Position Rpt'!L$9)*(INDIRECT($AB17)))</f>
        <v>#VALUE!</v>
      </c>
      <c r="M17" s="200" t="e">
        <f aca="true" t="array" ref="M17:M17">SUM((INDIRECT($AA17)&gt;'Central Position Rpt'!M$8)*(INDIRECT($AA17)&lt;'Central Position Rpt'!M$9)*(INDIRECT($AB17)))</f>
        <v>#VALUE!</v>
      </c>
      <c r="N17" s="200" t="e">
        <f aca="true" t="array" ref="N17:N17">SUM((INDIRECT($AA17)&gt;'Central Position Rpt'!N$8)*(INDIRECT($AA17)&lt;'Central Position Rpt'!N$9)*(INDIRECT($AB17)))</f>
        <v>#VALUE!</v>
      </c>
      <c r="O17" s="200" t="e">
        <f aca="true" t="array" ref="O17:O17">SUM((INDIRECT($AA17)&gt;'Central Position Rpt'!O$8)*(INDIRECT($AA17)&lt;'Central Position Rpt'!O$9)*(INDIRECT($AB17)))</f>
        <v>#VALUE!</v>
      </c>
      <c r="P17" s="200" t="e">
        <f aca="true" t="array" ref="P17:P17">SUM((INDIRECT($AA17)&gt;'Central Position Rpt'!P$8)*(INDIRECT($AA17)&lt;'Central Position Rpt'!P$9)*(INDIRECT($AB17)))</f>
        <v>#VALUE!</v>
      </c>
      <c r="Q17" s="200" t="e">
        <f aca="true" t="array" ref="Q17:Q17">SUM((INDIRECT($AA17)&gt;'Central Position Rpt'!Q$8)*(INDIRECT($AA17)&lt;'Central Position Rpt'!Q$9)*(INDIRECT($AB17)))</f>
        <v>#VALUE!</v>
      </c>
      <c r="R17" s="200" t="e">
        <f aca="true" t="array" ref="R17:R17">SUM((INDIRECT($AA17)&gt;'Central Position Rpt'!R$8)*(INDIRECT($AA17)&lt;'Central Position Rpt'!R$9)*(INDIRECT($AB17)))</f>
        <v>#VALUE!</v>
      </c>
      <c r="S17" s="200" t="e">
        <f aca="true" t="array" ref="S17:S17">SUM((INDIRECT($AA17)&gt;'Central Position Rpt'!S$8)*(INDIRECT($AA17)&lt;'Central Position Rpt'!S$9)*(INDIRECT($AB17)))</f>
        <v>#VALUE!</v>
      </c>
      <c r="T17" s="201" t="e">
        <f aca="true" t="array" ref="T17:T17">SUM((INDIRECT($AA17)&gt;'Central Position Rpt'!T$8)*(INDIRECT($AA17)&lt;'Central Position Rpt'!T$9)*(INDIRECT($AB17)))</f>
        <v>#VALUE!</v>
      </c>
      <c r="V17" s="202" t="e">
        <f aca="false">SUM(H17:T17)</f>
        <v>#VALUE!</v>
      </c>
      <c r="Y17" s="125" t="e">
        <f aca="false">GetWorkSheet($C16)</f>
        <v>#VALUE!</v>
      </c>
      <c r="Z17" s="124"/>
      <c r="AA17" s="125" t="e">
        <f aca="false">IF(NOT($Y17="#VALUE#"),CONCATENATE($Y17,"!",GetDateStart($Y17),":",GetDateEnd($Y17)),"")</f>
        <v>#VALUE!</v>
      </c>
      <c r="AB17" s="125" t="e">
        <f aca="false">IF(NOT($Y17="#VALUE#"),CONCATENATE($Y17,"!",GetDeliveryStart($Y17),":",GetDeliveryEnd($Y17)),"")</f>
        <v>#VALUE!</v>
      </c>
      <c r="AC17" s="125" t="e">
        <f aca="false">GetRecNdx($Z16,$C16)</f>
        <v>#VALUE!</v>
      </c>
    </row>
    <row r="18" customFormat="false" ht="12.75" hidden="false" customHeight="false" outlineLevel="0" collapsed="false">
      <c r="C18" s="115" t="n">
        <v>72</v>
      </c>
      <c r="E18" s="116" t="e">
        <f aca="false">GetPipeName($Z18,$AC18)</f>
        <v>#VALUE!</v>
      </c>
      <c r="F18" s="117" t="e">
        <f aca="false">CONCATENATE(GetRcptPoint($Z18,$AC18)," to ",GetDelPoint($Z18,$AC18))</f>
        <v>#VALUE!</v>
      </c>
      <c r="G18" s="118" t="e">
        <f aca="false">GetRcptBasis($Z18,$AC18)</f>
        <v>#VALUE!</v>
      </c>
      <c r="H18" s="196" t="e">
        <f aca="true" t="array" ref="H18:H18">SUM((INDIRECT($AA18)&gt;'Central Position Rpt'!H$8)*(INDIRECT($AA18)&lt;'Central Position Rpt'!H$9)*(INDIRECT($AB18)))</f>
        <v>#VALUE!</v>
      </c>
      <c r="I18" s="196" t="e">
        <f aca="true" t="array" ref="I18:I18">SUM((INDIRECT($AA18)&gt;'Central Position Rpt'!I$8)*(INDIRECT($AA18)&lt;'Central Position Rpt'!I$9)*(INDIRECT($AB18)))</f>
        <v>#VALUE!</v>
      </c>
      <c r="J18" s="196" t="e">
        <f aca="true" t="array" ref="J18:J18">SUM((INDIRECT($AA18)&gt;'Central Position Rpt'!J$8)*(INDIRECT($AA18)&lt;'Central Position Rpt'!J$9)*(INDIRECT($AB18)))</f>
        <v>#VALUE!</v>
      </c>
      <c r="K18" s="196" t="e">
        <f aca="true" t="array" ref="K18:K18">SUM((INDIRECT($AA18)&gt;'Central Position Rpt'!K$8)*(INDIRECT($AA18)&lt;'Central Position Rpt'!K$9)*(INDIRECT($AB18)))</f>
        <v>#VALUE!</v>
      </c>
      <c r="L18" s="196" t="e">
        <f aca="true" t="array" ref="L18:L18">SUM((INDIRECT($AA18)&gt;'Central Position Rpt'!L$8)*(INDIRECT($AA18)&lt;'Central Position Rpt'!L$9)*(INDIRECT($AB18)))</f>
        <v>#VALUE!</v>
      </c>
      <c r="M18" s="196" t="e">
        <f aca="true" t="array" ref="M18:M18">SUM((INDIRECT($AA18)&gt;'Central Position Rpt'!M$8)*(INDIRECT($AA18)&lt;'Central Position Rpt'!M$9)*(INDIRECT($AB18)))</f>
        <v>#VALUE!</v>
      </c>
      <c r="N18" s="196" t="e">
        <f aca="true" t="array" ref="N18:N18">SUM((INDIRECT($AA18)&gt;'Central Position Rpt'!N$8)*(INDIRECT($AA18)&lt;'Central Position Rpt'!N$9)*(INDIRECT($AB18)))</f>
        <v>#VALUE!</v>
      </c>
      <c r="O18" s="196" t="e">
        <f aca="true" t="array" ref="O18:O18">SUM((INDIRECT($AA18)&gt;'Central Position Rpt'!O$8)*(INDIRECT($AA18)&lt;'Central Position Rpt'!O$9)*(INDIRECT($AB18)))</f>
        <v>#VALUE!</v>
      </c>
      <c r="P18" s="196" t="e">
        <f aca="true" t="array" ref="P18:P18">SUM((INDIRECT($AA18)&gt;'Central Position Rpt'!P$8)*(INDIRECT($AA18)&lt;'Central Position Rpt'!P$9)*(INDIRECT($AB18)))</f>
        <v>#VALUE!</v>
      </c>
      <c r="Q18" s="196" t="e">
        <f aca="true" t="array" ref="Q18:Q18">SUM((INDIRECT($AA18)&gt;'Central Position Rpt'!Q$8)*(INDIRECT($AA18)&lt;'Central Position Rpt'!Q$9)*(INDIRECT($AB18)))</f>
        <v>#VALUE!</v>
      </c>
      <c r="R18" s="196" t="e">
        <f aca="true" t="array" ref="R18:R18">SUM((INDIRECT($AA18)&gt;'Central Position Rpt'!R$8)*(INDIRECT($AA18)&lt;'Central Position Rpt'!R$9)*(INDIRECT($AB18)))</f>
        <v>#VALUE!</v>
      </c>
      <c r="S18" s="196" t="e">
        <f aca="true" t="array" ref="S18:S18">SUM((INDIRECT($AA18)&gt;'Central Position Rpt'!S$8)*(INDIRECT($AA18)&lt;'Central Position Rpt'!S$9)*(INDIRECT($AB18)))</f>
        <v>#VALUE!</v>
      </c>
      <c r="T18" s="197" t="e">
        <f aca="true" t="array" ref="T18:T18">SUM((INDIRECT($AA18)&gt;'Central Position Rpt'!T$8)*(INDIRECT($AA18)&lt;'Central Position Rpt'!T$9)*(INDIRECT($AB18)))</f>
        <v>#VALUE!</v>
      </c>
      <c r="V18" s="198" t="e">
        <f aca="false">SUM(H18:T18)</f>
        <v>#VALUE!</v>
      </c>
      <c r="Y18" s="125" t="e">
        <f aca="false">GetWorkSheet($C18)</f>
        <v>#VALUE!</v>
      </c>
      <c r="Z18" s="124" t="e">
        <f aca="false">FetchDBPage(Y18)</f>
        <v>#VALUE!</v>
      </c>
      <c r="AA18" s="125" t="e">
        <f aca="false">IF(NOT($Y18="#VALUE#"),CONCATENATE($Y18,"!",GetDateStart($Y18),":",GetDateEnd($Y18)),"")</f>
        <v>#VALUE!</v>
      </c>
      <c r="AB18" s="125" t="e">
        <f aca="false">IF(NOT($Y18="#VALUE#"),CONCATENATE($Y18,"!",GetReceiptStart($Y18),":",GetReceiptEnd($Y18)),"")</f>
        <v>#VALUE!</v>
      </c>
      <c r="AC18" s="125" t="e">
        <f aca="false">GetRecNdx($Z18,$C18)</f>
        <v>#VALUE!</v>
      </c>
    </row>
    <row r="19" customFormat="false" ht="12.75" hidden="false" customHeight="false" outlineLevel="0" collapsed="false">
      <c r="C19" s="115"/>
      <c r="E19" s="116"/>
      <c r="F19" s="117"/>
      <c r="G19" s="126" t="e">
        <f aca="false">GetDelBasis($Z18,$AC19)</f>
        <v>#VALUE!</v>
      </c>
      <c r="H19" s="199" t="e">
        <f aca="true" t="array" ref="H19:H19">SUM((INDIRECT($AA19)&gt;'Central Position Rpt'!H$8)*(INDIRECT($AA19)&lt;'Central Position Rpt'!H$9)*(INDIRECT($AB19)))</f>
        <v>#VALUE!</v>
      </c>
      <c r="I19" s="200" t="e">
        <f aca="true" t="array" ref="I19:I19">SUM((INDIRECT($AA19)&gt;'Central Position Rpt'!I$8)*(INDIRECT($AA19)&lt;'Central Position Rpt'!I$9)*(INDIRECT($AB19)))</f>
        <v>#VALUE!</v>
      </c>
      <c r="J19" s="200" t="e">
        <f aca="true" t="array" ref="J19:J19">SUM((INDIRECT($AA19)&gt;'Central Position Rpt'!J$8)*(INDIRECT($AA19)&lt;'Central Position Rpt'!J$9)*(INDIRECT($AB19)))</f>
        <v>#VALUE!</v>
      </c>
      <c r="K19" s="200" t="e">
        <f aca="true" t="array" ref="K19:K19">SUM((INDIRECT($AA19)&gt;'Central Position Rpt'!K$8)*(INDIRECT($AA19)&lt;'Central Position Rpt'!K$9)*(INDIRECT($AB19)))</f>
        <v>#VALUE!</v>
      </c>
      <c r="L19" s="200" t="e">
        <f aca="true" t="array" ref="L19:L19">SUM((INDIRECT($AA19)&gt;'Central Position Rpt'!L$8)*(INDIRECT($AA19)&lt;'Central Position Rpt'!L$9)*(INDIRECT($AB19)))</f>
        <v>#VALUE!</v>
      </c>
      <c r="M19" s="200" t="e">
        <f aca="true" t="array" ref="M19:M19">SUM((INDIRECT($AA19)&gt;'Central Position Rpt'!M$8)*(INDIRECT($AA19)&lt;'Central Position Rpt'!M$9)*(INDIRECT($AB19)))</f>
        <v>#VALUE!</v>
      </c>
      <c r="N19" s="200" t="e">
        <f aca="true" t="array" ref="N19:N19">SUM((INDIRECT($AA19)&gt;'Central Position Rpt'!N$8)*(INDIRECT($AA19)&lt;'Central Position Rpt'!N$9)*(INDIRECT($AB19)))</f>
        <v>#VALUE!</v>
      </c>
      <c r="O19" s="200" t="e">
        <f aca="true" t="array" ref="O19:O19">SUM((INDIRECT($AA19)&gt;'Central Position Rpt'!O$8)*(INDIRECT($AA19)&lt;'Central Position Rpt'!O$9)*(INDIRECT($AB19)))</f>
        <v>#VALUE!</v>
      </c>
      <c r="P19" s="200" t="e">
        <f aca="true" t="array" ref="P19:P19">SUM((INDIRECT($AA19)&gt;'Central Position Rpt'!P$8)*(INDIRECT($AA19)&lt;'Central Position Rpt'!P$9)*(INDIRECT($AB19)))</f>
        <v>#VALUE!</v>
      </c>
      <c r="Q19" s="200" t="e">
        <f aca="true" t="array" ref="Q19:Q19">SUM((INDIRECT($AA19)&gt;'Central Position Rpt'!Q$8)*(INDIRECT($AA19)&lt;'Central Position Rpt'!Q$9)*(INDIRECT($AB19)))</f>
        <v>#VALUE!</v>
      </c>
      <c r="R19" s="200" t="e">
        <f aca="true" t="array" ref="R19:R19">SUM((INDIRECT($AA19)&gt;'Central Position Rpt'!R$8)*(INDIRECT($AA19)&lt;'Central Position Rpt'!R$9)*(INDIRECT($AB19)))</f>
        <v>#VALUE!</v>
      </c>
      <c r="S19" s="200" t="e">
        <f aca="true" t="array" ref="S19:S19">SUM((INDIRECT($AA19)&gt;'Central Position Rpt'!S$8)*(INDIRECT($AA19)&lt;'Central Position Rpt'!S$9)*(INDIRECT($AB19)))</f>
        <v>#VALUE!</v>
      </c>
      <c r="T19" s="201" t="e">
        <f aca="true" t="array" ref="T19:T19">SUM((INDIRECT($AA19)&gt;'Central Position Rpt'!T$8)*(INDIRECT($AA19)&lt;'Central Position Rpt'!T$9)*(INDIRECT($AB19)))</f>
        <v>#VALUE!</v>
      </c>
      <c r="V19" s="202" t="e">
        <f aca="false">SUM(H19:T19)</f>
        <v>#VALUE!</v>
      </c>
      <c r="Y19" s="125" t="e">
        <f aca="false">GetWorkSheet($C18)</f>
        <v>#VALUE!</v>
      </c>
      <c r="Z19" s="124"/>
      <c r="AA19" s="125" t="e">
        <f aca="false">IF(NOT($Y19="#VALUE#"),CONCATENATE($Y19,"!",GetDateStart($Y19),":",GetDateEnd($Y19)),"")</f>
        <v>#VALUE!</v>
      </c>
      <c r="AB19" s="125" t="e">
        <f aca="false">IF(NOT($Y19="#VALUE#"),CONCATENATE($Y19,"!",GetDeliveryStart($Y19),":",GetDeliveryEnd($Y19)),"")</f>
        <v>#VALUE!</v>
      </c>
      <c r="AC19" s="125" t="e">
        <f aca="false">GetRecNdx($Z18,$C18)</f>
        <v>#VALUE!</v>
      </c>
    </row>
    <row r="20" customFormat="false" ht="12.75" hidden="false" customHeight="false" outlineLevel="0" collapsed="false">
      <c r="C20" s="115" t="n">
        <v>107</v>
      </c>
      <c r="E20" s="116" t="e">
        <f aca="false">GetPipeName($Z20,$AC20)</f>
        <v>#VALUE!</v>
      </c>
      <c r="F20" s="117" t="e">
        <f aca="false">CONCATENATE(GetRcptPoint($Z20,$AC20)," to ",GetDelPoint($Z20,$AC20))</f>
        <v>#VALUE!</v>
      </c>
      <c r="G20" s="118" t="e">
        <f aca="false">GetRcptBasis($Z20,$AC20)</f>
        <v>#VALUE!</v>
      </c>
      <c r="H20" s="196" t="e">
        <f aca="true" t="array" ref="H20:H20">SUM((INDIRECT($AA20)&gt;'Central Position Rpt'!H$8)*(INDIRECT($AA20)&lt;'Central Position Rpt'!H$9)*(INDIRECT($AB20)))</f>
        <v>#VALUE!</v>
      </c>
      <c r="I20" s="196" t="e">
        <f aca="true" t="array" ref="I20:I20">SUM((INDIRECT($AA20)&gt;'Central Position Rpt'!I$8)*(INDIRECT($AA20)&lt;'Central Position Rpt'!I$9)*(INDIRECT($AB20)))</f>
        <v>#VALUE!</v>
      </c>
      <c r="J20" s="196" t="e">
        <f aca="true" t="array" ref="J20:J20">SUM((INDIRECT($AA20)&gt;'Central Position Rpt'!J$8)*(INDIRECT($AA20)&lt;'Central Position Rpt'!J$9)*(INDIRECT($AB20)))</f>
        <v>#VALUE!</v>
      </c>
      <c r="K20" s="196" t="e">
        <f aca="true" t="array" ref="K20:K20">SUM((INDIRECT($AA20)&gt;'Central Position Rpt'!K$8)*(INDIRECT($AA20)&lt;'Central Position Rpt'!K$9)*(INDIRECT($AB20)))</f>
        <v>#VALUE!</v>
      </c>
      <c r="L20" s="196" t="e">
        <f aca="true" t="array" ref="L20:L20">SUM((INDIRECT($AA20)&gt;'Central Position Rpt'!L$8)*(INDIRECT($AA20)&lt;'Central Position Rpt'!L$9)*(INDIRECT($AB20)))</f>
        <v>#VALUE!</v>
      </c>
      <c r="M20" s="196" t="e">
        <f aca="true" t="array" ref="M20:M20">SUM((INDIRECT($AA20)&gt;'Central Position Rpt'!M$8)*(INDIRECT($AA20)&lt;'Central Position Rpt'!M$9)*(INDIRECT($AB20)))</f>
        <v>#VALUE!</v>
      </c>
      <c r="N20" s="196" t="e">
        <f aca="true" t="array" ref="N20:N20">SUM((INDIRECT($AA20)&gt;'Central Position Rpt'!N$8)*(INDIRECT($AA20)&lt;'Central Position Rpt'!N$9)*(INDIRECT($AB20)))</f>
        <v>#VALUE!</v>
      </c>
      <c r="O20" s="196" t="e">
        <f aca="true" t="array" ref="O20:O20">SUM((INDIRECT($AA20)&gt;'Central Position Rpt'!O$8)*(INDIRECT($AA20)&lt;'Central Position Rpt'!O$9)*(INDIRECT($AB20)))</f>
        <v>#VALUE!</v>
      </c>
      <c r="P20" s="196" t="e">
        <f aca="true" t="array" ref="P20:P20">SUM((INDIRECT($AA20)&gt;'Central Position Rpt'!P$8)*(INDIRECT($AA20)&lt;'Central Position Rpt'!P$9)*(INDIRECT($AB20)))</f>
        <v>#VALUE!</v>
      </c>
      <c r="Q20" s="196" t="e">
        <f aca="true" t="array" ref="Q20:Q20">SUM((INDIRECT($AA20)&gt;'Central Position Rpt'!Q$8)*(INDIRECT($AA20)&lt;'Central Position Rpt'!Q$9)*(INDIRECT($AB20)))</f>
        <v>#VALUE!</v>
      </c>
      <c r="R20" s="196" t="e">
        <f aca="true" t="array" ref="R20:R20">SUM((INDIRECT($AA20)&gt;'Central Position Rpt'!R$8)*(INDIRECT($AA20)&lt;'Central Position Rpt'!R$9)*(INDIRECT($AB20)))</f>
        <v>#VALUE!</v>
      </c>
      <c r="S20" s="196" t="e">
        <f aca="true" t="array" ref="S20:S20">SUM((INDIRECT($AA20)&gt;'Central Position Rpt'!S$8)*(INDIRECT($AA20)&lt;'Central Position Rpt'!S$9)*(INDIRECT($AB20)))</f>
        <v>#VALUE!</v>
      </c>
      <c r="T20" s="197" t="e">
        <f aca="true" t="array" ref="T20:T20">SUM((INDIRECT($AA20)&gt;'Central Position Rpt'!T$8)*(INDIRECT($AA20)&lt;'Central Position Rpt'!T$9)*(INDIRECT($AB20)))</f>
        <v>#VALUE!</v>
      </c>
      <c r="V20" s="198" t="e">
        <f aca="false">SUM(H20:T20)</f>
        <v>#VALUE!</v>
      </c>
      <c r="Y20" s="125" t="e">
        <f aca="false">GetWorkSheet($C20)</f>
        <v>#VALUE!</v>
      </c>
      <c r="Z20" s="124" t="e">
        <f aca="false">FetchDBPage(Y20)</f>
        <v>#VALUE!</v>
      </c>
      <c r="AA20" s="125" t="e">
        <f aca="false">IF(NOT($Y20="#VALUE#"),CONCATENATE($Y20,"!",GetDateStart($Y20),":",GetDateEnd($Y20)),"")</f>
        <v>#VALUE!</v>
      </c>
      <c r="AB20" s="125" t="e">
        <f aca="false">IF(NOT($Y20="#VALUE#"),CONCATENATE($Y20,"!",GetReceiptStart($Y20),":",GetReceiptEnd($Y20)),"")</f>
        <v>#VALUE!</v>
      </c>
      <c r="AC20" s="125" t="e">
        <f aca="false">GetRecNdx($Z20,$C20)</f>
        <v>#VALUE!</v>
      </c>
    </row>
    <row r="21" customFormat="false" ht="12.75" hidden="false" customHeight="false" outlineLevel="0" collapsed="false">
      <c r="C21" s="115"/>
      <c r="E21" s="116"/>
      <c r="F21" s="117"/>
      <c r="G21" s="126" t="e">
        <f aca="false">GetDelBasis($Z20,$AC21)</f>
        <v>#VALUE!</v>
      </c>
      <c r="H21" s="199" t="e">
        <f aca="true" t="array" ref="H21:H21">SUM((INDIRECT($AA21)&gt;'Central Position Rpt'!H$8)*(INDIRECT($AA21)&lt;'Central Position Rpt'!H$9)*(INDIRECT($AB21)))</f>
        <v>#VALUE!</v>
      </c>
      <c r="I21" s="200" t="e">
        <f aca="true" t="array" ref="I21:I21">SUM((INDIRECT($AA21)&gt;'Central Position Rpt'!I$8)*(INDIRECT($AA21)&lt;'Central Position Rpt'!I$9)*(INDIRECT($AB21)))</f>
        <v>#VALUE!</v>
      </c>
      <c r="J21" s="200" t="e">
        <f aca="true" t="array" ref="J21:J21">SUM((INDIRECT($AA21)&gt;'Central Position Rpt'!J$8)*(INDIRECT($AA21)&lt;'Central Position Rpt'!J$9)*(INDIRECT($AB21)))</f>
        <v>#VALUE!</v>
      </c>
      <c r="K21" s="200" t="e">
        <f aca="true" t="array" ref="K21:K21">SUM((INDIRECT($AA21)&gt;'Central Position Rpt'!K$8)*(INDIRECT($AA21)&lt;'Central Position Rpt'!K$9)*(INDIRECT($AB21)))</f>
        <v>#VALUE!</v>
      </c>
      <c r="L21" s="200" t="e">
        <f aca="true" t="array" ref="L21:L21">SUM((INDIRECT($AA21)&gt;'Central Position Rpt'!L$8)*(INDIRECT($AA21)&lt;'Central Position Rpt'!L$9)*(INDIRECT($AB21)))</f>
        <v>#VALUE!</v>
      </c>
      <c r="M21" s="200" t="e">
        <f aca="true" t="array" ref="M21:M21">SUM((INDIRECT($AA21)&gt;'Central Position Rpt'!M$8)*(INDIRECT($AA21)&lt;'Central Position Rpt'!M$9)*(INDIRECT($AB21)))</f>
        <v>#VALUE!</v>
      </c>
      <c r="N21" s="200" t="e">
        <f aca="true" t="array" ref="N21:N21">SUM((INDIRECT($AA21)&gt;'Central Position Rpt'!N$8)*(INDIRECT($AA21)&lt;'Central Position Rpt'!N$9)*(INDIRECT($AB21)))</f>
        <v>#VALUE!</v>
      </c>
      <c r="O21" s="200" t="e">
        <f aca="true" t="array" ref="O21:O21">SUM((INDIRECT($AA21)&gt;'Central Position Rpt'!O$8)*(INDIRECT($AA21)&lt;'Central Position Rpt'!O$9)*(INDIRECT($AB21)))</f>
        <v>#VALUE!</v>
      </c>
      <c r="P21" s="200" t="e">
        <f aca="true" t="array" ref="P21:P21">SUM((INDIRECT($AA21)&gt;'Central Position Rpt'!P$8)*(INDIRECT($AA21)&lt;'Central Position Rpt'!P$9)*(INDIRECT($AB21)))</f>
        <v>#VALUE!</v>
      </c>
      <c r="Q21" s="200" t="e">
        <f aca="true" t="array" ref="Q21:Q21">SUM((INDIRECT($AA21)&gt;'Central Position Rpt'!Q$8)*(INDIRECT($AA21)&lt;'Central Position Rpt'!Q$9)*(INDIRECT($AB21)))</f>
        <v>#VALUE!</v>
      </c>
      <c r="R21" s="200" t="e">
        <f aca="true" t="array" ref="R21:R21">SUM((INDIRECT($AA21)&gt;'Central Position Rpt'!R$8)*(INDIRECT($AA21)&lt;'Central Position Rpt'!R$9)*(INDIRECT($AB21)))</f>
        <v>#VALUE!</v>
      </c>
      <c r="S21" s="200" t="e">
        <f aca="true" t="array" ref="S21:S21">SUM((INDIRECT($AA21)&gt;'Central Position Rpt'!S$8)*(INDIRECT($AA21)&lt;'Central Position Rpt'!S$9)*(INDIRECT($AB21)))</f>
        <v>#VALUE!</v>
      </c>
      <c r="T21" s="201" t="e">
        <f aca="true" t="array" ref="T21:T21">SUM((INDIRECT($AA21)&gt;'Central Position Rpt'!T$8)*(INDIRECT($AA21)&lt;'Central Position Rpt'!T$9)*(INDIRECT($AB21)))</f>
        <v>#VALUE!</v>
      </c>
      <c r="V21" s="202" t="e">
        <f aca="false">SUM(H21:T21)</f>
        <v>#VALUE!</v>
      </c>
      <c r="Y21" s="125" t="e">
        <f aca="false">GetWorkSheet($C20)</f>
        <v>#VALUE!</v>
      </c>
      <c r="Z21" s="124"/>
      <c r="AA21" s="125" t="e">
        <f aca="false">IF(NOT($Y21="#VALUE#"),CONCATENATE($Y21,"!",GetDateStart($Y21),":",GetDateEnd($Y21)),"")</f>
        <v>#VALUE!</v>
      </c>
      <c r="AB21" s="125" t="e">
        <f aca="false">IF(NOT($Y21="#VALUE#"),CONCATENATE($Y21,"!",GetDeliveryStart($Y21),":",GetDeliveryEnd($Y21)),"")</f>
        <v>#VALUE!</v>
      </c>
      <c r="AC21" s="125" t="e">
        <f aca="false">GetRecNdx($Z20,$C20)</f>
        <v>#VALUE!</v>
      </c>
    </row>
    <row r="22" customFormat="false" ht="12.75" hidden="false" customHeight="false" outlineLevel="0" collapsed="false">
      <c r="C22" s="115" t="n">
        <v>108</v>
      </c>
      <c r="E22" s="116" t="e">
        <f aca="false">GetPipeName($Z22,$AC22)</f>
        <v>#VALUE!</v>
      </c>
      <c r="F22" s="117" t="e">
        <f aca="false">CONCATENATE(GetRcptPoint($Z22,$AC22)," to ",GetDelPoint($Z22,$AC22))</f>
        <v>#VALUE!</v>
      </c>
      <c r="G22" s="118" t="e">
        <f aca="false">GetRcptBasis($Z22,$AC22)</f>
        <v>#VALUE!</v>
      </c>
      <c r="H22" s="196" t="e">
        <f aca="true" t="array" ref="H22:H22">SUM((INDIRECT($AA22)&gt;'Central Position Rpt'!H$8)*(INDIRECT($AA22)&lt;'Central Position Rpt'!H$9)*(INDIRECT($AB22)))</f>
        <v>#VALUE!</v>
      </c>
      <c r="I22" s="196" t="e">
        <f aca="true" t="array" ref="I22:I22">SUM((INDIRECT($AA22)&gt;'Central Position Rpt'!I$8)*(INDIRECT($AA22)&lt;'Central Position Rpt'!I$9)*(INDIRECT($AB22)))</f>
        <v>#VALUE!</v>
      </c>
      <c r="J22" s="196" t="e">
        <f aca="true" t="array" ref="J22:J22">SUM((INDIRECT($AA22)&gt;'Central Position Rpt'!J$8)*(INDIRECT($AA22)&lt;'Central Position Rpt'!J$9)*(INDIRECT($AB22)))</f>
        <v>#VALUE!</v>
      </c>
      <c r="K22" s="196" t="e">
        <f aca="true" t="array" ref="K22:K22">SUM((INDIRECT($AA22)&gt;'Central Position Rpt'!K$8)*(INDIRECT($AA22)&lt;'Central Position Rpt'!K$9)*(INDIRECT($AB22)))</f>
        <v>#VALUE!</v>
      </c>
      <c r="L22" s="196" t="e">
        <f aca="true" t="array" ref="L22:L22">SUM((INDIRECT($AA22)&gt;'Central Position Rpt'!L$8)*(INDIRECT($AA22)&lt;'Central Position Rpt'!L$9)*(INDIRECT($AB22)))</f>
        <v>#VALUE!</v>
      </c>
      <c r="M22" s="196" t="e">
        <f aca="true" t="array" ref="M22:M22">SUM((INDIRECT($AA22)&gt;'Central Position Rpt'!M$8)*(INDIRECT($AA22)&lt;'Central Position Rpt'!M$9)*(INDIRECT($AB22)))</f>
        <v>#VALUE!</v>
      </c>
      <c r="N22" s="196" t="e">
        <f aca="true" t="array" ref="N22:N22">SUM((INDIRECT($AA22)&gt;'Central Position Rpt'!N$8)*(INDIRECT($AA22)&lt;'Central Position Rpt'!N$9)*(INDIRECT($AB22)))</f>
        <v>#VALUE!</v>
      </c>
      <c r="O22" s="196" t="e">
        <f aca="true" t="array" ref="O22:O22">SUM((INDIRECT($AA22)&gt;'Central Position Rpt'!O$8)*(INDIRECT($AA22)&lt;'Central Position Rpt'!O$9)*(INDIRECT($AB22)))</f>
        <v>#VALUE!</v>
      </c>
      <c r="P22" s="196" t="e">
        <f aca="true" t="array" ref="P22:P22">SUM((INDIRECT($AA22)&gt;'Central Position Rpt'!P$8)*(INDIRECT($AA22)&lt;'Central Position Rpt'!P$9)*(INDIRECT($AB22)))</f>
        <v>#VALUE!</v>
      </c>
      <c r="Q22" s="196" t="e">
        <f aca="true" t="array" ref="Q22:Q22">SUM((INDIRECT($AA22)&gt;'Central Position Rpt'!Q$8)*(INDIRECT($AA22)&lt;'Central Position Rpt'!Q$9)*(INDIRECT($AB22)))</f>
        <v>#VALUE!</v>
      </c>
      <c r="R22" s="196" t="e">
        <f aca="true" t="array" ref="R22:R22">SUM((INDIRECT($AA22)&gt;'Central Position Rpt'!R$8)*(INDIRECT($AA22)&lt;'Central Position Rpt'!R$9)*(INDIRECT($AB22)))</f>
        <v>#VALUE!</v>
      </c>
      <c r="S22" s="196" t="e">
        <f aca="true" t="array" ref="S22:S22">SUM((INDIRECT($AA22)&gt;'Central Position Rpt'!S$8)*(INDIRECT($AA22)&lt;'Central Position Rpt'!S$9)*(INDIRECT($AB22)))</f>
        <v>#VALUE!</v>
      </c>
      <c r="T22" s="197" t="e">
        <f aca="true" t="array" ref="T22:T22">SUM((INDIRECT($AA22)&gt;'Central Position Rpt'!T$8)*(INDIRECT($AA22)&lt;'Central Position Rpt'!T$9)*(INDIRECT($AB22)))</f>
        <v>#VALUE!</v>
      </c>
      <c r="V22" s="198" t="e">
        <f aca="false">SUM(H22:T22)</f>
        <v>#VALUE!</v>
      </c>
      <c r="Y22" s="125" t="e">
        <f aca="false">GetWorkSheet($C22)</f>
        <v>#VALUE!</v>
      </c>
      <c r="Z22" s="124" t="e">
        <f aca="false">FetchDBPage(Y22)</f>
        <v>#VALUE!</v>
      </c>
      <c r="AA22" s="125" t="e">
        <f aca="false">IF(NOT($Y22="#VALUE#"),CONCATENATE($Y22,"!",GetDateStart($Y22),":",GetDateEnd($Y22)),"")</f>
        <v>#VALUE!</v>
      </c>
      <c r="AB22" s="125" t="e">
        <f aca="false">IF(NOT($Y22="#VALUE#"),CONCATENATE($Y22,"!",GetReceiptStart($Y22),":",GetReceiptEnd($Y22)),"")</f>
        <v>#VALUE!</v>
      </c>
      <c r="AC22" s="125" t="e">
        <f aca="false">GetRecNdx($Z22,$C22)</f>
        <v>#VALUE!</v>
      </c>
    </row>
    <row r="23" customFormat="false" ht="12.75" hidden="false" customHeight="false" outlineLevel="0" collapsed="false">
      <c r="C23" s="115"/>
      <c r="E23" s="116"/>
      <c r="F23" s="117"/>
      <c r="G23" s="126" t="e">
        <f aca="false">GetDelBasis($Z22,$AC23)</f>
        <v>#VALUE!</v>
      </c>
      <c r="H23" s="199" t="e">
        <f aca="true" t="array" ref="H23:H23">SUM((INDIRECT($AA23)&gt;'Central Position Rpt'!H$8)*(INDIRECT($AA23)&lt;'Central Position Rpt'!H$9)*(INDIRECT($AB23)))</f>
        <v>#VALUE!</v>
      </c>
      <c r="I23" s="200" t="e">
        <f aca="true" t="array" ref="I23:I23">SUM((INDIRECT($AA23)&gt;'Central Position Rpt'!I$8)*(INDIRECT($AA23)&lt;'Central Position Rpt'!I$9)*(INDIRECT($AB23)))</f>
        <v>#VALUE!</v>
      </c>
      <c r="J23" s="200" t="e">
        <f aca="true" t="array" ref="J23:J23">SUM((INDIRECT($AA23)&gt;'Central Position Rpt'!J$8)*(INDIRECT($AA23)&lt;'Central Position Rpt'!J$9)*(INDIRECT($AB23)))</f>
        <v>#VALUE!</v>
      </c>
      <c r="K23" s="200" t="e">
        <f aca="true" t="array" ref="K23:K23">SUM((INDIRECT($AA23)&gt;'Central Position Rpt'!K$8)*(INDIRECT($AA23)&lt;'Central Position Rpt'!K$9)*(INDIRECT($AB23)))</f>
        <v>#VALUE!</v>
      </c>
      <c r="L23" s="200" t="e">
        <f aca="true" t="array" ref="L23:L23">SUM((INDIRECT($AA23)&gt;'Central Position Rpt'!L$8)*(INDIRECT($AA23)&lt;'Central Position Rpt'!L$9)*(INDIRECT($AB23)))</f>
        <v>#VALUE!</v>
      </c>
      <c r="M23" s="200" t="e">
        <f aca="true" t="array" ref="M23:M23">SUM((INDIRECT($AA23)&gt;'Central Position Rpt'!M$8)*(INDIRECT($AA23)&lt;'Central Position Rpt'!M$9)*(INDIRECT($AB23)))</f>
        <v>#VALUE!</v>
      </c>
      <c r="N23" s="200" t="e">
        <f aca="true" t="array" ref="N23:N23">SUM((INDIRECT($AA23)&gt;'Central Position Rpt'!N$8)*(INDIRECT($AA23)&lt;'Central Position Rpt'!N$9)*(INDIRECT($AB23)))</f>
        <v>#VALUE!</v>
      </c>
      <c r="O23" s="200" t="e">
        <f aca="true" t="array" ref="O23:O23">SUM((INDIRECT($AA23)&gt;'Central Position Rpt'!O$8)*(INDIRECT($AA23)&lt;'Central Position Rpt'!O$9)*(INDIRECT($AB23)))</f>
        <v>#VALUE!</v>
      </c>
      <c r="P23" s="200" t="e">
        <f aca="true" t="array" ref="P23:P23">SUM((INDIRECT($AA23)&gt;'Central Position Rpt'!P$8)*(INDIRECT($AA23)&lt;'Central Position Rpt'!P$9)*(INDIRECT($AB23)))</f>
        <v>#VALUE!</v>
      </c>
      <c r="Q23" s="200" t="e">
        <f aca="true" t="array" ref="Q23:Q23">SUM((INDIRECT($AA23)&gt;'Central Position Rpt'!Q$8)*(INDIRECT($AA23)&lt;'Central Position Rpt'!Q$9)*(INDIRECT($AB23)))</f>
        <v>#VALUE!</v>
      </c>
      <c r="R23" s="200" t="e">
        <f aca="true" t="array" ref="R23:R23">SUM((INDIRECT($AA23)&gt;'Central Position Rpt'!R$8)*(INDIRECT($AA23)&lt;'Central Position Rpt'!R$9)*(INDIRECT($AB23)))</f>
        <v>#VALUE!</v>
      </c>
      <c r="S23" s="200" t="e">
        <f aca="true" t="array" ref="S23:S23">SUM((INDIRECT($AA23)&gt;'Central Position Rpt'!S$8)*(INDIRECT($AA23)&lt;'Central Position Rpt'!S$9)*(INDIRECT($AB23)))</f>
        <v>#VALUE!</v>
      </c>
      <c r="T23" s="201" t="e">
        <f aca="true" t="array" ref="T23:T23">SUM((INDIRECT($AA23)&gt;'Central Position Rpt'!T$8)*(INDIRECT($AA23)&lt;'Central Position Rpt'!T$9)*(INDIRECT($AB23)))</f>
        <v>#VALUE!</v>
      </c>
      <c r="V23" s="202" t="e">
        <f aca="false">SUM(H23:T23)</f>
        <v>#VALUE!</v>
      </c>
      <c r="Y23" s="125" t="e">
        <f aca="false">GetWorkSheet($C22)</f>
        <v>#VALUE!</v>
      </c>
      <c r="Z23" s="124"/>
      <c r="AA23" s="125" t="e">
        <f aca="false">IF(NOT($Y23="#VALUE#"),CONCATENATE($Y23,"!",GetDateStart($Y23),":",GetDateEnd($Y23)),"")</f>
        <v>#VALUE!</v>
      </c>
      <c r="AB23" s="125" t="e">
        <f aca="false">IF(NOT($Y23="#VALUE#"),CONCATENATE($Y23,"!",GetDeliveryStart($Y23),":",GetDeliveryEnd($Y23)),"")</f>
        <v>#VALUE!</v>
      </c>
      <c r="AC23" s="125" t="e">
        <f aca="false">GetRecNdx($Z22,$C22)</f>
        <v>#VALUE!</v>
      </c>
    </row>
    <row r="26" customFormat="false" ht="12.75" hidden="false" customHeight="false" outlineLevel="0" collapsed="false">
      <c r="G26" s="203" t="s">
        <v>396</v>
      </c>
    </row>
    <row r="27" customFormat="false" ht="12.75" hidden="false" customHeight="false" outlineLevel="0" collapsed="false">
      <c r="G27" s="97" t="s">
        <v>37</v>
      </c>
      <c r="H27" s="98" t="n">
        <f aca="false">SUMIF($G$10:$G$23,$G$27,$H$10:$H$23)</f>
        <v>0</v>
      </c>
      <c r="I27" s="98" t="n">
        <f aca="false">SUMIF($G$10:$G$23,$G$27,$I$10:$I$23)</f>
        <v>0</v>
      </c>
      <c r="J27" s="98" t="n">
        <f aca="false">SUMIF($G$10:$G$23,$G$27,$J$10:$J$23)</f>
        <v>0</v>
      </c>
      <c r="K27" s="98" t="n">
        <f aca="false">SUMIF($G$10:$G$23,$G$27,$K$10:$K$23)</f>
        <v>0</v>
      </c>
      <c r="L27" s="98" t="n">
        <f aca="false">SUMIF($G$10:$G$23,$G$27,$L$10:$L$23)</f>
        <v>0</v>
      </c>
      <c r="M27" s="98" t="n">
        <f aca="false">SUMIF($G$10:$G$23,$G$27,$M$10:$M$23)</f>
        <v>0</v>
      </c>
      <c r="N27" s="98" t="n">
        <f aca="false">SUMIF($G$10:$G$23,$G$27,$N$10:$N$23)</f>
        <v>0</v>
      </c>
      <c r="O27" s="98" t="n">
        <f aca="false">SUMIF($G$10:$G$23,$G$27,$O$10:$O$23)</f>
        <v>0</v>
      </c>
      <c r="P27" s="98" t="n">
        <f aca="false">SUMIF($G$10:$G$23,$G$27,$P$10:$P$23)</f>
        <v>0</v>
      </c>
      <c r="Q27" s="98" t="n">
        <f aca="false">SUMIF($G$10:$G$23,$G$27,$Q$10:$Q$23)</f>
        <v>0</v>
      </c>
      <c r="R27" s="98" t="n">
        <f aca="false">SUMIF($G$10:$G$23,$G$27,$R$10:$R$23)</f>
        <v>0</v>
      </c>
      <c r="S27" s="98" t="n">
        <f aca="false">SUMIF($G$10:$G$23,$G$27,$S$10:$S$23)</f>
        <v>0</v>
      </c>
      <c r="T27" s="98" t="n">
        <f aca="false">SUMIF($G$10:$G$23,$G$27,$T$10:$T$23)</f>
        <v>0</v>
      </c>
      <c r="V27" s="204"/>
    </row>
    <row r="28" customFormat="false" ht="12.75" hidden="false" customHeight="false" outlineLevel="0" collapsed="false">
      <c r="G28" s="97" t="s">
        <v>39</v>
      </c>
      <c r="H28" s="98" t="n">
        <f aca="false">SUMIF($G$10:$G$23,$G$28,$H$10:$H$23)</f>
        <v>0</v>
      </c>
      <c r="I28" s="98" t="n">
        <f aca="false">SUMIF($G$10:$G$23,$G$28,$I$10:$I$23)</f>
        <v>0</v>
      </c>
      <c r="J28" s="98" t="n">
        <f aca="false">SUMIF($G$10:$G$23,$G$28,$J$10:$J$23)</f>
        <v>0</v>
      </c>
      <c r="K28" s="98" t="n">
        <f aca="false">SUMIF($G$10:$G$23,$G$28,$K$10:$K$23)</f>
        <v>0</v>
      </c>
      <c r="L28" s="98" t="n">
        <f aca="false">SUMIF($G$10:$G$23,$G$28,$L$10:$L$23)</f>
        <v>0</v>
      </c>
      <c r="M28" s="98" t="n">
        <f aca="false">SUMIF($G$10:$G$23,$G$28,$M$10:$M$23)</f>
        <v>0</v>
      </c>
      <c r="N28" s="98" t="n">
        <f aca="false">SUMIF($G$10:$G$23,$G$28,$N$10:$N$23)</f>
        <v>0</v>
      </c>
      <c r="O28" s="98" t="n">
        <f aca="false">SUMIF($G$10:$G$23,$G$28,$O$10:$O$23)</f>
        <v>0</v>
      </c>
      <c r="P28" s="98" t="n">
        <f aca="false">SUMIF($G$10:$G$23,$G$28,$P$10:$P$23)</f>
        <v>0</v>
      </c>
      <c r="Q28" s="98" t="n">
        <f aca="false">SUMIF($G$10:$G$23,$G$28,$Q$10:$Q$23)</f>
        <v>0</v>
      </c>
      <c r="R28" s="98" t="n">
        <f aca="false">SUMIF($G$10:$G$23,$G$28,$R$10:$R$23)</f>
        <v>0</v>
      </c>
      <c r="S28" s="98" t="n">
        <f aca="false">SUMIF($G$10:$G$23,$G$28,$S$10:$S$23)</f>
        <v>0</v>
      </c>
      <c r="T28" s="98" t="n">
        <f aca="false">SUMIF($G$10:$G$23,$G$28,$T$10:$T$23)</f>
        <v>0</v>
      </c>
      <c r="V28" s="204"/>
    </row>
    <row r="29" customFormat="false" ht="12.75" hidden="false" customHeight="false" outlineLevel="0" collapsed="false">
      <c r="G29" s="97" t="s">
        <v>56</v>
      </c>
      <c r="H29" s="98" t="n">
        <f aca="false">SUMIF($G$10:$G$23,$G$29,$H$10:$H$23)</f>
        <v>0</v>
      </c>
      <c r="I29" s="98" t="n">
        <f aca="false">SUMIF($G$10:$G$23,$G$29,$I$10:$I$23)</f>
        <v>0</v>
      </c>
      <c r="J29" s="98" t="n">
        <f aca="false">SUMIF($G$10:$G$23,$G$29,$J$10:$J$23)</f>
        <v>0</v>
      </c>
      <c r="K29" s="98" t="n">
        <f aca="false">SUMIF($G$10:$G$23,$G$29,$K$10:$K$23)</f>
        <v>0</v>
      </c>
      <c r="L29" s="98" t="n">
        <f aca="false">SUMIF($G$10:$G$23,$G$29,$L$10:$L$23)</f>
        <v>0</v>
      </c>
      <c r="M29" s="98" t="n">
        <f aca="false">SUMIF($G$10:$G$23,$G$29,$M$10:$M$23)</f>
        <v>0</v>
      </c>
      <c r="N29" s="98" t="n">
        <f aca="false">SUMIF($G$10:$G$23,$G$29,$N$10:$N$23)</f>
        <v>0</v>
      </c>
      <c r="O29" s="98" t="n">
        <f aca="false">SUMIF($G$10:$G$23,$G$29,$O$10:$O$23)</f>
        <v>0</v>
      </c>
      <c r="P29" s="98" t="n">
        <f aca="false">SUMIF($G$10:$G$23,$G$29,$P$10:$P$23)</f>
        <v>0</v>
      </c>
      <c r="Q29" s="98" t="n">
        <f aca="false">SUMIF($G$10:$G$23,$G$29,$Q$10:$Q$23)</f>
        <v>0</v>
      </c>
      <c r="R29" s="98" t="n">
        <f aca="false">SUMIF($G$10:$G$23,$G$29,$R$10:$R$23)</f>
        <v>0</v>
      </c>
      <c r="S29" s="98" t="n">
        <f aca="false">SUMIF($G$10:$G$23,$G$29,$S$10:$S$23)</f>
        <v>0</v>
      </c>
      <c r="T29" s="98" t="n">
        <f aca="false">SUMIF($G$10:$G$23,$G$29,$T$10:$T$23)</f>
        <v>0</v>
      </c>
      <c r="V29" s="204"/>
    </row>
    <row r="30" customFormat="false" ht="12.75" hidden="false" customHeight="false" outlineLevel="0" collapsed="false">
      <c r="G30" s="97" t="s">
        <v>60</v>
      </c>
      <c r="H30" s="98" t="n">
        <f aca="false">SUMIF($G$10:$G$23,$G$30,$H$10:$H$23)</f>
        <v>0</v>
      </c>
      <c r="I30" s="98" t="n">
        <f aca="false">SUMIF($G$10:$G$23,$G$30,$I$10:$I$23)</f>
        <v>0</v>
      </c>
      <c r="J30" s="98" t="n">
        <f aca="false">SUMIF($G$10:$G$23,$G$30,$J$10:$J$23)</f>
        <v>0</v>
      </c>
      <c r="K30" s="98" t="n">
        <f aca="false">SUMIF($G$10:$G$23,$G$30,$K$10:$K$23)</f>
        <v>0</v>
      </c>
      <c r="L30" s="98" t="n">
        <f aca="false">SUMIF($G$10:$G$23,$G$30,$L$10:$L$23)</f>
        <v>0</v>
      </c>
      <c r="M30" s="98" t="n">
        <f aca="false">SUMIF($G$10:$G$23,$G$30,$M$10:$M$23)</f>
        <v>0</v>
      </c>
      <c r="N30" s="98" t="n">
        <f aca="false">SUMIF($G$10:$G$23,$G$30,$N$10:$N$23)</f>
        <v>0</v>
      </c>
      <c r="O30" s="98" t="n">
        <f aca="false">SUMIF($G$10:$G$23,$G$30,$O$10:$O$23)</f>
        <v>0</v>
      </c>
      <c r="P30" s="98" t="n">
        <f aca="false">SUMIF($G$10:$G$23,$G$30,$P$10:$P$23)</f>
        <v>0</v>
      </c>
      <c r="Q30" s="98" t="n">
        <f aca="false">SUMIF($G$10:$G$23,$G$30,$Q$10:$Q$23)</f>
        <v>0</v>
      </c>
      <c r="R30" s="98" t="n">
        <f aca="false">SUMIF($G$10:$G$23,$G$30,$R$10:$R$23)</f>
        <v>0</v>
      </c>
      <c r="S30" s="98" t="n">
        <f aca="false">SUMIF($G$10:$G$23,$G$30,$S$10:$S$23)</f>
        <v>0</v>
      </c>
      <c r="T30" s="98" t="n">
        <f aca="false">SUMIF($G$10:$G$23,$G$30,$T$10:$T$23)</f>
        <v>0</v>
      </c>
      <c r="V30" s="204"/>
    </row>
    <row r="31" customFormat="false" ht="12.75" hidden="false" customHeight="false" outlineLevel="0" collapsed="false">
      <c r="G31" s="97" t="s">
        <v>61</v>
      </c>
      <c r="H31" s="98" t="n">
        <f aca="false">SUMIF($G$10:$G$23,$G$31,$H$10:$H$23)</f>
        <v>0</v>
      </c>
      <c r="I31" s="98" t="n">
        <f aca="false">SUMIF($G$10:$G$23,$G$31,$I$10:$I$23)</f>
        <v>0</v>
      </c>
      <c r="J31" s="98" t="n">
        <f aca="false">SUMIF($G$10:$G$23,$G$31,$J$10:$J$23)</f>
        <v>0</v>
      </c>
      <c r="K31" s="98" t="n">
        <f aca="false">SUMIF($G$10:$G$23,$G$31,$K$10:$K$23)</f>
        <v>0</v>
      </c>
      <c r="L31" s="98" t="n">
        <f aca="false">SUMIF($G$10:$G$23,$G$31,$L$10:$L$23)</f>
        <v>0</v>
      </c>
      <c r="M31" s="98" t="n">
        <f aca="false">SUMIF($G$10:$G$23,$G$31,$M$10:$M$23)</f>
        <v>0</v>
      </c>
      <c r="N31" s="98" t="n">
        <f aca="false">SUMIF($G$10:$G$23,$G$31,$N$10:$N$23)</f>
        <v>0</v>
      </c>
      <c r="O31" s="98" t="n">
        <f aca="false">SUMIF($G$10:$G$23,$G$31,$O$10:$O$23)</f>
        <v>0</v>
      </c>
      <c r="P31" s="98" t="n">
        <f aca="false">SUMIF($G$10:$G$23,$G$31,$P$10:$P$23)</f>
        <v>0</v>
      </c>
      <c r="Q31" s="98" t="n">
        <f aca="false">SUMIF($G$10:$G$23,$G$31,$Q$10:$Q$23)</f>
        <v>0</v>
      </c>
      <c r="R31" s="98" t="n">
        <f aca="false">SUMIF($G$10:$G$23,$G$31,$R$10:$R$23)</f>
        <v>0</v>
      </c>
      <c r="S31" s="98" t="n">
        <f aca="false">SUMIF($G$10:$G$23,$G$31,$S$10:$S$23)</f>
        <v>0</v>
      </c>
      <c r="T31" s="98" t="n">
        <f aca="false">SUMIF($G$10:$G$23,$G$31,$T$10:$T$23)</f>
        <v>0</v>
      </c>
      <c r="V31" s="204"/>
    </row>
    <row r="32" customFormat="false" ht="12.75" hidden="false" customHeight="false" outlineLevel="0" collapsed="false">
      <c r="V32" s="204"/>
    </row>
    <row r="33" customFormat="false" ht="12.75" hidden="false" customHeight="false" outlineLevel="0" collapsed="false">
      <c r="G33" s="205" t="s">
        <v>397</v>
      </c>
      <c r="V33" s="204"/>
    </row>
    <row r="34" customFormat="false" ht="13.5" hidden="false" customHeight="false" outlineLevel="0" collapsed="false">
      <c r="G34" s="97" t="s">
        <v>398</v>
      </c>
      <c r="H34" s="98" t="n">
        <f aca="false">SUMIF($H$10:$H$23,"&gt;0",$H$10:$H$23)</f>
        <v>0</v>
      </c>
      <c r="I34" s="98" t="n">
        <f aca="false">SUMIF($I$10:$I$23,"&gt;0",$I$10:$I$23)</f>
        <v>0</v>
      </c>
      <c r="J34" s="98" t="n">
        <f aca="false">SUMIF($J$10:$J$23,"&gt;0",$J$10:$J$23)</f>
        <v>0</v>
      </c>
      <c r="K34" s="98" t="n">
        <f aca="false">SUMIF($K$10:$K$23,"&gt;0",$K$10:$K$23)</f>
        <v>0</v>
      </c>
      <c r="L34" s="98" t="n">
        <f aca="false">SUMIF($L$10:$L$23,"&gt;0",$L$10:$L$23)</f>
        <v>0</v>
      </c>
      <c r="M34" s="98" t="n">
        <f aca="false">SUMIF($M$10:$M$23,"&gt;0",$M$10:$M$23)</f>
        <v>0</v>
      </c>
      <c r="N34" s="98" t="n">
        <f aca="false">SUMIF($N$10:$N$23,"&gt;0",$N$10:$N$23)</f>
        <v>0</v>
      </c>
      <c r="O34" s="98" t="n">
        <f aca="false">SUMIF($O$10:$O$23,"&gt;0",$O$10:$O$23)</f>
        <v>0</v>
      </c>
      <c r="P34" s="98" t="n">
        <f aca="false">SUMIF($P$10:$P$23,"&gt;0",$P$10:$P$23)</f>
        <v>0</v>
      </c>
      <c r="Q34" s="98" t="n">
        <f aca="false">SUMIF($Q$10:$Q$23,"&gt;0",$Q$10:$Q$23)</f>
        <v>0</v>
      </c>
      <c r="R34" s="98" t="n">
        <f aca="false">SUMIF($R$10:$R$23,"&gt;0",$R$10:$R$23)</f>
        <v>0</v>
      </c>
      <c r="S34" s="98" t="n">
        <f aca="false">SUMIF($S$10:$S$23,"&gt;0",$S$10:$S$23)</f>
        <v>0</v>
      </c>
      <c r="T34" s="98" t="n">
        <f aca="false">SUMIF($T$10:$T$23,"&gt;0",$T$10:$T$23)</f>
        <v>0</v>
      </c>
      <c r="V34" s="206"/>
    </row>
    <row r="35" customFormat="false" ht="13.5" hidden="false" customHeight="false" outlineLevel="0" collapsed="false">
      <c r="G35" s="97" t="s">
        <v>399</v>
      </c>
      <c r="H35" s="98" t="n">
        <f aca="false">SUMIF($H$10:$H$23,"&lt;0",$H$10:$H$23)</f>
        <v>0</v>
      </c>
      <c r="I35" s="98" t="n">
        <f aca="false">SUMIF($I$10:$I$23,"&lt;0",$I$10:$I$23)</f>
        <v>0</v>
      </c>
      <c r="J35" s="98" t="n">
        <f aca="false">SUMIF($J$10:$J$23,"&lt;0",$J$10:$J$23)</f>
        <v>0</v>
      </c>
      <c r="K35" s="98" t="n">
        <f aca="false">SUMIF($K$10:$K$23,"&lt;0",$K$10:$K$23)</f>
        <v>0</v>
      </c>
      <c r="L35" s="98" t="n">
        <f aca="false">SUMIF($L$10:$L$23,"&lt;0",$L$10:$L$23)</f>
        <v>0</v>
      </c>
      <c r="M35" s="98" t="n">
        <f aca="false">SUMIF($M$10:$M$23,"&lt;0",$M$10:$M$23)</f>
        <v>0</v>
      </c>
      <c r="N35" s="98" t="n">
        <f aca="false">SUMIF($N$10:$N$23,"&lt;0",$N$10:$N$23)</f>
        <v>0</v>
      </c>
      <c r="O35" s="98" t="n">
        <f aca="false">SUMIF($O$10:$O$23,"&lt;0",$O$10:$O$23)</f>
        <v>0</v>
      </c>
      <c r="P35" s="98" t="n">
        <f aca="false">SUMIF($P$10:$P$23,"&lt;0",$P$10:$P$23)</f>
        <v>0</v>
      </c>
      <c r="Q35" s="98" t="n">
        <f aca="false">SUMIF($Q$10:$Q$23,"&lt;0",$Q$10:$Q$23)</f>
        <v>0</v>
      </c>
      <c r="R35" s="98" t="n">
        <f aca="false">SUMIF($R$10:$R$23,"&lt;0",$R$10:$R$23)</f>
        <v>0</v>
      </c>
      <c r="S35" s="98" t="n">
        <f aca="false">SUMIF($S$10:$S$23,"&lt;0",$S$10:$S$23)</f>
        <v>0</v>
      </c>
      <c r="T35" s="98" t="n">
        <f aca="false">SUMIF($T$10:$T$23,"&lt;0",$T$10:$T$23)</f>
        <v>0</v>
      </c>
      <c r="V35" s="207" t="e">
        <f aca="false">SUM(V10:V34)</f>
        <v>#VALUE!</v>
      </c>
    </row>
  </sheetData>
  <mergeCells count="23">
    <mergeCell ref="C8:C9"/>
    <mergeCell ref="V8:V9"/>
    <mergeCell ref="C10:C11"/>
    <mergeCell ref="E10:E11"/>
    <mergeCell ref="F10:F11"/>
    <mergeCell ref="C12:C13"/>
    <mergeCell ref="E12:E13"/>
    <mergeCell ref="F12:F13"/>
    <mergeCell ref="C14:C15"/>
    <mergeCell ref="E14:E15"/>
    <mergeCell ref="F14:F15"/>
    <mergeCell ref="C16:C17"/>
    <mergeCell ref="E16:E17"/>
    <mergeCell ref="F16:F17"/>
    <mergeCell ref="C18:C19"/>
    <mergeCell ref="E18:E19"/>
    <mergeCell ref="F18:F19"/>
    <mergeCell ref="C20:C21"/>
    <mergeCell ref="E20:E21"/>
    <mergeCell ref="F20:F21"/>
    <mergeCell ref="C22:C23"/>
    <mergeCell ref="E22:E23"/>
    <mergeCell ref="F22:F2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2">
              <controlPr defaultSize="0" print="false" autoFill="0" autoPict="0" macro="Report_Routines.Button2_Click">
                <anchor moveWithCells="true" sizeWithCells="false">
                  <from>
                    <xdr:col>1</xdr:col>
                    <xdr:colOff>190800</xdr:colOff>
                    <xdr:row>1</xdr:row>
                    <xdr:rowOff>75960</xdr:rowOff>
                  </from>
                  <to>
                    <xdr:col>3</xdr:col>
                    <xdr:colOff>50400</xdr:colOff>
                    <xdr:row>4</xdr:row>
                    <xdr:rowOff>66600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20"/>
  <sheetViews>
    <sheetView showFormulas="false" showGridLines="true" showRowColHeaders="true" showZeros="true" rightToLeft="false" tabSelected="false" showOutlineSymbols="true" defaultGridColor="true" view="normal" topLeftCell="T5" colorId="64" zoomScale="80" zoomScaleNormal="80" zoomScalePageLayoutView="100" workbookViewId="0">
      <selection pane="topLeft" activeCell="C7" activeCellId="0" sqref="C7:V22"/>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9.28"/>
    <col collapsed="false" customWidth="true" hidden="false" outlineLevel="0" max="6" min="6" style="96" width="23.99"/>
    <col collapsed="false" customWidth="true" hidden="false" outlineLevel="0" max="7" min="7" style="97" width="30.7"/>
    <col collapsed="false" customWidth="true" hidden="false" outlineLevel="0" max="20" min="8" style="98" width="13.7"/>
    <col collapsed="false" customWidth="true" hidden="false" outlineLevel="0" max="21" min="21" style="99" width="3.7"/>
    <col collapsed="false" customWidth="true" hidden="false" outlineLevel="0" max="22" min="22" style="95" width="13.7"/>
    <col collapsed="false" customWidth="false" hidden="false" outlineLevel="0" max="23" min="23" style="95" width="9.14"/>
    <col collapsed="false" customWidth="true" hidden="false" outlineLevel="0" max="24" min="24" style="95" width="14.28"/>
    <col collapsed="false" customWidth="true" hidden="false" outlineLevel="0" max="26" min="25" style="95" width="23.14"/>
    <col collapsed="false" customWidth="true" hidden="false" outlineLevel="0" max="27" min="27" style="95" width="35.56"/>
    <col collapsed="false" customWidth="false" hidden="false" outlineLevel="0" max="257" min="28" style="95" width="9.14"/>
  </cols>
  <sheetData>
    <row r="1" customFormat="false" ht="12.75" hidden="false" customHeight="false" outlineLevel="0" collapsed="false">
      <c r="A1" s="19" t="s">
        <v>394</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ADDRESS(ROW($C$10),COLUMN($C$10))</f>
        <v>$C$10</v>
      </c>
      <c r="E3" s="100" t="s">
        <v>40</v>
      </c>
      <c r="F3" s="189" t="s">
        <v>89</v>
      </c>
    </row>
    <row r="7" customFormat="false" ht="18.75" hidden="false" customHeight="false" outlineLevel="0" collapsed="false">
      <c r="E7" s="102" t="str">
        <f aca="false">CONCATENATE("POSITION REPORT : ",UPPER(F3))</f>
        <v>POSITION REPORT : WEST/HOLST</v>
      </c>
    </row>
    <row r="8" customFormat="false" ht="12.75" hidden="false" customHeight="false" outlineLevel="0" collapsed="false">
      <c r="A8" s="103"/>
      <c r="B8" s="103"/>
      <c r="C8" s="104" t="s">
        <v>213</v>
      </c>
      <c r="E8" s="105"/>
      <c r="F8" s="106"/>
      <c r="G8" s="107" t="s">
        <v>214</v>
      </c>
      <c r="H8" s="190" t="n">
        <f aca="false" t="array" ref="H8:T8">TRANSPOSE(Configuration!D25:D37)</f>
        <v>37043</v>
      </c>
      <c r="I8" s="191" t="n">
        <v>37073</v>
      </c>
      <c r="J8" s="191" t="n">
        <v>37104</v>
      </c>
      <c r="K8" s="191" t="n">
        <v>37135</v>
      </c>
      <c r="L8" s="191" t="n">
        <v>37165</v>
      </c>
      <c r="M8" s="191" t="n">
        <v>37196</v>
      </c>
      <c r="N8" s="191" t="n">
        <v>37226</v>
      </c>
      <c r="O8" s="191" t="n">
        <v>37257</v>
      </c>
      <c r="P8" s="191" t="n">
        <v>37622</v>
      </c>
      <c r="Q8" s="191" t="n">
        <v>37987</v>
      </c>
      <c r="R8" s="191" t="n">
        <v>38353</v>
      </c>
      <c r="S8" s="191" t="n">
        <v>40544</v>
      </c>
      <c r="T8" s="192" t="n">
        <v>42370</v>
      </c>
      <c r="U8" s="103"/>
      <c r="V8" s="104" t="s">
        <v>395</v>
      </c>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false" outlineLevel="0" collapsed="false">
      <c r="A9" s="103"/>
      <c r="B9" s="103"/>
      <c r="C9" s="104"/>
      <c r="E9" s="112" t="s">
        <v>13</v>
      </c>
      <c r="F9" s="113" t="s">
        <v>233</v>
      </c>
      <c r="G9" s="114" t="s">
        <v>234</v>
      </c>
      <c r="H9" s="193" t="n">
        <f aca="false" t="array" ref="H9:T9">TRANSPOSE(Configuration!E25:E37)</f>
        <v>37072</v>
      </c>
      <c r="I9" s="194" t="n">
        <v>37103</v>
      </c>
      <c r="J9" s="194" t="n">
        <v>37134</v>
      </c>
      <c r="K9" s="194" t="n">
        <v>37164</v>
      </c>
      <c r="L9" s="194" t="n">
        <v>37195</v>
      </c>
      <c r="M9" s="194" t="n">
        <v>37225</v>
      </c>
      <c r="N9" s="194" t="n">
        <v>37256</v>
      </c>
      <c r="O9" s="194" t="n">
        <v>37621</v>
      </c>
      <c r="P9" s="194" t="n">
        <v>37986</v>
      </c>
      <c r="Q9" s="194" t="n">
        <v>38352</v>
      </c>
      <c r="R9" s="194" t="n">
        <v>40543</v>
      </c>
      <c r="S9" s="194" t="n">
        <v>42369</v>
      </c>
      <c r="T9" s="195" t="n">
        <v>45657</v>
      </c>
      <c r="U9" s="103"/>
      <c r="V9" s="104"/>
      <c r="W9" s="103"/>
      <c r="X9" s="103"/>
      <c r="Y9" s="103"/>
      <c r="Z9" s="208"/>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10</v>
      </c>
      <c r="E10" s="116" t="e">
        <f aca="false">GetPipeName($Z10,$AC10)</f>
        <v>#VALUE!</v>
      </c>
      <c r="F10" s="117" t="e">
        <f aca="false">CONCATENATE(GetRcptPoint($Z10,$AC10)," to ",GetDelPoint($Z10,$AC10))</f>
        <v>#VALUE!</v>
      </c>
      <c r="G10" s="118" t="e">
        <f aca="false">GetRcptBasis($Z10,$AC10)</f>
        <v>#VALUE!</v>
      </c>
      <c r="H10" s="209" t="e">
        <f aca="true" t="array" ref="H10:H10">SUM((INDIRECT($AA10)&gt;'WestHolst Position Rpt'!H$8)*(INDIRECT($AA10)&lt;'WestHolst Position Rpt'!H$9)*(INDIRECT($AB10)))</f>
        <v>#VALUE!</v>
      </c>
      <c r="I10" s="196" t="e">
        <f aca="true" t="array" ref="I10:I10">SUM((INDIRECT($AA10)&gt;'WestHolst Position Rpt'!I$8)*(INDIRECT($AA10)&lt;'WestHolst Position Rpt'!I$9)*(INDIRECT($AB10)))</f>
        <v>#VALUE!</v>
      </c>
      <c r="J10" s="196" t="e">
        <f aca="true" t="array" ref="J10:J10">SUM((INDIRECT($AA10)&gt;'WestHolst Position Rpt'!J$8)*(INDIRECT($AA10)&lt;'WestHolst Position Rpt'!J$9)*(INDIRECT($AB10)))</f>
        <v>#VALUE!</v>
      </c>
      <c r="K10" s="196" t="e">
        <f aca="true" t="array" ref="K10:K10">SUM((INDIRECT($AA10)&gt;'WestHolst Position Rpt'!K$8)*(INDIRECT($AA10)&lt;'WestHolst Position Rpt'!K$9)*(INDIRECT($AB10)))</f>
        <v>#VALUE!</v>
      </c>
      <c r="L10" s="196" t="e">
        <f aca="true" t="array" ref="L10:L10">SUM((INDIRECT($AA10)&gt;'WestHolst Position Rpt'!L$8)*(INDIRECT($AA10)&lt;'WestHolst Position Rpt'!L$9)*(INDIRECT($AB10)))</f>
        <v>#VALUE!</v>
      </c>
      <c r="M10" s="196" t="e">
        <f aca="true" t="array" ref="M10:M10">SUM((INDIRECT($AA10)&gt;'WestHolst Position Rpt'!M$8)*(INDIRECT($AA10)&lt;'WestHolst Position Rpt'!M$9)*(INDIRECT($AB10)))</f>
        <v>#VALUE!</v>
      </c>
      <c r="N10" s="196" t="e">
        <f aca="true" t="array" ref="N10:N10">SUM((INDIRECT($AA10)&gt;'WestHolst Position Rpt'!N$8)*(INDIRECT($AA10)&lt;'WestHolst Position Rpt'!N$9)*(INDIRECT($AB10)))</f>
        <v>#VALUE!</v>
      </c>
      <c r="O10" s="196" t="e">
        <f aca="true" t="array" ref="O10:O10">SUM((INDIRECT($AA10)&gt;'WestHolst Position Rpt'!O$8)*(INDIRECT($AA10)&lt;'WestHolst Position Rpt'!O$9)*(INDIRECT($AB10)))</f>
        <v>#VALUE!</v>
      </c>
      <c r="P10" s="196" t="e">
        <f aca="true" t="array" ref="P10:P10">SUM((INDIRECT($AA10)&gt;'WestHolst Position Rpt'!P$8)*(INDIRECT($AA10)&lt;'WestHolst Position Rpt'!P$9)*(INDIRECT($AB10)))</f>
        <v>#VALUE!</v>
      </c>
      <c r="Q10" s="196" t="e">
        <f aca="true" t="array" ref="Q10:Q10">SUM((INDIRECT($AA10)&gt;'WestHolst Position Rpt'!Q$8)*(INDIRECT($AA10)&lt;'WestHolst Position Rpt'!Q$9)*(INDIRECT($AB10)))</f>
        <v>#VALUE!</v>
      </c>
      <c r="R10" s="196" t="e">
        <f aca="true" t="array" ref="R10:R10">SUM((INDIRECT($AA10)&gt;'WestHolst Position Rpt'!R$8)*(INDIRECT($AA10)&lt;'WestHolst Position Rpt'!R$9)*(INDIRECT($AB10)))</f>
        <v>#VALUE!</v>
      </c>
      <c r="S10" s="196" t="e">
        <f aca="true" t="array" ref="S10:S10">SUM((INDIRECT($AA10)&gt;'WestHolst Position Rpt'!S$8)*(INDIRECT($AA10)&lt;'WestHolst Position Rpt'!S$9)*(INDIRECT($AB10)))</f>
        <v>#VALUE!</v>
      </c>
      <c r="T10" s="197" t="e">
        <f aca="true" t="array" ref="T10:T10">SUM((INDIRECT($AA10)&gt;'WestHolst Position Rpt'!T$8)*(INDIRECT($AA10)&lt;'WestHolst Position Rpt'!T$9)*(INDIRECT($AB10)))</f>
        <v>#VALUE!</v>
      </c>
      <c r="V10" s="198" t="e">
        <f aca="false">SUM(H10:T10)</f>
        <v>#VALUE!</v>
      </c>
      <c r="Y10" s="125" t="e">
        <f aca="false">GetWorkSheet($C10)</f>
        <v>#VALUE!</v>
      </c>
      <c r="Z10" s="124" t="e">
        <f aca="false">FetchDBPage(Y10)</f>
        <v>#VALUE!</v>
      </c>
      <c r="AA10" s="125" t="e">
        <f aca="false">IF(NOT($Y10="#VALUE#"),CONCATENATE($Y10,"!",GetDateStart($Y10),":",GetDateEnd($Y10)),"")</f>
        <v>#VALUE!</v>
      </c>
      <c r="AB10" s="125" t="e">
        <f aca="false">IF(NOT($Y10="#VALUE#"),CONCATENATE($Y10,"!",GetReceiptStart($Y10),":",GetReceiptEnd($Y10)),"")</f>
        <v>#VALUE!</v>
      </c>
      <c r="AC10" s="125" t="e">
        <f aca="false">GetRecNdx($Z10,$C10)</f>
        <v>#VALUE!</v>
      </c>
    </row>
    <row r="11" customFormat="false" ht="12.75" hidden="false" customHeight="false" outlineLevel="0" collapsed="false">
      <c r="C11" s="115"/>
      <c r="E11" s="116"/>
      <c r="F11" s="117"/>
      <c r="G11" s="126" t="e">
        <f aca="false">GetDelBasis($Z10,$AC11)</f>
        <v>#VALUE!</v>
      </c>
      <c r="H11" s="199" t="e">
        <f aca="true" t="array" ref="H11:H11">SUM((INDIRECT($AA11)&gt;'WestHolst Position Rpt'!H$8)*(INDIRECT($AA11)&lt;'WestHolst Position Rpt'!H$9)*(INDIRECT($AB11)))</f>
        <v>#VALUE!</v>
      </c>
      <c r="I11" s="200" t="e">
        <f aca="true" t="array" ref="I11:I11">SUM((INDIRECT($AA11)&gt;'WestHolst Position Rpt'!I$8)*(INDIRECT($AA11)&lt;'WestHolst Position Rpt'!I$9)*(INDIRECT($AB11)))</f>
        <v>#VALUE!</v>
      </c>
      <c r="J11" s="200" t="e">
        <f aca="true" t="array" ref="J11:J11">SUM((INDIRECT($AA11)&gt;'WestHolst Position Rpt'!J$8)*(INDIRECT($AA11)&lt;'WestHolst Position Rpt'!J$9)*(INDIRECT($AB11)))</f>
        <v>#VALUE!</v>
      </c>
      <c r="K11" s="200" t="e">
        <f aca="true" t="array" ref="K11:K11">SUM((INDIRECT($AA11)&gt;'WestHolst Position Rpt'!K$8)*(INDIRECT($AA11)&lt;'WestHolst Position Rpt'!K$9)*(INDIRECT($AB11)))</f>
        <v>#VALUE!</v>
      </c>
      <c r="L11" s="200" t="e">
        <f aca="true" t="array" ref="L11:L11">SUM((INDIRECT($AA11)&gt;'WestHolst Position Rpt'!L$8)*(INDIRECT($AA11)&lt;'WestHolst Position Rpt'!L$9)*(INDIRECT($AB11)))</f>
        <v>#VALUE!</v>
      </c>
      <c r="M11" s="200" t="e">
        <f aca="true" t="array" ref="M11:M11">SUM((INDIRECT($AA11)&gt;'WestHolst Position Rpt'!M$8)*(INDIRECT($AA11)&lt;'WestHolst Position Rpt'!M$9)*(INDIRECT($AB11)))</f>
        <v>#VALUE!</v>
      </c>
      <c r="N11" s="200" t="e">
        <f aca="true" t="array" ref="N11:N11">SUM((INDIRECT($AA11)&gt;'WestHolst Position Rpt'!N$8)*(INDIRECT($AA11)&lt;'WestHolst Position Rpt'!N$9)*(INDIRECT($AB11)))</f>
        <v>#VALUE!</v>
      </c>
      <c r="O11" s="200" t="e">
        <f aca="true" t="array" ref="O11:O11">SUM((INDIRECT($AA11)&gt;'WestHolst Position Rpt'!O$8)*(INDIRECT($AA11)&lt;'WestHolst Position Rpt'!O$9)*(INDIRECT($AB11)))</f>
        <v>#VALUE!</v>
      </c>
      <c r="P11" s="200" t="e">
        <f aca="true" t="array" ref="P11:P11">SUM((INDIRECT($AA11)&gt;'WestHolst Position Rpt'!P$8)*(INDIRECT($AA11)&lt;'WestHolst Position Rpt'!P$9)*(INDIRECT($AB11)))</f>
        <v>#VALUE!</v>
      </c>
      <c r="Q11" s="200" t="e">
        <f aca="true" t="array" ref="Q11:Q11">SUM((INDIRECT($AA11)&gt;'WestHolst Position Rpt'!Q$8)*(INDIRECT($AA11)&lt;'WestHolst Position Rpt'!Q$9)*(INDIRECT($AB11)))</f>
        <v>#VALUE!</v>
      </c>
      <c r="R11" s="200" t="e">
        <f aca="true" t="array" ref="R11:R11">SUM((INDIRECT($AA11)&gt;'WestHolst Position Rpt'!R$8)*(INDIRECT($AA11)&lt;'WestHolst Position Rpt'!R$9)*(INDIRECT($AB11)))</f>
        <v>#VALUE!</v>
      </c>
      <c r="S11" s="200" t="e">
        <f aca="true" t="array" ref="S11:S11">SUM((INDIRECT($AA11)&gt;'WestHolst Position Rpt'!S$8)*(INDIRECT($AA11)&lt;'WestHolst Position Rpt'!S$9)*(INDIRECT($AB11)))</f>
        <v>#VALUE!</v>
      </c>
      <c r="T11" s="201" t="e">
        <f aca="true" t="array" ref="T11:T11">SUM((INDIRECT($AA11)&gt;'WestHolst Position Rpt'!T$8)*(INDIRECT($AA11)&lt;'WestHolst Position Rpt'!T$9)*(INDIRECT($AB11)))</f>
        <v>#VALUE!</v>
      </c>
      <c r="V11" s="202" t="e">
        <f aca="false">SUM(H11:T11)</f>
        <v>#VALUE!</v>
      </c>
      <c r="Y11" s="125" t="e">
        <f aca="false">GetWorkSheet($C10)</f>
        <v>#VALUE!</v>
      </c>
      <c r="Z11" s="124"/>
      <c r="AA11" s="125" t="e">
        <f aca="false">IF(NOT($Y11="#VALUE#"),CONCATENATE($Y11,"!",GetDateStart($Y11),":",GetDateEnd($Y11)),"")</f>
        <v>#VALUE!</v>
      </c>
      <c r="AB11" s="125" t="e">
        <f aca="false">IF(NOT($Y11="#VALUE#"),CONCATENATE($Y11,"!",GetDeliveryStart($Y11),":",GetDeliveryEnd($Y11)),"")</f>
        <v>#VALUE!</v>
      </c>
      <c r="AC11" s="125" t="e">
        <f aca="false">GetRecNdx($Z10,$C10)</f>
        <v>#VALUE!</v>
      </c>
    </row>
    <row r="14" customFormat="false" ht="12.75" hidden="false" customHeight="false" outlineLevel="0" collapsed="false">
      <c r="G14" s="203" t="s">
        <v>396</v>
      </c>
    </row>
    <row r="15" customFormat="false" ht="12.75" hidden="false" customHeight="false" outlineLevel="0" collapsed="false">
      <c r="G15" s="97" t="s">
        <v>85</v>
      </c>
      <c r="H15" s="98" t="n">
        <f aca="false">SUMIF($G$10:$G$11,$G$15,$H$10:$H$11)</f>
        <v>0</v>
      </c>
      <c r="I15" s="98" t="n">
        <f aca="false">SUMIF($G$10:$G$11,$G$15,$I$10:$I$11)</f>
        <v>0</v>
      </c>
      <c r="J15" s="98" t="n">
        <f aca="false">SUMIF($G$10:$G$11,$G$15,$J$10:$J$11)</f>
        <v>0</v>
      </c>
      <c r="K15" s="98" t="n">
        <f aca="false">SUMIF($G$10:$G$11,$G$15,$K$10:$K$11)</f>
        <v>0</v>
      </c>
      <c r="L15" s="98" t="n">
        <f aca="false">SUMIF($G$10:$G$11,$G$15,$L$10:$L$11)</f>
        <v>0</v>
      </c>
      <c r="M15" s="98" t="n">
        <f aca="false">SUMIF($G$10:$G$11,$G$15,$M$10:$M$11)</f>
        <v>0</v>
      </c>
      <c r="N15" s="98" t="n">
        <f aca="false">SUMIF($G$10:$G$11,$G$15,$N$10:$N$11)</f>
        <v>0</v>
      </c>
      <c r="O15" s="98" t="n">
        <f aca="false">SUMIF($G$10:$G$11,$G$15,$O$10:$O$11)</f>
        <v>0</v>
      </c>
      <c r="P15" s="98" t="n">
        <f aca="false">SUMIF($G$10:$G$11,$G$15,$P$10:$P$11)</f>
        <v>0</v>
      </c>
      <c r="Q15" s="98" t="n">
        <f aca="false">SUMIF($G$10:$G$11,$G$15,$Q$10:$Q$11)</f>
        <v>0</v>
      </c>
      <c r="R15" s="98" t="n">
        <f aca="false">SUMIF($G$10:$G$11,$G$15,$R$10:$R$11)</f>
        <v>0</v>
      </c>
      <c r="S15" s="98" t="n">
        <f aca="false">SUMIF($G$10:$G$11,$G$15,$S$10:$S$11)</f>
        <v>0</v>
      </c>
      <c r="T15" s="98" t="n">
        <f aca="false">SUMIF($G$10:$G$11,$G$15,$T$10:$T$11)</f>
        <v>0</v>
      </c>
    </row>
    <row r="16" customFormat="false" ht="12.75" hidden="false" customHeight="false" outlineLevel="0" collapsed="false">
      <c r="G16" s="97" t="s">
        <v>86</v>
      </c>
      <c r="H16" s="98" t="n">
        <f aca="false">SUMIF($G$10:$G$11,$G$16,$H$10:$H$11)</f>
        <v>0</v>
      </c>
      <c r="I16" s="98" t="n">
        <f aca="false">SUMIF($G$10:$G$11,$G$16,$I$10:$I$11)</f>
        <v>0</v>
      </c>
      <c r="J16" s="98" t="n">
        <f aca="false">SUMIF($G$10:$G$11,$G$16,$J$10:$J$11)</f>
        <v>0</v>
      </c>
      <c r="K16" s="98" t="n">
        <f aca="false">SUMIF($G$10:$G$11,$G$16,$K$10:$K$11)</f>
        <v>0</v>
      </c>
      <c r="L16" s="98" t="n">
        <f aca="false">SUMIF($G$10:$G$11,$G$16,$L$10:$L$11)</f>
        <v>0</v>
      </c>
      <c r="M16" s="98" t="n">
        <f aca="false">SUMIF($G$10:$G$11,$G$16,$M$10:$M$11)</f>
        <v>0</v>
      </c>
      <c r="N16" s="98" t="n">
        <f aca="false">SUMIF($G$10:$G$11,$G$16,$N$10:$N$11)</f>
        <v>0</v>
      </c>
      <c r="O16" s="98" t="n">
        <f aca="false">SUMIF($G$10:$G$11,$G$16,$O$10:$O$11)</f>
        <v>0</v>
      </c>
      <c r="P16" s="98" t="n">
        <f aca="false">SUMIF($G$10:$G$11,$G$16,$P$10:$P$11)</f>
        <v>0</v>
      </c>
      <c r="Q16" s="98" t="n">
        <f aca="false">SUMIF($G$10:$G$11,$G$16,$Q$10:$Q$11)</f>
        <v>0</v>
      </c>
      <c r="R16" s="98" t="n">
        <f aca="false">SUMIF($G$10:$G$11,$G$16,$R$10:$R$11)</f>
        <v>0</v>
      </c>
      <c r="S16" s="98" t="n">
        <f aca="false">SUMIF($G$10:$G$11,$G$16,$S$10:$S$11)</f>
        <v>0</v>
      </c>
      <c r="T16" s="98" t="n">
        <f aca="false">SUMIF($G$10:$G$11,$G$16,$T$10:$T$11)</f>
        <v>0</v>
      </c>
    </row>
    <row r="18" customFormat="false" ht="12.75" hidden="false" customHeight="false" outlineLevel="0" collapsed="false">
      <c r="G18" s="205" t="s">
        <v>397</v>
      </c>
    </row>
    <row r="19" customFormat="false" ht="12.75" hidden="false" customHeight="false" outlineLevel="0" collapsed="false">
      <c r="G19" s="97" t="s">
        <v>398</v>
      </c>
      <c r="H19" s="98" t="n">
        <f aca="false">SUMIF($H$10:$H$11,"&gt;0",$H$10:$H$11)</f>
        <v>0</v>
      </c>
      <c r="I19" s="98" t="n">
        <f aca="false">SUMIF($I$10:$I$11,"&gt;0",$I$10:$I$11)</f>
        <v>0</v>
      </c>
      <c r="J19" s="98" t="n">
        <f aca="false">SUMIF($J$10:$J$11,"&gt;0",$J$10:$J$11)</f>
        <v>0</v>
      </c>
      <c r="K19" s="98" t="n">
        <f aca="false">SUMIF($K$10:$K$11,"&gt;0",$K$10:$K$11)</f>
        <v>0</v>
      </c>
      <c r="L19" s="98" t="n">
        <f aca="false">SUMIF($L$10:$L$11,"&gt;0",$L$10:$L$11)</f>
        <v>0</v>
      </c>
      <c r="M19" s="98" t="n">
        <f aca="false">SUMIF($M$10:$M$11,"&gt;0",$M$10:$M$11)</f>
        <v>0</v>
      </c>
      <c r="N19" s="98" t="n">
        <f aca="false">SUMIF($N$10:$N$11,"&gt;0",$N$10:$N$11)</f>
        <v>0</v>
      </c>
      <c r="O19" s="98" t="n">
        <f aca="false">SUMIF($O$10:$O$11,"&gt;0",$O$10:$O$11)</f>
        <v>0</v>
      </c>
      <c r="P19" s="98" t="n">
        <f aca="false">SUMIF($P$10:$P$11,"&gt;0",$P$10:$P$11)</f>
        <v>0</v>
      </c>
      <c r="Q19" s="98" t="n">
        <f aca="false">SUMIF($Q$10:$Q$11,"&gt;0",$Q$10:$Q$11)</f>
        <v>0</v>
      </c>
      <c r="R19" s="98" t="n">
        <f aca="false">SUMIF($R$10:$R$11,"&gt;0",$R$10:$R$11)</f>
        <v>0</v>
      </c>
      <c r="S19" s="98" t="n">
        <f aca="false">SUMIF($S$10:$S$11,"&gt;0",$S$10:$S$11)</f>
        <v>0</v>
      </c>
      <c r="T19" s="98" t="n">
        <f aca="false">SUMIF($T$10:$T$11,"&gt;0",$T$10:$T$11)</f>
        <v>0</v>
      </c>
    </row>
    <row r="20" customFormat="false" ht="12.75" hidden="false" customHeight="false" outlineLevel="0" collapsed="false">
      <c r="G20" s="97" t="s">
        <v>399</v>
      </c>
      <c r="H20" s="98" t="n">
        <f aca="false">SUMIF($H$10:$H$11,"&lt;0",$H$10:$H$11)</f>
        <v>0</v>
      </c>
      <c r="I20" s="98" t="n">
        <f aca="false">SUMIF($I$10:$I$11,"&lt;0",$I$10:$I$11)</f>
        <v>0</v>
      </c>
      <c r="J20" s="98" t="n">
        <f aca="false">SUMIF($J$10:$J$11,"&lt;0",$J$10:$J$11)</f>
        <v>0</v>
      </c>
      <c r="K20" s="98" t="n">
        <f aca="false">SUMIF($K$10:$K$11,"&lt;0",$K$10:$K$11)</f>
        <v>0</v>
      </c>
      <c r="L20" s="98" t="n">
        <f aca="false">SUMIF($L$10:$L$11,"&lt;0",$L$10:$L$11)</f>
        <v>0</v>
      </c>
      <c r="M20" s="98" t="n">
        <f aca="false">SUMIF($M$10:$M$11,"&lt;0",$M$10:$M$11)</f>
        <v>0</v>
      </c>
      <c r="N20" s="98" t="n">
        <f aca="false">SUMIF($N$10:$N$11,"&lt;0",$N$10:$N$11)</f>
        <v>0</v>
      </c>
      <c r="O20" s="98" t="n">
        <f aca="false">SUMIF($O$10:$O$11,"&lt;0",$O$10:$O$11)</f>
        <v>0</v>
      </c>
      <c r="P20" s="98" t="n">
        <f aca="false">SUMIF($P$10:$P$11,"&lt;0",$P$10:$P$11)</f>
        <v>0</v>
      </c>
      <c r="Q20" s="98" t="n">
        <f aca="false">SUMIF($Q$10:$Q$11,"&lt;0",$Q$10:$Q$11)</f>
        <v>0</v>
      </c>
      <c r="R20" s="98" t="n">
        <f aca="false">SUMIF($R$10:$R$11,"&lt;0",$R$10:$R$11)</f>
        <v>0</v>
      </c>
      <c r="S20" s="98" t="n">
        <f aca="false">SUMIF($S$10:$S$11,"&lt;0",$S$10:$S$11)</f>
        <v>0</v>
      </c>
      <c r="T20" s="98" t="n">
        <f aca="false">SUMIF($T$10:$T$11,"&lt;0",$T$10:$T$11)</f>
        <v>0</v>
      </c>
    </row>
  </sheetData>
  <mergeCells count="5">
    <mergeCell ref="C8:C9"/>
    <mergeCell ref="V8:V9"/>
    <mergeCell ref="C10:C11"/>
    <mergeCell ref="E10:E11"/>
    <mergeCell ref="F10:F1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2">
              <controlPr defaultSize="0" print="false" autoFill="0" autoPict="0" macro="Report_Routines.Button2_Click">
                <anchor moveWithCells="true" sizeWithCells="false">
                  <from>
                    <xdr:col>1</xdr:col>
                    <xdr:colOff>190800</xdr:colOff>
                    <xdr:row>1</xdr:row>
                    <xdr:rowOff>75960</xdr:rowOff>
                  </from>
                  <to>
                    <xdr:col>3</xdr:col>
                    <xdr:colOff>50400</xdr:colOff>
                    <xdr:row>4</xdr:row>
                    <xdr:rowOff>66600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6" activeCellId="0" sqref="A16:IV17"/>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9.28"/>
    <col collapsed="false" customWidth="true" hidden="false" outlineLevel="0" max="6" min="6" style="96" width="23.99"/>
    <col collapsed="false" customWidth="true" hidden="false" outlineLevel="0" max="7" min="7" style="97" width="30.7"/>
    <col collapsed="false" customWidth="true" hidden="false" outlineLevel="0" max="20" min="8" style="98" width="13.7"/>
    <col collapsed="false" customWidth="true" hidden="false" outlineLevel="0" max="21" min="21" style="99" width="3.7"/>
    <col collapsed="false" customWidth="true" hidden="false" outlineLevel="0" max="22" min="22" style="95" width="13.7"/>
    <col collapsed="false" customWidth="false" hidden="false" outlineLevel="0" max="23" min="23" style="95" width="9.14"/>
    <col collapsed="false" customWidth="true" hidden="false" outlineLevel="0" max="24" min="24" style="95" width="14.28"/>
    <col collapsed="false" customWidth="true" hidden="false" outlineLevel="0" max="26" min="25" style="95" width="23.14"/>
    <col collapsed="false" customWidth="true" hidden="false" outlineLevel="0" max="27" min="27" style="95" width="35.56"/>
    <col collapsed="false" customWidth="true" hidden="false" outlineLevel="0" max="28" min="28" style="95" width="24.41"/>
    <col collapsed="false" customWidth="false" hidden="false" outlineLevel="0" max="257" min="29" style="95" width="9.14"/>
  </cols>
  <sheetData>
    <row r="1" customFormat="false" ht="12.75" hidden="false" customHeight="false" outlineLevel="0" collapsed="false">
      <c r="A1" s="19" t="s">
        <v>394</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ADDRESS(ROW($C$10),COLUMN($C$10))</f>
        <v>$C$10</v>
      </c>
      <c r="E3" s="100" t="s">
        <v>40</v>
      </c>
      <c r="F3" s="189" t="s">
        <v>400</v>
      </c>
    </row>
    <row r="7" customFormat="false" ht="18.75" hidden="false" customHeight="false" outlineLevel="0" collapsed="false">
      <c r="E7" s="102" t="str">
        <f aca="false">CONCATENATE("POSITION REPORT : ",UPPER(F3))</f>
        <v>POSITION REPORT : WEST/ERMIS</v>
      </c>
    </row>
    <row r="8" customFormat="false" ht="12.75" hidden="false" customHeight="false" outlineLevel="0" collapsed="false">
      <c r="A8" s="103"/>
      <c r="B8" s="103"/>
      <c r="C8" s="104" t="s">
        <v>213</v>
      </c>
      <c r="E8" s="105"/>
      <c r="F8" s="106"/>
      <c r="G8" s="107" t="s">
        <v>214</v>
      </c>
      <c r="H8" s="190" t="n">
        <f aca="false" t="array" ref="H8:T8">TRANSPOSE(Configuration!D25:D37)</f>
        <v>37043</v>
      </c>
      <c r="I8" s="191" t="n">
        <v>37073</v>
      </c>
      <c r="J8" s="191" t="n">
        <v>37104</v>
      </c>
      <c r="K8" s="191" t="n">
        <v>37135</v>
      </c>
      <c r="L8" s="191" t="n">
        <v>37165</v>
      </c>
      <c r="M8" s="191" t="n">
        <v>37196</v>
      </c>
      <c r="N8" s="191" t="n">
        <v>37226</v>
      </c>
      <c r="O8" s="191" t="n">
        <v>37257</v>
      </c>
      <c r="P8" s="191" t="n">
        <v>37622</v>
      </c>
      <c r="Q8" s="191" t="n">
        <v>37987</v>
      </c>
      <c r="R8" s="191" t="n">
        <v>38353</v>
      </c>
      <c r="S8" s="191" t="n">
        <v>40544</v>
      </c>
      <c r="T8" s="192" t="n">
        <v>42370</v>
      </c>
      <c r="U8" s="103"/>
      <c r="V8" s="104" t="s">
        <v>395</v>
      </c>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false" outlineLevel="0" collapsed="false">
      <c r="A9" s="103"/>
      <c r="B9" s="103"/>
      <c r="C9" s="104"/>
      <c r="E9" s="112" t="s">
        <v>13</v>
      </c>
      <c r="F9" s="113" t="s">
        <v>233</v>
      </c>
      <c r="G9" s="114" t="s">
        <v>234</v>
      </c>
      <c r="H9" s="193" t="n">
        <f aca="false" t="array" ref="H9:T9">TRANSPOSE(Configuration!E25:E37)</f>
        <v>37072</v>
      </c>
      <c r="I9" s="194" t="n">
        <v>37103</v>
      </c>
      <c r="J9" s="194" t="n">
        <v>37134</v>
      </c>
      <c r="K9" s="194" t="n">
        <v>37164</v>
      </c>
      <c r="L9" s="194" t="n">
        <v>37195</v>
      </c>
      <c r="M9" s="194" t="n">
        <v>37225</v>
      </c>
      <c r="N9" s="194" t="n">
        <v>37256</v>
      </c>
      <c r="O9" s="194" t="n">
        <v>37621</v>
      </c>
      <c r="P9" s="194" t="n">
        <v>37986</v>
      </c>
      <c r="Q9" s="194" t="n">
        <v>38352</v>
      </c>
      <c r="R9" s="194" t="n">
        <v>40543</v>
      </c>
      <c r="S9" s="194" t="n">
        <v>42369</v>
      </c>
      <c r="T9" s="195" t="n">
        <v>45657</v>
      </c>
      <c r="U9" s="103"/>
      <c r="V9" s="104"/>
      <c r="W9" s="103"/>
      <c r="X9" s="103"/>
      <c r="Y9" s="103"/>
      <c r="Z9" s="208"/>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84</v>
      </c>
      <c r="E10" s="116" t="e">
        <f aca="false">GetPipeName($Z10,$AC10)</f>
        <v>#VALUE!</v>
      </c>
      <c r="F10" s="117" t="e">
        <f aca="false">CONCATENATE(GetRcptPoint($Z10,$AC10)," to ",GetDelPoint($Z10,$AC10))</f>
        <v>#VALUE!</v>
      </c>
      <c r="G10" s="118" t="e">
        <f aca="false">GetRcptBasis($Z10,$AC10)</f>
        <v>#VALUE!</v>
      </c>
      <c r="H10" s="209" t="e">
        <f aca="true" t="array" ref="H10:H10">SUM((INDIRECT($AA10)&gt;'WestAllen Position Rpt'!H$8)*(INDIRECT($AA10)&lt;'WestAllen Position Rpt'!H$9)*(INDIRECT($AB10)))</f>
        <v>#VALUE!</v>
      </c>
      <c r="I10" s="196" t="e">
        <f aca="true" t="array" ref="I10:I10">SUM((INDIRECT($AA10)&gt;'WestAllen Position Rpt'!I$8)*(INDIRECT($AA10)&lt;'WestAllen Position Rpt'!I$9)*(INDIRECT($AB10)))</f>
        <v>#VALUE!</v>
      </c>
      <c r="J10" s="196" t="e">
        <f aca="true" t="array" ref="J10:J10">SUM((INDIRECT($AA10)&gt;'WestAllen Position Rpt'!J$8)*(INDIRECT($AA10)&lt;'WestAllen Position Rpt'!J$9)*(INDIRECT($AB10)))</f>
        <v>#VALUE!</v>
      </c>
      <c r="K10" s="196" t="e">
        <f aca="true" t="array" ref="K10:K10">SUM((INDIRECT($AA10)&gt;'WestAllen Position Rpt'!K$8)*(INDIRECT($AA10)&lt;'WestAllen Position Rpt'!K$9)*(INDIRECT($AB10)))</f>
        <v>#VALUE!</v>
      </c>
      <c r="L10" s="196" t="e">
        <f aca="true" t="array" ref="L10:L10">SUM((INDIRECT($AA10)&gt;'WestAllen Position Rpt'!L$8)*(INDIRECT($AA10)&lt;'WestAllen Position Rpt'!L$9)*(INDIRECT($AB10)))</f>
        <v>#VALUE!</v>
      </c>
      <c r="M10" s="196" t="e">
        <f aca="true" t="array" ref="M10:M10">SUM((INDIRECT($AA10)&gt;'WestAllen Position Rpt'!M$8)*(INDIRECT($AA10)&lt;'WestAllen Position Rpt'!M$9)*(INDIRECT($AB10)))</f>
        <v>#VALUE!</v>
      </c>
      <c r="N10" s="196" t="e">
        <f aca="true" t="array" ref="N10:N10">SUM((INDIRECT($AA10)&gt;'WestAllen Position Rpt'!N$8)*(INDIRECT($AA10)&lt;'WestAllen Position Rpt'!N$9)*(INDIRECT($AB10)))</f>
        <v>#VALUE!</v>
      </c>
      <c r="O10" s="196" t="e">
        <f aca="true" t="array" ref="O10:O10">SUM((INDIRECT($AA10)&gt;'WestAllen Position Rpt'!O$8)*(INDIRECT($AA10)&lt;'WestAllen Position Rpt'!O$9)*(INDIRECT($AB10)))</f>
        <v>#VALUE!</v>
      </c>
      <c r="P10" s="196" t="e">
        <f aca="true" t="array" ref="P10:P10">SUM((INDIRECT($AA10)&gt;'WestAllen Position Rpt'!P$8)*(INDIRECT($AA10)&lt;'WestAllen Position Rpt'!P$9)*(INDIRECT($AB10)))</f>
        <v>#VALUE!</v>
      </c>
      <c r="Q10" s="196" t="e">
        <f aca="true" t="array" ref="Q10:Q10">SUM((INDIRECT($AA10)&gt;'WestAllen Position Rpt'!Q$8)*(INDIRECT($AA10)&lt;'WestAllen Position Rpt'!Q$9)*(INDIRECT($AB10)))</f>
        <v>#VALUE!</v>
      </c>
      <c r="R10" s="196" t="e">
        <f aca="true" t="array" ref="R10:R10">SUM((INDIRECT($AA10)&gt;'WestAllen Position Rpt'!R$8)*(INDIRECT($AA10)&lt;'WestAllen Position Rpt'!R$9)*(INDIRECT($AB10)))</f>
        <v>#VALUE!</v>
      </c>
      <c r="S10" s="196" t="e">
        <f aca="true" t="array" ref="S10:S10">SUM((INDIRECT($AA10)&gt;'WestAllen Position Rpt'!S$8)*(INDIRECT($AA10)&lt;'WestAllen Position Rpt'!S$9)*(INDIRECT($AB10)))</f>
        <v>#VALUE!</v>
      </c>
      <c r="T10" s="197" t="e">
        <f aca="true" t="array" ref="T10:T10">SUM((INDIRECT($AA10)&gt;'WestAllen Position Rpt'!T$8)*(INDIRECT($AA10)&lt;'WestAllen Position Rpt'!T$9)*(INDIRECT($AB10)))</f>
        <v>#VALUE!</v>
      </c>
      <c r="V10" s="198" t="e">
        <f aca="false">SUM(H10:T10)</f>
        <v>#VALUE!</v>
      </c>
      <c r="Y10" s="125" t="e">
        <f aca="false">GetWorkSheet($C10)</f>
        <v>#VALUE!</v>
      </c>
      <c r="Z10" s="124" t="e">
        <f aca="false">FetchDBPage(Y10)</f>
        <v>#VALUE!</v>
      </c>
      <c r="AA10" s="125" t="e">
        <f aca="false">IF(NOT($Y10="#VALUE#"),CONCATENATE($Y10,"!",GetDateStart($Y10),":",GetDateEnd($Y10)),"")</f>
        <v>#VALUE!</v>
      </c>
      <c r="AB10" s="125" t="e">
        <f aca="false">IF(NOT($Y10="#VALUE#"),CONCATENATE($Y10,"!",GetReceiptStart($Y10),":",GetReceiptEnd($Y10)),"")</f>
        <v>#VALUE!</v>
      </c>
      <c r="AC10" s="125" t="e">
        <f aca="false">GetRecNdx($Z10,$C10)</f>
        <v>#VALUE!</v>
      </c>
    </row>
    <row r="11" customFormat="false" ht="12.75" hidden="false" customHeight="false" outlineLevel="0" collapsed="false">
      <c r="C11" s="115"/>
      <c r="E11" s="116"/>
      <c r="F11" s="117"/>
      <c r="G11" s="126" t="e">
        <f aca="false">GetDelBasis($Z10,$AC11)</f>
        <v>#VALUE!</v>
      </c>
      <c r="H11" s="199" t="e">
        <f aca="true" t="array" ref="H11:H11">SUM((INDIRECT($AA11)&gt;'WestAllen Position Rpt'!H$8)*(INDIRECT($AA11)&lt;'WestAllen Position Rpt'!H$9)*(INDIRECT($AB11)))</f>
        <v>#VALUE!</v>
      </c>
      <c r="I11" s="200" t="e">
        <f aca="true" t="array" ref="I11:I11">SUM((INDIRECT($AA11)&gt;'WestAllen Position Rpt'!I$8)*(INDIRECT($AA11)&lt;'WestAllen Position Rpt'!I$9)*(INDIRECT($AB11)))</f>
        <v>#VALUE!</v>
      </c>
      <c r="J11" s="200" t="e">
        <f aca="true" t="array" ref="J11:J11">SUM((INDIRECT($AA11)&gt;'WestAllen Position Rpt'!J$8)*(INDIRECT($AA11)&lt;'WestAllen Position Rpt'!J$9)*(INDIRECT($AB11)))</f>
        <v>#VALUE!</v>
      </c>
      <c r="K11" s="200" t="e">
        <f aca="true" t="array" ref="K11:K11">SUM((INDIRECT($AA11)&gt;'WestAllen Position Rpt'!K$8)*(INDIRECT($AA11)&lt;'WestAllen Position Rpt'!K$9)*(INDIRECT($AB11)))</f>
        <v>#VALUE!</v>
      </c>
      <c r="L11" s="200" t="e">
        <f aca="true" t="array" ref="L11:L11">SUM((INDIRECT($AA11)&gt;'WestAllen Position Rpt'!L$8)*(INDIRECT($AA11)&lt;'WestAllen Position Rpt'!L$9)*(INDIRECT($AB11)))</f>
        <v>#VALUE!</v>
      </c>
      <c r="M11" s="200" t="e">
        <f aca="true" t="array" ref="M11:M11">SUM((INDIRECT($AA11)&gt;'WestAllen Position Rpt'!M$8)*(INDIRECT($AA11)&lt;'WestAllen Position Rpt'!M$9)*(INDIRECT($AB11)))</f>
        <v>#VALUE!</v>
      </c>
      <c r="N11" s="200" t="e">
        <f aca="true" t="array" ref="N11:N11">SUM((INDIRECT($AA11)&gt;'WestAllen Position Rpt'!N$8)*(INDIRECT($AA11)&lt;'WestAllen Position Rpt'!N$9)*(INDIRECT($AB11)))</f>
        <v>#VALUE!</v>
      </c>
      <c r="O11" s="200" t="e">
        <f aca="true" t="array" ref="O11:O11">SUM((INDIRECT($AA11)&gt;'WestAllen Position Rpt'!O$8)*(INDIRECT($AA11)&lt;'WestAllen Position Rpt'!O$9)*(INDIRECT($AB11)))</f>
        <v>#VALUE!</v>
      </c>
      <c r="P11" s="200" t="e">
        <f aca="true" t="array" ref="P11:P11">SUM((INDIRECT($AA11)&gt;'WestAllen Position Rpt'!P$8)*(INDIRECT($AA11)&lt;'WestAllen Position Rpt'!P$9)*(INDIRECT($AB11)))</f>
        <v>#VALUE!</v>
      </c>
      <c r="Q11" s="200" t="e">
        <f aca="true" t="array" ref="Q11:Q11">SUM((INDIRECT($AA11)&gt;'WestAllen Position Rpt'!Q$8)*(INDIRECT($AA11)&lt;'WestAllen Position Rpt'!Q$9)*(INDIRECT($AB11)))</f>
        <v>#VALUE!</v>
      </c>
      <c r="R11" s="200" t="e">
        <f aca="true" t="array" ref="R11:R11">SUM((INDIRECT($AA11)&gt;'WestAllen Position Rpt'!R$8)*(INDIRECT($AA11)&lt;'WestAllen Position Rpt'!R$9)*(INDIRECT($AB11)))</f>
        <v>#VALUE!</v>
      </c>
      <c r="S11" s="200" t="e">
        <f aca="true" t="array" ref="S11:S11">SUM((INDIRECT($AA11)&gt;'WestAllen Position Rpt'!S$8)*(INDIRECT($AA11)&lt;'WestAllen Position Rpt'!S$9)*(INDIRECT($AB11)))</f>
        <v>#VALUE!</v>
      </c>
      <c r="T11" s="201" t="e">
        <f aca="true" t="array" ref="T11:T11">SUM((INDIRECT($AA11)&gt;'WestAllen Position Rpt'!T$8)*(INDIRECT($AA11)&lt;'WestAllen Position Rpt'!T$9)*(INDIRECT($AB11)))</f>
        <v>#VALUE!</v>
      </c>
      <c r="V11" s="202" t="e">
        <f aca="false">SUM(H11:T11)</f>
        <v>#VALUE!</v>
      </c>
      <c r="Y11" s="125" t="e">
        <f aca="false">GetWorkSheet($C10)</f>
        <v>#VALUE!</v>
      </c>
      <c r="Z11" s="124"/>
      <c r="AA11" s="125" t="e">
        <f aca="false">IF(NOT($Y11="#VALUE#"),CONCATENATE($Y11,"!",GetDateStart($Y11),":",GetDateEnd($Y11)),"")</f>
        <v>#VALUE!</v>
      </c>
      <c r="AB11" s="125" t="e">
        <f aca="false">IF(NOT($Y11="#VALUE#"),CONCATENATE($Y11,"!",GetDeliveryStart($Y11),":",GetDeliveryEnd($Y11)),"")</f>
        <v>#VALUE!</v>
      </c>
      <c r="AC11" s="125" t="e">
        <f aca="false">GetRecNdx($Z10,$C10)</f>
        <v>#VALUE!</v>
      </c>
    </row>
    <row r="12" customFormat="false" ht="12.75" hidden="false" customHeight="false" outlineLevel="0" collapsed="false">
      <c r="C12" s="115" t="n">
        <v>85</v>
      </c>
      <c r="E12" s="116" t="e">
        <f aca="false">GetPipeName($Z12,$AC12)</f>
        <v>#VALUE!</v>
      </c>
      <c r="F12" s="117" t="e">
        <f aca="false">CONCATENATE(GetRcptPoint($Z12,$AC12)," to ",GetDelPoint($Z12,$AC12))</f>
        <v>#VALUE!</v>
      </c>
      <c r="G12" s="118" t="e">
        <f aca="false">GetRcptBasis($Z12,$AC12)</f>
        <v>#VALUE!</v>
      </c>
      <c r="H12" s="209" t="e">
        <f aca="true" t="array" ref="H12:H12">SUM((INDIRECT($AA12)&gt;'WestAllen Position Rpt'!H$8)*(INDIRECT($AA12)&lt;'WestAllen Position Rpt'!H$9)*(INDIRECT($AB12)))</f>
        <v>#VALUE!</v>
      </c>
      <c r="I12" s="196" t="e">
        <f aca="true" t="array" ref="I12:I12">SUM((INDIRECT($AA12)&gt;'WestAllen Position Rpt'!I$8)*(INDIRECT($AA12)&lt;'WestAllen Position Rpt'!I$9)*(INDIRECT($AB12)))</f>
        <v>#VALUE!</v>
      </c>
      <c r="J12" s="196" t="e">
        <f aca="true" t="array" ref="J12:J12">SUM((INDIRECT($AA12)&gt;'WestAllen Position Rpt'!J$8)*(INDIRECT($AA12)&lt;'WestAllen Position Rpt'!J$9)*(INDIRECT($AB12)))</f>
        <v>#VALUE!</v>
      </c>
      <c r="K12" s="196" t="e">
        <f aca="true" t="array" ref="K12:K12">SUM((INDIRECT($AA12)&gt;'WestAllen Position Rpt'!K$8)*(INDIRECT($AA12)&lt;'WestAllen Position Rpt'!K$9)*(INDIRECT($AB12)))</f>
        <v>#VALUE!</v>
      </c>
      <c r="L12" s="196" t="e">
        <f aca="true" t="array" ref="L12:L12">SUM((INDIRECT($AA12)&gt;'WestAllen Position Rpt'!L$8)*(INDIRECT($AA12)&lt;'WestAllen Position Rpt'!L$9)*(INDIRECT($AB12)))</f>
        <v>#VALUE!</v>
      </c>
      <c r="M12" s="196" t="e">
        <f aca="true" t="array" ref="M12:M12">SUM((INDIRECT($AA12)&gt;'WestAllen Position Rpt'!M$8)*(INDIRECT($AA12)&lt;'WestAllen Position Rpt'!M$9)*(INDIRECT($AB12)))</f>
        <v>#VALUE!</v>
      </c>
      <c r="N12" s="196" t="e">
        <f aca="true" t="array" ref="N12:N12">SUM((INDIRECT($AA12)&gt;'WestAllen Position Rpt'!N$8)*(INDIRECT($AA12)&lt;'WestAllen Position Rpt'!N$9)*(INDIRECT($AB12)))</f>
        <v>#VALUE!</v>
      </c>
      <c r="O12" s="196" t="e">
        <f aca="true" t="array" ref="O12:O12">SUM((INDIRECT($AA12)&gt;'WestAllen Position Rpt'!O$8)*(INDIRECT($AA12)&lt;'WestAllen Position Rpt'!O$9)*(INDIRECT($AB12)))</f>
        <v>#VALUE!</v>
      </c>
      <c r="P12" s="196" t="e">
        <f aca="true" t="array" ref="P12:P12">SUM((INDIRECT($AA12)&gt;'WestAllen Position Rpt'!P$8)*(INDIRECT($AA12)&lt;'WestAllen Position Rpt'!P$9)*(INDIRECT($AB12)))</f>
        <v>#VALUE!</v>
      </c>
      <c r="Q12" s="196" t="e">
        <f aca="true" t="array" ref="Q12:Q12">SUM((INDIRECT($AA12)&gt;'WestAllen Position Rpt'!Q$8)*(INDIRECT($AA12)&lt;'WestAllen Position Rpt'!Q$9)*(INDIRECT($AB12)))</f>
        <v>#VALUE!</v>
      </c>
      <c r="R12" s="196" t="e">
        <f aca="true" t="array" ref="R12:R12">SUM((INDIRECT($AA12)&gt;'WestAllen Position Rpt'!R$8)*(INDIRECT($AA12)&lt;'WestAllen Position Rpt'!R$9)*(INDIRECT($AB12)))</f>
        <v>#VALUE!</v>
      </c>
      <c r="S12" s="196" t="e">
        <f aca="true" t="array" ref="S12:S12">SUM((INDIRECT($AA12)&gt;'WestAllen Position Rpt'!S$8)*(INDIRECT($AA12)&lt;'WestAllen Position Rpt'!S$9)*(INDIRECT($AB12)))</f>
        <v>#VALUE!</v>
      </c>
      <c r="T12" s="197" t="e">
        <f aca="true" t="array" ref="T12:T12">SUM((INDIRECT($AA12)&gt;'WestAllen Position Rpt'!T$8)*(INDIRECT($AA12)&lt;'WestAllen Position Rpt'!T$9)*(INDIRECT($AB12)))</f>
        <v>#VALUE!</v>
      </c>
      <c r="V12" s="198" t="e">
        <f aca="false">SUM(H12:T12)</f>
        <v>#VALUE!</v>
      </c>
      <c r="Y12" s="125" t="e">
        <f aca="false">GetWorkSheet($C12)</f>
        <v>#VALUE!</v>
      </c>
      <c r="Z12" s="124" t="e">
        <f aca="false">FetchDBPage(Y12)</f>
        <v>#VALUE!</v>
      </c>
      <c r="AA12" s="125" t="e">
        <f aca="false">IF(NOT($Y12="#VALUE#"),CONCATENATE($Y12,"!",GetDateStart($Y12),":",GetDateEnd($Y12)),"")</f>
        <v>#VALUE!</v>
      </c>
      <c r="AB12" s="125" t="e">
        <f aca="false">IF(NOT($Y12="#VALUE#"),CONCATENATE($Y12,"!",GetReceiptStart($Y12),":",GetReceiptEnd($Y12)),"")</f>
        <v>#VALUE!</v>
      </c>
      <c r="AC12" s="125" t="e">
        <f aca="false">GetRecNdx($Z12,$C12)</f>
        <v>#VALUE!</v>
      </c>
    </row>
    <row r="13" customFormat="false" ht="12.75" hidden="false" customHeight="false" outlineLevel="0" collapsed="false">
      <c r="C13" s="115"/>
      <c r="E13" s="116"/>
      <c r="F13" s="117"/>
      <c r="G13" s="126" t="e">
        <f aca="false">GetDelBasis($Z12,$AC13)</f>
        <v>#VALUE!</v>
      </c>
      <c r="H13" s="199" t="e">
        <f aca="true" t="array" ref="H13:H13">SUM((INDIRECT($AA13)&gt;'WestAllen Position Rpt'!H$8)*(INDIRECT($AA13)&lt;'WestAllen Position Rpt'!H$9)*(INDIRECT($AB13)))</f>
        <v>#VALUE!</v>
      </c>
      <c r="I13" s="200" t="e">
        <f aca="true" t="array" ref="I13:I13">SUM((INDIRECT($AA13)&gt;'WestAllen Position Rpt'!I$8)*(INDIRECT($AA13)&lt;'WestAllen Position Rpt'!I$9)*(INDIRECT($AB13)))</f>
        <v>#VALUE!</v>
      </c>
      <c r="J13" s="200" t="e">
        <f aca="true" t="array" ref="J13:J13">SUM((INDIRECT($AA13)&gt;'WestAllen Position Rpt'!J$8)*(INDIRECT($AA13)&lt;'WestAllen Position Rpt'!J$9)*(INDIRECT($AB13)))</f>
        <v>#VALUE!</v>
      </c>
      <c r="K13" s="200" t="e">
        <f aca="true" t="array" ref="K13:K13">SUM((INDIRECT($AA13)&gt;'WestAllen Position Rpt'!K$8)*(INDIRECT($AA13)&lt;'WestAllen Position Rpt'!K$9)*(INDIRECT($AB13)))</f>
        <v>#VALUE!</v>
      </c>
      <c r="L13" s="200" t="e">
        <f aca="true" t="array" ref="L13:L13">SUM((INDIRECT($AA13)&gt;'WestAllen Position Rpt'!L$8)*(INDIRECT($AA13)&lt;'WestAllen Position Rpt'!L$9)*(INDIRECT($AB13)))</f>
        <v>#VALUE!</v>
      </c>
      <c r="M13" s="200" t="e">
        <f aca="true" t="array" ref="M13:M13">SUM((INDIRECT($AA13)&gt;'WestAllen Position Rpt'!M$8)*(INDIRECT($AA13)&lt;'WestAllen Position Rpt'!M$9)*(INDIRECT($AB13)))</f>
        <v>#VALUE!</v>
      </c>
      <c r="N13" s="200" t="e">
        <f aca="true" t="array" ref="N13:N13">SUM((INDIRECT($AA13)&gt;'WestAllen Position Rpt'!N$8)*(INDIRECT($AA13)&lt;'WestAllen Position Rpt'!N$9)*(INDIRECT($AB13)))</f>
        <v>#VALUE!</v>
      </c>
      <c r="O13" s="200" t="e">
        <f aca="true" t="array" ref="O13:O13">SUM((INDIRECT($AA13)&gt;'WestAllen Position Rpt'!O$8)*(INDIRECT($AA13)&lt;'WestAllen Position Rpt'!O$9)*(INDIRECT($AB13)))</f>
        <v>#VALUE!</v>
      </c>
      <c r="P13" s="200" t="e">
        <f aca="true" t="array" ref="P13:P13">SUM((INDIRECT($AA13)&gt;'WestAllen Position Rpt'!P$8)*(INDIRECT($AA13)&lt;'WestAllen Position Rpt'!P$9)*(INDIRECT($AB13)))</f>
        <v>#VALUE!</v>
      </c>
      <c r="Q13" s="200" t="e">
        <f aca="true" t="array" ref="Q13:Q13">SUM((INDIRECT($AA13)&gt;'WestAllen Position Rpt'!Q$8)*(INDIRECT($AA13)&lt;'WestAllen Position Rpt'!Q$9)*(INDIRECT($AB13)))</f>
        <v>#VALUE!</v>
      </c>
      <c r="R13" s="200" t="e">
        <f aca="true" t="array" ref="R13:R13">SUM((INDIRECT($AA13)&gt;'WestAllen Position Rpt'!R$8)*(INDIRECT($AA13)&lt;'WestAllen Position Rpt'!R$9)*(INDIRECT($AB13)))</f>
        <v>#VALUE!</v>
      </c>
      <c r="S13" s="200" t="e">
        <f aca="true" t="array" ref="S13:S13">SUM((INDIRECT($AA13)&gt;'WestAllen Position Rpt'!S$8)*(INDIRECT($AA13)&lt;'WestAllen Position Rpt'!S$9)*(INDIRECT($AB13)))</f>
        <v>#VALUE!</v>
      </c>
      <c r="T13" s="201" t="e">
        <f aca="true" t="array" ref="T13:T13">SUM((INDIRECT($AA13)&gt;'WestAllen Position Rpt'!T$8)*(INDIRECT($AA13)&lt;'WestAllen Position Rpt'!T$9)*(INDIRECT($AB13)))</f>
        <v>#VALUE!</v>
      </c>
      <c r="V13" s="202" t="e">
        <f aca="false">SUM(H13:T13)</f>
        <v>#VALUE!</v>
      </c>
      <c r="Y13" s="125" t="e">
        <f aca="false">GetWorkSheet($C12)</f>
        <v>#VALUE!</v>
      </c>
      <c r="Z13" s="124"/>
      <c r="AA13" s="125" t="e">
        <f aca="false">IF(NOT($Y13="#VALUE#"),CONCATENATE($Y13,"!",GetDateStart($Y13),":",GetDateEnd($Y13)),"")</f>
        <v>#VALUE!</v>
      </c>
      <c r="AB13" s="125" t="e">
        <f aca="false">IF(NOT($Y13="#VALUE#"),CONCATENATE($Y13,"!",GetDeliveryStart($Y13),":",GetDeliveryEnd($Y13)),"")</f>
        <v>#VALUE!</v>
      </c>
      <c r="AC13" s="125" t="e">
        <f aca="false">GetRecNdx($Z12,$C12)</f>
        <v>#VALUE!</v>
      </c>
    </row>
    <row r="14" customFormat="false" ht="12.75" hidden="false" customHeight="false" outlineLevel="0" collapsed="false">
      <c r="C14" s="115" t="n">
        <v>86</v>
      </c>
      <c r="E14" s="116" t="e">
        <f aca="false">GetPipeName($Z14,$AC14)</f>
        <v>#VALUE!</v>
      </c>
      <c r="F14" s="117" t="e">
        <f aca="false">CONCATENATE(GetRcptPoint($Z14,$AC14)," to ",GetDelPoint($Z14,$AC14))</f>
        <v>#VALUE!</v>
      </c>
      <c r="G14" s="118" t="e">
        <f aca="false">GetRcptBasis($Z14,$AC14)</f>
        <v>#VALUE!</v>
      </c>
      <c r="H14" s="209" t="e">
        <f aca="true" t="array" ref="H14:H14">SUM((INDIRECT($AA14)&gt;'WestAllen Position Rpt'!H$8)*(INDIRECT($AA14)&lt;'WestAllen Position Rpt'!H$9)*(INDIRECT($AB14)))</f>
        <v>#VALUE!</v>
      </c>
      <c r="I14" s="196" t="e">
        <f aca="true" t="array" ref="I14:I14">SUM((INDIRECT($AA14)&gt;'WestAllen Position Rpt'!I$8)*(INDIRECT($AA14)&lt;'WestAllen Position Rpt'!I$9)*(INDIRECT($AB14)))</f>
        <v>#VALUE!</v>
      </c>
      <c r="J14" s="196" t="e">
        <f aca="true" t="array" ref="J14:J14">SUM((INDIRECT($AA14)&gt;'WestAllen Position Rpt'!J$8)*(INDIRECT($AA14)&lt;'WestAllen Position Rpt'!J$9)*(INDIRECT($AB14)))</f>
        <v>#VALUE!</v>
      </c>
      <c r="K14" s="196" t="e">
        <f aca="true" t="array" ref="K14:K14">SUM((INDIRECT($AA14)&gt;'WestAllen Position Rpt'!K$8)*(INDIRECT($AA14)&lt;'WestAllen Position Rpt'!K$9)*(INDIRECT($AB14)))</f>
        <v>#VALUE!</v>
      </c>
      <c r="L14" s="196" t="e">
        <f aca="true" t="array" ref="L14:L14">SUM((INDIRECT($AA14)&gt;'WestAllen Position Rpt'!L$8)*(INDIRECT($AA14)&lt;'WestAllen Position Rpt'!L$9)*(INDIRECT($AB14)))</f>
        <v>#VALUE!</v>
      </c>
      <c r="M14" s="196" t="e">
        <f aca="true" t="array" ref="M14:M14">SUM((INDIRECT($AA14)&gt;'WestAllen Position Rpt'!M$8)*(INDIRECT($AA14)&lt;'WestAllen Position Rpt'!M$9)*(INDIRECT($AB14)))</f>
        <v>#VALUE!</v>
      </c>
      <c r="N14" s="196" t="e">
        <f aca="true" t="array" ref="N14:N14">SUM((INDIRECT($AA14)&gt;'WestAllen Position Rpt'!N$8)*(INDIRECT($AA14)&lt;'WestAllen Position Rpt'!N$9)*(INDIRECT($AB14)))</f>
        <v>#VALUE!</v>
      </c>
      <c r="O14" s="196" t="e">
        <f aca="true" t="array" ref="O14:O14">SUM((INDIRECT($AA14)&gt;'WestAllen Position Rpt'!O$8)*(INDIRECT($AA14)&lt;'WestAllen Position Rpt'!O$9)*(INDIRECT($AB14)))</f>
        <v>#VALUE!</v>
      </c>
      <c r="P14" s="196" t="e">
        <f aca="true" t="array" ref="P14:P14">SUM((INDIRECT($AA14)&gt;'WestAllen Position Rpt'!P$8)*(INDIRECT($AA14)&lt;'WestAllen Position Rpt'!P$9)*(INDIRECT($AB14)))</f>
        <v>#VALUE!</v>
      </c>
      <c r="Q14" s="196" t="e">
        <f aca="true" t="array" ref="Q14:Q14">SUM((INDIRECT($AA14)&gt;'WestAllen Position Rpt'!Q$8)*(INDIRECT($AA14)&lt;'WestAllen Position Rpt'!Q$9)*(INDIRECT($AB14)))</f>
        <v>#VALUE!</v>
      </c>
      <c r="R14" s="196" t="e">
        <f aca="true" t="array" ref="R14:R14">SUM((INDIRECT($AA14)&gt;'WestAllen Position Rpt'!R$8)*(INDIRECT($AA14)&lt;'WestAllen Position Rpt'!R$9)*(INDIRECT($AB14)))</f>
        <v>#VALUE!</v>
      </c>
      <c r="S14" s="196" t="e">
        <f aca="true" t="array" ref="S14:S14">SUM((INDIRECT($AA14)&gt;'WestAllen Position Rpt'!S$8)*(INDIRECT($AA14)&lt;'WestAllen Position Rpt'!S$9)*(INDIRECT($AB14)))</f>
        <v>#VALUE!</v>
      </c>
      <c r="T14" s="197" t="e">
        <f aca="true" t="array" ref="T14:T14">SUM((INDIRECT($AA14)&gt;'WestAllen Position Rpt'!T$8)*(INDIRECT($AA14)&lt;'WestAllen Position Rpt'!T$9)*(INDIRECT($AB14)))</f>
        <v>#VALUE!</v>
      </c>
      <c r="V14" s="198" t="e">
        <f aca="false">SUM(H14:T14)</f>
        <v>#VALUE!</v>
      </c>
      <c r="Y14" s="125" t="e">
        <f aca="false">GetWorkSheet($C14)</f>
        <v>#VALUE!</v>
      </c>
      <c r="Z14" s="124" t="e">
        <f aca="false">FetchDBPage(Y14)</f>
        <v>#VALUE!</v>
      </c>
      <c r="AA14" s="125" t="e">
        <f aca="false">IF(NOT($Y14="#VALUE#"),CONCATENATE($Y14,"!",GetDateStart($Y14),":",GetDateEnd($Y14)),"")</f>
        <v>#VALUE!</v>
      </c>
      <c r="AB14" s="125" t="e">
        <f aca="false">IF(NOT($Y14="#VALUE#"),CONCATENATE($Y14,"!",GetReceiptStart($Y14),":",GetReceiptEnd($Y14)),"")</f>
        <v>#VALUE!</v>
      </c>
      <c r="AC14" s="125" t="e">
        <f aca="false">GetRecNdx($Z14,$C14)</f>
        <v>#VALUE!</v>
      </c>
    </row>
    <row r="15" customFormat="false" ht="12.75" hidden="false" customHeight="false" outlineLevel="0" collapsed="false">
      <c r="C15" s="115"/>
      <c r="E15" s="116"/>
      <c r="F15" s="117"/>
      <c r="G15" s="126" t="e">
        <f aca="false">GetDelBasis($Z14,$AC15)</f>
        <v>#VALUE!</v>
      </c>
      <c r="H15" s="199" t="e">
        <f aca="true" t="array" ref="H15:H15">SUM((INDIRECT($AA15)&gt;'WestAllen Position Rpt'!H$8)*(INDIRECT($AA15)&lt;'WestAllen Position Rpt'!H$9)*(INDIRECT($AB15)))</f>
        <v>#VALUE!</v>
      </c>
      <c r="I15" s="200" t="e">
        <f aca="true" t="array" ref="I15:I15">SUM((INDIRECT($AA15)&gt;'WestAllen Position Rpt'!I$8)*(INDIRECT($AA15)&lt;'WestAllen Position Rpt'!I$9)*(INDIRECT($AB15)))</f>
        <v>#VALUE!</v>
      </c>
      <c r="J15" s="200" t="e">
        <f aca="true" t="array" ref="J15:J15">SUM((INDIRECT($AA15)&gt;'WestAllen Position Rpt'!J$8)*(INDIRECT($AA15)&lt;'WestAllen Position Rpt'!J$9)*(INDIRECT($AB15)))</f>
        <v>#VALUE!</v>
      </c>
      <c r="K15" s="200" t="e">
        <f aca="true" t="array" ref="K15:K15">SUM((INDIRECT($AA15)&gt;'WestAllen Position Rpt'!K$8)*(INDIRECT($AA15)&lt;'WestAllen Position Rpt'!K$9)*(INDIRECT($AB15)))</f>
        <v>#VALUE!</v>
      </c>
      <c r="L15" s="200" t="e">
        <f aca="true" t="array" ref="L15:L15">SUM((INDIRECT($AA15)&gt;'WestAllen Position Rpt'!L$8)*(INDIRECT($AA15)&lt;'WestAllen Position Rpt'!L$9)*(INDIRECT($AB15)))</f>
        <v>#VALUE!</v>
      </c>
      <c r="M15" s="200" t="e">
        <f aca="true" t="array" ref="M15:M15">SUM((INDIRECT($AA15)&gt;'WestAllen Position Rpt'!M$8)*(INDIRECT($AA15)&lt;'WestAllen Position Rpt'!M$9)*(INDIRECT($AB15)))</f>
        <v>#VALUE!</v>
      </c>
      <c r="N15" s="200" t="e">
        <f aca="true" t="array" ref="N15:N15">SUM((INDIRECT($AA15)&gt;'WestAllen Position Rpt'!N$8)*(INDIRECT($AA15)&lt;'WestAllen Position Rpt'!N$9)*(INDIRECT($AB15)))</f>
        <v>#VALUE!</v>
      </c>
      <c r="O15" s="200" t="e">
        <f aca="true" t="array" ref="O15:O15">SUM((INDIRECT($AA15)&gt;'WestAllen Position Rpt'!O$8)*(INDIRECT($AA15)&lt;'WestAllen Position Rpt'!O$9)*(INDIRECT($AB15)))</f>
        <v>#VALUE!</v>
      </c>
      <c r="P15" s="200" t="e">
        <f aca="true" t="array" ref="P15:P15">SUM((INDIRECT($AA15)&gt;'WestAllen Position Rpt'!P$8)*(INDIRECT($AA15)&lt;'WestAllen Position Rpt'!P$9)*(INDIRECT($AB15)))</f>
        <v>#VALUE!</v>
      </c>
      <c r="Q15" s="200" t="e">
        <f aca="true" t="array" ref="Q15:Q15">SUM((INDIRECT($AA15)&gt;'WestAllen Position Rpt'!Q$8)*(INDIRECT($AA15)&lt;'WestAllen Position Rpt'!Q$9)*(INDIRECT($AB15)))</f>
        <v>#VALUE!</v>
      </c>
      <c r="R15" s="200" t="e">
        <f aca="true" t="array" ref="R15:R15">SUM((INDIRECT($AA15)&gt;'WestAllen Position Rpt'!R$8)*(INDIRECT($AA15)&lt;'WestAllen Position Rpt'!R$9)*(INDIRECT($AB15)))</f>
        <v>#VALUE!</v>
      </c>
      <c r="S15" s="200" t="e">
        <f aca="true" t="array" ref="S15:S15">SUM((INDIRECT($AA15)&gt;'WestAllen Position Rpt'!S$8)*(INDIRECT($AA15)&lt;'WestAllen Position Rpt'!S$9)*(INDIRECT($AB15)))</f>
        <v>#VALUE!</v>
      </c>
      <c r="T15" s="201" t="e">
        <f aca="true" t="array" ref="T15:T15">SUM((INDIRECT($AA15)&gt;'WestAllen Position Rpt'!T$8)*(INDIRECT($AA15)&lt;'WestAllen Position Rpt'!T$9)*(INDIRECT($AB15)))</f>
        <v>#VALUE!</v>
      </c>
      <c r="V15" s="202" t="e">
        <f aca="false">SUM(H15:T15)</f>
        <v>#VALUE!</v>
      </c>
      <c r="Y15" s="125" t="e">
        <f aca="false">GetWorkSheet($C14)</f>
        <v>#VALUE!</v>
      </c>
      <c r="Z15" s="124"/>
      <c r="AA15" s="125" t="e">
        <f aca="false">IF(NOT($Y15="#VALUE#"),CONCATENATE($Y15,"!",GetDateStart($Y15),":",GetDateEnd($Y15)),"")</f>
        <v>#VALUE!</v>
      </c>
      <c r="AB15" s="125" t="e">
        <f aca="false">IF(NOT($Y15="#VALUE#"),CONCATENATE($Y15,"!",GetDeliveryStart($Y15),":",GetDeliveryEnd($Y15)),"")</f>
        <v>#VALUE!</v>
      </c>
      <c r="AC15" s="125" t="e">
        <f aca="false">GetRecNdx($Z14,$C14)</f>
        <v>#VALUE!</v>
      </c>
    </row>
    <row r="16" customFormat="false" ht="12.75" hidden="false" customHeight="false" outlineLevel="0" collapsed="false">
      <c r="C16" s="115" t="n">
        <v>87</v>
      </c>
      <c r="E16" s="116" t="e">
        <f aca="false">GetPipeName($Z16,$AC16)</f>
        <v>#VALUE!</v>
      </c>
      <c r="F16" s="117" t="e">
        <f aca="false">CONCATENATE(GetRcptPoint($Z16,$AC16)," to ",GetDelPoint($Z16,$AC16))</f>
        <v>#VALUE!</v>
      </c>
      <c r="G16" s="118" t="e">
        <f aca="false">GetRcptBasis($Z16,$AC16)</f>
        <v>#VALUE!</v>
      </c>
      <c r="H16" s="209" t="e">
        <f aca="true" t="array" ref="H16:H16">SUM((INDIRECT($AA16)&gt;'WestAllen Position Rpt'!H$8)*(INDIRECT($AA16)&lt;'WestAllen Position Rpt'!H$9)*(INDIRECT($AB16)))</f>
        <v>#VALUE!</v>
      </c>
      <c r="I16" s="196" t="e">
        <f aca="true" t="array" ref="I16:I16">SUM((INDIRECT($AA16)&gt;'WestAllen Position Rpt'!I$8)*(INDIRECT($AA16)&lt;'WestAllen Position Rpt'!I$9)*(INDIRECT($AB16)))</f>
        <v>#VALUE!</v>
      </c>
      <c r="J16" s="196" t="e">
        <f aca="true" t="array" ref="J16:J16">SUM((INDIRECT($AA16)&gt;'WestAllen Position Rpt'!J$8)*(INDIRECT($AA16)&lt;'WestAllen Position Rpt'!J$9)*(INDIRECT($AB16)))</f>
        <v>#VALUE!</v>
      </c>
      <c r="K16" s="196" t="e">
        <f aca="true" t="array" ref="K16:K16">SUM((INDIRECT($AA16)&gt;'WestAllen Position Rpt'!K$8)*(INDIRECT($AA16)&lt;'WestAllen Position Rpt'!K$9)*(INDIRECT($AB16)))</f>
        <v>#VALUE!</v>
      </c>
      <c r="L16" s="196" t="e">
        <f aca="true" t="array" ref="L16:L16">SUM((INDIRECT($AA16)&gt;'WestAllen Position Rpt'!L$8)*(INDIRECT($AA16)&lt;'WestAllen Position Rpt'!L$9)*(INDIRECT($AB16)))</f>
        <v>#VALUE!</v>
      </c>
      <c r="M16" s="196" t="e">
        <f aca="true" t="array" ref="M16:M16">SUM((INDIRECT($AA16)&gt;'WestAllen Position Rpt'!M$8)*(INDIRECT($AA16)&lt;'WestAllen Position Rpt'!M$9)*(INDIRECT($AB16)))</f>
        <v>#VALUE!</v>
      </c>
      <c r="N16" s="196" t="e">
        <f aca="true" t="array" ref="N16:N16">SUM((INDIRECT($AA16)&gt;'WestAllen Position Rpt'!N$8)*(INDIRECT($AA16)&lt;'WestAllen Position Rpt'!N$9)*(INDIRECT($AB16)))</f>
        <v>#VALUE!</v>
      </c>
      <c r="O16" s="196" t="e">
        <f aca="true" t="array" ref="O16:O16">SUM((INDIRECT($AA16)&gt;'WestAllen Position Rpt'!O$8)*(INDIRECT($AA16)&lt;'WestAllen Position Rpt'!O$9)*(INDIRECT($AB16)))</f>
        <v>#VALUE!</v>
      </c>
      <c r="P16" s="196" t="e">
        <f aca="true" t="array" ref="P16:P16">SUM((INDIRECT($AA16)&gt;'WestAllen Position Rpt'!P$8)*(INDIRECT($AA16)&lt;'WestAllen Position Rpt'!P$9)*(INDIRECT($AB16)))</f>
        <v>#VALUE!</v>
      </c>
      <c r="Q16" s="196" t="e">
        <f aca="true" t="array" ref="Q16:Q16">SUM((INDIRECT($AA16)&gt;'WestAllen Position Rpt'!Q$8)*(INDIRECT($AA16)&lt;'WestAllen Position Rpt'!Q$9)*(INDIRECT($AB16)))</f>
        <v>#VALUE!</v>
      </c>
      <c r="R16" s="196" t="e">
        <f aca="true" t="array" ref="R16:R16">SUM((INDIRECT($AA16)&gt;'WestAllen Position Rpt'!R$8)*(INDIRECT($AA16)&lt;'WestAllen Position Rpt'!R$9)*(INDIRECT($AB16)))</f>
        <v>#VALUE!</v>
      </c>
      <c r="S16" s="196" t="e">
        <f aca="true" t="array" ref="S16:S16">SUM((INDIRECT($AA16)&gt;'WestAllen Position Rpt'!S$8)*(INDIRECT($AA16)&lt;'WestAllen Position Rpt'!S$9)*(INDIRECT($AB16)))</f>
        <v>#VALUE!</v>
      </c>
      <c r="T16" s="197" t="e">
        <f aca="true" t="array" ref="T16:T16">SUM((INDIRECT($AA16)&gt;'WestAllen Position Rpt'!T$8)*(INDIRECT($AA16)&lt;'WestAllen Position Rpt'!T$9)*(INDIRECT($AB16)))</f>
        <v>#VALUE!</v>
      </c>
      <c r="V16" s="198" t="e">
        <f aca="false">SUM(H16:T16)</f>
        <v>#VALUE!</v>
      </c>
      <c r="Y16" s="125" t="e">
        <f aca="false">GetWorkSheet($C16)</f>
        <v>#VALUE!</v>
      </c>
      <c r="Z16" s="124" t="e">
        <f aca="false">FetchDBPage(Y16)</f>
        <v>#VALUE!</v>
      </c>
      <c r="AA16" s="125" t="e">
        <f aca="false">IF(NOT($Y16="#VALUE#"),CONCATENATE($Y16,"!",GetDateStart($Y16),":",GetDateEnd($Y16)),"")</f>
        <v>#VALUE!</v>
      </c>
      <c r="AB16" s="125" t="e">
        <f aca="false">IF(NOT($Y16="#VALUE#"),CONCATENATE($Y16,"!",GetReceiptStart($Y16),":",GetReceiptEnd($Y16)),"")</f>
        <v>#VALUE!</v>
      </c>
      <c r="AC16" s="125" t="e">
        <f aca="false">GetRecNdx($Z16,$C16)</f>
        <v>#VALUE!</v>
      </c>
    </row>
    <row r="17" customFormat="false" ht="12.75" hidden="false" customHeight="false" outlineLevel="0" collapsed="false">
      <c r="C17" s="115"/>
      <c r="E17" s="116"/>
      <c r="F17" s="117"/>
      <c r="G17" s="126" t="e">
        <f aca="false">GetDelBasis($Z16,$AC17)</f>
        <v>#VALUE!</v>
      </c>
      <c r="H17" s="199" t="e">
        <f aca="true" t="array" ref="H17:H17">SUM((INDIRECT($AA17)&gt;'WestAllen Position Rpt'!H$8)*(INDIRECT($AA17)&lt;'WestAllen Position Rpt'!H$9)*(INDIRECT($AB17)))</f>
        <v>#VALUE!</v>
      </c>
      <c r="I17" s="200" t="e">
        <f aca="true" t="array" ref="I17:I17">SUM((INDIRECT($AA17)&gt;'WestAllen Position Rpt'!I$8)*(INDIRECT($AA17)&lt;'WestAllen Position Rpt'!I$9)*(INDIRECT($AB17)))</f>
        <v>#VALUE!</v>
      </c>
      <c r="J17" s="200" t="e">
        <f aca="true" t="array" ref="J17:J17">SUM((INDIRECT($AA17)&gt;'WestAllen Position Rpt'!J$8)*(INDIRECT($AA17)&lt;'WestAllen Position Rpt'!J$9)*(INDIRECT($AB17)))</f>
        <v>#VALUE!</v>
      </c>
      <c r="K17" s="200" t="e">
        <f aca="true" t="array" ref="K17:K17">SUM((INDIRECT($AA17)&gt;'WestAllen Position Rpt'!K$8)*(INDIRECT($AA17)&lt;'WestAllen Position Rpt'!K$9)*(INDIRECT($AB17)))</f>
        <v>#VALUE!</v>
      </c>
      <c r="L17" s="200" t="e">
        <f aca="true" t="array" ref="L17:L17">SUM((INDIRECT($AA17)&gt;'WestAllen Position Rpt'!L$8)*(INDIRECT($AA17)&lt;'WestAllen Position Rpt'!L$9)*(INDIRECT($AB17)))</f>
        <v>#VALUE!</v>
      </c>
      <c r="M17" s="200" t="e">
        <f aca="true" t="array" ref="M17:M17">SUM((INDIRECT($AA17)&gt;'WestAllen Position Rpt'!M$8)*(INDIRECT($AA17)&lt;'WestAllen Position Rpt'!M$9)*(INDIRECT($AB17)))</f>
        <v>#VALUE!</v>
      </c>
      <c r="N17" s="200" t="e">
        <f aca="true" t="array" ref="N17:N17">SUM((INDIRECT($AA17)&gt;'WestAllen Position Rpt'!N$8)*(INDIRECT($AA17)&lt;'WestAllen Position Rpt'!N$9)*(INDIRECT($AB17)))</f>
        <v>#VALUE!</v>
      </c>
      <c r="O17" s="200" t="e">
        <f aca="true" t="array" ref="O17:O17">SUM((INDIRECT($AA17)&gt;'WestAllen Position Rpt'!O$8)*(INDIRECT($AA17)&lt;'WestAllen Position Rpt'!O$9)*(INDIRECT($AB17)))</f>
        <v>#VALUE!</v>
      </c>
      <c r="P17" s="200" t="e">
        <f aca="true" t="array" ref="P17:P17">SUM((INDIRECT($AA17)&gt;'WestAllen Position Rpt'!P$8)*(INDIRECT($AA17)&lt;'WestAllen Position Rpt'!P$9)*(INDIRECT($AB17)))</f>
        <v>#VALUE!</v>
      </c>
      <c r="Q17" s="200" t="e">
        <f aca="true" t="array" ref="Q17:Q17">SUM((INDIRECT($AA17)&gt;'WestAllen Position Rpt'!Q$8)*(INDIRECT($AA17)&lt;'WestAllen Position Rpt'!Q$9)*(INDIRECT($AB17)))</f>
        <v>#VALUE!</v>
      </c>
      <c r="R17" s="200" t="e">
        <f aca="true" t="array" ref="R17:R17">SUM((INDIRECT($AA17)&gt;'WestAllen Position Rpt'!R$8)*(INDIRECT($AA17)&lt;'WestAllen Position Rpt'!R$9)*(INDIRECT($AB17)))</f>
        <v>#VALUE!</v>
      </c>
      <c r="S17" s="200" t="e">
        <f aca="true" t="array" ref="S17:S17">SUM((INDIRECT($AA17)&gt;'WestAllen Position Rpt'!S$8)*(INDIRECT($AA17)&lt;'WestAllen Position Rpt'!S$9)*(INDIRECT($AB17)))</f>
        <v>#VALUE!</v>
      </c>
      <c r="T17" s="201" t="e">
        <f aca="true" t="array" ref="T17:T17">SUM((INDIRECT($AA17)&gt;'WestAllen Position Rpt'!T$8)*(INDIRECT($AA17)&lt;'WestAllen Position Rpt'!T$9)*(INDIRECT($AB17)))</f>
        <v>#VALUE!</v>
      </c>
      <c r="V17" s="202" t="e">
        <f aca="false">SUM(H17:T17)</f>
        <v>#VALUE!</v>
      </c>
      <c r="Y17" s="125" t="e">
        <f aca="false">GetWorkSheet($C16)</f>
        <v>#VALUE!</v>
      </c>
      <c r="Z17" s="124"/>
      <c r="AA17" s="125" t="e">
        <f aca="false">IF(NOT($Y17="#VALUE#"),CONCATENATE($Y17,"!",GetDateStart($Y17),":",GetDateEnd($Y17)),"")</f>
        <v>#VALUE!</v>
      </c>
      <c r="AB17" s="125" t="e">
        <f aca="false">IF(NOT($Y17="#VALUE#"),CONCATENATE($Y17,"!",GetDeliveryStart($Y17),":",GetDeliveryEnd($Y17)),"")</f>
        <v>#VALUE!</v>
      </c>
      <c r="AC17" s="125" t="e">
        <f aca="false">GetRecNdx($Z16,$C16)</f>
        <v>#VALUE!</v>
      </c>
    </row>
    <row r="20" customFormat="false" ht="12.75" hidden="false" customHeight="false" outlineLevel="0" collapsed="false">
      <c r="G20" s="203" t="s">
        <v>396</v>
      </c>
    </row>
    <row r="21" customFormat="false" ht="12.75" hidden="false" customHeight="false" outlineLevel="0" collapsed="false">
      <c r="G21" s="97" t="s">
        <v>111</v>
      </c>
      <c r="H21" s="98" t="n">
        <f aca="false">SUMIF($G$10:$G$17,$G$21,$H$10:$H$17)</f>
        <v>0</v>
      </c>
      <c r="I21" s="98" t="n">
        <f aca="false">SUMIF($G$10:$G$17,$G$21,$I$10:$I$17)</f>
        <v>0</v>
      </c>
      <c r="J21" s="98" t="n">
        <f aca="false">SUMIF($G$10:$G$17,$G$21,$J$10:$J$17)</f>
        <v>0</v>
      </c>
      <c r="K21" s="98" t="n">
        <f aca="false">SUMIF($G$10:$G$17,$G$21,$K$10:$K$17)</f>
        <v>0</v>
      </c>
      <c r="L21" s="98" t="n">
        <f aca="false">SUMIF($G$10:$G$17,$G$21,$L$10:$L$17)</f>
        <v>0</v>
      </c>
      <c r="M21" s="98" t="n">
        <f aca="false">SUMIF($G$10:$G$17,$G$21,$M$10:$M$17)</f>
        <v>0</v>
      </c>
      <c r="N21" s="98" t="n">
        <f aca="false">SUMIF($G$10:$G$17,$G$21,$N$10:$N$17)</f>
        <v>0</v>
      </c>
      <c r="O21" s="98" t="n">
        <f aca="false">SUMIF($G$10:$G$17,$G$21,$O$10:$O$17)</f>
        <v>0</v>
      </c>
      <c r="P21" s="98" t="n">
        <f aca="false">SUMIF($G$10:$G$17,$G$21,$P$10:$P$17)</f>
        <v>0</v>
      </c>
      <c r="Q21" s="98" t="n">
        <f aca="false">SUMIF($G$10:$G$17,$G$21,$Q$10:$Q$17)</f>
        <v>0</v>
      </c>
      <c r="R21" s="98" t="n">
        <f aca="false">SUMIF($G$10:$G$17,$G$21,$R$10:$R$17)</f>
        <v>0</v>
      </c>
      <c r="S21" s="98" t="n">
        <f aca="false">SUMIF($G$10:$G$17,$G$21,$S$10:$S$17)</f>
        <v>0</v>
      </c>
      <c r="T21" s="98" t="n">
        <f aca="false">SUMIF($G$10:$G$17,$G$21,$T$10:$T$17)</f>
        <v>0</v>
      </c>
    </row>
    <row r="22" customFormat="false" ht="12.75" hidden="false" customHeight="false" outlineLevel="0" collapsed="false">
      <c r="G22" s="97" t="s">
        <v>112</v>
      </c>
      <c r="H22" s="98" t="n">
        <f aca="false">SUMIF($G$10:$G$17,$G$22,$H$10:$H$17)</f>
        <v>0</v>
      </c>
      <c r="I22" s="98" t="n">
        <f aca="false">SUMIF($G$10:$G$17,$G$22,$I$10:$I$17)</f>
        <v>0</v>
      </c>
      <c r="J22" s="98" t="n">
        <f aca="false">SUMIF($G$10:$G$17,$G$22,$J$10:$J$17)</f>
        <v>0</v>
      </c>
      <c r="K22" s="98" t="n">
        <f aca="false">SUMIF($G$10:$G$17,$G$22,$K$10:$K$17)</f>
        <v>0</v>
      </c>
      <c r="L22" s="98" t="n">
        <f aca="false">SUMIF($G$10:$G$17,$G$22,$L$10:$L$17)</f>
        <v>0</v>
      </c>
      <c r="M22" s="98" t="n">
        <f aca="false">SUMIF($G$10:$G$17,$G$22,$M$10:$M$17)</f>
        <v>0</v>
      </c>
      <c r="N22" s="98" t="n">
        <f aca="false">SUMIF($G$10:$G$17,$G$22,$N$10:$N$17)</f>
        <v>0</v>
      </c>
      <c r="O22" s="98" t="n">
        <f aca="false">SUMIF($G$10:$G$17,$G$22,$O$10:$O$17)</f>
        <v>0</v>
      </c>
      <c r="P22" s="98" t="n">
        <f aca="false">SUMIF($G$10:$G$17,$G$22,$P$10:$P$17)</f>
        <v>0</v>
      </c>
      <c r="Q22" s="98" t="n">
        <f aca="false">SUMIF($G$10:$G$17,$G$22,$Q$10:$Q$17)</f>
        <v>0</v>
      </c>
      <c r="R22" s="98" t="n">
        <f aca="false">SUMIF($G$10:$G$17,$G$22,$R$10:$R$17)</f>
        <v>0</v>
      </c>
      <c r="S22" s="98" t="n">
        <f aca="false">SUMIF($G$10:$G$17,$G$22,$S$10:$S$17)</f>
        <v>0</v>
      </c>
      <c r="T22" s="98" t="n">
        <f aca="false">SUMIF($G$10:$G$17,$G$22,$T$10:$T$17)</f>
        <v>0</v>
      </c>
    </row>
    <row r="24" customFormat="false" ht="12.75" hidden="false" customHeight="false" outlineLevel="0" collapsed="false">
      <c r="G24" s="205" t="s">
        <v>397</v>
      </c>
    </row>
    <row r="25" customFormat="false" ht="12.75" hidden="false" customHeight="false" outlineLevel="0" collapsed="false">
      <c r="G25" s="97" t="s">
        <v>398</v>
      </c>
      <c r="H25" s="98" t="n">
        <f aca="false">SUMIF($H$10:$H$17,"&gt;0",$H$10:$H$17)</f>
        <v>0</v>
      </c>
      <c r="I25" s="98" t="n">
        <f aca="false">SUMIF($I$10:$I$17,"&gt;0",$I$10:$I$17)</f>
        <v>0</v>
      </c>
      <c r="J25" s="98" t="n">
        <f aca="false">SUMIF($J$10:$J$17,"&gt;0",$J$10:$J$17)</f>
        <v>0</v>
      </c>
      <c r="K25" s="98" t="n">
        <f aca="false">SUMIF($K$10:$K$17,"&gt;0",$K$10:$K$17)</f>
        <v>0</v>
      </c>
      <c r="L25" s="98" t="n">
        <f aca="false">SUMIF($L$10:$L$17,"&gt;0",$L$10:$L$17)</f>
        <v>0</v>
      </c>
      <c r="M25" s="98" t="n">
        <f aca="false">SUMIF($M$10:$M$17,"&gt;0",$M$10:$M$17)</f>
        <v>0</v>
      </c>
      <c r="N25" s="98" t="n">
        <f aca="false">SUMIF($N$10:$N$17,"&gt;0",$N$10:$N$17)</f>
        <v>0</v>
      </c>
      <c r="O25" s="98" t="n">
        <f aca="false">SUMIF($O$10:$O$17,"&gt;0",$O$10:$O$17)</f>
        <v>0</v>
      </c>
      <c r="P25" s="98" t="n">
        <f aca="false">SUMIF($P$10:$P$17,"&gt;0",$P$10:$P$17)</f>
        <v>0</v>
      </c>
      <c r="Q25" s="98" t="n">
        <f aca="false">SUMIF($Q$10:$Q$17,"&gt;0",$Q$10:$Q$17)</f>
        <v>0</v>
      </c>
      <c r="R25" s="98" t="n">
        <f aca="false">SUMIF($R$10:$R$17,"&gt;0",$R$10:$R$17)</f>
        <v>0</v>
      </c>
      <c r="S25" s="98" t="n">
        <f aca="false">SUMIF($S$10:$S$17,"&gt;0",$S$10:$S$17)</f>
        <v>0</v>
      </c>
      <c r="T25" s="98" t="n">
        <f aca="false">SUMIF($T$10:$T$17,"&gt;0",$T$10:$T$17)</f>
        <v>0</v>
      </c>
    </row>
    <row r="26" customFormat="false" ht="12.75" hidden="false" customHeight="false" outlineLevel="0" collapsed="false">
      <c r="G26" s="97" t="s">
        <v>399</v>
      </c>
      <c r="H26" s="98" t="n">
        <f aca="false">SUMIF($H$10:$H$17,"&lt;0",$H$10:$H$17)</f>
        <v>0</v>
      </c>
      <c r="I26" s="98" t="n">
        <f aca="false">SUMIF($I$10:$I$17,"&lt;0",$I$10:$I$17)</f>
        <v>0</v>
      </c>
      <c r="J26" s="98" t="n">
        <f aca="false">SUMIF($J$10:$J$17,"&lt;0",$J$10:$J$17)</f>
        <v>0</v>
      </c>
      <c r="K26" s="98" t="n">
        <f aca="false">SUMIF($K$10:$K$17,"&lt;0",$K$10:$K$17)</f>
        <v>0</v>
      </c>
      <c r="L26" s="98" t="n">
        <f aca="false">SUMIF($L$10:$L$17,"&lt;0",$L$10:$L$17)</f>
        <v>0</v>
      </c>
      <c r="M26" s="98" t="n">
        <f aca="false">SUMIF($M$10:$M$17,"&lt;0",$M$10:$M$17)</f>
        <v>0</v>
      </c>
      <c r="N26" s="98" t="n">
        <f aca="false">SUMIF($N$10:$N$17,"&lt;0",$N$10:$N$17)</f>
        <v>0</v>
      </c>
      <c r="O26" s="98" t="n">
        <f aca="false">SUMIF($O$10:$O$17,"&lt;0",$O$10:$O$17)</f>
        <v>0</v>
      </c>
      <c r="P26" s="98" t="n">
        <f aca="false">SUMIF($P$10:$P$17,"&lt;0",$P$10:$P$17)</f>
        <v>0</v>
      </c>
      <c r="Q26" s="98" t="n">
        <f aca="false">SUMIF($Q$10:$Q$17,"&lt;0",$Q$10:$Q$17)</f>
        <v>0</v>
      </c>
      <c r="R26" s="98" t="n">
        <f aca="false">SUMIF($R$10:$R$17,"&lt;0",$R$10:$R$17)</f>
        <v>0</v>
      </c>
      <c r="S26" s="98" t="n">
        <f aca="false">SUMIF($S$10:$S$17,"&lt;0",$S$10:$S$17)</f>
        <v>0</v>
      </c>
      <c r="T26" s="98" t="n">
        <f aca="false">SUMIF($T$10:$T$17,"&lt;0",$T$10:$T$17)</f>
        <v>0</v>
      </c>
    </row>
  </sheetData>
  <mergeCells count="14">
    <mergeCell ref="C8:C9"/>
    <mergeCell ref="V8:V9"/>
    <mergeCell ref="C10:C11"/>
    <mergeCell ref="E10:E11"/>
    <mergeCell ref="F10:F11"/>
    <mergeCell ref="C12:C13"/>
    <mergeCell ref="E12:E13"/>
    <mergeCell ref="F12:F13"/>
    <mergeCell ref="C14:C15"/>
    <mergeCell ref="E14:E15"/>
    <mergeCell ref="F14:F15"/>
    <mergeCell ref="C16:C17"/>
    <mergeCell ref="E16:E17"/>
    <mergeCell ref="F16:F17"/>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5" scale="43"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Report_Routines.Button2_Click">
                <anchor moveWithCells="true" sizeWithCells="false">
                  <from>
                    <xdr:col>1</xdr:col>
                    <xdr:colOff>190800</xdr:colOff>
                    <xdr:row>1</xdr:row>
                    <xdr:rowOff>75960</xdr:rowOff>
                  </from>
                  <to>
                    <xdr:col>3</xdr:col>
                    <xdr:colOff>50400</xdr:colOff>
                    <xdr:row>4</xdr:row>
                    <xdr:rowOff>66600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7" activeCellId="0" sqref="C7:V29"/>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9.28"/>
    <col collapsed="false" customWidth="true" hidden="false" outlineLevel="0" max="6" min="6" style="96" width="23.99"/>
    <col collapsed="false" customWidth="true" hidden="false" outlineLevel="0" max="7" min="7" style="97" width="30.7"/>
    <col collapsed="false" customWidth="true" hidden="false" outlineLevel="0" max="20" min="8" style="98" width="13.7"/>
    <col collapsed="false" customWidth="true" hidden="false" outlineLevel="0" max="21" min="21" style="99" width="3.7"/>
    <col collapsed="false" customWidth="true" hidden="false" outlineLevel="0" max="22" min="22" style="95" width="13.7"/>
    <col collapsed="false" customWidth="false" hidden="false" outlineLevel="0" max="23" min="23" style="95" width="9.14"/>
    <col collapsed="false" customWidth="true" hidden="false" outlineLevel="0" max="24" min="24" style="95" width="14.28"/>
    <col collapsed="false" customWidth="true" hidden="false" outlineLevel="0" max="26" min="25" style="95" width="23.14"/>
    <col collapsed="false" customWidth="true" hidden="false" outlineLevel="0" max="27" min="27" style="95" width="35.56"/>
    <col collapsed="false" customWidth="true" hidden="false" outlineLevel="0" max="28" min="28" style="95" width="24.41"/>
    <col collapsed="false" customWidth="false" hidden="false" outlineLevel="0" max="257" min="29" style="95" width="9.14"/>
  </cols>
  <sheetData>
    <row r="1" customFormat="false" ht="12.75" hidden="false" customHeight="false" outlineLevel="0" collapsed="false">
      <c r="A1" s="19" t="s">
        <v>394</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ADDRESS(ROW($C$10),COLUMN($C$10))</f>
        <v>$C$10</v>
      </c>
      <c r="E3" s="100" t="s">
        <v>40</v>
      </c>
      <c r="F3" s="189" t="s">
        <v>78</v>
      </c>
    </row>
    <row r="7" customFormat="false" ht="18.75" hidden="false" customHeight="false" outlineLevel="0" collapsed="false">
      <c r="E7" s="102" t="str">
        <f aca="false">CONCATENATE("POSITION REPORT : ",UPPER(F3))</f>
        <v>POSITION REPORT : WEST/GRIGSBY</v>
      </c>
    </row>
    <row r="8" customFormat="false" ht="12.75" hidden="false" customHeight="false" outlineLevel="0" collapsed="false">
      <c r="A8" s="103"/>
      <c r="B8" s="103"/>
      <c r="C8" s="104" t="s">
        <v>213</v>
      </c>
      <c r="E8" s="105"/>
      <c r="F8" s="106"/>
      <c r="G8" s="107" t="s">
        <v>214</v>
      </c>
      <c r="H8" s="190" t="n">
        <f aca="false" t="array" ref="H8:T8">TRANSPOSE(Configuration!D25:D37)</f>
        <v>37043</v>
      </c>
      <c r="I8" s="191" t="n">
        <v>37073</v>
      </c>
      <c r="J8" s="191" t="n">
        <v>37104</v>
      </c>
      <c r="K8" s="191" t="n">
        <v>37135</v>
      </c>
      <c r="L8" s="191" t="n">
        <v>37165</v>
      </c>
      <c r="M8" s="191" t="n">
        <v>37196</v>
      </c>
      <c r="N8" s="191" t="n">
        <v>37226</v>
      </c>
      <c r="O8" s="191" t="n">
        <v>37257</v>
      </c>
      <c r="P8" s="191" t="n">
        <v>37622</v>
      </c>
      <c r="Q8" s="191" t="n">
        <v>37987</v>
      </c>
      <c r="R8" s="191" t="n">
        <v>38353</v>
      </c>
      <c r="S8" s="191" t="n">
        <v>40544</v>
      </c>
      <c r="T8" s="192" t="n">
        <v>42370</v>
      </c>
      <c r="U8" s="103"/>
      <c r="V8" s="104" t="s">
        <v>395</v>
      </c>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false" outlineLevel="0" collapsed="false">
      <c r="A9" s="103"/>
      <c r="B9" s="103"/>
      <c r="C9" s="104"/>
      <c r="E9" s="112" t="s">
        <v>13</v>
      </c>
      <c r="F9" s="113" t="s">
        <v>233</v>
      </c>
      <c r="G9" s="114" t="s">
        <v>234</v>
      </c>
      <c r="H9" s="193" t="n">
        <f aca="false" t="array" ref="H9:T9">TRANSPOSE(Configuration!E25:E37)</f>
        <v>37072</v>
      </c>
      <c r="I9" s="194" t="n">
        <v>37103</v>
      </c>
      <c r="J9" s="194" t="n">
        <v>37134</v>
      </c>
      <c r="K9" s="194" t="n">
        <v>37164</v>
      </c>
      <c r="L9" s="194" t="n">
        <v>37195</v>
      </c>
      <c r="M9" s="194" t="n">
        <v>37225</v>
      </c>
      <c r="N9" s="194" t="n">
        <v>37256</v>
      </c>
      <c r="O9" s="194" t="n">
        <v>37621</v>
      </c>
      <c r="P9" s="194" t="n">
        <v>37986</v>
      </c>
      <c r="Q9" s="194" t="n">
        <v>38352</v>
      </c>
      <c r="R9" s="194" t="n">
        <v>40543</v>
      </c>
      <c r="S9" s="194" t="n">
        <v>42369</v>
      </c>
      <c r="T9" s="195" t="n">
        <v>45657</v>
      </c>
      <c r="U9" s="103"/>
      <c r="V9" s="104"/>
      <c r="W9" s="103"/>
      <c r="X9" s="103"/>
      <c r="Y9" s="103"/>
      <c r="Z9" s="208"/>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9</v>
      </c>
      <c r="E10" s="116" t="e">
        <f aca="false">GetPipeName($Z10,$AC10)</f>
        <v>#VALUE!</v>
      </c>
      <c r="F10" s="117" t="e">
        <f aca="false">CONCATENATE(GetRcptPoint($Z10,$AC10)," to ",GetDelPoint($Z10,$AC10))</f>
        <v>#VALUE!</v>
      </c>
      <c r="G10" s="118" t="e">
        <f aca="false">GetRcptBasis($Z10,$AC10)</f>
        <v>#VALUE!</v>
      </c>
      <c r="H10" s="209" t="e">
        <f aca="true" t="array" ref="H10:H10">SUM((INDIRECT($AA10)&gt;'WestAllen Position Rpt'!H$8)*(INDIRECT($AA10)&lt;'WestAllen Position Rpt'!H$9)*(INDIRECT($AB10)))</f>
        <v>#VALUE!</v>
      </c>
      <c r="I10" s="196" t="e">
        <f aca="true" t="array" ref="I10:I10">SUM((INDIRECT($AA10)&gt;'WestAllen Position Rpt'!I$8)*(INDIRECT($AA10)&lt;'WestAllen Position Rpt'!I$9)*(INDIRECT($AB10)))</f>
        <v>#VALUE!</v>
      </c>
      <c r="J10" s="196" t="e">
        <f aca="true" t="array" ref="J10:J10">SUM((INDIRECT($AA10)&gt;'WestAllen Position Rpt'!J$8)*(INDIRECT($AA10)&lt;'WestAllen Position Rpt'!J$9)*(INDIRECT($AB10)))</f>
        <v>#VALUE!</v>
      </c>
      <c r="K10" s="196" t="e">
        <f aca="true" t="array" ref="K10:K10">SUM((INDIRECT($AA10)&gt;'WestAllen Position Rpt'!K$8)*(INDIRECT($AA10)&lt;'WestAllen Position Rpt'!K$9)*(INDIRECT($AB10)))</f>
        <v>#VALUE!</v>
      </c>
      <c r="L10" s="196" t="e">
        <f aca="true" t="array" ref="L10:L10">SUM((INDIRECT($AA10)&gt;'WestAllen Position Rpt'!L$8)*(INDIRECT($AA10)&lt;'WestAllen Position Rpt'!L$9)*(INDIRECT($AB10)))</f>
        <v>#VALUE!</v>
      </c>
      <c r="M10" s="196" t="e">
        <f aca="true" t="array" ref="M10:M10">SUM((INDIRECT($AA10)&gt;'WestAllen Position Rpt'!M$8)*(INDIRECT($AA10)&lt;'WestAllen Position Rpt'!M$9)*(INDIRECT($AB10)))</f>
        <v>#VALUE!</v>
      </c>
      <c r="N10" s="196" t="e">
        <f aca="true" t="array" ref="N10:N10">SUM((INDIRECT($AA10)&gt;'WestAllen Position Rpt'!N$8)*(INDIRECT($AA10)&lt;'WestAllen Position Rpt'!N$9)*(INDIRECT($AB10)))</f>
        <v>#VALUE!</v>
      </c>
      <c r="O10" s="196" t="e">
        <f aca="true" t="array" ref="O10:O10">SUM((INDIRECT($AA10)&gt;'WestAllen Position Rpt'!O$8)*(INDIRECT($AA10)&lt;'WestAllen Position Rpt'!O$9)*(INDIRECT($AB10)))</f>
        <v>#VALUE!</v>
      </c>
      <c r="P10" s="196" t="e">
        <f aca="true" t="array" ref="P10:P10">SUM((INDIRECT($AA10)&gt;'WestAllen Position Rpt'!P$8)*(INDIRECT($AA10)&lt;'WestAllen Position Rpt'!P$9)*(INDIRECT($AB10)))</f>
        <v>#VALUE!</v>
      </c>
      <c r="Q10" s="196" t="e">
        <f aca="true" t="array" ref="Q10:Q10">SUM((INDIRECT($AA10)&gt;'WestAllen Position Rpt'!Q$8)*(INDIRECT($AA10)&lt;'WestAllen Position Rpt'!Q$9)*(INDIRECT($AB10)))</f>
        <v>#VALUE!</v>
      </c>
      <c r="R10" s="196" t="e">
        <f aca="true" t="array" ref="R10:R10">SUM((INDIRECT($AA10)&gt;'WestAllen Position Rpt'!R$8)*(INDIRECT($AA10)&lt;'WestAllen Position Rpt'!R$9)*(INDIRECT($AB10)))</f>
        <v>#VALUE!</v>
      </c>
      <c r="S10" s="196" t="e">
        <f aca="true" t="array" ref="S10:S10">SUM((INDIRECT($AA10)&gt;'WestAllen Position Rpt'!S$8)*(INDIRECT($AA10)&lt;'WestAllen Position Rpt'!S$9)*(INDIRECT($AB10)))</f>
        <v>#VALUE!</v>
      </c>
      <c r="T10" s="197" t="e">
        <f aca="true" t="array" ref="T10:T10">SUM((INDIRECT($AA10)&gt;'WestAllen Position Rpt'!T$8)*(INDIRECT($AA10)&lt;'WestAllen Position Rpt'!T$9)*(INDIRECT($AB10)))</f>
        <v>#VALUE!</v>
      </c>
      <c r="V10" s="198" t="e">
        <f aca="false">SUM(H10:T10)</f>
        <v>#VALUE!</v>
      </c>
      <c r="Y10" s="125" t="e">
        <f aca="false">GetWorkSheet($C10)</f>
        <v>#VALUE!</v>
      </c>
      <c r="Z10" s="124" t="e">
        <f aca="false">FetchDBPage(Y10)</f>
        <v>#VALUE!</v>
      </c>
      <c r="AA10" s="125" t="e">
        <f aca="false">IF(NOT($Y10="#VALUE#"),CONCATENATE($Y10,"!",GetDateStart($Y10),":",GetDateEnd($Y10)),"")</f>
        <v>#VALUE!</v>
      </c>
      <c r="AB10" s="125" t="e">
        <f aca="false">IF(NOT($Y10="#VALUE#"),CONCATENATE($Y10,"!",GetReceiptStart($Y10),":",GetReceiptEnd($Y10)),"")</f>
        <v>#VALUE!</v>
      </c>
      <c r="AC10" s="125" t="e">
        <f aca="false">GetRecNdx($Z10,$C10)</f>
        <v>#VALUE!</v>
      </c>
    </row>
    <row r="11" customFormat="false" ht="12.75" hidden="false" customHeight="false" outlineLevel="0" collapsed="false">
      <c r="C11" s="115"/>
      <c r="E11" s="116"/>
      <c r="F11" s="117"/>
      <c r="G11" s="126" t="e">
        <f aca="false">GetDelBasis($Z10,$AC11)</f>
        <v>#VALUE!</v>
      </c>
      <c r="H11" s="199" t="e">
        <f aca="true" t="array" ref="H11:H11">SUM((INDIRECT($AA11)&gt;'WestAllen Position Rpt'!H$8)*(INDIRECT($AA11)&lt;'WestAllen Position Rpt'!H$9)*(INDIRECT($AB11)))</f>
        <v>#VALUE!</v>
      </c>
      <c r="I11" s="200" t="e">
        <f aca="true" t="array" ref="I11:I11">SUM((INDIRECT($AA11)&gt;'WestAllen Position Rpt'!I$8)*(INDIRECT($AA11)&lt;'WestAllen Position Rpt'!I$9)*(INDIRECT($AB11)))</f>
        <v>#VALUE!</v>
      </c>
      <c r="J11" s="200" t="e">
        <f aca="true" t="array" ref="J11:J11">SUM((INDIRECT($AA11)&gt;'WestAllen Position Rpt'!J$8)*(INDIRECT($AA11)&lt;'WestAllen Position Rpt'!J$9)*(INDIRECT($AB11)))</f>
        <v>#VALUE!</v>
      </c>
      <c r="K11" s="200" t="e">
        <f aca="true" t="array" ref="K11:K11">SUM((INDIRECT($AA11)&gt;'WestAllen Position Rpt'!K$8)*(INDIRECT($AA11)&lt;'WestAllen Position Rpt'!K$9)*(INDIRECT($AB11)))</f>
        <v>#VALUE!</v>
      </c>
      <c r="L11" s="200" t="e">
        <f aca="true" t="array" ref="L11:L11">SUM((INDIRECT($AA11)&gt;'WestAllen Position Rpt'!L$8)*(INDIRECT($AA11)&lt;'WestAllen Position Rpt'!L$9)*(INDIRECT($AB11)))</f>
        <v>#VALUE!</v>
      </c>
      <c r="M11" s="200" t="e">
        <f aca="true" t="array" ref="M11:M11">SUM((INDIRECT($AA11)&gt;'WestAllen Position Rpt'!M$8)*(INDIRECT($AA11)&lt;'WestAllen Position Rpt'!M$9)*(INDIRECT($AB11)))</f>
        <v>#VALUE!</v>
      </c>
      <c r="N11" s="200" t="e">
        <f aca="true" t="array" ref="N11:N11">SUM((INDIRECT($AA11)&gt;'WestAllen Position Rpt'!N$8)*(INDIRECT($AA11)&lt;'WestAllen Position Rpt'!N$9)*(INDIRECT($AB11)))</f>
        <v>#VALUE!</v>
      </c>
      <c r="O11" s="200" t="e">
        <f aca="true" t="array" ref="O11:O11">SUM((INDIRECT($AA11)&gt;'WestAllen Position Rpt'!O$8)*(INDIRECT($AA11)&lt;'WestAllen Position Rpt'!O$9)*(INDIRECT($AB11)))</f>
        <v>#VALUE!</v>
      </c>
      <c r="P11" s="200" t="e">
        <f aca="true" t="array" ref="P11:P11">SUM((INDIRECT($AA11)&gt;'WestAllen Position Rpt'!P$8)*(INDIRECT($AA11)&lt;'WestAllen Position Rpt'!P$9)*(INDIRECT($AB11)))</f>
        <v>#VALUE!</v>
      </c>
      <c r="Q11" s="200" t="e">
        <f aca="true" t="array" ref="Q11:Q11">SUM((INDIRECT($AA11)&gt;'WestAllen Position Rpt'!Q$8)*(INDIRECT($AA11)&lt;'WestAllen Position Rpt'!Q$9)*(INDIRECT($AB11)))</f>
        <v>#VALUE!</v>
      </c>
      <c r="R11" s="200" t="e">
        <f aca="true" t="array" ref="R11:R11">SUM((INDIRECT($AA11)&gt;'WestAllen Position Rpt'!R$8)*(INDIRECT($AA11)&lt;'WestAllen Position Rpt'!R$9)*(INDIRECT($AB11)))</f>
        <v>#VALUE!</v>
      </c>
      <c r="S11" s="200" t="e">
        <f aca="true" t="array" ref="S11:S11">SUM((INDIRECT($AA11)&gt;'WestAllen Position Rpt'!S$8)*(INDIRECT($AA11)&lt;'WestAllen Position Rpt'!S$9)*(INDIRECT($AB11)))</f>
        <v>#VALUE!</v>
      </c>
      <c r="T11" s="201" t="e">
        <f aca="true" t="array" ref="T11:T11">SUM((INDIRECT($AA11)&gt;'WestAllen Position Rpt'!T$8)*(INDIRECT($AA11)&lt;'WestAllen Position Rpt'!T$9)*(INDIRECT($AB11)))</f>
        <v>#VALUE!</v>
      </c>
      <c r="V11" s="202" t="e">
        <f aca="false">SUM(H11:T11)</f>
        <v>#VALUE!</v>
      </c>
      <c r="Y11" s="125" t="e">
        <f aca="false">GetWorkSheet($C10)</f>
        <v>#VALUE!</v>
      </c>
      <c r="Z11" s="124"/>
      <c r="AA11" s="125" t="e">
        <f aca="false">IF(NOT($Y11="#VALUE#"),CONCATENATE($Y11,"!",GetDateStart($Y11),":",GetDateEnd($Y11)),"")</f>
        <v>#VALUE!</v>
      </c>
      <c r="AB11" s="125" t="e">
        <f aca="false">IF(NOT($Y11="#VALUE#"),CONCATENATE($Y11,"!",GetDeliveryStart($Y11),":",GetDeliveryEnd($Y11)),"")</f>
        <v>#VALUE!</v>
      </c>
      <c r="AC11" s="125" t="e">
        <f aca="false">GetRecNdx($Z10,$C10)</f>
        <v>#VALUE!</v>
      </c>
    </row>
    <row r="12" customFormat="false" ht="12.75" hidden="false" customHeight="false" outlineLevel="0" collapsed="false">
      <c r="C12" s="115" t="n">
        <v>56</v>
      </c>
      <c r="E12" s="116" t="e">
        <f aca="false">GetPipeName($Z12,$AC12)</f>
        <v>#VALUE!</v>
      </c>
      <c r="F12" s="117" t="e">
        <f aca="false">CONCATENATE(GetRcptPoint($Z12,$AC12)," to ",GetDelPoint($Z12,$AC12))</f>
        <v>#VALUE!</v>
      </c>
      <c r="G12" s="118" t="e">
        <f aca="false">GetRcptBasis($Z12,$AC12)</f>
        <v>#VALUE!</v>
      </c>
      <c r="H12" s="209" t="e">
        <f aca="true" t="array" ref="H12:H12">SUM((INDIRECT($AA12)&gt;'WestAllen Position Rpt'!H$8)*(INDIRECT($AA12)&lt;'WestAllen Position Rpt'!H$9)*(INDIRECT($AB12)))</f>
        <v>#VALUE!</v>
      </c>
      <c r="I12" s="196" t="e">
        <f aca="true" t="array" ref="I12:I12">SUM((INDIRECT($AA12)&gt;'WestAllen Position Rpt'!I$8)*(INDIRECT($AA12)&lt;'WestAllen Position Rpt'!I$9)*(INDIRECT($AB12)))</f>
        <v>#VALUE!</v>
      </c>
      <c r="J12" s="196" t="e">
        <f aca="true" t="array" ref="J12:J12">SUM((INDIRECT($AA12)&gt;'WestAllen Position Rpt'!J$8)*(INDIRECT($AA12)&lt;'WestAllen Position Rpt'!J$9)*(INDIRECT($AB12)))</f>
        <v>#VALUE!</v>
      </c>
      <c r="K12" s="196" t="e">
        <f aca="true" t="array" ref="K12:K12">SUM((INDIRECT($AA12)&gt;'WestAllen Position Rpt'!K$8)*(INDIRECT($AA12)&lt;'WestAllen Position Rpt'!K$9)*(INDIRECT($AB12)))</f>
        <v>#VALUE!</v>
      </c>
      <c r="L12" s="196" t="e">
        <f aca="true" t="array" ref="L12:L12">SUM((INDIRECT($AA12)&gt;'WestAllen Position Rpt'!L$8)*(INDIRECT($AA12)&lt;'WestAllen Position Rpt'!L$9)*(INDIRECT($AB12)))</f>
        <v>#VALUE!</v>
      </c>
      <c r="M12" s="196" t="e">
        <f aca="true" t="array" ref="M12:M12">SUM((INDIRECT($AA12)&gt;'WestAllen Position Rpt'!M$8)*(INDIRECT($AA12)&lt;'WestAllen Position Rpt'!M$9)*(INDIRECT($AB12)))</f>
        <v>#VALUE!</v>
      </c>
      <c r="N12" s="196" t="e">
        <f aca="true" t="array" ref="N12:N12">SUM((INDIRECT($AA12)&gt;'WestAllen Position Rpt'!N$8)*(INDIRECT($AA12)&lt;'WestAllen Position Rpt'!N$9)*(INDIRECT($AB12)))</f>
        <v>#VALUE!</v>
      </c>
      <c r="O12" s="196" t="e">
        <f aca="true" t="array" ref="O12:O12">SUM((INDIRECT($AA12)&gt;'WestAllen Position Rpt'!O$8)*(INDIRECT($AA12)&lt;'WestAllen Position Rpt'!O$9)*(INDIRECT($AB12)))</f>
        <v>#VALUE!</v>
      </c>
      <c r="P12" s="196" t="e">
        <f aca="true" t="array" ref="P12:P12">SUM((INDIRECT($AA12)&gt;'WestAllen Position Rpt'!P$8)*(INDIRECT($AA12)&lt;'WestAllen Position Rpt'!P$9)*(INDIRECT($AB12)))</f>
        <v>#VALUE!</v>
      </c>
      <c r="Q12" s="196" t="e">
        <f aca="true" t="array" ref="Q12:Q12">SUM((INDIRECT($AA12)&gt;'WestAllen Position Rpt'!Q$8)*(INDIRECT($AA12)&lt;'WestAllen Position Rpt'!Q$9)*(INDIRECT($AB12)))</f>
        <v>#VALUE!</v>
      </c>
      <c r="R12" s="196" t="e">
        <f aca="true" t="array" ref="R12:R12">SUM((INDIRECT($AA12)&gt;'WestAllen Position Rpt'!R$8)*(INDIRECT($AA12)&lt;'WestAllen Position Rpt'!R$9)*(INDIRECT($AB12)))</f>
        <v>#VALUE!</v>
      </c>
      <c r="S12" s="196" t="e">
        <f aca="true" t="array" ref="S12:S12">SUM((INDIRECT($AA12)&gt;'WestAllen Position Rpt'!S$8)*(INDIRECT($AA12)&lt;'WestAllen Position Rpt'!S$9)*(INDIRECT($AB12)))</f>
        <v>#VALUE!</v>
      </c>
      <c r="T12" s="197" t="e">
        <f aca="true" t="array" ref="T12:T12">SUM((INDIRECT($AA12)&gt;'WestAllen Position Rpt'!T$8)*(INDIRECT($AA12)&lt;'WestAllen Position Rpt'!T$9)*(INDIRECT($AB12)))</f>
        <v>#VALUE!</v>
      </c>
      <c r="V12" s="198" t="e">
        <f aca="false">SUM(H12:T12)</f>
        <v>#VALUE!</v>
      </c>
      <c r="Y12" s="125" t="e">
        <f aca="false">GetWorkSheet($C12)</f>
        <v>#VALUE!</v>
      </c>
      <c r="Z12" s="124" t="e">
        <f aca="false">FetchDBPage(Y12)</f>
        <v>#VALUE!</v>
      </c>
      <c r="AA12" s="125" t="e">
        <f aca="false">IF(NOT($Y12="#VALUE#"),CONCATENATE($Y12,"!",GetDateStart($Y12),":",GetDateEnd($Y12)),"")</f>
        <v>#VALUE!</v>
      </c>
      <c r="AB12" s="125" t="e">
        <f aca="false">IF(NOT($Y12="#VALUE#"),CONCATENATE($Y12,"!",GetReceiptStart($Y12),":",GetReceiptEnd($Y12)),"")</f>
        <v>#VALUE!</v>
      </c>
      <c r="AC12" s="125" t="e">
        <f aca="false">GetRecNdx($Z12,$C12)</f>
        <v>#VALUE!</v>
      </c>
    </row>
    <row r="13" customFormat="false" ht="12.75" hidden="false" customHeight="false" outlineLevel="0" collapsed="false">
      <c r="C13" s="115"/>
      <c r="E13" s="116"/>
      <c r="F13" s="117"/>
      <c r="G13" s="126" t="e">
        <f aca="false">GetDelBasis($Z12,$AC13)</f>
        <v>#VALUE!</v>
      </c>
      <c r="H13" s="199" t="e">
        <f aca="true" t="array" ref="H13:H13">SUM((INDIRECT($AA13)&gt;'WestAllen Position Rpt'!H$8)*(INDIRECT($AA13)&lt;'WestAllen Position Rpt'!H$9)*(INDIRECT($AB13)))</f>
        <v>#VALUE!</v>
      </c>
      <c r="I13" s="200" t="e">
        <f aca="true" t="array" ref="I13:I13">SUM((INDIRECT($AA13)&gt;'WestAllen Position Rpt'!I$8)*(INDIRECT($AA13)&lt;'WestAllen Position Rpt'!I$9)*(INDIRECT($AB13)))</f>
        <v>#VALUE!</v>
      </c>
      <c r="J13" s="200" t="e">
        <f aca="true" t="array" ref="J13:J13">SUM((INDIRECT($AA13)&gt;'WestAllen Position Rpt'!J$8)*(INDIRECT($AA13)&lt;'WestAllen Position Rpt'!J$9)*(INDIRECT($AB13)))</f>
        <v>#VALUE!</v>
      </c>
      <c r="K13" s="200" t="e">
        <f aca="true" t="array" ref="K13:K13">SUM((INDIRECT($AA13)&gt;'WestAllen Position Rpt'!K$8)*(INDIRECT($AA13)&lt;'WestAllen Position Rpt'!K$9)*(INDIRECT($AB13)))</f>
        <v>#VALUE!</v>
      </c>
      <c r="L13" s="200" t="e">
        <f aca="true" t="array" ref="L13:L13">SUM((INDIRECT($AA13)&gt;'WestAllen Position Rpt'!L$8)*(INDIRECT($AA13)&lt;'WestAllen Position Rpt'!L$9)*(INDIRECT($AB13)))</f>
        <v>#VALUE!</v>
      </c>
      <c r="M13" s="200" t="e">
        <f aca="true" t="array" ref="M13:M13">SUM((INDIRECT($AA13)&gt;'WestAllen Position Rpt'!M$8)*(INDIRECT($AA13)&lt;'WestAllen Position Rpt'!M$9)*(INDIRECT($AB13)))</f>
        <v>#VALUE!</v>
      </c>
      <c r="N13" s="200" t="e">
        <f aca="true" t="array" ref="N13:N13">SUM((INDIRECT($AA13)&gt;'WestAllen Position Rpt'!N$8)*(INDIRECT($AA13)&lt;'WestAllen Position Rpt'!N$9)*(INDIRECT($AB13)))</f>
        <v>#VALUE!</v>
      </c>
      <c r="O13" s="200" t="e">
        <f aca="true" t="array" ref="O13:O13">SUM((INDIRECT($AA13)&gt;'WestAllen Position Rpt'!O$8)*(INDIRECT($AA13)&lt;'WestAllen Position Rpt'!O$9)*(INDIRECT($AB13)))</f>
        <v>#VALUE!</v>
      </c>
      <c r="P13" s="200" t="e">
        <f aca="true" t="array" ref="P13:P13">SUM((INDIRECT($AA13)&gt;'WestAllen Position Rpt'!P$8)*(INDIRECT($AA13)&lt;'WestAllen Position Rpt'!P$9)*(INDIRECT($AB13)))</f>
        <v>#VALUE!</v>
      </c>
      <c r="Q13" s="200" t="e">
        <f aca="true" t="array" ref="Q13:Q13">SUM((INDIRECT($AA13)&gt;'WestAllen Position Rpt'!Q$8)*(INDIRECT($AA13)&lt;'WestAllen Position Rpt'!Q$9)*(INDIRECT($AB13)))</f>
        <v>#VALUE!</v>
      </c>
      <c r="R13" s="200" t="e">
        <f aca="true" t="array" ref="R13:R13">SUM((INDIRECT($AA13)&gt;'WestAllen Position Rpt'!R$8)*(INDIRECT($AA13)&lt;'WestAllen Position Rpt'!R$9)*(INDIRECT($AB13)))</f>
        <v>#VALUE!</v>
      </c>
      <c r="S13" s="200" t="e">
        <f aca="true" t="array" ref="S13:S13">SUM((INDIRECT($AA13)&gt;'WestAllen Position Rpt'!S$8)*(INDIRECT($AA13)&lt;'WestAllen Position Rpt'!S$9)*(INDIRECT($AB13)))</f>
        <v>#VALUE!</v>
      </c>
      <c r="T13" s="201" t="e">
        <f aca="true" t="array" ref="T13:T13">SUM((INDIRECT($AA13)&gt;'WestAllen Position Rpt'!T$8)*(INDIRECT($AA13)&lt;'WestAllen Position Rpt'!T$9)*(INDIRECT($AB13)))</f>
        <v>#VALUE!</v>
      </c>
      <c r="V13" s="202" t="e">
        <f aca="false">SUM(H13:T13)</f>
        <v>#VALUE!</v>
      </c>
      <c r="Y13" s="125" t="e">
        <f aca="false">GetWorkSheet($C12)</f>
        <v>#VALUE!</v>
      </c>
      <c r="Z13" s="124"/>
      <c r="AA13" s="125" t="e">
        <f aca="false">IF(NOT($Y13="#VALUE#"),CONCATENATE($Y13,"!",GetDateStart($Y13),":",GetDateEnd($Y13)),"")</f>
        <v>#VALUE!</v>
      </c>
      <c r="AB13" s="125" t="e">
        <f aca="false">IF(NOT($Y13="#VALUE#"),CONCATENATE($Y13,"!",GetDeliveryStart($Y13),":",GetDeliveryEnd($Y13)),"")</f>
        <v>#VALUE!</v>
      </c>
      <c r="AC13" s="125" t="e">
        <f aca="false">GetRecNdx($Z12,$C12)</f>
        <v>#VALUE!</v>
      </c>
    </row>
    <row r="14" customFormat="false" ht="12.75" hidden="false" customHeight="false" outlineLevel="0" collapsed="false">
      <c r="C14" s="115" t="n">
        <v>57</v>
      </c>
      <c r="E14" s="116" t="e">
        <f aca="false">GetPipeName($Z14,$AC14)</f>
        <v>#VALUE!</v>
      </c>
      <c r="F14" s="117" t="e">
        <f aca="false">CONCATENATE(GetRcptPoint($Z14,$AC14)," to ",GetDelPoint($Z14,$AC14))</f>
        <v>#VALUE!</v>
      </c>
      <c r="G14" s="118" t="e">
        <f aca="false">GetRcptBasis($Z14,$AC14)</f>
        <v>#VALUE!</v>
      </c>
      <c r="H14" s="209" t="e">
        <f aca="true" t="array" ref="H14:H14">SUM((INDIRECT($AA14)&gt;'WestAllen Position Rpt'!H$8)*(INDIRECT($AA14)&lt;'WestAllen Position Rpt'!H$9)*(INDIRECT($AB14)))</f>
        <v>#VALUE!</v>
      </c>
      <c r="I14" s="196" t="e">
        <f aca="true" t="array" ref="I14:I14">SUM((INDIRECT($AA14)&gt;'WestAllen Position Rpt'!I$8)*(INDIRECT($AA14)&lt;'WestAllen Position Rpt'!I$9)*(INDIRECT($AB14)))</f>
        <v>#VALUE!</v>
      </c>
      <c r="J14" s="196" t="e">
        <f aca="true" t="array" ref="J14:J14">SUM((INDIRECT($AA14)&gt;'WestAllen Position Rpt'!J$8)*(INDIRECT($AA14)&lt;'WestAllen Position Rpt'!J$9)*(INDIRECT($AB14)))</f>
        <v>#VALUE!</v>
      </c>
      <c r="K14" s="196" t="e">
        <f aca="true" t="array" ref="K14:K14">SUM((INDIRECT($AA14)&gt;'WestAllen Position Rpt'!K$8)*(INDIRECT($AA14)&lt;'WestAllen Position Rpt'!K$9)*(INDIRECT($AB14)))</f>
        <v>#VALUE!</v>
      </c>
      <c r="L14" s="196" t="e">
        <f aca="true" t="array" ref="L14:L14">SUM((INDIRECT($AA14)&gt;'WestAllen Position Rpt'!L$8)*(INDIRECT($AA14)&lt;'WestAllen Position Rpt'!L$9)*(INDIRECT($AB14)))</f>
        <v>#VALUE!</v>
      </c>
      <c r="M14" s="196" t="e">
        <f aca="true" t="array" ref="M14:M14">SUM((INDIRECT($AA14)&gt;'WestAllen Position Rpt'!M$8)*(INDIRECT($AA14)&lt;'WestAllen Position Rpt'!M$9)*(INDIRECT($AB14)))</f>
        <v>#VALUE!</v>
      </c>
      <c r="N14" s="196" t="e">
        <f aca="true" t="array" ref="N14:N14">SUM((INDIRECT($AA14)&gt;'WestAllen Position Rpt'!N$8)*(INDIRECT($AA14)&lt;'WestAllen Position Rpt'!N$9)*(INDIRECT($AB14)))</f>
        <v>#VALUE!</v>
      </c>
      <c r="O14" s="196" t="e">
        <f aca="true" t="array" ref="O14:O14">SUM((INDIRECT($AA14)&gt;'WestAllen Position Rpt'!O$8)*(INDIRECT($AA14)&lt;'WestAllen Position Rpt'!O$9)*(INDIRECT($AB14)))</f>
        <v>#VALUE!</v>
      </c>
      <c r="P14" s="196" t="e">
        <f aca="true" t="array" ref="P14:P14">SUM((INDIRECT($AA14)&gt;'WestAllen Position Rpt'!P$8)*(INDIRECT($AA14)&lt;'WestAllen Position Rpt'!P$9)*(INDIRECT($AB14)))</f>
        <v>#VALUE!</v>
      </c>
      <c r="Q14" s="196" t="e">
        <f aca="true" t="array" ref="Q14:Q14">SUM((INDIRECT($AA14)&gt;'WestAllen Position Rpt'!Q$8)*(INDIRECT($AA14)&lt;'WestAllen Position Rpt'!Q$9)*(INDIRECT($AB14)))</f>
        <v>#VALUE!</v>
      </c>
      <c r="R14" s="196" t="e">
        <f aca="true" t="array" ref="R14:R14">SUM((INDIRECT($AA14)&gt;'WestAllen Position Rpt'!R$8)*(INDIRECT($AA14)&lt;'WestAllen Position Rpt'!R$9)*(INDIRECT($AB14)))</f>
        <v>#VALUE!</v>
      </c>
      <c r="S14" s="196" t="e">
        <f aca="true" t="array" ref="S14:S14">SUM((INDIRECT($AA14)&gt;'WestAllen Position Rpt'!S$8)*(INDIRECT($AA14)&lt;'WestAllen Position Rpt'!S$9)*(INDIRECT($AB14)))</f>
        <v>#VALUE!</v>
      </c>
      <c r="T14" s="197" t="e">
        <f aca="true" t="array" ref="T14:T14">SUM((INDIRECT($AA14)&gt;'WestAllen Position Rpt'!T$8)*(INDIRECT($AA14)&lt;'WestAllen Position Rpt'!T$9)*(INDIRECT($AB14)))</f>
        <v>#VALUE!</v>
      </c>
      <c r="V14" s="198" t="e">
        <f aca="false">SUM(H14:T14)</f>
        <v>#VALUE!</v>
      </c>
      <c r="Y14" s="125" t="e">
        <f aca="false">GetWorkSheet($C14)</f>
        <v>#VALUE!</v>
      </c>
      <c r="Z14" s="124" t="e">
        <f aca="false">FetchDBPage(Y14)</f>
        <v>#VALUE!</v>
      </c>
      <c r="AA14" s="125" t="e">
        <f aca="false">IF(NOT($Y14="#VALUE#"),CONCATENATE($Y14,"!",GetDateStart($Y14),":",GetDateEnd($Y14)),"")</f>
        <v>#VALUE!</v>
      </c>
      <c r="AB14" s="125" t="e">
        <f aca="false">IF(NOT($Y14="#VALUE#"),CONCATENATE($Y14,"!",GetReceiptStart($Y14),":",GetReceiptEnd($Y14)),"")</f>
        <v>#VALUE!</v>
      </c>
      <c r="AC14" s="125" t="e">
        <f aca="false">GetRecNdx($Z14,$C14)</f>
        <v>#VALUE!</v>
      </c>
    </row>
    <row r="15" customFormat="false" ht="12.75" hidden="false" customHeight="false" outlineLevel="0" collapsed="false">
      <c r="C15" s="115"/>
      <c r="E15" s="116"/>
      <c r="F15" s="117"/>
      <c r="G15" s="126" t="e">
        <f aca="false">GetDelBasis($Z14,$AC15)</f>
        <v>#VALUE!</v>
      </c>
      <c r="H15" s="199" t="e">
        <f aca="true" t="array" ref="H15:H15">SUM((INDIRECT($AA15)&gt;'WestAllen Position Rpt'!H$8)*(INDIRECT($AA15)&lt;'WestAllen Position Rpt'!H$9)*(INDIRECT($AB15)))</f>
        <v>#VALUE!</v>
      </c>
      <c r="I15" s="200" t="e">
        <f aca="true" t="array" ref="I15:I15">SUM((INDIRECT($AA15)&gt;'WestAllen Position Rpt'!I$8)*(INDIRECT($AA15)&lt;'WestAllen Position Rpt'!I$9)*(INDIRECT($AB15)))</f>
        <v>#VALUE!</v>
      </c>
      <c r="J15" s="200" t="e">
        <f aca="true" t="array" ref="J15:J15">SUM((INDIRECT($AA15)&gt;'WestAllen Position Rpt'!J$8)*(INDIRECT($AA15)&lt;'WestAllen Position Rpt'!J$9)*(INDIRECT($AB15)))</f>
        <v>#VALUE!</v>
      </c>
      <c r="K15" s="200" t="e">
        <f aca="true" t="array" ref="K15:K15">SUM((INDIRECT($AA15)&gt;'WestAllen Position Rpt'!K$8)*(INDIRECT($AA15)&lt;'WestAllen Position Rpt'!K$9)*(INDIRECT($AB15)))</f>
        <v>#VALUE!</v>
      </c>
      <c r="L15" s="200" t="e">
        <f aca="true" t="array" ref="L15:L15">SUM((INDIRECT($AA15)&gt;'WestAllen Position Rpt'!L$8)*(INDIRECT($AA15)&lt;'WestAllen Position Rpt'!L$9)*(INDIRECT($AB15)))</f>
        <v>#VALUE!</v>
      </c>
      <c r="M15" s="200" t="e">
        <f aca="true" t="array" ref="M15:M15">SUM((INDIRECT($AA15)&gt;'WestAllen Position Rpt'!M$8)*(INDIRECT($AA15)&lt;'WestAllen Position Rpt'!M$9)*(INDIRECT($AB15)))</f>
        <v>#VALUE!</v>
      </c>
      <c r="N15" s="200" t="e">
        <f aca="true" t="array" ref="N15:N15">SUM((INDIRECT($AA15)&gt;'WestAllen Position Rpt'!N$8)*(INDIRECT($AA15)&lt;'WestAllen Position Rpt'!N$9)*(INDIRECT($AB15)))</f>
        <v>#VALUE!</v>
      </c>
      <c r="O15" s="200" t="e">
        <f aca="true" t="array" ref="O15:O15">SUM((INDIRECT($AA15)&gt;'WestAllen Position Rpt'!O$8)*(INDIRECT($AA15)&lt;'WestAllen Position Rpt'!O$9)*(INDIRECT($AB15)))</f>
        <v>#VALUE!</v>
      </c>
      <c r="P15" s="200" t="e">
        <f aca="true" t="array" ref="P15:P15">SUM((INDIRECT($AA15)&gt;'WestAllen Position Rpt'!P$8)*(INDIRECT($AA15)&lt;'WestAllen Position Rpt'!P$9)*(INDIRECT($AB15)))</f>
        <v>#VALUE!</v>
      </c>
      <c r="Q15" s="200" t="e">
        <f aca="true" t="array" ref="Q15:Q15">SUM((INDIRECT($AA15)&gt;'WestAllen Position Rpt'!Q$8)*(INDIRECT($AA15)&lt;'WestAllen Position Rpt'!Q$9)*(INDIRECT($AB15)))</f>
        <v>#VALUE!</v>
      </c>
      <c r="R15" s="200" t="e">
        <f aca="true" t="array" ref="R15:R15">SUM((INDIRECT($AA15)&gt;'WestAllen Position Rpt'!R$8)*(INDIRECT($AA15)&lt;'WestAllen Position Rpt'!R$9)*(INDIRECT($AB15)))</f>
        <v>#VALUE!</v>
      </c>
      <c r="S15" s="200" t="e">
        <f aca="true" t="array" ref="S15:S15">SUM((INDIRECT($AA15)&gt;'WestAllen Position Rpt'!S$8)*(INDIRECT($AA15)&lt;'WestAllen Position Rpt'!S$9)*(INDIRECT($AB15)))</f>
        <v>#VALUE!</v>
      </c>
      <c r="T15" s="201" t="e">
        <f aca="true" t="array" ref="T15:T15">SUM((INDIRECT($AA15)&gt;'WestAllen Position Rpt'!T$8)*(INDIRECT($AA15)&lt;'WestAllen Position Rpt'!T$9)*(INDIRECT($AB15)))</f>
        <v>#VALUE!</v>
      </c>
      <c r="V15" s="202" t="e">
        <f aca="false">SUM(H15:T15)</f>
        <v>#VALUE!</v>
      </c>
      <c r="Y15" s="125" t="e">
        <f aca="false">GetWorkSheet($C14)</f>
        <v>#VALUE!</v>
      </c>
      <c r="Z15" s="124"/>
      <c r="AA15" s="125" t="e">
        <f aca="false">IF(NOT($Y15="#VALUE#"),CONCATENATE($Y15,"!",GetDateStart($Y15),":",GetDateEnd($Y15)),"")</f>
        <v>#VALUE!</v>
      </c>
      <c r="AB15" s="125" t="e">
        <f aca="false">IF(NOT($Y15="#VALUE#"),CONCATENATE($Y15,"!",GetDeliveryStart($Y15),":",GetDeliveryEnd($Y15)),"")</f>
        <v>#VALUE!</v>
      </c>
      <c r="AC15" s="125" t="e">
        <f aca="false">GetRecNdx($Z14,$C14)</f>
        <v>#VALUE!</v>
      </c>
    </row>
    <row r="16" customFormat="false" ht="12.75" hidden="false" customHeight="false" outlineLevel="0" collapsed="false">
      <c r="C16" s="115" t="n">
        <v>74</v>
      </c>
      <c r="E16" s="116" t="e">
        <f aca="false">GetPipeName($Z16,$AC16)</f>
        <v>#VALUE!</v>
      </c>
      <c r="F16" s="117" t="e">
        <f aca="false">CONCATENATE(GetRcptPoint($Z16,$AC16)," to ",GetDelPoint($Z16,$AC16))</f>
        <v>#VALUE!</v>
      </c>
      <c r="G16" s="118" t="e">
        <f aca="false">GetRcptBasis($Z16,$AC16)</f>
        <v>#VALUE!</v>
      </c>
      <c r="H16" s="209" t="e">
        <f aca="true" t="array" ref="H16:H16">SUM((INDIRECT($AA16)&gt;'WestAllen Position Rpt'!H$8)*(INDIRECT($AA16)&lt;'WestAllen Position Rpt'!H$9)*(INDIRECT($AB16)))</f>
        <v>#VALUE!</v>
      </c>
      <c r="I16" s="196" t="e">
        <f aca="true" t="array" ref="I16:I16">SUM((INDIRECT($AA16)&gt;'WestAllen Position Rpt'!I$8)*(INDIRECT($AA16)&lt;'WestAllen Position Rpt'!I$9)*(INDIRECT($AB16)))</f>
        <v>#VALUE!</v>
      </c>
      <c r="J16" s="196" t="e">
        <f aca="true" t="array" ref="J16:J16">SUM((INDIRECT($AA16)&gt;'WestAllen Position Rpt'!J$8)*(INDIRECT($AA16)&lt;'WestAllen Position Rpt'!J$9)*(INDIRECT($AB16)))</f>
        <v>#VALUE!</v>
      </c>
      <c r="K16" s="196" t="e">
        <f aca="true" t="array" ref="K16:K16">SUM((INDIRECT($AA16)&gt;'WestAllen Position Rpt'!K$8)*(INDIRECT($AA16)&lt;'WestAllen Position Rpt'!K$9)*(INDIRECT($AB16)))</f>
        <v>#VALUE!</v>
      </c>
      <c r="L16" s="196" t="e">
        <f aca="true" t="array" ref="L16:L16">SUM((INDIRECT($AA16)&gt;'WestAllen Position Rpt'!L$8)*(INDIRECT($AA16)&lt;'WestAllen Position Rpt'!L$9)*(INDIRECT($AB16)))</f>
        <v>#VALUE!</v>
      </c>
      <c r="M16" s="196" t="e">
        <f aca="true" t="array" ref="M16:M16">SUM((INDIRECT($AA16)&gt;'WestAllen Position Rpt'!M$8)*(INDIRECT($AA16)&lt;'WestAllen Position Rpt'!M$9)*(INDIRECT($AB16)))</f>
        <v>#VALUE!</v>
      </c>
      <c r="N16" s="196" t="e">
        <f aca="true" t="array" ref="N16:N16">SUM((INDIRECT($AA16)&gt;'WestAllen Position Rpt'!N$8)*(INDIRECT($AA16)&lt;'WestAllen Position Rpt'!N$9)*(INDIRECT($AB16)))</f>
        <v>#VALUE!</v>
      </c>
      <c r="O16" s="196" t="e">
        <f aca="true" t="array" ref="O16:O16">SUM((INDIRECT($AA16)&gt;'WestAllen Position Rpt'!O$8)*(INDIRECT($AA16)&lt;'WestAllen Position Rpt'!O$9)*(INDIRECT($AB16)))</f>
        <v>#VALUE!</v>
      </c>
      <c r="P16" s="196" t="e">
        <f aca="true" t="array" ref="P16:P16">SUM((INDIRECT($AA16)&gt;'WestAllen Position Rpt'!P$8)*(INDIRECT($AA16)&lt;'WestAllen Position Rpt'!P$9)*(INDIRECT($AB16)))</f>
        <v>#VALUE!</v>
      </c>
      <c r="Q16" s="196" t="e">
        <f aca="true" t="array" ref="Q16:Q16">SUM((INDIRECT($AA16)&gt;'WestAllen Position Rpt'!Q$8)*(INDIRECT($AA16)&lt;'WestAllen Position Rpt'!Q$9)*(INDIRECT($AB16)))</f>
        <v>#VALUE!</v>
      </c>
      <c r="R16" s="196" t="e">
        <f aca="true" t="array" ref="R16:R16">SUM((INDIRECT($AA16)&gt;'WestAllen Position Rpt'!R$8)*(INDIRECT($AA16)&lt;'WestAllen Position Rpt'!R$9)*(INDIRECT($AB16)))</f>
        <v>#VALUE!</v>
      </c>
      <c r="S16" s="196" t="e">
        <f aca="true" t="array" ref="S16:S16">SUM((INDIRECT($AA16)&gt;'WestAllen Position Rpt'!S$8)*(INDIRECT($AA16)&lt;'WestAllen Position Rpt'!S$9)*(INDIRECT($AB16)))</f>
        <v>#VALUE!</v>
      </c>
      <c r="T16" s="197" t="e">
        <f aca="true" t="array" ref="T16:T16">SUM((INDIRECT($AA16)&gt;'WestAllen Position Rpt'!T$8)*(INDIRECT($AA16)&lt;'WestAllen Position Rpt'!T$9)*(INDIRECT($AB16)))</f>
        <v>#VALUE!</v>
      </c>
      <c r="V16" s="198" t="e">
        <f aca="false">SUM(H16:T16)</f>
        <v>#VALUE!</v>
      </c>
      <c r="Y16" s="125" t="e">
        <f aca="false">GetWorkSheet($C16)</f>
        <v>#VALUE!</v>
      </c>
      <c r="Z16" s="124" t="e">
        <f aca="false">FetchDBPage(Y16)</f>
        <v>#VALUE!</v>
      </c>
      <c r="AA16" s="125" t="e">
        <f aca="false">IF(NOT($Y16="#VALUE#"),CONCATENATE($Y16,"!",GetDateStart($Y16),":",GetDateEnd($Y16)),"")</f>
        <v>#VALUE!</v>
      </c>
      <c r="AB16" s="125" t="e">
        <f aca="false">IF(NOT($Y16="#VALUE#"),CONCATENATE($Y16,"!",GetReceiptStart($Y16),":",GetReceiptEnd($Y16)),"")</f>
        <v>#VALUE!</v>
      </c>
      <c r="AC16" s="125" t="e">
        <f aca="false">GetRecNdx($Z16,$C16)</f>
        <v>#VALUE!</v>
      </c>
    </row>
    <row r="17" customFormat="false" ht="12.75" hidden="false" customHeight="false" outlineLevel="0" collapsed="false">
      <c r="C17" s="115"/>
      <c r="E17" s="116"/>
      <c r="F17" s="117"/>
      <c r="G17" s="126" t="e">
        <f aca="false">GetDelBasis($Z16,$AC17)</f>
        <v>#VALUE!</v>
      </c>
      <c r="H17" s="199" t="e">
        <f aca="true" t="array" ref="H17:H17">SUM((INDIRECT($AA17)&gt;'WestAllen Position Rpt'!H$8)*(INDIRECT($AA17)&lt;'WestAllen Position Rpt'!H$9)*(INDIRECT($AB17)))</f>
        <v>#VALUE!</v>
      </c>
      <c r="I17" s="200" t="e">
        <f aca="true" t="array" ref="I17:I17">SUM((INDIRECT($AA17)&gt;'WestAllen Position Rpt'!I$8)*(INDIRECT($AA17)&lt;'WestAllen Position Rpt'!I$9)*(INDIRECT($AB17)))</f>
        <v>#VALUE!</v>
      </c>
      <c r="J17" s="200" t="e">
        <f aca="true" t="array" ref="J17:J17">SUM((INDIRECT($AA17)&gt;'WestAllen Position Rpt'!J$8)*(INDIRECT($AA17)&lt;'WestAllen Position Rpt'!J$9)*(INDIRECT($AB17)))</f>
        <v>#VALUE!</v>
      </c>
      <c r="K17" s="200" t="e">
        <f aca="true" t="array" ref="K17:K17">SUM((INDIRECT($AA17)&gt;'WestAllen Position Rpt'!K$8)*(INDIRECT($AA17)&lt;'WestAllen Position Rpt'!K$9)*(INDIRECT($AB17)))</f>
        <v>#VALUE!</v>
      </c>
      <c r="L17" s="200" t="e">
        <f aca="true" t="array" ref="L17:L17">SUM((INDIRECT($AA17)&gt;'WestAllen Position Rpt'!L$8)*(INDIRECT($AA17)&lt;'WestAllen Position Rpt'!L$9)*(INDIRECT($AB17)))</f>
        <v>#VALUE!</v>
      </c>
      <c r="M17" s="200" t="e">
        <f aca="true" t="array" ref="M17:M17">SUM((INDIRECT($AA17)&gt;'WestAllen Position Rpt'!M$8)*(INDIRECT($AA17)&lt;'WestAllen Position Rpt'!M$9)*(INDIRECT($AB17)))</f>
        <v>#VALUE!</v>
      </c>
      <c r="N17" s="200" t="e">
        <f aca="true" t="array" ref="N17:N17">SUM((INDIRECT($AA17)&gt;'WestAllen Position Rpt'!N$8)*(INDIRECT($AA17)&lt;'WestAllen Position Rpt'!N$9)*(INDIRECT($AB17)))</f>
        <v>#VALUE!</v>
      </c>
      <c r="O17" s="200" t="e">
        <f aca="true" t="array" ref="O17:O17">SUM((INDIRECT($AA17)&gt;'WestAllen Position Rpt'!O$8)*(INDIRECT($AA17)&lt;'WestAllen Position Rpt'!O$9)*(INDIRECT($AB17)))</f>
        <v>#VALUE!</v>
      </c>
      <c r="P17" s="200" t="e">
        <f aca="true" t="array" ref="P17:P17">SUM((INDIRECT($AA17)&gt;'WestAllen Position Rpt'!P$8)*(INDIRECT($AA17)&lt;'WestAllen Position Rpt'!P$9)*(INDIRECT($AB17)))</f>
        <v>#VALUE!</v>
      </c>
      <c r="Q17" s="200" t="e">
        <f aca="true" t="array" ref="Q17:Q17">SUM((INDIRECT($AA17)&gt;'WestAllen Position Rpt'!Q$8)*(INDIRECT($AA17)&lt;'WestAllen Position Rpt'!Q$9)*(INDIRECT($AB17)))</f>
        <v>#VALUE!</v>
      </c>
      <c r="R17" s="200" t="e">
        <f aca="true" t="array" ref="R17:R17">SUM((INDIRECT($AA17)&gt;'WestAllen Position Rpt'!R$8)*(INDIRECT($AA17)&lt;'WestAllen Position Rpt'!R$9)*(INDIRECT($AB17)))</f>
        <v>#VALUE!</v>
      </c>
      <c r="S17" s="200" t="e">
        <f aca="true" t="array" ref="S17:S17">SUM((INDIRECT($AA17)&gt;'WestAllen Position Rpt'!S$8)*(INDIRECT($AA17)&lt;'WestAllen Position Rpt'!S$9)*(INDIRECT($AB17)))</f>
        <v>#VALUE!</v>
      </c>
      <c r="T17" s="201" t="e">
        <f aca="true" t="array" ref="T17:T17">SUM((INDIRECT($AA17)&gt;'WestAllen Position Rpt'!T$8)*(INDIRECT($AA17)&lt;'WestAllen Position Rpt'!T$9)*(INDIRECT($AB17)))</f>
        <v>#VALUE!</v>
      </c>
      <c r="V17" s="202" t="e">
        <f aca="false">SUM(H17:T17)</f>
        <v>#VALUE!</v>
      </c>
      <c r="Y17" s="125" t="e">
        <f aca="false">GetWorkSheet($C16)</f>
        <v>#VALUE!</v>
      </c>
      <c r="Z17" s="124"/>
      <c r="AA17" s="125" t="e">
        <f aca="false">IF(NOT($Y17="#VALUE#"),CONCATENATE($Y17,"!",GetDateStart($Y17),":",GetDateEnd($Y17)),"")</f>
        <v>#VALUE!</v>
      </c>
      <c r="AB17" s="125" t="e">
        <f aca="false">IF(NOT($Y17="#VALUE#"),CONCATENATE($Y17,"!",GetDeliveryStart($Y17),":",GetDeliveryEnd($Y17)),"")</f>
        <v>#VALUE!</v>
      </c>
      <c r="AC17" s="125" t="e">
        <f aca="false">GetRecNdx($Z16,$C16)</f>
        <v>#VALUE!</v>
      </c>
    </row>
    <row r="20" customFormat="false" ht="12.75" hidden="false" customHeight="false" outlineLevel="0" collapsed="false">
      <c r="G20" s="203" t="s">
        <v>396</v>
      </c>
    </row>
    <row r="21" customFormat="false" ht="12.75" hidden="false" customHeight="false" outlineLevel="0" collapsed="false">
      <c r="G21" s="97" t="s">
        <v>74</v>
      </c>
      <c r="H21" s="98" t="n">
        <f aca="false">SUMIF($G$10:$G$17,$G$21,$H$10:$H$17)</f>
        <v>0</v>
      </c>
      <c r="I21" s="98" t="n">
        <f aca="false">SUMIF($G$10:$G$17,$G$21,$I$10:$I$17)</f>
        <v>0</v>
      </c>
      <c r="J21" s="98" t="n">
        <f aca="false">SUMIF($G$10:$G$17,$G$21,$J$10:$J$17)</f>
        <v>0</v>
      </c>
      <c r="K21" s="98" t="n">
        <f aca="false">SUMIF($G$10:$G$17,$G$21,$K$10:$K$17)</f>
        <v>0</v>
      </c>
      <c r="L21" s="98" t="n">
        <f aca="false">SUMIF($G$10:$G$17,$G$21,$L$10:$L$17)</f>
        <v>0</v>
      </c>
      <c r="M21" s="98" t="n">
        <f aca="false">SUMIF($G$10:$G$17,$G$21,$M$10:$M$17)</f>
        <v>0</v>
      </c>
      <c r="N21" s="98" t="n">
        <f aca="false">SUMIF($G$10:$G$17,$G$21,$N$10:$N$17)</f>
        <v>0</v>
      </c>
      <c r="O21" s="98" t="n">
        <f aca="false">SUMIF($G$10:$G$17,$G$21,$O$10:$O$17)</f>
        <v>0</v>
      </c>
      <c r="P21" s="98" t="n">
        <f aca="false">SUMIF($G$10:$G$17,$G$21,$P$10:$P$17)</f>
        <v>0</v>
      </c>
      <c r="Q21" s="98" t="n">
        <f aca="false">SUMIF($G$10:$G$17,$G$21,$Q$10:$Q$17)</f>
        <v>0</v>
      </c>
      <c r="R21" s="98" t="n">
        <f aca="false">SUMIF($G$10:$G$17,$G$21,$R$10:$R$17)</f>
        <v>0</v>
      </c>
      <c r="S21" s="98" t="n">
        <f aca="false">SUMIF($G$10:$G$17,$G$21,$S$10:$S$17)</f>
        <v>0</v>
      </c>
      <c r="T21" s="98" t="n">
        <f aca="false">SUMIF($G$10:$G$17,$G$21,$T$10:$T$17)</f>
        <v>0</v>
      </c>
    </row>
    <row r="22" customFormat="false" ht="12.75" hidden="false" customHeight="false" outlineLevel="0" collapsed="false">
      <c r="G22" s="97" t="s">
        <v>75</v>
      </c>
      <c r="H22" s="98" t="n">
        <f aca="false">SUMIF($G$10:$G$17,$G$22,$H$10:$H$17)</f>
        <v>0</v>
      </c>
      <c r="I22" s="98" t="n">
        <f aca="false">SUMIF($G$10:$G$17,$G$22,$I$10:$I$17)</f>
        <v>0</v>
      </c>
      <c r="J22" s="98" t="n">
        <f aca="false">SUMIF($G$10:$G$17,$G$22,$J$10:$J$17)</f>
        <v>0</v>
      </c>
      <c r="K22" s="98" t="n">
        <f aca="false">SUMIF($G$10:$G$17,$G$22,$K$10:$K$17)</f>
        <v>0</v>
      </c>
      <c r="L22" s="98" t="n">
        <f aca="false">SUMIF($G$10:$G$17,$G$22,$L$10:$L$17)</f>
        <v>0</v>
      </c>
      <c r="M22" s="98" t="n">
        <f aca="false">SUMIF($G$10:$G$17,$G$22,$M$10:$M$17)</f>
        <v>0</v>
      </c>
      <c r="N22" s="98" t="n">
        <f aca="false">SUMIF($G$10:$G$17,$G$22,$N$10:$N$17)</f>
        <v>0</v>
      </c>
      <c r="O22" s="98" t="n">
        <f aca="false">SUMIF($G$10:$G$17,$G$22,$O$10:$O$17)</f>
        <v>0</v>
      </c>
      <c r="P22" s="98" t="n">
        <f aca="false">SUMIF($G$10:$G$17,$G$22,$P$10:$P$17)</f>
        <v>0</v>
      </c>
      <c r="Q22" s="98" t="n">
        <f aca="false">SUMIF($G$10:$G$17,$G$22,$Q$10:$Q$17)</f>
        <v>0</v>
      </c>
      <c r="R22" s="98" t="n">
        <f aca="false">SUMIF($G$10:$G$17,$G$22,$R$10:$R$17)</f>
        <v>0</v>
      </c>
      <c r="S22" s="98" t="n">
        <f aca="false">SUMIF($G$10:$G$17,$G$22,$S$10:$S$17)</f>
        <v>0</v>
      </c>
      <c r="T22" s="98" t="n">
        <f aca="false">SUMIF($G$10:$G$17,$G$22,$T$10:$T$17)</f>
        <v>0</v>
      </c>
    </row>
    <row r="23" customFormat="false" ht="12.75" hidden="false" customHeight="false" outlineLevel="0" collapsed="false">
      <c r="G23" s="97" t="s">
        <v>94</v>
      </c>
      <c r="H23" s="98" t="n">
        <f aca="false">SUMIF($G$10:$G$17,$G$23,$H$10:$H$17)</f>
        <v>0</v>
      </c>
      <c r="I23" s="98" t="n">
        <f aca="false">SUMIF($G$10:$G$17,$G$23,$I$10:$I$17)</f>
        <v>0</v>
      </c>
      <c r="J23" s="98" t="n">
        <f aca="false">SUMIF($G$10:$G$17,$G$23,$J$10:$J$17)</f>
        <v>0</v>
      </c>
      <c r="K23" s="98" t="n">
        <f aca="false">SUMIF($G$10:$G$17,$G$23,$K$10:$K$17)</f>
        <v>0</v>
      </c>
      <c r="L23" s="98" t="n">
        <f aca="false">SUMIF($G$10:$G$17,$G$23,$L$10:$L$17)</f>
        <v>0</v>
      </c>
      <c r="M23" s="98" t="n">
        <f aca="false">SUMIF($G$10:$G$17,$G$23,$M$10:$M$17)</f>
        <v>0</v>
      </c>
      <c r="N23" s="98" t="n">
        <f aca="false">SUMIF($G$10:$G$17,$G$23,$N$10:$N$17)</f>
        <v>0</v>
      </c>
      <c r="O23" s="98" t="n">
        <f aca="false">SUMIF($G$10:$G$17,$G$23,$O$10:$O$17)</f>
        <v>0</v>
      </c>
      <c r="P23" s="98" t="n">
        <f aca="false">SUMIF($G$10:$G$17,$G$23,$P$10:$P$17)</f>
        <v>0</v>
      </c>
      <c r="Q23" s="98" t="n">
        <f aca="false">SUMIF($G$10:$G$17,$G$23,$Q$10:$Q$17)</f>
        <v>0</v>
      </c>
      <c r="R23" s="98" t="n">
        <f aca="false">SUMIF($G$10:$G$17,$G$23,$R$10:$R$17)</f>
        <v>0</v>
      </c>
      <c r="S23" s="98" t="n">
        <f aca="false">SUMIF($G$10:$G$17,$G$23,$S$10:$S$17)</f>
        <v>0</v>
      </c>
      <c r="T23" s="98" t="n">
        <f aca="false">SUMIF($G$10:$G$17,$G$23,$T$10:$T$17)</f>
        <v>0</v>
      </c>
    </row>
    <row r="24" customFormat="false" ht="12.75" hidden="false" customHeight="false" outlineLevel="0" collapsed="false">
      <c r="G24" s="97" t="s">
        <v>95</v>
      </c>
      <c r="H24" s="98" t="n">
        <f aca="false">SUMIF($G$10:$G$17,$G$24,$H$10:$H$17)</f>
        <v>0</v>
      </c>
      <c r="I24" s="98" t="n">
        <f aca="false">SUMIF($G$10:$G$17,$G$24,$I$10:$I$17)</f>
        <v>0</v>
      </c>
      <c r="J24" s="98" t="n">
        <f aca="false">SUMIF($G$10:$G$17,$G$24,$J$10:$J$17)</f>
        <v>0</v>
      </c>
      <c r="K24" s="98" t="n">
        <f aca="false">SUMIF($G$10:$G$17,$G$24,$K$10:$K$17)</f>
        <v>0</v>
      </c>
      <c r="L24" s="98" t="n">
        <f aca="false">SUMIF($G$10:$G$17,$G$24,$L$10:$L$17)</f>
        <v>0</v>
      </c>
      <c r="M24" s="98" t="n">
        <f aca="false">SUMIF($G$10:$G$17,$G$24,$M$10:$M$17)</f>
        <v>0</v>
      </c>
      <c r="N24" s="98" t="n">
        <f aca="false">SUMIF($G$10:$G$17,$G$24,$N$10:$N$17)</f>
        <v>0</v>
      </c>
      <c r="O24" s="98" t="n">
        <f aca="false">SUMIF($G$10:$G$17,$G$24,$O$10:$O$17)</f>
        <v>0</v>
      </c>
      <c r="P24" s="98" t="n">
        <f aca="false">SUMIF($G$10:$G$17,$G$24,$P$10:$P$17)</f>
        <v>0</v>
      </c>
      <c r="Q24" s="98" t="n">
        <f aca="false">SUMIF($G$10:$G$17,$G$24,$Q$10:$Q$17)</f>
        <v>0</v>
      </c>
      <c r="R24" s="98" t="n">
        <f aca="false">SUMIF($G$10:$G$17,$G$24,$R$10:$R$17)</f>
        <v>0</v>
      </c>
      <c r="S24" s="98" t="n">
        <f aca="false">SUMIF($G$10:$G$17,$G$24,$S$10:$S$17)</f>
        <v>0</v>
      </c>
      <c r="T24" s="98" t="n">
        <f aca="false">SUMIF($G$10:$G$17,$G$24,$T$10:$T$17)</f>
        <v>0</v>
      </c>
    </row>
    <row r="26" customFormat="false" ht="12.75" hidden="false" customHeight="false" outlineLevel="0" collapsed="false">
      <c r="G26" s="205" t="s">
        <v>397</v>
      </c>
    </row>
    <row r="27" customFormat="false" ht="12.75" hidden="false" customHeight="false" outlineLevel="0" collapsed="false">
      <c r="G27" s="97" t="s">
        <v>398</v>
      </c>
      <c r="H27" s="98" t="n">
        <f aca="false">SUMIF($H$10:$H$17,"&gt;0",$H$10:$H$17)</f>
        <v>0</v>
      </c>
      <c r="I27" s="98" t="n">
        <f aca="false">SUMIF($I$10:$I$17,"&gt;0",$I$10:$I$17)</f>
        <v>0</v>
      </c>
      <c r="J27" s="98" t="n">
        <f aca="false">SUMIF($J$10:$J$17,"&gt;0",$J$10:$J$17)</f>
        <v>0</v>
      </c>
      <c r="K27" s="98" t="n">
        <f aca="false">SUMIF($K$10:$K$17,"&gt;0",$K$10:$K$17)</f>
        <v>0</v>
      </c>
      <c r="L27" s="98" t="n">
        <f aca="false">SUMIF($L$10:$L$17,"&gt;0",$L$10:$L$17)</f>
        <v>0</v>
      </c>
      <c r="M27" s="98" t="n">
        <f aca="false">SUMIF($M$10:$M$17,"&gt;0",$M$10:$M$17)</f>
        <v>0</v>
      </c>
      <c r="N27" s="98" t="n">
        <f aca="false">SUMIF($N$10:$N$17,"&gt;0",$N$10:$N$17)</f>
        <v>0</v>
      </c>
      <c r="O27" s="98" t="n">
        <f aca="false">SUMIF($O$10:$O$17,"&gt;0",$O$10:$O$17)</f>
        <v>0</v>
      </c>
      <c r="P27" s="98" t="n">
        <f aca="false">SUMIF($P$10:$P$17,"&gt;0",$P$10:$P$17)</f>
        <v>0</v>
      </c>
      <c r="Q27" s="98" t="n">
        <f aca="false">SUMIF($Q$10:$Q$17,"&gt;0",$Q$10:$Q$17)</f>
        <v>0</v>
      </c>
      <c r="R27" s="98" t="n">
        <f aca="false">SUMIF($R$10:$R$17,"&gt;0",$R$10:$R$17)</f>
        <v>0</v>
      </c>
      <c r="S27" s="98" t="n">
        <f aca="false">SUMIF($S$10:$S$17,"&gt;0",$S$10:$S$17)</f>
        <v>0</v>
      </c>
      <c r="T27" s="98" t="n">
        <f aca="false">SUMIF($T$10:$T$17,"&gt;0",$T$10:$T$17)</f>
        <v>0</v>
      </c>
    </row>
    <row r="28" customFormat="false" ht="12.75" hidden="false" customHeight="false" outlineLevel="0" collapsed="false">
      <c r="G28" s="97" t="s">
        <v>399</v>
      </c>
      <c r="H28" s="98" t="n">
        <f aca="false">SUMIF($H$10:$H$17,"&lt;0",$H$10:$H$17)</f>
        <v>0</v>
      </c>
      <c r="I28" s="98" t="n">
        <f aca="false">SUMIF($I$10:$I$17,"&lt;0",$I$10:$I$17)</f>
        <v>0</v>
      </c>
      <c r="J28" s="98" t="n">
        <f aca="false">SUMIF($J$10:$J$17,"&lt;0",$J$10:$J$17)</f>
        <v>0</v>
      </c>
      <c r="K28" s="98" t="n">
        <f aca="false">SUMIF($K$10:$K$17,"&lt;0",$K$10:$K$17)</f>
        <v>0</v>
      </c>
      <c r="L28" s="98" t="n">
        <f aca="false">SUMIF($L$10:$L$17,"&lt;0",$L$10:$L$17)</f>
        <v>0</v>
      </c>
      <c r="M28" s="98" t="n">
        <f aca="false">SUMIF($M$10:$M$17,"&lt;0",$M$10:$M$17)</f>
        <v>0</v>
      </c>
      <c r="N28" s="98" t="n">
        <f aca="false">SUMIF($N$10:$N$17,"&lt;0",$N$10:$N$17)</f>
        <v>0</v>
      </c>
      <c r="O28" s="98" t="n">
        <f aca="false">SUMIF($O$10:$O$17,"&lt;0",$O$10:$O$17)</f>
        <v>0</v>
      </c>
      <c r="P28" s="98" t="n">
        <f aca="false">SUMIF($P$10:$P$17,"&lt;0",$P$10:$P$17)</f>
        <v>0</v>
      </c>
      <c r="Q28" s="98" t="n">
        <f aca="false">SUMIF($Q$10:$Q$17,"&lt;0",$Q$10:$Q$17)</f>
        <v>0</v>
      </c>
      <c r="R28" s="98" t="n">
        <f aca="false">SUMIF($R$10:$R$17,"&lt;0",$R$10:$R$17)</f>
        <v>0</v>
      </c>
      <c r="S28" s="98" t="n">
        <f aca="false">SUMIF($S$10:$S$17,"&lt;0",$S$10:$S$17)</f>
        <v>0</v>
      </c>
      <c r="T28" s="98" t="n">
        <f aca="false">SUMIF($T$10:$T$17,"&lt;0",$T$10:$T$17)</f>
        <v>0</v>
      </c>
    </row>
  </sheetData>
  <mergeCells count="14">
    <mergeCell ref="C8:C9"/>
    <mergeCell ref="V8:V9"/>
    <mergeCell ref="C10:C11"/>
    <mergeCell ref="E10:E11"/>
    <mergeCell ref="F10:F11"/>
    <mergeCell ref="C12:C13"/>
    <mergeCell ref="E12:E13"/>
    <mergeCell ref="F12:F13"/>
    <mergeCell ref="C14:C15"/>
    <mergeCell ref="E14:E15"/>
    <mergeCell ref="F14:F15"/>
    <mergeCell ref="C16:C17"/>
    <mergeCell ref="E16:E17"/>
    <mergeCell ref="F16:F17"/>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5" scale="42" fitToWidth="1" fitToHeight="1" pageOrder="downThenOver" orientation="landscape" blackAndWhite="false" draft="false" cellComments="none" horizontalDpi="300" verticalDpi="300" copies="1"/>
  <headerFooter differentFirst="false" differentOddEven="false">
    <oddHeader/>
    <oddFooter/>
  </headerFooter>
  <colBreaks count="1" manualBreakCount="1">
    <brk id="22" man="true" max="65535" min="0"/>
  </colBreaks>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Report_Routines.Button2_Click">
                <anchor moveWithCells="true" sizeWithCells="false">
                  <from>
                    <xdr:col>1</xdr:col>
                    <xdr:colOff>190800</xdr:colOff>
                    <xdr:row>1</xdr:row>
                    <xdr:rowOff>75960</xdr:rowOff>
                  </from>
                  <to>
                    <xdr:col>3</xdr:col>
                    <xdr:colOff>50400</xdr:colOff>
                    <xdr:row>4</xdr:row>
                    <xdr:rowOff>66600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2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7" activeCellId="0" sqref="C7:V42"/>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9.28"/>
    <col collapsed="false" customWidth="true" hidden="false" outlineLevel="0" max="6" min="6" style="96" width="23.99"/>
    <col collapsed="false" customWidth="true" hidden="false" outlineLevel="0" max="7" min="7" style="97" width="30.7"/>
    <col collapsed="false" customWidth="true" hidden="false" outlineLevel="0" max="20" min="8" style="98" width="13.7"/>
    <col collapsed="false" customWidth="true" hidden="false" outlineLevel="0" max="21" min="21" style="99" width="3.7"/>
    <col collapsed="false" customWidth="true" hidden="false" outlineLevel="0" max="22" min="22" style="95" width="13.7"/>
    <col collapsed="false" customWidth="false" hidden="false" outlineLevel="0" max="23" min="23" style="95" width="9.14"/>
    <col collapsed="false" customWidth="true" hidden="false" outlineLevel="0" max="24" min="24" style="95" width="14.28"/>
    <col collapsed="false" customWidth="true" hidden="false" outlineLevel="0" max="26" min="25" style="95" width="23.14"/>
    <col collapsed="false" customWidth="true" hidden="false" outlineLevel="0" max="27" min="27" style="95" width="35.56"/>
    <col collapsed="false" customWidth="true" hidden="false" outlineLevel="0" max="28" min="28" style="95" width="24.41"/>
    <col collapsed="false" customWidth="false" hidden="false" outlineLevel="0" max="257" min="29" style="95" width="9.14"/>
  </cols>
  <sheetData>
    <row r="1" customFormat="false" ht="12.75" hidden="false" customHeight="false" outlineLevel="0" collapsed="false">
      <c r="A1" s="19" t="s">
        <v>394</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ADDRESS(ROW($C$10),COLUMN($C$10))</f>
        <v>$C$10</v>
      </c>
      <c r="E3" s="100" t="s">
        <v>40</v>
      </c>
      <c r="F3" s="189" t="s">
        <v>105</v>
      </c>
    </row>
    <row r="7" customFormat="false" ht="18.75" hidden="false" customHeight="false" outlineLevel="0" collapsed="false">
      <c r="E7" s="102" t="str">
        <f aca="false">CONCATENATE("POSITION REPORT : ",UPPER(F3))</f>
        <v>POSITION REPORT : WEST/ALLEN</v>
      </c>
    </row>
    <row r="8" customFormat="false" ht="12.75" hidden="false" customHeight="false" outlineLevel="0" collapsed="false">
      <c r="A8" s="103"/>
      <c r="B8" s="103"/>
      <c r="C8" s="104" t="s">
        <v>213</v>
      </c>
      <c r="E8" s="105"/>
      <c r="F8" s="106"/>
      <c r="G8" s="107" t="s">
        <v>214</v>
      </c>
      <c r="H8" s="190" t="n">
        <f aca="false" t="array" ref="H8:T8">TRANSPOSE(Configuration!D25:D37)</f>
        <v>37043</v>
      </c>
      <c r="I8" s="191" t="n">
        <v>37073</v>
      </c>
      <c r="J8" s="191" t="n">
        <v>37104</v>
      </c>
      <c r="K8" s="191" t="n">
        <v>37135</v>
      </c>
      <c r="L8" s="191" t="n">
        <v>37165</v>
      </c>
      <c r="M8" s="191" t="n">
        <v>37196</v>
      </c>
      <c r="N8" s="191" t="n">
        <v>37226</v>
      </c>
      <c r="O8" s="191" t="n">
        <v>37257</v>
      </c>
      <c r="P8" s="191" t="n">
        <v>37622</v>
      </c>
      <c r="Q8" s="191" t="n">
        <v>37987</v>
      </c>
      <c r="R8" s="191" t="n">
        <v>38353</v>
      </c>
      <c r="S8" s="191" t="n">
        <v>40544</v>
      </c>
      <c r="T8" s="192" t="n">
        <v>42370</v>
      </c>
      <c r="U8" s="103"/>
      <c r="V8" s="104" t="s">
        <v>395</v>
      </c>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false" outlineLevel="0" collapsed="false">
      <c r="A9" s="103"/>
      <c r="B9" s="103"/>
      <c r="C9" s="104"/>
      <c r="E9" s="112" t="s">
        <v>13</v>
      </c>
      <c r="F9" s="113" t="s">
        <v>233</v>
      </c>
      <c r="G9" s="114" t="s">
        <v>234</v>
      </c>
      <c r="H9" s="193" t="n">
        <f aca="false" t="array" ref="H9:T9">TRANSPOSE(Configuration!E25:E37)</f>
        <v>37072</v>
      </c>
      <c r="I9" s="194" t="n">
        <v>37103</v>
      </c>
      <c r="J9" s="194" t="n">
        <v>37134</v>
      </c>
      <c r="K9" s="194" t="n">
        <v>37164</v>
      </c>
      <c r="L9" s="194" t="n">
        <v>37195</v>
      </c>
      <c r="M9" s="194" t="n">
        <v>37225</v>
      </c>
      <c r="N9" s="194" t="n">
        <v>37256</v>
      </c>
      <c r="O9" s="194" t="n">
        <v>37621</v>
      </c>
      <c r="P9" s="194" t="n">
        <v>37986</v>
      </c>
      <c r="Q9" s="194" t="n">
        <v>38352</v>
      </c>
      <c r="R9" s="194" t="n">
        <v>40543</v>
      </c>
      <c r="S9" s="194" t="n">
        <v>42369</v>
      </c>
      <c r="T9" s="195" t="n">
        <v>45657</v>
      </c>
      <c r="U9" s="103"/>
      <c r="V9" s="104"/>
      <c r="W9" s="103"/>
      <c r="X9" s="103"/>
      <c r="Y9" s="103"/>
      <c r="Z9" s="208"/>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83</v>
      </c>
      <c r="E10" s="116" t="e">
        <f aca="false">GetPipeName($Z10,$AC10)</f>
        <v>#VALUE!</v>
      </c>
      <c r="F10" s="117" t="e">
        <f aca="false">CONCATENATE(GetRcptPoint($Z10,$AC10)," to ",GetDelPoint($Z10,$AC10))</f>
        <v>#VALUE!</v>
      </c>
      <c r="G10" s="118" t="e">
        <f aca="false">GetRcptBasis($Z10,$AC10)</f>
        <v>#VALUE!</v>
      </c>
      <c r="H10" s="209" t="e">
        <f aca="true" t="array" ref="H10:H10">SUM((INDIRECT($AA10)&gt;'WestAllen Position Rpt'!H$8)*(INDIRECT($AA10)&lt;'WestAllen Position Rpt'!H$9)*(INDIRECT($AB10)))</f>
        <v>#VALUE!</v>
      </c>
      <c r="I10" s="196" t="e">
        <f aca="true" t="array" ref="I10:I10">SUM((INDIRECT($AA10)&gt;'WestAllen Position Rpt'!I$8)*(INDIRECT($AA10)&lt;'WestAllen Position Rpt'!I$9)*(INDIRECT($AB10)))</f>
        <v>#VALUE!</v>
      </c>
      <c r="J10" s="196" t="e">
        <f aca="true" t="array" ref="J10:J10">SUM((INDIRECT($AA10)&gt;'WestAllen Position Rpt'!J$8)*(INDIRECT($AA10)&lt;'WestAllen Position Rpt'!J$9)*(INDIRECT($AB10)))</f>
        <v>#VALUE!</v>
      </c>
      <c r="K10" s="196" t="e">
        <f aca="true" t="array" ref="K10:K10">SUM((INDIRECT($AA10)&gt;'WestAllen Position Rpt'!K$8)*(INDIRECT($AA10)&lt;'WestAllen Position Rpt'!K$9)*(INDIRECT($AB10)))</f>
        <v>#VALUE!</v>
      </c>
      <c r="L10" s="196" t="e">
        <f aca="true" t="array" ref="L10:L10">SUM((INDIRECT($AA10)&gt;'WestAllen Position Rpt'!L$8)*(INDIRECT($AA10)&lt;'WestAllen Position Rpt'!L$9)*(INDIRECT($AB10)))</f>
        <v>#VALUE!</v>
      </c>
      <c r="M10" s="196" t="e">
        <f aca="true" t="array" ref="M10:M10">SUM((INDIRECT($AA10)&gt;'WestAllen Position Rpt'!M$8)*(INDIRECT($AA10)&lt;'WestAllen Position Rpt'!M$9)*(INDIRECT($AB10)))</f>
        <v>#VALUE!</v>
      </c>
      <c r="N10" s="196" t="e">
        <f aca="true" t="array" ref="N10:N10">SUM((INDIRECT($AA10)&gt;'WestAllen Position Rpt'!N$8)*(INDIRECT($AA10)&lt;'WestAllen Position Rpt'!N$9)*(INDIRECT($AB10)))</f>
        <v>#VALUE!</v>
      </c>
      <c r="O10" s="196" t="e">
        <f aca="true" t="array" ref="O10:O10">SUM((INDIRECT($AA10)&gt;'WestAllen Position Rpt'!O$8)*(INDIRECT($AA10)&lt;'WestAllen Position Rpt'!O$9)*(INDIRECT($AB10)))</f>
        <v>#VALUE!</v>
      </c>
      <c r="P10" s="196" t="e">
        <f aca="true" t="array" ref="P10:P10">SUM((INDIRECT($AA10)&gt;'WestAllen Position Rpt'!P$8)*(INDIRECT($AA10)&lt;'WestAllen Position Rpt'!P$9)*(INDIRECT($AB10)))</f>
        <v>#VALUE!</v>
      </c>
      <c r="Q10" s="196" t="e">
        <f aca="true" t="array" ref="Q10:Q10">SUM((INDIRECT($AA10)&gt;'WestAllen Position Rpt'!Q$8)*(INDIRECT($AA10)&lt;'WestAllen Position Rpt'!Q$9)*(INDIRECT($AB10)))</f>
        <v>#VALUE!</v>
      </c>
      <c r="R10" s="196" t="e">
        <f aca="true" t="array" ref="R10:R10">SUM((INDIRECT($AA10)&gt;'WestAllen Position Rpt'!R$8)*(INDIRECT($AA10)&lt;'WestAllen Position Rpt'!R$9)*(INDIRECT($AB10)))</f>
        <v>#VALUE!</v>
      </c>
      <c r="S10" s="196" t="e">
        <f aca="true" t="array" ref="S10:S10">SUM((INDIRECT($AA10)&gt;'WestAllen Position Rpt'!S$8)*(INDIRECT($AA10)&lt;'WestAllen Position Rpt'!S$9)*(INDIRECT($AB10)))</f>
        <v>#VALUE!</v>
      </c>
      <c r="T10" s="197" t="e">
        <f aca="true" t="array" ref="T10:T10">SUM((INDIRECT($AA10)&gt;'WestAllen Position Rpt'!T$8)*(INDIRECT($AA10)&lt;'WestAllen Position Rpt'!T$9)*(INDIRECT($AB10)))</f>
        <v>#VALUE!</v>
      </c>
      <c r="V10" s="198" t="e">
        <f aca="false">SUM(H10:T10)</f>
        <v>#VALUE!</v>
      </c>
      <c r="Y10" s="125" t="e">
        <f aca="false">GetWorkSheet($C10)</f>
        <v>#VALUE!</v>
      </c>
      <c r="Z10" s="124" t="e">
        <f aca="false">FetchDBPage(Y10)</f>
        <v>#VALUE!</v>
      </c>
      <c r="AA10" s="125" t="e">
        <f aca="false">IF(NOT($Y10="#VALUE#"),CONCATENATE($Y10,"!",GetDateStart($Y10),":",GetDateEnd($Y10)),"")</f>
        <v>#VALUE!</v>
      </c>
      <c r="AB10" s="125" t="e">
        <f aca="false">IF(NOT($Y10="#VALUE#"),CONCATENATE($Y10,"!",GetReceiptStart($Y10),":",GetReceiptEnd($Y10)),"")</f>
        <v>#VALUE!</v>
      </c>
      <c r="AC10" s="125" t="e">
        <f aca="false">GetRecNdx($Z10,$C10)</f>
        <v>#VALUE!</v>
      </c>
    </row>
    <row r="11" customFormat="false" ht="12.75" hidden="false" customHeight="false" outlineLevel="0" collapsed="false">
      <c r="C11" s="115"/>
      <c r="E11" s="116"/>
      <c r="F11" s="117"/>
      <c r="G11" s="126" t="e">
        <f aca="false">GetDelBasis($Z10,$AC11)</f>
        <v>#VALUE!</v>
      </c>
      <c r="H11" s="199" t="e">
        <f aca="true" t="array" ref="H11:H11">SUM((INDIRECT($AA11)&gt;'WestAllen Position Rpt'!H$8)*(INDIRECT($AA11)&lt;'WestAllen Position Rpt'!H$9)*(INDIRECT($AB11)))</f>
        <v>#VALUE!</v>
      </c>
      <c r="I11" s="200" t="e">
        <f aca="true" t="array" ref="I11:I11">SUM((INDIRECT($AA11)&gt;'WestAllen Position Rpt'!I$8)*(INDIRECT($AA11)&lt;'WestAllen Position Rpt'!I$9)*(INDIRECT($AB11)))</f>
        <v>#VALUE!</v>
      </c>
      <c r="J11" s="200" t="e">
        <f aca="true" t="array" ref="J11:J11">SUM((INDIRECT($AA11)&gt;'WestAllen Position Rpt'!J$8)*(INDIRECT($AA11)&lt;'WestAllen Position Rpt'!J$9)*(INDIRECT($AB11)))</f>
        <v>#VALUE!</v>
      </c>
      <c r="K11" s="200" t="e">
        <f aca="true" t="array" ref="K11:K11">SUM((INDIRECT($AA11)&gt;'WestAllen Position Rpt'!K$8)*(INDIRECT($AA11)&lt;'WestAllen Position Rpt'!K$9)*(INDIRECT($AB11)))</f>
        <v>#VALUE!</v>
      </c>
      <c r="L11" s="200" t="e">
        <f aca="true" t="array" ref="L11:L11">SUM((INDIRECT($AA11)&gt;'WestAllen Position Rpt'!L$8)*(INDIRECT($AA11)&lt;'WestAllen Position Rpt'!L$9)*(INDIRECT($AB11)))</f>
        <v>#VALUE!</v>
      </c>
      <c r="M11" s="200" t="e">
        <f aca="true" t="array" ref="M11:M11">SUM((INDIRECT($AA11)&gt;'WestAllen Position Rpt'!M$8)*(INDIRECT($AA11)&lt;'WestAllen Position Rpt'!M$9)*(INDIRECT($AB11)))</f>
        <v>#VALUE!</v>
      </c>
      <c r="N11" s="200" t="e">
        <f aca="true" t="array" ref="N11:N11">SUM((INDIRECT($AA11)&gt;'WestAllen Position Rpt'!N$8)*(INDIRECT($AA11)&lt;'WestAllen Position Rpt'!N$9)*(INDIRECT($AB11)))</f>
        <v>#VALUE!</v>
      </c>
      <c r="O11" s="200" t="e">
        <f aca="true" t="array" ref="O11:O11">SUM((INDIRECT($AA11)&gt;'WestAllen Position Rpt'!O$8)*(INDIRECT($AA11)&lt;'WestAllen Position Rpt'!O$9)*(INDIRECT($AB11)))</f>
        <v>#VALUE!</v>
      </c>
      <c r="P11" s="200" t="e">
        <f aca="true" t="array" ref="P11:P11">SUM((INDIRECT($AA11)&gt;'WestAllen Position Rpt'!P$8)*(INDIRECT($AA11)&lt;'WestAllen Position Rpt'!P$9)*(INDIRECT($AB11)))</f>
        <v>#VALUE!</v>
      </c>
      <c r="Q11" s="200" t="e">
        <f aca="true" t="array" ref="Q11:Q11">SUM((INDIRECT($AA11)&gt;'WestAllen Position Rpt'!Q$8)*(INDIRECT($AA11)&lt;'WestAllen Position Rpt'!Q$9)*(INDIRECT($AB11)))</f>
        <v>#VALUE!</v>
      </c>
      <c r="R11" s="200" t="e">
        <f aca="true" t="array" ref="R11:R11">SUM((INDIRECT($AA11)&gt;'WestAllen Position Rpt'!R$8)*(INDIRECT($AA11)&lt;'WestAllen Position Rpt'!R$9)*(INDIRECT($AB11)))</f>
        <v>#VALUE!</v>
      </c>
      <c r="S11" s="200" t="e">
        <f aca="true" t="array" ref="S11:S11">SUM((INDIRECT($AA11)&gt;'WestAllen Position Rpt'!S$8)*(INDIRECT($AA11)&lt;'WestAllen Position Rpt'!S$9)*(INDIRECT($AB11)))</f>
        <v>#VALUE!</v>
      </c>
      <c r="T11" s="201" t="e">
        <f aca="true" t="array" ref="T11:T11">SUM((INDIRECT($AA11)&gt;'WestAllen Position Rpt'!T$8)*(INDIRECT($AA11)&lt;'WestAllen Position Rpt'!T$9)*(INDIRECT($AB11)))</f>
        <v>#VALUE!</v>
      </c>
      <c r="V11" s="202" t="e">
        <f aca="false">SUM(H11:T11)</f>
        <v>#VALUE!</v>
      </c>
      <c r="Y11" s="125" t="e">
        <f aca="false">GetWorkSheet($C10)</f>
        <v>#VALUE!</v>
      </c>
      <c r="Z11" s="124"/>
      <c r="AA11" s="125" t="e">
        <f aca="false">IF(NOT($Y11="#VALUE#"),CONCATENATE($Y11,"!",GetDateStart($Y11),":",GetDateEnd($Y11)),"")</f>
        <v>#VALUE!</v>
      </c>
      <c r="AB11" s="125" t="e">
        <f aca="false">IF(NOT($Y11="#VALUE#"),CONCATENATE($Y11,"!",GetDeliveryStart($Y11),":",GetDeliveryEnd($Y11)),"")</f>
        <v>#VALUE!</v>
      </c>
      <c r="AC11" s="125" t="e">
        <f aca="false">GetRecNdx($Z10,$C10)</f>
        <v>#VALUE!</v>
      </c>
    </row>
    <row r="14" customFormat="false" ht="12.75" hidden="false" customHeight="false" outlineLevel="0" collapsed="false">
      <c r="G14" s="203" t="s">
        <v>396</v>
      </c>
    </row>
    <row r="15" customFormat="false" ht="12.75" hidden="false" customHeight="false" outlineLevel="0" collapsed="false">
      <c r="G15" s="97" t="s">
        <v>94</v>
      </c>
      <c r="H15" s="98" t="n">
        <f aca="false">SUMIF($G$10:$G$11,$G$15,$H$10:$H$11)</f>
        <v>0</v>
      </c>
      <c r="I15" s="98" t="n">
        <f aca="false">SUMIF($G$10:$G$11,$G$15,$I$10:$I$11)</f>
        <v>0</v>
      </c>
      <c r="J15" s="98" t="n">
        <f aca="false">SUMIF($G$10:$G$11,$G$15,$J$10:$J$11)</f>
        <v>0</v>
      </c>
      <c r="K15" s="98" t="n">
        <f aca="false">SUMIF($G$10:$G$11,$G$15,$K$10:$K$11)</f>
        <v>0</v>
      </c>
      <c r="L15" s="98" t="n">
        <f aca="false">SUMIF($G$10:$G$11,$G$15,$L$10:$L$11)</f>
        <v>0</v>
      </c>
      <c r="M15" s="98" t="n">
        <f aca="false">SUMIF($G$10:$G$11,$G$15,$M$10:$M$11)</f>
        <v>0</v>
      </c>
      <c r="N15" s="98" t="n">
        <f aca="false">SUMIF($G$10:$G$11,$G$15,$N$10:$N$11)</f>
        <v>0</v>
      </c>
      <c r="O15" s="98" t="n">
        <f aca="false">SUMIF($G$10:$G$11,$G$15,$O$10:$O$11)</f>
        <v>0</v>
      </c>
      <c r="P15" s="98" t="n">
        <f aca="false">SUMIF($G$10:$G$11,$G$15,$P$10:$P$11)</f>
        <v>0</v>
      </c>
      <c r="Q15" s="98" t="n">
        <f aca="false">SUMIF($G$10:$G$11,$G$15,$Q$10:$Q$11)</f>
        <v>0</v>
      </c>
      <c r="R15" s="98" t="n">
        <f aca="false">SUMIF($G$10:$G$11,$G$15,$R$10:$R$11)</f>
        <v>0</v>
      </c>
      <c r="S15" s="98" t="n">
        <f aca="false">SUMIF($G$10:$G$11,$G$15,$S$10:$S$11)</f>
        <v>0</v>
      </c>
      <c r="T15" s="98" t="n">
        <f aca="false">SUMIF($G$10:$G$11,$G$15,$T$10:$T$11)</f>
        <v>0</v>
      </c>
    </row>
    <row r="16" customFormat="false" ht="12.75" hidden="false" customHeight="false" outlineLevel="0" collapsed="false">
      <c r="G16" s="97" t="s">
        <v>95</v>
      </c>
      <c r="H16" s="98" t="n">
        <f aca="false">SUMIF($G$10:$G$11,$G$16,$H$10:$H$11)</f>
        <v>0</v>
      </c>
      <c r="I16" s="98" t="n">
        <f aca="false">SUMIF($G$10:$G$11,$G$16,$I$10:$I$11)</f>
        <v>0</v>
      </c>
      <c r="J16" s="98" t="n">
        <f aca="false">SUMIF($G$10:$G$11,$G$16,$J$10:$J$11)</f>
        <v>0</v>
      </c>
      <c r="K16" s="98" t="n">
        <f aca="false">SUMIF($G$10:$G$11,$G$16,$K$10:$K$11)</f>
        <v>0</v>
      </c>
      <c r="L16" s="98" t="n">
        <f aca="false">SUMIF($G$10:$G$11,$G$16,$L$10:$L$11)</f>
        <v>0</v>
      </c>
      <c r="M16" s="98" t="n">
        <f aca="false">SUMIF($G$10:$G$11,$G$16,$M$10:$M$11)</f>
        <v>0</v>
      </c>
      <c r="N16" s="98" t="n">
        <f aca="false">SUMIF($G$10:$G$11,$G$16,$N$10:$N$11)</f>
        <v>0</v>
      </c>
      <c r="O16" s="98" t="n">
        <f aca="false">SUMIF($G$10:$G$11,$G$16,$O$10:$O$11)</f>
        <v>0</v>
      </c>
      <c r="P16" s="98" t="n">
        <f aca="false">SUMIF($G$10:$G$11,$G$16,$P$10:$P$11)</f>
        <v>0</v>
      </c>
      <c r="Q16" s="98" t="n">
        <f aca="false">SUMIF($G$10:$G$11,$G$16,$Q$10:$Q$11)</f>
        <v>0</v>
      </c>
      <c r="R16" s="98" t="n">
        <f aca="false">SUMIF($G$10:$G$11,$G$16,$R$10:$R$11)</f>
        <v>0</v>
      </c>
      <c r="S16" s="98" t="n">
        <f aca="false">SUMIF($G$10:$G$11,$G$16,$S$10:$S$11)</f>
        <v>0</v>
      </c>
      <c r="T16" s="98" t="n">
        <f aca="false">SUMIF($G$10:$G$11,$G$16,$T$10:$T$11)</f>
        <v>0</v>
      </c>
    </row>
    <row r="18" customFormat="false" ht="12.75" hidden="false" customHeight="false" outlineLevel="0" collapsed="false">
      <c r="G18" s="205" t="s">
        <v>397</v>
      </c>
    </row>
    <row r="19" customFormat="false" ht="12.75" hidden="false" customHeight="false" outlineLevel="0" collapsed="false">
      <c r="G19" s="97" t="s">
        <v>398</v>
      </c>
      <c r="H19" s="98" t="n">
        <f aca="false">SUMIF($H$10:$H$11,"&gt;0",$H$10:$H$11)</f>
        <v>0</v>
      </c>
      <c r="I19" s="98" t="n">
        <f aca="false">SUMIF($I$10:$I$11,"&gt;0",$I$10:$I$11)</f>
        <v>0</v>
      </c>
      <c r="J19" s="98" t="n">
        <f aca="false">SUMIF($J$10:$J$11,"&gt;0",$J$10:$J$11)</f>
        <v>0</v>
      </c>
      <c r="K19" s="98" t="n">
        <f aca="false">SUMIF($K$10:$K$11,"&gt;0",$K$10:$K$11)</f>
        <v>0</v>
      </c>
      <c r="L19" s="98" t="n">
        <f aca="false">SUMIF($L$10:$L$11,"&gt;0",$L$10:$L$11)</f>
        <v>0</v>
      </c>
      <c r="M19" s="98" t="n">
        <f aca="false">SUMIF($M$10:$M$11,"&gt;0",$M$10:$M$11)</f>
        <v>0</v>
      </c>
      <c r="N19" s="98" t="n">
        <f aca="false">SUMIF($N$10:$N$11,"&gt;0",$N$10:$N$11)</f>
        <v>0</v>
      </c>
      <c r="O19" s="98" t="n">
        <f aca="false">SUMIF($O$10:$O$11,"&gt;0",$O$10:$O$11)</f>
        <v>0</v>
      </c>
      <c r="P19" s="98" t="n">
        <f aca="false">SUMIF($P$10:$P$11,"&gt;0",$P$10:$P$11)</f>
        <v>0</v>
      </c>
      <c r="Q19" s="98" t="n">
        <f aca="false">SUMIF($Q$10:$Q$11,"&gt;0",$Q$10:$Q$11)</f>
        <v>0</v>
      </c>
      <c r="R19" s="98" t="n">
        <f aca="false">SUMIF($R$10:$R$11,"&gt;0",$R$10:$R$11)</f>
        <v>0</v>
      </c>
      <c r="S19" s="98" t="n">
        <f aca="false">SUMIF($S$10:$S$11,"&gt;0",$S$10:$S$11)</f>
        <v>0</v>
      </c>
      <c r="T19" s="98" t="n">
        <f aca="false">SUMIF($T$10:$T$11,"&gt;0",$T$10:$T$11)</f>
        <v>0</v>
      </c>
    </row>
    <row r="20" customFormat="false" ht="12.75" hidden="false" customHeight="false" outlineLevel="0" collapsed="false">
      <c r="G20" s="97" t="s">
        <v>399</v>
      </c>
      <c r="H20" s="98" t="n">
        <f aca="false">SUMIF($H$10:$H$11,"&lt;0",$H$10:$H$11)</f>
        <v>0</v>
      </c>
      <c r="I20" s="98" t="n">
        <f aca="false">SUMIF($I$10:$I$11,"&lt;0",$I$10:$I$11)</f>
        <v>0</v>
      </c>
      <c r="J20" s="98" t="n">
        <f aca="false">SUMIF($J$10:$J$11,"&lt;0",$J$10:$J$11)</f>
        <v>0</v>
      </c>
      <c r="K20" s="98" t="n">
        <f aca="false">SUMIF($K$10:$K$11,"&lt;0",$K$10:$K$11)</f>
        <v>0</v>
      </c>
      <c r="L20" s="98" t="n">
        <f aca="false">SUMIF($L$10:$L$11,"&lt;0",$L$10:$L$11)</f>
        <v>0</v>
      </c>
      <c r="M20" s="98" t="n">
        <f aca="false">SUMIF($M$10:$M$11,"&lt;0",$M$10:$M$11)</f>
        <v>0</v>
      </c>
      <c r="N20" s="98" t="n">
        <f aca="false">SUMIF($N$10:$N$11,"&lt;0",$N$10:$N$11)</f>
        <v>0</v>
      </c>
      <c r="O20" s="98" t="n">
        <f aca="false">SUMIF($O$10:$O$11,"&lt;0",$O$10:$O$11)</f>
        <v>0</v>
      </c>
      <c r="P20" s="98" t="n">
        <f aca="false">SUMIF($P$10:$P$11,"&lt;0",$P$10:$P$11)</f>
        <v>0</v>
      </c>
      <c r="Q20" s="98" t="n">
        <f aca="false">SUMIF($Q$10:$Q$11,"&lt;0",$Q$10:$Q$11)</f>
        <v>0</v>
      </c>
      <c r="R20" s="98" t="n">
        <f aca="false">SUMIF($R$10:$R$11,"&lt;0",$R$10:$R$11)</f>
        <v>0</v>
      </c>
      <c r="S20" s="98" t="n">
        <f aca="false">SUMIF($S$10:$S$11,"&lt;0",$S$10:$S$11)</f>
        <v>0</v>
      </c>
      <c r="T20" s="98" t="n">
        <f aca="false">SUMIF($T$10:$T$11,"&lt;0",$T$10:$T$11)</f>
        <v>0</v>
      </c>
    </row>
  </sheetData>
  <mergeCells count="5">
    <mergeCell ref="C8:C9"/>
    <mergeCell ref="V8:V9"/>
    <mergeCell ref="C10:C11"/>
    <mergeCell ref="E10:E11"/>
    <mergeCell ref="F10:F1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2">
              <controlPr defaultSize="0" print="false" autoFill="0" autoPict="0" macro="Report_Routines.Button2_Click">
                <anchor moveWithCells="true" sizeWithCells="false">
                  <from>
                    <xdr:col>1</xdr:col>
                    <xdr:colOff>190800</xdr:colOff>
                    <xdr:row>1</xdr:row>
                    <xdr:rowOff>75960</xdr:rowOff>
                  </from>
                  <to>
                    <xdr:col>3</xdr:col>
                    <xdr:colOff>50400</xdr:colOff>
                    <xdr:row>4</xdr:row>
                    <xdr:rowOff>66600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2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S37" activeCellId="0" sqref="S37"/>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9.28"/>
    <col collapsed="false" customWidth="true" hidden="false" outlineLevel="0" max="6" min="6" style="96" width="23.99"/>
    <col collapsed="false" customWidth="true" hidden="false" outlineLevel="0" max="7" min="7" style="97" width="30.7"/>
    <col collapsed="false" customWidth="true" hidden="false" outlineLevel="0" max="20" min="8" style="98" width="13.7"/>
    <col collapsed="false" customWidth="true" hidden="false" outlineLevel="0" max="21" min="21" style="99" width="3.7"/>
    <col collapsed="false" customWidth="true" hidden="false" outlineLevel="0" max="22" min="22" style="95" width="13.7"/>
    <col collapsed="false" customWidth="false" hidden="false" outlineLevel="0" max="23" min="23" style="95" width="9.14"/>
    <col collapsed="false" customWidth="true" hidden="false" outlineLevel="0" max="24" min="24" style="95" width="14.28"/>
    <col collapsed="false" customWidth="true" hidden="false" outlineLevel="0" max="26" min="25" style="95" width="23.14"/>
    <col collapsed="false" customWidth="true" hidden="false" outlineLevel="0" max="27" min="27" style="95" width="35.56"/>
    <col collapsed="false" customWidth="false" hidden="false" outlineLevel="0" max="257" min="28" style="95" width="9.14"/>
  </cols>
  <sheetData>
    <row r="1" customFormat="false" ht="12.75" hidden="false" customHeight="false" outlineLevel="0" collapsed="false">
      <c r="A1" s="19" t="s">
        <v>394</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ADDRESS(ROW($C$10),COLUMN($C$10))</f>
        <v>$C$10</v>
      </c>
      <c r="E3" s="100" t="s">
        <v>40</v>
      </c>
      <c r="F3" s="189" t="s">
        <v>401</v>
      </c>
    </row>
    <row r="7" customFormat="false" ht="18.75" hidden="false" customHeight="false" outlineLevel="0" collapsed="false">
      <c r="E7" s="102" t="str">
        <f aca="false">CONCATENATE("POSITION REPORT : ",UPPER(F3))</f>
        <v>POSITION REPORT : DENVER</v>
      </c>
    </row>
    <row r="8" customFormat="false" ht="12.75" hidden="false" customHeight="false" outlineLevel="0" collapsed="false">
      <c r="A8" s="103"/>
      <c r="B8" s="103"/>
      <c r="C8" s="104" t="s">
        <v>213</v>
      </c>
      <c r="E8" s="105"/>
      <c r="F8" s="106"/>
      <c r="G8" s="107" t="s">
        <v>214</v>
      </c>
      <c r="H8" s="190" t="n">
        <f aca="false" t="array" ref="H8:T8">TRANSPOSE(Configuration!D25:D37)</f>
        <v>37043</v>
      </c>
      <c r="I8" s="191" t="n">
        <v>37073</v>
      </c>
      <c r="J8" s="191" t="n">
        <v>37104</v>
      </c>
      <c r="K8" s="191" t="n">
        <v>37135</v>
      </c>
      <c r="L8" s="191" t="n">
        <v>37165</v>
      </c>
      <c r="M8" s="191" t="n">
        <v>37196</v>
      </c>
      <c r="N8" s="191" t="n">
        <v>37226</v>
      </c>
      <c r="O8" s="191" t="n">
        <v>37257</v>
      </c>
      <c r="P8" s="191" t="n">
        <v>37622</v>
      </c>
      <c r="Q8" s="191" t="n">
        <v>37987</v>
      </c>
      <c r="R8" s="191" t="n">
        <v>38353</v>
      </c>
      <c r="S8" s="191" t="n">
        <v>40544</v>
      </c>
      <c r="T8" s="192" t="n">
        <v>42370</v>
      </c>
      <c r="U8" s="103"/>
      <c r="V8" s="104" t="s">
        <v>395</v>
      </c>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false" outlineLevel="0" collapsed="false">
      <c r="A9" s="103"/>
      <c r="B9" s="103"/>
      <c r="C9" s="104"/>
      <c r="E9" s="112" t="s">
        <v>13</v>
      </c>
      <c r="F9" s="113" t="s">
        <v>233</v>
      </c>
      <c r="G9" s="114" t="s">
        <v>234</v>
      </c>
      <c r="H9" s="193" t="n">
        <f aca="false" t="array" ref="H9:T9">TRANSPOSE(Configuration!E25:E37)</f>
        <v>37072</v>
      </c>
      <c r="I9" s="194" t="n">
        <v>37103</v>
      </c>
      <c r="J9" s="194" t="n">
        <v>37134</v>
      </c>
      <c r="K9" s="194" t="n">
        <v>37164</v>
      </c>
      <c r="L9" s="194" t="n">
        <v>37195</v>
      </c>
      <c r="M9" s="194" t="n">
        <v>37225</v>
      </c>
      <c r="N9" s="194" t="n">
        <v>37256</v>
      </c>
      <c r="O9" s="194" t="n">
        <v>37621</v>
      </c>
      <c r="P9" s="194" t="n">
        <v>37986</v>
      </c>
      <c r="Q9" s="194" t="n">
        <v>38352</v>
      </c>
      <c r="R9" s="194" t="n">
        <v>40543</v>
      </c>
      <c r="S9" s="194" t="n">
        <v>42369</v>
      </c>
      <c r="T9" s="195" t="n">
        <v>45657</v>
      </c>
      <c r="U9" s="103"/>
      <c r="V9" s="104"/>
      <c r="W9" s="103"/>
      <c r="X9" s="103"/>
      <c r="Y9" s="103"/>
      <c r="Z9" s="208"/>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49</v>
      </c>
      <c r="E10" s="116" t="e">
        <f aca="false">GetPipeName($Z10,$AC10)</f>
        <v>#VALUE!</v>
      </c>
      <c r="F10" s="117" t="e">
        <f aca="false">CONCATENATE(GetRcptPoint($Z10,$AC10)," to ",GetDelPoint($Z10,$AC10))</f>
        <v>#VALUE!</v>
      </c>
      <c r="G10" s="118" t="e">
        <f aca="false">GetRcptBasis($Z10,$AC10)</f>
        <v>#VALUE!</v>
      </c>
      <c r="H10" s="209" t="e">
        <f aca="true" t="array" ref="H10:H10">SUM((INDIRECT($AA10)&gt;'Denver Positions'!H$8)*(INDIRECT($AA10)&lt;'Denver Positions'!H$9)*(INDIRECT($AB10)))</f>
        <v>#VALUE!</v>
      </c>
      <c r="I10" s="196" t="e">
        <f aca="true" t="array" ref="I10:I10">SUM((INDIRECT($AA10)&gt;'Denver Positions'!I$8)*(INDIRECT($AA10)&lt;'Denver Positions'!I$9)*(INDIRECT($AB10)))</f>
        <v>#VALUE!</v>
      </c>
      <c r="J10" s="196" t="e">
        <f aca="true" t="array" ref="J10:J10">SUM((INDIRECT($AA10)&gt;'Denver Positions'!J$8)*(INDIRECT($AA10)&lt;'Denver Positions'!J$9)*(INDIRECT($AB10)))</f>
        <v>#VALUE!</v>
      </c>
      <c r="K10" s="196" t="e">
        <f aca="true" t="array" ref="K10:K10">SUM((INDIRECT($AA10)&gt;'Denver Positions'!K$8)*(INDIRECT($AA10)&lt;'Denver Positions'!K$9)*(INDIRECT($AB10)))</f>
        <v>#VALUE!</v>
      </c>
      <c r="L10" s="196" t="e">
        <f aca="true" t="array" ref="L10:L10">SUM((INDIRECT($AA10)&gt;'Denver Positions'!L$8)*(INDIRECT($AA10)&lt;'Denver Positions'!L$9)*(INDIRECT($AB10)))</f>
        <v>#VALUE!</v>
      </c>
      <c r="M10" s="196" t="e">
        <f aca="true" t="array" ref="M10:M10">SUM((INDIRECT($AA10)&gt;'Denver Positions'!M$8)*(INDIRECT($AA10)&lt;'Denver Positions'!M$9)*(INDIRECT($AB10)))</f>
        <v>#VALUE!</v>
      </c>
      <c r="N10" s="196" t="e">
        <f aca="true" t="array" ref="N10:N10">SUM((INDIRECT($AA10)&gt;'Denver Positions'!N$8)*(INDIRECT($AA10)&lt;'Denver Positions'!N$9)*(INDIRECT($AB10)))</f>
        <v>#VALUE!</v>
      </c>
      <c r="O10" s="196" t="e">
        <f aca="true" t="array" ref="O10:O10">SUM((INDIRECT($AA10)&gt;'Denver Positions'!O$8)*(INDIRECT($AA10)&lt;'Denver Positions'!O$9)*(INDIRECT($AB10)))</f>
        <v>#VALUE!</v>
      </c>
      <c r="P10" s="196" t="e">
        <f aca="true" t="array" ref="P10:P10">SUM((INDIRECT($AA10)&gt;'Denver Positions'!P$8)*(INDIRECT($AA10)&lt;'Denver Positions'!P$9)*(INDIRECT($AB10)))</f>
        <v>#VALUE!</v>
      </c>
      <c r="Q10" s="196" t="e">
        <f aca="true" t="array" ref="Q10:Q10">SUM((INDIRECT($AA10)&gt;'Denver Positions'!Q$8)*(INDIRECT($AA10)&lt;'Denver Positions'!Q$9)*(INDIRECT($AB10)))</f>
        <v>#VALUE!</v>
      </c>
      <c r="R10" s="196" t="e">
        <f aca="true" t="array" ref="R10:R10">SUM((INDIRECT($AA10)&gt;'Denver Positions'!R$8)*(INDIRECT($AA10)&lt;'Denver Positions'!R$9)*(INDIRECT($AB10)))</f>
        <v>#VALUE!</v>
      </c>
      <c r="S10" s="196" t="e">
        <f aca="true" t="array" ref="S10:S10">SUM((INDIRECT($AA10)&gt;'Denver Positions'!S$8)*(INDIRECT($AA10)&lt;'Denver Positions'!S$9)*(INDIRECT($AB10)))</f>
        <v>#VALUE!</v>
      </c>
      <c r="T10" s="197" t="e">
        <f aca="true" t="array" ref="T10:T10">SUM((INDIRECT($AA10)&gt;'Denver Positions'!T$8)*(INDIRECT($AA10)&lt;'Denver Positions'!T$9)*(INDIRECT($AB10)))</f>
        <v>#VALUE!</v>
      </c>
      <c r="V10" s="198" t="e">
        <f aca="false">SUM(H10:T10)</f>
        <v>#VALUE!</v>
      </c>
      <c r="Y10" s="125" t="e">
        <f aca="false">GetWorkSheet($C10)</f>
        <v>#VALUE!</v>
      </c>
      <c r="Z10" s="124" t="e">
        <f aca="false">FetchDBPage(Y10)</f>
        <v>#VALUE!</v>
      </c>
      <c r="AA10" s="125" t="e">
        <f aca="false">IF(NOT($Y10="#VALUE#"),CONCATENATE($Y10,"!",GetDateStart($Y10),":",GetDateEnd($Y10)),"")</f>
        <v>#VALUE!</v>
      </c>
      <c r="AB10" s="125" t="e">
        <f aca="false">IF(NOT($Y10="#VALUE#"),CONCATENATE($Y10,"!",GetReceiptStart($Y10),":",GetReceiptEnd($Y10)),"")</f>
        <v>#VALUE!</v>
      </c>
      <c r="AC10" s="125" t="e">
        <f aca="false">GetRecNdx($Z10,$C10)</f>
        <v>#VALUE!</v>
      </c>
    </row>
    <row r="11" customFormat="false" ht="12.75" hidden="false" customHeight="false" outlineLevel="0" collapsed="false">
      <c r="C11" s="115"/>
      <c r="E11" s="116"/>
      <c r="F11" s="117"/>
      <c r="G11" s="126" t="e">
        <f aca="false">GetDelBasis($Z10,$AC11)</f>
        <v>#VALUE!</v>
      </c>
      <c r="H11" s="199" t="e">
        <f aca="true" t="array" ref="H11:H11">SUM((INDIRECT($AA11)&gt;'Denver Positions'!H$8)*(INDIRECT($AA11)&lt;'Denver Positions'!H$9)*(INDIRECT($AB11)))</f>
        <v>#VALUE!</v>
      </c>
      <c r="I11" s="200" t="e">
        <f aca="true" t="array" ref="I11:I11">SUM((INDIRECT($AA11)&gt;'Denver Positions'!I$8)*(INDIRECT($AA11)&lt;'Denver Positions'!I$9)*(INDIRECT($AB11)))</f>
        <v>#VALUE!</v>
      </c>
      <c r="J11" s="200" t="e">
        <f aca="true" t="array" ref="J11:J11">SUM((INDIRECT($AA11)&gt;'Denver Positions'!J$8)*(INDIRECT($AA11)&lt;'Denver Positions'!J$9)*(INDIRECT($AB11)))</f>
        <v>#VALUE!</v>
      </c>
      <c r="K11" s="200" t="e">
        <f aca="true" t="array" ref="K11:K11">SUM((INDIRECT($AA11)&gt;'Denver Positions'!K$8)*(INDIRECT($AA11)&lt;'Denver Positions'!K$9)*(INDIRECT($AB11)))</f>
        <v>#VALUE!</v>
      </c>
      <c r="L11" s="200" t="e">
        <f aca="true" t="array" ref="L11:L11">SUM((INDIRECT($AA11)&gt;'Denver Positions'!L$8)*(INDIRECT($AA11)&lt;'Denver Positions'!L$9)*(INDIRECT($AB11)))</f>
        <v>#VALUE!</v>
      </c>
      <c r="M11" s="200" t="e">
        <f aca="true" t="array" ref="M11:M11">SUM((INDIRECT($AA11)&gt;'Denver Positions'!M$8)*(INDIRECT($AA11)&lt;'Denver Positions'!M$9)*(INDIRECT($AB11)))</f>
        <v>#VALUE!</v>
      </c>
      <c r="N11" s="200" t="e">
        <f aca="true" t="array" ref="N11:N11">SUM((INDIRECT($AA11)&gt;'Denver Positions'!N$8)*(INDIRECT($AA11)&lt;'Denver Positions'!N$9)*(INDIRECT($AB11)))</f>
        <v>#VALUE!</v>
      </c>
      <c r="O11" s="200" t="e">
        <f aca="true" t="array" ref="O11:O11">SUM((INDIRECT($AA11)&gt;'Denver Positions'!O$8)*(INDIRECT($AA11)&lt;'Denver Positions'!O$9)*(INDIRECT($AB11)))</f>
        <v>#VALUE!</v>
      </c>
      <c r="P11" s="200" t="e">
        <f aca="true" t="array" ref="P11:P11">SUM((INDIRECT($AA11)&gt;'Denver Positions'!P$8)*(INDIRECT($AA11)&lt;'Denver Positions'!P$9)*(INDIRECT($AB11)))</f>
        <v>#VALUE!</v>
      </c>
      <c r="Q11" s="200" t="e">
        <f aca="true" t="array" ref="Q11:Q11">SUM((INDIRECT($AA11)&gt;'Denver Positions'!Q$8)*(INDIRECT($AA11)&lt;'Denver Positions'!Q$9)*(INDIRECT($AB11)))</f>
        <v>#VALUE!</v>
      </c>
      <c r="R11" s="200" t="e">
        <f aca="true" t="array" ref="R11:R11">SUM((INDIRECT($AA11)&gt;'Denver Positions'!R$8)*(INDIRECT($AA11)&lt;'Denver Positions'!R$9)*(INDIRECT($AB11)))</f>
        <v>#VALUE!</v>
      </c>
      <c r="S11" s="200" t="e">
        <f aca="true" t="array" ref="S11:S11">SUM((INDIRECT($AA11)&gt;'Denver Positions'!S$8)*(INDIRECT($AA11)&lt;'Denver Positions'!S$9)*(INDIRECT($AB11)))</f>
        <v>#VALUE!</v>
      </c>
      <c r="T11" s="201" t="e">
        <f aca="true" t="array" ref="T11:T11">SUM((INDIRECT($AA11)&gt;'Denver Positions'!T$8)*(INDIRECT($AA11)&lt;'Denver Positions'!T$9)*(INDIRECT($AB11)))</f>
        <v>#VALUE!</v>
      </c>
      <c r="V11" s="202" t="e">
        <f aca="false">SUM(H11:T11)</f>
        <v>#VALUE!</v>
      </c>
      <c r="Y11" s="125" t="e">
        <f aca="false">GetWorkSheet($C10)</f>
        <v>#VALUE!</v>
      </c>
      <c r="Z11" s="124"/>
      <c r="AA11" s="125" t="e">
        <f aca="false">IF(NOT($Y11="#VALUE#"),CONCATENATE($Y11,"!",GetDateStart($Y11),":",GetDateEnd($Y11)),"")</f>
        <v>#VALUE!</v>
      </c>
      <c r="AB11" s="125" t="e">
        <f aca="false">IF(NOT($Y11="#VALUE#"),CONCATENATE($Y11,"!",GetDeliveryStart($Y11),":",GetDeliveryEnd($Y11)),"")</f>
        <v>#VALUE!</v>
      </c>
      <c r="AC11" s="125" t="e">
        <f aca="false">GetRecNdx($Z10,$C10)</f>
        <v>#VALUE!</v>
      </c>
    </row>
    <row r="14" customFormat="false" ht="12.75" hidden="false" customHeight="false" outlineLevel="0" collapsed="false">
      <c r="G14" s="203" t="s">
        <v>396</v>
      </c>
    </row>
    <row r="15" customFormat="false" ht="12.75" hidden="false" customHeight="false" outlineLevel="0" collapsed="false">
      <c r="G15" s="97" t="s">
        <v>350</v>
      </c>
      <c r="H15" s="98" t="n">
        <f aca="false">SUMIF($G$10:$G$11,$G$15,$H$10:$H$11)</f>
        <v>0</v>
      </c>
      <c r="I15" s="98" t="n">
        <f aca="false">SUMIF($G$10:$G$11,$G$15,$I$10:$I$11)</f>
        <v>0</v>
      </c>
      <c r="J15" s="98" t="n">
        <f aca="false">SUMIF($G$10:$G$11,$G$15,$J$10:$J$11)</f>
        <v>0</v>
      </c>
      <c r="K15" s="98" t="n">
        <f aca="false">SUMIF($G$10:$G$11,$G$15,$K$10:$K$11)</f>
        <v>0</v>
      </c>
      <c r="L15" s="98" t="n">
        <f aca="false">SUMIF($G$10:$G$11,$G$15,$L$10:$L$11)</f>
        <v>0</v>
      </c>
      <c r="M15" s="98" t="n">
        <f aca="false">SUMIF($G$10:$G$11,$G$15,$M$10:$M$11)</f>
        <v>0</v>
      </c>
      <c r="N15" s="98" t="n">
        <f aca="false">SUMIF($G$10:$G$11,$G$15,$N$10:$N$11)</f>
        <v>0</v>
      </c>
      <c r="O15" s="98" t="n">
        <f aca="false">SUMIF($G$10:$G$11,$G$15,$O$10:$O$11)</f>
        <v>0</v>
      </c>
      <c r="P15" s="98" t="n">
        <f aca="false">SUMIF($G$10:$G$11,$G$15,$P$10:$P$11)</f>
        <v>0</v>
      </c>
      <c r="Q15" s="98" t="n">
        <f aca="false">SUMIF($G$10:$G$11,$G$15,$Q$10:$Q$11)</f>
        <v>0</v>
      </c>
      <c r="R15" s="98" t="n">
        <f aca="false">SUMIF($G$10:$G$11,$G$15,$R$10:$R$11)</f>
        <v>0</v>
      </c>
      <c r="S15" s="98" t="n">
        <f aca="false">SUMIF($G$10:$G$11,$G$15,$S$10:$S$11)</f>
        <v>0</v>
      </c>
      <c r="T15" s="98" t="n">
        <f aca="false">SUMIF($G$10:$G$11,$G$15,$T$10:$T$11)</f>
        <v>0</v>
      </c>
    </row>
    <row r="16" customFormat="false" ht="12.75" hidden="false" customHeight="false" outlineLevel="0" collapsed="false">
      <c r="G16" s="97" t="s">
        <v>352</v>
      </c>
      <c r="H16" s="98" t="n">
        <f aca="false">SUMIF($G$10:$G$11,$G$16,$H$10:$H$11)</f>
        <v>0</v>
      </c>
      <c r="I16" s="98" t="n">
        <f aca="false">SUMIF($G$10:$G$11,$G$16,$I$10:$I$11)</f>
        <v>0</v>
      </c>
      <c r="J16" s="98" t="n">
        <f aca="false">SUMIF($G$10:$G$11,$G$16,$J$10:$J$11)</f>
        <v>0</v>
      </c>
      <c r="K16" s="98" t="n">
        <f aca="false">SUMIF($G$10:$G$11,$G$16,$K$10:$K$11)</f>
        <v>0</v>
      </c>
      <c r="L16" s="98" t="n">
        <f aca="false">SUMIF($G$10:$G$11,$G$16,$L$10:$L$11)</f>
        <v>0</v>
      </c>
      <c r="M16" s="98" t="n">
        <f aca="false">SUMIF($G$10:$G$11,$G$16,$M$10:$M$11)</f>
        <v>0</v>
      </c>
      <c r="N16" s="98" t="n">
        <f aca="false">SUMIF($G$10:$G$11,$G$16,$N$10:$N$11)</f>
        <v>0</v>
      </c>
      <c r="O16" s="98" t="n">
        <f aca="false">SUMIF($G$10:$G$11,$G$16,$O$10:$O$11)</f>
        <v>0</v>
      </c>
      <c r="P16" s="98" t="n">
        <f aca="false">SUMIF($G$10:$G$11,$G$16,$P$10:$P$11)</f>
        <v>0</v>
      </c>
      <c r="Q16" s="98" t="n">
        <f aca="false">SUMIF($G$10:$G$11,$G$16,$Q$10:$Q$11)</f>
        <v>0</v>
      </c>
      <c r="R16" s="98" t="n">
        <f aca="false">SUMIF($G$10:$G$11,$G$16,$R$10:$R$11)</f>
        <v>0</v>
      </c>
      <c r="S16" s="98" t="n">
        <f aca="false">SUMIF($G$10:$G$11,$G$16,$S$10:$S$11)</f>
        <v>0</v>
      </c>
      <c r="T16" s="98" t="n">
        <f aca="false">SUMIF($G$10:$G$11,$G$16,$T$10:$T$11)</f>
        <v>0</v>
      </c>
    </row>
    <row r="18" customFormat="false" ht="12.75" hidden="false" customHeight="false" outlineLevel="0" collapsed="false">
      <c r="G18" s="205" t="s">
        <v>397</v>
      </c>
    </row>
    <row r="19" customFormat="false" ht="12.75" hidden="false" customHeight="false" outlineLevel="0" collapsed="false">
      <c r="G19" s="97" t="s">
        <v>398</v>
      </c>
      <c r="H19" s="98" t="n">
        <f aca="false">SUMIF($H$10:$H$11,"&gt;0",$H$10:$H$11)</f>
        <v>0</v>
      </c>
      <c r="I19" s="98" t="n">
        <f aca="false">SUMIF($I$10:$I$11,"&gt;0",$I$10:$I$11)</f>
        <v>0</v>
      </c>
      <c r="J19" s="98" t="n">
        <f aca="false">SUMIF($J$10:$J$11,"&gt;0",$J$10:$J$11)</f>
        <v>0</v>
      </c>
      <c r="K19" s="98" t="n">
        <f aca="false">SUMIF($K$10:$K$11,"&gt;0",$K$10:$K$11)</f>
        <v>0</v>
      </c>
      <c r="L19" s="98" t="n">
        <f aca="false">SUMIF($L$10:$L$11,"&gt;0",$L$10:$L$11)</f>
        <v>0</v>
      </c>
      <c r="M19" s="98" t="n">
        <f aca="false">SUMIF($M$10:$M$11,"&gt;0",$M$10:$M$11)</f>
        <v>0</v>
      </c>
      <c r="N19" s="98" t="n">
        <f aca="false">SUMIF($N$10:$N$11,"&gt;0",$N$10:$N$11)</f>
        <v>0</v>
      </c>
      <c r="O19" s="98" t="n">
        <f aca="false">SUMIF($O$10:$O$11,"&gt;0",$O$10:$O$11)</f>
        <v>0</v>
      </c>
      <c r="P19" s="98" t="n">
        <f aca="false">SUMIF($P$10:$P$11,"&gt;0",$P$10:$P$11)</f>
        <v>0</v>
      </c>
      <c r="Q19" s="98" t="n">
        <f aca="false">SUMIF($Q$10:$Q$11,"&gt;0",$Q$10:$Q$11)</f>
        <v>0</v>
      </c>
      <c r="R19" s="98" t="n">
        <f aca="false">SUMIF($R$10:$R$11,"&gt;0",$R$10:$R$11)</f>
        <v>0</v>
      </c>
      <c r="S19" s="98" t="n">
        <f aca="false">SUMIF($S$10:$S$11,"&gt;0",$S$10:$S$11)</f>
        <v>0</v>
      </c>
      <c r="T19" s="98" t="n">
        <f aca="false">SUMIF($T$10:$T$11,"&gt;0",$T$10:$T$11)</f>
        <v>0</v>
      </c>
    </row>
    <row r="20" customFormat="false" ht="12.75" hidden="false" customHeight="false" outlineLevel="0" collapsed="false">
      <c r="G20" s="97" t="s">
        <v>399</v>
      </c>
      <c r="H20" s="98" t="n">
        <f aca="false">SUMIF($H$10:$H$11,"&lt;0",$H$10:$H$11)</f>
        <v>0</v>
      </c>
      <c r="I20" s="98" t="n">
        <f aca="false">SUMIF($I$10:$I$11,"&lt;0",$I$10:$I$11)</f>
        <v>0</v>
      </c>
      <c r="J20" s="98" t="n">
        <f aca="false">SUMIF($J$10:$J$11,"&lt;0",$J$10:$J$11)</f>
        <v>0</v>
      </c>
      <c r="K20" s="98" t="n">
        <f aca="false">SUMIF($K$10:$K$11,"&lt;0",$K$10:$K$11)</f>
        <v>0</v>
      </c>
      <c r="L20" s="98" t="n">
        <f aca="false">SUMIF($L$10:$L$11,"&lt;0",$L$10:$L$11)</f>
        <v>0</v>
      </c>
      <c r="M20" s="98" t="n">
        <f aca="false">SUMIF($M$10:$M$11,"&lt;0",$M$10:$M$11)</f>
        <v>0</v>
      </c>
      <c r="N20" s="98" t="n">
        <f aca="false">SUMIF($N$10:$N$11,"&lt;0",$N$10:$N$11)</f>
        <v>0</v>
      </c>
      <c r="O20" s="98" t="n">
        <f aca="false">SUMIF($O$10:$O$11,"&lt;0",$O$10:$O$11)</f>
        <v>0</v>
      </c>
      <c r="P20" s="98" t="n">
        <f aca="false">SUMIF($P$10:$P$11,"&lt;0",$P$10:$P$11)</f>
        <v>0</v>
      </c>
      <c r="Q20" s="98" t="n">
        <f aca="false">SUMIF($Q$10:$Q$11,"&lt;0",$Q$10:$Q$11)</f>
        <v>0</v>
      </c>
      <c r="R20" s="98" t="n">
        <f aca="false">SUMIF($R$10:$R$11,"&lt;0",$R$10:$R$11)</f>
        <v>0</v>
      </c>
      <c r="S20" s="98" t="n">
        <f aca="false">SUMIF($S$10:$S$11,"&lt;0",$S$10:$S$11)</f>
        <v>0</v>
      </c>
      <c r="T20" s="98" t="n">
        <f aca="false">SUMIF($T$10:$T$11,"&lt;0",$T$10:$T$11)</f>
        <v>0</v>
      </c>
    </row>
  </sheetData>
  <mergeCells count="5">
    <mergeCell ref="C8:C9"/>
    <mergeCell ref="V8:V9"/>
    <mergeCell ref="C10:C11"/>
    <mergeCell ref="E10:E11"/>
    <mergeCell ref="F10:F1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2">
              <controlPr defaultSize="0" print="false" autoFill="0" autoPict="0" macro="Report_Routines.Button2_Click">
                <anchor moveWithCells="true" sizeWithCells="false">
                  <from>
                    <xdr:col>1</xdr:col>
                    <xdr:colOff>190800</xdr:colOff>
                    <xdr:row>1</xdr:row>
                    <xdr:rowOff>75960</xdr:rowOff>
                  </from>
                  <to>
                    <xdr:col>3</xdr:col>
                    <xdr:colOff>50400</xdr:colOff>
                    <xdr:row>4</xdr:row>
                    <xdr:rowOff>66600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2:J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J18" activeCellId="0" sqref="J18"/>
    </sheetView>
  </sheetViews>
  <sheetFormatPr defaultColWidth="9.0546875" defaultRowHeight="12.75" customHeight="true" zeroHeight="false" outlineLevelRow="0" outlineLevelCol="0"/>
  <cols>
    <col collapsed="false" customWidth="true" hidden="false" outlineLevel="0" max="1" min="1" style="0" width="10.13"/>
    <col collapsed="false" customWidth="true" hidden="false" outlineLevel="0" max="8" min="8" style="0" width="13.99"/>
    <col collapsed="false" customWidth="true" hidden="false" outlineLevel="0" max="10" min="9" style="0" width="10.28"/>
  </cols>
  <sheetData>
    <row r="2" customFormat="false" ht="12.75" hidden="false" customHeight="false" outlineLevel="0" collapsed="false">
      <c r="B2" s="0" t="s">
        <v>402</v>
      </c>
      <c r="E2" s="0" t="s">
        <v>403</v>
      </c>
    </row>
    <row r="4" customFormat="false" ht="12.75" hidden="false" customHeight="false" outlineLevel="0" collapsed="false">
      <c r="B4" s="0" t="s">
        <v>404</v>
      </c>
      <c r="C4" s="0" t="s">
        <v>405</v>
      </c>
      <c r="E4" s="0" t="s">
        <v>404</v>
      </c>
      <c r="F4" s="0" t="s">
        <v>405</v>
      </c>
      <c r="H4" s="210" t="n">
        <v>0.0137</v>
      </c>
      <c r="I4" s="0" t="s">
        <v>404</v>
      </c>
      <c r="J4" s="0" t="s">
        <v>405</v>
      </c>
    </row>
    <row r="5" customFormat="false" ht="12.75" hidden="false" customHeight="false" outlineLevel="0" collapsed="false">
      <c r="A5" s="211" t="n">
        <v>37196</v>
      </c>
      <c r="B5" s="212" t="e">
        <f aca="false">(H5*(1+$H$4))/10000</f>
        <v>#VALUE!</v>
      </c>
      <c r="C5" s="212" t="n">
        <f aca="false">(-X5*(1+$X$4)-AJ5*(1+$AJ$4))/10000</f>
        <v>-0</v>
      </c>
      <c r="D5" s="212"/>
      <c r="E5" s="212" t="n">
        <f aca="false">(I5+M5+AC5+AG5)/10000</f>
        <v>0</v>
      </c>
      <c r="F5" s="212" t="n">
        <f aca="false">(Y5+AK5)/10000</f>
        <v>0</v>
      </c>
      <c r="G5" s="213"/>
      <c r="H5" s="213" t="e">
        <f aca="false">IF(LongTerm83!D22='Phillip Delta Positions'!A5,LongTerm83!G22*('Phillip Delta Positions'!A6-'Phillip Delta Positions'!A5),0)</f>
        <v>#VALUE!</v>
      </c>
      <c r="I5" s="213" t="n">
        <v>0</v>
      </c>
      <c r="J5" s="213" t="n">
        <v>0</v>
      </c>
    </row>
    <row r="6" customFormat="false" ht="12.75" hidden="false" customHeight="false" outlineLevel="0" collapsed="false">
      <c r="A6" s="211" t="n">
        <v>37226</v>
      </c>
      <c r="B6" s="212" t="n">
        <f aca="false">(H6*(1+$H$4))/10000</f>
        <v>0</v>
      </c>
      <c r="C6" s="212" t="n">
        <f aca="false">(-X6*(1+$X$4)-AJ6*(1+$AJ$4))/10000</f>
        <v>-0</v>
      </c>
      <c r="D6" s="212"/>
      <c r="E6" s="212" t="e">
        <f aca="false">(I6+M6+AC6+AG6)/10000</f>
        <v>#VALUE!</v>
      </c>
      <c r="F6" s="212" t="n">
        <f aca="false">(Y6+AK6)/10000</f>
        <v>0</v>
      </c>
      <c r="G6" s="213"/>
      <c r="H6" s="213" t="n">
        <f aca="false">IF(LongTerm83!C23='Phillip Delta Positions'!A6,LongTerm83!G23*('Phillip Delta Positions'!A7-'Phillip Delta Positions'!A6),0)</f>
        <v>0</v>
      </c>
      <c r="I6" s="213" t="e">
        <f aca="false">IF(LongTerm83!D23='Phillip Delta Positions'!A6,LongTerm83!G23*('Phillip Delta Positions'!A7-'Phillip Delta Positions'!A6),0)</f>
        <v>#VALUE!</v>
      </c>
      <c r="J6" s="213" t="n">
        <v>0</v>
      </c>
    </row>
    <row r="7" customFormat="false" ht="12.75" hidden="false" customHeight="false" outlineLevel="0" collapsed="false">
      <c r="A7" s="211" t="n">
        <v>37257</v>
      </c>
      <c r="B7" s="212" t="n">
        <f aca="false">(H7*(1+$H$4))/10000</f>
        <v>0</v>
      </c>
      <c r="C7" s="212" t="n">
        <f aca="false">(-X7*(1+$X$4)-AJ7*(1+$AJ$4))/10000</f>
        <v>-0</v>
      </c>
      <c r="D7" s="212"/>
      <c r="E7" s="212" t="e">
        <f aca="false">(I7+M7+AC7+AG7)/10000</f>
        <v>#VALUE!</v>
      </c>
      <c r="F7" s="212" t="n">
        <f aca="false">(Y7+AK7)/10000</f>
        <v>0</v>
      </c>
      <c r="G7" s="213"/>
      <c r="H7" s="213" t="n">
        <f aca="false">IF(LongTerm83!C24='Phillip Delta Positions'!A7,LongTerm83!G24*('Phillip Delta Positions'!A8-'Phillip Delta Positions'!A7),0)</f>
        <v>0</v>
      </c>
      <c r="I7" s="213" t="e">
        <f aca="false">IF(LongTerm83!D24='Phillip Delta Positions'!A7,LongTerm83!G24*('Phillip Delta Positions'!A8-'Phillip Delta Positions'!A7),0)</f>
        <v>#VALUE!</v>
      </c>
      <c r="J7" s="213" t="n">
        <v>0</v>
      </c>
    </row>
    <row r="8" customFormat="false" ht="12.75" hidden="false" customHeight="false" outlineLevel="0" collapsed="false">
      <c r="A8" s="211" t="n">
        <v>37288</v>
      </c>
      <c r="B8" s="212" t="n">
        <f aca="false">(H8*(1+$H$4))/10000</f>
        <v>0</v>
      </c>
      <c r="C8" s="212" t="n">
        <f aca="false">(-X8*(1+$X$4)-AJ8*(1+$AJ$4))/10000</f>
        <v>-0</v>
      </c>
      <c r="D8" s="212"/>
      <c r="E8" s="212" t="e">
        <f aca="false">(I8+M8+AC8+AG8)/10000</f>
        <v>#VALUE!</v>
      </c>
      <c r="F8" s="212" t="n">
        <f aca="false">(Y8+AK8)/10000</f>
        <v>0</v>
      </c>
      <c r="G8" s="213"/>
      <c r="H8" s="213" t="n">
        <f aca="false">IF(LongTerm83!C25='Phillip Delta Positions'!A8,LongTerm83!G25*('Phillip Delta Positions'!A9-'Phillip Delta Positions'!A8),0)</f>
        <v>0</v>
      </c>
      <c r="I8" s="213" t="e">
        <f aca="false">IF(LongTerm83!D25='Phillip Delta Positions'!A8,LongTerm83!G25*('Phillip Delta Positions'!A9-'Phillip Delta Positions'!A8),0)</f>
        <v>#VALUE!</v>
      </c>
      <c r="J8" s="213" t="n">
        <v>0</v>
      </c>
    </row>
    <row r="9" customFormat="false" ht="12.75" hidden="false" customHeight="false" outlineLevel="0" collapsed="false">
      <c r="A9" s="211" t="n">
        <v>37316</v>
      </c>
      <c r="B9" s="212" t="n">
        <f aca="false">(H9*(1+$H$4))/10000</f>
        <v>0</v>
      </c>
      <c r="C9" s="212" t="n">
        <f aca="false">(-X9*(1+$X$4)-AJ9*(1+$AJ$4))/10000</f>
        <v>-0</v>
      </c>
      <c r="D9" s="212"/>
      <c r="E9" s="212" t="e">
        <f aca="false">(I9+M9+AC9+AG9)/10000</f>
        <v>#VALUE!</v>
      </c>
      <c r="F9" s="212" t="n">
        <f aca="false">(Y9+AK9)/10000</f>
        <v>0</v>
      </c>
      <c r="G9" s="213"/>
      <c r="H9" s="213" t="n">
        <f aca="false">IF(LongTerm83!C26='Phillip Delta Positions'!A9,LongTerm83!G26*('Phillip Delta Positions'!A10-'Phillip Delta Positions'!A9),0)</f>
        <v>0</v>
      </c>
      <c r="I9" s="213" t="e">
        <f aca="false">IF(LongTerm83!D26='Phillip Delta Positions'!A9,LongTerm83!G26*('Phillip Delta Positions'!A10-'Phillip Delta Positions'!A9),0)</f>
        <v>#VALUE!</v>
      </c>
      <c r="J9" s="213" t="n">
        <v>0</v>
      </c>
    </row>
    <row r="10" customFormat="false" ht="12.75" hidden="false" customHeight="false" outlineLevel="0" collapsed="false">
      <c r="A10" s="211" t="n">
        <v>37347</v>
      </c>
      <c r="B10" s="212" t="e">
        <f aca="false">(-H10*(1+$H$4))/10000</f>
        <v>#VALUE!</v>
      </c>
      <c r="C10" s="212" t="e">
        <f aca="false">H10/10000</f>
        <v>#VALUE!</v>
      </c>
      <c r="D10" s="212"/>
      <c r="E10" s="212" t="e">
        <f aca="false">I10/10000</f>
        <v>#VALUE!</v>
      </c>
      <c r="F10" s="212" t="e">
        <f aca="false">J10/10000</f>
        <v>#VALUE!</v>
      </c>
      <c r="G10" s="213"/>
      <c r="H10" s="213" t="e">
        <f aca="false">LongTerm83!G22*('Phillip Delta Positions'!A11-'Phillip Delta Positions'!A10)</f>
        <v>#VALUE!</v>
      </c>
      <c r="I10" s="213" t="e">
        <f aca="false">LongTerm83!S22</f>
        <v>#VALUE!</v>
      </c>
      <c r="J10" s="213" t="e">
        <f aca="false">LongTerm83!T22</f>
        <v>#VALUE!</v>
      </c>
    </row>
    <row r="11" customFormat="false" ht="12.75" hidden="false" customHeight="false" outlineLevel="0" collapsed="false">
      <c r="A11" s="211" t="n">
        <v>37377</v>
      </c>
      <c r="B11" s="212" t="e">
        <f aca="false">(-H11*(1+$H$4))/10000</f>
        <v>#VALUE!</v>
      </c>
      <c r="C11" s="212" t="e">
        <f aca="false">H11/10000</f>
        <v>#VALUE!</v>
      </c>
      <c r="D11" s="212"/>
      <c r="E11" s="212" t="e">
        <f aca="false">I11/10000</f>
        <v>#VALUE!</v>
      </c>
      <c r="F11" s="212" t="e">
        <f aca="false">J11/10000</f>
        <v>#VALUE!</v>
      </c>
      <c r="G11" s="213"/>
      <c r="H11" s="213" t="e">
        <f aca="false">LongTerm83!G23*('Phillip Delta Positions'!A12-'Phillip Delta Positions'!A11)</f>
        <v>#VALUE!</v>
      </c>
      <c r="I11" s="213" t="e">
        <f aca="false">LongTerm83!S23</f>
        <v>#VALUE!</v>
      </c>
      <c r="J11" s="213" t="e">
        <f aca="false">LongTerm83!T23</f>
        <v>#VALUE!</v>
      </c>
    </row>
    <row r="12" customFormat="false" ht="12.75" hidden="false" customHeight="false" outlineLevel="0" collapsed="false">
      <c r="A12" s="211" t="n">
        <v>37408</v>
      </c>
      <c r="B12" s="212" t="e">
        <f aca="false">(-H12*(1+$H$4))/10000</f>
        <v>#VALUE!</v>
      </c>
      <c r="C12" s="212" t="e">
        <f aca="false">H12/10000</f>
        <v>#VALUE!</v>
      </c>
      <c r="D12" s="212"/>
      <c r="E12" s="212" t="e">
        <f aca="false">I12/10000</f>
        <v>#VALUE!</v>
      </c>
      <c r="F12" s="212" t="e">
        <f aca="false">J12/10000</f>
        <v>#VALUE!</v>
      </c>
      <c r="G12" s="213"/>
      <c r="H12" s="213" t="e">
        <f aca="false">LongTerm83!G24*('Phillip Delta Positions'!A13-'Phillip Delta Positions'!A12)</f>
        <v>#VALUE!</v>
      </c>
      <c r="I12" s="213" t="e">
        <f aca="false">LongTerm83!S24</f>
        <v>#VALUE!</v>
      </c>
      <c r="J12" s="213" t="e">
        <f aca="false">LongTerm83!T24</f>
        <v>#VALUE!</v>
      </c>
    </row>
    <row r="13" customFormat="false" ht="12.75" hidden="false" customHeight="false" outlineLevel="0" collapsed="false">
      <c r="A13" s="211" t="n">
        <v>37438</v>
      </c>
      <c r="B13" s="212" t="e">
        <f aca="false">(-H13*(1+$H$4))/10000</f>
        <v>#VALUE!</v>
      </c>
      <c r="C13" s="212" t="e">
        <f aca="false">H13/10000</f>
        <v>#VALUE!</v>
      </c>
      <c r="D13" s="212"/>
      <c r="E13" s="212" t="e">
        <f aca="false">I13/10000</f>
        <v>#VALUE!</v>
      </c>
      <c r="F13" s="212" t="e">
        <f aca="false">J13/10000</f>
        <v>#VALUE!</v>
      </c>
      <c r="G13" s="213"/>
      <c r="H13" s="213" t="e">
        <f aca="false">LongTerm83!G25*('Phillip Delta Positions'!A14-'Phillip Delta Positions'!A13)</f>
        <v>#VALUE!</v>
      </c>
      <c r="I13" s="213" t="e">
        <f aca="false">LongTerm83!S25</f>
        <v>#VALUE!</v>
      </c>
      <c r="J13" s="213" t="e">
        <f aca="false">LongTerm83!T25</f>
        <v>#VALUE!</v>
      </c>
    </row>
    <row r="14" customFormat="false" ht="12.75" hidden="false" customHeight="false" outlineLevel="0" collapsed="false">
      <c r="A14" s="211" t="n">
        <v>37469</v>
      </c>
      <c r="B14" s="212" t="e">
        <f aca="false">(-H14*(1+$H$4))/10000</f>
        <v>#VALUE!</v>
      </c>
      <c r="C14" s="212" t="e">
        <f aca="false">H14/10000</f>
        <v>#VALUE!</v>
      </c>
      <c r="D14" s="212"/>
      <c r="E14" s="212" t="e">
        <f aca="false">I14/10000</f>
        <v>#VALUE!</v>
      </c>
      <c r="F14" s="212" t="e">
        <f aca="false">J14/10000</f>
        <v>#VALUE!</v>
      </c>
      <c r="G14" s="213"/>
      <c r="H14" s="213" t="e">
        <f aca="false">LongTerm83!G26*('Phillip Delta Positions'!A15-'Phillip Delta Positions'!A14)</f>
        <v>#VALUE!</v>
      </c>
      <c r="I14" s="213" t="e">
        <f aca="false">LongTerm83!S26</f>
        <v>#VALUE!</v>
      </c>
      <c r="J14" s="213" t="e">
        <f aca="false">LongTerm83!T26</f>
        <v>#VALUE!</v>
      </c>
    </row>
    <row r="15" customFormat="false" ht="12.75" hidden="false" customHeight="false" outlineLevel="0" collapsed="false">
      <c r="A15" s="211" t="n">
        <v>37500</v>
      </c>
      <c r="B15" s="212" t="e">
        <f aca="false">(-H15*(1+$H$4))/10000</f>
        <v>#VALUE!</v>
      </c>
      <c r="C15" s="212" t="e">
        <f aca="false">H15/10000</f>
        <v>#VALUE!</v>
      </c>
      <c r="D15" s="212"/>
      <c r="E15" s="212" t="e">
        <f aca="false">I15/10000</f>
        <v>#VALUE!</v>
      </c>
      <c r="F15" s="212" t="e">
        <f aca="false">J15/10000</f>
        <v>#VALUE!</v>
      </c>
      <c r="G15" s="213"/>
      <c r="H15" s="213" t="e">
        <f aca="false">LongTerm83!G27*('Phillip Delta Positions'!A16-'Phillip Delta Positions'!A15)</f>
        <v>#VALUE!</v>
      </c>
      <c r="I15" s="213" t="e">
        <f aca="false">LongTerm83!S27</f>
        <v>#VALUE!</v>
      </c>
      <c r="J15" s="213" t="e">
        <f aca="false">LongTerm83!T27</f>
        <v>#VALUE!</v>
      </c>
    </row>
    <row r="16" customFormat="false" ht="12.75" hidden="false" customHeight="false" outlineLevel="0" collapsed="false">
      <c r="A16" s="211" t="n">
        <v>37530</v>
      </c>
      <c r="B16" s="212" t="e">
        <f aca="false">(-H16*(1+$H$4))/10000</f>
        <v>#VALUE!</v>
      </c>
      <c r="C16" s="212" t="e">
        <f aca="false">H16/10000</f>
        <v>#VALUE!</v>
      </c>
      <c r="D16" s="212"/>
      <c r="E16" s="212" t="e">
        <f aca="false">I16/10000</f>
        <v>#VALUE!</v>
      </c>
      <c r="F16" s="212" t="e">
        <f aca="false">J16/10000</f>
        <v>#VALUE!</v>
      </c>
      <c r="G16" s="213"/>
      <c r="H16" s="213" t="e">
        <f aca="false">LongTerm83!G28*('Phillip Delta Positions'!A17-'Phillip Delta Positions'!A16)</f>
        <v>#VALUE!</v>
      </c>
      <c r="I16" s="213" t="e">
        <f aca="false">LongTerm83!S28</f>
        <v>#VALUE!</v>
      </c>
      <c r="J16" s="213" t="e">
        <f aca="false">LongTerm83!T28</f>
        <v>#VALUE!</v>
      </c>
    </row>
    <row r="17" customFormat="false" ht="12.75" hidden="false" customHeight="false" outlineLevel="0" collapsed="false">
      <c r="A17" s="211" t="n">
        <v>37561</v>
      </c>
      <c r="B17" s="212" t="e">
        <f aca="false">(-H17*(1+$H$4))/10000</f>
        <v>#VALUE!</v>
      </c>
      <c r="C17" s="212" t="e">
        <f aca="false">H17/10000</f>
        <v>#VALUE!</v>
      </c>
      <c r="D17" s="212"/>
      <c r="E17" s="212" t="e">
        <f aca="false">I17/10000</f>
        <v>#VALUE!</v>
      </c>
      <c r="F17" s="212" t="e">
        <f aca="false">J17/10000</f>
        <v>#VALUE!</v>
      </c>
      <c r="G17" s="213"/>
      <c r="H17" s="213" t="e">
        <f aca="false">LongTerm83!G29*('Phillip Delta Positions'!A18-'Phillip Delta Positions'!A17)</f>
        <v>#VALUE!</v>
      </c>
      <c r="I17" s="213" t="e">
        <f aca="false">LongTerm83!S29</f>
        <v>#VALUE!</v>
      </c>
      <c r="J17" s="213" t="e">
        <f aca="false">LongTerm83!T29</f>
        <v>#VALUE!</v>
      </c>
    </row>
    <row r="18" customFormat="false" ht="12.75" hidden="false" customHeight="false" outlineLevel="0" collapsed="false">
      <c r="A18" s="211" t="n">
        <v>37591</v>
      </c>
      <c r="B18" s="212" t="e">
        <f aca="false">(-H18*(1+$H$4))/10000</f>
        <v>#VALUE!</v>
      </c>
      <c r="C18" s="212" t="e">
        <f aca="false">H18/10000</f>
        <v>#VALUE!</v>
      </c>
      <c r="D18" s="212"/>
      <c r="E18" s="212" t="e">
        <f aca="false">I18/10000</f>
        <v>#VALUE!</v>
      </c>
      <c r="F18" s="212" t="e">
        <f aca="false">J18/10000</f>
        <v>#VALUE!</v>
      </c>
      <c r="G18" s="213"/>
      <c r="H18" s="213" t="e">
        <f aca="false">LongTerm83!G30*31</f>
        <v>#VALUE!</v>
      </c>
      <c r="I18" s="213" t="e">
        <f aca="false">LongTerm83!S30</f>
        <v>#VALUE!</v>
      </c>
      <c r="J18" s="213" t="e">
        <f aca="false">LongTerm83!T30</f>
        <v>#VALUE!</v>
      </c>
    </row>
    <row r="19" customFormat="false" ht="12.75" hidden="false" customHeight="false" outlineLevel="0" collapsed="false">
      <c r="A19" s="214"/>
      <c r="B19" s="212"/>
      <c r="C19" s="212"/>
      <c r="D19" s="212"/>
      <c r="E19" s="212"/>
      <c r="F19" s="212"/>
      <c r="G19" s="213"/>
      <c r="H19" s="215"/>
      <c r="I19" s="213"/>
      <c r="J19" s="213"/>
    </row>
    <row r="20" customFormat="false" ht="12.75" hidden="false" customHeight="false" outlineLevel="0" collapsed="false">
      <c r="A20" s="214"/>
      <c r="B20" s="212"/>
      <c r="C20" s="212"/>
      <c r="D20" s="212"/>
      <c r="E20" s="212"/>
      <c r="F20" s="212"/>
      <c r="G20" s="213"/>
      <c r="H20" s="215"/>
      <c r="I20" s="213"/>
      <c r="J20" s="213"/>
    </row>
    <row r="21" customFormat="false" ht="12.75" hidden="false" customHeight="false" outlineLevel="0" collapsed="false">
      <c r="A21" s="214"/>
      <c r="B21" s="212"/>
      <c r="C21" s="212"/>
      <c r="D21" s="212"/>
      <c r="E21" s="212"/>
      <c r="F21" s="212"/>
      <c r="G21" s="213"/>
      <c r="H21" s="215"/>
      <c r="I21" s="213"/>
      <c r="J21" s="213"/>
    </row>
    <row r="22" customFormat="false" ht="12.75" hidden="false" customHeight="false" outlineLevel="0" collapsed="false">
      <c r="A22" s="214"/>
      <c r="B22" s="212"/>
      <c r="C22" s="212"/>
      <c r="D22" s="212"/>
      <c r="E22" s="212"/>
      <c r="F22" s="212"/>
      <c r="G22" s="213"/>
      <c r="H22" s="215"/>
      <c r="I22" s="213"/>
      <c r="J22" s="213"/>
    </row>
    <row r="23" customFormat="false" ht="12.75" hidden="false" customHeight="false" outlineLevel="0" collapsed="false">
      <c r="A23" s="214"/>
      <c r="B23" s="212"/>
      <c r="C23" s="212"/>
      <c r="D23" s="212"/>
      <c r="E23" s="212"/>
      <c r="F23" s="212"/>
      <c r="G23" s="213"/>
      <c r="H23" s="215"/>
      <c r="I23" s="213"/>
      <c r="J23" s="213"/>
    </row>
    <row r="24" customFormat="false" ht="12.75" hidden="false" customHeight="false" outlineLevel="0" collapsed="false">
      <c r="A24" s="214"/>
      <c r="B24" s="212"/>
      <c r="C24" s="212"/>
      <c r="D24" s="212"/>
      <c r="E24" s="212"/>
      <c r="F24" s="212"/>
      <c r="G24" s="213"/>
      <c r="H24" s="215"/>
      <c r="I24" s="213"/>
      <c r="J24" s="213"/>
    </row>
    <row r="25" customFormat="false" ht="12.75" hidden="false" customHeight="false" outlineLevel="0" collapsed="false">
      <c r="A25" s="214"/>
      <c r="B25" s="212"/>
      <c r="C25" s="212"/>
      <c r="D25" s="212"/>
      <c r="E25" s="212"/>
      <c r="F25" s="212"/>
      <c r="G25" s="213"/>
      <c r="H25" s="215"/>
      <c r="I25" s="213"/>
      <c r="J25" s="213"/>
    </row>
    <row r="26" customFormat="false" ht="12.75" hidden="false" customHeight="false" outlineLevel="0" collapsed="false">
      <c r="A26" s="214"/>
      <c r="B26" s="212"/>
      <c r="C26" s="212"/>
      <c r="D26" s="212"/>
      <c r="E26" s="212"/>
      <c r="F26" s="212"/>
      <c r="G26" s="213"/>
      <c r="H26" s="215"/>
      <c r="I26" s="213"/>
      <c r="J26" s="213"/>
    </row>
    <row r="27" customFormat="false" ht="12.75" hidden="false" customHeight="false" outlineLevel="0" collapsed="false">
      <c r="A27" s="214"/>
      <c r="B27" s="212"/>
      <c r="C27" s="212"/>
      <c r="D27" s="212"/>
      <c r="E27" s="212"/>
      <c r="F27" s="212"/>
      <c r="G27" s="213"/>
      <c r="H27" s="215"/>
      <c r="I27" s="213"/>
      <c r="J27" s="213"/>
    </row>
    <row r="28" customFormat="false" ht="12.75" hidden="false" customHeight="false" outlineLevel="0" collapsed="false">
      <c r="A28" s="214"/>
      <c r="B28" s="212"/>
      <c r="C28" s="212"/>
      <c r="D28" s="212"/>
      <c r="E28" s="212"/>
      <c r="F28" s="212"/>
      <c r="G28" s="213"/>
      <c r="H28" s="215"/>
      <c r="I28" s="213"/>
      <c r="J28" s="213"/>
    </row>
    <row r="29" customFormat="false" ht="12.75" hidden="false" customHeight="false" outlineLevel="0" collapsed="false">
      <c r="A29" s="214"/>
      <c r="B29" s="212"/>
      <c r="C29" s="212"/>
      <c r="D29" s="212"/>
      <c r="E29" s="212"/>
      <c r="F29" s="212"/>
      <c r="G29" s="213"/>
      <c r="H29" s="215"/>
      <c r="I29" s="213"/>
      <c r="J29" s="213"/>
    </row>
    <row r="30" customFormat="false" ht="12.75" hidden="false" customHeight="false" outlineLevel="0" collapsed="false">
      <c r="A30" s="214"/>
      <c r="B30" s="212"/>
      <c r="C30" s="212"/>
      <c r="D30" s="212"/>
      <c r="E30" s="212"/>
      <c r="F30" s="212"/>
      <c r="G30" s="213"/>
      <c r="H30" s="215"/>
      <c r="I30" s="213"/>
      <c r="J30" s="213"/>
    </row>
    <row r="31" customFormat="false" ht="12.75" hidden="false" customHeight="false" outlineLevel="0" collapsed="false">
      <c r="A31" s="214"/>
      <c r="B31" s="212"/>
      <c r="C31" s="212"/>
      <c r="D31" s="212"/>
      <c r="E31" s="212"/>
      <c r="F31" s="212"/>
      <c r="G31" s="213"/>
      <c r="H31" s="215"/>
      <c r="I31" s="213"/>
      <c r="J31" s="213"/>
    </row>
    <row r="32" customFormat="false" ht="12.75" hidden="false" customHeight="false" outlineLevel="0" collapsed="false">
      <c r="A32" s="214"/>
      <c r="B32" s="212"/>
      <c r="C32" s="212"/>
      <c r="D32" s="212"/>
      <c r="E32" s="212"/>
      <c r="F32" s="212"/>
      <c r="G32" s="213"/>
      <c r="H32" s="215"/>
      <c r="I32" s="213"/>
      <c r="J32" s="213"/>
    </row>
    <row r="33" customFormat="false" ht="12.75" hidden="false" customHeight="false" outlineLevel="0" collapsed="false">
      <c r="A33" s="214"/>
      <c r="B33" s="212"/>
      <c r="C33" s="212"/>
      <c r="D33" s="212"/>
      <c r="E33" s="212"/>
      <c r="F33" s="212"/>
      <c r="G33" s="213"/>
      <c r="H33" s="215"/>
      <c r="I33" s="213"/>
      <c r="J33" s="213"/>
    </row>
    <row r="34" customFormat="false" ht="12.75" hidden="false" customHeight="false" outlineLevel="0" collapsed="false">
      <c r="A34" s="214"/>
      <c r="B34" s="212"/>
      <c r="C34" s="212"/>
      <c r="D34" s="212"/>
      <c r="E34" s="212"/>
      <c r="F34" s="212"/>
      <c r="G34" s="213"/>
      <c r="H34" s="215"/>
      <c r="I34" s="213"/>
      <c r="J34" s="213"/>
    </row>
    <row r="35" customFormat="false" ht="12.75" hidden="false" customHeight="false" outlineLevel="0" collapsed="false">
      <c r="A35" s="214"/>
      <c r="B35" s="212"/>
      <c r="C35" s="212"/>
      <c r="D35" s="212"/>
      <c r="E35" s="212"/>
      <c r="F35" s="212"/>
      <c r="G35" s="213"/>
      <c r="H35" s="215"/>
      <c r="I35" s="213"/>
      <c r="J35" s="213"/>
    </row>
    <row r="36" customFormat="false" ht="12.75" hidden="false" customHeight="false" outlineLevel="0" collapsed="false">
      <c r="A36" s="214"/>
      <c r="B36" s="212"/>
      <c r="C36" s="212"/>
      <c r="D36" s="212"/>
      <c r="E36" s="212"/>
      <c r="F36" s="212"/>
      <c r="G36" s="213"/>
      <c r="H36" s="215"/>
      <c r="I36" s="213"/>
      <c r="J36" s="213"/>
    </row>
    <row r="37" customFormat="false" ht="12.75" hidden="false" customHeight="false" outlineLevel="0" collapsed="false">
      <c r="A37" s="214"/>
      <c r="B37" s="212"/>
      <c r="C37" s="212"/>
      <c r="D37" s="212"/>
      <c r="E37" s="212"/>
      <c r="F37" s="212"/>
      <c r="G37" s="213"/>
      <c r="H37" s="215"/>
      <c r="I37" s="213"/>
      <c r="J37" s="213"/>
    </row>
    <row r="38" customFormat="false" ht="12.75" hidden="false" customHeight="false" outlineLevel="0" collapsed="false">
      <c r="A38" s="214"/>
      <c r="B38" s="212"/>
      <c r="C38" s="212"/>
      <c r="D38" s="212"/>
      <c r="E38" s="212"/>
      <c r="F38" s="212"/>
      <c r="G38" s="213"/>
      <c r="H38" s="215"/>
      <c r="I38" s="213"/>
      <c r="J38" s="213"/>
    </row>
    <row r="39" customFormat="false" ht="12.75" hidden="false" customHeight="false" outlineLevel="0" collapsed="false">
      <c r="A39" s="214"/>
      <c r="B39" s="212"/>
      <c r="C39" s="212"/>
      <c r="D39" s="212"/>
      <c r="E39" s="212"/>
      <c r="F39" s="212"/>
      <c r="G39" s="213"/>
      <c r="H39" s="215"/>
      <c r="I39" s="213"/>
      <c r="J39" s="213"/>
    </row>
    <row r="40" customFormat="false" ht="12.75" hidden="false" customHeight="false" outlineLevel="0" collapsed="false">
      <c r="A40" s="214"/>
      <c r="B40" s="212"/>
      <c r="C40" s="212"/>
      <c r="D40" s="212"/>
      <c r="E40" s="212"/>
      <c r="F40" s="212"/>
      <c r="G40" s="213"/>
      <c r="H40" s="215"/>
      <c r="I40" s="213"/>
      <c r="J40" s="213"/>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E281"/>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0" ySplit="3" topLeftCell="BM4" activePane="bottomLeft" state="frozen"/>
      <selection pane="topLeft" activeCell="A1" activeCellId="0" sqref="A1"/>
      <selection pane="bottomLeft" activeCell="D2" activeCellId="0" sqref="D2"/>
    </sheetView>
  </sheetViews>
  <sheetFormatPr defaultColWidth="9.0546875" defaultRowHeight="12.75" customHeight="true" zeroHeight="false" outlineLevelRow="0" outlineLevelCol="0"/>
  <cols>
    <col collapsed="false" customWidth="true" hidden="false" outlineLevel="0" max="5" min="5" style="0" width="5.85"/>
    <col collapsed="false" customWidth="true" hidden="false" outlineLevel="0" max="9" min="9" style="0" width="6.13"/>
    <col collapsed="false" customWidth="true" hidden="false" outlineLevel="0" max="13" min="11" style="216" width="9.99"/>
    <col collapsed="false" customWidth="true" hidden="false" outlineLevel="0" max="19" min="19" style="0" width="7.56"/>
    <col collapsed="false" customWidth="true" hidden="false" outlineLevel="0" max="20" min="20" style="0" width="10.85"/>
    <col collapsed="false" customWidth="true" hidden="false" outlineLevel="0" max="21" min="21" style="0" width="14.14"/>
    <col collapsed="false" customWidth="true" hidden="false" outlineLevel="0" max="22" min="22" style="0" width="11.7"/>
    <col collapsed="false" customWidth="true" hidden="false" outlineLevel="0" max="23" min="23" style="0" width="10.13"/>
    <col collapsed="false" customWidth="true" hidden="false" outlineLevel="0" max="24" min="24" style="0" width="7.42"/>
    <col collapsed="false" customWidth="true" hidden="false" outlineLevel="0" max="28" min="28" style="0" width="20.13"/>
  </cols>
  <sheetData>
    <row r="1" customFormat="false" ht="15.75" hidden="false" customHeight="false" outlineLevel="0" collapsed="false">
      <c r="B1" s="217" t="s">
        <v>406</v>
      </c>
      <c r="C1" s="217"/>
      <c r="D1" s="217"/>
      <c r="F1" s="217"/>
      <c r="G1" s="217"/>
      <c r="H1" s="217"/>
      <c r="J1" s="218"/>
      <c r="K1" s="219" t="s">
        <v>407</v>
      </c>
      <c r="O1" s="220" t="s">
        <v>408</v>
      </c>
      <c r="P1" s="186"/>
      <c r="Q1" s="186"/>
      <c r="S1" s="221"/>
      <c r="T1" s="222" t="s">
        <v>409</v>
      </c>
      <c r="U1" s="223"/>
      <c r="V1" s="223"/>
      <c r="W1" s="223"/>
      <c r="X1" s="224"/>
    </row>
    <row r="2" customFormat="false" ht="12.75" hidden="false" customHeight="false" outlineLevel="0" collapsed="false">
      <c r="C2" s="0" t="s">
        <v>16</v>
      </c>
      <c r="D2" s="0" t="s">
        <v>15</v>
      </c>
      <c r="S2" s="225"/>
      <c r="T2" s="226"/>
      <c r="U2" s="226"/>
      <c r="V2" s="226"/>
      <c r="W2" s="226"/>
      <c r="X2" s="227"/>
    </row>
    <row r="3" customFormat="false" ht="12.75" hidden="false" customHeight="false" outlineLevel="0" collapsed="false">
      <c r="B3" s="0" t="s">
        <v>410</v>
      </c>
      <c r="C3" s="0" t="s">
        <v>411</v>
      </c>
      <c r="D3" s="0" t="s">
        <v>412</v>
      </c>
      <c r="K3" s="219" t="s">
        <v>413</v>
      </c>
      <c r="L3" s="219" t="s">
        <v>414</v>
      </c>
      <c r="M3" s="219" t="s">
        <v>415</v>
      </c>
      <c r="O3" s="219" t="s">
        <v>413</v>
      </c>
      <c r="P3" s="219" t="s">
        <v>414</v>
      </c>
      <c r="Q3" s="219" t="s">
        <v>415</v>
      </c>
      <c r="R3" s="219"/>
      <c r="S3" s="228"/>
      <c r="T3" s="226"/>
      <c r="U3" s="217" t="s">
        <v>413</v>
      </c>
      <c r="V3" s="217" t="s">
        <v>414</v>
      </c>
      <c r="W3" s="217" t="s">
        <v>415</v>
      </c>
      <c r="X3" s="227"/>
      <c r="AB3" s="216"/>
      <c r="AC3" s="216"/>
      <c r="AD3" s="216"/>
    </row>
    <row r="4" customFormat="false" ht="12.75" hidden="false" customHeight="false" outlineLevel="0" collapsed="false">
      <c r="A4" s="229" t="n">
        <v>37196</v>
      </c>
      <c r="B4" s="230" t="e">
        <f aca="false">(LongTerm10!BM22+LongTerm10!BL22/(1-LongTerm10!AR22))*(LongTerm10!F22*LongTerm10!AF22*LongTerm10!AH22)/10000</f>
        <v>#VALUE!</v>
      </c>
      <c r="C4" s="230" t="e">
        <f aca="false">LongTerm10!BM22*(LongTerm10!F22*LongTerm10!AF22*LongTerm10!AH22)/10000</f>
        <v>#VALUE!</v>
      </c>
      <c r="D4" s="230" t="e">
        <f aca="false">(LongTerm10!BL22/(1-LongTerm10!AR22))*(LongTerm10!F22*LongTerm10!AF22*LongTerm10!AH22)/10000</f>
        <v>#VALUE!</v>
      </c>
      <c r="F4" s="230"/>
      <c r="G4" s="230"/>
      <c r="H4" s="230"/>
      <c r="J4" s="229" t="n">
        <f aca="false">A4</f>
        <v>37196</v>
      </c>
      <c r="K4" s="231" t="e">
        <f aca="false">B4</f>
        <v>#VALUE!</v>
      </c>
      <c r="L4" s="231" t="e">
        <f aca="false">D4</f>
        <v>#VALUE!</v>
      </c>
      <c r="M4" s="231" t="e">
        <f aca="false">C4</f>
        <v>#VALUE!</v>
      </c>
      <c r="N4" s="229" t="n">
        <v>37196</v>
      </c>
      <c r="O4" s="232" t="n">
        <v>0</v>
      </c>
      <c r="P4" s="232" t="n">
        <v>21.57500852</v>
      </c>
      <c r="Q4" s="232" t="n">
        <v>-23.29142918</v>
      </c>
      <c r="S4" s="225"/>
      <c r="T4" s="233" t="n">
        <f aca="false">A4</f>
        <v>37196</v>
      </c>
      <c r="U4" s="234" t="e">
        <f aca="false">O4+K4</f>
        <v>#VALUE!</v>
      </c>
      <c r="V4" s="234" t="e">
        <f aca="false">P4+L4</f>
        <v>#VALUE!</v>
      </c>
      <c r="W4" s="234" t="e">
        <f aca="false">Q4+M4</f>
        <v>#VALUE!</v>
      </c>
      <c r="X4" s="227"/>
      <c r="Z4" s="235"/>
      <c r="AA4" s="235"/>
      <c r="AB4" s="235"/>
    </row>
    <row r="5" customFormat="false" ht="12.75" hidden="false" customHeight="false" outlineLevel="0" collapsed="false">
      <c r="A5" s="229" t="n">
        <v>37226</v>
      </c>
      <c r="B5" s="230" t="e">
        <f aca="false">(LongTerm10!BM23+LongTerm10!BL23/(1-LongTerm10!AR23))*(LongTerm10!F23*LongTerm10!AF23*LongTerm10!AH23)/10000</f>
        <v>#VALUE!</v>
      </c>
      <c r="C5" s="230" t="e">
        <f aca="false">LongTerm10!BM23*(LongTerm10!F23*LongTerm10!AF23*LongTerm10!AH23)/10000</f>
        <v>#VALUE!</v>
      </c>
      <c r="D5" s="230" t="e">
        <f aca="false">(LongTerm10!BL23/(1-LongTerm10!AR23))*(LongTerm10!F23*LongTerm10!AF23*LongTerm10!AH23)/10000</f>
        <v>#VALUE!</v>
      </c>
      <c r="F5" s="230"/>
      <c r="G5" s="230"/>
      <c r="H5" s="230"/>
      <c r="J5" s="229" t="n">
        <f aca="false">A5</f>
        <v>37226</v>
      </c>
      <c r="K5" s="231" t="e">
        <f aca="false">B5</f>
        <v>#VALUE!</v>
      </c>
      <c r="L5" s="231" t="e">
        <f aca="false">D5</f>
        <v>#VALUE!</v>
      </c>
      <c r="M5" s="231" t="e">
        <f aca="false">C5</f>
        <v>#VALUE!</v>
      </c>
      <c r="N5" s="229" t="n">
        <v>37226</v>
      </c>
      <c r="O5" s="232" t="n">
        <v>0</v>
      </c>
      <c r="P5" s="232" t="n">
        <v>20.58443133</v>
      </c>
      <c r="Q5" s="232" t="n">
        <v>-20.41513509</v>
      </c>
      <c r="S5" s="225"/>
      <c r="T5" s="233" t="n">
        <f aca="false">A5</f>
        <v>37226</v>
      </c>
      <c r="U5" s="234" t="e">
        <f aca="false">O5+K5</f>
        <v>#VALUE!</v>
      </c>
      <c r="V5" s="234" t="e">
        <f aca="false">P5+L5</f>
        <v>#VALUE!</v>
      </c>
      <c r="W5" s="234" t="e">
        <f aca="false">Q5+M5</f>
        <v>#VALUE!</v>
      </c>
      <c r="X5" s="227"/>
      <c r="Z5" s="236"/>
      <c r="AA5" s="236"/>
      <c r="AB5" s="237"/>
    </row>
    <row r="6" customFormat="false" ht="12.75" hidden="false" customHeight="false" outlineLevel="0" collapsed="false">
      <c r="A6" s="229" t="n">
        <v>37257</v>
      </c>
      <c r="B6" s="230" t="e">
        <f aca="false">(LongTerm10!BM24+LongTerm10!BL24/(1-LongTerm10!AR24))*(LongTerm10!F24*LongTerm10!AF24*LongTerm10!AH24)/10000</f>
        <v>#VALUE!</v>
      </c>
      <c r="C6" s="230" t="e">
        <f aca="false">LongTerm10!BM24*(LongTerm10!F24*LongTerm10!AF24*LongTerm10!AH24)/10000</f>
        <v>#VALUE!</v>
      </c>
      <c r="D6" s="230" t="e">
        <f aca="false">(LongTerm10!BL24/(1-LongTerm10!AR24))*(LongTerm10!F24*LongTerm10!AF24*LongTerm10!AH24)/10000</f>
        <v>#VALUE!</v>
      </c>
      <c r="F6" s="230"/>
      <c r="G6" s="230"/>
      <c r="H6" s="230"/>
      <c r="J6" s="229" t="n">
        <f aca="false">A6</f>
        <v>37257</v>
      </c>
      <c r="K6" s="231" t="e">
        <f aca="false">B6</f>
        <v>#VALUE!</v>
      </c>
      <c r="L6" s="231" t="e">
        <f aca="false">D6</f>
        <v>#VALUE!</v>
      </c>
      <c r="M6" s="231" t="e">
        <f aca="false">C6</f>
        <v>#VALUE!</v>
      </c>
      <c r="N6" s="229" t="n">
        <v>37257</v>
      </c>
      <c r="O6" s="232" t="n">
        <v>0</v>
      </c>
      <c r="P6" s="232" t="n">
        <v>18.68281824</v>
      </c>
      <c r="Q6" s="232" t="n">
        <v>-18.91138463</v>
      </c>
      <c r="S6" s="225"/>
      <c r="T6" s="233" t="n">
        <f aca="false">A6</f>
        <v>37257</v>
      </c>
      <c r="U6" s="234" t="e">
        <f aca="false">O6+K6</f>
        <v>#VALUE!</v>
      </c>
      <c r="V6" s="234" t="e">
        <f aca="false">P6+L6</f>
        <v>#VALUE!</v>
      </c>
      <c r="W6" s="234" t="e">
        <f aca="false">Q6+M6</f>
        <v>#VALUE!</v>
      </c>
      <c r="X6" s="227"/>
    </row>
    <row r="7" customFormat="false" ht="12.75" hidden="false" customHeight="false" outlineLevel="0" collapsed="false">
      <c r="A7" s="229" t="n">
        <v>37288</v>
      </c>
      <c r="B7" s="230" t="e">
        <f aca="false">(LongTerm10!BM25+LongTerm10!BL25/(1-LongTerm10!AR25))*(LongTerm10!F25*LongTerm10!AF25*LongTerm10!AH25)/10000</f>
        <v>#VALUE!</v>
      </c>
      <c r="C7" s="230" t="e">
        <f aca="false">LongTerm10!BM25*(LongTerm10!F25*LongTerm10!AF25*LongTerm10!AH25)/10000</f>
        <v>#VALUE!</v>
      </c>
      <c r="D7" s="230" t="e">
        <f aca="false">(LongTerm10!BL25/(1-LongTerm10!AR25))*(LongTerm10!F25*LongTerm10!AF25*LongTerm10!AH25)/10000</f>
        <v>#VALUE!</v>
      </c>
      <c r="F7" s="230"/>
      <c r="G7" s="230"/>
      <c r="H7" s="230"/>
      <c r="J7" s="229" t="n">
        <f aca="false">A7</f>
        <v>37288</v>
      </c>
      <c r="K7" s="231" t="e">
        <f aca="false">B7</f>
        <v>#VALUE!</v>
      </c>
      <c r="L7" s="231" t="e">
        <f aca="false">D7</f>
        <v>#VALUE!</v>
      </c>
      <c r="M7" s="231" t="e">
        <f aca="false">C7</f>
        <v>#VALUE!</v>
      </c>
      <c r="N7" s="229" t="n">
        <v>37288</v>
      </c>
      <c r="O7" s="232" t="n">
        <v>0</v>
      </c>
      <c r="P7" s="232" t="n">
        <v>17.08773099</v>
      </c>
      <c r="Q7" s="232" t="n">
        <v>-16.8893824</v>
      </c>
      <c r="S7" s="225"/>
      <c r="T7" s="233" t="n">
        <f aca="false">A7</f>
        <v>37288</v>
      </c>
      <c r="U7" s="234" t="e">
        <f aca="false">O7+K7</f>
        <v>#VALUE!</v>
      </c>
      <c r="V7" s="234" t="e">
        <f aca="false">P7+L7</f>
        <v>#VALUE!</v>
      </c>
      <c r="W7" s="234" t="e">
        <f aca="false">Q7+M7</f>
        <v>#VALUE!</v>
      </c>
      <c r="X7" s="227"/>
    </row>
    <row r="8" customFormat="false" ht="12.75" hidden="false" customHeight="false" outlineLevel="0" collapsed="false">
      <c r="A8" s="229" t="n">
        <v>37316</v>
      </c>
      <c r="B8" s="230" t="e">
        <f aca="false">(LongTerm10!BM26+LongTerm10!BL26/(1-LongTerm10!AR26))*(LongTerm10!F26*LongTerm10!AF26*LongTerm10!AH26)/10000</f>
        <v>#VALUE!</v>
      </c>
      <c r="C8" s="230" t="e">
        <f aca="false">LongTerm10!BM26*(LongTerm10!F26*LongTerm10!AF26*LongTerm10!AH26)/10000</f>
        <v>#VALUE!</v>
      </c>
      <c r="D8" s="230" t="e">
        <f aca="false">(LongTerm10!BL26/(1-LongTerm10!AR26))*(LongTerm10!F26*LongTerm10!AF26*LongTerm10!AH26)/10000</f>
        <v>#VALUE!</v>
      </c>
      <c r="F8" s="238"/>
      <c r="G8" s="238"/>
      <c r="H8" s="238"/>
      <c r="I8" s="177"/>
      <c r="J8" s="229" t="n">
        <f aca="false">A8</f>
        <v>37316</v>
      </c>
      <c r="K8" s="231" t="e">
        <f aca="false">B8</f>
        <v>#VALUE!</v>
      </c>
      <c r="L8" s="231" t="e">
        <f aca="false">D8</f>
        <v>#VALUE!</v>
      </c>
      <c r="M8" s="231" t="e">
        <f aca="false">C8</f>
        <v>#VALUE!</v>
      </c>
      <c r="N8" s="229" t="n">
        <v>37316</v>
      </c>
      <c r="O8" s="232" t="n">
        <v>0</v>
      </c>
      <c r="P8" s="232" t="n">
        <v>17.86887737</v>
      </c>
      <c r="Q8" s="232" t="n">
        <v>-17.86887737</v>
      </c>
      <c r="S8" s="225"/>
      <c r="T8" s="233" t="n">
        <f aca="false">A8</f>
        <v>37316</v>
      </c>
      <c r="U8" s="234" t="e">
        <f aca="false">O8+K8</f>
        <v>#VALUE!</v>
      </c>
      <c r="V8" s="234" t="e">
        <f aca="false">P8+L8</f>
        <v>#VALUE!</v>
      </c>
      <c r="W8" s="234" t="e">
        <f aca="false">Q8+M8</f>
        <v>#VALUE!</v>
      </c>
      <c r="X8" s="227"/>
    </row>
    <row r="9" customFormat="false" ht="12.75" hidden="false" customHeight="false" outlineLevel="0" collapsed="false">
      <c r="A9" s="229" t="n">
        <v>37347</v>
      </c>
      <c r="B9" s="230" t="e">
        <f aca="false">(LongTerm10!BM27+LongTerm10!BL27/(1-LongTerm10!AR27))*(LongTerm10!F27*LongTerm10!AF27*LongTerm10!AH27)/10000</f>
        <v>#VALUE!</v>
      </c>
      <c r="C9" s="230" t="e">
        <f aca="false">LongTerm10!BM27*(LongTerm10!F27*LongTerm10!AF27*LongTerm10!AH27)/10000</f>
        <v>#VALUE!</v>
      </c>
      <c r="D9" s="230" t="e">
        <f aca="false">(LongTerm10!BL27/(1-LongTerm10!AR27))*(LongTerm10!F27*LongTerm10!AF27*LongTerm10!AH27)/10000</f>
        <v>#VALUE!</v>
      </c>
      <c r="F9" s="238"/>
      <c r="G9" s="238"/>
      <c r="H9" s="238"/>
      <c r="I9" s="177"/>
      <c r="J9" s="229" t="n">
        <f aca="false">A9</f>
        <v>37347</v>
      </c>
      <c r="K9" s="231" t="e">
        <f aca="false">B9</f>
        <v>#VALUE!</v>
      </c>
      <c r="L9" s="231" t="e">
        <f aca="false">D9</f>
        <v>#VALUE!</v>
      </c>
      <c r="M9" s="231" t="e">
        <f aca="false">C9</f>
        <v>#VALUE!</v>
      </c>
      <c r="N9" s="229" t="n">
        <v>37347</v>
      </c>
      <c r="O9" s="232" t="n">
        <v>0</v>
      </c>
      <c r="P9" s="232" t="n">
        <v>19.45343793</v>
      </c>
      <c r="Q9" s="232" t="n">
        <v>-19.72019406</v>
      </c>
      <c r="S9" s="225"/>
      <c r="T9" s="233" t="n">
        <f aca="false">A9</f>
        <v>37347</v>
      </c>
      <c r="U9" s="234" t="e">
        <f aca="false">O9+K9</f>
        <v>#VALUE!</v>
      </c>
      <c r="V9" s="234" t="e">
        <f aca="false">P9+L9</f>
        <v>#VALUE!</v>
      </c>
      <c r="W9" s="234" t="e">
        <f aca="false">Q9+M9</f>
        <v>#VALUE!</v>
      </c>
      <c r="X9" s="227"/>
    </row>
    <row r="10" customFormat="false" ht="12.75" hidden="false" customHeight="false" outlineLevel="0" collapsed="false">
      <c r="A10" s="229" t="n">
        <v>37377</v>
      </c>
      <c r="B10" s="230" t="e">
        <f aca="false">(LongTerm10!BM28+LongTerm10!BL28/(1-LongTerm10!AR28))*(LongTerm10!F28*LongTerm10!AF28*LongTerm10!AH28)/10000</f>
        <v>#VALUE!</v>
      </c>
      <c r="C10" s="230" t="e">
        <f aca="false">LongTerm10!BM28*(LongTerm10!F28*LongTerm10!AF28*LongTerm10!AH28)/10000</f>
        <v>#VALUE!</v>
      </c>
      <c r="D10" s="230" t="e">
        <f aca="false">(LongTerm10!BL28/(1-LongTerm10!AR28))*(LongTerm10!F28*LongTerm10!AF28*LongTerm10!AH28)/10000</f>
        <v>#VALUE!</v>
      </c>
      <c r="F10" s="230"/>
      <c r="G10" s="230"/>
      <c r="H10" s="230"/>
      <c r="J10" s="229" t="n">
        <f aca="false">A10</f>
        <v>37377</v>
      </c>
      <c r="K10" s="231" t="e">
        <f aca="false">B10</f>
        <v>#VALUE!</v>
      </c>
      <c r="L10" s="231" t="e">
        <f aca="false">D10</f>
        <v>#VALUE!</v>
      </c>
      <c r="M10" s="231" t="e">
        <f aca="false">C10</f>
        <v>#VALUE!</v>
      </c>
      <c r="N10" s="229" t="n">
        <v>37377</v>
      </c>
      <c r="O10" s="232" t="n">
        <v>0</v>
      </c>
      <c r="P10" s="232" t="n">
        <v>23.93999379</v>
      </c>
      <c r="Q10" s="232" t="n">
        <v>-24.70907102</v>
      </c>
      <c r="S10" s="225"/>
      <c r="T10" s="233" t="n">
        <f aca="false">A10</f>
        <v>37377</v>
      </c>
      <c r="U10" s="234" t="e">
        <f aca="false">O10+K10</f>
        <v>#VALUE!</v>
      </c>
      <c r="V10" s="234" t="e">
        <f aca="false">P10+L10</f>
        <v>#VALUE!</v>
      </c>
      <c r="W10" s="234" t="e">
        <f aca="false">Q10+M10</f>
        <v>#VALUE!</v>
      </c>
      <c r="X10" s="227"/>
      <c r="Z10" s="239"/>
      <c r="AA10" s="239"/>
      <c r="AB10" s="240"/>
      <c r="AC10" s="241"/>
      <c r="AD10" s="241"/>
      <c r="AE10" s="241"/>
    </row>
    <row r="11" customFormat="false" ht="12.75" hidden="false" customHeight="false" outlineLevel="0" collapsed="false">
      <c r="A11" s="229" t="n">
        <v>37408</v>
      </c>
      <c r="B11" s="230" t="e">
        <f aca="false">(LongTerm10!BM29+LongTerm10!BL29/(1-LongTerm10!AR29))*(LongTerm10!F29*LongTerm10!AF29*LongTerm10!AH29)/10000</f>
        <v>#VALUE!</v>
      </c>
      <c r="C11" s="230" t="e">
        <f aca="false">LongTerm10!BM29*(LongTerm10!F29*LongTerm10!AF29*LongTerm10!AH29)/10000</f>
        <v>#VALUE!</v>
      </c>
      <c r="D11" s="230" t="e">
        <f aca="false">(LongTerm10!BL29/(1-LongTerm10!AR29))*(LongTerm10!F29*LongTerm10!AF29*LongTerm10!AH29)/10000</f>
        <v>#VALUE!</v>
      </c>
      <c r="F11" s="230"/>
      <c r="G11" s="230"/>
      <c r="H11" s="230"/>
      <c r="J11" s="229" t="n">
        <f aca="false">A11</f>
        <v>37408</v>
      </c>
      <c r="K11" s="231" t="e">
        <f aca="false">B11</f>
        <v>#VALUE!</v>
      </c>
      <c r="L11" s="231" t="e">
        <f aca="false">D11</f>
        <v>#VALUE!</v>
      </c>
      <c r="M11" s="231" t="e">
        <f aca="false">C11</f>
        <v>#VALUE!</v>
      </c>
      <c r="N11" s="229" t="n">
        <v>37408</v>
      </c>
      <c r="O11" s="232" t="n">
        <v>0</v>
      </c>
      <c r="P11" s="232" t="n">
        <v>22.92591501</v>
      </c>
      <c r="Q11" s="232" t="n">
        <v>-23.9984149</v>
      </c>
      <c r="S11" s="225"/>
      <c r="T11" s="233" t="n">
        <f aca="false">A11</f>
        <v>37408</v>
      </c>
      <c r="U11" s="234" t="e">
        <f aca="false">O11+K11</f>
        <v>#VALUE!</v>
      </c>
      <c r="V11" s="234" t="e">
        <f aca="false">P11+L11</f>
        <v>#VALUE!</v>
      </c>
      <c r="W11" s="234" t="e">
        <f aca="false">Q11+M11</f>
        <v>#VALUE!</v>
      </c>
      <c r="X11" s="227"/>
      <c r="Z11" s="239"/>
      <c r="AA11" s="239"/>
      <c r="AB11" s="240"/>
      <c r="AC11" s="241"/>
      <c r="AD11" s="241"/>
      <c r="AE11" s="241"/>
    </row>
    <row r="12" customFormat="false" ht="12.75" hidden="false" customHeight="false" outlineLevel="0" collapsed="false">
      <c r="A12" s="229" t="n">
        <v>37438</v>
      </c>
      <c r="B12" s="230" t="e">
        <f aca="false">(LongTerm10!BM30+LongTerm10!BL30/(1-LongTerm10!AR30))*(LongTerm10!F30*LongTerm10!AF30*LongTerm10!AH30)/10000</f>
        <v>#VALUE!</v>
      </c>
      <c r="C12" s="230" t="e">
        <f aca="false">LongTerm10!BM30*(LongTerm10!F30*LongTerm10!AF30*LongTerm10!AH30)/10000</f>
        <v>#VALUE!</v>
      </c>
      <c r="D12" s="230" t="e">
        <f aca="false">(LongTerm10!BL30/(1-LongTerm10!AR30))*(LongTerm10!F30*LongTerm10!AF30*LongTerm10!AH30)/10000</f>
        <v>#VALUE!</v>
      </c>
      <c r="F12" s="230"/>
      <c r="G12" s="230"/>
      <c r="H12" s="230"/>
      <c r="J12" s="229" t="n">
        <f aca="false">A12</f>
        <v>37438</v>
      </c>
      <c r="K12" s="231" t="e">
        <f aca="false">B12</f>
        <v>#VALUE!</v>
      </c>
      <c r="L12" s="231" t="e">
        <f aca="false">D12</f>
        <v>#VALUE!</v>
      </c>
      <c r="M12" s="231" t="e">
        <f aca="false">C12</f>
        <v>#VALUE!</v>
      </c>
      <c r="N12" s="229" t="n">
        <v>37438</v>
      </c>
      <c r="O12" s="232" t="n">
        <v>0</v>
      </c>
      <c r="P12" s="232" t="n">
        <v>23.67322101</v>
      </c>
      <c r="Q12" s="232" t="n">
        <v>-24.39981509</v>
      </c>
      <c r="S12" s="225"/>
      <c r="T12" s="233" t="n">
        <f aca="false">A12</f>
        <v>37438</v>
      </c>
      <c r="U12" s="234" t="e">
        <f aca="false">O12+K12</f>
        <v>#VALUE!</v>
      </c>
      <c r="V12" s="234" t="e">
        <f aca="false">P12+L12</f>
        <v>#VALUE!</v>
      </c>
      <c r="W12" s="234" t="e">
        <f aca="false">Q12+M12</f>
        <v>#VALUE!</v>
      </c>
      <c r="X12" s="227"/>
      <c r="Z12" s="239"/>
      <c r="AA12" s="239"/>
      <c r="AB12" s="240"/>
      <c r="AC12" s="241"/>
      <c r="AD12" s="241"/>
      <c r="AE12" s="241"/>
    </row>
    <row r="13" customFormat="false" ht="12.75" hidden="false" customHeight="false" outlineLevel="0" collapsed="false">
      <c r="A13" s="229" t="n">
        <v>37469</v>
      </c>
      <c r="B13" s="230"/>
      <c r="C13" s="230"/>
      <c r="D13" s="230"/>
      <c r="F13" s="230"/>
      <c r="G13" s="230"/>
      <c r="H13" s="230"/>
      <c r="J13" s="229"/>
      <c r="K13" s="231"/>
      <c r="L13" s="231"/>
      <c r="M13" s="231"/>
      <c r="N13" s="229"/>
      <c r="O13" s="232"/>
      <c r="P13" s="232"/>
      <c r="Q13" s="232"/>
      <c r="S13" s="225"/>
      <c r="T13" s="233"/>
      <c r="U13" s="234"/>
      <c r="V13" s="234"/>
      <c r="W13" s="234"/>
      <c r="X13" s="227"/>
      <c r="Z13" s="239"/>
      <c r="AA13" s="239"/>
      <c r="AB13" s="240"/>
      <c r="AC13" s="241"/>
      <c r="AD13" s="241"/>
      <c r="AE13" s="241"/>
    </row>
    <row r="14" customFormat="false" ht="12.75" hidden="false" customHeight="false" outlineLevel="0" collapsed="false">
      <c r="A14" s="229" t="n">
        <v>37500</v>
      </c>
      <c r="B14" s="230"/>
      <c r="C14" s="230"/>
      <c r="D14" s="230"/>
      <c r="F14" s="230"/>
      <c r="G14" s="230"/>
      <c r="H14" s="230"/>
      <c r="J14" s="229"/>
      <c r="K14" s="231"/>
      <c r="L14" s="231"/>
      <c r="M14" s="231"/>
      <c r="N14" s="229"/>
      <c r="O14" s="232"/>
      <c r="P14" s="232"/>
      <c r="Q14" s="232"/>
      <c r="S14" s="225"/>
      <c r="T14" s="233"/>
      <c r="U14" s="234"/>
      <c r="V14" s="234"/>
      <c r="W14" s="234"/>
      <c r="X14" s="227"/>
      <c r="Z14" s="239"/>
      <c r="AA14" s="239"/>
      <c r="AB14" s="240"/>
      <c r="AC14" s="241"/>
      <c r="AD14" s="241"/>
      <c r="AE14" s="241"/>
    </row>
    <row r="15" customFormat="false" ht="12.75" hidden="false" customHeight="false" outlineLevel="0" collapsed="false">
      <c r="A15" s="229" t="n">
        <v>37530</v>
      </c>
      <c r="B15" s="230"/>
      <c r="C15" s="230"/>
      <c r="D15" s="230"/>
      <c r="F15" s="230"/>
      <c r="G15" s="230"/>
      <c r="H15" s="230"/>
      <c r="J15" s="229"/>
      <c r="K15" s="231"/>
      <c r="L15" s="231"/>
      <c r="M15" s="231"/>
      <c r="N15" s="229"/>
      <c r="O15" s="232"/>
      <c r="P15" s="232"/>
      <c r="Q15" s="232"/>
      <c r="S15" s="225"/>
      <c r="T15" s="233"/>
      <c r="U15" s="234"/>
      <c r="V15" s="234"/>
      <c r="W15" s="234"/>
      <c r="X15" s="227"/>
      <c r="Z15" s="239"/>
      <c r="AA15" s="239"/>
      <c r="AB15" s="240"/>
      <c r="AC15" s="241"/>
      <c r="AD15" s="241"/>
      <c r="AE15" s="241"/>
    </row>
    <row r="16" customFormat="false" ht="12.75" hidden="false" customHeight="false" outlineLevel="0" collapsed="false">
      <c r="A16" s="229" t="n">
        <v>37561</v>
      </c>
      <c r="B16" s="230"/>
      <c r="C16" s="230"/>
      <c r="D16" s="230"/>
      <c r="F16" s="230"/>
      <c r="G16" s="230"/>
      <c r="H16" s="230"/>
      <c r="J16" s="229"/>
      <c r="K16" s="231"/>
      <c r="L16" s="231"/>
      <c r="M16" s="231"/>
      <c r="N16" s="229"/>
      <c r="O16" s="232"/>
      <c r="P16" s="232"/>
      <c r="Q16" s="232"/>
      <c r="S16" s="225"/>
      <c r="T16" s="233"/>
      <c r="U16" s="234"/>
      <c r="V16" s="234"/>
      <c r="W16" s="234"/>
      <c r="X16" s="227"/>
      <c r="Z16" s="239"/>
      <c r="AA16" s="239"/>
      <c r="AB16" s="240"/>
      <c r="AC16" s="241"/>
      <c r="AD16" s="241"/>
      <c r="AE16" s="241"/>
    </row>
    <row r="17" customFormat="false" ht="12.75" hidden="false" customHeight="false" outlineLevel="0" collapsed="false">
      <c r="A17" s="229" t="n">
        <v>37591</v>
      </c>
      <c r="B17" s="230"/>
      <c r="C17" s="230"/>
      <c r="D17" s="230"/>
      <c r="F17" s="230"/>
      <c r="G17" s="230"/>
      <c r="H17" s="230"/>
      <c r="J17" s="229"/>
      <c r="K17" s="231"/>
      <c r="L17" s="231"/>
      <c r="M17" s="231"/>
      <c r="N17" s="229"/>
      <c r="O17" s="232"/>
      <c r="P17" s="232"/>
      <c r="Q17" s="232"/>
      <c r="S17" s="225"/>
      <c r="T17" s="233"/>
      <c r="U17" s="234"/>
      <c r="V17" s="234"/>
      <c r="W17" s="234"/>
      <c r="X17" s="227"/>
      <c r="Z17" s="242"/>
      <c r="AA17" s="242"/>
      <c r="AB17" s="242"/>
      <c r="AC17" s="241"/>
      <c r="AD17" s="241"/>
    </row>
    <row r="18" customFormat="false" ht="12.75" hidden="false" customHeight="false" outlineLevel="0" collapsed="false">
      <c r="A18" s="229" t="n">
        <v>37622</v>
      </c>
      <c r="B18" s="230"/>
      <c r="C18" s="230"/>
      <c r="D18" s="230"/>
      <c r="F18" s="230"/>
      <c r="G18" s="230"/>
      <c r="H18" s="230"/>
      <c r="J18" s="229"/>
      <c r="K18" s="231"/>
      <c r="L18" s="231"/>
      <c r="M18" s="231"/>
      <c r="N18" s="229"/>
      <c r="O18" s="232"/>
      <c r="P18" s="232"/>
      <c r="Q18" s="232"/>
      <c r="S18" s="225"/>
      <c r="T18" s="233"/>
      <c r="U18" s="234"/>
      <c r="V18" s="234"/>
      <c r="W18" s="234"/>
      <c r="X18" s="227"/>
      <c r="Z18" s="243"/>
      <c r="AA18" s="243"/>
      <c r="AB18" s="243"/>
    </row>
    <row r="19" customFormat="false" ht="12.75" hidden="false" customHeight="false" outlineLevel="0" collapsed="false">
      <c r="A19" s="229" t="n">
        <v>37653</v>
      </c>
      <c r="B19" s="230"/>
      <c r="C19" s="230"/>
      <c r="D19" s="230"/>
      <c r="J19" s="229"/>
      <c r="K19" s="231"/>
      <c r="L19" s="231"/>
      <c r="M19" s="231"/>
      <c r="N19" s="229"/>
      <c r="O19" s="232"/>
      <c r="P19" s="232"/>
      <c r="Q19" s="232"/>
      <c r="S19" s="225"/>
      <c r="T19" s="233"/>
      <c r="U19" s="234"/>
      <c r="V19" s="234"/>
      <c r="W19" s="234"/>
      <c r="X19" s="227"/>
    </row>
    <row r="20" customFormat="false" ht="12.75" hidden="false" customHeight="false" outlineLevel="0" collapsed="false">
      <c r="A20" s="229" t="n">
        <v>37681</v>
      </c>
      <c r="B20" s="230"/>
      <c r="C20" s="230"/>
      <c r="D20" s="230"/>
      <c r="J20" s="229"/>
      <c r="K20" s="231"/>
      <c r="L20" s="231"/>
      <c r="M20" s="231"/>
      <c r="N20" s="229"/>
      <c r="O20" s="232"/>
      <c r="P20" s="232"/>
      <c r="Q20" s="232"/>
      <c r="S20" s="225"/>
      <c r="T20" s="233"/>
      <c r="U20" s="234"/>
      <c r="V20" s="234"/>
      <c r="W20" s="234"/>
      <c r="X20" s="227"/>
    </row>
    <row r="21" customFormat="false" ht="12.75" hidden="false" customHeight="false" outlineLevel="0" collapsed="false">
      <c r="A21" s="229" t="n">
        <v>37712</v>
      </c>
      <c r="B21" s="230"/>
      <c r="C21" s="230"/>
      <c r="D21" s="230"/>
      <c r="J21" s="229"/>
      <c r="K21" s="231"/>
      <c r="L21" s="231"/>
      <c r="M21" s="231"/>
      <c r="N21" s="229"/>
      <c r="O21" s="232"/>
      <c r="P21" s="232"/>
      <c r="Q21" s="232"/>
      <c r="S21" s="225"/>
      <c r="T21" s="233"/>
      <c r="U21" s="234"/>
      <c r="V21" s="234"/>
      <c r="W21" s="234"/>
      <c r="X21" s="227"/>
    </row>
    <row r="22" customFormat="false" ht="12.75" hidden="false" customHeight="false" outlineLevel="0" collapsed="false">
      <c r="A22" s="229" t="n">
        <v>37742</v>
      </c>
      <c r="B22" s="230"/>
      <c r="C22" s="230"/>
      <c r="D22" s="230"/>
      <c r="J22" s="229"/>
      <c r="K22" s="231"/>
      <c r="L22" s="231"/>
      <c r="M22" s="231"/>
      <c r="N22" s="229"/>
      <c r="O22" s="232"/>
      <c r="P22" s="232"/>
      <c r="Q22" s="232"/>
      <c r="S22" s="225"/>
      <c r="X22" s="227"/>
    </row>
    <row r="23" customFormat="false" ht="12.75" hidden="false" customHeight="false" outlineLevel="0" collapsed="false">
      <c r="A23" s="229" t="n">
        <v>37773</v>
      </c>
      <c r="B23" s="230"/>
      <c r="C23" s="230"/>
      <c r="D23" s="230"/>
      <c r="J23" s="229"/>
      <c r="K23" s="231"/>
      <c r="L23" s="231"/>
      <c r="M23" s="231"/>
      <c r="N23" s="229"/>
      <c r="O23" s="232"/>
      <c r="P23" s="232"/>
      <c r="Q23" s="232"/>
      <c r="S23" s="225"/>
      <c r="X23" s="227"/>
    </row>
    <row r="24" customFormat="false" ht="12.75" hidden="false" customHeight="false" outlineLevel="0" collapsed="false">
      <c r="A24" s="229" t="n">
        <v>37803</v>
      </c>
      <c r="B24" s="230"/>
      <c r="C24" s="230"/>
      <c r="D24" s="230"/>
      <c r="J24" s="229"/>
      <c r="K24" s="231"/>
      <c r="L24" s="231"/>
      <c r="M24" s="231"/>
      <c r="N24" s="229"/>
      <c r="O24" s="232"/>
      <c r="P24" s="232"/>
      <c r="Q24" s="232"/>
      <c r="S24" s="225"/>
      <c r="X24" s="227"/>
    </row>
    <row r="25" customFormat="false" ht="12.75" hidden="false" customHeight="false" outlineLevel="0" collapsed="false">
      <c r="A25" s="229" t="n">
        <v>37834</v>
      </c>
      <c r="B25" s="230"/>
      <c r="C25" s="230"/>
      <c r="D25" s="230"/>
      <c r="J25" s="229"/>
      <c r="K25" s="231"/>
      <c r="L25" s="231"/>
      <c r="M25" s="231"/>
      <c r="N25" s="229"/>
      <c r="O25" s="232"/>
      <c r="P25" s="232"/>
      <c r="Q25" s="232"/>
      <c r="S25" s="225"/>
      <c r="T25" s="226"/>
      <c r="U25" s="234"/>
      <c r="V25" s="234"/>
      <c r="W25" s="234"/>
      <c r="X25" s="227"/>
    </row>
    <row r="26" customFormat="false" ht="15.75" hidden="false" customHeight="false" outlineLevel="0" collapsed="false">
      <c r="A26" s="229" t="n">
        <v>37865</v>
      </c>
      <c r="B26" s="230"/>
      <c r="C26" s="230"/>
      <c r="D26" s="230"/>
      <c r="K26" s="231"/>
      <c r="L26" s="231"/>
      <c r="M26" s="231"/>
      <c r="O26" s="232"/>
      <c r="P26" s="232"/>
      <c r="Q26" s="232"/>
      <c r="S26" s="225"/>
      <c r="T26" s="244" t="s">
        <v>416</v>
      </c>
      <c r="U26" s="245" t="e">
        <f aca="false">SUM(U4:U25)</f>
        <v>#VALUE!</v>
      </c>
      <c r="V26" s="245" t="e">
        <f aca="false">SUM(V4:V25)</f>
        <v>#VALUE!</v>
      </c>
      <c r="W26" s="245" t="e">
        <f aca="false">SUM(W4:W25)</f>
        <v>#VALUE!</v>
      </c>
      <c r="X26" s="227"/>
    </row>
    <row r="27" customFormat="false" ht="13.5" hidden="false" customHeight="false" outlineLevel="0" collapsed="false">
      <c r="A27" s="229" t="n">
        <v>37895</v>
      </c>
      <c r="B27" s="230"/>
      <c r="C27" s="230"/>
      <c r="D27" s="230"/>
      <c r="K27" s="231"/>
      <c r="L27" s="231"/>
      <c r="M27" s="231"/>
      <c r="O27" s="232"/>
      <c r="P27" s="232"/>
      <c r="Q27" s="232"/>
      <c r="S27" s="246"/>
      <c r="T27" s="247"/>
      <c r="U27" s="247"/>
      <c r="V27" s="247"/>
      <c r="W27" s="247"/>
      <c r="X27" s="248"/>
    </row>
    <row r="28" customFormat="false" ht="12.75" hidden="false" customHeight="false" outlineLevel="0" collapsed="false">
      <c r="A28" s="229" t="n">
        <v>37926</v>
      </c>
      <c r="B28" s="230"/>
      <c r="C28" s="230"/>
      <c r="D28" s="230"/>
      <c r="K28" s="249"/>
    </row>
    <row r="29" customFormat="false" ht="12.75" hidden="false" customHeight="false" outlineLevel="0" collapsed="false">
      <c r="A29" s="229" t="n">
        <v>37956</v>
      </c>
      <c r="B29" s="230"/>
      <c r="C29" s="230"/>
      <c r="D29" s="230"/>
      <c r="K29" s="249"/>
      <c r="S29" s="250" t="s">
        <v>417</v>
      </c>
      <c r="T29" s="250" t="s">
        <v>418</v>
      </c>
      <c r="U29" s="237" t="s">
        <v>419</v>
      </c>
      <c r="V29" s="219" t="s">
        <v>410</v>
      </c>
      <c r="W29" s="219" t="s">
        <v>420</v>
      </c>
      <c r="X29" s="219" t="s">
        <v>421</v>
      </c>
    </row>
    <row r="30" customFormat="false" ht="12.75" hidden="false" customHeight="false" outlineLevel="0" collapsed="false">
      <c r="A30" s="229" t="n">
        <v>37987</v>
      </c>
      <c r="B30" s="230"/>
      <c r="C30" s="230"/>
      <c r="D30" s="230"/>
      <c r="K30" s="249"/>
      <c r="S30" s="239" t="n">
        <v>9</v>
      </c>
      <c r="T30" s="239" t="s">
        <v>71</v>
      </c>
      <c r="U30" s="240" t="s">
        <v>422</v>
      </c>
      <c r="V30" s="241" t="e">
        <f aca="false">LongTerm9!DL20</f>
        <v>#VALUE!</v>
      </c>
      <c r="W30" s="241" t="e">
        <f aca="false">LongTerm9!DM20</f>
        <v>#VALUE!</v>
      </c>
      <c r="X30" s="241" t="e">
        <f aca="false">LongTerm9!DN20</f>
        <v>#VALUE!</v>
      </c>
    </row>
    <row r="31" customFormat="false" ht="12.75" hidden="false" customHeight="false" outlineLevel="0" collapsed="false">
      <c r="A31" s="229" t="n">
        <v>38018</v>
      </c>
      <c r="B31" s="230"/>
      <c r="C31" s="230"/>
      <c r="D31" s="230"/>
      <c r="K31" s="249"/>
      <c r="S31" s="239" t="n">
        <v>10</v>
      </c>
      <c r="T31" s="239" t="s">
        <v>81</v>
      </c>
      <c r="U31" s="240" t="s">
        <v>423</v>
      </c>
      <c r="V31" s="241" t="e">
        <f aca="false">LongTerm10!DL20</f>
        <v>#VALUE!</v>
      </c>
      <c r="W31" s="241" t="e">
        <f aca="false">LongTerm10!DM20</f>
        <v>#VALUE!</v>
      </c>
      <c r="X31" s="241" t="e">
        <f aca="false">LongTerm10!DN20</f>
        <v>#VALUE!</v>
      </c>
    </row>
    <row r="32" customFormat="false" ht="13.5" hidden="false" customHeight="false" outlineLevel="0" collapsed="false">
      <c r="A32" s="229" t="n">
        <v>38047</v>
      </c>
      <c r="B32" s="230"/>
      <c r="C32" s="230"/>
      <c r="D32" s="230"/>
      <c r="K32" s="249"/>
      <c r="V32" s="251" t="e">
        <f aca="false">SUM(V30:V31)</f>
        <v>#VALUE!</v>
      </c>
      <c r="W32" s="251" t="e">
        <f aca="false">SUM(W30:W31)</f>
        <v>#VALUE!</v>
      </c>
      <c r="X32" s="251" t="e">
        <f aca="false">SUM(X30:X31)</f>
        <v>#VALUE!</v>
      </c>
    </row>
    <row r="33" customFormat="false" ht="13.5" hidden="false" customHeight="false" outlineLevel="0" collapsed="false">
      <c r="A33" s="229" t="n">
        <v>38078</v>
      </c>
      <c r="B33" s="230"/>
      <c r="C33" s="230"/>
      <c r="D33" s="230"/>
    </row>
    <row r="34" customFormat="false" ht="12.75" hidden="false" customHeight="false" outlineLevel="0" collapsed="false">
      <c r="A34" s="229" t="n">
        <v>38108</v>
      </c>
      <c r="B34" s="230"/>
      <c r="C34" s="230"/>
      <c r="D34" s="230"/>
    </row>
    <row r="35" customFormat="false" ht="12.75" hidden="false" customHeight="false" outlineLevel="0" collapsed="false">
      <c r="A35" s="229" t="n">
        <v>38139</v>
      </c>
      <c r="B35" s="230"/>
      <c r="C35" s="230"/>
      <c r="D35" s="230"/>
    </row>
    <row r="36" customFormat="false" ht="12.75" hidden="false" customHeight="false" outlineLevel="0" collapsed="false">
      <c r="A36" s="229" t="n">
        <v>38169</v>
      </c>
      <c r="B36" s="230"/>
      <c r="C36" s="230"/>
      <c r="D36" s="230"/>
    </row>
    <row r="37" customFormat="false" ht="12.75" hidden="false" customHeight="false" outlineLevel="0" collapsed="false">
      <c r="A37" s="229" t="n">
        <v>38200</v>
      </c>
      <c r="B37" s="230"/>
      <c r="C37" s="230"/>
      <c r="D37" s="230"/>
    </row>
    <row r="38" customFormat="false" ht="12.75" hidden="false" customHeight="false" outlineLevel="0" collapsed="false">
      <c r="A38" s="229" t="n">
        <v>38231</v>
      </c>
      <c r="B38" s="230"/>
      <c r="C38" s="230"/>
      <c r="D38" s="230"/>
    </row>
    <row r="39" customFormat="false" ht="12.75" hidden="false" customHeight="false" outlineLevel="0" collapsed="false">
      <c r="A39" s="229" t="n">
        <v>38261</v>
      </c>
      <c r="B39" s="230"/>
      <c r="C39" s="230"/>
      <c r="D39" s="230"/>
    </row>
    <row r="40" customFormat="false" ht="12.75" hidden="false" customHeight="false" outlineLevel="0" collapsed="false">
      <c r="A40" s="229" t="n">
        <v>38292</v>
      </c>
      <c r="B40" s="230"/>
      <c r="C40" s="230"/>
      <c r="D40" s="230"/>
    </row>
    <row r="41" customFormat="false" ht="12.75" hidden="false" customHeight="false" outlineLevel="0" collapsed="false">
      <c r="A41" s="229" t="n">
        <v>38322</v>
      </c>
      <c r="B41" s="230"/>
      <c r="C41" s="230"/>
      <c r="D41" s="230"/>
    </row>
    <row r="42" customFormat="false" ht="12.75" hidden="false" customHeight="false" outlineLevel="0" collapsed="false">
      <c r="A42" s="229" t="n">
        <v>38353</v>
      </c>
      <c r="B42" s="230"/>
      <c r="C42" s="230"/>
      <c r="D42" s="230"/>
    </row>
    <row r="43" customFormat="false" ht="12.75" hidden="false" customHeight="false" outlineLevel="0" collapsed="false">
      <c r="A43" s="229" t="n">
        <v>38384</v>
      </c>
      <c r="B43" s="230"/>
      <c r="C43" s="230"/>
      <c r="D43" s="230"/>
    </row>
    <row r="44" customFormat="false" ht="12.75" hidden="false" customHeight="false" outlineLevel="0" collapsed="false">
      <c r="A44" s="229" t="n">
        <v>38412</v>
      </c>
    </row>
    <row r="45" customFormat="false" ht="12.75" hidden="false" customHeight="false" outlineLevel="0" collapsed="false">
      <c r="A45" s="229" t="n">
        <v>38443</v>
      </c>
    </row>
    <row r="46" customFormat="false" ht="12.75" hidden="false" customHeight="false" outlineLevel="0" collapsed="false">
      <c r="A46" s="229" t="n">
        <v>38473</v>
      </c>
    </row>
    <row r="47" customFormat="false" ht="12.75" hidden="false" customHeight="false" outlineLevel="0" collapsed="false">
      <c r="A47" s="229" t="n">
        <v>38504</v>
      </c>
    </row>
    <row r="48" customFormat="false" ht="12.75" hidden="false" customHeight="false" outlineLevel="0" collapsed="false">
      <c r="A48" s="229" t="n">
        <v>38534</v>
      </c>
    </row>
    <row r="49" customFormat="false" ht="12.75" hidden="false" customHeight="false" outlineLevel="0" collapsed="false">
      <c r="A49" s="229" t="n">
        <v>38565</v>
      </c>
    </row>
    <row r="50" customFormat="false" ht="12.75" hidden="false" customHeight="false" outlineLevel="0" collapsed="false">
      <c r="A50" s="229" t="n">
        <v>38596</v>
      </c>
    </row>
    <row r="51" customFormat="false" ht="12.75" hidden="false" customHeight="false" outlineLevel="0" collapsed="false">
      <c r="A51" s="229" t="n">
        <v>38626</v>
      </c>
    </row>
    <row r="52" customFormat="false" ht="12.75" hidden="false" customHeight="false" outlineLevel="0" collapsed="false">
      <c r="A52" s="229" t="n">
        <v>38657</v>
      </c>
    </row>
    <row r="53" customFormat="false" ht="12.75" hidden="false" customHeight="false" outlineLevel="0" collapsed="false">
      <c r="A53" s="229" t="n">
        <v>38687</v>
      </c>
    </row>
    <row r="54" customFormat="false" ht="12.75" hidden="false" customHeight="false" outlineLevel="0" collapsed="false">
      <c r="A54" s="229" t="n">
        <v>38718</v>
      </c>
    </row>
    <row r="55" customFormat="false" ht="12.75" hidden="false" customHeight="false" outlineLevel="0" collapsed="false">
      <c r="A55" s="229" t="n">
        <v>38749</v>
      </c>
    </row>
    <row r="56" customFormat="false" ht="12.75" hidden="false" customHeight="false" outlineLevel="0" collapsed="false">
      <c r="A56" s="229" t="n">
        <v>38777</v>
      </c>
    </row>
    <row r="57" customFormat="false" ht="12.75" hidden="false" customHeight="false" outlineLevel="0" collapsed="false">
      <c r="A57" s="229" t="n">
        <v>38808</v>
      </c>
    </row>
    <row r="58" customFormat="false" ht="12.75" hidden="false" customHeight="false" outlineLevel="0" collapsed="false">
      <c r="A58" s="229" t="n">
        <v>38838</v>
      </c>
    </row>
    <row r="59" customFormat="false" ht="12.75" hidden="false" customHeight="false" outlineLevel="0" collapsed="false">
      <c r="A59" s="229" t="n">
        <v>38869</v>
      </c>
    </row>
    <row r="60" customFormat="false" ht="12.75" hidden="false" customHeight="false" outlineLevel="0" collapsed="false">
      <c r="A60" s="229" t="n">
        <v>38899</v>
      </c>
    </row>
    <row r="61" customFormat="false" ht="12.75" hidden="false" customHeight="false" outlineLevel="0" collapsed="false">
      <c r="A61" s="229" t="n">
        <v>38930</v>
      </c>
    </row>
    <row r="62" customFormat="false" ht="12.75" hidden="false" customHeight="false" outlineLevel="0" collapsed="false">
      <c r="A62" s="229" t="n">
        <v>38961</v>
      </c>
    </row>
    <row r="63" customFormat="false" ht="12.75" hidden="false" customHeight="false" outlineLevel="0" collapsed="false">
      <c r="A63" s="229" t="n">
        <v>38991</v>
      </c>
    </row>
    <row r="64" customFormat="false" ht="12.75" hidden="false" customHeight="false" outlineLevel="0" collapsed="false">
      <c r="A64" s="229" t="n">
        <v>39022</v>
      </c>
    </row>
    <row r="65" customFormat="false" ht="12.75" hidden="false" customHeight="false" outlineLevel="0" collapsed="false">
      <c r="A65" s="229" t="n">
        <v>39052</v>
      </c>
    </row>
    <row r="66" customFormat="false" ht="12.75" hidden="false" customHeight="false" outlineLevel="0" collapsed="false">
      <c r="A66" s="229" t="n">
        <v>39083</v>
      </c>
    </row>
    <row r="67" customFormat="false" ht="12.75" hidden="false" customHeight="false" outlineLevel="0" collapsed="false">
      <c r="A67" s="229" t="n">
        <v>39114</v>
      </c>
    </row>
    <row r="68" customFormat="false" ht="12.75" hidden="false" customHeight="false" outlineLevel="0" collapsed="false">
      <c r="A68" s="229" t="n">
        <v>39142</v>
      </c>
    </row>
    <row r="69" customFormat="false" ht="12.75" hidden="false" customHeight="false" outlineLevel="0" collapsed="false">
      <c r="A69" s="229" t="n">
        <v>39173</v>
      </c>
    </row>
    <row r="70" customFormat="false" ht="12.75" hidden="false" customHeight="false" outlineLevel="0" collapsed="false">
      <c r="A70" s="229" t="n">
        <v>39203</v>
      </c>
    </row>
    <row r="71" customFormat="false" ht="12.75" hidden="false" customHeight="false" outlineLevel="0" collapsed="false">
      <c r="A71" s="229" t="n">
        <v>39234</v>
      </c>
    </row>
    <row r="72" customFormat="false" ht="12.75" hidden="false" customHeight="false" outlineLevel="0" collapsed="false">
      <c r="A72" s="229" t="n">
        <v>39264</v>
      </c>
    </row>
    <row r="73" customFormat="false" ht="12.75" hidden="false" customHeight="false" outlineLevel="0" collapsed="false">
      <c r="A73" s="229" t="n">
        <v>39295</v>
      </c>
    </row>
    <row r="74" customFormat="false" ht="12.75" hidden="false" customHeight="false" outlineLevel="0" collapsed="false">
      <c r="A74" s="229" t="n">
        <v>39326</v>
      </c>
    </row>
    <row r="75" customFormat="false" ht="12.75" hidden="false" customHeight="false" outlineLevel="0" collapsed="false">
      <c r="A75" s="229" t="n">
        <v>39356</v>
      </c>
    </row>
    <row r="76" customFormat="false" ht="12.75" hidden="false" customHeight="false" outlineLevel="0" collapsed="false">
      <c r="A76" s="229" t="n">
        <v>39387</v>
      </c>
    </row>
    <row r="77" customFormat="false" ht="12.75" hidden="false" customHeight="false" outlineLevel="0" collapsed="false">
      <c r="A77" s="229" t="n">
        <v>39417</v>
      </c>
    </row>
    <row r="78" customFormat="false" ht="12.75" hidden="false" customHeight="false" outlineLevel="0" collapsed="false">
      <c r="A78" s="229" t="n">
        <v>39448</v>
      </c>
    </row>
    <row r="79" customFormat="false" ht="12.75" hidden="false" customHeight="false" outlineLevel="0" collapsed="false">
      <c r="A79" s="229" t="n">
        <v>39479</v>
      </c>
    </row>
    <row r="80" customFormat="false" ht="12.75" hidden="false" customHeight="false" outlineLevel="0" collapsed="false">
      <c r="A80" s="229" t="n">
        <v>39508</v>
      </c>
    </row>
    <row r="81" customFormat="false" ht="12.75" hidden="false" customHeight="false" outlineLevel="0" collapsed="false">
      <c r="A81" s="229" t="n">
        <v>39539</v>
      </c>
    </row>
    <row r="82" customFormat="false" ht="12.75" hidden="false" customHeight="false" outlineLevel="0" collapsed="false">
      <c r="A82" s="229" t="n">
        <v>39569</v>
      </c>
    </row>
    <row r="83" customFormat="false" ht="12.75" hidden="false" customHeight="false" outlineLevel="0" collapsed="false">
      <c r="A83" s="229" t="n">
        <v>39600</v>
      </c>
    </row>
    <row r="84" customFormat="false" ht="12.75" hidden="false" customHeight="false" outlineLevel="0" collapsed="false">
      <c r="A84" s="229" t="n">
        <v>39630</v>
      </c>
    </row>
    <row r="85" customFormat="false" ht="12.75" hidden="false" customHeight="false" outlineLevel="0" collapsed="false">
      <c r="A85" s="229" t="n">
        <v>39661</v>
      </c>
    </row>
    <row r="86" customFormat="false" ht="12.75" hidden="false" customHeight="false" outlineLevel="0" collapsed="false">
      <c r="A86" s="229" t="n">
        <v>39692</v>
      </c>
    </row>
    <row r="87" customFormat="false" ht="12.75" hidden="false" customHeight="false" outlineLevel="0" collapsed="false">
      <c r="A87" s="229" t="n">
        <v>39722</v>
      </c>
    </row>
    <row r="88" customFormat="false" ht="12.75" hidden="false" customHeight="false" outlineLevel="0" collapsed="false">
      <c r="A88" s="229" t="n">
        <v>39753</v>
      </c>
    </row>
    <row r="89" customFormat="false" ht="12.75" hidden="false" customHeight="false" outlineLevel="0" collapsed="false">
      <c r="A89" s="229" t="n">
        <v>39783</v>
      </c>
    </row>
    <row r="90" customFormat="false" ht="12.75" hidden="false" customHeight="false" outlineLevel="0" collapsed="false">
      <c r="A90" s="229" t="n">
        <v>39814</v>
      </c>
    </row>
    <row r="91" customFormat="false" ht="12.75" hidden="false" customHeight="false" outlineLevel="0" collapsed="false">
      <c r="A91" s="229" t="n">
        <v>39845</v>
      </c>
    </row>
    <row r="92" customFormat="false" ht="12.75" hidden="false" customHeight="false" outlineLevel="0" collapsed="false">
      <c r="A92" s="229" t="n">
        <v>39873</v>
      </c>
    </row>
    <row r="93" customFormat="false" ht="12.75" hidden="false" customHeight="false" outlineLevel="0" collapsed="false">
      <c r="A93" s="229" t="n">
        <v>39904</v>
      </c>
    </row>
    <row r="94" customFormat="false" ht="12.75" hidden="false" customHeight="false" outlineLevel="0" collapsed="false">
      <c r="A94" s="229" t="n">
        <v>39934</v>
      </c>
    </row>
    <row r="95" customFormat="false" ht="12.75" hidden="false" customHeight="false" outlineLevel="0" collapsed="false">
      <c r="A95" s="229" t="n">
        <v>39965</v>
      </c>
    </row>
    <row r="96" customFormat="false" ht="12.75" hidden="false" customHeight="false" outlineLevel="0" collapsed="false">
      <c r="A96" s="229" t="n">
        <v>39995</v>
      </c>
    </row>
    <row r="97" customFormat="false" ht="12.75" hidden="false" customHeight="false" outlineLevel="0" collapsed="false">
      <c r="A97" s="229" t="n">
        <v>40026</v>
      </c>
    </row>
    <row r="98" customFormat="false" ht="12.75" hidden="false" customHeight="false" outlineLevel="0" collapsed="false">
      <c r="A98" s="229" t="n">
        <v>40057</v>
      </c>
      <c r="F98" s="232"/>
    </row>
    <row r="99" customFormat="false" ht="12.75" hidden="false" customHeight="false" outlineLevel="0" collapsed="false">
      <c r="A99" s="229" t="n">
        <v>40087</v>
      </c>
      <c r="F99" s="232"/>
    </row>
    <row r="100" customFormat="false" ht="12.75" hidden="false" customHeight="false" outlineLevel="0" collapsed="false">
      <c r="A100" s="229" t="n">
        <v>40118</v>
      </c>
      <c r="F100" s="232"/>
    </row>
    <row r="101" customFormat="false" ht="12.75" hidden="false" customHeight="false" outlineLevel="0" collapsed="false">
      <c r="A101" s="229" t="n">
        <v>40148</v>
      </c>
      <c r="F101" s="232"/>
    </row>
    <row r="102" customFormat="false" ht="12.75" hidden="false" customHeight="false" outlineLevel="0" collapsed="false">
      <c r="A102" s="229" t="n">
        <v>40179</v>
      </c>
      <c r="F102" s="232"/>
    </row>
    <row r="103" customFormat="false" ht="12.75" hidden="false" customHeight="false" outlineLevel="0" collapsed="false">
      <c r="A103" s="229" t="n">
        <v>40210</v>
      </c>
      <c r="F103" s="232"/>
    </row>
    <row r="104" customFormat="false" ht="12.75" hidden="false" customHeight="false" outlineLevel="0" collapsed="false">
      <c r="A104" s="229" t="n">
        <v>40238</v>
      </c>
      <c r="F104" s="232"/>
    </row>
    <row r="105" customFormat="false" ht="12.75" hidden="false" customHeight="false" outlineLevel="0" collapsed="false">
      <c r="A105" s="229" t="n">
        <v>40269</v>
      </c>
      <c r="F105" s="232"/>
    </row>
    <row r="106" customFormat="false" ht="12.75" hidden="false" customHeight="false" outlineLevel="0" collapsed="false">
      <c r="A106" s="229" t="n">
        <v>40299</v>
      </c>
      <c r="F106" s="232"/>
    </row>
    <row r="107" customFormat="false" ht="12.75" hidden="false" customHeight="false" outlineLevel="0" collapsed="false">
      <c r="A107" s="229" t="n">
        <v>40330</v>
      </c>
      <c r="F107" s="232"/>
    </row>
    <row r="108" customFormat="false" ht="12.75" hidden="false" customHeight="false" outlineLevel="0" collapsed="false">
      <c r="A108" s="229" t="n">
        <v>40360</v>
      </c>
      <c r="F108" s="232"/>
    </row>
    <row r="109" customFormat="false" ht="12.75" hidden="false" customHeight="false" outlineLevel="0" collapsed="false">
      <c r="A109" s="229" t="n">
        <v>40391</v>
      </c>
      <c r="F109" s="232"/>
    </row>
    <row r="110" customFormat="false" ht="12.75" hidden="false" customHeight="false" outlineLevel="0" collapsed="false">
      <c r="A110" s="229" t="n">
        <v>40422</v>
      </c>
      <c r="F110" s="232"/>
    </row>
    <row r="111" customFormat="false" ht="12.75" hidden="false" customHeight="false" outlineLevel="0" collapsed="false">
      <c r="A111" s="229" t="n">
        <v>40452</v>
      </c>
      <c r="F111" s="232"/>
    </row>
    <row r="112" customFormat="false" ht="12.75" hidden="false" customHeight="false" outlineLevel="0" collapsed="false">
      <c r="A112" s="229" t="n">
        <v>40483</v>
      </c>
      <c r="F112" s="232"/>
    </row>
    <row r="113" customFormat="false" ht="12.75" hidden="false" customHeight="false" outlineLevel="0" collapsed="false">
      <c r="A113" s="229" t="n">
        <v>40513</v>
      </c>
      <c r="F113" s="232"/>
    </row>
    <row r="114" customFormat="false" ht="12.75" hidden="false" customHeight="false" outlineLevel="0" collapsed="false">
      <c r="A114" s="229" t="n">
        <v>40544</v>
      </c>
      <c r="F114" s="232"/>
    </row>
    <row r="115" customFormat="false" ht="12.75" hidden="false" customHeight="false" outlineLevel="0" collapsed="false">
      <c r="A115" s="229" t="n">
        <v>40575</v>
      </c>
      <c r="F115" s="232"/>
    </row>
    <row r="116" customFormat="false" ht="12.75" hidden="false" customHeight="false" outlineLevel="0" collapsed="false">
      <c r="A116" s="229" t="n">
        <v>40603</v>
      </c>
      <c r="F116" s="232"/>
    </row>
    <row r="117" customFormat="false" ht="12.75" hidden="false" customHeight="false" outlineLevel="0" collapsed="false">
      <c r="A117" s="229" t="n">
        <v>40634</v>
      </c>
      <c r="F117" s="232"/>
    </row>
    <row r="118" customFormat="false" ht="12.75" hidden="false" customHeight="false" outlineLevel="0" collapsed="false">
      <c r="A118" s="229" t="n">
        <v>40664</v>
      </c>
      <c r="F118" s="232"/>
    </row>
    <row r="119" customFormat="false" ht="12.75" hidden="false" customHeight="false" outlineLevel="0" collapsed="false">
      <c r="A119" s="229" t="n">
        <v>40695</v>
      </c>
      <c r="F119" s="232"/>
    </row>
    <row r="120" customFormat="false" ht="12.75" hidden="false" customHeight="false" outlineLevel="0" collapsed="false">
      <c r="A120" s="229" t="n">
        <v>40725</v>
      </c>
      <c r="F120" s="232"/>
    </row>
    <row r="121" customFormat="false" ht="12.75" hidden="false" customHeight="false" outlineLevel="0" collapsed="false">
      <c r="A121" s="229" t="n">
        <v>40756</v>
      </c>
      <c r="F121" s="232"/>
    </row>
    <row r="122" customFormat="false" ht="12.75" hidden="false" customHeight="false" outlineLevel="0" collapsed="false">
      <c r="A122" s="229" t="n">
        <v>40787</v>
      </c>
      <c r="F122" s="232"/>
    </row>
    <row r="123" customFormat="false" ht="12.75" hidden="false" customHeight="false" outlineLevel="0" collapsed="false">
      <c r="A123" s="229" t="n">
        <v>40817</v>
      </c>
      <c r="F123" s="232"/>
    </row>
    <row r="124" customFormat="false" ht="12.75" hidden="false" customHeight="false" outlineLevel="0" collapsed="false">
      <c r="A124" s="229" t="n">
        <v>40848</v>
      </c>
      <c r="F124" s="232"/>
    </row>
    <row r="125" customFormat="false" ht="12.75" hidden="false" customHeight="false" outlineLevel="0" collapsed="false">
      <c r="A125" s="229" t="n">
        <v>40878</v>
      </c>
      <c r="F125" s="232"/>
    </row>
    <row r="126" customFormat="false" ht="12.75" hidden="false" customHeight="false" outlineLevel="0" collapsed="false">
      <c r="A126" s="229" t="n">
        <v>40909</v>
      </c>
      <c r="F126" s="232"/>
    </row>
    <row r="127" customFormat="false" ht="12.75" hidden="false" customHeight="false" outlineLevel="0" collapsed="false">
      <c r="A127" s="229" t="n">
        <v>40940</v>
      </c>
      <c r="F127" s="232"/>
    </row>
    <row r="128" customFormat="false" ht="12.75" hidden="false" customHeight="false" outlineLevel="0" collapsed="false">
      <c r="A128" s="229" t="n">
        <v>40969</v>
      </c>
      <c r="F128" s="232"/>
    </row>
    <row r="129" customFormat="false" ht="12.75" hidden="false" customHeight="false" outlineLevel="0" collapsed="false">
      <c r="A129" s="229" t="n">
        <v>41000</v>
      </c>
      <c r="F129" s="232"/>
    </row>
    <row r="130" customFormat="false" ht="12.75" hidden="false" customHeight="false" outlineLevel="0" collapsed="false">
      <c r="A130" s="229" t="n">
        <v>41030</v>
      </c>
      <c r="F130" s="232"/>
    </row>
    <row r="131" customFormat="false" ht="12.75" hidden="false" customHeight="false" outlineLevel="0" collapsed="false">
      <c r="A131" s="229" t="n">
        <v>41061</v>
      </c>
      <c r="F131" s="232"/>
    </row>
    <row r="132" customFormat="false" ht="12.75" hidden="false" customHeight="false" outlineLevel="0" collapsed="false">
      <c r="A132" s="229" t="n">
        <v>41091</v>
      </c>
      <c r="F132" s="232"/>
    </row>
    <row r="133" customFormat="false" ht="12.75" hidden="false" customHeight="false" outlineLevel="0" collapsed="false">
      <c r="A133" s="229" t="n">
        <v>41122</v>
      </c>
      <c r="F133" s="232"/>
    </row>
    <row r="134" customFormat="false" ht="12.75" hidden="false" customHeight="false" outlineLevel="0" collapsed="false">
      <c r="A134" s="229" t="n">
        <v>41153</v>
      </c>
      <c r="F134" s="232"/>
    </row>
    <row r="135" customFormat="false" ht="12.75" hidden="false" customHeight="false" outlineLevel="0" collapsed="false">
      <c r="A135" s="229" t="n">
        <v>41183</v>
      </c>
      <c r="F135" s="232"/>
    </row>
    <row r="136" customFormat="false" ht="12.75" hidden="false" customHeight="false" outlineLevel="0" collapsed="false">
      <c r="A136" s="229" t="n">
        <v>41214</v>
      </c>
      <c r="F136" s="232"/>
    </row>
    <row r="137" customFormat="false" ht="12.75" hidden="false" customHeight="false" outlineLevel="0" collapsed="false">
      <c r="A137" s="229" t="n">
        <v>41244</v>
      </c>
      <c r="F137" s="232"/>
    </row>
    <row r="138" customFormat="false" ht="12.75" hidden="false" customHeight="false" outlineLevel="0" collapsed="false">
      <c r="A138" s="229" t="n">
        <v>41275</v>
      </c>
      <c r="F138" s="232"/>
    </row>
    <row r="139" customFormat="false" ht="12.75" hidden="false" customHeight="false" outlineLevel="0" collapsed="false">
      <c r="A139" s="229" t="n">
        <v>41306</v>
      </c>
      <c r="F139" s="232"/>
    </row>
    <row r="140" customFormat="false" ht="12.75" hidden="false" customHeight="false" outlineLevel="0" collapsed="false">
      <c r="A140" s="229" t="n">
        <v>41334</v>
      </c>
      <c r="F140" s="232"/>
    </row>
    <row r="141" customFormat="false" ht="12.75" hidden="false" customHeight="false" outlineLevel="0" collapsed="false">
      <c r="A141" s="229" t="n">
        <v>41365</v>
      </c>
      <c r="F141" s="232"/>
    </row>
    <row r="142" customFormat="false" ht="12.75" hidden="false" customHeight="false" outlineLevel="0" collapsed="false">
      <c r="A142" s="229" t="n">
        <v>41395</v>
      </c>
      <c r="F142" s="232"/>
    </row>
    <row r="143" customFormat="false" ht="12.75" hidden="false" customHeight="false" outlineLevel="0" collapsed="false">
      <c r="A143" s="229" t="n">
        <v>41426</v>
      </c>
      <c r="F143" s="232"/>
    </row>
    <row r="144" customFormat="false" ht="12.75" hidden="false" customHeight="false" outlineLevel="0" collapsed="false">
      <c r="A144" s="229" t="n">
        <v>41456</v>
      </c>
      <c r="F144" s="232"/>
    </row>
    <row r="145" customFormat="false" ht="12.75" hidden="false" customHeight="false" outlineLevel="0" collapsed="false">
      <c r="A145" s="229" t="n">
        <v>41487</v>
      </c>
      <c r="F145" s="232"/>
    </row>
    <row r="146" customFormat="false" ht="12.75" hidden="false" customHeight="false" outlineLevel="0" collapsed="false">
      <c r="A146" s="229" t="n">
        <v>41518</v>
      </c>
      <c r="F146" s="232"/>
    </row>
    <row r="147" customFormat="false" ht="12.75" hidden="false" customHeight="false" outlineLevel="0" collapsed="false">
      <c r="A147" s="229" t="n">
        <v>41548</v>
      </c>
      <c r="F147" s="232"/>
    </row>
    <row r="148" customFormat="false" ht="12.75" hidden="false" customHeight="false" outlineLevel="0" collapsed="false">
      <c r="A148" s="229" t="n">
        <v>41579</v>
      </c>
      <c r="F148" s="232"/>
    </row>
    <row r="149" customFormat="false" ht="12.75" hidden="false" customHeight="false" outlineLevel="0" collapsed="false">
      <c r="A149" s="229" t="n">
        <v>41609</v>
      </c>
      <c r="F149" s="232"/>
    </row>
    <row r="150" customFormat="false" ht="12.75" hidden="false" customHeight="false" outlineLevel="0" collapsed="false">
      <c r="A150" s="229" t="n">
        <v>41640</v>
      </c>
      <c r="F150" s="232"/>
    </row>
    <row r="151" customFormat="false" ht="12.75" hidden="false" customHeight="false" outlineLevel="0" collapsed="false">
      <c r="A151" s="229" t="n">
        <v>41671</v>
      </c>
      <c r="F151" s="232"/>
    </row>
    <row r="152" customFormat="false" ht="12.75" hidden="false" customHeight="false" outlineLevel="0" collapsed="false">
      <c r="A152" s="229" t="n">
        <v>41699</v>
      </c>
      <c r="F152" s="232"/>
    </row>
    <row r="153" customFormat="false" ht="12.75" hidden="false" customHeight="false" outlineLevel="0" collapsed="false">
      <c r="A153" s="229" t="n">
        <v>41730</v>
      </c>
      <c r="F153" s="232"/>
    </row>
    <row r="154" customFormat="false" ht="12.75" hidden="false" customHeight="false" outlineLevel="0" collapsed="false">
      <c r="A154" s="229" t="n">
        <v>41760</v>
      </c>
      <c r="F154" s="232"/>
    </row>
    <row r="155" customFormat="false" ht="12.75" hidden="false" customHeight="false" outlineLevel="0" collapsed="false">
      <c r="A155" s="229" t="n">
        <v>41791</v>
      </c>
      <c r="F155" s="232"/>
    </row>
    <row r="156" customFormat="false" ht="12.75" hidden="false" customHeight="false" outlineLevel="0" collapsed="false">
      <c r="A156" s="229" t="n">
        <v>41821</v>
      </c>
      <c r="F156" s="232"/>
    </row>
    <row r="157" customFormat="false" ht="12.75" hidden="false" customHeight="false" outlineLevel="0" collapsed="false">
      <c r="A157" s="229" t="n">
        <v>41852</v>
      </c>
      <c r="F157" s="232"/>
    </row>
    <row r="158" customFormat="false" ht="12.75" hidden="false" customHeight="false" outlineLevel="0" collapsed="false">
      <c r="A158" s="229" t="n">
        <v>41883</v>
      </c>
      <c r="F158" s="232"/>
    </row>
    <row r="159" customFormat="false" ht="12.75" hidden="false" customHeight="false" outlineLevel="0" collapsed="false">
      <c r="A159" s="229" t="n">
        <v>41913</v>
      </c>
      <c r="F159" s="232"/>
    </row>
    <row r="160" customFormat="false" ht="12.75" hidden="false" customHeight="false" outlineLevel="0" collapsed="false">
      <c r="A160" s="229" t="n">
        <v>41944</v>
      </c>
      <c r="F160" s="232"/>
    </row>
    <row r="161" customFormat="false" ht="12.75" hidden="false" customHeight="false" outlineLevel="0" collapsed="false">
      <c r="A161" s="229" t="n">
        <v>41974</v>
      </c>
      <c r="F161" s="232"/>
    </row>
    <row r="162" customFormat="false" ht="12.75" hidden="false" customHeight="false" outlineLevel="0" collapsed="false">
      <c r="A162" s="229" t="n">
        <v>42005</v>
      </c>
      <c r="F162" s="232"/>
    </row>
    <row r="163" customFormat="false" ht="12.75" hidden="false" customHeight="false" outlineLevel="0" collapsed="false">
      <c r="A163" s="229" t="n">
        <v>42036</v>
      </c>
      <c r="F163" s="232"/>
    </row>
    <row r="164" customFormat="false" ht="12.75" hidden="false" customHeight="false" outlineLevel="0" collapsed="false">
      <c r="A164" s="229" t="n">
        <v>42064</v>
      </c>
      <c r="F164" s="232"/>
    </row>
    <row r="165" customFormat="false" ht="12.75" hidden="false" customHeight="false" outlineLevel="0" collapsed="false">
      <c r="A165" s="229" t="n">
        <v>42095</v>
      </c>
      <c r="F165" s="232"/>
    </row>
    <row r="166" customFormat="false" ht="12.75" hidden="false" customHeight="false" outlineLevel="0" collapsed="false">
      <c r="A166" s="229" t="n">
        <v>42125</v>
      </c>
      <c r="F166" s="232"/>
    </row>
    <row r="167" customFormat="false" ht="12.75" hidden="false" customHeight="false" outlineLevel="0" collapsed="false">
      <c r="A167" s="229" t="n">
        <v>42156</v>
      </c>
      <c r="F167" s="232"/>
    </row>
    <row r="168" customFormat="false" ht="12.75" hidden="false" customHeight="false" outlineLevel="0" collapsed="false">
      <c r="A168" s="229" t="n">
        <v>42186</v>
      </c>
      <c r="F168" s="232"/>
    </row>
    <row r="169" customFormat="false" ht="12.75" hidden="false" customHeight="false" outlineLevel="0" collapsed="false">
      <c r="A169" s="229" t="n">
        <v>42217</v>
      </c>
      <c r="F169" s="232"/>
    </row>
    <row r="170" customFormat="false" ht="12.75" hidden="false" customHeight="false" outlineLevel="0" collapsed="false">
      <c r="A170" s="229" t="n">
        <v>42248</v>
      </c>
      <c r="F170" s="232"/>
    </row>
    <row r="171" customFormat="false" ht="12.75" hidden="false" customHeight="false" outlineLevel="0" collapsed="false">
      <c r="A171" s="229" t="n">
        <v>42278</v>
      </c>
      <c r="F171" s="232"/>
    </row>
    <row r="172" customFormat="false" ht="12.75" hidden="false" customHeight="false" outlineLevel="0" collapsed="false">
      <c r="A172" s="229" t="n">
        <v>42309</v>
      </c>
      <c r="F172" s="232"/>
    </row>
    <row r="173" customFormat="false" ht="12.75" hidden="false" customHeight="false" outlineLevel="0" collapsed="false">
      <c r="A173" s="229" t="n">
        <v>42339</v>
      </c>
      <c r="F173" s="232"/>
    </row>
    <row r="174" customFormat="false" ht="12.75" hidden="false" customHeight="false" outlineLevel="0" collapsed="false">
      <c r="A174" s="229" t="n">
        <v>42370</v>
      </c>
      <c r="F174" s="232"/>
    </row>
    <row r="175" customFormat="false" ht="12.75" hidden="false" customHeight="false" outlineLevel="0" collapsed="false">
      <c r="A175" s="229" t="n">
        <v>42401</v>
      </c>
      <c r="F175" s="232"/>
    </row>
    <row r="176" customFormat="false" ht="12.75" hidden="false" customHeight="false" outlineLevel="0" collapsed="false">
      <c r="A176" s="229" t="n">
        <v>42430</v>
      </c>
      <c r="F176" s="232"/>
    </row>
    <row r="177" customFormat="false" ht="12.75" hidden="false" customHeight="false" outlineLevel="0" collapsed="false">
      <c r="A177" s="229" t="n">
        <v>42461</v>
      </c>
      <c r="F177" s="232"/>
    </row>
    <row r="178" customFormat="false" ht="12.75" hidden="false" customHeight="false" outlineLevel="0" collapsed="false">
      <c r="A178" s="229" t="n">
        <v>42491</v>
      </c>
      <c r="F178" s="232"/>
    </row>
    <row r="179" customFormat="false" ht="12.75" hidden="false" customHeight="false" outlineLevel="0" collapsed="false">
      <c r="A179" s="229" t="n">
        <v>42522</v>
      </c>
      <c r="F179" s="232"/>
    </row>
    <row r="180" customFormat="false" ht="12.75" hidden="false" customHeight="false" outlineLevel="0" collapsed="false">
      <c r="A180" s="229" t="n">
        <v>42552</v>
      </c>
      <c r="F180" s="232"/>
    </row>
    <row r="181" customFormat="false" ht="12.75" hidden="false" customHeight="false" outlineLevel="0" collapsed="false">
      <c r="A181" s="229" t="n">
        <v>42583</v>
      </c>
      <c r="F181" s="232"/>
    </row>
    <row r="182" customFormat="false" ht="12.75" hidden="false" customHeight="false" outlineLevel="0" collapsed="false">
      <c r="A182" s="229" t="n">
        <v>42614</v>
      </c>
      <c r="F182" s="232"/>
    </row>
    <row r="183" customFormat="false" ht="12.75" hidden="false" customHeight="false" outlineLevel="0" collapsed="false">
      <c r="A183" s="229" t="n">
        <v>42644</v>
      </c>
      <c r="F183" s="232"/>
    </row>
    <row r="184" customFormat="false" ht="12.75" hidden="false" customHeight="false" outlineLevel="0" collapsed="false">
      <c r="A184" s="229" t="n">
        <v>42675</v>
      </c>
      <c r="F184" s="232"/>
    </row>
    <row r="185" customFormat="false" ht="12.75" hidden="false" customHeight="false" outlineLevel="0" collapsed="false">
      <c r="A185" s="229" t="n">
        <v>42705</v>
      </c>
      <c r="F185" s="232"/>
    </row>
    <row r="186" customFormat="false" ht="12.75" hidden="false" customHeight="false" outlineLevel="0" collapsed="false">
      <c r="A186" s="229" t="n">
        <v>42736</v>
      </c>
      <c r="F186" s="232"/>
    </row>
    <row r="187" customFormat="false" ht="12.75" hidden="false" customHeight="false" outlineLevel="0" collapsed="false">
      <c r="A187" s="229" t="n">
        <v>42767</v>
      </c>
      <c r="F187" s="232"/>
    </row>
    <row r="188" customFormat="false" ht="12.75" hidden="false" customHeight="false" outlineLevel="0" collapsed="false">
      <c r="A188" s="229" t="n">
        <v>42795</v>
      </c>
      <c r="F188" s="232"/>
    </row>
    <row r="189" customFormat="false" ht="12.75" hidden="false" customHeight="false" outlineLevel="0" collapsed="false">
      <c r="A189" s="229" t="n">
        <v>42826</v>
      </c>
      <c r="F189" s="232"/>
    </row>
    <row r="190" customFormat="false" ht="12.75" hidden="false" customHeight="false" outlineLevel="0" collapsed="false">
      <c r="A190" s="229" t="n">
        <v>42856</v>
      </c>
      <c r="F190" s="232"/>
    </row>
    <row r="191" customFormat="false" ht="12.75" hidden="false" customHeight="false" outlineLevel="0" collapsed="false">
      <c r="A191" s="229" t="n">
        <v>42887</v>
      </c>
      <c r="F191" s="232"/>
    </row>
    <row r="192" customFormat="false" ht="12.75" hidden="false" customHeight="false" outlineLevel="0" collapsed="false">
      <c r="A192" s="229" t="n">
        <v>42917</v>
      </c>
      <c r="F192" s="232"/>
    </row>
    <row r="193" customFormat="false" ht="12.75" hidden="false" customHeight="false" outlineLevel="0" collapsed="false">
      <c r="A193" s="229" t="n">
        <v>42948</v>
      </c>
      <c r="F193" s="232"/>
    </row>
    <row r="194" customFormat="false" ht="12.75" hidden="false" customHeight="false" outlineLevel="0" collapsed="false">
      <c r="A194" s="229" t="n">
        <v>42979</v>
      </c>
      <c r="F194" s="232"/>
    </row>
    <row r="195" customFormat="false" ht="12.75" hidden="false" customHeight="false" outlineLevel="0" collapsed="false">
      <c r="A195" s="229" t="n">
        <v>43009</v>
      </c>
      <c r="F195" s="232"/>
    </row>
    <row r="196" customFormat="false" ht="12.75" hidden="false" customHeight="false" outlineLevel="0" collapsed="false">
      <c r="A196" s="229" t="n">
        <v>43040</v>
      </c>
      <c r="F196" s="232"/>
    </row>
    <row r="197" customFormat="false" ht="12.75" hidden="false" customHeight="false" outlineLevel="0" collapsed="false">
      <c r="A197" s="229" t="n">
        <v>43070</v>
      </c>
      <c r="F197" s="232"/>
    </row>
    <row r="198" customFormat="false" ht="12.75" hidden="false" customHeight="false" outlineLevel="0" collapsed="false">
      <c r="A198" s="229" t="n">
        <v>43101</v>
      </c>
      <c r="F198" s="232"/>
    </row>
    <row r="199" customFormat="false" ht="12.75" hidden="false" customHeight="false" outlineLevel="0" collapsed="false">
      <c r="A199" s="229" t="n">
        <v>43132</v>
      </c>
      <c r="F199" s="232"/>
    </row>
    <row r="200" customFormat="false" ht="12.75" hidden="false" customHeight="false" outlineLevel="0" collapsed="false">
      <c r="A200" s="229" t="n">
        <v>43160</v>
      </c>
      <c r="F200" s="232"/>
    </row>
    <row r="201" customFormat="false" ht="12.75" hidden="false" customHeight="false" outlineLevel="0" collapsed="false">
      <c r="A201" s="229" t="n">
        <v>43191</v>
      </c>
      <c r="F201" s="232"/>
    </row>
    <row r="202" customFormat="false" ht="12.75" hidden="false" customHeight="false" outlineLevel="0" collapsed="false">
      <c r="A202" s="229" t="n">
        <v>43221</v>
      </c>
      <c r="F202" s="232"/>
    </row>
    <row r="203" customFormat="false" ht="12.75" hidden="false" customHeight="false" outlineLevel="0" collapsed="false">
      <c r="A203" s="229" t="n">
        <v>43252</v>
      </c>
      <c r="F203" s="232"/>
    </row>
    <row r="204" customFormat="false" ht="12.75" hidden="false" customHeight="false" outlineLevel="0" collapsed="false">
      <c r="A204" s="229" t="n">
        <v>43282</v>
      </c>
      <c r="F204" s="232"/>
    </row>
    <row r="205" customFormat="false" ht="12.75" hidden="false" customHeight="false" outlineLevel="0" collapsed="false">
      <c r="A205" s="229" t="n">
        <v>43313</v>
      </c>
      <c r="F205" s="232"/>
    </row>
    <row r="206" customFormat="false" ht="12.75" hidden="false" customHeight="false" outlineLevel="0" collapsed="false">
      <c r="A206" s="229" t="n">
        <v>43344</v>
      </c>
      <c r="F206" s="232"/>
    </row>
    <row r="207" customFormat="false" ht="12.75" hidden="false" customHeight="false" outlineLevel="0" collapsed="false">
      <c r="A207" s="229" t="n">
        <v>43374</v>
      </c>
      <c r="F207" s="232"/>
    </row>
    <row r="208" customFormat="false" ht="12.75" hidden="false" customHeight="false" outlineLevel="0" collapsed="false">
      <c r="A208" s="229" t="n">
        <v>43405</v>
      </c>
      <c r="F208" s="232"/>
    </row>
    <row r="209" customFormat="false" ht="12.75" hidden="false" customHeight="false" outlineLevel="0" collapsed="false">
      <c r="A209" s="229" t="n">
        <v>43435</v>
      </c>
      <c r="F209" s="232"/>
    </row>
    <row r="210" customFormat="false" ht="12.75" hidden="false" customHeight="false" outlineLevel="0" collapsed="false">
      <c r="A210" s="229" t="n">
        <v>43466</v>
      </c>
      <c r="F210" s="232"/>
    </row>
    <row r="211" customFormat="false" ht="12.75" hidden="false" customHeight="false" outlineLevel="0" collapsed="false">
      <c r="A211" s="229" t="n">
        <v>43497</v>
      </c>
      <c r="F211" s="232"/>
    </row>
    <row r="212" customFormat="false" ht="12.75" hidden="false" customHeight="false" outlineLevel="0" collapsed="false">
      <c r="A212" s="229" t="n">
        <v>43525</v>
      </c>
      <c r="F212" s="232"/>
    </row>
    <row r="213" customFormat="false" ht="12.75" hidden="false" customHeight="false" outlineLevel="0" collapsed="false">
      <c r="A213" s="229" t="n">
        <v>43556</v>
      </c>
      <c r="F213" s="232"/>
    </row>
    <row r="214" customFormat="false" ht="12.75" hidden="false" customHeight="false" outlineLevel="0" collapsed="false">
      <c r="A214" s="229" t="n">
        <v>43586</v>
      </c>
      <c r="F214" s="232"/>
    </row>
    <row r="215" customFormat="false" ht="12.75" hidden="false" customHeight="false" outlineLevel="0" collapsed="false">
      <c r="A215" s="229" t="n">
        <v>43617</v>
      </c>
      <c r="F215" s="232"/>
    </row>
    <row r="216" customFormat="false" ht="12.75" hidden="false" customHeight="false" outlineLevel="0" collapsed="false">
      <c r="A216" s="229" t="n">
        <v>43647</v>
      </c>
      <c r="F216" s="232"/>
    </row>
    <row r="217" customFormat="false" ht="12.75" hidden="false" customHeight="false" outlineLevel="0" collapsed="false">
      <c r="A217" s="229" t="n">
        <v>43678</v>
      </c>
      <c r="F217" s="232"/>
    </row>
    <row r="218" customFormat="false" ht="12.75" hidden="false" customHeight="false" outlineLevel="0" collapsed="false">
      <c r="A218" s="229" t="n">
        <v>43709</v>
      </c>
      <c r="F218" s="232"/>
    </row>
    <row r="219" customFormat="false" ht="12.75" hidden="false" customHeight="false" outlineLevel="0" collapsed="false">
      <c r="A219" s="229" t="n">
        <v>43739</v>
      </c>
      <c r="F219" s="232"/>
    </row>
    <row r="220" customFormat="false" ht="12.75" hidden="false" customHeight="false" outlineLevel="0" collapsed="false">
      <c r="A220" s="229" t="n">
        <v>43770</v>
      </c>
      <c r="F220" s="232"/>
    </row>
    <row r="221" customFormat="false" ht="12.75" hidden="false" customHeight="false" outlineLevel="0" collapsed="false">
      <c r="A221" s="229" t="n">
        <v>43800</v>
      </c>
      <c r="F221" s="232"/>
    </row>
    <row r="222" customFormat="false" ht="12.75" hidden="false" customHeight="false" outlineLevel="0" collapsed="false">
      <c r="A222" s="229" t="n">
        <v>43831</v>
      </c>
      <c r="F222" s="232"/>
    </row>
    <row r="223" customFormat="false" ht="12.75" hidden="false" customHeight="false" outlineLevel="0" collapsed="false">
      <c r="A223" s="229" t="n">
        <v>43862</v>
      </c>
      <c r="F223" s="232"/>
    </row>
    <row r="224" customFormat="false" ht="12.75" hidden="false" customHeight="false" outlineLevel="0" collapsed="false">
      <c r="A224" s="229" t="n">
        <v>43891</v>
      </c>
      <c r="F224" s="232"/>
    </row>
    <row r="225" customFormat="false" ht="12.75" hidden="false" customHeight="false" outlineLevel="0" collapsed="false">
      <c r="A225" s="229" t="n">
        <v>43922</v>
      </c>
      <c r="F225" s="232"/>
    </row>
    <row r="226" customFormat="false" ht="12.75" hidden="false" customHeight="false" outlineLevel="0" collapsed="false">
      <c r="A226" s="229" t="n">
        <v>43952</v>
      </c>
      <c r="F226" s="232"/>
    </row>
    <row r="227" customFormat="false" ht="12.75" hidden="false" customHeight="false" outlineLevel="0" collapsed="false">
      <c r="A227" s="229" t="n">
        <v>43983</v>
      </c>
      <c r="F227" s="232"/>
    </row>
    <row r="228" customFormat="false" ht="12.75" hidden="false" customHeight="false" outlineLevel="0" collapsed="false">
      <c r="A228" s="229" t="n">
        <v>44013</v>
      </c>
      <c r="F228" s="232"/>
    </row>
    <row r="229" customFormat="false" ht="12.75" hidden="false" customHeight="false" outlineLevel="0" collapsed="false">
      <c r="A229" s="229" t="n">
        <v>44044</v>
      </c>
      <c r="F229" s="232"/>
    </row>
    <row r="230" customFormat="false" ht="12.75" hidden="false" customHeight="false" outlineLevel="0" collapsed="false">
      <c r="A230" s="229" t="n">
        <v>44075</v>
      </c>
      <c r="F230" s="232"/>
    </row>
    <row r="231" customFormat="false" ht="12.75" hidden="false" customHeight="false" outlineLevel="0" collapsed="false">
      <c r="A231" s="229" t="n">
        <v>44105</v>
      </c>
      <c r="F231" s="232"/>
    </row>
    <row r="232" customFormat="false" ht="12.75" hidden="false" customHeight="false" outlineLevel="0" collapsed="false">
      <c r="A232" s="229" t="n">
        <v>44136</v>
      </c>
      <c r="F232" s="232"/>
    </row>
    <row r="233" customFormat="false" ht="12.75" hidden="false" customHeight="false" outlineLevel="0" collapsed="false">
      <c r="A233" s="229" t="n">
        <v>44166</v>
      </c>
      <c r="F233" s="232"/>
    </row>
    <row r="234" customFormat="false" ht="12.75" hidden="false" customHeight="false" outlineLevel="0" collapsed="false">
      <c r="A234" s="229" t="n">
        <v>44197</v>
      </c>
      <c r="F234" s="232"/>
    </row>
    <row r="235" customFormat="false" ht="12.75" hidden="false" customHeight="false" outlineLevel="0" collapsed="false">
      <c r="A235" s="229" t="n">
        <v>44228</v>
      </c>
      <c r="F235" s="232"/>
    </row>
    <row r="236" customFormat="false" ht="12.75" hidden="false" customHeight="false" outlineLevel="0" collapsed="false">
      <c r="A236" s="229" t="n">
        <v>44256</v>
      </c>
      <c r="F236" s="232"/>
    </row>
    <row r="237" customFormat="false" ht="12.75" hidden="false" customHeight="false" outlineLevel="0" collapsed="false">
      <c r="A237" s="229" t="n">
        <v>44287</v>
      </c>
      <c r="F237" s="232"/>
    </row>
    <row r="238" customFormat="false" ht="12.75" hidden="false" customHeight="false" outlineLevel="0" collapsed="false">
      <c r="A238" s="229" t="n">
        <v>44317</v>
      </c>
      <c r="F238" s="232"/>
    </row>
    <row r="239" customFormat="false" ht="12.75" hidden="false" customHeight="false" outlineLevel="0" collapsed="false">
      <c r="A239" s="229" t="n">
        <v>44348</v>
      </c>
      <c r="F239" s="232"/>
    </row>
    <row r="240" customFormat="false" ht="12.75" hidden="false" customHeight="false" outlineLevel="0" collapsed="false">
      <c r="A240" s="229" t="n">
        <v>44378</v>
      </c>
      <c r="F240" s="232"/>
    </row>
    <row r="241" customFormat="false" ht="12.75" hidden="false" customHeight="false" outlineLevel="0" collapsed="false">
      <c r="A241" s="229" t="n">
        <v>44409</v>
      </c>
      <c r="F241" s="232"/>
    </row>
    <row r="242" customFormat="false" ht="12.75" hidden="false" customHeight="false" outlineLevel="0" collapsed="false">
      <c r="A242" s="229" t="n">
        <v>44440</v>
      </c>
      <c r="F242" s="232"/>
    </row>
    <row r="243" customFormat="false" ht="12.75" hidden="false" customHeight="false" outlineLevel="0" collapsed="false">
      <c r="A243" s="229" t="n">
        <v>44470</v>
      </c>
      <c r="F243" s="232"/>
    </row>
    <row r="244" customFormat="false" ht="12.75" hidden="false" customHeight="false" outlineLevel="0" collapsed="false">
      <c r="A244" s="229" t="n">
        <v>44501</v>
      </c>
      <c r="F244" s="232"/>
    </row>
    <row r="245" customFormat="false" ht="12.75" hidden="false" customHeight="false" outlineLevel="0" collapsed="false">
      <c r="A245" s="229" t="n">
        <v>44531</v>
      </c>
      <c r="F245" s="232"/>
    </row>
    <row r="246" customFormat="false" ht="12.75" hidden="false" customHeight="false" outlineLevel="0" collapsed="false">
      <c r="A246" s="229" t="n">
        <v>44562</v>
      </c>
      <c r="F246" s="232"/>
    </row>
    <row r="247" customFormat="false" ht="12.75" hidden="false" customHeight="false" outlineLevel="0" collapsed="false">
      <c r="A247" s="229" t="n">
        <v>44593</v>
      </c>
      <c r="F247" s="232"/>
    </row>
    <row r="248" customFormat="false" ht="12.75" hidden="false" customHeight="false" outlineLevel="0" collapsed="false">
      <c r="A248" s="229" t="n">
        <v>44621</v>
      </c>
      <c r="F248" s="232"/>
    </row>
    <row r="249" customFormat="false" ht="12.75" hidden="false" customHeight="false" outlineLevel="0" collapsed="false">
      <c r="A249" s="229" t="n">
        <v>44652</v>
      </c>
      <c r="F249" s="232"/>
    </row>
    <row r="250" customFormat="false" ht="12.75" hidden="false" customHeight="false" outlineLevel="0" collapsed="false">
      <c r="A250" s="229" t="n">
        <v>44682</v>
      </c>
      <c r="F250" s="232"/>
    </row>
    <row r="251" customFormat="false" ht="12.75" hidden="false" customHeight="false" outlineLevel="0" collapsed="false">
      <c r="A251" s="229" t="n">
        <v>44713</v>
      </c>
      <c r="F251" s="232"/>
    </row>
    <row r="252" customFormat="false" ht="12.75" hidden="false" customHeight="false" outlineLevel="0" collapsed="false">
      <c r="A252" s="229" t="n">
        <v>44743</v>
      </c>
      <c r="F252" s="232"/>
    </row>
    <row r="253" customFormat="false" ht="12.75" hidden="false" customHeight="false" outlineLevel="0" collapsed="false">
      <c r="A253" s="229" t="n">
        <v>44774</v>
      </c>
      <c r="F253" s="232"/>
    </row>
    <row r="254" customFormat="false" ht="12.75" hidden="false" customHeight="false" outlineLevel="0" collapsed="false">
      <c r="A254" s="229" t="n">
        <v>44805</v>
      </c>
      <c r="F254" s="232"/>
    </row>
    <row r="255" customFormat="false" ht="12.75" hidden="false" customHeight="false" outlineLevel="0" collapsed="false">
      <c r="A255" s="229" t="n">
        <v>44835</v>
      </c>
      <c r="F255" s="232"/>
    </row>
    <row r="256" customFormat="false" ht="12.75" hidden="false" customHeight="false" outlineLevel="0" collapsed="false">
      <c r="A256" s="229" t="n">
        <v>44866</v>
      </c>
      <c r="F256" s="232"/>
    </row>
    <row r="257" customFormat="false" ht="12.75" hidden="false" customHeight="false" outlineLevel="0" collapsed="false">
      <c r="A257" s="229" t="n">
        <v>44896</v>
      </c>
      <c r="F257" s="232"/>
    </row>
    <row r="258" customFormat="false" ht="12.75" hidden="false" customHeight="false" outlineLevel="0" collapsed="false">
      <c r="A258" s="229" t="n">
        <v>44927</v>
      </c>
      <c r="F258" s="232"/>
    </row>
    <row r="259" customFormat="false" ht="12.75" hidden="false" customHeight="false" outlineLevel="0" collapsed="false">
      <c r="A259" s="229" t="n">
        <v>44958</v>
      </c>
      <c r="F259" s="232"/>
    </row>
    <row r="260" customFormat="false" ht="12.75" hidden="false" customHeight="false" outlineLevel="0" collapsed="false">
      <c r="A260" s="229" t="n">
        <v>44986</v>
      </c>
      <c r="F260" s="232"/>
    </row>
    <row r="261" customFormat="false" ht="12.75" hidden="false" customHeight="false" outlineLevel="0" collapsed="false">
      <c r="A261" s="229" t="n">
        <v>45017</v>
      </c>
      <c r="F261" s="232"/>
    </row>
    <row r="262" customFormat="false" ht="12.75" hidden="false" customHeight="false" outlineLevel="0" collapsed="false">
      <c r="A262" s="229" t="n">
        <v>45047</v>
      </c>
      <c r="F262" s="232"/>
    </row>
    <row r="263" customFormat="false" ht="12.75" hidden="false" customHeight="false" outlineLevel="0" collapsed="false">
      <c r="A263" s="229" t="n">
        <v>45078</v>
      </c>
      <c r="F263" s="232"/>
    </row>
    <row r="264" customFormat="false" ht="12.75" hidden="false" customHeight="false" outlineLevel="0" collapsed="false">
      <c r="A264" s="229" t="n">
        <v>45108</v>
      </c>
      <c r="F264" s="232"/>
    </row>
    <row r="265" customFormat="false" ht="12.75" hidden="false" customHeight="false" outlineLevel="0" collapsed="false">
      <c r="A265" s="229" t="n">
        <v>45139</v>
      </c>
      <c r="F265" s="232"/>
    </row>
    <row r="266" customFormat="false" ht="12.75" hidden="false" customHeight="false" outlineLevel="0" collapsed="false">
      <c r="A266" s="229" t="n">
        <v>45170</v>
      </c>
      <c r="F266" s="232"/>
    </row>
    <row r="267" customFormat="false" ht="12.75" hidden="false" customHeight="false" outlineLevel="0" collapsed="false">
      <c r="A267" s="229" t="n">
        <v>45200</v>
      </c>
      <c r="F267" s="232"/>
    </row>
    <row r="268" customFormat="false" ht="12.75" hidden="false" customHeight="false" outlineLevel="0" collapsed="false">
      <c r="A268" s="229" t="n">
        <v>45231</v>
      </c>
      <c r="F268" s="232"/>
    </row>
    <row r="269" customFormat="false" ht="12.75" hidden="false" customHeight="false" outlineLevel="0" collapsed="false">
      <c r="A269" s="229" t="n">
        <v>45261</v>
      </c>
      <c r="F269" s="232"/>
    </row>
    <row r="270" customFormat="false" ht="12.75" hidden="false" customHeight="false" outlineLevel="0" collapsed="false">
      <c r="A270" s="229" t="n">
        <v>45292</v>
      </c>
      <c r="F270" s="232"/>
    </row>
    <row r="271" customFormat="false" ht="12.75" hidden="false" customHeight="false" outlineLevel="0" collapsed="false">
      <c r="A271" s="229"/>
      <c r="F271" s="232"/>
    </row>
    <row r="272" customFormat="false" ht="12.75" hidden="false" customHeight="false" outlineLevel="0" collapsed="false">
      <c r="A272" s="229"/>
      <c r="F272" s="232"/>
    </row>
    <row r="273" customFormat="false" ht="12.75" hidden="false" customHeight="false" outlineLevel="0" collapsed="false">
      <c r="A273" s="229"/>
      <c r="F273" s="232"/>
    </row>
    <row r="274" customFormat="false" ht="12.75" hidden="false" customHeight="false" outlineLevel="0" collapsed="false">
      <c r="A274" s="229"/>
      <c r="F274" s="232"/>
    </row>
    <row r="275" customFormat="false" ht="12.75" hidden="false" customHeight="false" outlineLevel="0" collapsed="false">
      <c r="A275" s="229"/>
      <c r="F275" s="232"/>
    </row>
    <row r="276" customFormat="false" ht="12.75" hidden="false" customHeight="false" outlineLevel="0" collapsed="false">
      <c r="A276" s="229"/>
      <c r="F276" s="232"/>
    </row>
    <row r="277" customFormat="false" ht="12.75" hidden="false" customHeight="false" outlineLevel="0" collapsed="false">
      <c r="A277" s="229"/>
      <c r="F277" s="232"/>
    </row>
    <row r="278" customFormat="false" ht="12.75" hidden="false" customHeight="false" outlineLevel="0" collapsed="false">
      <c r="A278" s="229"/>
    </row>
    <row r="279" customFormat="false" ht="12.75" hidden="false" customHeight="false" outlineLevel="0" collapsed="false">
      <c r="A279" s="229"/>
    </row>
    <row r="280" customFormat="false" ht="12.75" hidden="false" customHeight="false" outlineLevel="0" collapsed="false">
      <c r="A280" s="229"/>
      <c r="B280" s="232"/>
    </row>
    <row r="281" customFormat="false" ht="12.75" hidden="false" customHeight="false" outlineLevel="0" collapsed="false">
      <c r="B281" s="232"/>
    </row>
  </sheetData>
  <mergeCells count="2">
    <mergeCell ref="B1:D1"/>
    <mergeCell ref="F1:H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76"/>
  <sheetViews>
    <sheetView showFormulas="false" showGridLines="true" showRowColHeaders="true" showZeros="true" rightToLeft="false" tabSelected="false" showOutlineSymbols="true" defaultGridColor="true" view="normal" topLeftCell="A45" colorId="64" zoomScale="80" zoomScaleNormal="80" zoomScalePageLayoutView="100" workbookViewId="0">
      <selection pane="topLeft" activeCell="V7" activeCellId="0" sqref="C7:V77"/>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11.28"/>
    <col collapsed="false" customWidth="true" hidden="false" outlineLevel="0" max="6" min="6" style="96" width="23.99"/>
    <col collapsed="false" customWidth="true" hidden="false" outlineLevel="0" max="7" min="7" style="97" width="30.7"/>
    <col collapsed="false" customWidth="true" hidden="false" outlineLevel="0" max="20" min="8" style="98" width="13.7"/>
    <col collapsed="false" customWidth="true" hidden="false" outlineLevel="0" max="21" min="21" style="99" width="3.7"/>
    <col collapsed="false" customWidth="true" hidden="false" outlineLevel="0" max="22" min="22" style="95" width="13.7"/>
    <col collapsed="false" customWidth="false" hidden="false" outlineLevel="0" max="23" min="23" style="95" width="9.14"/>
    <col collapsed="false" customWidth="true" hidden="false" outlineLevel="0" max="24" min="24" style="95" width="14.28"/>
    <col collapsed="false" customWidth="true" hidden="false" outlineLevel="0" max="26" min="25" style="95" width="23.14"/>
    <col collapsed="false" customWidth="true" hidden="false" outlineLevel="0" max="27" min="27" style="95" width="35.56"/>
    <col collapsed="false" customWidth="false" hidden="false" outlineLevel="0" max="257" min="28" style="95" width="9.14"/>
  </cols>
  <sheetData>
    <row r="1" customFormat="false" ht="12.75" hidden="false" customHeight="false" outlineLevel="0" collapsed="false">
      <c r="A1" s="19" t="s">
        <v>394</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ADDRESS(ROW($C$10),COLUMN($C$10))</f>
        <v>$C$10</v>
      </c>
      <c r="E3" s="100" t="s">
        <v>40</v>
      </c>
      <c r="F3" s="189" t="s">
        <v>127</v>
      </c>
    </row>
    <row r="6" customFormat="false" ht="12.75" hidden="false" customHeight="false" outlineLevel="0" collapsed="false">
      <c r="E6" s="252" t="n">
        <f aca="true">TODAY()</f>
        <v>45926</v>
      </c>
    </row>
    <row r="7" customFormat="false" ht="18.75" hidden="false" customHeight="false" outlineLevel="0" collapsed="false">
      <c r="E7" s="102" t="str">
        <f aca="false">CONCATENATE("POSITION REPORT : ",UPPER(F3))</f>
        <v>POSITION REPORT : EAST</v>
      </c>
    </row>
    <row r="8" customFormat="false" ht="12.75" hidden="false" customHeight="false" outlineLevel="0" collapsed="false">
      <c r="A8" s="103"/>
      <c r="B8" s="103"/>
      <c r="C8" s="104" t="s">
        <v>213</v>
      </c>
      <c r="E8" s="105"/>
      <c r="F8" s="106"/>
      <c r="G8" s="107" t="s">
        <v>214</v>
      </c>
      <c r="H8" s="190" t="n">
        <f aca="false" t="array" ref="H8:T8">TRANSPOSE(Configuration!D25:D37)</f>
        <v>37043</v>
      </c>
      <c r="I8" s="191" t="n">
        <v>37073</v>
      </c>
      <c r="J8" s="191" t="n">
        <v>37104</v>
      </c>
      <c r="K8" s="191" t="n">
        <v>37135</v>
      </c>
      <c r="L8" s="191" t="n">
        <v>37165</v>
      </c>
      <c r="M8" s="191" t="n">
        <v>37196</v>
      </c>
      <c r="N8" s="191" t="n">
        <v>37226</v>
      </c>
      <c r="O8" s="191" t="n">
        <v>37257</v>
      </c>
      <c r="P8" s="191" t="n">
        <v>37622</v>
      </c>
      <c r="Q8" s="191" t="n">
        <v>37987</v>
      </c>
      <c r="R8" s="191" t="n">
        <v>38353</v>
      </c>
      <c r="S8" s="191" t="n">
        <v>40544</v>
      </c>
      <c r="T8" s="192" t="n">
        <v>42370</v>
      </c>
      <c r="U8" s="103"/>
      <c r="V8" s="104" t="s">
        <v>395</v>
      </c>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false" outlineLevel="0" collapsed="false">
      <c r="A9" s="103"/>
      <c r="B9" s="103"/>
      <c r="C9" s="104"/>
      <c r="E9" s="112" t="s">
        <v>13</v>
      </c>
      <c r="F9" s="113" t="s">
        <v>233</v>
      </c>
      <c r="G9" s="114" t="s">
        <v>234</v>
      </c>
      <c r="H9" s="193" t="n">
        <f aca="false" t="array" ref="H9:T9">TRANSPOSE(Configuration!E25:E37)</f>
        <v>37072</v>
      </c>
      <c r="I9" s="194" t="n">
        <v>37103</v>
      </c>
      <c r="J9" s="194" t="n">
        <v>37134</v>
      </c>
      <c r="K9" s="194" t="n">
        <v>37164</v>
      </c>
      <c r="L9" s="194" t="n">
        <v>37195</v>
      </c>
      <c r="M9" s="194" t="n">
        <v>37225</v>
      </c>
      <c r="N9" s="194" t="n">
        <v>37256</v>
      </c>
      <c r="O9" s="194" t="n">
        <v>37621</v>
      </c>
      <c r="P9" s="194" t="n">
        <v>37986</v>
      </c>
      <c r="Q9" s="194" t="n">
        <v>38352</v>
      </c>
      <c r="R9" s="194" t="n">
        <v>40543</v>
      </c>
      <c r="S9" s="194" t="n">
        <v>42369</v>
      </c>
      <c r="T9" s="195" t="n">
        <v>45657</v>
      </c>
      <c r="U9" s="103"/>
      <c r="V9" s="104"/>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17</v>
      </c>
      <c r="E10" s="116" t="e">
        <f aca="false">GetPipeName($Z10,$AC10)</f>
        <v>#VALUE!</v>
      </c>
      <c r="F10" s="117" t="e">
        <f aca="false">CONCATENATE(GetRcptPoint($Z10,$AC10)," to ",GetDelPoint($Z10,$AC10))</f>
        <v>#VALUE!</v>
      </c>
      <c r="G10" s="118" t="e">
        <f aca="false">GetRcptBasis($Z10,$AC10)</f>
        <v>#VALUE!</v>
      </c>
      <c r="H10" s="209" t="e">
        <f aca="true" t="array" ref="H10:H10">SUM((INDIRECT($AA10)&gt;'East Postition Rpt'!H$8)*(INDIRECT($AA10)&lt;'East Postition Rpt'!H$9)*(INDIRECT($AB10)))</f>
        <v>#VALUE!</v>
      </c>
      <c r="I10" s="196" t="e">
        <f aca="true" t="array" ref="I10:I10">SUM((INDIRECT($AA10)&gt;'East Postition Rpt'!I$8)*(INDIRECT($AA10)&lt;'East Postition Rpt'!I$9)*(INDIRECT($AB10)))</f>
        <v>#VALUE!</v>
      </c>
      <c r="J10" s="196" t="e">
        <f aca="true" t="array" ref="J10:J10">SUM((INDIRECT($AA10)&gt;'East Postition Rpt'!J$8)*(INDIRECT($AA10)&lt;'East Postition Rpt'!J$9)*(INDIRECT($AB10)))</f>
        <v>#VALUE!</v>
      </c>
      <c r="K10" s="196" t="e">
        <f aca="true" t="array" ref="K10:K10">SUM((INDIRECT($AA10)&gt;'East Postition Rpt'!K$8)*(INDIRECT($AA10)&lt;'East Postition Rpt'!K$9)*(INDIRECT($AB10)))</f>
        <v>#VALUE!</v>
      </c>
      <c r="L10" s="196" t="e">
        <f aca="true" t="array" ref="L10:L10">SUM((INDIRECT($AA10)&gt;'East Postition Rpt'!L$8)*(INDIRECT($AA10)&lt;'East Postition Rpt'!L$9)*(INDIRECT($AB10)))</f>
        <v>#VALUE!</v>
      </c>
      <c r="M10" s="196" t="e">
        <f aca="true" t="array" ref="M10:M10">SUM((INDIRECT($AA10)&gt;'East Postition Rpt'!M$8)*(INDIRECT($AA10)&lt;'East Postition Rpt'!M$9)*(INDIRECT($AB10)))</f>
        <v>#VALUE!</v>
      </c>
      <c r="N10" s="196" t="e">
        <f aca="true" t="array" ref="N10:N10">SUM((INDIRECT($AA10)&gt;'East Postition Rpt'!N$8)*(INDIRECT($AA10)&lt;'East Postition Rpt'!N$9)*(INDIRECT($AB10)))</f>
        <v>#VALUE!</v>
      </c>
      <c r="O10" s="196" t="e">
        <f aca="true" t="array" ref="O10:O10">SUM((INDIRECT($AA10)&gt;'East Postition Rpt'!O$8)*(INDIRECT($AA10)&lt;'East Postition Rpt'!O$9)*(INDIRECT($AB10)))</f>
        <v>#VALUE!</v>
      </c>
      <c r="P10" s="196" t="e">
        <f aca="true" t="array" ref="P10:P10">SUM((INDIRECT($AA10)&gt;'East Postition Rpt'!P$8)*(INDIRECT($AA10)&lt;'East Postition Rpt'!P$9)*(INDIRECT($AB10)))</f>
        <v>#VALUE!</v>
      </c>
      <c r="Q10" s="196" t="e">
        <f aca="true" t="array" ref="Q10:Q10">SUM((INDIRECT($AA10)&gt;'East Postition Rpt'!Q$8)*(INDIRECT($AA10)&lt;'East Postition Rpt'!Q$9)*(INDIRECT($AB10)))</f>
        <v>#VALUE!</v>
      </c>
      <c r="R10" s="196" t="e">
        <f aca="true" t="array" ref="R10:R10">SUM((INDIRECT($AA10)&gt;'East Postition Rpt'!R$8)*(INDIRECT($AA10)&lt;'East Postition Rpt'!R$9)*(INDIRECT($AB10)))</f>
        <v>#VALUE!</v>
      </c>
      <c r="S10" s="196" t="e">
        <f aca="true" t="array" ref="S10:S10">SUM((INDIRECT($AA10)&gt;'East Postition Rpt'!S$8)*(INDIRECT($AA10)&lt;'East Postition Rpt'!S$9)*(INDIRECT($AB10)))</f>
        <v>#VALUE!</v>
      </c>
      <c r="T10" s="197" t="e">
        <f aca="true" t="array" ref="T10:T10">SUM((INDIRECT($AA10)&gt;'East Postition Rpt'!T$8)*(INDIRECT($AA10)&lt;'East Postition Rpt'!T$9)*(INDIRECT($AB10)))</f>
        <v>#VALUE!</v>
      </c>
      <c r="V10" s="198" t="e">
        <f aca="false">SUM(H10:T10)</f>
        <v>#VALUE!</v>
      </c>
      <c r="Y10" s="125" t="e">
        <f aca="false">GetWorkSheet($C10)</f>
        <v>#VALUE!</v>
      </c>
      <c r="Z10" s="124" t="e">
        <f aca="false">FetchDBPage(Y10)</f>
        <v>#VALUE!</v>
      </c>
      <c r="AA10" s="125" t="e">
        <f aca="false">IF(NOT($Y10="#VALUE#"),CONCATENATE($Y10,"!",GetDateStart($Y10),":",GetDateEnd($Y10)),"")</f>
        <v>#VALUE!</v>
      </c>
      <c r="AB10" s="125" t="e">
        <f aca="false">IF(NOT($Y10="#VALUE#"),CONCATENATE($Y10,"!",GetReceiptStart($Y10),":",GetReceiptEnd($Y10)),"")</f>
        <v>#VALUE!</v>
      </c>
      <c r="AC10" s="125" t="e">
        <f aca="false">GetRecNdx($Z10,$C10)</f>
        <v>#VALUE!</v>
      </c>
    </row>
    <row r="11" customFormat="false" ht="12.75" hidden="false" customHeight="false" outlineLevel="0" collapsed="false">
      <c r="C11" s="115"/>
      <c r="E11" s="116"/>
      <c r="F11" s="117"/>
      <c r="G11" s="126" t="e">
        <f aca="false">GetDelBasis($Z10,$AC11)</f>
        <v>#VALUE!</v>
      </c>
      <c r="H11" s="199" t="e">
        <f aca="true" t="array" ref="H11:H11">SUM((INDIRECT($AA11)&gt;'East Postition Rpt'!H$8)*(INDIRECT($AA11)&lt;'East Postition Rpt'!H$9)*(INDIRECT($AB11)))</f>
        <v>#VALUE!</v>
      </c>
      <c r="I11" s="200" t="e">
        <f aca="true" t="array" ref="I11:I11">SUM((INDIRECT($AA11)&gt;'East Postition Rpt'!I$8)*(INDIRECT($AA11)&lt;'East Postition Rpt'!I$9)*(INDIRECT($AB11)))</f>
        <v>#VALUE!</v>
      </c>
      <c r="J11" s="200" t="e">
        <f aca="true" t="array" ref="J11:J11">SUM((INDIRECT($AA11)&gt;'East Postition Rpt'!J$8)*(INDIRECT($AA11)&lt;'East Postition Rpt'!J$9)*(INDIRECT($AB11)))</f>
        <v>#VALUE!</v>
      </c>
      <c r="K11" s="200" t="e">
        <f aca="true" t="array" ref="K11:K11">SUM((INDIRECT($AA11)&gt;'East Postition Rpt'!K$8)*(INDIRECT($AA11)&lt;'East Postition Rpt'!K$9)*(INDIRECT($AB11)))</f>
        <v>#VALUE!</v>
      </c>
      <c r="L11" s="200" t="e">
        <f aca="true" t="array" ref="L11:L11">SUM((INDIRECT($AA11)&gt;'East Postition Rpt'!L$8)*(INDIRECT($AA11)&lt;'East Postition Rpt'!L$9)*(INDIRECT($AB11)))</f>
        <v>#VALUE!</v>
      </c>
      <c r="M11" s="200" t="e">
        <f aca="true" t="array" ref="M11:M11">SUM((INDIRECT($AA11)&gt;'East Postition Rpt'!M$8)*(INDIRECT($AA11)&lt;'East Postition Rpt'!M$9)*(INDIRECT($AB11)))</f>
        <v>#VALUE!</v>
      </c>
      <c r="N11" s="200" t="e">
        <f aca="true" t="array" ref="N11:N11">SUM((INDIRECT($AA11)&gt;'East Postition Rpt'!N$8)*(INDIRECT($AA11)&lt;'East Postition Rpt'!N$9)*(INDIRECT($AB11)))</f>
        <v>#VALUE!</v>
      </c>
      <c r="O11" s="200" t="e">
        <f aca="true" t="array" ref="O11:O11">SUM((INDIRECT($AA11)&gt;'East Postition Rpt'!O$8)*(INDIRECT($AA11)&lt;'East Postition Rpt'!O$9)*(INDIRECT($AB11)))</f>
        <v>#VALUE!</v>
      </c>
      <c r="P11" s="200" t="e">
        <f aca="true" t="array" ref="P11:P11">SUM((INDIRECT($AA11)&gt;'East Postition Rpt'!P$8)*(INDIRECT($AA11)&lt;'East Postition Rpt'!P$9)*(INDIRECT($AB11)))</f>
        <v>#VALUE!</v>
      </c>
      <c r="Q11" s="200" t="e">
        <f aca="true" t="array" ref="Q11:Q11">SUM((INDIRECT($AA11)&gt;'East Postition Rpt'!Q$8)*(INDIRECT($AA11)&lt;'East Postition Rpt'!Q$9)*(INDIRECT($AB11)))</f>
        <v>#VALUE!</v>
      </c>
      <c r="R11" s="200" t="e">
        <f aca="true" t="array" ref="R11:R11">SUM((INDIRECT($AA11)&gt;'East Postition Rpt'!R$8)*(INDIRECT($AA11)&lt;'East Postition Rpt'!R$9)*(INDIRECT($AB11)))</f>
        <v>#VALUE!</v>
      </c>
      <c r="S11" s="200" t="e">
        <f aca="true" t="array" ref="S11:S11">SUM((INDIRECT($AA11)&gt;'East Postition Rpt'!S$8)*(INDIRECT($AA11)&lt;'East Postition Rpt'!S$9)*(INDIRECT($AB11)))</f>
        <v>#VALUE!</v>
      </c>
      <c r="T11" s="201" t="e">
        <f aca="true" t="array" ref="T11:T11">SUM((INDIRECT($AA11)&gt;'East Postition Rpt'!T$8)*(INDIRECT($AA11)&lt;'East Postition Rpt'!T$9)*(INDIRECT($AB11)))</f>
        <v>#VALUE!</v>
      </c>
      <c r="V11" s="202" t="e">
        <f aca="false">SUM(H11:T11)</f>
        <v>#VALUE!</v>
      </c>
      <c r="Y11" s="125" t="e">
        <f aca="false">GetWorkSheet($C10)</f>
        <v>#VALUE!</v>
      </c>
      <c r="Z11" s="124"/>
      <c r="AA11" s="125" t="e">
        <f aca="false">IF(NOT($Y11="#VALUE#"),CONCATENATE($Y11,"!",GetDateStart($Y11),":",GetDateEnd($Y11)),"")</f>
        <v>#VALUE!</v>
      </c>
      <c r="AB11" s="125" t="e">
        <f aca="false">IF(NOT($Y11="#VALUE#"),CONCATENATE($Y11,"!",GetDeliveryStart($Y11),":",GetDeliveryEnd($Y11)),"")</f>
        <v>#VALUE!</v>
      </c>
      <c r="AC11" s="125" t="e">
        <f aca="false">GetRecNdx($Z10,$C10)</f>
        <v>#VALUE!</v>
      </c>
    </row>
    <row r="12" customFormat="false" ht="12.75" hidden="false" customHeight="false" outlineLevel="0" collapsed="false">
      <c r="C12" s="115" t="n">
        <v>19</v>
      </c>
      <c r="E12" s="116" t="e">
        <f aca="false">GetPipeName($Z12,$AC12)</f>
        <v>#VALUE!</v>
      </c>
      <c r="F12" s="117" t="e">
        <f aca="false">CONCATENATE(GetRcptPoint($Z12,$AC12)," to ",GetDelPoint($Z12,$AC12))</f>
        <v>#VALUE!</v>
      </c>
      <c r="G12" s="118" t="e">
        <f aca="false">GetRcptBasis($Z12,$AC12)</f>
        <v>#VALUE!</v>
      </c>
      <c r="H12" s="209" t="e">
        <f aca="true" t="array" ref="H12:H12">SUM((INDIRECT($AA12)&gt;'East Postition Rpt'!H$8)*(INDIRECT($AA12)&lt;'East Postition Rpt'!H$9)*(INDIRECT($AB12)))</f>
        <v>#VALUE!</v>
      </c>
      <c r="I12" s="196" t="e">
        <f aca="true" t="array" ref="I12:I12">SUM((INDIRECT($AA12)&gt;'East Postition Rpt'!I$8)*(INDIRECT($AA12)&lt;'East Postition Rpt'!I$9)*(INDIRECT($AB12)))</f>
        <v>#VALUE!</v>
      </c>
      <c r="J12" s="196" t="e">
        <f aca="true" t="array" ref="J12:J12">SUM((INDIRECT($AA12)&gt;'East Postition Rpt'!J$8)*(INDIRECT($AA12)&lt;'East Postition Rpt'!J$9)*(INDIRECT($AB12)))</f>
        <v>#VALUE!</v>
      </c>
      <c r="K12" s="196" t="e">
        <f aca="true" t="array" ref="K12:K12">SUM((INDIRECT($AA12)&gt;'East Postition Rpt'!K$8)*(INDIRECT($AA12)&lt;'East Postition Rpt'!K$9)*(INDIRECT($AB12)))</f>
        <v>#VALUE!</v>
      </c>
      <c r="L12" s="196" t="e">
        <f aca="true" t="array" ref="L12:L12">SUM((INDIRECT($AA12)&gt;'East Postition Rpt'!L$8)*(INDIRECT($AA12)&lt;'East Postition Rpt'!L$9)*(INDIRECT($AB12)))</f>
        <v>#VALUE!</v>
      </c>
      <c r="M12" s="196" t="e">
        <f aca="true" t="array" ref="M12:M12">SUM((INDIRECT($AA12)&gt;'East Postition Rpt'!M$8)*(INDIRECT($AA12)&lt;'East Postition Rpt'!M$9)*(INDIRECT($AB12)))</f>
        <v>#VALUE!</v>
      </c>
      <c r="N12" s="196" t="e">
        <f aca="true" t="array" ref="N12:N12">SUM((INDIRECT($AA12)&gt;'East Postition Rpt'!N$8)*(INDIRECT($AA12)&lt;'East Postition Rpt'!N$9)*(INDIRECT($AB12)))</f>
        <v>#VALUE!</v>
      </c>
      <c r="O12" s="196" t="e">
        <f aca="true" t="array" ref="O12:O12">SUM((INDIRECT($AA12)&gt;'East Postition Rpt'!O$8)*(INDIRECT($AA12)&lt;'East Postition Rpt'!O$9)*(INDIRECT($AB12)))</f>
        <v>#VALUE!</v>
      </c>
      <c r="P12" s="196" t="e">
        <f aca="true" t="array" ref="P12:P12">SUM((INDIRECT($AA12)&gt;'East Postition Rpt'!P$8)*(INDIRECT($AA12)&lt;'East Postition Rpt'!P$9)*(INDIRECT($AB12)))</f>
        <v>#VALUE!</v>
      </c>
      <c r="Q12" s="196" t="e">
        <f aca="true" t="array" ref="Q12:Q12">SUM((INDIRECT($AA12)&gt;'East Postition Rpt'!Q$8)*(INDIRECT($AA12)&lt;'East Postition Rpt'!Q$9)*(INDIRECT($AB12)))</f>
        <v>#VALUE!</v>
      </c>
      <c r="R12" s="196" t="e">
        <f aca="true" t="array" ref="R12:R12">SUM((INDIRECT($AA12)&gt;'East Postition Rpt'!R$8)*(INDIRECT($AA12)&lt;'East Postition Rpt'!R$9)*(INDIRECT($AB12)))</f>
        <v>#VALUE!</v>
      </c>
      <c r="S12" s="196" t="e">
        <f aca="true" t="array" ref="S12:S12">SUM((INDIRECT($AA12)&gt;'East Postition Rpt'!S$8)*(INDIRECT($AA12)&lt;'East Postition Rpt'!S$9)*(INDIRECT($AB12)))</f>
        <v>#VALUE!</v>
      </c>
      <c r="T12" s="197" t="e">
        <f aca="true" t="array" ref="T12:T12">SUM((INDIRECT($AA12)&gt;'East Postition Rpt'!T$8)*(INDIRECT($AA12)&lt;'East Postition Rpt'!T$9)*(INDIRECT($AB12)))</f>
        <v>#VALUE!</v>
      </c>
      <c r="V12" s="198" t="e">
        <f aca="false">SUM(H12:T12)</f>
        <v>#VALUE!</v>
      </c>
      <c r="Y12" s="125" t="e">
        <f aca="false">GetWorkSheet($C12)</f>
        <v>#VALUE!</v>
      </c>
      <c r="Z12" s="124" t="e">
        <f aca="false">FetchDBPage(Y12)</f>
        <v>#VALUE!</v>
      </c>
      <c r="AA12" s="125" t="e">
        <f aca="false">IF(NOT($Y12="#VALUE#"),CONCATENATE($Y12,"!",GetDateStart($Y12),":",GetDateEnd($Y12)),"")</f>
        <v>#VALUE!</v>
      </c>
      <c r="AB12" s="125" t="e">
        <f aca="false">IF(NOT($Y12="#VALUE#"),CONCATENATE($Y12,"!",GetReceiptStart($Y12),":",GetReceiptEnd($Y12)),"")</f>
        <v>#VALUE!</v>
      </c>
      <c r="AC12" s="125" t="e">
        <f aca="false">GetRecNdx($Z12,$C12)</f>
        <v>#VALUE!</v>
      </c>
    </row>
    <row r="13" customFormat="false" ht="12.75" hidden="false" customHeight="false" outlineLevel="0" collapsed="false">
      <c r="C13" s="115"/>
      <c r="E13" s="116"/>
      <c r="F13" s="117"/>
      <c r="G13" s="126" t="e">
        <f aca="false">GetDelBasis($Z12,$AC13)</f>
        <v>#VALUE!</v>
      </c>
      <c r="H13" s="199" t="e">
        <f aca="true" t="array" ref="H13:H13">SUM((INDIRECT($AA13)&gt;'East Postition Rpt'!H$8)*(INDIRECT($AA13)&lt;'East Postition Rpt'!H$9)*(INDIRECT($AB13)))</f>
        <v>#VALUE!</v>
      </c>
      <c r="I13" s="200" t="e">
        <f aca="true" t="array" ref="I13:I13">SUM((INDIRECT($AA13)&gt;'East Postition Rpt'!I$8)*(INDIRECT($AA13)&lt;'East Postition Rpt'!I$9)*(INDIRECT($AB13)))</f>
        <v>#VALUE!</v>
      </c>
      <c r="J13" s="200" t="e">
        <f aca="true" t="array" ref="J13:J13">SUM((INDIRECT($AA13)&gt;'East Postition Rpt'!J$8)*(INDIRECT($AA13)&lt;'East Postition Rpt'!J$9)*(INDIRECT($AB13)))</f>
        <v>#VALUE!</v>
      </c>
      <c r="K13" s="200" t="e">
        <f aca="true" t="array" ref="K13:K13">SUM((INDIRECT($AA13)&gt;'East Postition Rpt'!K$8)*(INDIRECT($AA13)&lt;'East Postition Rpt'!K$9)*(INDIRECT($AB13)))</f>
        <v>#VALUE!</v>
      </c>
      <c r="L13" s="200" t="e">
        <f aca="true" t="array" ref="L13:L13">SUM((INDIRECT($AA13)&gt;'East Postition Rpt'!L$8)*(INDIRECT($AA13)&lt;'East Postition Rpt'!L$9)*(INDIRECT($AB13)))</f>
        <v>#VALUE!</v>
      </c>
      <c r="M13" s="200" t="e">
        <f aca="true" t="array" ref="M13:M13">SUM((INDIRECT($AA13)&gt;'East Postition Rpt'!M$8)*(INDIRECT($AA13)&lt;'East Postition Rpt'!M$9)*(INDIRECT($AB13)))</f>
        <v>#VALUE!</v>
      </c>
      <c r="N13" s="200" t="e">
        <f aca="true" t="array" ref="N13:N13">SUM((INDIRECT($AA13)&gt;'East Postition Rpt'!N$8)*(INDIRECT($AA13)&lt;'East Postition Rpt'!N$9)*(INDIRECT($AB13)))</f>
        <v>#VALUE!</v>
      </c>
      <c r="O13" s="200" t="e">
        <f aca="true" t="array" ref="O13:O13">SUM((INDIRECT($AA13)&gt;'East Postition Rpt'!O$8)*(INDIRECT($AA13)&lt;'East Postition Rpt'!O$9)*(INDIRECT($AB13)))</f>
        <v>#VALUE!</v>
      </c>
      <c r="P13" s="200" t="e">
        <f aca="true" t="array" ref="P13:P13">SUM((INDIRECT($AA13)&gt;'East Postition Rpt'!P$8)*(INDIRECT($AA13)&lt;'East Postition Rpt'!P$9)*(INDIRECT($AB13)))</f>
        <v>#VALUE!</v>
      </c>
      <c r="Q13" s="200" t="e">
        <f aca="true" t="array" ref="Q13:Q13">SUM((INDIRECT($AA13)&gt;'East Postition Rpt'!Q$8)*(INDIRECT($AA13)&lt;'East Postition Rpt'!Q$9)*(INDIRECT($AB13)))</f>
        <v>#VALUE!</v>
      </c>
      <c r="R13" s="200" t="e">
        <f aca="true" t="array" ref="R13:R13">SUM((INDIRECT($AA13)&gt;'East Postition Rpt'!R$8)*(INDIRECT($AA13)&lt;'East Postition Rpt'!R$9)*(INDIRECT($AB13)))</f>
        <v>#VALUE!</v>
      </c>
      <c r="S13" s="200" t="e">
        <f aca="true" t="array" ref="S13:S13">SUM((INDIRECT($AA13)&gt;'East Postition Rpt'!S$8)*(INDIRECT($AA13)&lt;'East Postition Rpt'!S$9)*(INDIRECT($AB13)))</f>
        <v>#VALUE!</v>
      </c>
      <c r="T13" s="201" t="e">
        <f aca="true" t="array" ref="T13:T13">SUM((INDIRECT($AA13)&gt;'East Postition Rpt'!T$8)*(INDIRECT($AA13)&lt;'East Postition Rpt'!T$9)*(INDIRECT($AB13)))</f>
        <v>#VALUE!</v>
      </c>
      <c r="V13" s="202" t="e">
        <f aca="false">SUM(H13:T13)</f>
        <v>#VALUE!</v>
      </c>
      <c r="Y13" s="125" t="e">
        <f aca="false">GetWorkSheet($C12)</f>
        <v>#VALUE!</v>
      </c>
      <c r="Z13" s="124"/>
      <c r="AA13" s="125" t="e">
        <f aca="false">IF(NOT($Y13="#VALUE#"),CONCATENATE($Y13,"!",GetDateStart($Y13),":",GetDateEnd($Y13)),"")</f>
        <v>#VALUE!</v>
      </c>
      <c r="AB13" s="125" t="e">
        <f aca="false">IF(NOT($Y13="#VALUE#"),CONCATENATE($Y13,"!",GetDeliveryStart($Y13),":",GetDeliveryEnd($Y13)),"")</f>
        <v>#VALUE!</v>
      </c>
      <c r="AC13" s="125" t="e">
        <f aca="false">GetRecNdx($Z12,$C12)</f>
        <v>#VALUE!</v>
      </c>
    </row>
    <row r="14" customFormat="false" ht="12.75" hidden="false" customHeight="false" outlineLevel="0" collapsed="false">
      <c r="C14" s="115" t="n">
        <v>20</v>
      </c>
      <c r="E14" s="116" t="e">
        <f aca="false">GetPipeName($Z14,$AC14)</f>
        <v>#VALUE!</v>
      </c>
      <c r="F14" s="117" t="e">
        <f aca="false">CONCATENATE(GetRcptPoint($Z14,$AC14)," to ",GetDelPoint($Z14,$AC14))</f>
        <v>#VALUE!</v>
      </c>
      <c r="G14" s="118" t="e">
        <f aca="false">GetRcptBasis($Z14,$AC14)</f>
        <v>#VALUE!</v>
      </c>
      <c r="H14" s="209" t="e">
        <f aca="true" t="array" ref="H14:H14">SUM((INDIRECT($AA14)&gt;'East Postition Rpt'!H$8)*(INDIRECT($AA14)&lt;'East Postition Rpt'!H$9)*(INDIRECT($AB14)))</f>
        <v>#VALUE!</v>
      </c>
      <c r="I14" s="196" t="e">
        <f aca="true" t="array" ref="I14:I14">SUM((INDIRECT($AA14)&gt;'East Postition Rpt'!I$8)*(INDIRECT($AA14)&lt;'East Postition Rpt'!I$9)*(INDIRECT($AB14)))</f>
        <v>#VALUE!</v>
      </c>
      <c r="J14" s="196" t="e">
        <f aca="true" t="array" ref="J14:J14">SUM((INDIRECT($AA14)&gt;'East Postition Rpt'!J$8)*(INDIRECT($AA14)&lt;'East Postition Rpt'!J$9)*(INDIRECT($AB14)))</f>
        <v>#VALUE!</v>
      </c>
      <c r="K14" s="196" t="e">
        <f aca="true" t="array" ref="K14:K14">SUM((INDIRECT($AA14)&gt;'East Postition Rpt'!K$8)*(INDIRECT($AA14)&lt;'East Postition Rpt'!K$9)*(INDIRECT($AB14)))</f>
        <v>#VALUE!</v>
      </c>
      <c r="L14" s="196" t="e">
        <f aca="true" t="array" ref="L14:L14">SUM((INDIRECT($AA14)&gt;'East Postition Rpt'!L$8)*(INDIRECT($AA14)&lt;'East Postition Rpt'!L$9)*(INDIRECT($AB14)))</f>
        <v>#VALUE!</v>
      </c>
      <c r="M14" s="196" t="e">
        <f aca="true" t="array" ref="M14:M14">SUM((INDIRECT($AA14)&gt;'East Postition Rpt'!M$8)*(INDIRECT($AA14)&lt;'East Postition Rpt'!M$9)*(INDIRECT($AB14)))</f>
        <v>#VALUE!</v>
      </c>
      <c r="N14" s="196" t="e">
        <f aca="true" t="array" ref="N14:N14">SUM((INDIRECT($AA14)&gt;'East Postition Rpt'!N$8)*(INDIRECT($AA14)&lt;'East Postition Rpt'!N$9)*(INDIRECT($AB14)))</f>
        <v>#VALUE!</v>
      </c>
      <c r="O14" s="196" t="e">
        <f aca="true" t="array" ref="O14:O14">SUM((INDIRECT($AA14)&gt;'East Postition Rpt'!O$8)*(INDIRECT($AA14)&lt;'East Postition Rpt'!O$9)*(INDIRECT($AB14)))</f>
        <v>#VALUE!</v>
      </c>
      <c r="P14" s="196" t="e">
        <f aca="true" t="array" ref="P14:P14">SUM((INDIRECT($AA14)&gt;'East Postition Rpt'!P$8)*(INDIRECT($AA14)&lt;'East Postition Rpt'!P$9)*(INDIRECT($AB14)))</f>
        <v>#VALUE!</v>
      </c>
      <c r="Q14" s="196" t="e">
        <f aca="true" t="array" ref="Q14:Q14">SUM((INDIRECT($AA14)&gt;'East Postition Rpt'!Q$8)*(INDIRECT($AA14)&lt;'East Postition Rpt'!Q$9)*(INDIRECT($AB14)))</f>
        <v>#VALUE!</v>
      </c>
      <c r="R14" s="196" t="e">
        <f aca="true" t="array" ref="R14:R14">SUM((INDIRECT($AA14)&gt;'East Postition Rpt'!R$8)*(INDIRECT($AA14)&lt;'East Postition Rpt'!R$9)*(INDIRECT($AB14)))</f>
        <v>#VALUE!</v>
      </c>
      <c r="S14" s="196" t="e">
        <f aca="true" t="array" ref="S14:S14">SUM((INDIRECT($AA14)&gt;'East Postition Rpt'!S$8)*(INDIRECT($AA14)&lt;'East Postition Rpt'!S$9)*(INDIRECT($AB14)))</f>
        <v>#VALUE!</v>
      </c>
      <c r="T14" s="197" t="e">
        <f aca="true" t="array" ref="T14:T14">SUM((INDIRECT($AA14)&gt;'East Postition Rpt'!T$8)*(INDIRECT($AA14)&lt;'East Postition Rpt'!T$9)*(INDIRECT($AB14)))</f>
        <v>#VALUE!</v>
      </c>
      <c r="V14" s="198" t="e">
        <f aca="false">SUM(H14:T14)</f>
        <v>#VALUE!</v>
      </c>
      <c r="Y14" s="125" t="e">
        <f aca="false">GetWorkSheet($C14)</f>
        <v>#VALUE!</v>
      </c>
      <c r="Z14" s="124" t="e">
        <f aca="false">FetchDBPage(Y14)</f>
        <v>#VALUE!</v>
      </c>
      <c r="AA14" s="125" t="e">
        <f aca="false">IF(NOT($Y14="#VALUE#"),CONCATENATE($Y14,"!",GetDateStart($Y14),":",GetDateEnd($Y14)),"")</f>
        <v>#VALUE!</v>
      </c>
      <c r="AB14" s="125" t="e">
        <f aca="false">IF(NOT($Y14="#VALUE#"),CONCATENATE($Y14,"!",GetReceiptStart($Y14),":",GetReceiptEnd($Y14)),"")</f>
        <v>#VALUE!</v>
      </c>
      <c r="AC14" s="125" t="e">
        <f aca="false">GetRecNdx($Z14,$C14)</f>
        <v>#VALUE!</v>
      </c>
    </row>
    <row r="15" customFormat="false" ht="12.75" hidden="false" customHeight="false" outlineLevel="0" collapsed="false">
      <c r="C15" s="115"/>
      <c r="E15" s="116"/>
      <c r="F15" s="117"/>
      <c r="G15" s="126" t="e">
        <f aca="false">GetDelBasis($Z14,$AC15)</f>
        <v>#VALUE!</v>
      </c>
      <c r="H15" s="199" t="e">
        <f aca="true" t="array" ref="H15:H15">SUM((INDIRECT($AA15)&gt;'East Postition Rpt'!H$8)*(INDIRECT($AA15)&lt;'East Postition Rpt'!H$9)*(INDIRECT($AB15)))</f>
        <v>#VALUE!</v>
      </c>
      <c r="I15" s="200" t="e">
        <f aca="true" t="array" ref="I15:I15">SUM((INDIRECT($AA15)&gt;'East Postition Rpt'!I$8)*(INDIRECT($AA15)&lt;'East Postition Rpt'!I$9)*(INDIRECT($AB15)))</f>
        <v>#VALUE!</v>
      </c>
      <c r="J15" s="200" t="e">
        <f aca="true" t="array" ref="J15:J15">SUM((INDIRECT($AA15)&gt;'East Postition Rpt'!J$8)*(INDIRECT($AA15)&lt;'East Postition Rpt'!J$9)*(INDIRECT($AB15)))</f>
        <v>#VALUE!</v>
      </c>
      <c r="K15" s="200" t="e">
        <f aca="true" t="array" ref="K15:K15">SUM((INDIRECT($AA15)&gt;'East Postition Rpt'!K$8)*(INDIRECT($AA15)&lt;'East Postition Rpt'!K$9)*(INDIRECT($AB15)))</f>
        <v>#VALUE!</v>
      </c>
      <c r="L15" s="200" t="e">
        <f aca="true" t="array" ref="L15:L15">SUM((INDIRECT($AA15)&gt;'East Postition Rpt'!L$8)*(INDIRECT($AA15)&lt;'East Postition Rpt'!L$9)*(INDIRECT($AB15)))</f>
        <v>#VALUE!</v>
      </c>
      <c r="M15" s="200" t="e">
        <f aca="true" t="array" ref="M15:M15">SUM((INDIRECT($AA15)&gt;'East Postition Rpt'!M$8)*(INDIRECT($AA15)&lt;'East Postition Rpt'!M$9)*(INDIRECT($AB15)))</f>
        <v>#VALUE!</v>
      </c>
      <c r="N15" s="200" t="e">
        <f aca="true" t="array" ref="N15:N15">SUM((INDIRECT($AA15)&gt;'East Postition Rpt'!N$8)*(INDIRECT($AA15)&lt;'East Postition Rpt'!N$9)*(INDIRECT($AB15)))</f>
        <v>#VALUE!</v>
      </c>
      <c r="O15" s="200" t="e">
        <f aca="true" t="array" ref="O15:O15">SUM((INDIRECT($AA15)&gt;'East Postition Rpt'!O$8)*(INDIRECT($AA15)&lt;'East Postition Rpt'!O$9)*(INDIRECT($AB15)))</f>
        <v>#VALUE!</v>
      </c>
      <c r="P15" s="200" t="e">
        <f aca="true" t="array" ref="P15:P15">SUM((INDIRECT($AA15)&gt;'East Postition Rpt'!P$8)*(INDIRECT($AA15)&lt;'East Postition Rpt'!P$9)*(INDIRECT($AB15)))</f>
        <v>#VALUE!</v>
      </c>
      <c r="Q15" s="200" t="e">
        <f aca="true" t="array" ref="Q15:Q15">SUM((INDIRECT($AA15)&gt;'East Postition Rpt'!Q$8)*(INDIRECT($AA15)&lt;'East Postition Rpt'!Q$9)*(INDIRECT($AB15)))</f>
        <v>#VALUE!</v>
      </c>
      <c r="R15" s="200" t="e">
        <f aca="true" t="array" ref="R15:R15">SUM((INDIRECT($AA15)&gt;'East Postition Rpt'!R$8)*(INDIRECT($AA15)&lt;'East Postition Rpt'!R$9)*(INDIRECT($AB15)))</f>
        <v>#VALUE!</v>
      </c>
      <c r="S15" s="200" t="e">
        <f aca="true" t="array" ref="S15:S15">SUM((INDIRECT($AA15)&gt;'East Postition Rpt'!S$8)*(INDIRECT($AA15)&lt;'East Postition Rpt'!S$9)*(INDIRECT($AB15)))</f>
        <v>#VALUE!</v>
      </c>
      <c r="T15" s="201" t="e">
        <f aca="true" t="array" ref="T15:T15">SUM((INDIRECT($AA15)&gt;'East Postition Rpt'!T$8)*(INDIRECT($AA15)&lt;'East Postition Rpt'!T$9)*(INDIRECT($AB15)))</f>
        <v>#VALUE!</v>
      </c>
      <c r="V15" s="202" t="e">
        <f aca="false">SUM(H15:T15)</f>
        <v>#VALUE!</v>
      </c>
      <c r="Y15" s="125" t="e">
        <f aca="false">GetWorkSheet($C14)</f>
        <v>#VALUE!</v>
      </c>
      <c r="Z15" s="124"/>
      <c r="AA15" s="125" t="e">
        <f aca="false">IF(NOT($Y15="#VALUE#"),CONCATENATE($Y15,"!",GetDateStart($Y15),":",GetDateEnd($Y15)),"")</f>
        <v>#VALUE!</v>
      </c>
      <c r="AB15" s="125" t="e">
        <f aca="false">IF(NOT($Y15="#VALUE#"),CONCATENATE($Y15,"!",GetDeliveryStart($Y15),":",GetDeliveryEnd($Y15)),"")</f>
        <v>#VALUE!</v>
      </c>
      <c r="AC15" s="125" t="e">
        <f aca="false">GetRecNdx($Z14,$C14)</f>
        <v>#VALUE!</v>
      </c>
    </row>
    <row r="16" customFormat="false" ht="12.75" hidden="false" customHeight="false" outlineLevel="0" collapsed="false">
      <c r="C16" s="115" t="n">
        <v>21</v>
      </c>
      <c r="E16" s="116" t="e">
        <f aca="false">GetPipeName($Z16,$AC16)</f>
        <v>#VALUE!</v>
      </c>
      <c r="F16" s="117" t="e">
        <f aca="false">CONCATENATE(GetRcptPoint($Z16,$AC16)," to ",GetDelPoint($Z16,$AC16))</f>
        <v>#VALUE!</v>
      </c>
      <c r="G16" s="118" t="e">
        <f aca="false">GetRcptBasis($Z16,$AC16)</f>
        <v>#VALUE!</v>
      </c>
      <c r="H16" s="209" t="e">
        <f aca="true" t="array" ref="H16:H16">SUM((INDIRECT($AA16)&gt;'East Postition Rpt'!H$8)*(INDIRECT($AA16)&lt;'East Postition Rpt'!H$9)*(INDIRECT($AB16)))</f>
        <v>#VALUE!</v>
      </c>
      <c r="I16" s="196" t="e">
        <f aca="true" t="array" ref="I16:I16">SUM((INDIRECT($AA16)&gt;'East Postition Rpt'!I$8)*(INDIRECT($AA16)&lt;'East Postition Rpt'!I$9)*(INDIRECT($AB16)))</f>
        <v>#VALUE!</v>
      </c>
      <c r="J16" s="196" t="e">
        <f aca="true" t="array" ref="J16:J16">SUM((INDIRECT($AA16)&gt;'East Postition Rpt'!J$8)*(INDIRECT($AA16)&lt;'East Postition Rpt'!J$9)*(INDIRECT($AB16)))</f>
        <v>#VALUE!</v>
      </c>
      <c r="K16" s="196" t="e">
        <f aca="true" t="array" ref="K16:K16">SUM((INDIRECT($AA16)&gt;'East Postition Rpt'!K$8)*(INDIRECT($AA16)&lt;'East Postition Rpt'!K$9)*(INDIRECT($AB16)))</f>
        <v>#VALUE!</v>
      </c>
      <c r="L16" s="196" t="e">
        <f aca="true" t="array" ref="L16:L16">SUM((INDIRECT($AA16)&gt;'East Postition Rpt'!L$8)*(INDIRECT($AA16)&lt;'East Postition Rpt'!L$9)*(INDIRECT($AB16)))</f>
        <v>#VALUE!</v>
      </c>
      <c r="M16" s="196" t="e">
        <f aca="true" t="array" ref="M16:M16">SUM((INDIRECT($AA16)&gt;'East Postition Rpt'!M$8)*(INDIRECT($AA16)&lt;'East Postition Rpt'!M$9)*(INDIRECT($AB16)))</f>
        <v>#VALUE!</v>
      </c>
      <c r="N16" s="196" t="e">
        <f aca="true" t="array" ref="N16:N16">SUM((INDIRECT($AA16)&gt;'East Postition Rpt'!N$8)*(INDIRECT($AA16)&lt;'East Postition Rpt'!N$9)*(INDIRECT($AB16)))</f>
        <v>#VALUE!</v>
      </c>
      <c r="O16" s="196" t="e">
        <f aca="true" t="array" ref="O16:O16">SUM((INDIRECT($AA16)&gt;'East Postition Rpt'!O$8)*(INDIRECT($AA16)&lt;'East Postition Rpt'!O$9)*(INDIRECT($AB16)))</f>
        <v>#VALUE!</v>
      </c>
      <c r="P16" s="196" t="e">
        <f aca="true" t="array" ref="P16:P16">SUM((INDIRECT($AA16)&gt;'East Postition Rpt'!P$8)*(INDIRECT($AA16)&lt;'East Postition Rpt'!P$9)*(INDIRECT($AB16)))</f>
        <v>#VALUE!</v>
      </c>
      <c r="Q16" s="196" t="e">
        <f aca="true" t="array" ref="Q16:Q16">SUM((INDIRECT($AA16)&gt;'East Postition Rpt'!Q$8)*(INDIRECT($AA16)&lt;'East Postition Rpt'!Q$9)*(INDIRECT($AB16)))</f>
        <v>#VALUE!</v>
      </c>
      <c r="R16" s="196" t="e">
        <f aca="true" t="array" ref="R16:R16">SUM((INDIRECT($AA16)&gt;'East Postition Rpt'!R$8)*(INDIRECT($AA16)&lt;'East Postition Rpt'!R$9)*(INDIRECT($AB16)))</f>
        <v>#VALUE!</v>
      </c>
      <c r="S16" s="196" t="e">
        <f aca="true" t="array" ref="S16:S16">SUM((INDIRECT($AA16)&gt;'East Postition Rpt'!S$8)*(INDIRECT($AA16)&lt;'East Postition Rpt'!S$9)*(INDIRECT($AB16)))</f>
        <v>#VALUE!</v>
      </c>
      <c r="T16" s="197" t="e">
        <f aca="true" t="array" ref="T16:T16">SUM((INDIRECT($AA16)&gt;'East Postition Rpt'!T$8)*(INDIRECT($AA16)&lt;'East Postition Rpt'!T$9)*(INDIRECT($AB16)))</f>
        <v>#VALUE!</v>
      </c>
      <c r="V16" s="198" t="e">
        <f aca="false">SUM(H16:T16)</f>
        <v>#VALUE!</v>
      </c>
      <c r="Y16" s="125" t="e">
        <f aca="false">GetWorkSheet($C16)</f>
        <v>#VALUE!</v>
      </c>
      <c r="Z16" s="124" t="e">
        <f aca="false">FetchDBPage(Y16)</f>
        <v>#VALUE!</v>
      </c>
      <c r="AA16" s="125" t="e">
        <f aca="false">IF(NOT($Y16="#VALUE#"),CONCATENATE($Y16,"!",GetDateStart($Y16),":",GetDateEnd($Y16)),"")</f>
        <v>#VALUE!</v>
      </c>
      <c r="AB16" s="125" t="e">
        <f aca="false">IF(NOT($Y16="#VALUE#"),CONCATENATE($Y16,"!",GetReceiptStart($Y16),":",GetReceiptEnd($Y16)),"")</f>
        <v>#VALUE!</v>
      </c>
      <c r="AC16" s="125" t="e">
        <f aca="false">GetRecNdx($Z16,$C16)</f>
        <v>#VALUE!</v>
      </c>
    </row>
    <row r="17" customFormat="false" ht="12.75" hidden="false" customHeight="false" outlineLevel="0" collapsed="false">
      <c r="C17" s="115"/>
      <c r="E17" s="116"/>
      <c r="F17" s="117"/>
      <c r="G17" s="126" t="e">
        <f aca="false">GetDelBasis($Z16,$AC17)</f>
        <v>#VALUE!</v>
      </c>
      <c r="H17" s="199" t="e">
        <f aca="true" t="array" ref="H17:H17">SUM((INDIRECT($AA17)&gt;'East Postition Rpt'!H$8)*(INDIRECT($AA17)&lt;'East Postition Rpt'!H$9)*(INDIRECT($AB17)))</f>
        <v>#VALUE!</v>
      </c>
      <c r="I17" s="200" t="e">
        <f aca="true" t="array" ref="I17:I17">SUM((INDIRECT($AA17)&gt;'East Postition Rpt'!I$8)*(INDIRECT($AA17)&lt;'East Postition Rpt'!I$9)*(INDIRECT($AB17)))</f>
        <v>#VALUE!</v>
      </c>
      <c r="J17" s="200" t="e">
        <f aca="true" t="array" ref="J17:J17">SUM((INDIRECT($AA17)&gt;'East Postition Rpt'!J$8)*(INDIRECT($AA17)&lt;'East Postition Rpt'!J$9)*(INDIRECT($AB17)))</f>
        <v>#VALUE!</v>
      </c>
      <c r="K17" s="200" t="e">
        <f aca="true" t="array" ref="K17:K17">SUM((INDIRECT($AA17)&gt;'East Postition Rpt'!K$8)*(INDIRECT($AA17)&lt;'East Postition Rpt'!K$9)*(INDIRECT($AB17)))</f>
        <v>#VALUE!</v>
      </c>
      <c r="L17" s="200" t="e">
        <f aca="true" t="array" ref="L17:L17">SUM((INDIRECT($AA17)&gt;'East Postition Rpt'!L$8)*(INDIRECT($AA17)&lt;'East Postition Rpt'!L$9)*(INDIRECT($AB17)))</f>
        <v>#VALUE!</v>
      </c>
      <c r="M17" s="200" t="e">
        <f aca="true" t="array" ref="M17:M17">SUM((INDIRECT($AA17)&gt;'East Postition Rpt'!M$8)*(INDIRECT($AA17)&lt;'East Postition Rpt'!M$9)*(INDIRECT($AB17)))</f>
        <v>#VALUE!</v>
      </c>
      <c r="N17" s="200" t="e">
        <f aca="true" t="array" ref="N17:N17">SUM((INDIRECT($AA17)&gt;'East Postition Rpt'!N$8)*(INDIRECT($AA17)&lt;'East Postition Rpt'!N$9)*(INDIRECT($AB17)))</f>
        <v>#VALUE!</v>
      </c>
      <c r="O17" s="200" t="e">
        <f aca="true" t="array" ref="O17:O17">SUM((INDIRECT($AA17)&gt;'East Postition Rpt'!O$8)*(INDIRECT($AA17)&lt;'East Postition Rpt'!O$9)*(INDIRECT($AB17)))</f>
        <v>#VALUE!</v>
      </c>
      <c r="P17" s="200" t="e">
        <f aca="true" t="array" ref="P17:P17">SUM((INDIRECT($AA17)&gt;'East Postition Rpt'!P$8)*(INDIRECT($AA17)&lt;'East Postition Rpt'!P$9)*(INDIRECT($AB17)))</f>
        <v>#VALUE!</v>
      </c>
      <c r="Q17" s="200" t="e">
        <f aca="true" t="array" ref="Q17:Q17">SUM((INDIRECT($AA17)&gt;'East Postition Rpt'!Q$8)*(INDIRECT($AA17)&lt;'East Postition Rpt'!Q$9)*(INDIRECT($AB17)))</f>
        <v>#VALUE!</v>
      </c>
      <c r="R17" s="200" t="e">
        <f aca="true" t="array" ref="R17:R17">SUM((INDIRECT($AA17)&gt;'East Postition Rpt'!R$8)*(INDIRECT($AA17)&lt;'East Postition Rpt'!R$9)*(INDIRECT($AB17)))</f>
        <v>#VALUE!</v>
      </c>
      <c r="S17" s="200" t="e">
        <f aca="true" t="array" ref="S17:S17">SUM((INDIRECT($AA17)&gt;'East Postition Rpt'!S$8)*(INDIRECT($AA17)&lt;'East Postition Rpt'!S$9)*(INDIRECT($AB17)))</f>
        <v>#VALUE!</v>
      </c>
      <c r="T17" s="201" t="e">
        <f aca="true" t="array" ref="T17:T17">SUM((INDIRECT($AA17)&gt;'East Postition Rpt'!T$8)*(INDIRECT($AA17)&lt;'East Postition Rpt'!T$9)*(INDIRECT($AB17)))</f>
        <v>#VALUE!</v>
      </c>
      <c r="V17" s="202" t="e">
        <f aca="false">SUM(H17:T17)</f>
        <v>#VALUE!</v>
      </c>
      <c r="Y17" s="125" t="e">
        <f aca="false">GetWorkSheet($C16)</f>
        <v>#VALUE!</v>
      </c>
      <c r="Z17" s="124"/>
      <c r="AA17" s="125" t="e">
        <f aca="false">IF(NOT($Y17="#VALUE#"),CONCATENATE($Y17,"!",GetDateStart($Y17),":",GetDateEnd($Y17)),"")</f>
        <v>#VALUE!</v>
      </c>
      <c r="AB17" s="125" t="e">
        <f aca="false">IF(NOT($Y17="#VALUE#"),CONCATENATE($Y17,"!",GetDeliveryStart($Y17),":",GetDeliveryEnd($Y17)),"")</f>
        <v>#VALUE!</v>
      </c>
      <c r="AC17" s="125" t="e">
        <f aca="false">GetRecNdx($Z16,$C16)</f>
        <v>#VALUE!</v>
      </c>
    </row>
    <row r="18" customFormat="false" ht="12.75" hidden="false" customHeight="false" outlineLevel="0" collapsed="false">
      <c r="C18" s="115" t="n">
        <v>24</v>
      </c>
      <c r="E18" s="116" t="e">
        <f aca="false">GetPipeName($Z18,$AC18)</f>
        <v>#VALUE!</v>
      </c>
      <c r="F18" s="117" t="e">
        <f aca="false">CONCATENATE(GetRcptPoint($Z18,$AC18)," to ",GetDelPoint($Z18,$AC18))</f>
        <v>#VALUE!</v>
      </c>
      <c r="G18" s="118" t="e">
        <f aca="false">GetRcptBasis($Z18,$AC18)</f>
        <v>#VALUE!</v>
      </c>
      <c r="H18" s="209" t="e">
        <f aca="true" t="array" ref="H18:H18">SUM((INDIRECT($AA18)&gt;'East Postition Rpt'!H$8)*(INDIRECT($AA18)&lt;'East Postition Rpt'!H$9)*(INDIRECT($AB18)))</f>
        <v>#VALUE!</v>
      </c>
      <c r="I18" s="196" t="e">
        <f aca="true" t="array" ref="I18:I18">SUM((INDIRECT($AA18)&gt;'East Postition Rpt'!I$8)*(INDIRECT($AA18)&lt;'East Postition Rpt'!I$9)*(INDIRECT($AB18)))</f>
        <v>#VALUE!</v>
      </c>
      <c r="J18" s="196" t="e">
        <f aca="true" t="array" ref="J18:J18">SUM((INDIRECT($AA18)&gt;'East Postition Rpt'!J$8)*(INDIRECT($AA18)&lt;'East Postition Rpt'!J$9)*(INDIRECT($AB18)))</f>
        <v>#VALUE!</v>
      </c>
      <c r="K18" s="196" t="e">
        <f aca="true" t="array" ref="K18:K18">SUM((INDIRECT($AA18)&gt;'East Postition Rpt'!K$8)*(INDIRECT($AA18)&lt;'East Postition Rpt'!K$9)*(INDIRECT($AB18)))</f>
        <v>#VALUE!</v>
      </c>
      <c r="L18" s="196" t="e">
        <f aca="true" t="array" ref="L18:L18">SUM((INDIRECT($AA18)&gt;'East Postition Rpt'!L$8)*(INDIRECT($AA18)&lt;'East Postition Rpt'!L$9)*(INDIRECT($AB18)))</f>
        <v>#VALUE!</v>
      </c>
      <c r="M18" s="196" t="e">
        <f aca="true" t="array" ref="M18:M18">SUM((INDIRECT($AA18)&gt;'East Postition Rpt'!M$8)*(INDIRECT($AA18)&lt;'East Postition Rpt'!M$9)*(INDIRECT($AB18)))</f>
        <v>#VALUE!</v>
      </c>
      <c r="N18" s="196" t="e">
        <f aca="true" t="array" ref="N18:N18">SUM((INDIRECT($AA18)&gt;'East Postition Rpt'!N$8)*(INDIRECT($AA18)&lt;'East Postition Rpt'!N$9)*(INDIRECT($AB18)))</f>
        <v>#VALUE!</v>
      </c>
      <c r="O18" s="196" t="e">
        <f aca="true" t="array" ref="O18:O18">SUM((INDIRECT($AA18)&gt;'East Postition Rpt'!O$8)*(INDIRECT($AA18)&lt;'East Postition Rpt'!O$9)*(INDIRECT($AB18)))</f>
        <v>#VALUE!</v>
      </c>
      <c r="P18" s="196" t="e">
        <f aca="true" t="array" ref="P18:P18">SUM((INDIRECT($AA18)&gt;'East Postition Rpt'!P$8)*(INDIRECT($AA18)&lt;'East Postition Rpt'!P$9)*(INDIRECT($AB18)))</f>
        <v>#VALUE!</v>
      </c>
      <c r="Q18" s="196" t="e">
        <f aca="true" t="array" ref="Q18:Q18">SUM((INDIRECT($AA18)&gt;'East Postition Rpt'!Q$8)*(INDIRECT($AA18)&lt;'East Postition Rpt'!Q$9)*(INDIRECT($AB18)))</f>
        <v>#VALUE!</v>
      </c>
      <c r="R18" s="196" t="e">
        <f aca="true" t="array" ref="R18:R18">SUM((INDIRECT($AA18)&gt;'East Postition Rpt'!R$8)*(INDIRECT($AA18)&lt;'East Postition Rpt'!R$9)*(INDIRECT($AB18)))</f>
        <v>#VALUE!</v>
      </c>
      <c r="S18" s="196" t="e">
        <f aca="true" t="array" ref="S18:S18">SUM((INDIRECT($AA18)&gt;'East Postition Rpt'!S$8)*(INDIRECT($AA18)&lt;'East Postition Rpt'!S$9)*(INDIRECT($AB18)))</f>
        <v>#VALUE!</v>
      </c>
      <c r="T18" s="197" t="e">
        <f aca="true" t="array" ref="T18:T18">SUM((INDIRECT($AA18)&gt;'East Postition Rpt'!T$8)*(INDIRECT($AA18)&lt;'East Postition Rpt'!T$9)*(INDIRECT($AB18)))</f>
        <v>#VALUE!</v>
      </c>
      <c r="V18" s="198" t="e">
        <f aca="false">SUM(H18:T18)</f>
        <v>#VALUE!</v>
      </c>
      <c r="Y18" s="125" t="e">
        <f aca="false">GetWorkSheet($C18)</f>
        <v>#VALUE!</v>
      </c>
      <c r="Z18" s="124" t="e">
        <f aca="false">FetchDBPage(Y18)</f>
        <v>#VALUE!</v>
      </c>
      <c r="AA18" s="125" t="e">
        <f aca="false">IF(NOT($Y18="#VALUE#"),CONCATENATE($Y18,"!",GetDateStart($Y18),":",GetDateEnd($Y18)),"")</f>
        <v>#VALUE!</v>
      </c>
      <c r="AB18" s="125" t="e">
        <f aca="false">IF(NOT($Y18="#VALUE#"),CONCATENATE($Y18,"!",GetReceiptStart($Y18),":",GetReceiptEnd($Y18)),"")</f>
        <v>#VALUE!</v>
      </c>
      <c r="AC18" s="125" t="e">
        <f aca="false">GetRecNdx($Z18,$C18)</f>
        <v>#VALUE!</v>
      </c>
    </row>
    <row r="19" customFormat="false" ht="12.75" hidden="false" customHeight="false" outlineLevel="0" collapsed="false">
      <c r="C19" s="115"/>
      <c r="E19" s="116"/>
      <c r="F19" s="117"/>
      <c r="G19" s="126" t="e">
        <f aca="false">GetDelBasis($Z18,$AC19)</f>
        <v>#VALUE!</v>
      </c>
      <c r="H19" s="199" t="e">
        <f aca="true" t="array" ref="H19:H19">SUM((INDIRECT($AA19)&gt;'East Postition Rpt'!H$8)*(INDIRECT($AA19)&lt;'East Postition Rpt'!H$9)*(INDIRECT($AB19)))</f>
        <v>#VALUE!</v>
      </c>
      <c r="I19" s="200" t="e">
        <f aca="true" t="array" ref="I19:I19">SUM((INDIRECT($AA19)&gt;'East Postition Rpt'!I$8)*(INDIRECT($AA19)&lt;'East Postition Rpt'!I$9)*(INDIRECT($AB19)))</f>
        <v>#VALUE!</v>
      </c>
      <c r="J19" s="200" t="e">
        <f aca="true" t="array" ref="J19:J19">SUM((INDIRECT($AA19)&gt;'East Postition Rpt'!J$8)*(INDIRECT($AA19)&lt;'East Postition Rpt'!J$9)*(INDIRECT($AB19)))</f>
        <v>#VALUE!</v>
      </c>
      <c r="K19" s="200" t="e">
        <f aca="true" t="array" ref="K19:K19">SUM((INDIRECT($AA19)&gt;'East Postition Rpt'!K$8)*(INDIRECT($AA19)&lt;'East Postition Rpt'!K$9)*(INDIRECT($AB19)))</f>
        <v>#VALUE!</v>
      </c>
      <c r="L19" s="200" t="e">
        <f aca="true" t="array" ref="L19:L19">SUM((INDIRECT($AA19)&gt;'East Postition Rpt'!L$8)*(INDIRECT($AA19)&lt;'East Postition Rpt'!L$9)*(INDIRECT($AB19)))</f>
        <v>#VALUE!</v>
      </c>
      <c r="M19" s="200" t="e">
        <f aca="true" t="array" ref="M19:M19">SUM((INDIRECT($AA19)&gt;'East Postition Rpt'!M$8)*(INDIRECT($AA19)&lt;'East Postition Rpt'!M$9)*(INDIRECT($AB19)))</f>
        <v>#VALUE!</v>
      </c>
      <c r="N19" s="200" t="e">
        <f aca="true" t="array" ref="N19:N19">SUM((INDIRECT($AA19)&gt;'East Postition Rpt'!N$8)*(INDIRECT($AA19)&lt;'East Postition Rpt'!N$9)*(INDIRECT($AB19)))</f>
        <v>#VALUE!</v>
      </c>
      <c r="O19" s="200" t="e">
        <f aca="true" t="array" ref="O19:O19">SUM((INDIRECT($AA19)&gt;'East Postition Rpt'!O$8)*(INDIRECT($AA19)&lt;'East Postition Rpt'!O$9)*(INDIRECT($AB19)))</f>
        <v>#VALUE!</v>
      </c>
      <c r="P19" s="200" t="e">
        <f aca="true" t="array" ref="P19:P19">SUM((INDIRECT($AA19)&gt;'East Postition Rpt'!P$8)*(INDIRECT($AA19)&lt;'East Postition Rpt'!P$9)*(INDIRECT($AB19)))</f>
        <v>#VALUE!</v>
      </c>
      <c r="Q19" s="200" t="e">
        <f aca="true" t="array" ref="Q19:Q19">SUM((INDIRECT($AA19)&gt;'East Postition Rpt'!Q$8)*(INDIRECT($AA19)&lt;'East Postition Rpt'!Q$9)*(INDIRECT($AB19)))</f>
        <v>#VALUE!</v>
      </c>
      <c r="R19" s="200" t="e">
        <f aca="true" t="array" ref="R19:R19">SUM((INDIRECT($AA19)&gt;'East Postition Rpt'!R$8)*(INDIRECT($AA19)&lt;'East Postition Rpt'!R$9)*(INDIRECT($AB19)))</f>
        <v>#VALUE!</v>
      </c>
      <c r="S19" s="200" t="e">
        <f aca="true" t="array" ref="S19:S19">SUM((INDIRECT($AA19)&gt;'East Postition Rpt'!S$8)*(INDIRECT($AA19)&lt;'East Postition Rpt'!S$9)*(INDIRECT($AB19)))</f>
        <v>#VALUE!</v>
      </c>
      <c r="T19" s="201" t="e">
        <f aca="true" t="array" ref="T19:T19">SUM((INDIRECT($AA19)&gt;'East Postition Rpt'!T$8)*(INDIRECT($AA19)&lt;'East Postition Rpt'!T$9)*(INDIRECT($AB19)))</f>
        <v>#VALUE!</v>
      </c>
      <c r="V19" s="202" t="e">
        <f aca="false">SUM(H19:T19)</f>
        <v>#VALUE!</v>
      </c>
      <c r="Y19" s="125" t="e">
        <f aca="false">GetWorkSheet($C18)</f>
        <v>#VALUE!</v>
      </c>
      <c r="Z19" s="124"/>
      <c r="AA19" s="125" t="e">
        <f aca="false">IF(NOT($Y19="#VALUE#"),CONCATENATE($Y19,"!",GetDateStart($Y19),":",GetDateEnd($Y19)),"")</f>
        <v>#VALUE!</v>
      </c>
      <c r="AB19" s="125" t="e">
        <f aca="false">IF(NOT($Y19="#VALUE#"),CONCATENATE($Y19,"!",GetDeliveryStart($Y19),":",GetDeliveryEnd($Y19)),"")</f>
        <v>#VALUE!</v>
      </c>
      <c r="AC19" s="125" t="e">
        <f aca="false">GetRecNdx($Z18,$C18)</f>
        <v>#VALUE!</v>
      </c>
    </row>
    <row r="20" customFormat="false" ht="12.75" hidden="false" customHeight="false" outlineLevel="0" collapsed="false">
      <c r="C20" s="115" t="n">
        <v>50</v>
      </c>
      <c r="E20" s="116" t="e">
        <f aca="false">GetPipeName($Z20,$AC20)</f>
        <v>#VALUE!</v>
      </c>
      <c r="F20" s="117" t="e">
        <f aca="false">CONCATENATE(GetRcptPoint($Z20,$AC20)," to ",GetDelPoint($Z20,$AC20))</f>
        <v>#VALUE!</v>
      </c>
      <c r="G20" s="118" t="e">
        <f aca="false">GetRcptBasis($Z20,$AC20)</f>
        <v>#VALUE!</v>
      </c>
      <c r="H20" s="209" t="e">
        <f aca="true" t="array" ref="H20:H20">SUM((INDIRECT($AA20)&gt;'East Postition Rpt'!H$8)*(INDIRECT($AA20)&lt;'East Postition Rpt'!H$9)*(INDIRECT($AB20)))</f>
        <v>#VALUE!</v>
      </c>
      <c r="I20" s="196" t="e">
        <f aca="true" t="array" ref="I20:I20">SUM((INDIRECT($AA20)&gt;'East Postition Rpt'!I$8)*(INDIRECT($AA20)&lt;'East Postition Rpt'!I$9)*(INDIRECT($AB20)))</f>
        <v>#VALUE!</v>
      </c>
      <c r="J20" s="196" t="e">
        <f aca="true" t="array" ref="J20:J20">SUM((INDIRECT($AA20)&gt;'East Postition Rpt'!J$8)*(INDIRECT($AA20)&lt;'East Postition Rpt'!J$9)*(INDIRECT($AB20)))</f>
        <v>#VALUE!</v>
      </c>
      <c r="K20" s="196" t="e">
        <f aca="true" t="array" ref="K20:K20">SUM((INDIRECT($AA20)&gt;'East Postition Rpt'!K$8)*(INDIRECT($AA20)&lt;'East Postition Rpt'!K$9)*(INDIRECT($AB20)))</f>
        <v>#VALUE!</v>
      </c>
      <c r="L20" s="196" t="e">
        <f aca="true" t="array" ref="L20:L20">SUM((INDIRECT($AA20)&gt;'East Postition Rpt'!L$8)*(INDIRECT($AA20)&lt;'East Postition Rpt'!L$9)*(INDIRECT($AB20)))</f>
        <v>#VALUE!</v>
      </c>
      <c r="M20" s="196" t="e">
        <f aca="true" t="array" ref="M20:M20">SUM((INDIRECT($AA20)&gt;'East Postition Rpt'!M$8)*(INDIRECT($AA20)&lt;'East Postition Rpt'!M$9)*(INDIRECT($AB20)))</f>
        <v>#VALUE!</v>
      </c>
      <c r="N20" s="196" t="e">
        <f aca="true" t="array" ref="N20:N20">SUM((INDIRECT($AA20)&gt;'East Postition Rpt'!N$8)*(INDIRECT($AA20)&lt;'East Postition Rpt'!N$9)*(INDIRECT($AB20)))</f>
        <v>#VALUE!</v>
      </c>
      <c r="O20" s="196" t="e">
        <f aca="true" t="array" ref="O20:O20">SUM((INDIRECT($AA20)&gt;'East Postition Rpt'!O$8)*(INDIRECT($AA20)&lt;'East Postition Rpt'!O$9)*(INDIRECT($AB20)))</f>
        <v>#VALUE!</v>
      </c>
      <c r="P20" s="196" t="e">
        <f aca="true" t="array" ref="P20:P20">SUM((INDIRECT($AA20)&gt;'East Postition Rpt'!P$8)*(INDIRECT($AA20)&lt;'East Postition Rpt'!P$9)*(INDIRECT($AB20)))</f>
        <v>#VALUE!</v>
      </c>
      <c r="Q20" s="196" t="e">
        <f aca="true" t="array" ref="Q20:Q20">SUM((INDIRECT($AA20)&gt;'East Postition Rpt'!Q$8)*(INDIRECT($AA20)&lt;'East Postition Rpt'!Q$9)*(INDIRECT($AB20)))</f>
        <v>#VALUE!</v>
      </c>
      <c r="R20" s="196" t="e">
        <f aca="true" t="array" ref="R20:R20">SUM((INDIRECT($AA20)&gt;'East Postition Rpt'!R$8)*(INDIRECT($AA20)&lt;'East Postition Rpt'!R$9)*(INDIRECT($AB20)))</f>
        <v>#VALUE!</v>
      </c>
      <c r="S20" s="196" t="e">
        <f aca="true" t="array" ref="S20:S20">SUM((INDIRECT($AA20)&gt;'East Postition Rpt'!S$8)*(INDIRECT($AA20)&lt;'East Postition Rpt'!S$9)*(INDIRECT($AB20)))</f>
        <v>#VALUE!</v>
      </c>
      <c r="T20" s="197" t="e">
        <f aca="true" t="array" ref="T20:T20">SUM((INDIRECT($AA20)&gt;'East Postition Rpt'!T$8)*(INDIRECT($AA20)&lt;'East Postition Rpt'!T$9)*(INDIRECT($AB20)))</f>
        <v>#VALUE!</v>
      </c>
      <c r="V20" s="198" t="e">
        <f aca="false">SUM(H20:T20)</f>
        <v>#VALUE!</v>
      </c>
      <c r="Y20" s="125" t="e">
        <f aca="false">GetWorkSheet($C20)</f>
        <v>#VALUE!</v>
      </c>
      <c r="Z20" s="124" t="e">
        <f aca="false">FetchDBPage(Y20)</f>
        <v>#VALUE!</v>
      </c>
      <c r="AA20" s="125" t="e">
        <f aca="false">IF(NOT($Y20="#VALUE#"),CONCATENATE($Y20,"!",GetDateStart($Y20),":",GetDateEnd($Y20)),"")</f>
        <v>#VALUE!</v>
      </c>
      <c r="AB20" s="125" t="e">
        <f aca="false">IF(NOT($Y20="#VALUE#"),CONCATENATE($Y20,"!",GetReceiptStart($Y20),":",GetReceiptEnd($Y20)),"")</f>
        <v>#VALUE!</v>
      </c>
      <c r="AC20" s="125" t="e">
        <f aca="false">GetRecNdx($Z20,$C20)</f>
        <v>#VALUE!</v>
      </c>
    </row>
    <row r="21" customFormat="false" ht="12.75" hidden="false" customHeight="false" outlineLevel="0" collapsed="false">
      <c r="C21" s="115"/>
      <c r="E21" s="116"/>
      <c r="F21" s="117"/>
      <c r="G21" s="126" t="e">
        <f aca="false">GetDelBasis($Z20,$AC21)</f>
        <v>#VALUE!</v>
      </c>
      <c r="H21" s="199" t="e">
        <f aca="true" t="array" ref="H21:H21">SUM((INDIRECT($AA21)&gt;'East Postition Rpt'!H$8)*(INDIRECT($AA21)&lt;'East Postition Rpt'!H$9)*(INDIRECT($AB21)))</f>
        <v>#VALUE!</v>
      </c>
      <c r="I21" s="200" t="e">
        <f aca="true" t="array" ref="I21:I21">SUM((INDIRECT($AA21)&gt;'East Postition Rpt'!I$8)*(INDIRECT($AA21)&lt;'East Postition Rpt'!I$9)*(INDIRECT($AB21)))</f>
        <v>#VALUE!</v>
      </c>
      <c r="J21" s="200" t="e">
        <f aca="true" t="array" ref="J21:J21">SUM((INDIRECT($AA21)&gt;'East Postition Rpt'!J$8)*(INDIRECT($AA21)&lt;'East Postition Rpt'!J$9)*(INDIRECT($AB21)))</f>
        <v>#VALUE!</v>
      </c>
      <c r="K21" s="200" t="e">
        <f aca="true" t="array" ref="K21:K21">SUM((INDIRECT($AA21)&gt;'East Postition Rpt'!K$8)*(INDIRECT($AA21)&lt;'East Postition Rpt'!K$9)*(INDIRECT($AB21)))</f>
        <v>#VALUE!</v>
      </c>
      <c r="L21" s="200" t="e">
        <f aca="true" t="array" ref="L21:L21">SUM((INDIRECT($AA21)&gt;'East Postition Rpt'!L$8)*(INDIRECT($AA21)&lt;'East Postition Rpt'!L$9)*(INDIRECT($AB21)))</f>
        <v>#VALUE!</v>
      </c>
      <c r="M21" s="200" t="e">
        <f aca="true" t="array" ref="M21:M21">SUM((INDIRECT($AA21)&gt;'East Postition Rpt'!M$8)*(INDIRECT($AA21)&lt;'East Postition Rpt'!M$9)*(INDIRECT($AB21)))</f>
        <v>#VALUE!</v>
      </c>
      <c r="N21" s="200" t="e">
        <f aca="true" t="array" ref="N21:N21">SUM((INDIRECT($AA21)&gt;'East Postition Rpt'!N$8)*(INDIRECT($AA21)&lt;'East Postition Rpt'!N$9)*(INDIRECT($AB21)))</f>
        <v>#VALUE!</v>
      </c>
      <c r="O21" s="200" t="e">
        <f aca="true" t="array" ref="O21:O21">SUM((INDIRECT($AA21)&gt;'East Postition Rpt'!O$8)*(INDIRECT($AA21)&lt;'East Postition Rpt'!O$9)*(INDIRECT($AB21)))</f>
        <v>#VALUE!</v>
      </c>
      <c r="P21" s="200" t="e">
        <f aca="true" t="array" ref="P21:P21">SUM((INDIRECT($AA21)&gt;'East Postition Rpt'!P$8)*(INDIRECT($AA21)&lt;'East Postition Rpt'!P$9)*(INDIRECT($AB21)))</f>
        <v>#VALUE!</v>
      </c>
      <c r="Q21" s="200" t="e">
        <f aca="true" t="array" ref="Q21:Q21">SUM((INDIRECT($AA21)&gt;'East Postition Rpt'!Q$8)*(INDIRECT($AA21)&lt;'East Postition Rpt'!Q$9)*(INDIRECT($AB21)))</f>
        <v>#VALUE!</v>
      </c>
      <c r="R21" s="200" t="e">
        <f aca="true" t="array" ref="R21:R21">SUM((INDIRECT($AA21)&gt;'East Postition Rpt'!R$8)*(INDIRECT($AA21)&lt;'East Postition Rpt'!R$9)*(INDIRECT($AB21)))</f>
        <v>#VALUE!</v>
      </c>
      <c r="S21" s="200" t="e">
        <f aca="true" t="array" ref="S21:S21">SUM((INDIRECT($AA21)&gt;'East Postition Rpt'!S$8)*(INDIRECT($AA21)&lt;'East Postition Rpt'!S$9)*(INDIRECT($AB21)))</f>
        <v>#VALUE!</v>
      </c>
      <c r="T21" s="201" t="e">
        <f aca="true" t="array" ref="T21:T21">SUM((INDIRECT($AA21)&gt;'East Postition Rpt'!T$8)*(INDIRECT($AA21)&lt;'East Postition Rpt'!T$9)*(INDIRECT($AB21)))</f>
        <v>#VALUE!</v>
      </c>
      <c r="V21" s="202" t="e">
        <f aca="false">SUM(H21:T21)</f>
        <v>#VALUE!</v>
      </c>
      <c r="Y21" s="125" t="e">
        <f aca="false">GetWorkSheet($C20)</f>
        <v>#VALUE!</v>
      </c>
      <c r="Z21" s="124"/>
      <c r="AA21" s="125" t="e">
        <f aca="false">IF(NOT($Y21="#VALUE#"),CONCATENATE($Y21,"!",GetDateStart($Y21),":",GetDateEnd($Y21)),"")</f>
        <v>#VALUE!</v>
      </c>
      <c r="AB21" s="125" t="e">
        <f aca="false">IF(NOT($Y21="#VALUE#"),CONCATENATE($Y21,"!",GetDeliveryStart($Y21),":",GetDeliveryEnd($Y21)),"")</f>
        <v>#VALUE!</v>
      </c>
      <c r="AC21" s="125" t="e">
        <f aca="false">GetRecNdx($Z20,$C20)</f>
        <v>#VALUE!</v>
      </c>
    </row>
    <row r="22" customFormat="false" ht="12.75" hidden="false" customHeight="false" outlineLevel="0" collapsed="false">
      <c r="C22" s="115" t="n">
        <v>51</v>
      </c>
      <c r="E22" s="116" t="e">
        <f aca="false">GetPipeName($Z22,$AC22)</f>
        <v>#VALUE!</v>
      </c>
      <c r="F22" s="117" t="e">
        <f aca="false">CONCATENATE(GetRcptPoint($Z22,$AC22)," to ",GetDelPoint($Z22,$AC22))</f>
        <v>#VALUE!</v>
      </c>
      <c r="G22" s="118" t="e">
        <f aca="false">GetRcptBasis($Z22,$AC22)</f>
        <v>#VALUE!</v>
      </c>
      <c r="H22" s="209" t="e">
        <f aca="true" t="array" ref="H22:H22">SUM((INDIRECT($AA22)&gt;'East Postition Rpt'!H$8)*(INDIRECT($AA22)&lt;'East Postition Rpt'!H$9)*(INDIRECT($AB22)))</f>
        <v>#VALUE!</v>
      </c>
      <c r="I22" s="196" t="e">
        <f aca="true" t="array" ref="I22:I22">SUM((INDIRECT($AA22)&gt;'East Postition Rpt'!I$8)*(INDIRECT($AA22)&lt;'East Postition Rpt'!I$9)*(INDIRECT($AB22)))</f>
        <v>#VALUE!</v>
      </c>
      <c r="J22" s="196" t="e">
        <f aca="true" t="array" ref="J22:J22">SUM((INDIRECT($AA22)&gt;'East Postition Rpt'!J$8)*(INDIRECT($AA22)&lt;'East Postition Rpt'!J$9)*(INDIRECT($AB22)))</f>
        <v>#VALUE!</v>
      </c>
      <c r="K22" s="196" t="e">
        <f aca="true" t="array" ref="K22:K22">SUM((INDIRECT($AA22)&gt;'East Postition Rpt'!K$8)*(INDIRECT($AA22)&lt;'East Postition Rpt'!K$9)*(INDIRECT($AB22)))</f>
        <v>#VALUE!</v>
      </c>
      <c r="L22" s="196" t="e">
        <f aca="true" t="array" ref="L22:L22">SUM((INDIRECT($AA22)&gt;'East Postition Rpt'!L$8)*(INDIRECT($AA22)&lt;'East Postition Rpt'!L$9)*(INDIRECT($AB22)))</f>
        <v>#VALUE!</v>
      </c>
      <c r="M22" s="196" t="e">
        <f aca="true" t="array" ref="M22:M22">SUM((INDIRECT($AA22)&gt;'East Postition Rpt'!M$8)*(INDIRECT($AA22)&lt;'East Postition Rpt'!M$9)*(INDIRECT($AB22)))</f>
        <v>#VALUE!</v>
      </c>
      <c r="N22" s="196" t="e">
        <f aca="true" t="array" ref="N22:N22">SUM((INDIRECT($AA22)&gt;'East Postition Rpt'!N$8)*(INDIRECT($AA22)&lt;'East Postition Rpt'!N$9)*(INDIRECT($AB22)))</f>
        <v>#VALUE!</v>
      </c>
      <c r="O22" s="196" t="e">
        <f aca="true" t="array" ref="O22:O22">SUM((INDIRECT($AA22)&gt;'East Postition Rpt'!O$8)*(INDIRECT($AA22)&lt;'East Postition Rpt'!O$9)*(INDIRECT($AB22)))</f>
        <v>#VALUE!</v>
      </c>
      <c r="P22" s="196" t="e">
        <f aca="true" t="array" ref="P22:P22">SUM((INDIRECT($AA22)&gt;'East Postition Rpt'!P$8)*(INDIRECT($AA22)&lt;'East Postition Rpt'!P$9)*(INDIRECT($AB22)))</f>
        <v>#VALUE!</v>
      </c>
      <c r="Q22" s="196" t="e">
        <f aca="true" t="array" ref="Q22:Q22">SUM((INDIRECT($AA22)&gt;'East Postition Rpt'!Q$8)*(INDIRECT($AA22)&lt;'East Postition Rpt'!Q$9)*(INDIRECT($AB22)))</f>
        <v>#VALUE!</v>
      </c>
      <c r="R22" s="196" t="e">
        <f aca="true" t="array" ref="R22:R22">SUM((INDIRECT($AA22)&gt;'East Postition Rpt'!R$8)*(INDIRECT($AA22)&lt;'East Postition Rpt'!R$9)*(INDIRECT($AB22)))</f>
        <v>#VALUE!</v>
      </c>
      <c r="S22" s="196" t="e">
        <f aca="true" t="array" ref="S22:S22">SUM((INDIRECT($AA22)&gt;'East Postition Rpt'!S$8)*(INDIRECT($AA22)&lt;'East Postition Rpt'!S$9)*(INDIRECT($AB22)))</f>
        <v>#VALUE!</v>
      </c>
      <c r="T22" s="197" t="e">
        <f aca="true" t="array" ref="T22:T22">SUM((INDIRECT($AA22)&gt;'East Postition Rpt'!T$8)*(INDIRECT($AA22)&lt;'East Postition Rpt'!T$9)*(INDIRECT($AB22)))</f>
        <v>#VALUE!</v>
      </c>
      <c r="V22" s="198" t="e">
        <f aca="false">SUM(H22:T22)</f>
        <v>#VALUE!</v>
      </c>
      <c r="Y22" s="125" t="e">
        <f aca="false">GetWorkSheet($C22)</f>
        <v>#VALUE!</v>
      </c>
      <c r="Z22" s="124" t="e">
        <f aca="false">FetchDBPage(Y22)</f>
        <v>#VALUE!</v>
      </c>
      <c r="AA22" s="125" t="e">
        <f aca="false">IF(NOT($Y22="#VALUE#"),CONCATENATE($Y22,"!",GetDateStart($Y22),":",GetDateEnd($Y22)),"")</f>
        <v>#VALUE!</v>
      </c>
      <c r="AB22" s="125" t="e">
        <f aca="false">IF(NOT($Y22="#VALUE#"),CONCATENATE($Y22,"!",GetReceiptStart($Y22),":",GetReceiptEnd($Y22)),"")</f>
        <v>#VALUE!</v>
      </c>
      <c r="AC22" s="125" t="e">
        <f aca="false">GetRecNdx($Z22,$C22)</f>
        <v>#VALUE!</v>
      </c>
    </row>
    <row r="23" customFormat="false" ht="12.75" hidden="false" customHeight="false" outlineLevel="0" collapsed="false">
      <c r="C23" s="115"/>
      <c r="E23" s="116"/>
      <c r="F23" s="117"/>
      <c r="G23" s="126" t="e">
        <f aca="false">GetDelBasis($Z22,$AC23)</f>
        <v>#VALUE!</v>
      </c>
      <c r="H23" s="199" t="e">
        <f aca="true" t="array" ref="H23:H23">SUM((INDIRECT($AA23)&gt;'East Postition Rpt'!H$8)*(INDIRECT($AA23)&lt;'East Postition Rpt'!H$9)*(INDIRECT($AB23)))</f>
        <v>#VALUE!</v>
      </c>
      <c r="I23" s="200" t="e">
        <f aca="true" t="array" ref="I23:I23">SUM((INDIRECT($AA23)&gt;'East Postition Rpt'!I$8)*(INDIRECT($AA23)&lt;'East Postition Rpt'!I$9)*(INDIRECT($AB23)))</f>
        <v>#VALUE!</v>
      </c>
      <c r="J23" s="200" t="e">
        <f aca="true" t="array" ref="J23:J23">SUM((INDIRECT($AA23)&gt;'East Postition Rpt'!J$8)*(INDIRECT($AA23)&lt;'East Postition Rpt'!J$9)*(INDIRECT($AB23)))</f>
        <v>#VALUE!</v>
      </c>
      <c r="K23" s="200" t="e">
        <f aca="true" t="array" ref="K23:K23">SUM((INDIRECT($AA23)&gt;'East Postition Rpt'!K$8)*(INDIRECT($AA23)&lt;'East Postition Rpt'!K$9)*(INDIRECT($AB23)))</f>
        <v>#VALUE!</v>
      </c>
      <c r="L23" s="200" t="e">
        <f aca="true" t="array" ref="L23:L23">SUM((INDIRECT($AA23)&gt;'East Postition Rpt'!L$8)*(INDIRECT($AA23)&lt;'East Postition Rpt'!L$9)*(INDIRECT($AB23)))</f>
        <v>#VALUE!</v>
      </c>
      <c r="M23" s="200" t="e">
        <f aca="true" t="array" ref="M23:M23">SUM((INDIRECT($AA23)&gt;'East Postition Rpt'!M$8)*(INDIRECT($AA23)&lt;'East Postition Rpt'!M$9)*(INDIRECT($AB23)))</f>
        <v>#VALUE!</v>
      </c>
      <c r="N23" s="200" t="e">
        <f aca="true" t="array" ref="N23:N23">SUM((INDIRECT($AA23)&gt;'East Postition Rpt'!N$8)*(INDIRECT($AA23)&lt;'East Postition Rpt'!N$9)*(INDIRECT($AB23)))</f>
        <v>#VALUE!</v>
      </c>
      <c r="O23" s="200" t="e">
        <f aca="true" t="array" ref="O23:O23">SUM((INDIRECT($AA23)&gt;'East Postition Rpt'!O$8)*(INDIRECT($AA23)&lt;'East Postition Rpt'!O$9)*(INDIRECT($AB23)))</f>
        <v>#VALUE!</v>
      </c>
      <c r="P23" s="200" t="e">
        <f aca="true" t="array" ref="P23:P23">SUM((INDIRECT($AA23)&gt;'East Postition Rpt'!P$8)*(INDIRECT($AA23)&lt;'East Postition Rpt'!P$9)*(INDIRECT($AB23)))</f>
        <v>#VALUE!</v>
      </c>
      <c r="Q23" s="200" t="e">
        <f aca="true" t="array" ref="Q23:Q23">SUM((INDIRECT($AA23)&gt;'East Postition Rpt'!Q$8)*(INDIRECT($AA23)&lt;'East Postition Rpt'!Q$9)*(INDIRECT($AB23)))</f>
        <v>#VALUE!</v>
      </c>
      <c r="R23" s="200" t="e">
        <f aca="true" t="array" ref="R23:R23">SUM((INDIRECT($AA23)&gt;'East Postition Rpt'!R$8)*(INDIRECT($AA23)&lt;'East Postition Rpt'!R$9)*(INDIRECT($AB23)))</f>
        <v>#VALUE!</v>
      </c>
      <c r="S23" s="200" t="e">
        <f aca="true" t="array" ref="S23:S23">SUM((INDIRECT($AA23)&gt;'East Postition Rpt'!S$8)*(INDIRECT($AA23)&lt;'East Postition Rpt'!S$9)*(INDIRECT($AB23)))</f>
        <v>#VALUE!</v>
      </c>
      <c r="T23" s="201" t="e">
        <f aca="true" t="array" ref="T23:T23">SUM((INDIRECT($AA23)&gt;'East Postition Rpt'!T$8)*(INDIRECT($AA23)&lt;'East Postition Rpt'!T$9)*(INDIRECT($AB23)))</f>
        <v>#VALUE!</v>
      </c>
      <c r="V23" s="202" t="e">
        <f aca="false">SUM(H23:T23)</f>
        <v>#VALUE!</v>
      </c>
      <c r="Y23" s="125" t="e">
        <f aca="false">GetWorkSheet($C22)</f>
        <v>#VALUE!</v>
      </c>
      <c r="Z23" s="124"/>
      <c r="AA23" s="125" t="e">
        <f aca="false">IF(NOT($Y23="#VALUE#"),CONCATENATE($Y23,"!",GetDateStart($Y23),":",GetDateEnd($Y23)),"")</f>
        <v>#VALUE!</v>
      </c>
      <c r="AB23" s="125" t="e">
        <f aca="false">IF(NOT($Y23="#VALUE#"),CONCATENATE($Y23,"!",GetDeliveryStart($Y23),":",GetDeliveryEnd($Y23)),"")</f>
        <v>#VALUE!</v>
      </c>
      <c r="AC23" s="125" t="e">
        <f aca="false">GetRecNdx($Z22,$C22)</f>
        <v>#VALUE!</v>
      </c>
    </row>
    <row r="24" customFormat="false" ht="12.75" hidden="false" customHeight="false" outlineLevel="0" collapsed="false">
      <c r="C24" s="115" t="n">
        <v>52</v>
      </c>
      <c r="E24" s="116" t="e">
        <f aca="false">GetPipeName($Z24,$AC24)</f>
        <v>#VALUE!</v>
      </c>
      <c r="F24" s="117" t="e">
        <f aca="false">CONCATENATE(GetRcptPoint($Z24,$AC24)," to ",GetDelPoint($Z24,$AC24))</f>
        <v>#VALUE!</v>
      </c>
      <c r="G24" s="118" t="e">
        <f aca="false">GetRcptBasis($Z24,$AC24)</f>
        <v>#VALUE!</v>
      </c>
      <c r="H24" s="209" t="e">
        <f aca="true" t="array" ref="H24:H24">SUM((INDIRECT($AA24)&gt;'East Postition Rpt'!H$8)*(INDIRECT($AA24)&lt;'East Postition Rpt'!H$9)*(INDIRECT($AB24)))</f>
        <v>#VALUE!</v>
      </c>
      <c r="I24" s="196" t="e">
        <f aca="true" t="array" ref="I24:I24">SUM((INDIRECT($AA24)&gt;'East Postition Rpt'!I$8)*(INDIRECT($AA24)&lt;'East Postition Rpt'!I$9)*(INDIRECT($AB24)))</f>
        <v>#VALUE!</v>
      </c>
      <c r="J24" s="196" t="e">
        <f aca="true" t="array" ref="J24:J24">SUM((INDIRECT($AA24)&gt;'East Postition Rpt'!J$8)*(INDIRECT($AA24)&lt;'East Postition Rpt'!J$9)*(INDIRECT($AB24)))</f>
        <v>#VALUE!</v>
      </c>
      <c r="K24" s="196" t="e">
        <f aca="true" t="array" ref="K24:K24">SUM((INDIRECT($AA24)&gt;'East Postition Rpt'!K$8)*(INDIRECT($AA24)&lt;'East Postition Rpt'!K$9)*(INDIRECT($AB24)))</f>
        <v>#VALUE!</v>
      </c>
      <c r="L24" s="196" t="e">
        <f aca="true" t="array" ref="L24:L24">SUM((INDIRECT($AA24)&gt;'East Postition Rpt'!L$8)*(INDIRECT($AA24)&lt;'East Postition Rpt'!L$9)*(INDIRECT($AB24)))</f>
        <v>#VALUE!</v>
      </c>
      <c r="M24" s="196" t="e">
        <f aca="true" t="array" ref="M24:M24">SUM((INDIRECT($AA24)&gt;'East Postition Rpt'!M$8)*(INDIRECT($AA24)&lt;'East Postition Rpt'!M$9)*(INDIRECT($AB24)))</f>
        <v>#VALUE!</v>
      </c>
      <c r="N24" s="196" t="e">
        <f aca="true" t="array" ref="N24:N24">SUM((INDIRECT($AA24)&gt;'East Postition Rpt'!N$8)*(INDIRECT($AA24)&lt;'East Postition Rpt'!N$9)*(INDIRECT($AB24)))</f>
        <v>#VALUE!</v>
      </c>
      <c r="O24" s="196" t="e">
        <f aca="true" t="array" ref="O24:O24">SUM((INDIRECT($AA24)&gt;'East Postition Rpt'!O$8)*(INDIRECT($AA24)&lt;'East Postition Rpt'!O$9)*(INDIRECT($AB24)))</f>
        <v>#VALUE!</v>
      </c>
      <c r="P24" s="196" t="e">
        <f aca="true" t="array" ref="P24:P24">SUM((INDIRECT($AA24)&gt;'East Postition Rpt'!P$8)*(INDIRECT($AA24)&lt;'East Postition Rpt'!P$9)*(INDIRECT($AB24)))</f>
        <v>#VALUE!</v>
      </c>
      <c r="Q24" s="196" t="e">
        <f aca="true" t="array" ref="Q24:Q24">SUM((INDIRECT($AA24)&gt;'East Postition Rpt'!Q$8)*(INDIRECT($AA24)&lt;'East Postition Rpt'!Q$9)*(INDIRECT($AB24)))</f>
        <v>#VALUE!</v>
      </c>
      <c r="R24" s="196" t="e">
        <f aca="true" t="array" ref="R24:R24">SUM((INDIRECT($AA24)&gt;'East Postition Rpt'!R$8)*(INDIRECT($AA24)&lt;'East Postition Rpt'!R$9)*(INDIRECT($AB24)))</f>
        <v>#VALUE!</v>
      </c>
      <c r="S24" s="196" t="e">
        <f aca="true" t="array" ref="S24:S24">SUM((INDIRECT($AA24)&gt;'East Postition Rpt'!S$8)*(INDIRECT($AA24)&lt;'East Postition Rpt'!S$9)*(INDIRECT($AB24)))</f>
        <v>#VALUE!</v>
      </c>
      <c r="T24" s="197" t="e">
        <f aca="true" t="array" ref="T24:T24">SUM((INDIRECT($AA24)&gt;'East Postition Rpt'!T$8)*(INDIRECT($AA24)&lt;'East Postition Rpt'!T$9)*(INDIRECT($AB24)))</f>
        <v>#VALUE!</v>
      </c>
      <c r="V24" s="198" t="e">
        <f aca="false">SUM(H24:T24)</f>
        <v>#VALUE!</v>
      </c>
      <c r="Y24" s="125" t="e">
        <f aca="false">GetWorkSheet($C24)</f>
        <v>#VALUE!</v>
      </c>
      <c r="Z24" s="124" t="e">
        <f aca="false">FetchDBPage(Y24)</f>
        <v>#VALUE!</v>
      </c>
      <c r="AA24" s="125" t="e">
        <f aca="false">IF(NOT($Y24="#VALUE#"),CONCATENATE($Y24,"!",GetDateStart($Y24),":",GetDateEnd($Y24)),"")</f>
        <v>#VALUE!</v>
      </c>
      <c r="AB24" s="125" t="e">
        <f aca="false">IF(NOT($Y24="#VALUE#"),CONCATENATE($Y24,"!",GetReceiptStart($Y24),":",GetReceiptEnd($Y24)),"")</f>
        <v>#VALUE!</v>
      </c>
      <c r="AC24" s="125" t="e">
        <f aca="false">GetRecNdx($Z24,$C24)</f>
        <v>#VALUE!</v>
      </c>
    </row>
    <row r="25" customFormat="false" ht="12.75" hidden="false" customHeight="false" outlineLevel="0" collapsed="false">
      <c r="C25" s="115"/>
      <c r="E25" s="116"/>
      <c r="F25" s="117"/>
      <c r="G25" s="126" t="e">
        <f aca="false">GetDelBasis($Z24,$AC25)</f>
        <v>#VALUE!</v>
      </c>
      <c r="H25" s="199" t="e">
        <f aca="true" t="array" ref="H25:H25">SUM((INDIRECT($AA25)&gt;'East Postition Rpt'!H$8)*(INDIRECT($AA25)&lt;'East Postition Rpt'!H$9)*(INDIRECT($AB25)))</f>
        <v>#VALUE!</v>
      </c>
      <c r="I25" s="200" t="e">
        <f aca="true" t="array" ref="I25:I25">SUM((INDIRECT($AA25)&gt;'East Postition Rpt'!I$8)*(INDIRECT($AA25)&lt;'East Postition Rpt'!I$9)*(INDIRECT($AB25)))</f>
        <v>#VALUE!</v>
      </c>
      <c r="J25" s="200" t="e">
        <f aca="true" t="array" ref="J25:J25">SUM((INDIRECT($AA25)&gt;'East Postition Rpt'!J$8)*(INDIRECT($AA25)&lt;'East Postition Rpt'!J$9)*(INDIRECT($AB25)))</f>
        <v>#VALUE!</v>
      </c>
      <c r="K25" s="200" t="e">
        <f aca="true" t="array" ref="K25:K25">SUM((INDIRECT($AA25)&gt;'East Postition Rpt'!K$8)*(INDIRECT($AA25)&lt;'East Postition Rpt'!K$9)*(INDIRECT($AB25)))</f>
        <v>#VALUE!</v>
      </c>
      <c r="L25" s="200" t="e">
        <f aca="true" t="array" ref="L25:L25">SUM((INDIRECT($AA25)&gt;'East Postition Rpt'!L$8)*(INDIRECT($AA25)&lt;'East Postition Rpt'!L$9)*(INDIRECT($AB25)))</f>
        <v>#VALUE!</v>
      </c>
      <c r="M25" s="200" t="e">
        <f aca="true" t="array" ref="M25:M25">SUM((INDIRECT($AA25)&gt;'East Postition Rpt'!M$8)*(INDIRECT($AA25)&lt;'East Postition Rpt'!M$9)*(INDIRECT($AB25)))</f>
        <v>#VALUE!</v>
      </c>
      <c r="N25" s="200" t="e">
        <f aca="true" t="array" ref="N25:N25">SUM((INDIRECT($AA25)&gt;'East Postition Rpt'!N$8)*(INDIRECT($AA25)&lt;'East Postition Rpt'!N$9)*(INDIRECT($AB25)))</f>
        <v>#VALUE!</v>
      </c>
      <c r="O25" s="200" t="e">
        <f aca="true" t="array" ref="O25:O25">SUM((INDIRECT($AA25)&gt;'East Postition Rpt'!O$8)*(INDIRECT($AA25)&lt;'East Postition Rpt'!O$9)*(INDIRECT($AB25)))</f>
        <v>#VALUE!</v>
      </c>
      <c r="P25" s="200" t="e">
        <f aca="true" t="array" ref="P25:P25">SUM((INDIRECT($AA25)&gt;'East Postition Rpt'!P$8)*(INDIRECT($AA25)&lt;'East Postition Rpt'!P$9)*(INDIRECT($AB25)))</f>
        <v>#VALUE!</v>
      </c>
      <c r="Q25" s="200" t="e">
        <f aca="true" t="array" ref="Q25:Q25">SUM((INDIRECT($AA25)&gt;'East Postition Rpt'!Q$8)*(INDIRECT($AA25)&lt;'East Postition Rpt'!Q$9)*(INDIRECT($AB25)))</f>
        <v>#VALUE!</v>
      </c>
      <c r="R25" s="200" t="e">
        <f aca="true" t="array" ref="R25:R25">SUM((INDIRECT($AA25)&gt;'East Postition Rpt'!R$8)*(INDIRECT($AA25)&lt;'East Postition Rpt'!R$9)*(INDIRECT($AB25)))</f>
        <v>#VALUE!</v>
      </c>
      <c r="S25" s="200" t="e">
        <f aca="true" t="array" ref="S25:S25">SUM((INDIRECT($AA25)&gt;'East Postition Rpt'!S$8)*(INDIRECT($AA25)&lt;'East Postition Rpt'!S$9)*(INDIRECT($AB25)))</f>
        <v>#VALUE!</v>
      </c>
      <c r="T25" s="201" t="e">
        <f aca="true" t="array" ref="T25:T25">SUM((INDIRECT($AA25)&gt;'East Postition Rpt'!T$8)*(INDIRECT($AA25)&lt;'East Postition Rpt'!T$9)*(INDIRECT($AB25)))</f>
        <v>#VALUE!</v>
      </c>
      <c r="V25" s="202" t="e">
        <f aca="false">SUM(H25:T25)</f>
        <v>#VALUE!</v>
      </c>
      <c r="Y25" s="125" t="e">
        <f aca="false">GetWorkSheet($C24)</f>
        <v>#VALUE!</v>
      </c>
      <c r="Z25" s="124"/>
      <c r="AA25" s="125" t="e">
        <f aca="false">IF(NOT($Y25="#VALUE#"),CONCATENATE($Y25,"!",GetDateStart($Y25),":",GetDateEnd($Y25)),"")</f>
        <v>#VALUE!</v>
      </c>
      <c r="AB25" s="125" t="e">
        <f aca="false">IF(NOT($Y25="#VALUE#"),CONCATENATE($Y25,"!",GetDeliveryStart($Y25),":",GetDeliveryEnd($Y25)),"")</f>
        <v>#VALUE!</v>
      </c>
      <c r="AC25" s="125" t="e">
        <f aca="false">GetRecNdx($Z24,$C24)</f>
        <v>#VALUE!</v>
      </c>
    </row>
    <row r="26" customFormat="false" ht="12.75" hidden="false" customHeight="false" outlineLevel="0" collapsed="false">
      <c r="C26" s="115" t="n">
        <v>53</v>
      </c>
      <c r="E26" s="116" t="e">
        <f aca="false">GetPipeName($Z26,$AC26)</f>
        <v>#VALUE!</v>
      </c>
      <c r="F26" s="117" t="e">
        <f aca="false">CONCATENATE(GetRcptPoint($Z26,$AC26)," to ",GetDelPoint($Z26,$AC26))</f>
        <v>#VALUE!</v>
      </c>
      <c r="G26" s="118" t="e">
        <f aca="false">GetRcptBasis($Z26,$AC26)</f>
        <v>#VALUE!</v>
      </c>
      <c r="H26" s="209" t="e">
        <f aca="true" t="array" ref="H26:H26">SUM((INDIRECT($AA26)&gt;'East Postition Rpt'!H$8)*(INDIRECT($AA26)&lt;'East Postition Rpt'!H$9)*(INDIRECT($AB26)))</f>
        <v>#VALUE!</v>
      </c>
      <c r="I26" s="196" t="e">
        <f aca="true" t="array" ref="I26:I26">SUM((INDIRECT($AA26)&gt;'East Postition Rpt'!I$8)*(INDIRECT($AA26)&lt;'East Postition Rpt'!I$9)*(INDIRECT($AB26)))</f>
        <v>#VALUE!</v>
      </c>
      <c r="J26" s="196" t="e">
        <f aca="true" t="array" ref="J26:J26">SUM((INDIRECT($AA26)&gt;'East Postition Rpt'!J$8)*(INDIRECT($AA26)&lt;'East Postition Rpt'!J$9)*(INDIRECT($AB26)))</f>
        <v>#VALUE!</v>
      </c>
      <c r="K26" s="196" t="e">
        <f aca="true" t="array" ref="K26:K26">SUM((INDIRECT($AA26)&gt;'East Postition Rpt'!K$8)*(INDIRECT($AA26)&lt;'East Postition Rpt'!K$9)*(INDIRECT($AB26)))</f>
        <v>#VALUE!</v>
      </c>
      <c r="L26" s="196" t="e">
        <f aca="true" t="array" ref="L26:L26">SUM((INDIRECT($AA26)&gt;'East Postition Rpt'!L$8)*(INDIRECT($AA26)&lt;'East Postition Rpt'!L$9)*(INDIRECT($AB26)))</f>
        <v>#VALUE!</v>
      </c>
      <c r="M26" s="196" t="e">
        <f aca="true" t="array" ref="M26:M26">SUM((INDIRECT($AA26)&gt;'East Postition Rpt'!M$8)*(INDIRECT($AA26)&lt;'East Postition Rpt'!M$9)*(INDIRECT($AB26)))</f>
        <v>#VALUE!</v>
      </c>
      <c r="N26" s="196" t="e">
        <f aca="true" t="array" ref="N26:N26">SUM((INDIRECT($AA26)&gt;'East Postition Rpt'!N$8)*(INDIRECT($AA26)&lt;'East Postition Rpt'!N$9)*(INDIRECT($AB26)))</f>
        <v>#VALUE!</v>
      </c>
      <c r="O26" s="196" t="e">
        <f aca="true" t="array" ref="O26:O26">SUM((INDIRECT($AA26)&gt;'East Postition Rpt'!O$8)*(INDIRECT($AA26)&lt;'East Postition Rpt'!O$9)*(INDIRECT($AB26)))</f>
        <v>#VALUE!</v>
      </c>
      <c r="P26" s="196" t="e">
        <f aca="true" t="array" ref="P26:P26">SUM((INDIRECT($AA26)&gt;'East Postition Rpt'!P$8)*(INDIRECT($AA26)&lt;'East Postition Rpt'!P$9)*(INDIRECT($AB26)))</f>
        <v>#VALUE!</v>
      </c>
      <c r="Q26" s="196" t="e">
        <f aca="true" t="array" ref="Q26:Q26">SUM((INDIRECT($AA26)&gt;'East Postition Rpt'!Q$8)*(INDIRECT($AA26)&lt;'East Postition Rpt'!Q$9)*(INDIRECT($AB26)))</f>
        <v>#VALUE!</v>
      </c>
      <c r="R26" s="196" t="e">
        <f aca="true" t="array" ref="R26:R26">SUM((INDIRECT($AA26)&gt;'East Postition Rpt'!R$8)*(INDIRECT($AA26)&lt;'East Postition Rpt'!R$9)*(INDIRECT($AB26)))</f>
        <v>#VALUE!</v>
      </c>
      <c r="S26" s="196" t="e">
        <f aca="true" t="array" ref="S26:S26">SUM((INDIRECT($AA26)&gt;'East Postition Rpt'!S$8)*(INDIRECT($AA26)&lt;'East Postition Rpt'!S$9)*(INDIRECT($AB26)))</f>
        <v>#VALUE!</v>
      </c>
      <c r="T26" s="197" t="e">
        <f aca="true" t="array" ref="T26:T26">SUM((INDIRECT($AA26)&gt;'East Postition Rpt'!T$8)*(INDIRECT($AA26)&lt;'East Postition Rpt'!T$9)*(INDIRECT($AB26)))</f>
        <v>#VALUE!</v>
      </c>
      <c r="V26" s="198" t="e">
        <f aca="false">SUM(H26:T26)</f>
        <v>#VALUE!</v>
      </c>
      <c r="Y26" s="125" t="e">
        <f aca="false">GetWorkSheet($C26)</f>
        <v>#VALUE!</v>
      </c>
      <c r="Z26" s="124" t="e">
        <f aca="false">FetchDBPage(Y26)</f>
        <v>#VALUE!</v>
      </c>
      <c r="AA26" s="125" t="e">
        <f aca="false">IF(NOT($Y26="#VALUE#"),CONCATENATE($Y26,"!",GetDateStart($Y26),":",GetDateEnd($Y26)),"")</f>
        <v>#VALUE!</v>
      </c>
      <c r="AB26" s="125" t="e">
        <f aca="false">IF(NOT($Y26="#VALUE#"),CONCATENATE($Y26,"!",GetReceiptStart($Y26),":",GetReceiptEnd($Y26)),"")</f>
        <v>#VALUE!</v>
      </c>
      <c r="AC26" s="125" t="e">
        <f aca="false">GetRecNdx($Z26,$C26)</f>
        <v>#VALUE!</v>
      </c>
    </row>
    <row r="27" customFormat="false" ht="12.75" hidden="false" customHeight="false" outlineLevel="0" collapsed="false">
      <c r="C27" s="115"/>
      <c r="E27" s="116"/>
      <c r="F27" s="117"/>
      <c r="G27" s="126" t="e">
        <f aca="false">GetDelBasis($Z26,$AC27)</f>
        <v>#VALUE!</v>
      </c>
      <c r="H27" s="199" t="e">
        <f aca="true" t="array" ref="H27:H27">SUM((INDIRECT($AA27)&gt;'East Postition Rpt'!H$8)*(INDIRECT($AA27)&lt;'East Postition Rpt'!H$9)*(INDIRECT($AB27)))</f>
        <v>#VALUE!</v>
      </c>
      <c r="I27" s="200" t="e">
        <f aca="true" t="array" ref="I27:I27">SUM((INDIRECT($AA27)&gt;'East Postition Rpt'!I$8)*(INDIRECT($AA27)&lt;'East Postition Rpt'!I$9)*(INDIRECT($AB27)))</f>
        <v>#VALUE!</v>
      </c>
      <c r="J27" s="200" t="e">
        <f aca="true" t="array" ref="J27:J27">SUM((INDIRECT($AA27)&gt;'East Postition Rpt'!J$8)*(INDIRECT($AA27)&lt;'East Postition Rpt'!J$9)*(INDIRECT($AB27)))</f>
        <v>#VALUE!</v>
      </c>
      <c r="K27" s="200" t="e">
        <f aca="true" t="array" ref="K27:K27">SUM((INDIRECT($AA27)&gt;'East Postition Rpt'!K$8)*(INDIRECT($AA27)&lt;'East Postition Rpt'!K$9)*(INDIRECT($AB27)))</f>
        <v>#VALUE!</v>
      </c>
      <c r="L27" s="200" t="e">
        <f aca="true" t="array" ref="L27:L27">SUM((INDIRECT($AA27)&gt;'East Postition Rpt'!L$8)*(INDIRECT($AA27)&lt;'East Postition Rpt'!L$9)*(INDIRECT($AB27)))</f>
        <v>#VALUE!</v>
      </c>
      <c r="M27" s="200" t="e">
        <f aca="true" t="array" ref="M27:M27">SUM((INDIRECT($AA27)&gt;'East Postition Rpt'!M$8)*(INDIRECT($AA27)&lt;'East Postition Rpt'!M$9)*(INDIRECT($AB27)))</f>
        <v>#VALUE!</v>
      </c>
      <c r="N27" s="200" t="e">
        <f aca="true" t="array" ref="N27:N27">SUM((INDIRECT($AA27)&gt;'East Postition Rpt'!N$8)*(INDIRECT($AA27)&lt;'East Postition Rpt'!N$9)*(INDIRECT($AB27)))</f>
        <v>#VALUE!</v>
      </c>
      <c r="O27" s="200" t="e">
        <f aca="true" t="array" ref="O27:O27">SUM((INDIRECT($AA27)&gt;'East Postition Rpt'!O$8)*(INDIRECT($AA27)&lt;'East Postition Rpt'!O$9)*(INDIRECT($AB27)))</f>
        <v>#VALUE!</v>
      </c>
      <c r="P27" s="200" t="e">
        <f aca="true" t="array" ref="P27:P27">SUM((INDIRECT($AA27)&gt;'East Postition Rpt'!P$8)*(INDIRECT($AA27)&lt;'East Postition Rpt'!P$9)*(INDIRECT($AB27)))</f>
        <v>#VALUE!</v>
      </c>
      <c r="Q27" s="200" t="e">
        <f aca="true" t="array" ref="Q27:Q27">SUM((INDIRECT($AA27)&gt;'East Postition Rpt'!Q$8)*(INDIRECT($AA27)&lt;'East Postition Rpt'!Q$9)*(INDIRECT($AB27)))</f>
        <v>#VALUE!</v>
      </c>
      <c r="R27" s="200" t="e">
        <f aca="true" t="array" ref="R27:R27">SUM((INDIRECT($AA27)&gt;'East Postition Rpt'!R$8)*(INDIRECT($AA27)&lt;'East Postition Rpt'!R$9)*(INDIRECT($AB27)))</f>
        <v>#VALUE!</v>
      </c>
      <c r="S27" s="200" t="e">
        <f aca="true" t="array" ref="S27:S27">SUM((INDIRECT($AA27)&gt;'East Postition Rpt'!S$8)*(INDIRECT($AA27)&lt;'East Postition Rpt'!S$9)*(INDIRECT($AB27)))</f>
        <v>#VALUE!</v>
      </c>
      <c r="T27" s="201" t="e">
        <f aca="true" t="array" ref="T27:T27">SUM((INDIRECT($AA27)&gt;'East Postition Rpt'!T$8)*(INDIRECT($AA27)&lt;'East Postition Rpt'!T$9)*(INDIRECT($AB27)))</f>
        <v>#VALUE!</v>
      </c>
      <c r="V27" s="202" t="e">
        <f aca="false">SUM(H27:T27)</f>
        <v>#VALUE!</v>
      </c>
      <c r="Y27" s="125" t="e">
        <f aca="false">GetWorkSheet($C26)</f>
        <v>#VALUE!</v>
      </c>
      <c r="Z27" s="124"/>
      <c r="AA27" s="125" t="e">
        <f aca="false">IF(NOT($Y27="#VALUE#"),CONCATENATE($Y27,"!",GetDateStart($Y27),":",GetDateEnd($Y27)),"")</f>
        <v>#VALUE!</v>
      </c>
      <c r="AB27" s="125" t="e">
        <f aca="false">IF(NOT($Y27="#VALUE#"),CONCATENATE($Y27,"!",GetDeliveryStart($Y27),":",GetDeliveryEnd($Y27)),"")</f>
        <v>#VALUE!</v>
      </c>
      <c r="AC27" s="125" t="e">
        <f aca="false">GetRecNdx($Z26,$C26)</f>
        <v>#VALUE!</v>
      </c>
    </row>
    <row r="28" customFormat="false" ht="12.75" hidden="false" customHeight="false" outlineLevel="0" collapsed="false">
      <c r="C28" s="115" t="n">
        <v>54</v>
      </c>
      <c r="E28" s="116" t="e">
        <f aca="false">GetPipeName($Z28,$AC28)</f>
        <v>#VALUE!</v>
      </c>
      <c r="F28" s="117" t="e">
        <f aca="false">CONCATENATE(GetRcptPoint($Z28,$AC28)," to ",GetDelPoint($Z28,$AC28))</f>
        <v>#VALUE!</v>
      </c>
      <c r="G28" s="118" t="e">
        <f aca="false">GetRcptBasis($Z28,$AC28)</f>
        <v>#VALUE!</v>
      </c>
      <c r="H28" s="209" t="e">
        <f aca="true" t="array" ref="H28:H28">SUM((INDIRECT($AA28)&gt;'East Postition Rpt'!H$8)*(INDIRECT($AA28)&lt;'East Postition Rpt'!H$9)*(INDIRECT($AB28)))</f>
        <v>#VALUE!</v>
      </c>
      <c r="I28" s="196" t="e">
        <f aca="true" t="array" ref="I28:I28">SUM((INDIRECT($AA28)&gt;'East Postition Rpt'!I$8)*(INDIRECT($AA28)&lt;'East Postition Rpt'!I$9)*(INDIRECT($AB28)))</f>
        <v>#VALUE!</v>
      </c>
      <c r="J28" s="196" t="e">
        <f aca="true" t="array" ref="J28:J28">SUM((INDIRECT($AA28)&gt;'East Postition Rpt'!J$8)*(INDIRECT($AA28)&lt;'East Postition Rpt'!J$9)*(INDIRECT($AB28)))</f>
        <v>#VALUE!</v>
      </c>
      <c r="K28" s="196" t="e">
        <f aca="true" t="array" ref="K28:K28">SUM((INDIRECT($AA28)&gt;'East Postition Rpt'!K$8)*(INDIRECT($AA28)&lt;'East Postition Rpt'!K$9)*(INDIRECT($AB28)))</f>
        <v>#VALUE!</v>
      </c>
      <c r="L28" s="196" t="e">
        <f aca="true" t="array" ref="L28:L28">SUM((INDIRECT($AA28)&gt;'East Postition Rpt'!L$8)*(INDIRECT($AA28)&lt;'East Postition Rpt'!L$9)*(INDIRECT($AB28)))</f>
        <v>#VALUE!</v>
      </c>
      <c r="M28" s="196" t="e">
        <f aca="true" t="array" ref="M28:M28">SUM((INDIRECT($AA28)&gt;'East Postition Rpt'!M$8)*(INDIRECT($AA28)&lt;'East Postition Rpt'!M$9)*(INDIRECT($AB28)))</f>
        <v>#VALUE!</v>
      </c>
      <c r="N28" s="196" t="e">
        <f aca="true" t="array" ref="N28:N28">SUM((INDIRECT($AA28)&gt;'East Postition Rpt'!N$8)*(INDIRECT($AA28)&lt;'East Postition Rpt'!N$9)*(INDIRECT($AB28)))</f>
        <v>#VALUE!</v>
      </c>
      <c r="O28" s="196" t="e">
        <f aca="true" t="array" ref="O28:O28">SUM((INDIRECT($AA28)&gt;'East Postition Rpt'!O$8)*(INDIRECT($AA28)&lt;'East Postition Rpt'!O$9)*(INDIRECT($AB28)))</f>
        <v>#VALUE!</v>
      </c>
      <c r="P28" s="196" t="e">
        <f aca="true" t="array" ref="P28:P28">SUM((INDIRECT($AA28)&gt;'East Postition Rpt'!P$8)*(INDIRECT($AA28)&lt;'East Postition Rpt'!P$9)*(INDIRECT($AB28)))</f>
        <v>#VALUE!</v>
      </c>
      <c r="Q28" s="196" t="e">
        <f aca="true" t="array" ref="Q28:Q28">SUM((INDIRECT($AA28)&gt;'East Postition Rpt'!Q$8)*(INDIRECT($AA28)&lt;'East Postition Rpt'!Q$9)*(INDIRECT($AB28)))</f>
        <v>#VALUE!</v>
      </c>
      <c r="R28" s="196" t="e">
        <f aca="true" t="array" ref="R28:R28">SUM((INDIRECT($AA28)&gt;'East Postition Rpt'!R$8)*(INDIRECT($AA28)&lt;'East Postition Rpt'!R$9)*(INDIRECT($AB28)))</f>
        <v>#VALUE!</v>
      </c>
      <c r="S28" s="196" t="e">
        <f aca="true" t="array" ref="S28:S28">SUM((INDIRECT($AA28)&gt;'East Postition Rpt'!S$8)*(INDIRECT($AA28)&lt;'East Postition Rpt'!S$9)*(INDIRECT($AB28)))</f>
        <v>#VALUE!</v>
      </c>
      <c r="T28" s="197" t="e">
        <f aca="true" t="array" ref="T28:T28">SUM((INDIRECT($AA28)&gt;'East Postition Rpt'!T$8)*(INDIRECT($AA28)&lt;'East Postition Rpt'!T$9)*(INDIRECT($AB28)))</f>
        <v>#VALUE!</v>
      </c>
      <c r="V28" s="198" t="e">
        <f aca="false">SUM(H28:T28)</f>
        <v>#VALUE!</v>
      </c>
      <c r="Y28" s="125" t="e">
        <f aca="false">GetWorkSheet($C28)</f>
        <v>#VALUE!</v>
      </c>
      <c r="Z28" s="124" t="e">
        <f aca="false">FetchDBPage(Y28)</f>
        <v>#VALUE!</v>
      </c>
      <c r="AA28" s="125" t="e">
        <f aca="false">IF(NOT($Y28="#VALUE#"),CONCATENATE($Y28,"!",GetDateStart($Y28),":",GetDateEnd($Y28)),"")</f>
        <v>#VALUE!</v>
      </c>
      <c r="AB28" s="125" t="e">
        <f aca="false">IF(NOT($Y28="#VALUE#"),CONCATENATE($Y28,"!",GetReceiptStart($Y28),":",GetReceiptEnd($Y28)),"")</f>
        <v>#VALUE!</v>
      </c>
      <c r="AC28" s="125" t="e">
        <f aca="false">GetRecNdx($Z28,$C28)</f>
        <v>#VALUE!</v>
      </c>
    </row>
    <row r="29" customFormat="false" ht="12.75" hidden="false" customHeight="false" outlineLevel="0" collapsed="false">
      <c r="C29" s="115"/>
      <c r="E29" s="116"/>
      <c r="F29" s="117"/>
      <c r="G29" s="126" t="e">
        <f aca="false">GetDelBasis($Z28,$AC29)</f>
        <v>#VALUE!</v>
      </c>
      <c r="H29" s="199" t="e">
        <f aca="true" t="array" ref="H29:H29">SUM((INDIRECT($AA29)&gt;'East Postition Rpt'!H$8)*(INDIRECT($AA29)&lt;'East Postition Rpt'!H$9)*(INDIRECT($AB29)))</f>
        <v>#VALUE!</v>
      </c>
      <c r="I29" s="200" t="e">
        <f aca="true" t="array" ref="I29:I29">SUM((INDIRECT($AA29)&gt;'East Postition Rpt'!I$8)*(INDIRECT($AA29)&lt;'East Postition Rpt'!I$9)*(INDIRECT($AB29)))</f>
        <v>#VALUE!</v>
      </c>
      <c r="J29" s="200" t="e">
        <f aca="true" t="array" ref="J29:J29">SUM((INDIRECT($AA29)&gt;'East Postition Rpt'!J$8)*(INDIRECT($AA29)&lt;'East Postition Rpt'!J$9)*(INDIRECT($AB29)))</f>
        <v>#VALUE!</v>
      </c>
      <c r="K29" s="200" t="e">
        <f aca="true" t="array" ref="K29:K29">SUM((INDIRECT($AA29)&gt;'East Postition Rpt'!K$8)*(INDIRECT($AA29)&lt;'East Postition Rpt'!K$9)*(INDIRECT($AB29)))</f>
        <v>#VALUE!</v>
      </c>
      <c r="L29" s="200" t="e">
        <f aca="true" t="array" ref="L29:L29">SUM((INDIRECT($AA29)&gt;'East Postition Rpt'!L$8)*(INDIRECT($AA29)&lt;'East Postition Rpt'!L$9)*(INDIRECT($AB29)))</f>
        <v>#VALUE!</v>
      </c>
      <c r="M29" s="200" t="e">
        <f aca="true" t="array" ref="M29:M29">SUM((INDIRECT($AA29)&gt;'East Postition Rpt'!M$8)*(INDIRECT($AA29)&lt;'East Postition Rpt'!M$9)*(INDIRECT($AB29)))</f>
        <v>#VALUE!</v>
      </c>
      <c r="N29" s="200" t="e">
        <f aca="true" t="array" ref="N29:N29">SUM((INDIRECT($AA29)&gt;'East Postition Rpt'!N$8)*(INDIRECT($AA29)&lt;'East Postition Rpt'!N$9)*(INDIRECT($AB29)))</f>
        <v>#VALUE!</v>
      </c>
      <c r="O29" s="200" t="e">
        <f aca="true" t="array" ref="O29:O29">SUM((INDIRECT($AA29)&gt;'East Postition Rpt'!O$8)*(INDIRECT($AA29)&lt;'East Postition Rpt'!O$9)*(INDIRECT($AB29)))</f>
        <v>#VALUE!</v>
      </c>
      <c r="P29" s="200" t="e">
        <f aca="true" t="array" ref="P29:P29">SUM((INDIRECT($AA29)&gt;'East Postition Rpt'!P$8)*(INDIRECT($AA29)&lt;'East Postition Rpt'!P$9)*(INDIRECT($AB29)))</f>
        <v>#VALUE!</v>
      </c>
      <c r="Q29" s="200" t="e">
        <f aca="true" t="array" ref="Q29:Q29">SUM((INDIRECT($AA29)&gt;'East Postition Rpt'!Q$8)*(INDIRECT($AA29)&lt;'East Postition Rpt'!Q$9)*(INDIRECT($AB29)))</f>
        <v>#VALUE!</v>
      </c>
      <c r="R29" s="200" t="e">
        <f aca="true" t="array" ref="R29:R29">SUM((INDIRECT($AA29)&gt;'East Postition Rpt'!R$8)*(INDIRECT($AA29)&lt;'East Postition Rpt'!R$9)*(INDIRECT($AB29)))</f>
        <v>#VALUE!</v>
      </c>
      <c r="S29" s="200" t="e">
        <f aca="true" t="array" ref="S29:S29">SUM((INDIRECT($AA29)&gt;'East Postition Rpt'!S$8)*(INDIRECT($AA29)&lt;'East Postition Rpt'!S$9)*(INDIRECT($AB29)))</f>
        <v>#VALUE!</v>
      </c>
      <c r="T29" s="201" t="e">
        <f aca="true" t="array" ref="T29:T29">SUM((INDIRECT($AA29)&gt;'East Postition Rpt'!T$8)*(INDIRECT($AA29)&lt;'East Postition Rpt'!T$9)*(INDIRECT($AB29)))</f>
        <v>#VALUE!</v>
      </c>
      <c r="V29" s="202" t="e">
        <f aca="false">SUM(H29:T29)</f>
        <v>#VALUE!</v>
      </c>
      <c r="Y29" s="125" t="e">
        <f aca="false">GetWorkSheet($C28)</f>
        <v>#VALUE!</v>
      </c>
      <c r="Z29" s="124"/>
      <c r="AA29" s="125" t="e">
        <f aca="false">IF(NOT($Y29="#VALUE#"),CONCATENATE($Y29,"!",GetDateStart($Y29),":",GetDateEnd($Y29)),"")</f>
        <v>#VALUE!</v>
      </c>
      <c r="AB29" s="125" t="e">
        <f aca="false">IF(NOT($Y29="#VALUE#"),CONCATENATE($Y29,"!",GetDeliveryStart($Y29),":",GetDeliveryEnd($Y29)),"")</f>
        <v>#VALUE!</v>
      </c>
      <c r="AC29" s="125" t="e">
        <f aca="false">GetRecNdx($Z28,$C28)</f>
        <v>#VALUE!</v>
      </c>
    </row>
    <row r="30" customFormat="false" ht="12.75" hidden="false" customHeight="false" outlineLevel="0" collapsed="false">
      <c r="C30" s="115" t="n">
        <v>55</v>
      </c>
      <c r="E30" s="116" t="e">
        <f aca="false">GetPipeName($Z30,$AC30)</f>
        <v>#VALUE!</v>
      </c>
      <c r="F30" s="117" t="e">
        <f aca="false">CONCATENATE(GetRcptPoint($Z30,$AC30)," to ",GetDelPoint($Z30,$AC30))</f>
        <v>#VALUE!</v>
      </c>
      <c r="G30" s="118" t="e">
        <f aca="false">GetRcptBasis($Z30,$AC30)</f>
        <v>#VALUE!</v>
      </c>
      <c r="H30" s="209" t="e">
        <f aca="true" t="array" ref="H30:H30">SUM((INDIRECT($AA30)&gt;'East Postition Rpt'!H$8)*(INDIRECT($AA30)&lt;'East Postition Rpt'!H$9)*(INDIRECT($AB30)))</f>
        <v>#VALUE!</v>
      </c>
      <c r="I30" s="196" t="e">
        <f aca="true" t="array" ref="I30:I30">SUM((INDIRECT($AA30)&gt;'East Postition Rpt'!I$8)*(INDIRECT($AA30)&lt;'East Postition Rpt'!I$9)*(INDIRECT($AB30)))</f>
        <v>#VALUE!</v>
      </c>
      <c r="J30" s="196" t="e">
        <f aca="true" t="array" ref="J30:J30">SUM((INDIRECT($AA30)&gt;'East Postition Rpt'!J$8)*(INDIRECT($AA30)&lt;'East Postition Rpt'!J$9)*(INDIRECT($AB30)))</f>
        <v>#VALUE!</v>
      </c>
      <c r="K30" s="196" t="e">
        <f aca="true" t="array" ref="K30:K30">SUM((INDIRECT($AA30)&gt;'East Postition Rpt'!K$8)*(INDIRECT($AA30)&lt;'East Postition Rpt'!K$9)*(INDIRECT($AB30)))</f>
        <v>#VALUE!</v>
      </c>
      <c r="L30" s="196" t="e">
        <f aca="true" t="array" ref="L30:L30">SUM((INDIRECT($AA30)&gt;'East Postition Rpt'!L$8)*(INDIRECT($AA30)&lt;'East Postition Rpt'!L$9)*(INDIRECT($AB30)))</f>
        <v>#VALUE!</v>
      </c>
      <c r="M30" s="196" t="e">
        <f aca="true" t="array" ref="M30:M30">SUM((INDIRECT($AA30)&gt;'East Postition Rpt'!M$8)*(INDIRECT($AA30)&lt;'East Postition Rpt'!M$9)*(INDIRECT($AB30)))</f>
        <v>#VALUE!</v>
      </c>
      <c r="N30" s="196" t="e">
        <f aca="true" t="array" ref="N30:N30">SUM((INDIRECT($AA30)&gt;'East Postition Rpt'!N$8)*(INDIRECT($AA30)&lt;'East Postition Rpt'!N$9)*(INDIRECT($AB30)))</f>
        <v>#VALUE!</v>
      </c>
      <c r="O30" s="196" t="e">
        <f aca="true" t="array" ref="O30:O30">SUM((INDIRECT($AA30)&gt;'East Postition Rpt'!O$8)*(INDIRECT($AA30)&lt;'East Postition Rpt'!O$9)*(INDIRECT($AB30)))</f>
        <v>#VALUE!</v>
      </c>
      <c r="P30" s="196" t="e">
        <f aca="true" t="array" ref="P30:P30">SUM((INDIRECT($AA30)&gt;'East Postition Rpt'!P$8)*(INDIRECT($AA30)&lt;'East Postition Rpt'!P$9)*(INDIRECT($AB30)))</f>
        <v>#VALUE!</v>
      </c>
      <c r="Q30" s="196" t="e">
        <f aca="true" t="array" ref="Q30:Q30">SUM((INDIRECT($AA30)&gt;'East Postition Rpt'!Q$8)*(INDIRECT($AA30)&lt;'East Postition Rpt'!Q$9)*(INDIRECT($AB30)))</f>
        <v>#VALUE!</v>
      </c>
      <c r="R30" s="196" t="e">
        <f aca="true" t="array" ref="R30:R30">SUM((INDIRECT($AA30)&gt;'East Postition Rpt'!R$8)*(INDIRECT($AA30)&lt;'East Postition Rpt'!R$9)*(INDIRECT($AB30)))</f>
        <v>#VALUE!</v>
      </c>
      <c r="S30" s="196" t="e">
        <f aca="true" t="array" ref="S30:S30">SUM((INDIRECT($AA30)&gt;'East Postition Rpt'!S$8)*(INDIRECT($AA30)&lt;'East Postition Rpt'!S$9)*(INDIRECT($AB30)))</f>
        <v>#VALUE!</v>
      </c>
      <c r="T30" s="197" t="e">
        <f aca="true" t="array" ref="T30:T30">SUM((INDIRECT($AA30)&gt;'East Postition Rpt'!T$8)*(INDIRECT($AA30)&lt;'East Postition Rpt'!T$9)*(INDIRECT($AB30)))</f>
        <v>#VALUE!</v>
      </c>
      <c r="V30" s="198" t="e">
        <f aca="false">SUM(H30:T30)</f>
        <v>#VALUE!</v>
      </c>
      <c r="Y30" s="125" t="e">
        <f aca="false">GetWorkSheet($C30)</f>
        <v>#VALUE!</v>
      </c>
      <c r="Z30" s="124" t="e">
        <f aca="false">FetchDBPage(Y30)</f>
        <v>#VALUE!</v>
      </c>
      <c r="AA30" s="125" t="e">
        <f aca="false">IF(NOT($Y30="#VALUE#"),CONCATENATE($Y30,"!",GetDateStart($Y30),":",GetDateEnd($Y30)),"")</f>
        <v>#VALUE!</v>
      </c>
      <c r="AB30" s="125" t="e">
        <f aca="false">IF(NOT($Y30="#VALUE#"),CONCATENATE($Y30,"!",GetReceiptStart($Y30),":",GetReceiptEnd($Y30)),"")</f>
        <v>#VALUE!</v>
      </c>
      <c r="AC30" s="125" t="e">
        <f aca="false">GetRecNdx($Z30,$C30)</f>
        <v>#VALUE!</v>
      </c>
    </row>
    <row r="31" customFormat="false" ht="12.75" hidden="false" customHeight="false" outlineLevel="0" collapsed="false">
      <c r="C31" s="115"/>
      <c r="E31" s="116"/>
      <c r="F31" s="117"/>
      <c r="G31" s="126" t="e">
        <f aca="false">GetDelBasis($Z30,$AC31)</f>
        <v>#VALUE!</v>
      </c>
      <c r="H31" s="199" t="e">
        <f aca="true" t="array" ref="H31:H31">SUM((INDIRECT($AA31)&gt;'East Postition Rpt'!H$8)*(INDIRECT($AA31)&lt;'East Postition Rpt'!H$9)*(INDIRECT($AB31)))</f>
        <v>#VALUE!</v>
      </c>
      <c r="I31" s="200" t="e">
        <f aca="true" t="array" ref="I31:I31">SUM((INDIRECT($AA31)&gt;'East Postition Rpt'!I$8)*(INDIRECT($AA31)&lt;'East Postition Rpt'!I$9)*(INDIRECT($AB31)))</f>
        <v>#VALUE!</v>
      </c>
      <c r="J31" s="200" t="e">
        <f aca="true" t="array" ref="J31:J31">SUM((INDIRECT($AA31)&gt;'East Postition Rpt'!J$8)*(INDIRECT($AA31)&lt;'East Postition Rpt'!J$9)*(INDIRECT($AB31)))</f>
        <v>#VALUE!</v>
      </c>
      <c r="K31" s="200" t="e">
        <f aca="true" t="array" ref="K31:K31">SUM((INDIRECT($AA31)&gt;'East Postition Rpt'!K$8)*(INDIRECT($AA31)&lt;'East Postition Rpt'!K$9)*(INDIRECT($AB31)))</f>
        <v>#VALUE!</v>
      </c>
      <c r="L31" s="200" t="e">
        <f aca="true" t="array" ref="L31:L31">SUM((INDIRECT($AA31)&gt;'East Postition Rpt'!L$8)*(INDIRECT($AA31)&lt;'East Postition Rpt'!L$9)*(INDIRECT($AB31)))</f>
        <v>#VALUE!</v>
      </c>
      <c r="M31" s="200" t="e">
        <f aca="true" t="array" ref="M31:M31">SUM((INDIRECT($AA31)&gt;'East Postition Rpt'!M$8)*(INDIRECT($AA31)&lt;'East Postition Rpt'!M$9)*(INDIRECT($AB31)))</f>
        <v>#VALUE!</v>
      </c>
      <c r="N31" s="200" t="e">
        <f aca="true" t="array" ref="N31:N31">SUM((INDIRECT($AA31)&gt;'East Postition Rpt'!N$8)*(INDIRECT($AA31)&lt;'East Postition Rpt'!N$9)*(INDIRECT($AB31)))</f>
        <v>#VALUE!</v>
      </c>
      <c r="O31" s="200" t="e">
        <f aca="true" t="array" ref="O31:O31">SUM((INDIRECT($AA31)&gt;'East Postition Rpt'!O$8)*(INDIRECT($AA31)&lt;'East Postition Rpt'!O$9)*(INDIRECT($AB31)))</f>
        <v>#VALUE!</v>
      </c>
      <c r="P31" s="200" t="e">
        <f aca="true" t="array" ref="P31:P31">SUM((INDIRECT($AA31)&gt;'East Postition Rpt'!P$8)*(INDIRECT($AA31)&lt;'East Postition Rpt'!P$9)*(INDIRECT($AB31)))</f>
        <v>#VALUE!</v>
      </c>
      <c r="Q31" s="200" t="e">
        <f aca="true" t="array" ref="Q31:Q31">SUM((INDIRECT($AA31)&gt;'East Postition Rpt'!Q$8)*(INDIRECT($AA31)&lt;'East Postition Rpt'!Q$9)*(INDIRECT($AB31)))</f>
        <v>#VALUE!</v>
      </c>
      <c r="R31" s="200" t="e">
        <f aca="true" t="array" ref="R31:R31">SUM((INDIRECT($AA31)&gt;'East Postition Rpt'!R$8)*(INDIRECT($AA31)&lt;'East Postition Rpt'!R$9)*(INDIRECT($AB31)))</f>
        <v>#VALUE!</v>
      </c>
      <c r="S31" s="200" t="e">
        <f aca="true" t="array" ref="S31:S31">SUM((INDIRECT($AA31)&gt;'East Postition Rpt'!S$8)*(INDIRECT($AA31)&lt;'East Postition Rpt'!S$9)*(INDIRECT($AB31)))</f>
        <v>#VALUE!</v>
      </c>
      <c r="T31" s="201" t="e">
        <f aca="true" t="array" ref="T31:T31">SUM((INDIRECT($AA31)&gt;'East Postition Rpt'!T$8)*(INDIRECT($AA31)&lt;'East Postition Rpt'!T$9)*(INDIRECT($AB31)))</f>
        <v>#VALUE!</v>
      </c>
      <c r="V31" s="202" t="e">
        <f aca="false">SUM(H31:T31)</f>
        <v>#VALUE!</v>
      </c>
      <c r="Y31" s="125" t="e">
        <f aca="false">GetWorkSheet($C30)</f>
        <v>#VALUE!</v>
      </c>
      <c r="Z31" s="124"/>
      <c r="AA31" s="125" t="e">
        <f aca="false">IF(NOT($Y31="#VALUE#"),CONCATENATE($Y31,"!",GetDateStart($Y31),":",GetDateEnd($Y31)),"")</f>
        <v>#VALUE!</v>
      </c>
      <c r="AB31" s="125" t="e">
        <f aca="false">IF(NOT($Y31="#VALUE#"),CONCATENATE($Y31,"!",GetDeliveryStart($Y31),":",GetDeliveryEnd($Y31)),"")</f>
        <v>#VALUE!</v>
      </c>
      <c r="AC31" s="125" t="e">
        <f aca="false">GetRecNdx($Z30,$C30)</f>
        <v>#VALUE!</v>
      </c>
    </row>
    <row r="32" customFormat="false" ht="12.75" hidden="false" customHeight="false" outlineLevel="0" collapsed="false">
      <c r="C32" s="115" t="n">
        <v>73</v>
      </c>
      <c r="E32" s="116" t="e">
        <f aca="false">GetPipeName($Z32,$AC32)</f>
        <v>#VALUE!</v>
      </c>
      <c r="F32" s="117" t="e">
        <f aca="false">CONCATENATE(GetRcptPoint($Z32,$AC32)," to ",GetDelPoint($Z32,$AC32))</f>
        <v>#VALUE!</v>
      </c>
      <c r="G32" s="118" t="e">
        <f aca="false">GetRcptBasis($Z32,$AC32)</f>
        <v>#VALUE!</v>
      </c>
      <c r="H32" s="209" t="e">
        <f aca="true" t="array" ref="H32:H32">SUM((INDIRECT($AA32)&gt;'East Postition Rpt'!H$8)*(INDIRECT($AA32)&lt;'East Postition Rpt'!H$9)*(INDIRECT($AB32)))</f>
        <v>#VALUE!</v>
      </c>
      <c r="I32" s="196" t="e">
        <f aca="true" t="array" ref="I32:I32">SUM((INDIRECT($AA32)&gt;'East Postition Rpt'!I$8)*(INDIRECT($AA32)&lt;'East Postition Rpt'!I$9)*(INDIRECT($AB32)))</f>
        <v>#VALUE!</v>
      </c>
      <c r="J32" s="196" t="e">
        <f aca="true" t="array" ref="J32:J32">SUM((INDIRECT($AA32)&gt;'East Postition Rpt'!J$8)*(INDIRECT($AA32)&lt;'East Postition Rpt'!J$9)*(INDIRECT($AB32)))</f>
        <v>#VALUE!</v>
      </c>
      <c r="K32" s="196" t="e">
        <f aca="true" t="array" ref="K32:K32">SUM((INDIRECT($AA32)&gt;'East Postition Rpt'!K$8)*(INDIRECT($AA32)&lt;'East Postition Rpt'!K$9)*(INDIRECT($AB32)))</f>
        <v>#VALUE!</v>
      </c>
      <c r="L32" s="196" t="e">
        <f aca="true" t="array" ref="L32:L32">SUM((INDIRECT($AA32)&gt;'East Postition Rpt'!L$8)*(INDIRECT($AA32)&lt;'East Postition Rpt'!L$9)*(INDIRECT($AB32)))</f>
        <v>#VALUE!</v>
      </c>
      <c r="M32" s="196" t="e">
        <f aca="true" t="array" ref="M32:M32">SUM((INDIRECT($AA32)&gt;'East Postition Rpt'!M$8)*(INDIRECT($AA32)&lt;'East Postition Rpt'!M$9)*(INDIRECT($AB32)))</f>
        <v>#VALUE!</v>
      </c>
      <c r="N32" s="196" t="e">
        <f aca="true" t="array" ref="N32:N32">SUM((INDIRECT($AA32)&gt;'East Postition Rpt'!N$8)*(INDIRECT($AA32)&lt;'East Postition Rpt'!N$9)*(INDIRECT($AB32)))</f>
        <v>#VALUE!</v>
      </c>
      <c r="O32" s="196" t="e">
        <f aca="true" t="array" ref="O32:O32">SUM((INDIRECT($AA32)&gt;'East Postition Rpt'!O$8)*(INDIRECT($AA32)&lt;'East Postition Rpt'!O$9)*(INDIRECT($AB32)))</f>
        <v>#VALUE!</v>
      </c>
      <c r="P32" s="196" t="e">
        <f aca="true" t="array" ref="P32:P32">SUM((INDIRECT($AA32)&gt;'East Postition Rpt'!P$8)*(INDIRECT($AA32)&lt;'East Postition Rpt'!P$9)*(INDIRECT($AB32)))</f>
        <v>#VALUE!</v>
      </c>
      <c r="Q32" s="196" t="e">
        <f aca="true" t="array" ref="Q32:Q32">SUM((INDIRECT($AA32)&gt;'East Postition Rpt'!Q$8)*(INDIRECT($AA32)&lt;'East Postition Rpt'!Q$9)*(INDIRECT($AB32)))</f>
        <v>#VALUE!</v>
      </c>
      <c r="R32" s="196" t="e">
        <f aca="true" t="array" ref="R32:R32">SUM((INDIRECT($AA32)&gt;'East Postition Rpt'!R$8)*(INDIRECT($AA32)&lt;'East Postition Rpt'!R$9)*(INDIRECT($AB32)))</f>
        <v>#VALUE!</v>
      </c>
      <c r="S32" s="196" t="e">
        <f aca="true" t="array" ref="S32:S32">SUM((INDIRECT($AA32)&gt;'East Postition Rpt'!S$8)*(INDIRECT($AA32)&lt;'East Postition Rpt'!S$9)*(INDIRECT($AB32)))</f>
        <v>#VALUE!</v>
      </c>
      <c r="T32" s="197" t="e">
        <f aca="true" t="array" ref="T32:T32">SUM((INDIRECT($AA32)&gt;'East Postition Rpt'!T$8)*(INDIRECT($AA32)&lt;'East Postition Rpt'!T$9)*(INDIRECT($AB32)))</f>
        <v>#VALUE!</v>
      </c>
      <c r="V32" s="198" t="e">
        <f aca="false">SUM(H32:T32)</f>
        <v>#VALUE!</v>
      </c>
      <c r="Y32" s="125" t="e">
        <f aca="false">GetWorkSheet($C32)</f>
        <v>#VALUE!</v>
      </c>
      <c r="Z32" s="124" t="e">
        <f aca="false">FetchDBPage(Y32)</f>
        <v>#VALUE!</v>
      </c>
      <c r="AA32" s="125" t="e">
        <f aca="false">IF(NOT($Y32="#VALUE#"),CONCATENATE($Y32,"!",GetDateStart($Y32),":",GetDateEnd($Y32)),"")</f>
        <v>#VALUE!</v>
      </c>
      <c r="AB32" s="125" t="e">
        <f aca="false">IF(NOT($Y32="#VALUE#"),CONCATENATE($Y32,"!",GetReceiptStart($Y32),":",GetReceiptEnd($Y32)),"")</f>
        <v>#VALUE!</v>
      </c>
      <c r="AC32" s="125" t="e">
        <f aca="false">GetRecNdx($Z32,$C32)</f>
        <v>#VALUE!</v>
      </c>
    </row>
    <row r="33" customFormat="false" ht="12.75" hidden="false" customHeight="false" outlineLevel="0" collapsed="false">
      <c r="C33" s="115"/>
      <c r="E33" s="116"/>
      <c r="F33" s="117"/>
      <c r="G33" s="126" t="e">
        <f aca="false">GetDelBasis($Z32,$AC33)</f>
        <v>#VALUE!</v>
      </c>
      <c r="H33" s="199" t="e">
        <f aca="true" t="array" ref="H33:H33">SUM((INDIRECT($AA33)&gt;'East Postition Rpt'!H$8)*(INDIRECT($AA33)&lt;'East Postition Rpt'!H$9)*(INDIRECT($AB33)))</f>
        <v>#VALUE!</v>
      </c>
      <c r="I33" s="200" t="e">
        <f aca="true" t="array" ref="I33:I33">SUM((INDIRECT($AA33)&gt;'East Postition Rpt'!I$8)*(INDIRECT($AA33)&lt;'East Postition Rpt'!I$9)*(INDIRECT($AB33)))</f>
        <v>#VALUE!</v>
      </c>
      <c r="J33" s="200" t="e">
        <f aca="true" t="array" ref="J33:J33">SUM((INDIRECT($AA33)&gt;'East Postition Rpt'!J$8)*(INDIRECT($AA33)&lt;'East Postition Rpt'!J$9)*(INDIRECT($AB33)))</f>
        <v>#VALUE!</v>
      </c>
      <c r="K33" s="200" t="e">
        <f aca="true" t="array" ref="K33:K33">SUM((INDIRECT($AA33)&gt;'East Postition Rpt'!K$8)*(INDIRECT($AA33)&lt;'East Postition Rpt'!K$9)*(INDIRECT($AB33)))</f>
        <v>#VALUE!</v>
      </c>
      <c r="L33" s="200" t="e">
        <f aca="true" t="array" ref="L33:L33">SUM((INDIRECT($AA33)&gt;'East Postition Rpt'!L$8)*(INDIRECT($AA33)&lt;'East Postition Rpt'!L$9)*(INDIRECT($AB33)))</f>
        <v>#VALUE!</v>
      </c>
      <c r="M33" s="200" t="e">
        <f aca="true" t="array" ref="M33:M33">SUM((INDIRECT($AA33)&gt;'East Postition Rpt'!M$8)*(INDIRECT($AA33)&lt;'East Postition Rpt'!M$9)*(INDIRECT($AB33)))</f>
        <v>#VALUE!</v>
      </c>
      <c r="N33" s="200" t="e">
        <f aca="true" t="array" ref="N33:N33">SUM((INDIRECT($AA33)&gt;'East Postition Rpt'!N$8)*(INDIRECT($AA33)&lt;'East Postition Rpt'!N$9)*(INDIRECT($AB33)))</f>
        <v>#VALUE!</v>
      </c>
      <c r="O33" s="200" t="e">
        <f aca="true" t="array" ref="O33:O33">SUM((INDIRECT($AA33)&gt;'East Postition Rpt'!O$8)*(INDIRECT($AA33)&lt;'East Postition Rpt'!O$9)*(INDIRECT($AB33)))</f>
        <v>#VALUE!</v>
      </c>
      <c r="P33" s="200" t="e">
        <f aca="true" t="array" ref="P33:P33">SUM((INDIRECT($AA33)&gt;'East Postition Rpt'!P$8)*(INDIRECT($AA33)&lt;'East Postition Rpt'!P$9)*(INDIRECT($AB33)))</f>
        <v>#VALUE!</v>
      </c>
      <c r="Q33" s="200" t="e">
        <f aca="true" t="array" ref="Q33:Q33">SUM((INDIRECT($AA33)&gt;'East Postition Rpt'!Q$8)*(INDIRECT($AA33)&lt;'East Postition Rpt'!Q$9)*(INDIRECT($AB33)))</f>
        <v>#VALUE!</v>
      </c>
      <c r="R33" s="200" t="e">
        <f aca="true" t="array" ref="R33:R33">SUM((INDIRECT($AA33)&gt;'East Postition Rpt'!R$8)*(INDIRECT($AA33)&lt;'East Postition Rpt'!R$9)*(INDIRECT($AB33)))</f>
        <v>#VALUE!</v>
      </c>
      <c r="S33" s="200" t="e">
        <f aca="true" t="array" ref="S33:S33">SUM((INDIRECT($AA33)&gt;'East Postition Rpt'!S$8)*(INDIRECT($AA33)&lt;'East Postition Rpt'!S$9)*(INDIRECT($AB33)))</f>
        <v>#VALUE!</v>
      </c>
      <c r="T33" s="201" t="e">
        <f aca="true" t="array" ref="T33:T33">SUM((INDIRECT($AA33)&gt;'East Postition Rpt'!T$8)*(INDIRECT($AA33)&lt;'East Postition Rpt'!T$9)*(INDIRECT($AB33)))</f>
        <v>#VALUE!</v>
      </c>
      <c r="V33" s="202" t="e">
        <f aca="false">SUM(H33:T33)</f>
        <v>#VALUE!</v>
      </c>
      <c r="Y33" s="125" t="e">
        <f aca="false">GetWorkSheet($C32)</f>
        <v>#VALUE!</v>
      </c>
      <c r="Z33" s="124"/>
      <c r="AA33" s="125" t="e">
        <f aca="false">IF(NOT($Y33="#VALUE#"),CONCATENATE($Y33,"!",GetDateStart($Y33),":",GetDateEnd($Y33)),"")</f>
        <v>#VALUE!</v>
      </c>
      <c r="AB33" s="125" t="e">
        <f aca="false">IF(NOT($Y33="#VALUE#"),CONCATENATE($Y33,"!",GetDeliveryStart($Y33),":",GetDeliveryEnd($Y33)),"")</f>
        <v>#VALUE!</v>
      </c>
      <c r="AC33" s="125" t="e">
        <f aca="false">GetRecNdx($Z32,$C32)</f>
        <v>#VALUE!</v>
      </c>
    </row>
    <row r="34" customFormat="false" ht="12.75" hidden="false" customHeight="false" outlineLevel="0" collapsed="false">
      <c r="C34" s="115" t="n">
        <v>88</v>
      </c>
      <c r="E34" s="116" t="e">
        <f aca="false">GetPipeName($Z34,$AC34)</f>
        <v>#VALUE!</v>
      </c>
      <c r="F34" s="117" t="e">
        <f aca="false">CONCATENATE(GetRcptPoint($Z34,$AC34)," to ",GetDelPoint($Z34,$AC34))</f>
        <v>#VALUE!</v>
      </c>
      <c r="G34" s="118" t="e">
        <f aca="false">GetRcptBasis($Z34,$AC34)</f>
        <v>#VALUE!</v>
      </c>
      <c r="H34" s="209" t="e">
        <f aca="true" t="array" ref="H34:H34">SUM((INDIRECT($AA34)&gt;'East Postition Rpt'!H$8)*(INDIRECT($AA34)&lt;'East Postition Rpt'!H$9)*(INDIRECT($AB34)))</f>
        <v>#VALUE!</v>
      </c>
      <c r="I34" s="196" t="e">
        <f aca="true" t="array" ref="I34:I34">SUM((INDIRECT($AA34)&gt;'East Postition Rpt'!I$8)*(INDIRECT($AA34)&lt;'East Postition Rpt'!I$9)*(INDIRECT($AB34)))</f>
        <v>#VALUE!</v>
      </c>
      <c r="J34" s="196" t="e">
        <f aca="true" t="array" ref="J34:J34">SUM((INDIRECT($AA34)&gt;'East Postition Rpt'!J$8)*(INDIRECT($AA34)&lt;'East Postition Rpt'!J$9)*(INDIRECT($AB34)))</f>
        <v>#VALUE!</v>
      </c>
      <c r="K34" s="196" t="e">
        <f aca="true" t="array" ref="K34:K34">SUM((INDIRECT($AA34)&gt;'East Postition Rpt'!K$8)*(INDIRECT($AA34)&lt;'East Postition Rpt'!K$9)*(INDIRECT($AB34)))</f>
        <v>#VALUE!</v>
      </c>
      <c r="L34" s="196" t="e">
        <f aca="true" t="array" ref="L34:L34">SUM((INDIRECT($AA34)&gt;'East Postition Rpt'!L$8)*(INDIRECT($AA34)&lt;'East Postition Rpt'!L$9)*(INDIRECT($AB34)))</f>
        <v>#VALUE!</v>
      </c>
      <c r="M34" s="196" t="e">
        <f aca="true" t="array" ref="M34:M34">SUM((INDIRECT($AA34)&gt;'East Postition Rpt'!M$8)*(INDIRECT($AA34)&lt;'East Postition Rpt'!M$9)*(INDIRECT($AB34)))</f>
        <v>#VALUE!</v>
      </c>
      <c r="N34" s="196" t="e">
        <f aca="true" t="array" ref="N34:N34">SUM((INDIRECT($AA34)&gt;'East Postition Rpt'!N$8)*(INDIRECT($AA34)&lt;'East Postition Rpt'!N$9)*(INDIRECT($AB34)))</f>
        <v>#VALUE!</v>
      </c>
      <c r="O34" s="196" t="e">
        <f aca="true" t="array" ref="O34:O34">SUM((INDIRECT($AA34)&gt;'East Postition Rpt'!O$8)*(INDIRECT($AA34)&lt;'East Postition Rpt'!O$9)*(INDIRECT($AB34)))</f>
        <v>#VALUE!</v>
      </c>
      <c r="P34" s="196" t="e">
        <f aca="true" t="array" ref="P34:P34">SUM((INDIRECT($AA34)&gt;'East Postition Rpt'!P$8)*(INDIRECT($AA34)&lt;'East Postition Rpt'!P$9)*(INDIRECT($AB34)))</f>
        <v>#VALUE!</v>
      </c>
      <c r="Q34" s="196" t="e">
        <f aca="true" t="array" ref="Q34:Q34">SUM((INDIRECT($AA34)&gt;'East Postition Rpt'!Q$8)*(INDIRECT($AA34)&lt;'East Postition Rpt'!Q$9)*(INDIRECT($AB34)))</f>
        <v>#VALUE!</v>
      </c>
      <c r="R34" s="196" t="e">
        <f aca="true" t="array" ref="R34:R34">SUM((INDIRECT($AA34)&gt;'East Postition Rpt'!R$8)*(INDIRECT($AA34)&lt;'East Postition Rpt'!R$9)*(INDIRECT($AB34)))</f>
        <v>#VALUE!</v>
      </c>
      <c r="S34" s="196" t="e">
        <f aca="true" t="array" ref="S34:S34">SUM((INDIRECT($AA34)&gt;'East Postition Rpt'!S$8)*(INDIRECT($AA34)&lt;'East Postition Rpt'!S$9)*(INDIRECT($AB34)))</f>
        <v>#VALUE!</v>
      </c>
      <c r="T34" s="197" t="e">
        <f aca="true" t="array" ref="T34:T34">SUM((INDIRECT($AA34)&gt;'East Postition Rpt'!T$8)*(INDIRECT($AA34)&lt;'East Postition Rpt'!T$9)*(INDIRECT($AB34)))</f>
        <v>#VALUE!</v>
      </c>
      <c r="V34" s="198" t="e">
        <f aca="false">SUM(H34:T34)</f>
        <v>#VALUE!</v>
      </c>
      <c r="Y34" s="125" t="e">
        <f aca="false">GetWorkSheet($C34)</f>
        <v>#VALUE!</v>
      </c>
      <c r="Z34" s="124" t="e">
        <f aca="false">FetchDBPage(Y34)</f>
        <v>#VALUE!</v>
      </c>
      <c r="AA34" s="125" t="e">
        <f aca="false">IF(NOT($Y34="#VALUE#"),CONCATENATE($Y34,"!",GetDateStart($Y34),":",GetDateEnd($Y34)),"")</f>
        <v>#VALUE!</v>
      </c>
      <c r="AB34" s="125" t="e">
        <f aca="false">IF(NOT($Y34="#VALUE#"),CONCATENATE($Y34,"!",GetReceiptStart($Y34),":",GetReceiptEnd($Y34)),"")</f>
        <v>#VALUE!</v>
      </c>
      <c r="AC34" s="125" t="e">
        <f aca="false">GetRecNdx($Z34,$C34)</f>
        <v>#VALUE!</v>
      </c>
    </row>
    <row r="35" customFormat="false" ht="12.75" hidden="false" customHeight="false" outlineLevel="0" collapsed="false">
      <c r="C35" s="115"/>
      <c r="E35" s="116"/>
      <c r="F35" s="117"/>
      <c r="G35" s="126" t="e">
        <f aca="false">GetDelBasis($Z34,$AC35)</f>
        <v>#VALUE!</v>
      </c>
      <c r="H35" s="199" t="e">
        <f aca="true" t="array" ref="H35:H35">SUM((INDIRECT($AA35)&gt;'East Postition Rpt'!H$8)*(INDIRECT($AA35)&lt;'East Postition Rpt'!H$9)*(INDIRECT($AB35)))</f>
        <v>#VALUE!</v>
      </c>
      <c r="I35" s="200" t="e">
        <f aca="true" t="array" ref="I35:I35">SUM((INDIRECT($AA35)&gt;'East Postition Rpt'!I$8)*(INDIRECT($AA35)&lt;'East Postition Rpt'!I$9)*(INDIRECT($AB35)))</f>
        <v>#VALUE!</v>
      </c>
      <c r="J35" s="200" t="e">
        <f aca="true" t="array" ref="J35:J35">SUM((INDIRECT($AA35)&gt;'East Postition Rpt'!J$8)*(INDIRECT($AA35)&lt;'East Postition Rpt'!J$9)*(INDIRECT($AB35)))</f>
        <v>#VALUE!</v>
      </c>
      <c r="K35" s="200" t="e">
        <f aca="true" t="array" ref="K35:K35">SUM((INDIRECT($AA35)&gt;'East Postition Rpt'!K$8)*(INDIRECT($AA35)&lt;'East Postition Rpt'!K$9)*(INDIRECT($AB35)))</f>
        <v>#VALUE!</v>
      </c>
      <c r="L35" s="200" t="e">
        <f aca="true" t="array" ref="L35:L35">SUM((INDIRECT($AA35)&gt;'East Postition Rpt'!L$8)*(INDIRECT($AA35)&lt;'East Postition Rpt'!L$9)*(INDIRECT($AB35)))</f>
        <v>#VALUE!</v>
      </c>
      <c r="M35" s="200" t="e">
        <f aca="true" t="array" ref="M35:M35">SUM((INDIRECT($AA35)&gt;'East Postition Rpt'!M$8)*(INDIRECT($AA35)&lt;'East Postition Rpt'!M$9)*(INDIRECT($AB35)))</f>
        <v>#VALUE!</v>
      </c>
      <c r="N35" s="200" t="e">
        <f aca="true" t="array" ref="N35:N35">SUM((INDIRECT($AA35)&gt;'East Postition Rpt'!N$8)*(INDIRECT($AA35)&lt;'East Postition Rpt'!N$9)*(INDIRECT($AB35)))</f>
        <v>#VALUE!</v>
      </c>
      <c r="O35" s="200" t="e">
        <f aca="true" t="array" ref="O35:O35">SUM((INDIRECT($AA35)&gt;'East Postition Rpt'!O$8)*(INDIRECT($AA35)&lt;'East Postition Rpt'!O$9)*(INDIRECT($AB35)))</f>
        <v>#VALUE!</v>
      </c>
      <c r="P35" s="200" t="e">
        <f aca="true" t="array" ref="P35:P35">SUM((INDIRECT($AA35)&gt;'East Postition Rpt'!P$8)*(INDIRECT($AA35)&lt;'East Postition Rpt'!P$9)*(INDIRECT($AB35)))</f>
        <v>#VALUE!</v>
      </c>
      <c r="Q35" s="200" t="e">
        <f aca="true" t="array" ref="Q35:Q35">SUM((INDIRECT($AA35)&gt;'East Postition Rpt'!Q$8)*(INDIRECT($AA35)&lt;'East Postition Rpt'!Q$9)*(INDIRECT($AB35)))</f>
        <v>#VALUE!</v>
      </c>
      <c r="R35" s="200" t="e">
        <f aca="true" t="array" ref="R35:R35">SUM((INDIRECT($AA35)&gt;'East Postition Rpt'!R$8)*(INDIRECT($AA35)&lt;'East Postition Rpt'!R$9)*(INDIRECT($AB35)))</f>
        <v>#VALUE!</v>
      </c>
      <c r="S35" s="200" t="e">
        <f aca="true" t="array" ref="S35:S35">SUM((INDIRECT($AA35)&gt;'East Postition Rpt'!S$8)*(INDIRECT($AA35)&lt;'East Postition Rpt'!S$9)*(INDIRECT($AB35)))</f>
        <v>#VALUE!</v>
      </c>
      <c r="T35" s="201" t="e">
        <f aca="true" t="array" ref="T35:T35">SUM((INDIRECT($AA35)&gt;'East Postition Rpt'!T$8)*(INDIRECT($AA35)&lt;'East Postition Rpt'!T$9)*(INDIRECT($AB35)))</f>
        <v>#VALUE!</v>
      </c>
      <c r="V35" s="202" t="e">
        <f aca="false">SUM(H35:T35)</f>
        <v>#VALUE!</v>
      </c>
      <c r="Y35" s="125" t="e">
        <f aca="false">GetWorkSheet($C34)</f>
        <v>#VALUE!</v>
      </c>
      <c r="Z35" s="124"/>
      <c r="AA35" s="125" t="e">
        <f aca="false">IF(NOT($Y35="#VALUE#"),CONCATENATE($Y35,"!",GetDateStart($Y35),":",GetDateEnd($Y35)),"")</f>
        <v>#VALUE!</v>
      </c>
      <c r="AB35" s="125" t="e">
        <f aca="false">IF(NOT($Y35="#VALUE#"),CONCATENATE($Y35,"!",GetDeliveryStart($Y35),":",GetDeliveryEnd($Y35)),"")</f>
        <v>#VALUE!</v>
      </c>
      <c r="AC35" s="125" t="e">
        <f aca="false">GetRecNdx($Z34,$C34)</f>
        <v>#VALUE!</v>
      </c>
    </row>
    <row r="36" customFormat="false" ht="12.75" hidden="false" customHeight="false" outlineLevel="0" collapsed="false">
      <c r="C36" s="115" t="n">
        <v>89</v>
      </c>
      <c r="E36" s="116" t="e">
        <f aca="false">GetPipeName($Z36,$AC36)</f>
        <v>#VALUE!</v>
      </c>
      <c r="F36" s="117" t="e">
        <f aca="false">CONCATENATE(GetRcptPoint($Z36,$AC36)," to ",GetDelPoint($Z36,$AC36))</f>
        <v>#VALUE!</v>
      </c>
      <c r="G36" s="118" t="e">
        <f aca="false">GetRcptBasis($Z36,$AC36)</f>
        <v>#VALUE!</v>
      </c>
      <c r="H36" s="209" t="e">
        <f aca="true" t="array" ref="H36:H36">SUM((INDIRECT($AA36)&gt;'East Postition Rpt'!H$8)*(INDIRECT($AA36)&lt;'East Postition Rpt'!H$9)*(INDIRECT($AB36)))</f>
        <v>#VALUE!</v>
      </c>
      <c r="I36" s="196" t="e">
        <f aca="true" t="array" ref="I36:I36">SUM((INDIRECT($AA36)&gt;'East Postition Rpt'!I$8)*(INDIRECT($AA36)&lt;'East Postition Rpt'!I$9)*(INDIRECT($AB36)))</f>
        <v>#VALUE!</v>
      </c>
      <c r="J36" s="196" t="e">
        <f aca="true" t="array" ref="J36:J36">SUM((INDIRECT($AA36)&gt;'East Postition Rpt'!J$8)*(INDIRECT($AA36)&lt;'East Postition Rpt'!J$9)*(INDIRECT($AB36)))</f>
        <v>#VALUE!</v>
      </c>
      <c r="K36" s="196" t="e">
        <f aca="true" t="array" ref="K36:K36">SUM((INDIRECT($AA36)&gt;'East Postition Rpt'!K$8)*(INDIRECT($AA36)&lt;'East Postition Rpt'!K$9)*(INDIRECT($AB36)))</f>
        <v>#VALUE!</v>
      </c>
      <c r="L36" s="196" t="e">
        <f aca="true" t="array" ref="L36:L36">SUM((INDIRECT($AA36)&gt;'East Postition Rpt'!L$8)*(INDIRECT($AA36)&lt;'East Postition Rpt'!L$9)*(INDIRECT($AB36)))</f>
        <v>#VALUE!</v>
      </c>
      <c r="M36" s="196" t="e">
        <f aca="true" t="array" ref="M36:M36">SUM((INDIRECT($AA36)&gt;'East Postition Rpt'!M$8)*(INDIRECT($AA36)&lt;'East Postition Rpt'!M$9)*(INDIRECT($AB36)))</f>
        <v>#VALUE!</v>
      </c>
      <c r="N36" s="196" t="e">
        <f aca="true" t="array" ref="N36:N36">SUM((INDIRECT($AA36)&gt;'East Postition Rpt'!N$8)*(INDIRECT($AA36)&lt;'East Postition Rpt'!N$9)*(INDIRECT($AB36)))</f>
        <v>#VALUE!</v>
      </c>
      <c r="O36" s="196" t="e">
        <f aca="true" t="array" ref="O36:O36">SUM((INDIRECT($AA36)&gt;'East Postition Rpt'!O$8)*(INDIRECT($AA36)&lt;'East Postition Rpt'!O$9)*(INDIRECT($AB36)))</f>
        <v>#VALUE!</v>
      </c>
      <c r="P36" s="196" t="e">
        <f aca="true" t="array" ref="P36:P36">SUM((INDIRECT($AA36)&gt;'East Postition Rpt'!P$8)*(INDIRECT($AA36)&lt;'East Postition Rpt'!P$9)*(INDIRECT($AB36)))</f>
        <v>#VALUE!</v>
      </c>
      <c r="Q36" s="196" t="e">
        <f aca="true" t="array" ref="Q36:Q36">SUM((INDIRECT($AA36)&gt;'East Postition Rpt'!Q$8)*(INDIRECT($AA36)&lt;'East Postition Rpt'!Q$9)*(INDIRECT($AB36)))</f>
        <v>#VALUE!</v>
      </c>
      <c r="R36" s="196" t="e">
        <f aca="true" t="array" ref="R36:R36">SUM((INDIRECT($AA36)&gt;'East Postition Rpt'!R$8)*(INDIRECT($AA36)&lt;'East Postition Rpt'!R$9)*(INDIRECT($AB36)))</f>
        <v>#VALUE!</v>
      </c>
      <c r="S36" s="196" t="e">
        <f aca="true" t="array" ref="S36:S36">SUM((INDIRECT($AA36)&gt;'East Postition Rpt'!S$8)*(INDIRECT($AA36)&lt;'East Postition Rpt'!S$9)*(INDIRECT($AB36)))</f>
        <v>#VALUE!</v>
      </c>
      <c r="T36" s="197" t="e">
        <f aca="true" t="array" ref="T36:T36">SUM((INDIRECT($AA36)&gt;'East Postition Rpt'!T$8)*(INDIRECT($AA36)&lt;'East Postition Rpt'!T$9)*(INDIRECT($AB36)))</f>
        <v>#VALUE!</v>
      </c>
      <c r="V36" s="198" t="e">
        <f aca="false">SUM(H36:T36)</f>
        <v>#VALUE!</v>
      </c>
      <c r="Y36" s="125" t="e">
        <f aca="false">GetWorkSheet($C36)</f>
        <v>#VALUE!</v>
      </c>
      <c r="Z36" s="124" t="e">
        <f aca="false">FetchDBPage(Y36)</f>
        <v>#VALUE!</v>
      </c>
      <c r="AA36" s="125" t="e">
        <f aca="false">IF(NOT($Y36="#VALUE#"),CONCATENATE($Y36,"!",GetDateStart($Y36),":",GetDateEnd($Y36)),"")</f>
        <v>#VALUE!</v>
      </c>
      <c r="AB36" s="125" t="e">
        <f aca="false">IF(NOT($Y36="#VALUE#"),CONCATENATE($Y36,"!",GetReceiptStart($Y36),":",GetReceiptEnd($Y36)),"")</f>
        <v>#VALUE!</v>
      </c>
      <c r="AC36" s="125" t="e">
        <f aca="false">GetRecNdx($Z36,$C36)</f>
        <v>#VALUE!</v>
      </c>
    </row>
    <row r="37" customFormat="false" ht="12.75" hidden="false" customHeight="false" outlineLevel="0" collapsed="false">
      <c r="C37" s="115"/>
      <c r="E37" s="116"/>
      <c r="F37" s="117"/>
      <c r="G37" s="126" t="e">
        <f aca="false">GetDelBasis($Z36,$AC37)</f>
        <v>#VALUE!</v>
      </c>
      <c r="H37" s="199" t="e">
        <f aca="true" t="array" ref="H37:H37">SUM((INDIRECT($AA37)&gt;'East Postition Rpt'!H$8)*(INDIRECT($AA37)&lt;'East Postition Rpt'!H$9)*(INDIRECT($AB37)))</f>
        <v>#VALUE!</v>
      </c>
      <c r="I37" s="200" t="e">
        <f aca="true" t="array" ref="I37:I37">SUM((INDIRECT($AA37)&gt;'East Postition Rpt'!I$8)*(INDIRECT($AA37)&lt;'East Postition Rpt'!I$9)*(INDIRECT($AB37)))</f>
        <v>#VALUE!</v>
      </c>
      <c r="J37" s="200" t="e">
        <f aca="true" t="array" ref="J37:J37">SUM((INDIRECT($AA37)&gt;'East Postition Rpt'!J$8)*(INDIRECT($AA37)&lt;'East Postition Rpt'!J$9)*(INDIRECT($AB37)))</f>
        <v>#VALUE!</v>
      </c>
      <c r="K37" s="200" t="e">
        <f aca="true" t="array" ref="K37:K37">SUM((INDIRECT($AA37)&gt;'East Postition Rpt'!K$8)*(INDIRECT($AA37)&lt;'East Postition Rpt'!K$9)*(INDIRECT($AB37)))</f>
        <v>#VALUE!</v>
      </c>
      <c r="L37" s="200" t="e">
        <f aca="true" t="array" ref="L37:L37">SUM((INDIRECT($AA37)&gt;'East Postition Rpt'!L$8)*(INDIRECT($AA37)&lt;'East Postition Rpt'!L$9)*(INDIRECT($AB37)))</f>
        <v>#VALUE!</v>
      </c>
      <c r="M37" s="200" t="e">
        <f aca="true" t="array" ref="M37:M37">SUM((INDIRECT($AA37)&gt;'East Postition Rpt'!M$8)*(INDIRECT($AA37)&lt;'East Postition Rpt'!M$9)*(INDIRECT($AB37)))</f>
        <v>#VALUE!</v>
      </c>
      <c r="N37" s="200" t="e">
        <f aca="true" t="array" ref="N37:N37">SUM((INDIRECT($AA37)&gt;'East Postition Rpt'!N$8)*(INDIRECT($AA37)&lt;'East Postition Rpt'!N$9)*(INDIRECT($AB37)))</f>
        <v>#VALUE!</v>
      </c>
      <c r="O37" s="200" t="e">
        <f aca="true" t="array" ref="O37:O37">SUM((INDIRECT($AA37)&gt;'East Postition Rpt'!O$8)*(INDIRECT($AA37)&lt;'East Postition Rpt'!O$9)*(INDIRECT($AB37)))</f>
        <v>#VALUE!</v>
      </c>
      <c r="P37" s="200" t="e">
        <f aca="true" t="array" ref="P37:P37">SUM((INDIRECT($AA37)&gt;'East Postition Rpt'!P$8)*(INDIRECT($AA37)&lt;'East Postition Rpt'!P$9)*(INDIRECT($AB37)))</f>
        <v>#VALUE!</v>
      </c>
      <c r="Q37" s="200" t="e">
        <f aca="true" t="array" ref="Q37:Q37">SUM((INDIRECT($AA37)&gt;'East Postition Rpt'!Q$8)*(INDIRECT($AA37)&lt;'East Postition Rpt'!Q$9)*(INDIRECT($AB37)))</f>
        <v>#VALUE!</v>
      </c>
      <c r="R37" s="200" t="e">
        <f aca="true" t="array" ref="R37:R37">SUM((INDIRECT($AA37)&gt;'East Postition Rpt'!R$8)*(INDIRECT($AA37)&lt;'East Postition Rpt'!R$9)*(INDIRECT($AB37)))</f>
        <v>#VALUE!</v>
      </c>
      <c r="S37" s="200" t="e">
        <f aca="true" t="array" ref="S37:S37">SUM((INDIRECT($AA37)&gt;'East Postition Rpt'!S$8)*(INDIRECT($AA37)&lt;'East Postition Rpt'!S$9)*(INDIRECT($AB37)))</f>
        <v>#VALUE!</v>
      </c>
      <c r="T37" s="201" t="e">
        <f aca="true" t="array" ref="T37:T37">SUM((INDIRECT($AA37)&gt;'East Postition Rpt'!T$8)*(INDIRECT($AA37)&lt;'East Postition Rpt'!T$9)*(INDIRECT($AB37)))</f>
        <v>#VALUE!</v>
      </c>
      <c r="V37" s="202" t="e">
        <f aca="false">SUM(H37:T37)</f>
        <v>#VALUE!</v>
      </c>
      <c r="Y37" s="125" t="e">
        <f aca="false">GetWorkSheet($C36)</f>
        <v>#VALUE!</v>
      </c>
      <c r="Z37" s="124"/>
      <c r="AA37" s="125" t="e">
        <f aca="false">IF(NOT($Y37="#VALUE#"),CONCATENATE($Y37,"!",GetDateStart($Y37),":",GetDateEnd($Y37)),"")</f>
        <v>#VALUE!</v>
      </c>
      <c r="AB37" s="125" t="e">
        <f aca="false">IF(NOT($Y37="#VALUE#"),CONCATENATE($Y37,"!",GetDeliveryStart($Y37),":",GetDeliveryEnd($Y37)),"")</f>
        <v>#VALUE!</v>
      </c>
      <c r="AC37" s="125" t="e">
        <f aca="false">GetRecNdx($Z36,$C36)</f>
        <v>#VALUE!</v>
      </c>
    </row>
    <row r="38" customFormat="false" ht="12.75" hidden="false" customHeight="false" outlineLevel="0" collapsed="false">
      <c r="C38" s="115" t="n">
        <v>90</v>
      </c>
      <c r="E38" s="116" t="e">
        <f aca="false">GetPipeName($Z38,$AC38)</f>
        <v>#VALUE!</v>
      </c>
      <c r="F38" s="117" t="e">
        <f aca="false">CONCATENATE(GetRcptPoint($Z38,$AC38)," to ",GetDelPoint($Z38,$AC38))</f>
        <v>#VALUE!</v>
      </c>
      <c r="G38" s="118" t="e">
        <f aca="false">GetRcptBasis($Z38,$AC38)</f>
        <v>#VALUE!</v>
      </c>
      <c r="H38" s="209" t="e">
        <f aca="true" t="array" ref="H38:H38">SUM((INDIRECT($AA38)&gt;'East Postition Rpt'!H$8)*(INDIRECT($AA38)&lt;'East Postition Rpt'!H$9)*(INDIRECT($AB38)))</f>
        <v>#VALUE!</v>
      </c>
      <c r="I38" s="196" t="e">
        <f aca="true" t="array" ref="I38:I38">SUM((INDIRECT($AA38)&gt;'East Postition Rpt'!I$8)*(INDIRECT($AA38)&lt;'East Postition Rpt'!I$9)*(INDIRECT($AB38)))</f>
        <v>#VALUE!</v>
      </c>
      <c r="J38" s="196" t="e">
        <f aca="true" t="array" ref="J38:J38">SUM((INDIRECT($AA38)&gt;'East Postition Rpt'!J$8)*(INDIRECT($AA38)&lt;'East Postition Rpt'!J$9)*(INDIRECT($AB38)))</f>
        <v>#VALUE!</v>
      </c>
      <c r="K38" s="196" t="e">
        <f aca="true" t="array" ref="K38:K38">SUM((INDIRECT($AA38)&gt;'East Postition Rpt'!K$8)*(INDIRECT($AA38)&lt;'East Postition Rpt'!K$9)*(INDIRECT($AB38)))</f>
        <v>#VALUE!</v>
      </c>
      <c r="L38" s="196" t="e">
        <f aca="true" t="array" ref="L38:L38">SUM((INDIRECT($AA38)&gt;'East Postition Rpt'!L$8)*(INDIRECT($AA38)&lt;'East Postition Rpt'!L$9)*(INDIRECT($AB38)))</f>
        <v>#VALUE!</v>
      </c>
      <c r="M38" s="196" t="e">
        <f aca="true" t="array" ref="M38:M38">SUM((INDIRECT($AA38)&gt;'East Postition Rpt'!M$8)*(INDIRECT($AA38)&lt;'East Postition Rpt'!M$9)*(INDIRECT($AB38)))</f>
        <v>#VALUE!</v>
      </c>
      <c r="N38" s="196" t="e">
        <f aca="true" t="array" ref="N38:N38">SUM((INDIRECT($AA38)&gt;'East Postition Rpt'!N$8)*(INDIRECT($AA38)&lt;'East Postition Rpt'!N$9)*(INDIRECT($AB38)))</f>
        <v>#VALUE!</v>
      </c>
      <c r="O38" s="196" t="e">
        <f aca="true" t="array" ref="O38:O38">SUM((INDIRECT($AA38)&gt;'East Postition Rpt'!O$8)*(INDIRECT($AA38)&lt;'East Postition Rpt'!O$9)*(INDIRECT($AB38)))</f>
        <v>#VALUE!</v>
      </c>
      <c r="P38" s="196" t="e">
        <f aca="true" t="array" ref="P38:P38">SUM((INDIRECT($AA38)&gt;'East Postition Rpt'!P$8)*(INDIRECT($AA38)&lt;'East Postition Rpt'!P$9)*(INDIRECT($AB38)))</f>
        <v>#VALUE!</v>
      </c>
      <c r="Q38" s="196" t="e">
        <f aca="true" t="array" ref="Q38:Q38">SUM((INDIRECT($AA38)&gt;'East Postition Rpt'!Q$8)*(INDIRECT($AA38)&lt;'East Postition Rpt'!Q$9)*(INDIRECT($AB38)))</f>
        <v>#VALUE!</v>
      </c>
      <c r="R38" s="196" t="e">
        <f aca="true" t="array" ref="R38:R38">SUM((INDIRECT($AA38)&gt;'East Postition Rpt'!R$8)*(INDIRECT($AA38)&lt;'East Postition Rpt'!R$9)*(INDIRECT($AB38)))</f>
        <v>#VALUE!</v>
      </c>
      <c r="S38" s="196" t="e">
        <f aca="true" t="array" ref="S38:S38">SUM((INDIRECT($AA38)&gt;'East Postition Rpt'!S$8)*(INDIRECT($AA38)&lt;'East Postition Rpt'!S$9)*(INDIRECT($AB38)))</f>
        <v>#VALUE!</v>
      </c>
      <c r="T38" s="197" t="e">
        <f aca="true" t="array" ref="T38:T38">SUM((INDIRECT($AA38)&gt;'East Postition Rpt'!T$8)*(INDIRECT($AA38)&lt;'East Postition Rpt'!T$9)*(INDIRECT($AB38)))</f>
        <v>#VALUE!</v>
      </c>
      <c r="V38" s="198" t="e">
        <f aca="false">SUM(H38:T38)</f>
        <v>#VALUE!</v>
      </c>
      <c r="Y38" s="125" t="e">
        <f aca="false">GetWorkSheet($C38)</f>
        <v>#VALUE!</v>
      </c>
      <c r="Z38" s="124" t="e">
        <f aca="false">FetchDBPage(Y38)</f>
        <v>#VALUE!</v>
      </c>
      <c r="AA38" s="125" t="e">
        <f aca="false">IF(NOT($Y38="#VALUE#"),CONCATENATE($Y38,"!",GetDateStart($Y38),":",GetDateEnd($Y38)),"")</f>
        <v>#VALUE!</v>
      </c>
      <c r="AB38" s="125" t="e">
        <f aca="false">IF(NOT($Y38="#VALUE#"),CONCATENATE($Y38,"!",GetReceiptStart($Y38),":",GetReceiptEnd($Y38)),"")</f>
        <v>#VALUE!</v>
      </c>
      <c r="AC38" s="125" t="e">
        <f aca="false">GetRecNdx($Z38,$C38)</f>
        <v>#VALUE!</v>
      </c>
    </row>
    <row r="39" customFormat="false" ht="12.75" hidden="false" customHeight="false" outlineLevel="0" collapsed="false">
      <c r="C39" s="115"/>
      <c r="E39" s="116"/>
      <c r="F39" s="117"/>
      <c r="G39" s="126" t="e">
        <f aca="false">GetDelBasis($Z38,$AC39)</f>
        <v>#VALUE!</v>
      </c>
      <c r="H39" s="199" t="e">
        <f aca="true" t="array" ref="H39:H39">SUM((INDIRECT($AA39)&gt;'East Postition Rpt'!H$8)*(INDIRECT($AA39)&lt;'East Postition Rpt'!H$9)*(INDIRECT($AB39)))</f>
        <v>#VALUE!</v>
      </c>
      <c r="I39" s="200" t="e">
        <f aca="true" t="array" ref="I39:I39">SUM((INDIRECT($AA39)&gt;'East Postition Rpt'!I$8)*(INDIRECT($AA39)&lt;'East Postition Rpt'!I$9)*(INDIRECT($AB39)))</f>
        <v>#VALUE!</v>
      </c>
      <c r="J39" s="200" t="e">
        <f aca="true" t="array" ref="J39:J39">SUM((INDIRECT($AA39)&gt;'East Postition Rpt'!J$8)*(INDIRECT($AA39)&lt;'East Postition Rpt'!J$9)*(INDIRECT($AB39)))</f>
        <v>#VALUE!</v>
      </c>
      <c r="K39" s="200" t="e">
        <f aca="true" t="array" ref="K39:K39">SUM((INDIRECT($AA39)&gt;'East Postition Rpt'!K$8)*(INDIRECT($AA39)&lt;'East Postition Rpt'!K$9)*(INDIRECT($AB39)))</f>
        <v>#VALUE!</v>
      </c>
      <c r="L39" s="200" t="e">
        <f aca="true" t="array" ref="L39:L39">SUM((INDIRECT($AA39)&gt;'East Postition Rpt'!L$8)*(INDIRECT($AA39)&lt;'East Postition Rpt'!L$9)*(INDIRECT($AB39)))</f>
        <v>#VALUE!</v>
      </c>
      <c r="M39" s="200" t="e">
        <f aca="true" t="array" ref="M39:M39">SUM((INDIRECT($AA39)&gt;'East Postition Rpt'!M$8)*(INDIRECT($AA39)&lt;'East Postition Rpt'!M$9)*(INDIRECT($AB39)))</f>
        <v>#VALUE!</v>
      </c>
      <c r="N39" s="200" t="e">
        <f aca="true" t="array" ref="N39:N39">SUM((INDIRECT($AA39)&gt;'East Postition Rpt'!N$8)*(INDIRECT($AA39)&lt;'East Postition Rpt'!N$9)*(INDIRECT($AB39)))</f>
        <v>#VALUE!</v>
      </c>
      <c r="O39" s="200" t="e">
        <f aca="true" t="array" ref="O39:O39">SUM((INDIRECT($AA39)&gt;'East Postition Rpt'!O$8)*(INDIRECT($AA39)&lt;'East Postition Rpt'!O$9)*(INDIRECT($AB39)))</f>
        <v>#VALUE!</v>
      </c>
      <c r="P39" s="200" t="e">
        <f aca="true" t="array" ref="P39:P39">SUM((INDIRECT($AA39)&gt;'East Postition Rpt'!P$8)*(INDIRECT($AA39)&lt;'East Postition Rpt'!P$9)*(INDIRECT($AB39)))</f>
        <v>#VALUE!</v>
      </c>
      <c r="Q39" s="200" t="e">
        <f aca="true" t="array" ref="Q39:Q39">SUM((INDIRECT($AA39)&gt;'East Postition Rpt'!Q$8)*(INDIRECT($AA39)&lt;'East Postition Rpt'!Q$9)*(INDIRECT($AB39)))</f>
        <v>#VALUE!</v>
      </c>
      <c r="R39" s="200" t="e">
        <f aca="true" t="array" ref="R39:R39">SUM((INDIRECT($AA39)&gt;'East Postition Rpt'!R$8)*(INDIRECT($AA39)&lt;'East Postition Rpt'!R$9)*(INDIRECT($AB39)))</f>
        <v>#VALUE!</v>
      </c>
      <c r="S39" s="200" t="e">
        <f aca="true" t="array" ref="S39:S39">SUM((INDIRECT($AA39)&gt;'East Postition Rpt'!S$8)*(INDIRECT($AA39)&lt;'East Postition Rpt'!S$9)*(INDIRECT($AB39)))</f>
        <v>#VALUE!</v>
      </c>
      <c r="T39" s="201" t="e">
        <f aca="true" t="array" ref="T39:T39">SUM((INDIRECT($AA39)&gt;'East Postition Rpt'!T$8)*(INDIRECT($AA39)&lt;'East Postition Rpt'!T$9)*(INDIRECT($AB39)))</f>
        <v>#VALUE!</v>
      </c>
      <c r="V39" s="202" t="e">
        <f aca="false">SUM(H39:T39)</f>
        <v>#VALUE!</v>
      </c>
      <c r="Y39" s="125" t="e">
        <f aca="false">GetWorkSheet($C38)</f>
        <v>#VALUE!</v>
      </c>
      <c r="Z39" s="124"/>
      <c r="AA39" s="125" t="e">
        <f aca="false">IF(NOT($Y39="#VALUE#"),CONCATENATE($Y39,"!",GetDateStart($Y39),":",GetDateEnd($Y39)),"")</f>
        <v>#VALUE!</v>
      </c>
      <c r="AB39" s="125" t="e">
        <f aca="false">IF(NOT($Y39="#VALUE#"),CONCATENATE($Y39,"!",GetDeliveryStart($Y39),":",GetDeliveryEnd($Y39)),"")</f>
        <v>#VALUE!</v>
      </c>
      <c r="AC39" s="125" t="e">
        <f aca="false">GetRecNdx($Z38,$C38)</f>
        <v>#VALUE!</v>
      </c>
    </row>
    <row r="40" customFormat="false" ht="12.75" hidden="false" customHeight="false" outlineLevel="0" collapsed="false">
      <c r="C40" s="115" t="n">
        <v>100</v>
      </c>
      <c r="E40" s="116" t="e">
        <f aca="false">GetPipeName($Z40,$AC40)</f>
        <v>#VALUE!</v>
      </c>
      <c r="F40" s="117" t="e">
        <f aca="false">CONCATENATE(GetRcptPoint($Z40,$AC40)," to ",GetDelPoint($Z40,$AC40))</f>
        <v>#VALUE!</v>
      </c>
      <c r="G40" s="118" t="e">
        <f aca="false">GetRcptBasis($Z40,$AC40)</f>
        <v>#VALUE!</v>
      </c>
      <c r="H40" s="209" t="e">
        <f aca="true" t="array" ref="H40:H40">SUM((INDIRECT($AA40)&gt;'East Postition Rpt'!H$8)*(INDIRECT($AA40)&lt;'East Postition Rpt'!H$9)*(INDIRECT($AB40)))</f>
        <v>#VALUE!</v>
      </c>
      <c r="I40" s="196" t="e">
        <f aca="true" t="array" ref="I40:I40">SUM((INDIRECT($AA40)&gt;'East Postition Rpt'!I$8)*(INDIRECT($AA40)&lt;'East Postition Rpt'!I$9)*(INDIRECT($AB40)))</f>
        <v>#VALUE!</v>
      </c>
      <c r="J40" s="196" t="e">
        <f aca="true" t="array" ref="J40:J40">SUM((INDIRECT($AA40)&gt;'East Postition Rpt'!J$8)*(INDIRECT($AA40)&lt;'East Postition Rpt'!J$9)*(INDIRECT($AB40)))</f>
        <v>#VALUE!</v>
      </c>
      <c r="K40" s="196" t="e">
        <f aca="true" t="array" ref="K40:K40">SUM((INDIRECT($AA40)&gt;'East Postition Rpt'!K$8)*(INDIRECT($AA40)&lt;'East Postition Rpt'!K$9)*(INDIRECT($AB40)))</f>
        <v>#VALUE!</v>
      </c>
      <c r="L40" s="196" t="e">
        <f aca="true" t="array" ref="L40:L40">SUM((INDIRECT($AA40)&gt;'East Postition Rpt'!L$8)*(INDIRECT($AA40)&lt;'East Postition Rpt'!L$9)*(INDIRECT($AB40)))</f>
        <v>#VALUE!</v>
      </c>
      <c r="M40" s="196" t="e">
        <f aca="true" t="array" ref="M40:M40">SUM((INDIRECT($AA40)&gt;'East Postition Rpt'!M$8)*(INDIRECT($AA40)&lt;'East Postition Rpt'!M$9)*(INDIRECT($AB40)))</f>
        <v>#VALUE!</v>
      </c>
      <c r="N40" s="196" t="e">
        <f aca="true" t="array" ref="N40:N40">SUM((INDIRECT($AA40)&gt;'East Postition Rpt'!N$8)*(INDIRECT($AA40)&lt;'East Postition Rpt'!N$9)*(INDIRECT($AB40)))</f>
        <v>#VALUE!</v>
      </c>
      <c r="O40" s="196" t="e">
        <f aca="true" t="array" ref="O40:O40">SUM((INDIRECT($AA40)&gt;'East Postition Rpt'!O$8)*(INDIRECT($AA40)&lt;'East Postition Rpt'!O$9)*(INDIRECT($AB40)))</f>
        <v>#VALUE!</v>
      </c>
      <c r="P40" s="196" t="e">
        <f aca="true" t="array" ref="P40:P40">SUM((INDIRECT($AA40)&gt;'East Postition Rpt'!P$8)*(INDIRECT($AA40)&lt;'East Postition Rpt'!P$9)*(INDIRECT($AB40)))</f>
        <v>#VALUE!</v>
      </c>
      <c r="Q40" s="196" t="e">
        <f aca="true" t="array" ref="Q40:Q40">SUM((INDIRECT($AA40)&gt;'East Postition Rpt'!Q$8)*(INDIRECT($AA40)&lt;'East Postition Rpt'!Q$9)*(INDIRECT($AB40)))</f>
        <v>#VALUE!</v>
      </c>
      <c r="R40" s="196" t="e">
        <f aca="true" t="array" ref="R40:R40">SUM((INDIRECT($AA40)&gt;'East Postition Rpt'!R$8)*(INDIRECT($AA40)&lt;'East Postition Rpt'!R$9)*(INDIRECT($AB40)))</f>
        <v>#VALUE!</v>
      </c>
      <c r="S40" s="196" t="e">
        <f aca="true" t="array" ref="S40:S40">SUM((INDIRECT($AA40)&gt;'East Postition Rpt'!S$8)*(INDIRECT($AA40)&lt;'East Postition Rpt'!S$9)*(INDIRECT($AB40)))</f>
        <v>#VALUE!</v>
      </c>
      <c r="T40" s="197" t="e">
        <f aca="true" t="array" ref="T40:T40">SUM((INDIRECT($AA40)&gt;'East Postition Rpt'!T$8)*(INDIRECT($AA40)&lt;'East Postition Rpt'!T$9)*(INDIRECT($AB40)))</f>
        <v>#VALUE!</v>
      </c>
      <c r="V40" s="198" t="e">
        <f aca="false">SUM(H40:T40)</f>
        <v>#VALUE!</v>
      </c>
      <c r="Y40" s="125" t="e">
        <f aca="false">GetWorkSheet($C40)</f>
        <v>#VALUE!</v>
      </c>
      <c r="Z40" s="124" t="e">
        <f aca="false">FetchDBPage(Y40)</f>
        <v>#VALUE!</v>
      </c>
      <c r="AA40" s="125" t="e">
        <f aca="false">IF(NOT($Y40="#VALUE#"),CONCATENATE($Y40,"!",GetDateStart($Y40),":",GetDateEnd($Y40)),"")</f>
        <v>#VALUE!</v>
      </c>
      <c r="AB40" s="125" t="e">
        <f aca="false">IF(NOT($Y40="#VALUE#"),CONCATENATE($Y40,"!",GetReceiptStart($Y40),":",GetReceiptEnd($Y40)),"")</f>
        <v>#VALUE!</v>
      </c>
      <c r="AC40" s="125" t="e">
        <f aca="false">GetRecNdx($Z40,$C40)</f>
        <v>#VALUE!</v>
      </c>
    </row>
    <row r="41" customFormat="false" ht="12.75" hidden="false" customHeight="false" outlineLevel="0" collapsed="false">
      <c r="C41" s="115"/>
      <c r="E41" s="116"/>
      <c r="F41" s="117"/>
      <c r="G41" s="126" t="e">
        <f aca="false">GetDelBasis($Z40,$AC41)</f>
        <v>#VALUE!</v>
      </c>
      <c r="H41" s="199" t="e">
        <f aca="true" t="array" ref="H41:H41">SUM((INDIRECT($AA41)&gt;'East Postition Rpt'!H$8)*(INDIRECT($AA41)&lt;'East Postition Rpt'!H$9)*(INDIRECT($AB41)))</f>
        <v>#VALUE!</v>
      </c>
      <c r="I41" s="200" t="e">
        <f aca="true" t="array" ref="I41:I41">SUM((INDIRECT($AA41)&gt;'East Postition Rpt'!I$8)*(INDIRECT($AA41)&lt;'East Postition Rpt'!I$9)*(INDIRECT($AB41)))</f>
        <v>#VALUE!</v>
      </c>
      <c r="J41" s="200" t="e">
        <f aca="true" t="array" ref="J41:J41">SUM((INDIRECT($AA41)&gt;'East Postition Rpt'!J$8)*(INDIRECT($AA41)&lt;'East Postition Rpt'!J$9)*(INDIRECT($AB41)))</f>
        <v>#VALUE!</v>
      </c>
      <c r="K41" s="200" t="e">
        <f aca="true" t="array" ref="K41:K41">SUM((INDIRECT($AA41)&gt;'East Postition Rpt'!K$8)*(INDIRECT($AA41)&lt;'East Postition Rpt'!K$9)*(INDIRECT($AB41)))</f>
        <v>#VALUE!</v>
      </c>
      <c r="L41" s="200" t="e">
        <f aca="true" t="array" ref="L41:L41">SUM((INDIRECT($AA41)&gt;'East Postition Rpt'!L$8)*(INDIRECT($AA41)&lt;'East Postition Rpt'!L$9)*(INDIRECT($AB41)))</f>
        <v>#VALUE!</v>
      </c>
      <c r="M41" s="200" t="e">
        <f aca="true" t="array" ref="M41:M41">SUM((INDIRECT($AA41)&gt;'East Postition Rpt'!M$8)*(INDIRECT($AA41)&lt;'East Postition Rpt'!M$9)*(INDIRECT($AB41)))</f>
        <v>#VALUE!</v>
      </c>
      <c r="N41" s="200" t="e">
        <f aca="true" t="array" ref="N41:N41">SUM((INDIRECT($AA41)&gt;'East Postition Rpt'!N$8)*(INDIRECT($AA41)&lt;'East Postition Rpt'!N$9)*(INDIRECT($AB41)))</f>
        <v>#VALUE!</v>
      </c>
      <c r="O41" s="200" t="e">
        <f aca="true" t="array" ref="O41:O41">SUM((INDIRECT($AA41)&gt;'East Postition Rpt'!O$8)*(INDIRECT($AA41)&lt;'East Postition Rpt'!O$9)*(INDIRECT($AB41)))</f>
        <v>#VALUE!</v>
      </c>
      <c r="P41" s="200" t="e">
        <f aca="true" t="array" ref="P41:P41">SUM((INDIRECT($AA41)&gt;'East Postition Rpt'!P$8)*(INDIRECT($AA41)&lt;'East Postition Rpt'!P$9)*(INDIRECT($AB41)))</f>
        <v>#VALUE!</v>
      </c>
      <c r="Q41" s="200" t="e">
        <f aca="true" t="array" ref="Q41:Q41">SUM((INDIRECT($AA41)&gt;'East Postition Rpt'!Q$8)*(INDIRECT($AA41)&lt;'East Postition Rpt'!Q$9)*(INDIRECT($AB41)))</f>
        <v>#VALUE!</v>
      </c>
      <c r="R41" s="200" t="e">
        <f aca="true" t="array" ref="R41:R41">SUM((INDIRECT($AA41)&gt;'East Postition Rpt'!R$8)*(INDIRECT($AA41)&lt;'East Postition Rpt'!R$9)*(INDIRECT($AB41)))</f>
        <v>#VALUE!</v>
      </c>
      <c r="S41" s="200" t="e">
        <f aca="true" t="array" ref="S41:S41">SUM((INDIRECT($AA41)&gt;'East Postition Rpt'!S$8)*(INDIRECT($AA41)&lt;'East Postition Rpt'!S$9)*(INDIRECT($AB41)))</f>
        <v>#VALUE!</v>
      </c>
      <c r="T41" s="201" t="e">
        <f aca="true" t="array" ref="T41:T41">SUM((INDIRECT($AA41)&gt;'East Postition Rpt'!T$8)*(INDIRECT($AA41)&lt;'East Postition Rpt'!T$9)*(INDIRECT($AB41)))</f>
        <v>#VALUE!</v>
      </c>
      <c r="V41" s="202" t="e">
        <f aca="false">SUM(H41:T41)</f>
        <v>#VALUE!</v>
      </c>
      <c r="Y41" s="125" t="e">
        <f aca="false">GetWorkSheet($C40)</f>
        <v>#VALUE!</v>
      </c>
      <c r="Z41" s="124"/>
      <c r="AA41" s="125" t="e">
        <f aca="false">IF(NOT($Y41="#VALUE#"),CONCATENATE($Y41,"!",GetDateStart($Y41),":",GetDateEnd($Y41)),"")</f>
        <v>#VALUE!</v>
      </c>
      <c r="AB41" s="125" t="e">
        <f aca="false">IF(NOT($Y41="#VALUE#"),CONCATENATE($Y41,"!",GetDeliveryStart($Y41),":",GetDeliveryEnd($Y41)),"")</f>
        <v>#VALUE!</v>
      </c>
      <c r="AC41" s="125" t="e">
        <f aca="false">GetRecNdx($Z40,$C40)</f>
        <v>#VALUE!</v>
      </c>
    </row>
    <row r="42" customFormat="false" ht="12.75" hidden="false" customHeight="false" outlineLevel="0" collapsed="false">
      <c r="C42" s="115" t="n">
        <v>101</v>
      </c>
      <c r="E42" s="116" t="e">
        <f aca="false">GetPipeName($Z42,$AC42)</f>
        <v>#VALUE!</v>
      </c>
      <c r="F42" s="117" t="e">
        <f aca="false">CONCATENATE(GetRcptPoint($Z42,$AC42)," to ",GetDelPoint($Z42,$AC42))</f>
        <v>#VALUE!</v>
      </c>
      <c r="G42" s="118" t="e">
        <f aca="false">GetRcptBasis($Z42,$AC42)</f>
        <v>#VALUE!</v>
      </c>
      <c r="H42" s="209" t="e">
        <f aca="true" t="array" ref="H42:H42">SUM((INDIRECT($AA42)&gt;'East Postition Rpt'!H$8)*(INDIRECT($AA42)&lt;'East Postition Rpt'!H$9)*(INDIRECT($AB42)))</f>
        <v>#VALUE!</v>
      </c>
      <c r="I42" s="196" t="e">
        <f aca="true" t="array" ref="I42:I42">SUM((INDIRECT($AA42)&gt;'East Postition Rpt'!I$8)*(INDIRECT($AA42)&lt;'East Postition Rpt'!I$9)*(INDIRECT($AB42)))</f>
        <v>#VALUE!</v>
      </c>
      <c r="J42" s="196" t="e">
        <f aca="true" t="array" ref="J42:J42">SUM((INDIRECT($AA42)&gt;'East Postition Rpt'!J$8)*(INDIRECT($AA42)&lt;'East Postition Rpt'!J$9)*(INDIRECT($AB42)))</f>
        <v>#VALUE!</v>
      </c>
      <c r="K42" s="196" t="e">
        <f aca="true" t="array" ref="K42:K42">SUM((INDIRECT($AA42)&gt;'East Postition Rpt'!K$8)*(INDIRECT($AA42)&lt;'East Postition Rpt'!K$9)*(INDIRECT($AB42)))</f>
        <v>#VALUE!</v>
      </c>
      <c r="L42" s="196" t="e">
        <f aca="true" t="array" ref="L42:L42">SUM((INDIRECT($AA42)&gt;'East Postition Rpt'!L$8)*(INDIRECT($AA42)&lt;'East Postition Rpt'!L$9)*(INDIRECT($AB42)))</f>
        <v>#VALUE!</v>
      </c>
      <c r="M42" s="196" t="e">
        <f aca="true" t="array" ref="M42:M42">SUM((INDIRECT($AA42)&gt;'East Postition Rpt'!M$8)*(INDIRECT($AA42)&lt;'East Postition Rpt'!M$9)*(INDIRECT($AB42)))</f>
        <v>#VALUE!</v>
      </c>
      <c r="N42" s="196" t="e">
        <f aca="true" t="array" ref="N42:N42">SUM((INDIRECT($AA42)&gt;'East Postition Rpt'!N$8)*(INDIRECT($AA42)&lt;'East Postition Rpt'!N$9)*(INDIRECT($AB42)))</f>
        <v>#VALUE!</v>
      </c>
      <c r="O42" s="196" t="e">
        <f aca="true" t="array" ref="O42:O42">SUM((INDIRECT($AA42)&gt;'East Postition Rpt'!O$8)*(INDIRECT($AA42)&lt;'East Postition Rpt'!O$9)*(INDIRECT($AB42)))</f>
        <v>#VALUE!</v>
      </c>
      <c r="P42" s="196" t="e">
        <f aca="true" t="array" ref="P42:P42">SUM((INDIRECT($AA42)&gt;'East Postition Rpt'!P$8)*(INDIRECT($AA42)&lt;'East Postition Rpt'!P$9)*(INDIRECT($AB42)))</f>
        <v>#VALUE!</v>
      </c>
      <c r="Q42" s="196" t="e">
        <f aca="true" t="array" ref="Q42:Q42">SUM((INDIRECT($AA42)&gt;'East Postition Rpt'!Q$8)*(INDIRECT($AA42)&lt;'East Postition Rpt'!Q$9)*(INDIRECT($AB42)))</f>
        <v>#VALUE!</v>
      </c>
      <c r="R42" s="196" t="e">
        <f aca="true" t="array" ref="R42:R42">SUM((INDIRECT($AA42)&gt;'East Postition Rpt'!R$8)*(INDIRECT($AA42)&lt;'East Postition Rpt'!R$9)*(INDIRECT($AB42)))</f>
        <v>#VALUE!</v>
      </c>
      <c r="S42" s="196" t="e">
        <f aca="true" t="array" ref="S42:S42">SUM((INDIRECT($AA42)&gt;'East Postition Rpt'!S$8)*(INDIRECT($AA42)&lt;'East Postition Rpt'!S$9)*(INDIRECT($AB42)))</f>
        <v>#VALUE!</v>
      </c>
      <c r="T42" s="197" t="e">
        <f aca="true" t="array" ref="T42:T42">SUM((INDIRECT($AA42)&gt;'East Postition Rpt'!T$8)*(INDIRECT($AA42)&lt;'East Postition Rpt'!T$9)*(INDIRECT($AB42)))</f>
        <v>#VALUE!</v>
      </c>
      <c r="V42" s="198" t="e">
        <f aca="false">SUM(H42:T42)</f>
        <v>#VALUE!</v>
      </c>
      <c r="Y42" s="125" t="e">
        <f aca="false">GetWorkSheet($C42)</f>
        <v>#VALUE!</v>
      </c>
      <c r="Z42" s="124" t="e">
        <f aca="false">FetchDBPage(Y42)</f>
        <v>#VALUE!</v>
      </c>
      <c r="AA42" s="125" t="e">
        <f aca="false">IF(NOT($Y42="#VALUE#"),CONCATENATE($Y42,"!",GetDateStart($Y42),":",GetDateEnd($Y42)),"")</f>
        <v>#VALUE!</v>
      </c>
      <c r="AB42" s="125" t="e">
        <f aca="false">IF(NOT($Y42="#VALUE#"),CONCATENATE($Y42,"!",GetReceiptStart($Y42),":",GetReceiptEnd($Y42)),"")</f>
        <v>#VALUE!</v>
      </c>
      <c r="AC42" s="125" t="e">
        <f aca="false">GetRecNdx($Z42,$C42)</f>
        <v>#VALUE!</v>
      </c>
    </row>
    <row r="43" customFormat="false" ht="12.75" hidden="false" customHeight="false" outlineLevel="0" collapsed="false">
      <c r="C43" s="115"/>
      <c r="E43" s="116"/>
      <c r="F43" s="117"/>
      <c r="G43" s="126" t="e">
        <f aca="false">GetDelBasis($Z42,$AC43)</f>
        <v>#VALUE!</v>
      </c>
      <c r="H43" s="199" t="e">
        <f aca="true" t="array" ref="H43:H43">SUM((INDIRECT($AA43)&gt;'East Postition Rpt'!H$8)*(INDIRECT($AA43)&lt;'East Postition Rpt'!H$9)*(INDIRECT($AB43)))</f>
        <v>#VALUE!</v>
      </c>
      <c r="I43" s="200" t="e">
        <f aca="true" t="array" ref="I43:I43">SUM((INDIRECT($AA43)&gt;'East Postition Rpt'!I$8)*(INDIRECT($AA43)&lt;'East Postition Rpt'!I$9)*(INDIRECT($AB43)))</f>
        <v>#VALUE!</v>
      </c>
      <c r="J43" s="200" t="e">
        <f aca="true" t="array" ref="J43:J43">SUM((INDIRECT($AA43)&gt;'East Postition Rpt'!J$8)*(INDIRECT($AA43)&lt;'East Postition Rpt'!J$9)*(INDIRECT($AB43)))</f>
        <v>#VALUE!</v>
      </c>
      <c r="K43" s="200" t="e">
        <f aca="true" t="array" ref="K43:K43">SUM((INDIRECT($AA43)&gt;'East Postition Rpt'!K$8)*(INDIRECT($AA43)&lt;'East Postition Rpt'!K$9)*(INDIRECT($AB43)))</f>
        <v>#VALUE!</v>
      </c>
      <c r="L43" s="200" t="e">
        <f aca="true" t="array" ref="L43:L43">SUM((INDIRECT($AA43)&gt;'East Postition Rpt'!L$8)*(INDIRECT($AA43)&lt;'East Postition Rpt'!L$9)*(INDIRECT($AB43)))</f>
        <v>#VALUE!</v>
      </c>
      <c r="M43" s="200" t="e">
        <f aca="true" t="array" ref="M43:M43">SUM((INDIRECT($AA43)&gt;'East Postition Rpt'!M$8)*(INDIRECT($AA43)&lt;'East Postition Rpt'!M$9)*(INDIRECT($AB43)))</f>
        <v>#VALUE!</v>
      </c>
      <c r="N43" s="200" t="e">
        <f aca="true" t="array" ref="N43:N43">SUM((INDIRECT($AA43)&gt;'East Postition Rpt'!N$8)*(INDIRECT($AA43)&lt;'East Postition Rpt'!N$9)*(INDIRECT($AB43)))</f>
        <v>#VALUE!</v>
      </c>
      <c r="O43" s="200" t="e">
        <f aca="true" t="array" ref="O43:O43">SUM((INDIRECT($AA43)&gt;'East Postition Rpt'!O$8)*(INDIRECT($AA43)&lt;'East Postition Rpt'!O$9)*(INDIRECT($AB43)))</f>
        <v>#VALUE!</v>
      </c>
      <c r="P43" s="200" t="e">
        <f aca="true" t="array" ref="P43:P43">SUM((INDIRECT($AA43)&gt;'East Postition Rpt'!P$8)*(INDIRECT($AA43)&lt;'East Postition Rpt'!P$9)*(INDIRECT($AB43)))</f>
        <v>#VALUE!</v>
      </c>
      <c r="Q43" s="200" t="e">
        <f aca="true" t="array" ref="Q43:Q43">SUM((INDIRECT($AA43)&gt;'East Postition Rpt'!Q$8)*(INDIRECT($AA43)&lt;'East Postition Rpt'!Q$9)*(INDIRECT($AB43)))</f>
        <v>#VALUE!</v>
      </c>
      <c r="R43" s="200" t="e">
        <f aca="true" t="array" ref="R43:R43">SUM((INDIRECT($AA43)&gt;'East Postition Rpt'!R$8)*(INDIRECT($AA43)&lt;'East Postition Rpt'!R$9)*(INDIRECT($AB43)))</f>
        <v>#VALUE!</v>
      </c>
      <c r="S43" s="200" t="e">
        <f aca="true" t="array" ref="S43:S43">SUM((INDIRECT($AA43)&gt;'East Postition Rpt'!S$8)*(INDIRECT($AA43)&lt;'East Postition Rpt'!S$9)*(INDIRECT($AB43)))</f>
        <v>#VALUE!</v>
      </c>
      <c r="T43" s="201" t="e">
        <f aca="true" t="array" ref="T43:T43">SUM((INDIRECT($AA43)&gt;'East Postition Rpt'!T$8)*(INDIRECT($AA43)&lt;'East Postition Rpt'!T$9)*(INDIRECT($AB43)))</f>
        <v>#VALUE!</v>
      </c>
      <c r="V43" s="202" t="e">
        <f aca="false">SUM(H43:T43)</f>
        <v>#VALUE!</v>
      </c>
      <c r="Y43" s="125" t="e">
        <f aca="false">GetWorkSheet($C42)</f>
        <v>#VALUE!</v>
      </c>
      <c r="Z43" s="124"/>
      <c r="AA43" s="125" t="e">
        <f aca="false">IF(NOT($Y43="#VALUE#"),CONCATENATE($Y43,"!",GetDateStart($Y43),":",GetDateEnd($Y43)),"")</f>
        <v>#VALUE!</v>
      </c>
      <c r="AB43" s="125" t="e">
        <f aca="false">IF(NOT($Y43="#VALUE#"),CONCATENATE($Y43,"!",GetDeliveryStart($Y43),":",GetDeliveryEnd($Y43)),"")</f>
        <v>#VALUE!</v>
      </c>
      <c r="AC43" s="125" t="e">
        <f aca="false">GetRecNdx($Z42,$C42)</f>
        <v>#VALUE!</v>
      </c>
    </row>
    <row r="44" customFormat="false" ht="12.75" hidden="false" customHeight="false" outlineLevel="0" collapsed="false">
      <c r="C44" s="115" t="n">
        <v>102</v>
      </c>
      <c r="E44" s="116" t="e">
        <f aca="false">GetPipeName($Z44,$AC44)</f>
        <v>#VALUE!</v>
      </c>
      <c r="F44" s="117" t="e">
        <f aca="false">CONCATENATE(GetRcptPoint($Z44,$AC44)," to ",GetDelPoint($Z44,$AC44))</f>
        <v>#VALUE!</v>
      </c>
      <c r="G44" s="118" t="e">
        <f aca="false">GetRcptBasis($Z44,$AC44)</f>
        <v>#VALUE!</v>
      </c>
      <c r="H44" s="209" t="e">
        <f aca="true" t="array" ref="H44:H44">SUM((INDIRECT($AA44)&gt;'East Postition Rpt'!H$8)*(INDIRECT($AA44)&lt;'East Postition Rpt'!H$9)*(INDIRECT($AB44)))</f>
        <v>#VALUE!</v>
      </c>
      <c r="I44" s="196" t="e">
        <f aca="true" t="array" ref="I44:I44">SUM((INDIRECT($AA44)&gt;'East Postition Rpt'!I$8)*(INDIRECT($AA44)&lt;'East Postition Rpt'!I$9)*(INDIRECT($AB44)))</f>
        <v>#VALUE!</v>
      </c>
      <c r="J44" s="196" t="e">
        <f aca="true" t="array" ref="J44:J44">SUM((INDIRECT($AA44)&gt;'East Postition Rpt'!J$8)*(INDIRECT($AA44)&lt;'East Postition Rpt'!J$9)*(INDIRECT($AB44)))</f>
        <v>#VALUE!</v>
      </c>
      <c r="K44" s="196" t="e">
        <f aca="true" t="array" ref="K44:K44">SUM((INDIRECT($AA44)&gt;'East Postition Rpt'!K$8)*(INDIRECT($AA44)&lt;'East Postition Rpt'!K$9)*(INDIRECT($AB44)))</f>
        <v>#VALUE!</v>
      </c>
      <c r="L44" s="196" t="e">
        <f aca="true" t="array" ref="L44:L44">SUM((INDIRECT($AA44)&gt;'East Postition Rpt'!L$8)*(INDIRECT($AA44)&lt;'East Postition Rpt'!L$9)*(INDIRECT($AB44)))</f>
        <v>#VALUE!</v>
      </c>
      <c r="M44" s="196" t="e">
        <f aca="true" t="array" ref="M44:M44">SUM((INDIRECT($AA44)&gt;'East Postition Rpt'!M$8)*(INDIRECT($AA44)&lt;'East Postition Rpt'!M$9)*(INDIRECT($AB44)))</f>
        <v>#VALUE!</v>
      </c>
      <c r="N44" s="196" t="e">
        <f aca="true" t="array" ref="N44:N44">SUM((INDIRECT($AA44)&gt;'East Postition Rpt'!N$8)*(INDIRECT($AA44)&lt;'East Postition Rpt'!N$9)*(INDIRECT($AB44)))</f>
        <v>#VALUE!</v>
      </c>
      <c r="O44" s="196" t="e">
        <f aca="true" t="array" ref="O44:O44">SUM((INDIRECT($AA44)&gt;'East Postition Rpt'!O$8)*(INDIRECT($AA44)&lt;'East Postition Rpt'!O$9)*(INDIRECT($AB44)))</f>
        <v>#VALUE!</v>
      </c>
      <c r="P44" s="196" t="e">
        <f aca="true" t="array" ref="P44:P44">SUM((INDIRECT($AA44)&gt;'East Postition Rpt'!P$8)*(INDIRECT($AA44)&lt;'East Postition Rpt'!P$9)*(INDIRECT($AB44)))</f>
        <v>#VALUE!</v>
      </c>
      <c r="Q44" s="196" t="e">
        <f aca="true" t="array" ref="Q44:Q44">SUM((INDIRECT($AA44)&gt;'East Postition Rpt'!Q$8)*(INDIRECT($AA44)&lt;'East Postition Rpt'!Q$9)*(INDIRECT($AB44)))</f>
        <v>#VALUE!</v>
      </c>
      <c r="R44" s="196" t="e">
        <f aca="true" t="array" ref="R44:R44">SUM((INDIRECT($AA44)&gt;'East Postition Rpt'!R$8)*(INDIRECT($AA44)&lt;'East Postition Rpt'!R$9)*(INDIRECT($AB44)))</f>
        <v>#VALUE!</v>
      </c>
      <c r="S44" s="196" t="e">
        <f aca="true" t="array" ref="S44:S44">SUM((INDIRECT($AA44)&gt;'East Postition Rpt'!S$8)*(INDIRECT($AA44)&lt;'East Postition Rpt'!S$9)*(INDIRECT($AB44)))</f>
        <v>#VALUE!</v>
      </c>
      <c r="T44" s="197" t="e">
        <f aca="true" t="array" ref="T44:T44">SUM((INDIRECT($AA44)&gt;'East Postition Rpt'!T$8)*(INDIRECT($AA44)&lt;'East Postition Rpt'!T$9)*(INDIRECT($AB44)))</f>
        <v>#VALUE!</v>
      </c>
      <c r="V44" s="198" t="e">
        <f aca="false">SUM(H44:T44)</f>
        <v>#VALUE!</v>
      </c>
      <c r="Y44" s="125" t="e">
        <f aca="false">GetWorkSheet($C44)</f>
        <v>#VALUE!</v>
      </c>
      <c r="Z44" s="124" t="e">
        <f aca="false">FetchDBPage(Y44)</f>
        <v>#VALUE!</v>
      </c>
      <c r="AA44" s="125" t="e">
        <f aca="false">IF(NOT($Y44="#VALUE#"),CONCATENATE($Y44,"!",GetDateStart($Y44),":",GetDateEnd($Y44)),"")</f>
        <v>#VALUE!</v>
      </c>
      <c r="AB44" s="125" t="e">
        <f aca="false">IF(NOT($Y44="#VALUE#"),CONCATENATE($Y44,"!",GetReceiptStart($Y44),":",GetReceiptEnd($Y44)),"")</f>
        <v>#VALUE!</v>
      </c>
      <c r="AC44" s="125" t="e">
        <f aca="false">GetRecNdx($Z44,$C44)</f>
        <v>#VALUE!</v>
      </c>
    </row>
    <row r="45" customFormat="false" ht="12.75" hidden="false" customHeight="false" outlineLevel="0" collapsed="false">
      <c r="C45" s="115"/>
      <c r="E45" s="116"/>
      <c r="F45" s="117"/>
      <c r="G45" s="126" t="e">
        <f aca="false">GetDelBasis($Z44,$AC45)</f>
        <v>#VALUE!</v>
      </c>
      <c r="H45" s="199" t="e">
        <f aca="true" t="array" ref="H45:H45">SUM((INDIRECT($AA45)&gt;'East Postition Rpt'!H$8)*(INDIRECT($AA45)&lt;'East Postition Rpt'!H$9)*(INDIRECT($AB45)))</f>
        <v>#VALUE!</v>
      </c>
      <c r="I45" s="200" t="e">
        <f aca="true" t="array" ref="I45:I45">SUM((INDIRECT($AA45)&gt;'East Postition Rpt'!I$8)*(INDIRECT($AA45)&lt;'East Postition Rpt'!I$9)*(INDIRECT($AB45)))</f>
        <v>#VALUE!</v>
      </c>
      <c r="J45" s="200" t="e">
        <f aca="true" t="array" ref="J45:J45">SUM((INDIRECT($AA45)&gt;'East Postition Rpt'!J$8)*(INDIRECT($AA45)&lt;'East Postition Rpt'!J$9)*(INDIRECT($AB45)))</f>
        <v>#VALUE!</v>
      </c>
      <c r="K45" s="200" t="e">
        <f aca="true" t="array" ref="K45:K45">SUM((INDIRECT($AA45)&gt;'East Postition Rpt'!K$8)*(INDIRECT($AA45)&lt;'East Postition Rpt'!K$9)*(INDIRECT($AB45)))</f>
        <v>#VALUE!</v>
      </c>
      <c r="L45" s="200" t="e">
        <f aca="true" t="array" ref="L45:L45">SUM((INDIRECT($AA45)&gt;'East Postition Rpt'!L$8)*(INDIRECT($AA45)&lt;'East Postition Rpt'!L$9)*(INDIRECT($AB45)))</f>
        <v>#VALUE!</v>
      </c>
      <c r="M45" s="200" t="e">
        <f aca="true" t="array" ref="M45:M45">SUM((INDIRECT($AA45)&gt;'East Postition Rpt'!M$8)*(INDIRECT($AA45)&lt;'East Postition Rpt'!M$9)*(INDIRECT($AB45)))</f>
        <v>#VALUE!</v>
      </c>
      <c r="N45" s="200" t="e">
        <f aca="true" t="array" ref="N45:N45">SUM((INDIRECT($AA45)&gt;'East Postition Rpt'!N$8)*(INDIRECT($AA45)&lt;'East Postition Rpt'!N$9)*(INDIRECT($AB45)))</f>
        <v>#VALUE!</v>
      </c>
      <c r="O45" s="200" t="e">
        <f aca="true" t="array" ref="O45:O45">SUM((INDIRECT($AA45)&gt;'East Postition Rpt'!O$8)*(INDIRECT($AA45)&lt;'East Postition Rpt'!O$9)*(INDIRECT($AB45)))</f>
        <v>#VALUE!</v>
      </c>
      <c r="P45" s="200" t="e">
        <f aca="true" t="array" ref="P45:P45">SUM((INDIRECT($AA45)&gt;'East Postition Rpt'!P$8)*(INDIRECT($AA45)&lt;'East Postition Rpt'!P$9)*(INDIRECT($AB45)))</f>
        <v>#VALUE!</v>
      </c>
      <c r="Q45" s="200" t="e">
        <f aca="true" t="array" ref="Q45:Q45">SUM((INDIRECT($AA45)&gt;'East Postition Rpt'!Q$8)*(INDIRECT($AA45)&lt;'East Postition Rpt'!Q$9)*(INDIRECT($AB45)))</f>
        <v>#VALUE!</v>
      </c>
      <c r="R45" s="200" t="e">
        <f aca="true" t="array" ref="R45:R45">SUM((INDIRECT($AA45)&gt;'East Postition Rpt'!R$8)*(INDIRECT($AA45)&lt;'East Postition Rpt'!R$9)*(INDIRECT($AB45)))</f>
        <v>#VALUE!</v>
      </c>
      <c r="S45" s="200" t="e">
        <f aca="true" t="array" ref="S45:S45">SUM((INDIRECT($AA45)&gt;'East Postition Rpt'!S$8)*(INDIRECT($AA45)&lt;'East Postition Rpt'!S$9)*(INDIRECT($AB45)))</f>
        <v>#VALUE!</v>
      </c>
      <c r="T45" s="201" t="e">
        <f aca="true" t="array" ref="T45:T45">SUM((INDIRECT($AA45)&gt;'East Postition Rpt'!T$8)*(INDIRECT($AA45)&lt;'East Postition Rpt'!T$9)*(INDIRECT($AB45)))</f>
        <v>#VALUE!</v>
      </c>
      <c r="V45" s="202" t="e">
        <f aca="false">SUM(H45:T45)</f>
        <v>#VALUE!</v>
      </c>
      <c r="Y45" s="125" t="e">
        <f aca="false">GetWorkSheet($C44)</f>
        <v>#VALUE!</v>
      </c>
      <c r="Z45" s="124"/>
      <c r="AA45" s="125" t="e">
        <f aca="false">IF(NOT($Y45="#VALUE#"),CONCATENATE($Y45,"!",GetDateStart($Y45),":",GetDateEnd($Y45)),"")</f>
        <v>#VALUE!</v>
      </c>
      <c r="AB45" s="125" t="e">
        <f aca="false">IF(NOT($Y45="#VALUE#"),CONCATENATE($Y45,"!",GetDeliveryStart($Y45),":",GetDeliveryEnd($Y45)),"")</f>
        <v>#VALUE!</v>
      </c>
      <c r="AC45" s="125" t="e">
        <f aca="false">GetRecNdx($Z44,$C44)</f>
        <v>#VALUE!</v>
      </c>
    </row>
    <row r="46" customFormat="false" ht="12.75" hidden="false" customHeight="false" outlineLevel="0" collapsed="false">
      <c r="C46" s="115" t="n">
        <v>103</v>
      </c>
      <c r="E46" s="116" t="e">
        <f aca="false">GetPipeName($Z46,$AC46)</f>
        <v>#VALUE!</v>
      </c>
      <c r="F46" s="117" t="e">
        <f aca="false">CONCATENATE(GetRcptPoint($Z46,$AC46)," to ",GetDelPoint($Z46,$AC46))</f>
        <v>#VALUE!</v>
      </c>
      <c r="G46" s="118" t="e">
        <f aca="false">GetRcptBasis($Z46,$AC46)</f>
        <v>#VALUE!</v>
      </c>
      <c r="H46" s="209" t="e">
        <f aca="true" t="array" ref="H46:H46">SUM((INDIRECT($AA46)&gt;'East Postition Rpt'!H$8)*(INDIRECT($AA46)&lt;'East Postition Rpt'!H$9)*(INDIRECT($AB46)))</f>
        <v>#VALUE!</v>
      </c>
      <c r="I46" s="196" t="e">
        <f aca="true" t="array" ref="I46:I46">SUM((INDIRECT($AA46)&gt;'East Postition Rpt'!I$8)*(INDIRECT($AA46)&lt;'East Postition Rpt'!I$9)*(INDIRECT($AB46)))</f>
        <v>#VALUE!</v>
      </c>
      <c r="J46" s="196" t="e">
        <f aca="true" t="array" ref="J46:J46">SUM((INDIRECT($AA46)&gt;'East Postition Rpt'!J$8)*(INDIRECT($AA46)&lt;'East Postition Rpt'!J$9)*(INDIRECT($AB46)))</f>
        <v>#VALUE!</v>
      </c>
      <c r="K46" s="196" t="e">
        <f aca="true" t="array" ref="K46:K46">SUM((INDIRECT($AA46)&gt;'East Postition Rpt'!K$8)*(INDIRECT($AA46)&lt;'East Postition Rpt'!K$9)*(INDIRECT($AB46)))</f>
        <v>#VALUE!</v>
      </c>
      <c r="L46" s="196" t="e">
        <f aca="true" t="array" ref="L46:L46">SUM((INDIRECT($AA46)&gt;'East Postition Rpt'!L$8)*(INDIRECT($AA46)&lt;'East Postition Rpt'!L$9)*(INDIRECT($AB46)))</f>
        <v>#VALUE!</v>
      </c>
      <c r="M46" s="196" t="e">
        <f aca="true" t="array" ref="M46:M46">SUM((INDIRECT($AA46)&gt;'East Postition Rpt'!M$8)*(INDIRECT($AA46)&lt;'East Postition Rpt'!M$9)*(INDIRECT($AB46)))</f>
        <v>#VALUE!</v>
      </c>
      <c r="N46" s="196" t="e">
        <f aca="true" t="array" ref="N46:N46">SUM((INDIRECT($AA46)&gt;'East Postition Rpt'!N$8)*(INDIRECT($AA46)&lt;'East Postition Rpt'!N$9)*(INDIRECT($AB46)))</f>
        <v>#VALUE!</v>
      </c>
      <c r="O46" s="196" t="e">
        <f aca="true" t="array" ref="O46:O46">SUM((INDIRECT($AA46)&gt;'East Postition Rpt'!O$8)*(INDIRECT($AA46)&lt;'East Postition Rpt'!O$9)*(INDIRECT($AB46)))</f>
        <v>#VALUE!</v>
      </c>
      <c r="P46" s="196" t="e">
        <f aca="true" t="array" ref="P46:P46">SUM((INDIRECT($AA46)&gt;'East Postition Rpt'!P$8)*(INDIRECT($AA46)&lt;'East Postition Rpt'!P$9)*(INDIRECT($AB46)))</f>
        <v>#VALUE!</v>
      </c>
      <c r="Q46" s="196" t="e">
        <f aca="true" t="array" ref="Q46:Q46">SUM((INDIRECT($AA46)&gt;'East Postition Rpt'!Q$8)*(INDIRECT($AA46)&lt;'East Postition Rpt'!Q$9)*(INDIRECT($AB46)))</f>
        <v>#VALUE!</v>
      </c>
      <c r="R46" s="196" t="e">
        <f aca="true" t="array" ref="R46:R46">SUM((INDIRECT($AA46)&gt;'East Postition Rpt'!R$8)*(INDIRECT($AA46)&lt;'East Postition Rpt'!R$9)*(INDIRECT($AB46)))</f>
        <v>#VALUE!</v>
      </c>
      <c r="S46" s="196" t="e">
        <f aca="true" t="array" ref="S46:S46">SUM((INDIRECT($AA46)&gt;'East Postition Rpt'!S$8)*(INDIRECT($AA46)&lt;'East Postition Rpt'!S$9)*(INDIRECT($AB46)))</f>
        <v>#VALUE!</v>
      </c>
      <c r="T46" s="197" t="e">
        <f aca="true" t="array" ref="T46:T46">SUM((INDIRECT($AA46)&gt;'East Postition Rpt'!T$8)*(INDIRECT($AA46)&lt;'East Postition Rpt'!T$9)*(INDIRECT($AB46)))</f>
        <v>#VALUE!</v>
      </c>
      <c r="V46" s="198" t="e">
        <f aca="false">SUM(H46:T46)</f>
        <v>#VALUE!</v>
      </c>
      <c r="Y46" s="125" t="e">
        <f aca="false">GetWorkSheet($C46)</f>
        <v>#VALUE!</v>
      </c>
      <c r="Z46" s="124" t="e">
        <f aca="false">FetchDBPage(Y46)</f>
        <v>#VALUE!</v>
      </c>
      <c r="AA46" s="125" t="e">
        <f aca="false">IF(NOT($Y46="#VALUE#"),CONCATENATE($Y46,"!",GetDateStart($Y46),":",GetDateEnd($Y46)),"")</f>
        <v>#VALUE!</v>
      </c>
      <c r="AB46" s="125" t="e">
        <f aca="false">IF(NOT($Y46="#VALUE#"),CONCATENATE($Y46,"!",GetReceiptStart($Y46),":",GetReceiptEnd($Y46)),"")</f>
        <v>#VALUE!</v>
      </c>
      <c r="AC46" s="125" t="e">
        <f aca="false">GetRecNdx($Z46,$C46)</f>
        <v>#VALUE!</v>
      </c>
    </row>
    <row r="47" customFormat="false" ht="12.75" hidden="false" customHeight="false" outlineLevel="0" collapsed="false">
      <c r="C47" s="115"/>
      <c r="E47" s="116"/>
      <c r="F47" s="117"/>
      <c r="G47" s="126" t="e">
        <f aca="false">GetDelBasis($Z46,$AC47)</f>
        <v>#VALUE!</v>
      </c>
      <c r="H47" s="199" t="e">
        <f aca="true" t="array" ref="H47:H47">SUM((INDIRECT($AA47)&gt;'East Postition Rpt'!H$8)*(INDIRECT($AA47)&lt;'East Postition Rpt'!H$9)*(INDIRECT($AB47)))</f>
        <v>#VALUE!</v>
      </c>
      <c r="I47" s="200" t="e">
        <f aca="true" t="array" ref="I47:I47">SUM((INDIRECT($AA47)&gt;'East Postition Rpt'!I$8)*(INDIRECT($AA47)&lt;'East Postition Rpt'!I$9)*(INDIRECT($AB47)))</f>
        <v>#VALUE!</v>
      </c>
      <c r="J47" s="200" t="e">
        <f aca="true" t="array" ref="J47:J47">SUM((INDIRECT($AA47)&gt;'East Postition Rpt'!J$8)*(INDIRECT($AA47)&lt;'East Postition Rpt'!J$9)*(INDIRECT($AB47)))</f>
        <v>#VALUE!</v>
      </c>
      <c r="K47" s="200" t="e">
        <f aca="true" t="array" ref="K47:K47">SUM((INDIRECT($AA47)&gt;'East Postition Rpt'!K$8)*(INDIRECT($AA47)&lt;'East Postition Rpt'!K$9)*(INDIRECT($AB47)))</f>
        <v>#VALUE!</v>
      </c>
      <c r="L47" s="200" t="e">
        <f aca="true" t="array" ref="L47:L47">SUM((INDIRECT($AA47)&gt;'East Postition Rpt'!L$8)*(INDIRECT($AA47)&lt;'East Postition Rpt'!L$9)*(INDIRECT($AB47)))</f>
        <v>#VALUE!</v>
      </c>
      <c r="M47" s="200" t="e">
        <f aca="true" t="array" ref="M47:M47">SUM((INDIRECT($AA47)&gt;'East Postition Rpt'!M$8)*(INDIRECT($AA47)&lt;'East Postition Rpt'!M$9)*(INDIRECT($AB47)))</f>
        <v>#VALUE!</v>
      </c>
      <c r="N47" s="200" t="e">
        <f aca="true" t="array" ref="N47:N47">SUM((INDIRECT($AA47)&gt;'East Postition Rpt'!N$8)*(INDIRECT($AA47)&lt;'East Postition Rpt'!N$9)*(INDIRECT($AB47)))</f>
        <v>#VALUE!</v>
      </c>
      <c r="O47" s="200" t="e">
        <f aca="true" t="array" ref="O47:O47">SUM((INDIRECT($AA47)&gt;'East Postition Rpt'!O$8)*(INDIRECT($AA47)&lt;'East Postition Rpt'!O$9)*(INDIRECT($AB47)))</f>
        <v>#VALUE!</v>
      </c>
      <c r="P47" s="200" t="e">
        <f aca="true" t="array" ref="P47:P47">SUM((INDIRECT($AA47)&gt;'East Postition Rpt'!P$8)*(INDIRECT($AA47)&lt;'East Postition Rpt'!P$9)*(INDIRECT($AB47)))</f>
        <v>#VALUE!</v>
      </c>
      <c r="Q47" s="200" t="e">
        <f aca="true" t="array" ref="Q47:Q47">SUM((INDIRECT($AA47)&gt;'East Postition Rpt'!Q$8)*(INDIRECT($AA47)&lt;'East Postition Rpt'!Q$9)*(INDIRECT($AB47)))</f>
        <v>#VALUE!</v>
      </c>
      <c r="R47" s="200" t="e">
        <f aca="true" t="array" ref="R47:R47">SUM((INDIRECT($AA47)&gt;'East Postition Rpt'!R$8)*(INDIRECT($AA47)&lt;'East Postition Rpt'!R$9)*(INDIRECT($AB47)))</f>
        <v>#VALUE!</v>
      </c>
      <c r="S47" s="200" t="e">
        <f aca="true" t="array" ref="S47:S47">SUM((INDIRECT($AA47)&gt;'East Postition Rpt'!S$8)*(INDIRECT($AA47)&lt;'East Postition Rpt'!S$9)*(INDIRECT($AB47)))</f>
        <v>#VALUE!</v>
      </c>
      <c r="T47" s="201" t="e">
        <f aca="true" t="array" ref="T47:T47">SUM((INDIRECT($AA47)&gt;'East Postition Rpt'!T$8)*(INDIRECT($AA47)&lt;'East Postition Rpt'!T$9)*(INDIRECT($AB47)))</f>
        <v>#VALUE!</v>
      </c>
      <c r="V47" s="202" t="e">
        <f aca="false">SUM(H47:T47)</f>
        <v>#VALUE!</v>
      </c>
      <c r="Y47" s="125" t="e">
        <f aca="false">GetWorkSheet($C46)</f>
        <v>#VALUE!</v>
      </c>
      <c r="Z47" s="124"/>
      <c r="AA47" s="125" t="e">
        <f aca="false">IF(NOT($Y47="#VALUE#"),CONCATENATE($Y47,"!",GetDateStart($Y47),":",GetDateEnd($Y47)),"")</f>
        <v>#VALUE!</v>
      </c>
      <c r="AB47" s="125" t="e">
        <f aca="false">IF(NOT($Y47="#VALUE#"),CONCATENATE($Y47,"!",GetDeliveryStart($Y47),":",GetDeliveryEnd($Y47)),"")</f>
        <v>#VALUE!</v>
      </c>
      <c r="AC47" s="125" t="e">
        <f aca="false">GetRecNdx($Z46,$C46)</f>
        <v>#VALUE!</v>
      </c>
    </row>
    <row r="48" customFormat="false" ht="12.75" hidden="false" customHeight="false" outlineLevel="0" collapsed="false">
      <c r="C48" s="115" t="n">
        <v>104</v>
      </c>
      <c r="E48" s="116" t="e">
        <f aca="false">GetPipeName($Z48,$AC48)</f>
        <v>#VALUE!</v>
      </c>
      <c r="F48" s="117" t="e">
        <f aca="false">CONCATENATE(GetRcptPoint($Z48,$AC48)," to ",GetDelPoint($Z48,$AC48))</f>
        <v>#VALUE!</v>
      </c>
      <c r="G48" s="118" t="e">
        <f aca="false">GetRcptBasis($Z48,$AC48)</f>
        <v>#VALUE!</v>
      </c>
      <c r="H48" s="209" t="e">
        <f aca="true" t="array" ref="H48:H48">SUM((INDIRECT($AA48)&gt;'East Postition Rpt'!H$8)*(INDIRECT($AA48)&lt;'East Postition Rpt'!H$9)*(INDIRECT($AB48)))</f>
        <v>#VALUE!</v>
      </c>
      <c r="I48" s="196" t="e">
        <f aca="true" t="array" ref="I48:I48">SUM((INDIRECT($AA48)&gt;'East Postition Rpt'!I$8)*(INDIRECT($AA48)&lt;'East Postition Rpt'!I$9)*(INDIRECT($AB48)))</f>
        <v>#VALUE!</v>
      </c>
      <c r="J48" s="196" t="e">
        <f aca="true" t="array" ref="J48:J48">SUM((INDIRECT($AA48)&gt;'East Postition Rpt'!J$8)*(INDIRECT($AA48)&lt;'East Postition Rpt'!J$9)*(INDIRECT($AB48)))</f>
        <v>#VALUE!</v>
      </c>
      <c r="K48" s="196" t="e">
        <f aca="true" t="array" ref="K48:K48">SUM((INDIRECT($AA48)&gt;'East Postition Rpt'!K$8)*(INDIRECT($AA48)&lt;'East Postition Rpt'!K$9)*(INDIRECT($AB48)))</f>
        <v>#VALUE!</v>
      </c>
      <c r="L48" s="196" t="e">
        <f aca="true" t="array" ref="L48:L48">SUM((INDIRECT($AA48)&gt;'East Postition Rpt'!L$8)*(INDIRECT($AA48)&lt;'East Postition Rpt'!L$9)*(INDIRECT($AB48)))</f>
        <v>#VALUE!</v>
      </c>
      <c r="M48" s="196" t="e">
        <f aca="true" t="array" ref="M48:M48">SUM((INDIRECT($AA48)&gt;'East Postition Rpt'!M$8)*(INDIRECT($AA48)&lt;'East Postition Rpt'!M$9)*(INDIRECT($AB48)))</f>
        <v>#VALUE!</v>
      </c>
      <c r="N48" s="196" t="e">
        <f aca="true" t="array" ref="N48:N48">SUM((INDIRECT($AA48)&gt;'East Postition Rpt'!N$8)*(INDIRECT($AA48)&lt;'East Postition Rpt'!N$9)*(INDIRECT($AB48)))</f>
        <v>#VALUE!</v>
      </c>
      <c r="O48" s="196" t="e">
        <f aca="true" t="array" ref="O48:O48">SUM((INDIRECT($AA48)&gt;'East Postition Rpt'!O$8)*(INDIRECT($AA48)&lt;'East Postition Rpt'!O$9)*(INDIRECT($AB48)))</f>
        <v>#VALUE!</v>
      </c>
      <c r="P48" s="196" t="e">
        <f aca="true" t="array" ref="P48:P48">SUM((INDIRECT($AA48)&gt;'East Postition Rpt'!P$8)*(INDIRECT($AA48)&lt;'East Postition Rpt'!P$9)*(INDIRECT($AB48)))</f>
        <v>#VALUE!</v>
      </c>
      <c r="Q48" s="196" t="e">
        <f aca="true" t="array" ref="Q48:Q48">SUM((INDIRECT($AA48)&gt;'East Postition Rpt'!Q$8)*(INDIRECT($AA48)&lt;'East Postition Rpt'!Q$9)*(INDIRECT($AB48)))</f>
        <v>#VALUE!</v>
      </c>
      <c r="R48" s="196" t="e">
        <f aca="true" t="array" ref="R48:R48">SUM((INDIRECT($AA48)&gt;'East Postition Rpt'!R$8)*(INDIRECT($AA48)&lt;'East Postition Rpt'!R$9)*(INDIRECT($AB48)))</f>
        <v>#VALUE!</v>
      </c>
      <c r="S48" s="196" t="e">
        <f aca="true" t="array" ref="S48:S48">SUM((INDIRECT($AA48)&gt;'East Postition Rpt'!S$8)*(INDIRECT($AA48)&lt;'East Postition Rpt'!S$9)*(INDIRECT($AB48)))</f>
        <v>#VALUE!</v>
      </c>
      <c r="T48" s="197" t="e">
        <f aca="true" t="array" ref="T48:T48">SUM((INDIRECT($AA48)&gt;'East Postition Rpt'!T$8)*(INDIRECT($AA48)&lt;'East Postition Rpt'!T$9)*(INDIRECT($AB48)))</f>
        <v>#VALUE!</v>
      </c>
      <c r="V48" s="198" t="e">
        <f aca="false">SUM(H48:T48)</f>
        <v>#VALUE!</v>
      </c>
      <c r="Y48" s="125" t="e">
        <f aca="false">GetWorkSheet($C48)</f>
        <v>#VALUE!</v>
      </c>
      <c r="Z48" s="124" t="e">
        <f aca="false">FetchDBPage(Y48)</f>
        <v>#VALUE!</v>
      </c>
      <c r="AA48" s="125" t="e">
        <f aca="false">IF(NOT($Y48="#VALUE#"),CONCATENATE($Y48,"!",GetDateStart($Y48),":",GetDateEnd($Y48)),"")</f>
        <v>#VALUE!</v>
      </c>
      <c r="AB48" s="125" t="e">
        <f aca="false">IF(NOT($Y48="#VALUE#"),CONCATENATE($Y48,"!",GetReceiptStart($Y48),":",GetReceiptEnd($Y48)),"")</f>
        <v>#VALUE!</v>
      </c>
      <c r="AC48" s="125" t="e">
        <f aca="false">GetRecNdx($Z48,$C48)</f>
        <v>#VALUE!</v>
      </c>
    </row>
    <row r="49" customFormat="false" ht="12.75" hidden="false" customHeight="false" outlineLevel="0" collapsed="false">
      <c r="C49" s="115"/>
      <c r="E49" s="116"/>
      <c r="F49" s="117"/>
      <c r="G49" s="126" t="e">
        <f aca="false">GetDelBasis($Z48,$AC49)</f>
        <v>#VALUE!</v>
      </c>
      <c r="H49" s="199" t="e">
        <f aca="true" t="array" ref="H49:H49">SUM((INDIRECT($AA49)&gt;'East Postition Rpt'!H$8)*(INDIRECT($AA49)&lt;'East Postition Rpt'!H$9)*(INDIRECT($AB49)))</f>
        <v>#VALUE!</v>
      </c>
      <c r="I49" s="200" t="e">
        <f aca="true" t="array" ref="I49:I49">SUM((INDIRECT($AA49)&gt;'East Postition Rpt'!I$8)*(INDIRECT($AA49)&lt;'East Postition Rpt'!I$9)*(INDIRECT($AB49)))</f>
        <v>#VALUE!</v>
      </c>
      <c r="J49" s="200" t="e">
        <f aca="true" t="array" ref="J49:J49">SUM((INDIRECT($AA49)&gt;'East Postition Rpt'!J$8)*(INDIRECT($AA49)&lt;'East Postition Rpt'!J$9)*(INDIRECT($AB49)))</f>
        <v>#VALUE!</v>
      </c>
      <c r="K49" s="200" t="e">
        <f aca="true" t="array" ref="K49:K49">SUM((INDIRECT($AA49)&gt;'East Postition Rpt'!K$8)*(INDIRECT($AA49)&lt;'East Postition Rpt'!K$9)*(INDIRECT($AB49)))</f>
        <v>#VALUE!</v>
      </c>
      <c r="L49" s="200" t="e">
        <f aca="true" t="array" ref="L49:L49">SUM((INDIRECT($AA49)&gt;'East Postition Rpt'!L$8)*(INDIRECT($AA49)&lt;'East Postition Rpt'!L$9)*(INDIRECT($AB49)))</f>
        <v>#VALUE!</v>
      </c>
      <c r="M49" s="200" t="e">
        <f aca="true" t="array" ref="M49:M49">SUM((INDIRECT($AA49)&gt;'East Postition Rpt'!M$8)*(INDIRECT($AA49)&lt;'East Postition Rpt'!M$9)*(INDIRECT($AB49)))</f>
        <v>#VALUE!</v>
      </c>
      <c r="N49" s="200" t="e">
        <f aca="true" t="array" ref="N49:N49">SUM((INDIRECT($AA49)&gt;'East Postition Rpt'!N$8)*(INDIRECT($AA49)&lt;'East Postition Rpt'!N$9)*(INDIRECT($AB49)))</f>
        <v>#VALUE!</v>
      </c>
      <c r="O49" s="200" t="e">
        <f aca="true" t="array" ref="O49:O49">SUM((INDIRECT($AA49)&gt;'East Postition Rpt'!O$8)*(INDIRECT($AA49)&lt;'East Postition Rpt'!O$9)*(INDIRECT($AB49)))</f>
        <v>#VALUE!</v>
      </c>
      <c r="P49" s="200" t="e">
        <f aca="true" t="array" ref="P49:P49">SUM((INDIRECT($AA49)&gt;'East Postition Rpt'!P$8)*(INDIRECT($AA49)&lt;'East Postition Rpt'!P$9)*(INDIRECT($AB49)))</f>
        <v>#VALUE!</v>
      </c>
      <c r="Q49" s="200" t="e">
        <f aca="true" t="array" ref="Q49:Q49">SUM((INDIRECT($AA49)&gt;'East Postition Rpt'!Q$8)*(INDIRECT($AA49)&lt;'East Postition Rpt'!Q$9)*(INDIRECT($AB49)))</f>
        <v>#VALUE!</v>
      </c>
      <c r="R49" s="200" t="e">
        <f aca="true" t="array" ref="R49:R49">SUM((INDIRECT($AA49)&gt;'East Postition Rpt'!R$8)*(INDIRECT($AA49)&lt;'East Postition Rpt'!R$9)*(INDIRECT($AB49)))</f>
        <v>#VALUE!</v>
      </c>
      <c r="S49" s="200" t="e">
        <f aca="true" t="array" ref="S49:S49">SUM((INDIRECT($AA49)&gt;'East Postition Rpt'!S$8)*(INDIRECT($AA49)&lt;'East Postition Rpt'!S$9)*(INDIRECT($AB49)))</f>
        <v>#VALUE!</v>
      </c>
      <c r="T49" s="201" t="e">
        <f aca="true" t="array" ref="T49:T49">SUM((INDIRECT($AA49)&gt;'East Postition Rpt'!T$8)*(INDIRECT($AA49)&lt;'East Postition Rpt'!T$9)*(INDIRECT($AB49)))</f>
        <v>#VALUE!</v>
      </c>
      <c r="V49" s="202" t="e">
        <f aca="false">SUM(H49:T49)</f>
        <v>#VALUE!</v>
      </c>
      <c r="Y49" s="125" t="e">
        <f aca="false">GetWorkSheet($C48)</f>
        <v>#VALUE!</v>
      </c>
      <c r="Z49" s="124"/>
      <c r="AA49" s="125" t="e">
        <f aca="false">IF(NOT($Y49="#VALUE#"),CONCATENATE($Y49,"!",GetDateStart($Y49),":",GetDateEnd($Y49)),"")</f>
        <v>#VALUE!</v>
      </c>
      <c r="AB49" s="125" t="e">
        <f aca="false">IF(NOT($Y49="#VALUE#"),CONCATENATE($Y49,"!",GetDeliveryStart($Y49),":",GetDeliveryEnd($Y49)),"")</f>
        <v>#VALUE!</v>
      </c>
      <c r="AC49" s="125" t="e">
        <f aca="false">GetRecNdx($Z48,$C48)</f>
        <v>#VALUE!</v>
      </c>
    </row>
    <row r="50" customFormat="false" ht="12.75" hidden="false" customHeight="false" outlineLevel="0" collapsed="false">
      <c r="C50" s="115" t="n">
        <v>105</v>
      </c>
      <c r="E50" s="116" t="e">
        <f aca="false">GetPipeName($Z50,$AC50)</f>
        <v>#VALUE!</v>
      </c>
      <c r="F50" s="117" t="e">
        <f aca="false">CONCATENATE(GetRcptPoint($Z50,$AC50)," to ",GetDelPoint($Z50,$AC50))</f>
        <v>#VALUE!</v>
      </c>
      <c r="G50" s="118" t="e">
        <f aca="false">GetRcptBasis($Z50,$AC50)</f>
        <v>#VALUE!</v>
      </c>
      <c r="H50" s="209" t="e">
        <f aca="true" t="array" ref="H50:H50">SUM((INDIRECT($AA50)&gt;'East Postition Rpt'!H$8)*(INDIRECT($AA50)&lt;'East Postition Rpt'!H$9)*(INDIRECT($AB50)))</f>
        <v>#VALUE!</v>
      </c>
      <c r="I50" s="196" t="e">
        <f aca="true" t="array" ref="I50:I50">SUM((INDIRECT($AA50)&gt;'East Postition Rpt'!I$8)*(INDIRECT($AA50)&lt;'East Postition Rpt'!I$9)*(INDIRECT($AB50)))</f>
        <v>#VALUE!</v>
      </c>
      <c r="J50" s="196" t="e">
        <f aca="true" t="array" ref="J50:J50">SUM((INDIRECT($AA50)&gt;'East Postition Rpt'!J$8)*(INDIRECT($AA50)&lt;'East Postition Rpt'!J$9)*(INDIRECT($AB50)))</f>
        <v>#VALUE!</v>
      </c>
      <c r="K50" s="196" t="e">
        <f aca="true" t="array" ref="K50:K50">SUM((INDIRECT($AA50)&gt;'East Postition Rpt'!K$8)*(INDIRECT($AA50)&lt;'East Postition Rpt'!K$9)*(INDIRECT($AB50)))</f>
        <v>#VALUE!</v>
      </c>
      <c r="L50" s="196" t="e">
        <f aca="true" t="array" ref="L50:L50">SUM((INDIRECT($AA50)&gt;'East Postition Rpt'!L$8)*(INDIRECT($AA50)&lt;'East Postition Rpt'!L$9)*(INDIRECT($AB50)))</f>
        <v>#VALUE!</v>
      </c>
      <c r="M50" s="196" t="e">
        <f aca="true" t="array" ref="M50:M50">SUM((INDIRECT($AA50)&gt;'East Postition Rpt'!M$8)*(INDIRECT($AA50)&lt;'East Postition Rpt'!M$9)*(INDIRECT($AB50)))</f>
        <v>#VALUE!</v>
      </c>
      <c r="N50" s="196" t="e">
        <f aca="true" t="array" ref="N50:N50">SUM((INDIRECT($AA50)&gt;'East Postition Rpt'!N$8)*(INDIRECT($AA50)&lt;'East Postition Rpt'!N$9)*(INDIRECT($AB50)))</f>
        <v>#VALUE!</v>
      </c>
      <c r="O50" s="196" t="e">
        <f aca="true" t="array" ref="O50:O50">SUM((INDIRECT($AA50)&gt;'East Postition Rpt'!O$8)*(INDIRECT($AA50)&lt;'East Postition Rpt'!O$9)*(INDIRECT($AB50)))</f>
        <v>#VALUE!</v>
      </c>
      <c r="P50" s="196" t="e">
        <f aca="true" t="array" ref="P50:P50">SUM((INDIRECT($AA50)&gt;'East Postition Rpt'!P$8)*(INDIRECT($AA50)&lt;'East Postition Rpt'!P$9)*(INDIRECT($AB50)))</f>
        <v>#VALUE!</v>
      </c>
      <c r="Q50" s="196" t="e">
        <f aca="true" t="array" ref="Q50:Q50">SUM((INDIRECT($AA50)&gt;'East Postition Rpt'!Q$8)*(INDIRECT($AA50)&lt;'East Postition Rpt'!Q$9)*(INDIRECT($AB50)))</f>
        <v>#VALUE!</v>
      </c>
      <c r="R50" s="196" t="e">
        <f aca="true" t="array" ref="R50:R50">SUM((INDIRECT($AA50)&gt;'East Postition Rpt'!R$8)*(INDIRECT($AA50)&lt;'East Postition Rpt'!R$9)*(INDIRECT($AB50)))</f>
        <v>#VALUE!</v>
      </c>
      <c r="S50" s="196" t="e">
        <f aca="true" t="array" ref="S50:S50">SUM((INDIRECT($AA50)&gt;'East Postition Rpt'!S$8)*(INDIRECT($AA50)&lt;'East Postition Rpt'!S$9)*(INDIRECT($AB50)))</f>
        <v>#VALUE!</v>
      </c>
      <c r="T50" s="197" t="e">
        <f aca="true" t="array" ref="T50:T50">SUM((INDIRECT($AA50)&gt;'East Postition Rpt'!T$8)*(INDIRECT($AA50)&lt;'East Postition Rpt'!T$9)*(INDIRECT($AB50)))</f>
        <v>#VALUE!</v>
      </c>
      <c r="V50" s="198" t="e">
        <f aca="false">SUM(H50:T50)</f>
        <v>#VALUE!</v>
      </c>
      <c r="Y50" s="125" t="e">
        <f aca="false">GetWorkSheet($C50)</f>
        <v>#VALUE!</v>
      </c>
      <c r="Z50" s="124" t="e">
        <f aca="false">FetchDBPage(Y50)</f>
        <v>#VALUE!</v>
      </c>
      <c r="AA50" s="125" t="e">
        <f aca="false">IF(NOT($Y50="#VALUE#"),CONCATENATE($Y50,"!",GetDateStart($Y50),":",GetDateEnd($Y50)),"")</f>
        <v>#VALUE!</v>
      </c>
      <c r="AB50" s="125" t="e">
        <f aca="false">IF(NOT($Y50="#VALUE#"),CONCATENATE($Y50,"!",GetReceiptStart($Y50),":",GetReceiptEnd($Y50)),"")</f>
        <v>#VALUE!</v>
      </c>
      <c r="AC50" s="125" t="e">
        <f aca="false">GetRecNdx($Z50,$C50)</f>
        <v>#VALUE!</v>
      </c>
    </row>
    <row r="51" customFormat="false" ht="12.75" hidden="false" customHeight="false" outlineLevel="0" collapsed="false">
      <c r="C51" s="115"/>
      <c r="E51" s="116"/>
      <c r="F51" s="117"/>
      <c r="G51" s="126" t="e">
        <f aca="false">GetDelBasis($Z50,$AC51)</f>
        <v>#VALUE!</v>
      </c>
      <c r="H51" s="199" t="e">
        <f aca="true" t="array" ref="H51:H51">SUM((INDIRECT($AA51)&gt;'East Postition Rpt'!H$8)*(INDIRECT($AA51)&lt;'East Postition Rpt'!H$9)*(INDIRECT($AB51)))</f>
        <v>#VALUE!</v>
      </c>
      <c r="I51" s="200" t="e">
        <f aca="true" t="array" ref="I51:I51">SUM((INDIRECT($AA51)&gt;'East Postition Rpt'!I$8)*(INDIRECT($AA51)&lt;'East Postition Rpt'!I$9)*(INDIRECT($AB51)))</f>
        <v>#VALUE!</v>
      </c>
      <c r="J51" s="200" t="e">
        <f aca="true" t="array" ref="J51:J51">SUM((INDIRECT($AA51)&gt;'East Postition Rpt'!J$8)*(INDIRECT($AA51)&lt;'East Postition Rpt'!J$9)*(INDIRECT($AB51)))</f>
        <v>#VALUE!</v>
      </c>
      <c r="K51" s="200" t="e">
        <f aca="true" t="array" ref="K51:K51">SUM((INDIRECT($AA51)&gt;'East Postition Rpt'!K$8)*(INDIRECT($AA51)&lt;'East Postition Rpt'!K$9)*(INDIRECT($AB51)))</f>
        <v>#VALUE!</v>
      </c>
      <c r="L51" s="200" t="e">
        <f aca="true" t="array" ref="L51:L51">SUM((INDIRECT($AA51)&gt;'East Postition Rpt'!L$8)*(INDIRECT($AA51)&lt;'East Postition Rpt'!L$9)*(INDIRECT($AB51)))</f>
        <v>#VALUE!</v>
      </c>
      <c r="M51" s="200" t="e">
        <f aca="true" t="array" ref="M51:M51">SUM((INDIRECT($AA51)&gt;'East Postition Rpt'!M$8)*(INDIRECT($AA51)&lt;'East Postition Rpt'!M$9)*(INDIRECT($AB51)))</f>
        <v>#VALUE!</v>
      </c>
      <c r="N51" s="200" t="e">
        <f aca="true" t="array" ref="N51:N51">SUM((INDIRECT($AA51)&gt;'East Postition Rpt'!N$8)*(INDIRECT($AA51)&lt;'East Postition Rpt'!N$9)*(INDIRECT($AB51)))</f>
        <v>#VALUE!</v>
      </c>
      <c r="O51" s="200" t="e">
        <f aca="true" t="array" ref="O51:O51">SUM((INDIRECT($AA51)&gt;'East Postition Rpt'!O$8)*(INDIRECT($AA51)&lt;'East Postition Rpt'!O$9)*(INDIRECT($AB51)))</f>
        <v>#VALUE!</v>
      </c>
      <c r="P51" s="200" t="e">
        <f aca="true" t="array" ref="P51:P51">SUM((INDIRECT($AA51)&gt;'East Postition Rpt'!P$8)*(INDIRECT($AA51)&lt;'East Postition Rpt'!P$9)*(INDIRECT($AB51)))</f>
        <v>#VALUE!</v>
      </c>
      <c r="Q51" s="200" t="e">
        <f aca="true" t="array" ref="Q51:Q51">SUM((INDIRECT($AA51)&gt;'East Postition Rpt'!Q$8)*(INDIRECT($AA51)&lt;'East Postition Rpt'!Q$9)*(INDIRECT($AB51)))</f>
        <v>#VALUE!</v>
      </c>
      <c r="R51" s="200" t="e">
        <f aca="true" t="array" ref="R51:R51">SUM((INDIRECT($AA51)&gt;'East Postition Rpt'!R$8)*(INDIRECT($AA51)&lt;'East Postition Rpt'!R$9)*(INDIRECT($AB51)))</f>
        <v>#VALUE!</v>
      </c>
      <c r="S51" s="200" t="e">
        <f aca="true" t="array" ref="S51:S51">SUM((INDIRECT($AA51)&gt;'East Postition Rpt'!S$8)*(INDIRECT($AA51)&lt;'East Postition Rpt'!S$9)*(INDIRECT($AB51)))</f>
        <v>#VALUE!</v>
      </c>
      <c r="T51" s="201" t="e">
        <f aca="true" t="array" ref="T51:T51">SUM((INDIRECT($AA51)&gt;'East Postition Rpt'!T$8)*(INDIRECT($AA51)&lt;'East Postition Rpt'!T$9)*(INDIRECT($AB51)))</f>
        <v>#VALUE!</v>
      </c>
      <c r="V51" s="202" t="e">
        <f aca="false">SUM(H51:T51)</f>
        <v>#VALUE!</v>
      </c>
      <c r="Y51" s="125" t="e">
        <f aca="false">GetWorkSheet($C50)</f>
        <v>#VALUE!</v>
      </c>
      <c r="Z51" s="124"/>
      <c r="AA51" s="125" t="e">
        <f aca="false">IF(NOT($Y51="#VALUE#"),CONCATENATE($Y51,"!",GetDateStart($Y51),":",GetDateEnd($Y51)),"")</f>
        <v>#VALUE!</v>
      </c>
      <c r="AB51" s="125" t="e">
        <f aca="false">IF(NOT($Y51="#VALUE#"),CONCATENATE($Y51,"!",GetDeliveryStart($Y51),":",GetDeliveryEnd($Y51)),"")</f>
        <v>#VALUE!</v>
      </c>
      <c r="AC51" s="125" t="e">
        <f aca="false">GetRecNdx($Z50,$C50)</f>
        <v>#VALUE!</v>
      </c>
    </row>
    <row r="52" customFormat="false" ht="12.75" hidden="false" customHeight="false" outlineLevel="0" collapsed="false">
      <c r="C52" s="115" t="n">
        <v>106</v>
      </c>
      <c r="E52" s="116" t="e">
        <f aca="false">GetPipeName($Z52,$AC52)</f>
        <v>#VALUE!</v>
      </c>
      <c r="F52" s="117" t="e">
        <f aca="false">CONCATENATE(GetRcptPoint($Z52,$AC52)," to ",GetDelPoint($Z52,$AC52))</f>
        <v>#VALUE!</v>
      </c>
      <c r="G52" s="118" t="e">
        <f aca="false">GetRcptBasis($Z52,$AC52)</f>
        <v>#VALUE!</v>
      </c>
      <c r="H52" s="209" t="e">
        <f aca="true" t="array" ref="H52:H52">SUM((INDIRECT($AA52)&gt;'East Postition Rpt'!H$8)*(INDIRECT($AA52)&lt;'East Postition Rpt'!H$9)*(INDIRECT($AB52)))</f>
        <v>#VALUE!</v>
      </c>
      <c r="I52" s="196" t="e">
        <f aca="true" t="array" ref="I52:I52">SUM((INDIRECT($AA52)&gt;'East Postition Rpt'!I$8)*(INDIRECT($AA52)&lt;'East Postition Rpt'!I$9)*(INDIRECT($AB52)))</f>
        <v>#VALUE!</v>
      </c>
      <c r="J52" s="196" t="e">
        <f aca="true" t="array" ref="J52:J52">SUM((INDIRECT($AA52)&gt;'East Postition Rpt'!J$8)*(INDIRECT($AA52)&lt;'East Postition Rpt'!J$9)*(INDIRECT($AB52)))</f>
        <v>#VALUE!</v>
      </c>
      <c r="K52" s="196" t="e">
        <f aca="true" t="array" ref="K52:K52">SUM((INDIRECT($AA52)&gt;'East Postition Rpt'!K$8)*(INDIRECT($AA52)&lt;'East Postition Rpt'!K$9)*(INDIRECT($AB52)))</f>
        <v>#VALUE!</v>
      </c>
      <c r="L52" s="196" t="e">
        <f aca="true" t="array" ref="L52:L52">SUM((INDIRECT($AA52)&gt;'East Postition Rpt'!L$8)*(INDIRECT($AA52)&lt;'East Postition Rpt'!L$9)*(INDIRECT($AB52)))</f>
        <v>#VALUE!</v>
      </c>
      <c r="M52" s="196" t="e">
        <f aca="true" t="array" ref="M52:M52">SUM((INDIRECT($AA52)&gt;'East Postition Rpt'!M$8)*(INDIRECT($AA52)&lt;'East Postition Rpt'!M$9)*(INDIRECT($AB52)))</f>
        <v>#VALUE!</v>
      </c>
      <c r="N52" s="196" t="e">
        <f aca="true" t="array" ref="N52:N52">SUM((INDIRECT($AA52)&gt;'East Postition Rpt'!N$8)*(INDIRECT($AA52)&lt;'East Postition Rpt'!N$9)*(INDIRECT($AB52)))</f>
        <v>#VALUE!</v>
      </c>
      <c r="O52" s="196" t="e">
        <f aca="true" t="array" ref="O52:O52">SUM((INDIRECT($AA52)&gt;'East Postition Rpt'!O$8)*(INDIRECT($AA52)&lt;'East Postition Rpt'!O$9)*(INDIRECT($AB52)))</f>
        <v>#VALUE!</v>
      </c>
      <c r="P52" s="196" t="e">
        <f aca="true" t="array" ref="P52:P52">SUM((INDIRECT($AA52)&gt;'East Postition Rpt'!P$8)*(INDIRECT($AA52)&lt;'East Postition Rpt'!P$9)*(INDIRECT($AB52)))</f>
        <v>#VALUE!</v>
      </c>
      <c r="Q52" s="196" t="e">
        <f aca="true" t="array" ref="Q52:Q52">SUM((INDIRECT($AA52)&gt;'East Postition Rpt'!Q$8)*(INDIRECT($AA52)&lt;'East Postition Rpt'!Q$9)*(INDIRECT($AB52)))</f>
        <v>#VALUE!</v>
      </c>
      <c r="R52" s="196" t="e">
        <f aca="true" t="array" ref="R52:R52">SUM((INDIRECT($AA52)&gt;'East Postition Rpt'!R$8)*(INDIRECT($AA52)&lt;'East Postition Rpt'!R$9)*(INDIRECT($AB52)))</f>
        <v>#VALUE!</v>
      </c>
      <c r="S52" s="196" t="e">
        <f aca="true" t="array" ref="S52:S52">SUM((INDIRECT($AA52)&gt;'East Postition Rpt'!S$8)*(INDIRECT($AA52)&lt;'East Postition Rpt'!S$9)*(INDIRECT($AB52)))</f>
        <v>#VALUE!</v>
      </c>
      <c r="T52" s="197" t="e">
        <f aca="true" t="array" ref="T52:T52">SUM((INDIRECT($AA52)&gt;'East Postition Rpt'!T$8)*(INDIRECT($AA52)&lt;'East Postition Rpt'!T$9)*(INDIRECT($AB52)))</f>
        <v>#VALUE!</v>
      </c>
      <c r="V52" s="198" t="e">
        <f aca="false">SUM(H52:T52)</f>
        <v>#VALUE!</v>
      </c>
      <c r="Y52" s="125" t="e">
        <f aca="false">GetWorkSheet($C52)</f>
        <v>#VALUE!</v>
      </c>
      <c r="Z52" s="124" t="e">
        <f aca="false">FetchDBPage(Y52)</f>
        <v>#VALUE!</v>
      </c>
      <c r="AA52" s="125" t="e">
        <f aca="false">IF(NOT($Y52="#VALUE#"),CONCATENATE($Y52,"!",GetDateStart($Y52),":",GetDateEnd($Y52)),"")</f>
        <v>#VALUE!</v>
      </c>
      <c r="AB52" s="125" t="e">
        <f aca="false">IF(NOT($Y52="#VALUE#"),CONCATENATE($Y52,"!",GetReceiptStart($Y52),":",GetReceiptEnd($Y52)),"")</f>
        <v>#VALUE!</v>
      </c>
      <c r="AC52" s="125" t="e">
        <f aca="false">GetRecNdx($Z52,$C52)</f>
        <v>#VALUE!</v>
      </c>
    </row>
    <row r="53" customFormat="false" ht="12.75" hidden="false" customHeight="false" outlineLevel="0" collapsed="false">
      <c r="C53" s="115"/>
      <c r="E53" s="116"/>
      <c r="F53" s="117"/>
      <c r="G53" s="126" t="e">
        <f aca="false">GetDelBasis($Z52,$AC53)</f>
        <v>#VALUE!</v>
      </c>
      <c r="H53" s="199" t="e">
        <f aca="true" t="array" ref="H53:H53">SUM((INDIRECT($AA53)&gt;'East Postition Rpt'!H$8)*(INDIRECT($AA53)&lt;'East Postition Rpt'!H$9)*(INDIRECT($AB53)))</f>
        <v>#VALUE!</v>
      </c>
      <c r="I53" s="200" t="e">
        <f aca="true" t="array" ref="I53:I53">SUM((INDIRECT($AA53)&gt;'East Postition Rpt'!I$8)*(INDIRECT($AA53)&lt;'East Postition Rpt'!I$9)*(INDIRECT($AB53)))</f>
        <v>#VALUE!</v>
      </c>
      <c r="J53" s="200" t="e">
        <f aca="true" t="array" ref="J53:J53">SUM((INDIRECT($AA53)&gt;'East Postition Rpt'!J$8)*(INDIRECT($AA53)&lt;'East Postition Rpt'!J$9)*(INDIRECT($AB53)))</f>
        <v>#VALUE!</v>
      </c>
      <c r="K53" s="200" t="e">
        <f aca="true" t="array" ref="K53:K53">SUM((INDIRECT($AA53)&gt;'East Postition Rpt'!K$8)*(INDIRECT($AA53)&lt;'East Postition Rpt'!K$9)*(INDIRECT($AB53)))</f>
        <v>#VALUE!</v>
      </c>
      <c r="L53" s="200" t="e">
        <f aca="true" t="array" ref="L53:L53">SUM((INDIRECT($AA53)&gt;'East Postition Rpt'!L$8)*(INDIRECT($AA53)&lt;'East Postition Rpt'!L$9)*(INDIRECT($AB53)))</f>
        <v>#VALUE!</v>
      </c>
      <c r="M53" s="200" t="e">
        <f aca="true" t="array" ref="M53:M53">SUM((INDIRECT($AA53)&gt;'East Postition Rpt'!M$8)*(INDIRECT($AA53)&lt;'East Postition Rpt'!M$9)*(INDIRECT($AB53)))</f>
        <v>#VALUE!</v>
      </c>
      <c r="N53" s="200" t="e">
        <f aca="true" t="array" ref="N53:N53">SUM((INDIRECT($AA53)&gt;'East Postition Rpt'!N$8)*(INDIRECT($AA53)&lt;'East Postition Rpt'!N$9)*(INDIRECT($AB53)))</f>
        <v>#VALUE!</v>
      </c>
      <c r="O53" s="200" t="e">
        <f aca="true" t="array" ref="O53:O53">SUM((INDIRECT($AA53)&gt;'East Postition Rpt'!O$8)*(INDIRECT($AA53)&lt;'East Postition Rpt'!O$9)*(INDIRECT($AB53)))</f>
        <v>#VALUE!</v>
      </c>
      <c r="P53" s="200" t="e">
        <f aca="true" t="array" ref="P53:P53">SUM((INDIRECT($AA53)&gt;'East Postition Rpt'!P$8)*(INDIRECT($AA53)&lt;'East Postition Rpt'!P$9)*(INDIRECT($AB53)))</f>
        <v>#VALUE!</v>
      </c>
      <c r="Q53" s="200" t="e">
        <f aca="true" t="array" ref="Q53:Q53">SUM((INDIRECT($AA53)&gt;'East Postition Rpt'!Q$8)*(INDIRECT($AA53)&lt;'East Postition Rpt'!Q$9)*(INDIRECT($AB53)))</f>
        <v>#VALUE!</v>
      </c>
      <c r="R53" s="200" t="e">
        <f aca="true" t="array" ref="R53:R53">SUM((INDIRECT($AA53)&gt;'East Postition Rpt'!R$8)*(INDIRECT($AA53)&lt;'East Postition Rpt'!R$9)*(INDIRECT($AB53)))</f>
        <v>#VALUE!</v>
      </c>
      <c r="S53" s="200" t="e">
        <f aca="true" t="array" ref="S53:S53">SUM((INDIRECT($AA53)&gt;'East Postition Rpt'!S$8)*(INDIRECT($AA53)&lt;'East Postition Rpt'!S$9)*(INDIRECT($AB53)))</f>
        <v>#VALUE!</v>
      </c>
      <c r="T53" s="201" t="e">
        <f aca="true" t="array" ref="T53:T53">SUM((INDIRECT($AA53)&gt;'East Postition Rpt'!T$8)*(INDIRECT($AA53)&lt;'East Postition Rpt'!T$9)*(INDIRECT($AB53)))</f>
        <v>#VALUE!</v>
      </c>
      <c r="V53" s="202" t="e">
        <f aca="false">SUM(H53:T53)</f>
        <v>#VALUE!</v>
      </c>
      <c r="Y53" s="125" t="e">
        <f aca="false">GetWorkSheet($C52)</f>
        <v>#VALUE!</v>
      </c>
      <c r="Z53" s="124"/>
      <c r="AA53" s="125" t="e">
        <f aca="false">IF(NOT($Y53="#VALUE#"),CONCATENATE($Y53,"!",GetDateStart($Y53),":",GetDateEnd($Y53)),"")</f>
        <v>#VALUE!</v>
      </c>
      <c r="AB53" s="125" t="e">
        <f aca="false">IF(NOT($Y53="#VALUE#"),CONCATENATE($Y53,"!",GetDeliveryStart($Y53),":",GetDeliveryEnd($Y53)),"")</f>
        <v>#VALUE!</v>
      </c>
      <c r="AC53" s="125" t="e">
        <f aca="false">GetRecNdx($Z52,$C52)</f>
        <v>#VALUE!</v>
      </c>
    </row>
    <row r="56" customFormat="false" ht="12.75" hidden="false" customHeight="false" outlineLevel="0" collapsed="false">
      <c r="G56" s="203" t="s">
        <v>396</v>
      </c>
    </row>
    <row r="57" customFormat="false" ht="12.75" hidden="false" customHeight="false" outlineLevel="0" collapsed="false">
      <c r="G57" s="97" t="s">
        <v>123</v>
      </c>
      <c r="H57" s="98" t="n">
        <f aca="false">SUMIF($G$10:$G$53,$G$57,$H$10:$H$53)</f>
        <v>0</v>
      </c>
      <c r="I57" s="98" t="n">
        <f aca="false">SUMIF($G$10:$G$53,$G$57,$I$10:$I$53)</f>
        <v>0</v>
      </c>
      <c r="J57" s="98" t="n">
        <f aca="false">SUMIF($G$10:$G$53,$G$57,$J$10:$J$53)</f>
        <v>0</v>
      </c>
      <c r="K57" s="98" t="n">
        <f aca="false">SUMIF($G$10:$G$53,$G$57,$K$10:$K$53)</f>
        <v>0</v>
      </c>
      <c r="L57" s="98" t="n">
        <f aca="false">SUMIF($G$10:$G$53,$G$57,$L$10:$L$53)</f>
        <v>0</v>
      </c>
      <c r="M57" s="98" t="n">
        <f aca="false">SUMIF($G$10:$G$53,$G$57,$M$10:$M$53)</f>
        <v>0</v>
      </c>
      <c r="N57" s="98" t="n">
        <f aca="false">SUMIF($G$10:$G$53,$G$57,$N$10:$N$53)</f>
        <v>0</v>
      </c>
      <c r="O57" s="98" t="n">
        <f aca="false">SUMIF($G$10:$G$53,$G$57,$O$10:$O$53)</f>
        <v>0</v>
      </c>
      <c r="P57" s="98" t="n">
        <f aca="false">SUMIF($G$10:$G$53,$G$57,$P$10:$P$53)</f>
        <v>0</v>
      </c>
      <c r="Q57" s="98" t="n">
        <f aca="false">SUMIF($G$10:$G$53,$G$57,$Q$10:$Q$53)</f>
        <v>0</v>
      </c>
      <c r="R57" s="98" t="n">
        <f aca="false">SUMIF($G$10:$G$53,$G$57,$R$10:$R$53)</f>
        <v>0</v>
      </c>
      <c r="S57" s="98" t="n">
        <f aca="false">SUMIF($G$10:$G$53,$G$57,$S$10:$S$53)</f>
        <v>0</v>
      </c>
      <c r="T57" s="98" t="n">
        <f aca="false">SUMIF($G$10:$G$53,$G$57,$T$10:$T$53)</f>
        <v>0</v>
      </c>
      <c r="V57" s="99" t="n">
        <f aca="false">SUM(M57:T57)</f>
        <v>0</v>
      </c>
    </row>
    <row r="58" customFormat="false" ht="12.75" hidden="false" customHeight="false" outlineLevel="0" collapsed="false">
      <c r="G58" s="97" t="s">
        <v>124</v>
      </c>
      <c r="H58" s="98" t="n">
        <f aca="false">SUMIF($G$10:$G$53,$G$58,$H$10:$H$53)</f>
        <v>0</v>
      </c>
      <c r="I58" s="98" t="n">
        <f aca="false">SUMIF($G$10:$G$53,$G$58,$I$10:$I$53)</f>
        <v>0</v>
      </c>
      <c r="J58" s="98" t="n">
        <f aca="false">SUMIF($G$10:$G$53,$G$58,$J$10:$J$53)</f>
        <v>0</v>
      </c>
      <c r="K58" s="98" t="n">
        <f aca="false">SUMIF($G$10:$G$53,$G$58,$K$10:$K$53)</f>
        <v>0</v>
      </c>
      <c r="L58" s="98" t="n">
        <f aca="false">SUMIF($G$10:$G$53,$G$58,$L$10:$L$53)</f>
        <v>0</v>
      </c>
      <c r="M58" s="98" t="n">
        <f aca="false">SUMIF($G$10:$G$53,$G$58,$M$10:$M$53)</f>
        <v>0</v>
      </c>
      <c r="N58" s="98" t="n">
        <f aca="false">SUMIF($G$10:$G$53,$G$58,$N$10:$N$53)</f>
        <v>0</v>
      </c>
      <c r="O58" s="98" t="n">
        <f aca="false">SUMIF($G$10:$G$53,$G$58,$O$10:$O$53)</f>
        <v>0</v>
      </c>
      <c r="P58" s="98" t="n">
        <f aca="false">SUMIF($G$10:$G$53,$G$58,$P$10:$P$53)</f>
        <v>0</v>
      </c>
      <c r="Q58" s="98" t="n">
        <f aca="false">SUMIF($G$10:$G$53,$G$58,$Q$10:$Q$53)</f>
        <v>0</v>
      </c>
      <c r="R58" s="98" t="n">
        <f aca="false">SUMIF($G$10:$G$53,$G$58,$R$10:$R$53)</f>
        <v>0</v>
      </c>
      <c r="S58" s="98" t="n">
        <f aca="false">SUMIF($G$10:$G$53,$G$58,$S$10:$S$53)</f>
        <v>0</v>
      </c>
      <c r="T58" s="98" t="n">
        <f aca="false">SUMIF($G$10:$G$53,$G$58,$T$10:$T$53)</f>
        <v>0</v>
      </c>
      <c r="V58" s="99" t="n">
        <f aca="false">SUM(M58:T58)</f>
        <v>0</v>
      </c>
    </row>
    <row r="59" customFormat="false" ht="12.75" hidden="false" customHeight="false" outlineLevel="0" collapsed="false">
      <c r="G59" s="97" t="s">
        <v>131</v>
      </c>
      <c r="H59" s="98" t="n">
        <f aca="false">SUMIF($G$10:$G$53,$G$59,$H$10:$H$53)</f>
        <v>0</v>
      </c>
      <c r="I59" s="98" t="n">
        <f aca="false">SUMIF($G$10:$G$53,$G$59,$I$10:$I$53)</f>
        <v>0</v>
      </c>
      <c r="J59" s="98" t="n">
        <f aca="false">SUMIF($G$10:$G$53,$G$59,$J$10:$J$53)</f>
        <v>0</v>
      </c>
      <c r="K59" s="98" t="n">
        <f aca="false">SUMIF($G$10:$G$53,$G$59,$K$10:$K$53)</f>
        <v>0</v>
      </c>
      <c r="L59" s="98" t="n">
        <f aca="false">SUMIF($G$10:$G$53,$G$59,$L$10:$L$53)</f>
        <v>0</v>
      </c>
      <c r="M59" s="98" t="n">
        <f aca="false">SUMIF($G$10:$G$53,$G$59,$M$10:$M$53)</f>
        <v>0</v>
      </c>
      <c r="N59" s="98" t="n">
        <f aca="false">SUMIF($G$10:$G$53,$G$59,$N$10:$N$53)</f>
        <v>0</v>
      </c>
      <c r="O59" s="98" t="n">
        <f aca="false">SUMIF($G$10:$G$53,$G$59,$O$10:$O$53)</f>
        <v>0</v>
      </c>
      <c r="P59" s="98" t="n">
        <f aca="false">SUMIF($G$10:$G$53,$G$59,$P$10:$P$53)</f>
        <v>0</v>
      </c>
      <c r="Q59" s="98" t="n">
        <f aca="false">SUMIF($G$10:$G$53,$G$59,$Q$10:$Q$53)</f>
        <v>0</v>
      </c>
      <c r="R59" s="98" t="n">
        <f aca="false">SUMIF($G$10:$G$53,$G$59,$R$10:$R$53)</f>
        <v>0</v>
      </c>
      <c r="S59" s="98" t="n">
        <f aca="false">SUMIF($G$10:$G$53,$G$59,$S$10:$S$53)</f>
        <v>0</v>
      </c>
      <c r="T59" s="98" t="n">
        <f aca="false">SUMIF($G$10:$G$53,$G$59,$T$10:$T$53)</f>
        <v>0</v>
      </c>
      <c r="V59" s="99" t="n">
        <f aca="false">SUM(M59:T59)</f>
        <v>0</v>
      </c>
    </row>
    <row r="60" customFormat="false" ht="12.75" hidden="false" customHeight="false" outlineLevel="0" collapsed="false">
      <c r="G60" s="97" t="s">
        <v>137</v>
      </c>
      <c r="H60" s="98" t="n">
        <f aca="false">SUMIF($G$10:$G$53,$G$60,$H$10:$H$53)</f>
        <v>0</v>
      </c>
      <c r="I60" s="98" t="n">
        <f aca="false">SUMIF($G$10:$G$53,$G$60,$I$10:$I$53)</f>
        <v>0</v>
      </c>
      <c r="J60" s="98" t="n">
        <f aca="false">SUMIF($G$10:$G$53,$G$60,$J$10:$J$53)</f>
        <v>0</v>
      </c>
      <c r="K60" s="98" t="n">
        <f aca="false">SUMIF($G$10:$G$53,$G$60,$K$10:$K$53)</f>
        <v>0</v>
      </c>
      <c r="L60" s="98" t="n">
        <f aca="false">SUMIF($G$10:$G$53,$G$60,$L$10:$L$53)</f>
        <v>0</v>
      </c>
      <c r="M60" s="98" t="n">
        <f aca="false">SUMIF($G$10:$G$53,$G$60,$M$10:$M$53)</f>
        <v>0</v>
      </c>
      <c r="N60" s="98" t="n">
        <f aca="false">SUMIF($G$10:$G$53,$G$60,$N$10:$N$53)</f>
        <v>0</v>
      </c>
      <c r="O60" s="98" t="n">
        <f aca="false">SUMIF($G$10:$G$53,$G$60,$O$10:$O$53)</f>
        <v>0</v>
      </c>
      <c r="P60" s="98" t="n">
        <f aca="false">SUMIF($G$10:$G$53,$G$60,$P$10:$P$53)</f>
        <v>0</v>
      </c>
      <c r="Q60" s="98" t="n">
        <f aca="false">SUMIF($G$10:$G$53,$G$60,$Q$10:$Q$53)</f>
        <v>0</v>
      </c>
      <c r="R60" s="98" t="n">
        <f aca="false">SUMIF($G$10:$G$53,$G$60,$R$10:$R$53)</f>
        <v>0</v>
      </c>
      <c r="S60" s="98" t="n">
        <f aca="false">SUMIF($G$10:$G$53,$G$60,$S$10:$S$53)</f>
        <v>0</v>
      </c>
      <c r="T60" s="98" t="n">
        <f aca="false">SUMIF($G$10:$G$53,$G$60,$T$10:$T$53)</f>
        <v>0</v>
      </c>
      <c r="V60" s="99" t="n">
        <f aca="false">SUM(M60:T60)</f>
        <v>0</v>
      </c>
    </row>
    <row r="61" customFormat="false" ht="12.75" hidden="false" customHeight="false" outlineLevel="0" collapsed="false">
      <c r="G61" s="97" t="s">
        <v>138</v>
      </c>
      <c r="H61" s="98" t="n">
        <f aca="false">SUMIF($G$10:$G$53,$G$61,$H$10:$H$53)</f>
        <v>0</v>
      </c>
      <c r="I61" s="98" t="n">
        <f aca="false">SUMIF($G$10:$G$53,$G$61,$I$10:$I$53)</f>
        <v>0</v>
      </c>
      <c r="J61" s="98" t="n">
        <f aca="false">SUMIF($G$10:$G$53,$G$61,$J$10:$J$53)</f>
        <v>0</v>
      </c>
      <c r="K61" s="98" t="n">
        <f aca="false">SUMIF($G$10:$G$53,$G$61,$K$10:$K$53)</f>
        <v>0</v>
      </c>
      <c r="L61" s="98" t="n">
        <f aca="false">SUMIF($G$10:$G$53,$G$61,$L$10:$L$53)</f>
        <v>0</v>
      </c>
      <c r="M61" s="98" t="n">
        <f aca="false">SUMIF($G$10:$G$53,$G$61,$M$10:$M$53)</f>
        <v>0</v>
      </c>
      <c r="N61" s="98" t="n">
        <f aca="false">SUMIF($G$10:$G$53,$G$61,$N$10:$N$53)</f>
        <v>0</v>
      </c>
      <c r="O61" s="98" t="n">
        <f aca="false">SUMIF($G$10:$G$53,$G$61,$O$10:$O$53)</f>
        <v>0</v>
      </c>
      <c r="P61" s="98" t="n">
        <f aca="false">SUMIF($G$10:$G$53,$G$61,$P$10:$P$53)</f>
        <v>0</v>
      </c>
      <c r="Q61" s="98" t="n">
        <f aca="false">SUMIF($G$10:$G$53,$G$61,$Q$10:$Q$53)</f>
        <v>0</v>
      </c>
      <c r="R61" s="98" t="n">
        <f aca="false">SUMIF($G$10:$G$53,$G$61,$R$10:$R$53)</f>
        <v>0</v>
      </c>
      <c r="S61" s="98" t="n">
        <f aca="false">SUMIF($G$10:$G$53,$G$61,$S$10:$S$53)</f>
        <v>0</v>
      </c>
      <c r="T61" s="98" t="n">
        <f aca="false">SUMIF($G$10:$G$53,$G$61,$T$10:$T$53)</f>
        <v>0</v>
      </c>
      <c r="V61" s="99" t="n">
        <f aca="false">SUM(M61:T61)</f>
        <v>0</v>
      </c>
    </row>
    <row r="62" customFormat="false" ht="12.75" hidden="false" customHeight="false" outlineLevel="0" collapsed="false">
      <c r="G62" s="97" t="s">
        <v>144</v>
      </c>
      <c r="H62" s="98" t="n">
        <f aca="false">SUMIF($G$10:$G$53,$G$62,$H$10:$H$53)</f>
        <v>0</v>
      </c>
      <c r="I62" s="98" t="n">
        <f aca="false">SUMIF($G$10:$G$53,$G$62,$I$10:$I$53)</f>
        <v>0</v>
      </c>
      <c r="J62" s="98" t="n">
        <f aca="false">SUMIF($G$10:$G$53,$G$62,$J$10:$J$53)</f>
        <v>0</v>
      </c>
      <c r="K62" s="98" t="n">
        <f aca="false">SUMIF($G$10:$G$53,$G$62,$K$10:$K$53)</f>
        <v>0</v>
      </c>
      <c r="L62" s="98" t="n">
        <f aca="false">SUMIF($G$10:$G$53,$G$62,$L$10:$L$53)</f>
        <v>0</v>
      </c>
      <c r="M62" s="98" t="n">
        <f aca="false">SUMIF($G$10:$G$53,$G$62,$M$10:$M$53)</f>
        <v>0</v>
      </c>
      <c r="N62" s="98" t="n">
        <f aca="false">SUMIF($G$10:$G$53,$G$62,$N$10:$N$53)</f>
        <v>0</v>
      </c>
      <c r="O62" s="98" t="n">
        <f aca="false">SUMIF($G$10:$G$53,$G$62,$O$10:$O$53)</f>
        <v>0</v>
      </c>
      <c r="P62" s="98" t="n">
        <f aca="false">SUMIF($G$10:$G$53,$G$62,$P$10:$P$53)</f>
        <v>0</v>
      </c>
      <c r="Q62" s="98" t="n">
        <f aca="false">SUMIF($G$10:$G$53,$G$62,$Q$10:$Q$53)</f>
        <v>0</v>
      </c>
      <c r="R62" s="98" t="n">
        <f aca="false">SUMIF($G$10:$G$53,$G$62,$R$10:$R$53)</f>
        <v>0</v>
      </c>
      <c r="S62" s="98" t="n">
        <f aca="false">SUMIF($G$10:$G$53,$G$62,$S$10:$S$53)</f>
        <v>0</v>
      </c>
      <c r="T62" s="98" t="n">
        <f aca="false">SUMIF($G$10:$G$53,$G$62,$T$10:$T$53)</f>
        <v>0</v>
      </c>
      <c r="V62" s="99" t="n">
        <f aca="false">SUM(M62:T62)</f>
        <v>0</v>
      </c>
    </row>
    <row r="63" customFormat="false" ht="12.75" hidden="false" customHeight="false" outlineLevel="0" collapsed="false">
      <c r="G63" s="97" t="s">
        <v>147</v>
      </c>
      <c r="H63" s="98" t="n">
        <f aca="false">SUMIF($G$10:$G$53,$G$63,$H$10:$H$53)</f>
        <v>0</v>
      </c>
      <c r="I63" s="98" t="n">
        <f aca="false">SUMIF($G$10:$G$53,$G$63,$I$10:$I$53)</f>
        <v>0</v>
      </c>
      <c r="J63" s="98" t="n">
        <f aca="false">SUMIF($G$10:$G$53,$G$63,$J$10:$J$53)</f>
        <v>0</v>
      </c>
      <c r="K63" s="98" t="n">
        <f aca="false">SUMIF($G$10:$G$53,$G$63,$K$10:$K$53)</f>
        <v>0</v>
      </c>
      <c r="L63" s="98" t="n">
        <f aca="false">SUMIF($G$10:$G$53,$G$63,$L$10:$L$53)</f>
        <v>0</v>
      </c>
      <c r="M63" s="98" t="n">
        <f aca="false">SUMIF($G$10:$G$53,$G$63,$M$10:$M$53)</f>
        <v>0</v>
      </c>
      <c r="N63" s="98" t="n">
        <f aca="false">SUMIF($G$10:$G$53,$G$63,$N$10:$N$53)</f>
        <v>0</v>
      </c>
      <c r="O63" s="98" t="n">
        <f aca="false">SUMIF($G$10:$G$53,$G$63,$O$10:$O$53)</f>
        <v>0</v>
      </c>
      <c r="P63" s="98" t="n">
        <f aca="false">SUMIF($G$10:$G$53,$G$63,$P$10:$P$53)</f>
        <v>0</v>
      </c>
      <c r="Q63" s="98" t="n">
        <f aca="false">SUMIF($G$10:$G$53,$G$63,$Q$10:$Q$53)</f>
        <v>0</v>
      </c>
      <c r="R63" s="98" t="n">
        <f aca="false">SUMIF($G$10:$G$53,$G$63,$R$10:$R$53)</f>
        <v>0</v>
      </c>
      <c r="S63" s="98" t="n">
        <f aca="false">SUMIF($G$10:$G$53,$G$63,$S$10:$S$53)</f>
        <v>0</v>
      </c>
      <c r="T63" s="98" t="n">
        <f aca="false">SUMIF($G$10:$G$53,$G$63,$T$10:$T$53)</f>
        <v>0</v>
      </c>
      <c r="V63" s="99" t="n">
        <f aca="false">SUM(M63:T63)</f>
        <v>0</v>
      </c>
    </row>
    <row r="64" customFormat="false" ht="12.75" hidden="false" customHeight="false" outlineLevel="0" collapsed="false">
      <c r="G64" s="97" t="s">
        <v>158</v>
      </c>
      <c r="H64" s="98" t="n">
        <f aca="false">SUMIF($G$10:$G$53,$G$64,$H$10:$H$53)</f>
        <v>0</v>
      </c>
      <c r="I64" s="98" t="n">
        <f aca="false">SUMIF($G$10:$G$53,$G$64,$I$10:$I$53)</f>
        <v>0</v>
      </c>
      <c r="J64" s="98" t="n">
        <f aca="false">SUMIF($G$10:$G$53,$G$64,$J$10:$J$53)</f>
        <v>0</v>
      </c>
      <c r="K64" s="98" t="n">
        <f aca="false">SUMIF($G$10:$G$53,$G$64,$K$10:$K$53)</f>
        <v>0</v>
      </c>
      <c r="L64" s="98" t="n">
        <f aca="false">SUMIF($G$10:$G$53,$G$64,$L$10:$L$53)</f>
        <v>0</v>
      </c>
      <c r="M64" s="98" t="n">
        <f aca="false">SUMIF($G$10:$G$53,$G$64,$M$10:$M$53)</f>
        <v>0</v>
      </c>
      <c r="N64" s="98" t="n">
        <f aca="false">SUMIF($G$10:$G$53,$G$64,$N$10:$N$53)</f>
        <v>0</v>
      </c>
      <c r="O64" s="98" t="n">
        <f aca="false">SUMIF($G$10:$G$53,$G$64,$O$10:$O$53)</f>
        <v>0</v>
      </c>
      <c r="P64" s="98" t="n">
        <f aca="false">SUMIF($G$10:$G$53,$G$64,$P$10:$P$53)</f>
        <v>0</v>
      </c>
      <c r="Q64" s="98" t="n">
        <f aca="false">SUMIF($G$10:$G$53,$G$64,$Q$10:$Q$53)</f>
        <v>0</v>
      </c>
      <c r="R64" s="98" t="n">
        <f aca="false">SUMIF($G$10:$G$53,$G$64,$R$10:$R$53)</f>
        <v>0</v>
      </c>
      <c r="S64" s="98" t="n">
        <f aca="false">SUMIF($G$10:$G$53,$G$64,$S$10:$S$53)</f>
        <v>0</v>
      </c>
      <c r="T64" s="98" t="n">
        <f aca="false">SUMIF($G$10:$G$53,$G$64,$T$10:$T$53)</f>
        <v>0</v>
      </c>
      <c r="V64" s="99" t="n">
        <f aca="false">SUM(M64:T64)</f>
        <v>0</v>
      </c>
    </row>
    <row r="65" customFormat="false" ht="12.75" hidden="false" customHeight="false" outlineLevel="0" collapsed="false">
      <c r="G65" s="97" t="s">
        <v>159</v>
      </c>
      <c r="H65" s="98" t="n">
        <f aca="false">SUMIF($G$10:$G$53,$G$65,$H$10:$H$53)</f>
        <v>0</v>
      </c>
      <c r="I65" s="98" t="n">
        <f aca="false">SUMIF($G$10:$G$53,$G$65,$I$10:$I$53)</f>
        <v>0</v>
      </c>
      <c r="J65" s="98" t="n">
        <f aca="false">SUMIF($G$10:$G$53,$G$65,$J$10:$J$53)</f>
        <v>0</v>
      </c>
      <c r="K65" s="98" t="n">
        <f aca="false">SUMIF($G$10:$G$53,$G$65,$K$10:$K$53)</f>
        <v>0</v>
      </c>
      <c r="L65" s="98" t="n">
        <f aca="false">SUMIF($G$10:$G$53,$G$65,$L$10:$L$53)</f>
        <v>0</v>
      </c>
      <c r="M65" s="98" t="n">
        <f aca="false">SUMIF($G$10:$G$53,$G$65,$M$10:$M$53)</f>
        <v>0</v>
      </c>
      <c r="N65" s="98" t="n">
        <f aca="false">SUMIF($G$10:$G$53,$G$65,$N$10:$N$53)</f>
        <v>0</v>
      </c>
      <c r="O65" s="98" t="n">
        <f aca="false">SUMIF($G$10:$G$53,$G$65,$O$10:$O$53)</f>
        <v>0</v>
      </c>
      <c r="P65" s="98" t="n">
        <f aca="false">SUMIF($G$10:$G$53,$G$65,$P$10:$P$53)</f>
        <v>0</v>
      </c>
      <c r="Q65" s="98" t="n">
        <f aca="false">SUMIF($G$10:$G$53,$G$65,$Q$10:$Q$53)</f>
        <v>0</v>
      </c>
      <c r="R65" s="98" t="n">
        <f aca="false">SUMIF($G$10:$G$53,$G$65,$R$10:$R$53)</f>
        <v>0</v>
      </c>
      <c r="S65" s="98" t="n">
        <f aca="false">SUMIF($G$10:$G$53,$G$65,$S$10:$S$53)</f>
        <v>0</v>
      </c>
      <c r="T65" s="98" t="n">
        <f aca="false">SUMIF($G$10:$G$53,$G$65,$T$10:$T$53)</f>
        <v>0</v>
      </c>
      <c r="V65" s="99" t="n">
        <f aca="false">SUM(M65:T65)</f>
        <v>0</v>
      </c>
    </row>
    <row r="66" customFormat="false" ht="12.75" hidden="false" customHeight="false" outlineLevel="0" collapsed="false">
      <c r="G66" s="97" t="s">
        <v>166</v>
      </c>
      <c r="H66" s="98" t="n">
        <f aca="false">SUMIF($G$10:$G$53,$G$66,$H$10:$H$53)</f>
        <v>0</v>
      </c>
      <c r="I66" s="98" t="n">
        <f aca="false">SUMIF($G$10:$G$53,$G$66,$I$10:$I$53)</f>
        <v>0</v>
      </c>
      <c r="J66" s="98" t="n">
        <f aca="false">SUMIF($G$10:$G$53,$G$66,$J$10:$J$53)</f>
        <v>0</v>
      </c>
      <c r="K66" s="98" t="n">
        <f aca="false">SUMIF($G$10:$G$53,$G$66,$K$10:$K$53)</f>
        <v>0</v>
      </c>
      <c r="L66" s="98" t="n">
        <f aca="false">SUMIF($G$10:$G$53,$G$66,$L$10:$L$53)</f>
        <v>0</v>
      </c>
      <c r="M66" s="98" t="n">
        <f aca="false">SUMIF($G$10:$G$53,$G$66,$M$10:$M$53)</f>
        <v>0</v>
      </c>
      <c r="N66" s="98" t="n">
        <f aca="false">SUMIF($G$10:$G$53,$G$66,$N$10:$N$53)</f>
        <v>0</v>
      </c>
      <c r="O66" s="98" t="n">
        <f aca="false">SUMIF($G$10:$G$53,$G$66,$O$10:$O$53)</f>
        <v>0</v>
      </c>
      <c r="P66" s="98" t="n">
        <f aca="false">SUMIF($G$10:$G$53,$G$66,$P$10:$P$53)</f>
        <v>0</v>
      </c>
      <c r="Q66" s="98" t="n">
        <f aca="false">SUMIF($G$10:$G$53,$G$66,$Q$10:$Q$53)</f>
        <v>0</v>
      </c>
      <c r="R66" s="98" t="n">
        <f aca="false">SUMIF($G$10:$G$53,$G$66,$R$10:$R$53)</f>
        <v>0</v>
      </c>
      <c r="S66" s="98" t="n">
        <f aca="false">SUMIF($G$10:$G$53,$G$66,$S$10:$S$53)</f>
        <v>0</v>
      </c>
      <c r="T66" s="98" t="n">
        <f aca="false">SUMIF($G$10:$G$53,$G$66,$T$10:$T$53)</f>
        <v>0</v>
      </c>
      <c r="V66" s="99" t="n">
        <f aca="false">SUM(M66:T66)</f>
        <v>0</v>
      </c>
    </row>
    <row r="67" customFormat="false" ht="12.75" hidden="false" customHeight="false" outlineLevel="0" collapsed="false">
      <c r="G67" s="97" t="s">
        <v>169</v>
      </c>
      <c r="H67" s="98" t="n">
        <f aca="false">SUMIF($G$10:$G$53,$G$67,$H$10:$H$53)</f>
        <v>0</v>
      </c>
      <c r="I67" s="98" t="n">
        <f aca="false">SUMIF($G$10:$G$53,$G$67,$I$10:$I$53)</f>
        <v>0</v>
      </c>
      <c r="J67" s="98" t="n">
        <f aca="false">SUMIF($G$10:$G$53,$G$67,$J$10:$J$53)</f>
        <v>0</v>
      </c>
      <c r="K67" s="98" t="n">
        <f aca="false">SUMIF($G$10:$G$53,$G$67,$K$10:$K$53)</f>
        <v>0</v>
      </c>
      <c r="L67" s="98" t="n">
        <f aca="false">SUMIF($G$10:$G$53,$G$67,$L$10:$L$53)</f>
        <v>0</v>
      </c>
      <c r="M67" s="98" t="n">
        <f aca="false">SUMIF($G$10:$G$53,$G$67,$M$10:$M$53)</f>
        <v>0</v>
      </c>
      <c r="N67" s="98" t="n">
        <f aca="false">SUMIF($G$10:$G$53,$G$67,$N$10:$N$53)</f>
        <v>0</v>
      </c>
      <c r="O67" s="98" t="n">
        <f aca="false">SUMIF($G$10:$G$53,$G$67,$O$10:$O$53)</f>
        <v>0</v>
      </c>
      <c r="P67" s="98" t="n">
        <f aca="false">SUMIF($G$10:$G$53,$G$67,$P$10:$P$53)</f>
        <v>0</v>
      </c>
      <c r="Q67" s="98" t="n">
        <f aca="false">SUMIF($G$10:$G$53,$G$67,$Q$10:$Q$53)</f>
        <v>0</v>
      </c>
      <c r="R67" s="98" t="n">
        <f aca="false">SUMIF($G$10:$G$53,$G$67,$R$10:$R$53)</f>
        <v>0</v>
      </c>
      <c r="S67" s="98" t="n">
        <f aca="false">SUMIF($G$10:$G$53,$G$67,$S$10:$S$53)</f>
        <v>0</v>
      </c>
      <c r="T67" s="98" t="n">
        <f aca="false">SUMIF($G$10:$G$53,$G$67,$T$10:$T$53)</f>
        <v>0</v>
      </c>
      <c r="V67" s="99" t="n">
        <f aca="false">SUM(M67:T67)</f>
        <v>0</v>
      </c>
    </row>
    <row r="68" customFormat="false" ht="12.75" hidden="false" customHeight="false" outlineLevel="0" collapsed="false">
      <c r="G68" s="97" t="s">
        <v>174</v>
      </c>
      <c r="H68" s="98" t="n">
        <f aca="false">SUMIF($G$10:$G$53,$G$68,$H$10:$H$53)</f>
        <v>0</v>
      </c>
      <c r="I68" s="98" t="n">
        <f aca="false">SUMIF($G$10:$G$53,$G$68,$I$10:$I$53)</f>
        <v>0</v>
      </c>
      <c r="J68" s="98" t="n">
        <f aca="false">SUMIF($G$10:$G$53,$G$68,$J$10:$J$53)</f>
        <v>0</v>
      </c>
      <c r="K68" s="98" t="n">
        <f aca="false">SUMIF($G$10:$G$53,$G$68,$K$10:$K$53)</f>
        <v>0</v>
      </c>
      <c r="L68" s="98" t="n">
        <f aca="false">SUMIF($G$10:$G$53,$G$68,$L$10:$L$53)</f>
        <v>0</v>
      </c>
      <c r="M68" s="98" t="n">
        <f aca="false">SUMIF($G$10:$G$53,$G$68,$M$10:$M$53)</f>
        <v>0</v>
      </c>
      <c r="N68" s="98" t="n">
        <f aca="false">SUMIF($G$10:$G$53,$G$68,$N$10:$N$53)</f>
        <v>0</v>
      </c>
      <c r="O68" s="98" t="n">
        <f aca="false">SUMIF($G$10:$G$53,$G$68,$O$10:$O$53)</f>
        <v>0</v>
      </c>
      <c r="P68" s="98" t="n">
        <f aca="false">SUMIF($G$10:$G$53,$G$68,$P$10:$P$53)</f>
        <v>0</v>
      </c>
      <c r="Q68" s="98" t="n">
        <f aca="false">SUMIF($G$10:$G$53,$G$68,$Q$10:$Q$53)</f>
        <v>0</v>
      </c>
      <c r="R68" s="98" t="n">
        <f aca="false">SUMIF($G$10:$G$53,$G$68,$R$10:$R$53)</f>
        <v>0</v>
      </c>
      <c r="S68" s="98" t="n">
        <f aca="false">SUMIF($G$10:$G$53,$G$68,$S$10:$S$53)</f>
        <v>0</v>
      </c>
      <c r="T68" s="98" t="n">
        <f aca="false">SUMIF($G$10:$G$53,$G$68,$T$10:$T$53)</f>
        <v>0</v>
      </c>
      <c r="V68" s="99" t="n">
        <f aca="false">SUM(M68:T68)</f>
        <v>0</v>
      </c>
    </row>
    <row r="69" customFormat="false" ht="12.75" hidden="false" customHeight="false" outlineLevel="0" collapsed="false">
      <c r="G69" s="97" t="s">
        <v>182</v>
      </c>
      <c r="H69" s="98" t="n">
        <f aca="false">SUMIF($G$10:$G$53,$G$69,$H$10:$H$53)</f>
        <v>0</v>
      </c>
      <c r="I69" s="98" t="n">
        <f aca="false">SUMIF($G$10:$G$53,$G$69,$I$10:$I$53)</f>
        <v>0</v>
      </c>
      <c r="J69" s="98" t="n">
        <f aca="false">SUMIF($G$10:$G$53,$G$69,$J$10:$J$53)</f>
        <v>0</v>
      </c>
      <c r="K69" s="98" t="n">
        <f aca="false">SUMIF($G$10:$G$53,$G$69,$K$10:$K$53)</f>
        <v>0</v>
      </c>
      <c r="L69" s="98" t="n">
        <f aca="false">SUMIF($G$10:$G$53,$G$69,$L$10:$L$53)</f>
        <v>0</v>
      </c>
      <c r="M69" s="98" t="n">
        <f aca="false">SUMIF($G$10:$G$53,$G$69,$M$10:$M$53)</f>
        <v>0</v>
      </c>
      <c r="N69" s="98" t="n">
        <f aca="false">SUMIF($G$10:$G$53,$G$69,$N$10:$N$53)</f>
        <v>0</v>
      </c>
      <c r="O69" s="98" t="n">
        <f aca="false">SUMIF($G$10:$G$53,$G$69,$O$10:$O$53)</f>
        <v>0</v>
      </c>
      <c r="P69" s="98" t="n">
        <f aca="false">SUMIF($G$10:$G$53,$G$69,$P$10:$P$53)</f>
        <v>0</v>
      </c>
      <c r="Q69" s="98" t="n">
        <f aca="false">SUMIF($G$10:$G$53,$G$69,$Q$10:$Q$53)</f>
        <v>0</v>
      </c>
      <c r="R69" s="98" t="n">
        <f aca="false">SUMIF($G$10:$G$53,$G$69,$R$10:$R$53)</f>
        <v>0</v>
      </c>
      <c r="S69" s="98" t="n">
        <f aca="false">SUMIF($G$10:$G$53,$G$69,$S$10:$S$53)</f>
        <v>0</v>
      </c>
      <c r="T69" s="98" t="n">
        <f aca="false">SUMIF($G$10:$G$53,$G$69,$T$10:$T$53)</f>
        <v>0</v>
      </c>
      <c r="V69" s="99" t="n">
        <f aca="false">SUM(M69:T69)</f>
        <v>0</v>
      </c>
    </row>
    <row r="70" customFormat="false" ht="12.75" hidden="false" customHeight="false" outlineLevel="0" collapsed="false">
      <c r="G70" s="97" t="s">
        <v>186</v>
      </c>
      <c r="H70" s="98" t="n">
        <f aca="false">SUMIF($G$10:$G$53,$G$70,$H$10:$H$53)</f>
        <v>0</v>
      </c>
      <c r="I70" s="98" t="n">
        <f aca="false">SUMIF($G$10:$G$53,$G$70,$I$10:$I$53)</f>
        <v>0</v>
      </c>
      <c r="J70" s="98" t="n">
        <f aca="false">SUMIF($G$10:$G$53,$G$70,$J$10:$J$53)</f>
        <v>0</v>
      </c>
      <c r="K70" s="98" t="n">
        <f aca="false">SUMIF($G$10:$G$53,$G$70,$K$10:$K$53)</f>
        <v>0</v>
      </c>
      <c r="L70" s="98" t="n">
        <f aca="false">SUMIF($G$10:$G$53,$G$70,$L$10:$L$53)</f>
        <v>0</v>
      </c>
      <c r="M70" s="98" t="n">
        <f aca="false">SUMIF($G$10:$G$53,$G$70,$M$10:$M$53)</f>
        <v>0</v>
      </c>
      <c r="N70" s="98" t="n">
        <f aca="false">SUMIF($G$10:$G$53,$G$70,$N$10:$N$53)</f>
        <v>0</v>
      </c>
      <c r="O70" s="98" t="n">
        <f aca="false">SUMIF($G$10:$G$53,$G$70,$O$10:$O$53)</f>
        <v>0</v>
      </c>
      <c r="P70" s="98" t="n">
        <f aca="false">SUMIF($G$10:$G$53,$G$70,$P$10:$P$53)</f>
        <v>0</v>
      </c>
      <c r="Q70" s="98" t="n">
        <f aca="false">SUMIF($G$10:$G$53,$G$70,$Q$10:$Q$53)</f>
        <v>0</v>
      </c>
      <c r="R70" s="98" t="n">
        <f aca="false">SUMIF($G$10:$G$53,$G$70,$R$10:$R$53)</f>
        <v>0</v>
      </c>
      <c r="S70" s="98" t="n">
        <f aca="false">SUMIF($G$10:$G$53,$G$70,$S$10:$S$53)</f>
        <v>0</v>
      </c>
      <c r="T70" s="98" t="n">
        <f aca="false">SUMIF($G$10:$G$53,$G$70,$T$10:$T$53)</f>
        <v>0</v>
      </c>
      <c r="V70" s="99" t="n">
        <f aca="false">SUM(M70:T70)</f>
        <v>0</v>
      </c>
    </row>
    <row r="71" customFormat="false" ht="12.75" hidden="false" customHeight="false" outlineLevel="0" collapsed="false">
      <c r="G71" s="97" t="s">
        <v>191</v>
      </c>
      <c r="H71" s="98" t="n">
        <f aca="false">SUMIF($G$10:$G$53,$G$71,$H$10:$H$53)</f>
        <v>0</v>
      </c>
      <c r="I71" s="98" t="n">
        <f aca="false">SUMIF($G$10:$G$53,$G$71,$I$10:$I$53)</f>
        <v>0</v>
      </c>
      <c r="J71" s="98" t="n">
        <f aca="false">SUMIF($G$10:$G$53,$G$71,$J$10:$J$53)</f>
        <v>0</v>
      </c>
      <c r="K71" s="98" t="n">
        <f aca="false">SUMIF($G$10:$G$53,$G$71,$K$10:$K$53)</f>
        <v>0</v>
      </c>
      <c r="L71" s="98" t="n">
        <f aca="false">SUMIF($G$10:$G$53,$G$71,$L$10:$L$53)</f>
        <v>0</v>
      </c>
      <c r="M71" s="98" t="n">
        <f aca="false">SUMIF($G$10:$G$53,$G$71,$M$10:$M$53)</f>
        <v>0</v>
      </c>
      <c r="N71" s="98" t="n">
        <f aca="false">SUMIF($G$10:$G$53,$G$71,$N$10:$N$53)</f>
        <v>0</v>
      </c>
      <c r="O71" s="98" t="n">
        <f aca="false">SUMIF($G$10:$G$53,$G$71,$O$10:$O$53)</f>
        <v>0</v>
      </c>
      <c r="P71" s="98" t="n">
        <f aca="false">SUMIF($G$10:$G$53,$G$71,$P$10:$P$53)</f>
        <v>0</v>
      </c>
      <c r="Q71" s="98" t="n">
        <f aca="false">SUMIF($G$10:$G$53,$G$71,$Q$10:$Q$53)</f>
        <v>0</v>
      </c>
      <c r="R71" s="98" t="n">
        <f aca="false">SUMIF($G$10:$G$53,$G$71,$R$10:$R$53)</f>
        <v>0</v>
      </c>
      <c r="S71" s="98" t="n">
        <f aca="false">SUMIF($G$10:$G$53,$G$71,$S$10:$S$53)</f>
        <v>0</v>
      </c>
      <c r="T71" s="98" t="n">
        <f aca="false">SUMIF($G$10:$G$53,$G$71,$T$10:$T$53)</f>
        <v>0</v>
      </c>
      <c r="V71" s="99" t="n">
        <f aca="false">SUM(M71:T71)</f>
        <v>0</v>
      </c>
    </row>
    <row r="72" customFormat="false" ht="12.75" hidden="false" customHeight="false" outlineLevel="0" collapsed="false">
      <c r="G72" s="97" t="s">
        <v>192</v>
      </c>
      <c r="H72" s="98" t="n">
        <f aca="false">SUMIF($G$10:$G$53,$G$72,$H$10:$H$53)</f>
        <v>0</v>
      </c>
      <c r="I72" s="98" t="n">
        <f aca="false">SUMIF($G$10:$G$53,$G$72,$I$10:$I$53)</f>
        <v>0</v>
      </c>
      <c r="J72" s="98" t="n">
        <f aca="false">SUMIF($G$10:$G$53,$G$72,$J$10:$J$53)</f>
        <v>0</v>
      </c>
      <c r="K72" s="98" t="n">
        <f aca="false">SUMIF($G$10:$G$53,$G$72,$K$10:$K$53)</f>
        <v>0</v>
      </c>
      <c r="L72" s="98" t="n">
        <f aca="false">SUMIF($G$10:$G$53,$G$72,$L$10:$L$53)</f>
        <v>0</v>
      </c>
      <c r="M72" s="98" t="n">
        <f aca="false">SUMIF($G$10:$G$53,$G$72,$M$10:$M$53)</f>
        <v>0</v>
      </c>
      <c r="N72" s="98" t="n">
        <f aca="false">SUMIF($G$10:$G$53,$G$72,$N$10:$N$53)</f>
        <v>0</v>
      </c>
      <c r="O72" s="98" t="n">
        <f aca="false">SUMIF($G$10:$G$53,$G$72,$O$10:$O$53)</f>
        <v>0</v>
      </c>
      <c r="P72" s="98" t="n">
        <f aca="false">SUMIF($G$10:$G$53,$G$72,$P$10:$P$53)</f>
        <v>0</v>
      </c>
      <c r="Q72" s="98" t="n">
        <f aca="false">SUMIF($G$10:$G$53,$G$72,$Q$10:$Q$53)</f>
        <v>0</v>
      </c>
      <c r="R72" s="98" t="n">
        <f aca="false">SUMIF($G$10:$G$53,$G$72,$R$10:$R$53)</f>
        <v>0</v>
      </c>
      <c r="S72" s="98" t="n">
        <f aca="false">SUMIF($G$10:$G$53,$G$72,$S$10:$S$53)</f>
        <v>0</v>
      </c>
      <c r="T72" s="98" t="n">
        <f aca="false">SUMIF($G$10:$G$53,$G$72,$T$10:$T$53)</f>
        <v>0</v>
      </c>
      <c r="V72" s="99" t="n">
        <f aca="false">SUM(M72:T72)</f>
        <v>0</v>
      </c>
    </row>
    <row r="74" customFormat="false" ht="12.75" hidden="false" customHeight="false" outlineLevel="0" collapsed="false">
      <c r="G74" s="205" t="s">
        <v>397</v>
      </c>
    </row>
    <row r="75" customFormat="false" ht="13.5" hidden="false" customHeight="false" outlineLevel="0" collapsed="false">
      <c r="G75" s="97" t="s">
        <v>398</v>
      </c>
      <c r="H75" s="98" t="n">
        <f aca="false">SUMIF($H$10:$H$53,"&gt;0",$H$10:$H$53)</f>
        <v>0</v>
      </c>
      <c r="I75" s="98" t="n">
        <f aca="false">SUMIF($I$10:$I$53,"&gt;0",$I$10:$I$53)</f>
        <v>0</v>
      </c>
      <c r="J75" s="98" t="n">
        <f aca="false">SUMIF($J$10:$J$53,"&gt;0",$J$10:$J$53)</f>
        <v>0</v>
      </c>
      <c r="K75" s="98" t="n">
        <f aca="false">SUMIF($K$10:$K$53,"&gt;0",$K$10:$K$53)</f>
        <v>0</v>
      </c>
      <c r="L75" s="98" t="n">
        <f aca="false">SUMIF($L$10:$L$53,"&gt;0",$L$10:$L$53)</f>
        <v>0</v>
      </c>
      <c r="M75" s="98" t="n">
        <f aca="false">SUMIF($M$10:$M$53,"&gt;0",$M$10:$M$53)</f>
        <v>0</v>
      </c>
      <c r="N75" s="98" t="n">
        <f aca="false">SUMIF($N$10:$N$53,"&gt;0",$N$10:$N$53)</f>
        <v>0</v>
      </c>
      <c r="O75" s="98" t="n">
        <f aca="false">SUMIF($O$10:$O$53,"&gt;0",$O$10:$O$53)</f>
        <v>0</v>
      </c>
      <c r="P75" s="98" t="n">
        <f aca="false">SUMIF($P$10:$P$53,"&gt;0",$P$10:$P$53)</f>
        <v>0</v>
      </c>
      <c r="Q75" s="98" t="n">
        <f aca="false">SUMIF($Q$10:$Q$53,"&gt;0",$Q$10:$Q$53)</f>
        <v>0</v>
      </c>
      <c r="R75" s="98" t="n">
        <f aca="false">SUMIF($R$10:$R$53,"&gt;0",$R$10:$R$53)</f>
        <v>0</v>
      </c>
      <c r="S75" s="98" t="n">
        <f aca="false">SUMIF($S$10:$S$53,"&gt;0",$S$10:$S$53)</f>
        <v>0</v>
      </c>
      <c r="T75" s="98" t="n">
        <f aca="false">SUMIF($T$10:$T$53,"&gt;0",$T$10:$T$53)</f>
        <v>0</v>
      </c>
      <c r="V75" s="17"/>
    </row>
    <row r="76" customFormat="false" ht="12.75" hidden="false" customHeight="false" outlineLevel="0" collapsed="false">
      <c r="G76" s="97" t="s">
        <v>399</v>
      </c>
      <c r="H76" s="98" t="n">
        <f aca="false">SUMIF($H$10:$H$53,"&lt;0",$H$10:$H$53)</f>
        <v>0</v>
      </c>
      <c r="I76" s="98" t="n">
        <f aca="false">SUMIF($I$10:$I$53,"&lt;0",$I$10:$I$53)</f>
        <v>0</v>
      </c>
      <c r="J76" s="98" t="n">
        <f aca="false">SUMIF($J$10:$J$53,"&lt;0",$J$10:$J$53)</f>
        <v>0</v>
      </c>
      <c r="K76" s="98" t="n">
        <f aca="false">SUMIF($K$10:$K$53,"&lt;0",$K$10:$K$53)</f>
        <v>0</v>
      </c>
      <c r="L76" s="98" t="n">
        <f aca="false">SUMIF($L$10:$L$53,"&lt;0",$L$10:$L$53)</f>
        <v>0</v>
      </c>
      <c r="M76" s="98" t="n">
        <f aca="false">SUMIF($M$10:$M$53,"&lt;0",$M$10:$M$53)</f>
        <v>0</v>
      </c>
      <c r="N76" s="98" t="n">
        <f aca="false">SUMIF($N$10:$N$53,"&lt;0",$N$10:$N$53)</f>
        <v>0</v>
      </c>
      <c r="O76" s="98" t="n">
        <f aca="false">SUMIF($O$10:$O$53,"&lt;0",$O$10:$O$53)</f>
        <v>0</v>
      </c>
      <c r="P76" s="98" t="n">
        <f aca="false">SUMIF($P$10:$P$53,"&lt;0",$P$10:$P$53)</f>
        <v>0</v>
      </c>
      <c r="Q76" s="98" t="n">
        <f aca="false">SUMIF($Q$10:$Q$53,"&lt;0",$Q$10:$Q$53)</f>
        <v>0</v>
      </c>
      <c r="R76" s="98" t="n">
        <f aca="false">SUMIF($R$10:$R$53,"&lt;0",$R$10:$R$53)</f>
        <v>0</v>
      </c>
      <c r="S76" s="98" t="n">
        <f aca="false">SUMIF($S$10:$S$53,"&lt;0",$S$10:$S$53)</f>
        <v>0</v>
      </c>
      <c r="T76" s="98" t="n">
        <f aca="false">SUMIF($T$10:$T$53,"&lt;0",$T$10:$T$53)</f>
        <v>0</v>
      </c>
      <c r="V76" s="99" t="n">
        <f aca="false">SUM(M75:T76)</f>
        <v>0</v>
      </c>
    </row>
  </sheetData>
  <mergeCells count="68">
    <mergeCell ref="C8:C9"/>
    <mergeCell ref="V8:V9"/>
    <mergeCell ref="C10:C11"/>
    <mergeCell ref="E10:E11"/>
    <mergeCell ref="F10:F11"/>
    <mergeCell ref="C12:C13"/>
    <mergeCell ref="E12:E13"/>
    <mergeCell ref="F12:F13"/>
    <mergeCell ref="C14:C15"/>
    <mergeCell ref="E14:E15"/>
    <mergeCell ref="F14:F15"/>
    <mergeCell ref="C16:C17"/>
    <mergeCell ref="E16:E17"/>
    <mergeCell ref="F16:F17"/>
    <mergeCell ref="C18:C19"/>
    <mergeCell ref="E18:E19"/>
    <mergeCell ref="F18:F19"/>
    <mergeCell ref="C20:C21"/>
    <mergeCell ref="E20:E21"/>
    <mergeCell ref="F20:F21"/>
    <mergeCell ref="C22:C23"/>
    <mergeCell ref="E22:E23"/>
    <mergeCell ref="F22:F23"/>
    <mergeCell ref="C24:C25"/>
    <mergeCell ref="E24:E25"/>
    <mergeCell ref="F24:F25"/>
    <mergeCell ref="C26:C27"/>
    <mergeCell ref="E26:E27"/>
    <mergeCell ref="F26:F27"/>
    <mergeCell ref="C28:C29"/>
    <mergeCell ref="E28:E29"/>
    <mergeCell ref="F28:F29"/>
    <mergeCell ref="C30:C31"/>
    <mergeCell ref="E30:E31"/>
    <mergeCell ref="F30:F31"/>
    <mergeCell ref="C32:C33"/>
    <mergeCell ref="E32:E33"/>
    <mergeCell ref="F32:F33"/>
    <mergeCell ref="C34:C35"/>
    <mergeCell ref="E34:E35"/>
    <mergeCell ref="F34:F35"/>
    <mergeCell ref="C36:C37"/>
    <mergeCell ref="E36:E37"/>
    <mergeCell ref="F36:F37"/>
    <mergeCell ref="C38:C39"/>
    <mergeCell ref="E38:E39"/>
    <mergeCell ref="F38:F39"/>
    <mergeCell ref="C40:C41"/>
    <mergeCell ref="E40:E41"/>
    <mergeCell ref="F40:F41"/>
    <mergeCell ref="C42:C43"/>
    <mergeCell ref="E42:E43"/>
    <mergeCell ref="F42:F43"/>
    <mergeCell ref="C44:C45"/>
    <mergeCell ref="E44:E45"/>
    <mergeCell ref="F44:F45"/>
    <mergeCell ref="C46:C47"/>
    <mergeCell ref="E46:E47"/>
    <mergeCell ref="F46:F47"/>
    <mergeCell ref="C48:C49"/>
    <mergeCell ref="E48:E49"/>
    <mergeCell ref="F48:F49"/>
    <mergeCell ref="C50:C51"/>
    <mergeCell ref="E50:E51"/>
    <mergeCell ref="F50:F51"/>
    <mergeCell ref="C52:C53"/>
    <mergeCell ref="E52:E53"/>
    <mergeCell ref="F52:F53"/>
  </mergeCells>
  <printOptions headings="false" gridLines="false" gridLinesSet="true" horizontalCentered="false" verticalCentered="false"/>
  <pageMargins left="0.747916666666667" right="0.747916666666667" top="0.984027777777778" bottom="0.359722222222222"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2">
              <controlPr defaultSize="0" print="false" autoFill="0" autoPict="0" macro="Report_Routines.Button2_Click">
                <anchor moveWithCells="true" sizeWithCells="false">
                  <from>
                    <xdr:col>1</xdr:col>
                    <xdr:colOff>190800</xdr:colOff>
                    <xdr:row>1</xdr:row>
                    <xdr:rowOff>75960</xdr:rowOff>
                  </from>
                  <to>
                    <xdr:col>3</xdr:col>
                    <xdr:colOff>50400</xdr:colOff>
                    <xdr:row>4</xdr:row>
                    <xdr:rowOff>66600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20"/>
  <sheetViews>
    <sheetView showFormulas="false" showGridLines="true" showRowColHeaders="true" showZeros="true" rightToLeft="false" tabSelected="false" showOutlineSymbols="true" defaultGridColor="true" view="normal" topLeftCell="P1" colorId="64" zoomScale="80" zoomScaleNormal="80" zoomScalePageLayoutView="100" workbookViewId="0">
      <selection pane="topLeft" activeCell="C6" activeCellId="0" sqref="C6:V20"/>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9.28"/>
    <col collapsed="false" customWidth="true" hidden="false" outlineLevel="0" max="6" min="6" style="96" width="23.99"/>
    <col collapsed="false" customWidth="true" hidden="false" outlineLevel="0" max="7" min="7" style="97" width="30.7"/>
    <col collapsed="false" customWidth="true" hidden="false" outlineLevel="0" max="20" min="8" style="98" width="13.7"/>
    <col collapsed="false" customWidth="true" hidden="false" outlineLevel="0" max="21" min="21" style="99" width="3.7"/>
    <col collapsed="false" customWidth="true" hidden="false" outlineLevel="0" max="22" min="22" style="95" width="13.7"/>
    <col collapsed="false" customWidth="false" hidden="false" outlineLevel="0" max="23" min="23" style="95" width="9.14"/>
    <col collapsed="false" customWidth="true" hidden="false" outlineLevel="0" max="24" min="24" style="95" width="14.28"/>
    <col collapsed="false" customWidth="true" hidden="false" outlineLevel="0" max="26" min="25" style="95" width="23.14"/>
    <col collapsed="false" customWidth="true" hidden="false" outlineLevel="0" max="27" min="27" style="95" width="35.56"/>
    <col collapsed="false" customWidth="true" hidden="false" outlineLevel="0" max="28" min="28" style="95" width="26.28"/>
    <col collapsed="false" customWidth="false" hidden="false" outlineLevel="0" max="257" min="29" style="95" width="9.14"/>
  </cols>
  <sheetData>
    <row r="1" customFormat="false" ht="12.75" hidden="false" customHeight="false" outlineLevel="0" collapsed="false">
      <c r="A1" s="19" t="s">
        <v>394</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ADDRESS(ROW($C$10),COLUMN($C$10))</f>
        <v>$C$10</v>
      </c>
      <c r="E3" s="100" t="s">
        <v>40</v>
      </c>
      <c r="F3" s="189" t="s">
        <v>207</v>
      </c>
    </row>
    <row r="7" customFormat="false" ht="18.75" hidden="false" customHeight="false" outlineLevel="0" collapsed="false">
      <c r="E7" s="102" t="str">
        <f aca="false">CONCATENATE("POSITION REPORT : ",UPPER(F3))</f>
        <v>POSITION REPORT : ONTARIO</v>
      </c>
    </row>
    <row r="8" customFormat="false" ht="12.75" hidden="false" customHeight="false" outlineLevel="0" collapsed="false">
      <c r="A8" s="103"/>
      <c r="B8" s="103"/>
      <c r="C8" s="104" t="s">
        <v>213</v>
      </c>
      <c r="E8" s="105"/>
      <c r="F8" s="106"/>
      <c r="G8" s="107" t="s">
        <v>214</v>
      </c>
      <c r="H8" s="190" t="n">
        <f aca="false" t="array" ref="H8:T8">TRANSPOSE(Configuration!D25:D37)</f>
        <v>37043</v>
      </c>
      <c r="I8" s="191" t="n">
        <v>37073</v>
      </c>
      <c r="J8" s="191" t="n">
        <v>37104</v>
      </c>
      <c r="K8" s="191" t="n">
        <v>37135</v>
      </c>
      <c r="L8" s="191" t="n">
        <v>37165</v>
      </c>
      <c r="M8" s="191" t="n">
        <v>37196</v>
      </c>
      <c r="N8" s="191" t="n">
        <v>37226</v>
      </c>
      <c r="O8" s="191" t="n">
        <v>37257</v>
      </c>
      <c r="P8" s="191" t="n">
        <v>37622</v>
      </c>
      <c r="Q8" s="191" t="n">
        <v>37987</v>
      </c>
      <c r="R8" s="191" t="n">
        <v>38353</v>
      </c>
      <c r="S8" s="191" t="n">
        <v>40544</v>
      </c>
      <c r="T8" s="192" t="n">
        <v>42370</v>
      </c>
      <c r="U8" s="103"/>
      <c r="V8" s="104" t="s">
        <v>395</v>
      </c>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false" outlineLevel="0" collapsed="false">
      <c r="A9" s="103"/>
      <c r="B9" s="103"/>
      <c r="C9" s="104"/>
      <c r="E9" s="112" t="s">
        <v>13</v>
      </c>
      <c r="F9" s="113" t="s">
        <v>233</v>
      </c>
      <c r="G9" s="114" t="s">
        <v>234</v>
      </c>
      <c r="H9" s="193" t="n">
        <f aca="false" t="array" ref="H9:T9">TRANSPOSE(Configuration!E25:E37)</f>
        <v>37072</v>
      </c>
      <c r="I9" s="194" t="n">
        <v>37103</v>
      </c>
      <c r="J9" s="194" t="n">
        <v>37134</v>
      </c>
      <c r="K9" s="194" t="n">
        <v>37164</v>
      </c>
      <c r="L9" s="194" t="n">
        <v>37195</v>
      </c>
      <c r="M9" s="194" t="n">
        <v>37225</v>
      </c>
      <c r="N9" s="194" t="n">
        <v>37256</v>
      </c>
      <c r="O9" s="194" t="n">
        <v>37621</v>
      </c>
      <c r="P9" s="194" t="n">
        <v>37986</v>
      </c>
      <c r="Q9" s="194" t="n">
        <v>38352</v>
      </c>
      <c r="R9" s="194" t="n">
        <v>40543</v>
      </c>
      <c r="S9" s="194" t="n">
        <v>42369</v>
      </c>
      <c r="T9" s="195" t="n">
        <v>45657</v>
      </c>
      <c r="U9" s="103"/>
      <c r="V9" s="104"/>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62</v>
      </c>
      <c r="E10" s="116" t="e">
        <f aca="false">GetPipeName($Z10,$AC10)</f>
        <v>#VALUE!</v>
      </c>
      <c r="F10" s="117" t="e">
        <f aca="false">CONCATENATE(GetRcptPoint($Z10,$AC10)," to ",GetDelPoint($Z10,$AC10))</f>
        <v>#VALUE!</v>
      </c>
      <c r="G10" s="118" t="e">
        <f aca="false">GetRcptBasis($Z10,$AC10)</f>
        <v>#VALUE!</v>
      </c>
      <c r="H10" s="196" t="e">
        <f aca="true" t="array" ref="H10:H10">SUM((INDIRECT($AA10)&gt;'Ontario Position Rpt'!H$8)*(INDIRECT($AA10)&lt;'Ontario Position Rpt'!H$9)*(INDIRECT($AB10)))</f>
        <v>#VALUE!</v>
      </c>
      <c r="I10" s="196" t="e">
        <f aca="true" t="array" ref="I10:I10">SUM((INDIRECT($AA10)&gt;'Ontario Position Rpt'!I$8)*(INDIRECT($AA10)&lt;'Ontario Position Rpt'!I$9)*(INDIRECT($AB10)))</f>
        <v>#VALUE!</v>
      </c>
      <c r="J10" s="196" t="e">
        <f aca="true" t="array" ref="J10:J10">SUM((INDIRECT($AA10)&gt;'Ontario Position Rpt'!J$8)*(INDIRECT($AA10)&lt;'Ontario Position Rpt'!J$9)*(INDIRECT($AB10)))</f>
        <v>#VALUE!</v>
      </c>
      <c r="K10" s="196" t="e">
        <f aca="true" t="array" ref="K10:K10">SUM((INDIRECT($AA10)&gt;'Ontario Position Rpt'!K$8)*(INDIRECT($AA10)&lt;'Ontario Position Rpt'!K$9)*(INDIRECT($AB10)))</f>
        <v>#VALUE!</v>
      </c>
      <c r="L10" s="196" t="e">
        <f aca="true" t="array" ref="L10:L10">SUM((INDIRECT($AA10)&gt;'Ontario Position Rpt'!L$8)*(INDIRECT($AA10)&lt;'Ontario Position Rpt'!L$9)*(INDIRECT($AB10)))</f>
        <v>#VALUE!</v>
      </c>
      <c r="M10" s="196" t="e">
        <f aca="true" t="array" ref="M10:M10">SUM((INDIRECT($AA10)&gt;'Ontario Position Rpt'!M$8)*(INDIRECT($AA10)&lt;'Ontario Position Rpt'!M$9)*(INDIRECT($AB10)))</f>
        <v>#VALUE!</v>
      </c>
      <c r="N10" s="196" t="e">
        <f aca="true" t="array" ref="N10:N10">SUM((INDIRECT($AA10)&gt;'Ontario Position Rpt'!N$8)*(INDIRECT($AA10)&lt;'Ontario Position Rpt'!N$9)*(INDIRECT($AB10)))</f>
        <v>#VALUE!</v>
      </c>
      <c r="O10" s="196" t="e">
        <f aca="true" t="array" ref="O10:O10">SUM((INDIRECT($AA10)&gt;'Ontario Position Rpt'!O$8)*(INDIRECT($AA10)&lt;'Ontario Position Rpt'!O$9)*(INDIRECT($AB10)))</f>
        <v>#VALUE!</v>
      </c>
      <c r="P10" s="196" t="e">
        <f aca="true" t="array" ref="P10:P10">SUM((INDIRECT($AA10)&gt;'Ontario Position Rpt'!P$8)*(INDIRECT($AA10)&lt;'Ontario Position Rpt'!P$9)*(INDIRECT($AB10)))</f>
        <v>#VALUE!</v>
      </c>
      <c r="Q10" s="196" t="e">
        <f aca="true" t="array" ref="Q10:Q10">SUM((INDIRECT($AA10)&gt;'Ontario Position Rpt'!Q$8)*(INDIRECT($AA10)&lt;'Ontario Position Rpt'!Q$9)*(INDIRECT($AB10)))</f>
        <v>#VALUE!</v>
      </c>
      <c r="R10" s="196" t="e">
        <f aca="true" t="array" ref="R10:R10">SUM((INDIRECT($AA10)&gt;'Ontario Position Rpt'!R$8)*(INDIRECT($AA10)&lt;'Ontario Position Rpt'!R$9)*(INDIRECT($AB10)))</f>
        <v>#VALUE!</v>
      </c>
      <c r="S10" s="196" t="e">
        <f aca="true" t="array" ref="S10:S10">SUM((INDIRECT($AA10)&gt;'Ontario Position Rpt'!S$8)*(INDIRECT($AA10)&lt;'Ontario Position Rpt'!S$9)*(INDIRECT($AB10)))</f>
        <v>#VALUE!</v>
      </c>
      <c r="T10" s="197" t="e">
        <f aca="true" t="array" ref="T10:T10">SUM((INDIRECT($AA10)&gt;'Ontario Position Rpt'!T$8)*(INDIRECT($AA10)&lt;'Ontario Position Rpt'!T$9)*(INDIRECT($AB10)))</f>
        <v>#VALUE!</v>
      </c>
      <c r="V10" s="198" t="e">
        <f aca="false">SUM(H10:T10)</f>
        <v>#VALUE!</v>
      </c>
      <c r="Y10" s="125" t="e">
        <f aca="false">GetWorkSheet($C10)</f>
        <v>#VALUE!</v>
      </c>
      <c r="Z10" s="124" t="e">
        <f aca="false">FetchDBPage(Y10)</f>
        <v>#VALUE!</v>
      </c>
      <c r="AA10" s="125" t="e">
        <f aca="false">IF(NOT($Y10="#VALUE#"),CONCATENATE($Y10,"!",GetDateStart($Y10),":",GetDateEnd($Y10)),"")</f>
        <v>#VALUE!</v>
      </c>
      <c r="AB10" s="125" t="e">
        <f aca="false">IF(NOT($Y10="#VALUE#"),CONCATENATE($Y10,"!",GetReceiptStart($Y10),":",GetReceiptEnd($Y10)),"")</f>
        <v>#VALUE!</v>
      </c>
      <c r="AC10" s="125" t="e">
        <f aca="false">GetRecNdx($Z10,$C10)</f>
        <v>#VALUE!</v>
      </c>
    </row>
    <row r="11" customFormat="false" ht="12.75" hidden="false" customHeight="false" outlineLevel="0" collapsed="false">
      <c r="C11" s="115"/>
      <c r="E11" s="116"/>
      <c r="F11" s="117"/>
      <c r="G11" s="126" t="e">
        <f aca="false">GetDelBasis($Z10,$AC11)</f>
        <v>#VALUE!</v>
      </c>
      <c r="H11" s="199" t="e">
        <f aca="true" t="array" ref="H11:H11">SUM((INDIRECT($AA11)&gt;'Ontario Position Rpt'!H$8)*(INDIRECT($AA11)&lt;'Ontario Position Rpt'!H$9)*(INDIRECT($AB11)))</f>
        <v>#VALUE!</v>
      </c>
      <c r="I11" s="200" t="e">
        <f aca="true" t="array" ref="I11:I11">SUM((INDIRECT($AA11)&gt;'Ontario Position Rpt'!I$8)*(INDIRECT($AA11)&lt;'Ontario Position Rpt'!I$9)*(INDIRECT($AB11)))</f>
        <v>#VALUE!</v>
      </c>
      <c r="J11" s="200" t="e">
        <f aca="true" t="array" ref="J11:J11">SUM((INDIRECT($AA11)&gt;'Ontario Position Rpt'!J$8)*(INDIRECT($AA11)&lt;'Ontario Position Rpt'!J$9)*(INDIRECT($AB11)))</f>
        <v>#VALUE!</v>
      </c>
      <c r="K11" s="200" t="e">
        <f aca="true" t="array" ref="K11:K11">SUM((INDIRECT($AA11)&gt;'Ontario Position Rpt'!K$8)*(INDIRECT($AA11)&lt;'Ontario Position Rpt'!K$9)*(INDIRECT($AB11)))</f>
        <v>#VALUE!</v>
      </c>
      <c r="L11" s="200" t="e">
        <f aca="true" t="array" ref="L11:L11">SUM((INDIRECT($AA11)&gt;'Ontario Position Rpt'!L$8)*(INDIRECT($AA11)&lt;'Ontario Position Rpt'!L$9)*(INDIRECT($AB11)))</f>
        <v>#VALUE!</v>
      </c>
      <c r="M11" s="200" t="e">
        <f aca="true" t="array" ref="M11:M11">SUM((INDIRECT($AA11)&gt;'Ontario Position Rpt'!M$8)*(INDIRECT($AA11)&lt;'Ontario Position Rpt'!M$9)*(INDIRECT($AB11)))</f>
        <v>#VALUE!</v>
      </c>
      <c r="N11" s="200" t="e">
        <f aca="true" t="array" ref="N11:N11">SUM((INDIRECT($AA11)&gt;'Ontario Position Rpt'!N$8)*(INDIRECT($AA11)&lt;'Ontario Position Rpt'!N$9)*(INDIRECT($AB11)))</f>
        <v>#VALUE!</v>
      </c>
      <c r="O11" s="200" t="e">
        <f aca="true" t="array" ref="O11:O11">SUM((INDIRECT($AA11)&gt;'Ontario Position Rpt'!O$8)*(INDIRECT($AA11)&lt;'Ontario Position Rpt'!O$9)*(INDIRECT($AB11)))</f>
        <v>#VALUE!</v>
      </c>
      <c r="P11" s="200" t="e">
        <f aca="true" t="array" ref="P11:P11">SUM((INDIRECT($AA11)&gt;'Ontario Position Rpt'!P$8)*(INDIRECT($AA11)&lt;'Ontario Position Rpt'!P$9)*(INDIRECT($AB11)))</f>
        <v>#VALUE!</v>
      </c>
      <c r="Q11" s="200" t="e">
        <f aca="true" t="array" ref="Q11:Q11">SUM((INDIRECT($AA11)&gt;'Ontario Position Rpt'!Q$8)*(INDIRECT($AA11)&lt;'Ontario Position Rpt'!Q$9)*(INDIRECT($AB11)))</f>
        <v>#VALUE!</v>
      </c>
      <c r="R11" s="200" t="e">
        <f aca="true" t="array" ref="R11:R11">SUM((INDIRECT($AA11)&gt;'Ontario Position Rpt'!R$8)*(INDIRECT($AA11)&lt;'Ontario Position Rpt'!R$9)*(INDIRECT($AB11)))</f>
        <v>#VALUE!</v>
      </c>
      <c r="S11" s="200" t="e">
        <f aca="true" t="array" ref="S11:S11">SUM((INDIRECT($AA11)&gt;'Ontario Position Rpt'!S$8)*(INDIRECT($AA11)&lt;'Ontario Position Rpt'!S$9)*(INDIRECT($AB11)))</f>
        <v>#VALUE!</v>
      </c>
      <c r="T11" s="201" t="e">
        <f aca="true" t="array" ref="T11:T11">SUM((INDIRECT($AA11)&gt;'Ontario Position Rpt'!T$8)*(INDIRECT($AA11)&lt;'Ontario Position Rpt'!T$9)*(INDIRECT($AB11)))</f>
        <v>#VALUE!</v>
      </c>
      <c r="V11" s="202" t="e">
        <f aca="false">SUM(H11:T11)</f>
        <v>#VALUE!</v>
      </c>
      <c r="Y11" s="125" t="e">
        <f aca="false">GetWorkSheet($C10)</f>
        <v>#VALUE!</v>
      </c>
      <c r="Z11" s="124"/>
      <c r="AA11" s="125" t="e">
        <f aca="false">IF(NOT($Y11="#VALUE#"),CONCATENATE($Y11,"!",GetDateStart($Y11),":",GetDateEnd($Y11)),"")</f>
        <v>#VALUE!</v>
      </c>
      <c r="AB11" s="125" t="e">
        <f aca="false">IF(NOT($Y11="#VALUE#"),CONCATENATE($Y11,"!",GetDeliveryStart($Y11),":",GetDeliveryEnd($Y11)),"")</f>
        <v>#VALUE!</v>
      </c>
      <c r="AC11" s="125" t="e">
        <f aca="false">GetRecNdx($Z10,$C10)</f>
        <v>#VALUE!</v>
      </c>
    </row>
    <row r="14" customFormat="false" ht="12.75" hidden="false" customHeight="false" outlineLevel="0" collapsed="false">
      <c r="G14" s="203" t="s">
        <v>396</v>
      </c>
    </row>
    <row r="15" customFormat="false" ht="12.75" hidden="false" customHeight="false" outlineLevel="0" collapsed="false">
      <c r="G15" s="97" t="s">
        <v>203</v>
      </c>
      <c r="H15" s="98" t="n">
        <f aca="false">SUMIF($G$10:$G$11,$G$15,$H$10:$H$11)</f>
        <v>0</v>
      </c>
      <c r="I15" s="98" t="n">
        <f aca="false">SUMIF($G$10:$G$11,$G$15,$I$10:$I$11)</f>
        <v>0</v>
      </c>
      <c r="J15" s="98" t="n">
        <f aca="false">SUMIF($G$10:$G$11,$G$15,$J$10:$J$11)</f>
        <v>0</v>
      </c>
      <c r="K15" s="98" t="n">
        <f aca="false">SUMIF($G$10:$G$11,$G$15,$K$10:$K$11)</f>
        <v>0</v>
      </c>
      <c r="L15" s="98" t="n">
        <f aca="false">SUMIF($G$10:$G$11,$G$15,$L$10:$L$11)</f>
        <v>0</v>
      </c>
      <c r="M15" s="98" t="n">
        <f aca="false">SUMIF($G$10:$G$11,$G$15,$M$10:$M$11)</f>
        <v>0</v>
      </c>
      <c r="N15" s="98" t="n">
        <f aca="false">SUMIF($G$10:$G$11,$G$15,$N$10:$N$11)</f>
        <v>0</v>
      </c>
      <c r="O15" s="98" t="n">
        <f aca="false">SUMIF($G$10:$G$11,$G$15,$O$10:$O$11)</f>
        <v>0</v>
      </c>
      <c r="P15" s="98" t="n">
        <f aca="false">SUMIF($G$10:$G$11,$G$15,$P$10:$P$11)</f>
        <v>0</v>
      </c>
      <c r="Q15" s="98" t="n">
        <f aca="false">SUMIF($G$10:$G$11,$G$15,$Q$10:$Q$11)</f>
        <v>0</v>
      </c>
      <c r="R15" s="98" t="n">
        <f aca="false">SUMIF($G$10:$G$11,$G$15,$R$10:$R$11)</f>
        <v>0</v>
      </c>
      <c r="S15" s="98" t="n">
        <f aca="false">SUMIF($G$10:$G$11,$G$15,$S$10:$S$11)</f>
        <v>0</v>
      </c>
      <c r="T15" s="98" t="n">
        <f aca="false">SUMIF($G$10:$G$11,$G$15,$T$10:$T$11)</f>
        <v>0</v>
      </c>
    </row>
    <row r="16" customFormat="false" ht="12.75" hidden="false" customHeight="false" outlineLevel="0" collapsed="false">
      <c r="G16" s="97" t="s">
        <v>204</v>
      </c>
      <c r="H16" s="98" t="n">
        <f aca="false">SUMIF($G$10:$G$11,$G$16,$H$10:$H$11)</f>
        <v>0</v>
      </c>
      <c r="I16" s="98" t="n">
        <f aca="false">SUMIF($G$10:$G$11,$G$16,$I$10:$I$11)</f>
        <v>0</v>
      </c>
      <c r="J16" s="98" t="n">
        <f aca="false">SUMIF($G$10:$G$11,$G$16,$J$10:$J$11)</f>
        <v>0</v>
      </c>
      <c r="K16" s="98" t="n">
        <f aca="false">SUMIF($G$10:$G$11,$G$16,$K$10:$K$11)</f>
        <v>0</v>
      </c>
      <c r="L16" s="98" t="n">
        <f aca="false">SUMIF($G$10:$G$11,$G$16,$L$10:$L$11)</f>
        <v>0</v>
      </c>
      <c r="M16" s="98" t="n">
        <f aca="false">SUMIF($G$10:$G$11,$G$16,$M$10:$M$11)</f>
        <v>0</v>
      </c>
      <c r="N16" s="98" t="n">
        <f aca="false">SUMIF($G$10:$G$11,$G$16,$N$10:$N$11)</f>
        <v>0</v>
      </c>
      <c r="O16" s="98" t="n">
        <f aca="false">SUMIF($G$10:$G$11,$G$16,$O$10:$O$11)</f>
        <v>0</v>
      </c>
      <c r="P16" s="98" t="n">
        <f aca="false">SUMIF($G$10:$G$11,$G$16,$P$10:$P$11)</f>
        <v>0</v>
      </c>
      <c r="Q16" s="98" t="n">
        <f aca="false">SUMIF($G$10:$G$11,$G$16,$Q$10:$Q$11)</f>
        <v>0</v>
      </c>
      <c r="R16" s="98" t="n">
        <f aca="false">SUMIF($G$10:$G$11,$G$16,$R$10:$R$11)</f>
        <v>0</v>
      </c>
      <c r="S16" s="98" t="n">
        <f aca="false">SUMIF($G$10:$G$11,$G$16,$S$10:$S$11)</f>
        <v>0</v>
      </c>
      <c r="T16" s="98" t="n">
        <f aca="false">SUMIF($G$10:$G$11,$G$16,$T$10:$T$11)</f>
        <v>0</v>
      </c>
    </row>
    <row r="18" customFormat="false" ht="12.75" hidden="false" customHeight="false" outlineLevel="0" collapsed="false">
      <c r="G18" s="205" t="s">
        <v>397</v>
      </c>
    </row>
    <row r="19" customFormat="false" ht="12.75" hidden="false" customHeight="false" outlineLevel="0" collapsed="false">
      <c r="G19" s="97" t="s">
        <v>398</v>
      </c>
      <c r="H19" s="98" t="n">
        <f aca="false">SUMIF($H$10:$H$11,"&gt;0",$H$10:$H$11)</f>
        <v>0</v>
      </c>
      <c r="I19" s="98" t="n">
        <f aca="false">SUMIF($I$10:$I$11,"&gt;0",$I$10:$I$11)</f>
        <v>0</v>
      </c>
      <c r="J19" s="98" t="n">
        <f aca="false">SUMIF($J$10:$J$11,"&gt;0",$J$10:$J$11)</f>
        <v>0</v>
      </c>
      <c r="K19" s="98" t="n">
        <f aca="false">SUMIF($K$10:$K$11,"&gt;0",$K$10:$K$11)</f>
        <v>0</v>
      </c>
      <c r="L19" s="98" t="n">
        <f aca="false">SUMIF($L$10:$L$11,"&gt;0",$L$10:$L$11)</f>
        <v>0</v>
      </c>
      <c r="M19" s="98" t="n">
        <f aca="false">SUMIF($M$10:$M$11,"&gt;0",$M$10:$M$11)</f>
        <v>0</v>
      </c>
      <c r="N19" s="98" t="n">
        <f aca="false">SUMIF($N$10:$N$11,"&gt;0",$N$10:$N$11)</f>
        <v>0</v>
      </c>
      <c r="O19" s="98" t="n">
        <f aca="false">SUMIF($O$10:$O$11,"&gt;0",$O$10:$O$11)</f>
        <v>0</v>
      </c>
      <c r="P19" s="98" t="n">
        <f aca="false">SUMIF($P$10:$P$11,"&gt;0",$P$10:$P$11)</f>
        <v>0</v>
      </c>
      <c r="Q19" s="98" t="n">
        <f aca="false">SUMIF($Q$10:$Q$11,"&gt;0",$Q$10:$Q$11)</f>
        <v>0</v>
      </c>
      <c r="R19" s="98" t="n">
        <f aca="false">SUMIF($R$10:$R$11,"&gt;0",$R$10:$R$11)</f>
        <v>0</v>
      </c>
      <c r="S19" s="98" t="n">
        <f aca="false">SUMIF($S$10:$S$11,"&gt;0",$S$10:$S$11)</f>
        <v>0</v>
      </c>
      <c r="T19" s="98" t="n">
        <f aca="false">SUMIF($T$10:$T$11,"&gt;0",$T$10:$T$11)</f>
        <v>0</v>
      </c>
    </row>
    <row r="20" customFormat="false" ht="12.75" hidden="false" customHeight="false" outlineLevel="0" collapsed="false">
      <c r="G20" s="97" t="s">
        <v>399</v>
      </c>
      <c r="H20" s="98" t="n">
        <f aca="false">SUMIF($H$10:$H$11,"&lt;0",$H$10:$H$11)</f>
        <v>0</v>
      </c>
      <c r="I20" s="98" t="n">
        <f aca="false">SUMIF($I$10:$I$11,"&lt;0",$I$10:$I$11)</f>
        <v>0</v>
      </c>
      <c r="J20" s="98" t="n">
        <f aca="false">SUMIF($J$10:$J$11,"&lt;0",$J$10:$J$11)</f>
        <v>0</v>
      </c>
      <c r="K20" s="98" t="n">
        <f aca="false">SUMIF($K$10:$K$11,"&lt;0",$K$10:$K$11)</f>
        <v>0</v>
      </c>
      <c r="L20" s="98" t="n">
        <f aca="false">SUMIF($L$10:$L$11,"&lt;0",$L$10:$L$11)</f>
        <v>0</v>
      </c>
      <c r="M20" s="98" t="n">
        <f aca="false">SUMIF($M$10:$M$11,"&lt;0",$M$10:$M$11)</f>
        <v>0</v>
      </c>
      <c r="N20" s="98" t="n">
        <f aca="false">SUMIF($N$10:$N$11,"&lt;0",$N$10:$N$11)</f>
        <v>0</v>
      </c>
      <c r="O20" s="98" t="n">
        <f aca="false">SUMIF($O$10:$O$11,"&lt;0",$O$10:$O$11)</f>
        <v>0</v>
      </c>
      <c r="P20" s="98" t="n">
        <f aca="false">SUMIF($P$10:$P$11,"&lt;0",$P$10:$P$11)</f>
        <v>0</v>
      </c>
      <c r="Q20" s="98" t="n">
        <f aca="false">SUMIF($Q$10:$Q$11,"&lt;0",$Q$10:$Q$11)</f>
        <v>0</v>
      </c>
      <c r="R20" s="98" t="n">
        <f aca="false">SUMIF($R$10:$R$11,"&lt;0",$R$10:$R$11)</f>
        <v>0</v>
      </c>
      <c r="S20" s="98" t="n">
        <f aca="false">SUMIF($S$10:$S$11,"&lt;0",$S$10:$S$11)</f>
        <v>0</v>
      </c>
      <c r="T20" s="98" t="n">
        <f aca="false">SUMIF($T$10:$T$11,"&lt;0",$T$10:$T$11)</f>
        <v>0</v>
      </c>
    </row>
  </sheetData>
  <mergeCells count="5">
    <mergeCell ref="C8:C9"/>
    <mergeCell ref="V8:V9"/>
    <mergeCell ref="C10:C11"/>
    <mergeCell ref="E10:E11"/>
    <mergeCell ref="F10:F1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2">
              <controlPr defaultSize="0" print="false" autoFill="0" autoPict="0" macro="Report_Routines.Button2_Click">
                <anchor moveWithCells="true" sizeWithCells="false">
                  <from>
                    <xdr:col>1</xdr:col>
                    <xdr:colOff>190800</xdr:colOff>
                    <xdr:row>1</xdr:row>
                    <xdr:rowOff>75960</xdr:rowOff>
                  </from>
                  <to>
                    <xdr:col>3</xdr:col>
                    <xdr:colOff>50400</xdr:colOff>
                    <xdr:row>4</xdr:row>
                    <xdr:rowOff>66600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H137"/>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E91" activeCellId="0" sqref="E91"/>
    </sheetView>
  </sheetViews>
  <sheetFormatPr defaultColWidth="9.13671875" defaultRowHeight="12.75" customHeight="true" zeroHeight="false" outlineLevelRow="0" outlineLevelCol="0"/>
  <cols>
    <col collapsed="false" customWidth="true" hidden="false" outlineLevel="0" max="2" min="1" style="1" width="3.7"/>
    <col collapsed="false" customWidth="true" hidden="false" outlineLevel="0" max="3" min="3" style="1" width="10.71"/>
    <col collapsed="false" customWidth="true" hidden="false" outlineLevel="0" max="4" min="4" style="1" width="18.7"/>
    <col collapsed="false" customWidth="true" hidden="false" outlineLevel="0" max="8" min="5" style="1" width="30.7"/>
    <col collapsed="false" customWidth="true" hidden="false" outlineLevel="0" max="10" min="9" style="1" width="13.7"/>
    <col collapsed="false" customWidth="false" hidden="false" outlineLevel="0" max="257" min="11" style="1" width="9.14"/>
  </cols>
  <sheetData>
    <row r="1" customFormat="false" ht="12.75" hidden="false" customHeight="false" outlineLevel="0" collapsed="false">
      <c r="A1" s="19" t="s">
        <v>9</v>
      </c>
    </row>
    <row r="2" customFormat="false" ht="13.5" hidden="false" customHeight="false" outlineLevel="0" collapsed="false">
      <c r="A2" s="19" t="str">
        <f aca="false">ADDRESS(ROW($C$9),COLUMN($C$9))</f>
        <v>$C$9</v>
      </c>
    </row>
    <row r="3" customFormat="false" ht="12.75" hidden="false" customHeight="false" outlineLevel="0" collapsed="false">
      <c r="C3" s="20" t="s">
        <v>10</v>
      </c>
      <c r="D3" s="20"/>
      <c r="E3" s="20"/>
      <c r="F3" s="20"/>
      <c r="G3" s="20"/>
      <c r="H3" s="20"/>
    </row>
    <row r="4" customFormat="false" ht="12.75" hidden="false" customHeight="false" outlineLevel="0" collapsed="false">
      <c r="C4" s="21"/>
      <c r="D4" s="22"/>
      <c r="E4" s="22"/>
      <c r="F4" s="22"/>
      <c r="G4" s="22"/>
      <c r="H4" s="23"/>
    </row>
    <row r="5" customFormat="false" ht="12.75" hidden="false" customHeight="false" outlineLevel="0" collapsed="false">
      <c r="C5" s="21"/>
      <c r="D5" s="22"/>
      <c r="E5" s="22"/>
      <c r="F5" s="22"/>
      <c r="G5" s="22"/>
      <c r="H5" s="23"/>
    </row>
    <row r="6" customFormat="false" ht="12.75" hidden="false" customHeight="false" outlineLevel="0" collapsed="false">
      <c r="C6" s="21"/>
      <c r="D6" s="22"/>
      <c r="E6" s="22"/>
      <c r="F6" s="22"/>
      <c r="G6" s="22"/>
      <c r="H6" s="23"/>
    </row>
    <row r="7" customFormat="false" ht="13.5" hidden="false" customHeight="false" outlineLevel="0" collapsed="false">
      <c r="C7" s="24"/>
      <c r="D7" s="25"/>
      <c r="E7" s="25"/>
      <c r="F7" s="25"/>
      <c r="G7" s="25"/>
      <c r="H7" s="26"/>
    </row>
    <row r="8" customFormat="false" ht="13.5" hidden="false" customHeight="false" outlineLevel="0" collapsed="false"/>
    <row r="9" customFormat="false" ht="27" hidden="false" customHeight="false" outlineLevel="0" collapsed="false">
      <c r="C9" s="27" t="s">
        <v>11</v>
      </c>
      <c r="D9" s="28" t="s">
        <v>12</v>
      </c>
      <c r="E9" s="28"/>
      <c r="F9" s="28"/>
      <c r="G9" s="28"/>
      <c r="H9" s="28"/>
    </row>
    <row r="10" customFormat="false" ht="15.75" hidden="false" customHeight="false" outlineLevel="0" collapsed="false">
      <c r="C10" s="29"/>
    </row>
    <row r="11" customFormat="false" ht="16.5" hidden="false" customHeight="true" outlineLevel="0" collapsed="false">
      <c r="C11" s="30" t="n">
        <v>1</v>
      </c>
      <c r="D11" s="31" t="s">
        <v>13</v>
      </c>
      <c r="E11" s="31"/>
      <c r="F11" s="31"/>
      <c r="G11" s="31"/>
      <c r="H11" s="31"/>
    </row>
    <row r="12" customFormat="false" ht="15.75" hidden="false" customHeight="true" outlineLevel="0" collapsed="false">
      <c r="C12" s="30"/>
      <c r="D12" s="32" t="s">
        <v>14</v>
      </c>
      <c r="E12" s="33" t="s">
        <v>15</v>
      </c>
      <c r="F12" s="33" t="s">
        <v>16</v>
      </c>
      <c r="G12" s="33" t="s">
        <v>17</v>
      </c>
      <c r="H12" s="34" t="s">
        <v>18</v>
      </c>
    </row>
    <row r="13" customFormat="false" ht="13.5" hidden="false" customHeight="true" outlineLevel="0" collapsed="false">
      <c r="C13" s="30"/>
      <c r="D13" s="35" t="s">
        <v>19</v>
      </c>
      <c r="E13" s="36" t="s">
        <v>20</v>
      </c>
      <c r="F13" s="36" t="s">
        <v>21</v>
      </c>
      <c r="G13" s="37" t="n">
        <v>36617</v>
      </c>
      <c r="H13" s="38" t="n">
        <v>39955</v>
      </c>
    </row>
    <row r="14" customFormat="false" ht="15.75" hidden="false" customHeight="true" outlineLevel="0" collapsed="false">
      <c r="C14" s="30"/>
      <c r="D14" s="39"/>
      <c r="E14" s="40" t="s">
        <v>22</v>
      </c>
      <c r="F14" s="41" t="s">
        <v>23</v>
      </c>
      <c r="G14" s="41" t="s">
        <v>24</v>
      </c>
      <c r="H14" s="42" t="s">
        <v>25</v>
      </c>
    </row>
    <row r="15" customFormat="false" ht="12.75" hidden="false" customHeight="true" outlineLevel="0" collapsed="false">
      <c r="C15" s="30"/>
      <c r="D15" s="43" t="s">
        <v>26</v>
      </c>
      <c r="E15" s="44" t="s">
        <v>27</v>
      </c>
      <c r="F15" s="44" t="s">
        <v>28</v>
      </c>
      <c r="G15" s="44" t="s">
        <v>28</v>
      </c>
      <c r="H15" s="45" t="s">
        <v>28</v>
      </c>
    </row>
    <row r="16" customFormat="false" ht="12.75" hidden="false" customHeight="true" outlineLevel="0" collapsed="false">
      <c r="C16" s="30"/>
      <c r="D16" s="46" t="s">
        <v>29</v>
      </c>
      <c r="E16" s="47" t="n">
        <v>60000</v>
      </c>
      <c r="F16" s="47" t="n">
        <v>0</v>
      </c>
      <c r="G16" s="47" t="n">
        <v>0</v>
      </c>
      <c r="H16" s="48" t="n">
        <v>0</v>
      </c>
    </row>
    <row r="17" customFormat="false" ht="12.75" hidden="false" customHeight="true" outlineLevel="0" collapsed="false">
      <c r="C17" s="30"/>
      <c r="D17" s="46" t="s">
        <v>30</v>
      </c>
      <c r="E17" s="49" t="n">
        <v>0</v>
      </c>
      <c r="F17" s="49" t="n">
        <v>0</v>
      </c>
      <c r="G17" s="49" t="n">
        <v>0</v>
      </c>
      <c r="H17" s="50" t="n">
        <v>0</v>
      </c>
    </row>
    <row r="18" customFormat="false" ht="12.75" hidden="false" customHeight="true" outlineLevel="0" collapsed="false">
      <c r="C18" s="30"/>
      <c r="D18" s="46" t="s">
        <v>31</v>
      </c>
      <c r="E18" s="51" t="n">
        <v>0.0115</v>
      </c>
      <c r="F18" s="51" t="n">
        <v>0</v>
      </c>
      <c r="G18" s="51" t="n">
        <v>0</v>
      </c>
      <c r="H18" s="52" t="n">
        <v>0</v>
      </c>
    </row>
    <row r="19" customFormat="false" ht="12.75" hidden="false" customHeight="true" outlineLevel="0" collapsed="false">
      <c r="C19" s="30"/>
      <c r="D19" s="46" t="s">
        <v>32</v>
      </c>
      <c r="E19" s="49" t="n">
        <v>0.1431</v>
      </c>
      <c r="F19" s="49" t="n">
        <v>0</v>
      </c>
      <c r="G19" s="49" t="n">
        <v>0</v>
      </c>
      <c r="H19" s="50" t="n">
        <v>0</v>
      </c>
    </row>
    <row r="20" customFormat="false" ht="12.75" hidden="false" customHeight="true" outlineLevel="0" collapsed="false">
      <c r="C20" s="30"/>
      <c r="D20" s="53" t="s">
        <v>33</v>
      </c>
      <c r="E20" s="54" t="n">
        <v>0</v>
      </c>
      <c r="F20" s="55" t="n">
        <v>0</v>
      </c>
      <c r="G20" s="56" t="n">
        <v>0</v>
      </c>
      <c r="H20" s="57" t="n">
        <v>0</v>
      </c>
    </row>
    <row r="21" customFormat="false" ht="13.5" hidden="false" customHeight="true" outlineLevel="0" collapsed="false">
      <c r="C21" s="30"/>
      <c r="D21" s="58" t="s">
        <v>34</v>
      </c>
      <c r="E21" s="59" t="n">
        <v>0</v>
      </c>
      <c r="F21" s="60" t="n">
        <v>0</v>
      </c>
      <c r="G21" s="61" t="n">
        <v>0</v>
      </c>
      <c r="H21" s="62" t="n">
        <v>0</v>
      </c>
    </row>
    <row r="22" customFormat="false" ht="13.5" hidden="false" customHeight="true" outlineLevel="0" collapsed="false">
      <c r="C22" s="30"/>
      <c r="D22" s="53" t="s">
        <v>35</v>
      </c>
      <c r="E22" s="54" t="n">
        <v>0</v>
      </c>
      <c r="F22" s="55" t="n">
        <v>0</v>
      </c>
      <c r="G22" s="55" t="n">
        <v>0</v>
      </c>
      <c r="H22" s="63" t="n">
        <v>0</v>
      </c>
    </row>
    <row r="23" customFormat="false" ht="13.5" hidden="false" customHeight="true" outlineLevel="0" collapsed="false">
      <c r="C23" s="30"/>
      <c r="D23" s="64" t="s">
        <v>36</v>
      </c>
      <c r="E23" s="65" t="s">
        <v>37</v>
      </c>
      <c r="F23" s="66" t="s">
        <v>38</v>
      </c>
      <c r="G23" s="67" t="s">
        <v>39</v>
      </c>
      <c r="H23" s="68" t="s">
        <v>40</v>
      </c>
    </row>
    <row r="24" customFormat="false" ht="13.5" hidden="false" customHeight="true" outlineLevel="0" collapsed="false">
      <c r="C24" s="30"/>
      <c r="D24" s="69" t="s">
        <v>41</v>
      </c>
      <c r="E24" s="70" t="s">
        <v>42</v>
      </c>
      <c r="F24" s="71" t="s">
        <v>43</v>
      </c>
      <c r="G24" s="72" t="s">
        <v>44</v>
      </c>
      <c r="H24" s="73" t="s">
        <v>45</v>
      </c>
    </row>
    <row r="25" customFormat="false" ht="13.5" hidden="false" customHeight="true" outlineLevel="0" collapsed="false">
      <c r="C25" s="30"/>
      <c r="D25" s="74" t="s">
        <v>46</v>
      </c>
      <c r="E25" s="75" t="s">
        <v>47</v>
      </c>
      <c r="F25" s="76" t="s">
        <v>48</v>
      </c>
      <c r="G25" s="77" t="s">
        <v>49</v>
      </c>
      <c r="H25" s="68" t="s">
        <v>50</v>
      </c>
    </row>
    <row r="26" customFormat="false" ht="13.5" hidden="false" customHeight="true" outlineLevel="0" collapsed="false">
      <c r="C26" s="30"/>
      <c r="D26" s="78" t="s">
        <v>51</v>
      </c>
      <c r="E26" s="79" t="n">
        <v>4</v>
      </c>
      <c r="F26" s="80" t="e">
        <f aca="false">GetCorrelName1($E26)</f>
        <v>#VALUE!</v>
      </c>
      <c r="G26" s="81" t="e">
        <f aca="false">GetCorrelName2($E26)</f>
        <v>#VALUE!</v>
      </c>
      <c r="H26" s="82" t="s">
        <v>52</v>
      </c>
    </row>
    <row r="27" customFormat="false" ht="13.5" hidden="false" customHeight="true" outlineLevel="0" collapsed="false">
      <c r="C27" s="30"/>
      <c r="D27" s="83" t="s">
        <v>53</v>
      </c>
      <c r="E27" s="84" t="s">
        <v>54</v>
      </c>
      <c r="F27" s="84"/>
      <c r="G27" s="84"/>
      <c r="H27" s="84"/>
    </row>
    <row r="28" customFormat="false" ht="13.5" hidden="false" customHeight="true" outlineLevel="0" collapsed="false">
      <c r="C28" s="30"/>
      <c r="D28" s="83"/>
      <c r="E28" s="84"/>
      <c r="F28" s="84"/>
      <c r="G28" s="84"/>
      <c r="H28" s="84"/>
    </row>
    <row r="29" customFormat="false" ht="16.5" hidden="false" customHeight="true" outlineLevel="0" collapsed="false">
      <c r="C29" s="30" t="n">
        <v>2</v>
      </c>
      <c r="D29" s="31" t="s">
        <v>13</v>
      </c>
      <c r="E29" s="31"/>
      <c r="F29" s="31"/>
      <c r="G29" s="31"/>
      <c r="H29" s="31"/>
    </row>
    <row r="30" customFormat="false" ht="15.75" hidden="false" customHeight="true" outlineLevel="0" collapsed="false">
      <c r="C30" s="30"/>
      <c r="D30" s="32" t="s">
        <v>14</v>
      </c>
      <c r="E30" s="33" t="s">
        <v>15</v>
      </c>
      <c r="F30" s="33" t="s">
        <v>16</v>
      </c>
      <c r="G30" s="33" t="s">
        <v>17</v>
      </c>
      <c r="H30" s="34" t="s">
        <v>18</v>
      </c>
    </row>
    <row r="31" customFormat="false" ht="13.5" hidden="false" customHeight="true" outlineLevel="0" collapsed="false">
      <c r="C31" s="30"/>
      <c r="D31" s="35" t="s">
        <v>19</v>
      </c>
      <c r="E31" s="36" t="s">
        <v>55</v>
      </c>
      <c r="F31" s="36" t="s">
        <v>21</v>
      </c>
      <c r="G31" s="37" t="n">
        <v>36495</v>
      </c>
      <c r="H31" s="38" t="n">
        <v>37315</v>
      </c>
    </row>
    <row r="32" customFormat="false" ht="15.75" hidden="false" customHeight="true" outlineLevel="0" collapsed="false">
      <c r="C32" s="30"/>
      <c r="D32" s="39"/>
      <c r="E32" s="40" t="s">
        <v>22</v>
      </c>
      <c r="F32" s="41" t="s">
        <v>23</v>
      </c>
      <c r="G32" s="41" t="s">
        <v>24</v>
      </c>
      <c r="H32" s="42" t="s">
        <v>25</v>
      </c>
    </row>
    <row r="33" customFormat="false" ht="12.75" hidden="false" customHeight="true" outlineLevel="0" collapsed="false">
      <c r="C33" s="30"/>
      <c r="D33" s="43" t="s">
        <v>26</v>
      </c>
      <c r="E33" s="44" t="s">
        <v>27</v>
      </c>
      <c r="F33" s="44" t="s">
        <v>28</v>
      </c>
      <c r="G33" s="44" t="s">
        <v>28</v>
      </c>
      <c r="H33" s="45" t="s">
        <v>28</v>
      </c>
    </row>
    <row r="34" customFormat="false" ht="12.75" hidden="false" customHeight="true" outlineLevel="0" collapsed="false">
      <c r="C34" s="30"/>
      <c r="D34" s="46" t="s">
        <v>29</v>
      </c>
      <c r="E34" s="47" t="n">
        <v>10000</v>
      </c>
      <c r="F34" s="47" t="n">
        <v>0</v>
      </c>
      <c r="G34" s="47" t="n">
        <v>0</v>
      </c>
      <c r="H34" s="48" t="n">
        <v>0</v>
      </c>
    </row>
    <row r="35" customFormat="false" ht="12.75" hidden="false" customHeight="true" outlineLevel="0" collapsed="false">
      <c r="C35" s="30"/>
      <c r="D35" s="46" t="s">
        <v>30</v>
      </c>
      <c r="E35" s="49" t="n">
        <v>0</v>
      </c>
      <c r="F35" s="49" t="n">
        <v>0</v>
      </c>
      <c r="G35" s="49" t="n">
        <v>0</v>
      </c>
      <c r="H35" s="50" t="n">
        <v>0</v>
      </c>
    </row>
    <row r="36" customFormat="false" ht="12.75" hidden="false" customHeight="true" outlineLevel="0" collapsed="false">
      <c r="C36" s="30"/>
      <c r="D36" s="46" t="s">
        <v>31</v>
      </c>
      <c r="E36" s="51" t="n">
        <v>0.036</v>
      </c>
      <c r="F36" s="51" t="n">
        <v>0</v>
      </c>
      <c r="G36" s="51" t="n">
        <v>0</v>
      </c>
      <c r="H36" s="52" t="n">
        <v>0</v>
      </c>
    </row>
    <row r="37" customFormat="false" ht="12.75" hidden="false" customHeight="true" outlineLevel="0" collapsed="false">
      <c r="C37" s="30"/>
      <c r="D37" s="46" t="s">
        <v>32</v>
      </c>
      <c r="E37" s="49" t="n">
        <v>0.4424</v>
      </c>
      <c r="F37" s="49" t="n">
        <v>0</v>
      </c>
      <c r="G37" s="49" t="n">
        <v>0</v>
      </c>
      <c r="H37" s="50" t="n">
        <v>0</v>
      </c>
    </row>
    <row r="38" customFormat="false" ht="12.75" hidden="false" customHeight="true" outlineLevel="0" collapsed="false">
      <c r="C38" s="30"/>
      <c r="D38" s="53" t="s">
        <v>33</v>
      </c>
      <c r="E38" s="54" t="n">
        <v>0</v>
      </c>
      <c r="F38" s="55" t="n">
        <v>0</v>
      </c>
      <c r="G38" s="56" t="n">
        <v>0</v>
      </c>
      <c r="H38" s="57" t="n">
        <v>0</v>
      </c>
    </row>
    <row r="39" customFormat="false" ht="13.5" hidden="false" customHeight="true" outlineLevel="0" collapsed="false">
      <c r="C39" s="30"/>
      <c r="D39" s="58" t="s">
        <v>34</v>
      </c>
      <c r="E39" s="59" t="n">
        <v>0</v>
      </c>
      <c r="F39" s="60" t="n">
        <v>0</v>
      </c>
      <c r="G39" s="61" t="n">
        <v>0</v>
      </c>
      <c r="H39" s="62" t="n">
        <v>0</v>
      </c>
    </row>
    <row r="40" customFormat="false" ht="13.5" hidden="false" customHeight="true" outlineLevel="0" collapsed="false">
      <c r="C40" s="30"/>
      <c r="D40" s="53" t="s">
        <v>35</v>
      </c>
      <c r="E40" s="54" t="n">
        <v>0</v>
      </c>
      <c r="F40" s="55" t="n">
        <v>0</v>
      </c>
      <c r="G40" s="55" t="n">
        <v>0</v>
      </c>
      <c r="H40" s="63" t="n">
        <v>0</v>
      </c>
    </row>
    <row r="41" customFormat="false" ht="13.5" hidden="false" customHeight="true" outlineLevel="0" collapsed="false">
      <c r="C41" s="30"/>
      <c r="D41" s="64" t="s">
        <v>36</v>
      </c>
      <c r="E41" s="65" t="s">
        <v>56</v>
      </c>
      <c r="F41" s="66" t="s">
        <v>38</v>
      </c>
      <c r="G41" s="67" t="s">
        <v>39</v>
      </c>
      <c r="H41" s="68" t="s">
        <v>40</v>
      </c>
    </row>
    <row r="42" customFormat="false" ht="13.5" hidden="false" customHeight="true" outlineLevel="0" collapsed="false">
      <c r="C42" s="30"/>
      <c r="D42" s="69" t="s">
        <v>41</v>
      </c>
      <c r="E42" s="70" t="s">
        <v>57</v>
      </c>
      <c r="F42" s="71" t="s">
        <v>43</v>
      </c>
      <c r="G42" s="72" t="s">
        <v>44</v>
      </c>
      <c r="H42" s="73" t="s">
        <v>45</v>
      </c>
    </row>
    <row r="43" customFormat="false" ht="13.5" hidden="false" customHeight="true" outlineLevel="0" collapsed="false">
      <c r="C43" s="30"/>
      <c r="D43" s="74" t="s">
        <v>46</v>
      </c>
      <c r="E43" s="75" t="s">
        <v>47</v>
      </c>
      <c r="F43" s="76" t="s">
        <v>48</v>
      </c>
      <c r="G43" s="77" t="s">
        <v>49</v>
      </c>
      <c r="H43" s="68" t="s">
        <v>50</v>
      </c>
    </row>
    <row r="44" customFormat="false" ht="13.5" hidden="false" customHeight="true" outlineLevel="0" collapsed="false">
      <c r="C44" s="30"/>
      <c r="D44" s="78" t="s">
        <v>51</v>
      </c>
      <c r="E44" s="79" t="n">
        <v>5</v>
      </c>
      <c r="F44" s="80" t="e">
        <f aca="false">GetCorrelName1($E44)</f>
        <v>#VALUE!</v>
      </c>
      <c r="G44" s="81" t="e">
        <f aca="false">GetCorrelName2($E44)</f>
        <v>#VALUE!</v>
      </c>
      <c r="H44" s="82" t="s">
        <v>52</v>
      </c>
    </row>
    <row r="45" customFormat="false" ht="13.5" hidden="false" customHeight="true" outlineLevel="0" collapsed="false">
      <c r="C45" s="30"/>
      <c r="D45" s="83" t="s">
        <v>53</v>
      </c>
      <c r="E45" s="84" t="s">
        <v>54</v>
      </c>
      <c r="F45" s="84"/>
      <c r="G45" s="84"/>
      <c r="H45" s="84"/>
    </row>
    <row r="46" customFormat="false" ht="13.5" hidden="false" customHeight="true" outlineLevel="0" collapsed="false">
      <c r="C46" s="30"/>
      <c r="D46" s="83"/>
      <c r="E46" s="84"/>
      <c r="F46" s="84"/>
      <c r="G46" s="84"/>
      <c r="H46" s="84"/>
    </row>
    <row r="47" customFormat="false" ht="17.25" hidden="false" customHeight="true" outlineLevel="0" collapsed="false">
      <c r="C47" s="30" t="n">
        <v>25</v>
      </c>
      <c r="D47" s="31" t="s">
        <v>13</v>
      </c>
      <c r="E47" s="31"/>
      <c r="F47" s="31"/>
      <c r="G47" s="31"/>
      <c r="H47" s="31"/>
    </row>
    <row r="48" customFormat="false" ht="15.75" hidden="false" customHeight="true" outlineLevel="0" collapsed="false">
      <c r="C48" s="30"/>
      <c r="D48" s="32" t="s">
        <v>14</v>
      </c>
      <c r="E48" s="33" t="s">
        <v>15</v>
      </c>
      <c r="F48" s="33" t="s">
        <v>16</v>
      </c>
      <c r="G48" s="33" t="s">
        <v>17</v>
      </c>
      <c r="H48" s="34" t="s">
        <v>18</v>
      </c>
    </row>
    <row r="49" customFormat="false" ht="13.5" hidden="false" customHeight="true" outlineLevel="0" collapsed="false">
      <c r="C49" s="30"/>
      <c r="D49" s="35" t="s">
        <v>19</v>
      </c>
      <c r="E49" s="36" t="s">
        <v>55</v>
      </c>
      <c r="F49" s="36" t="s">
        <v>21</v>
      </c>
      <c r="G49" s="37" t="n">
        <v>37316</v>
      </c>
      <c r="H49" s="38" t="n">
        <v>39872</v>
      </c>
    </row>
    <row r="50" customFormat="false" ht="15.75" hidden="false" customHeight="true" outlineLevel="0" collapsed="false">
      <c r="C50" s="30"/>
      <c r="D50" s="39"/>
      <c r="E50" s="40" t="s">
        <v>22</v>
      </c>
      <c r="F50" s="41" t="s">
        <v>23</v>
      </c>
      <c r="G50" s="41" t="s">
        <v>24</v>
      </c>
      <c r="H50" s="42" t="s">
        <v>25</v>
      </c>
    </row>
    <row r="51" customFormat="false" ht="12.75" hidden="false" customHeight="true" outlineLevel="0" collapsed="false">
      <c r="C51" s="30"/>
      <c r="D51" s="43" t="s">
        <v>26</v>
      </c>
      <c r="E51" s="44" t="s">
        <v>27</v>
      </c>
      <c r="F51" s="44" t="s">
        <v>28</v>
      </c>
      <c r="G51" s="44" t="s">
        <v>28</v>
      </c>
      <c r="H51" s="45" t="s">
        <v>28</v>
      </c>
    </row>
    <row r="52" customFormat="false" ht="12.75" hidden="false" customHeight="true" outlineLevel="0" collapsed="false">
      <c r="C52" s="30"/>
      <c r="D52" s="46" t="s">
        <v>29</v>
      </c>
      <c r="E52" s="47" t="n">
        <v>9300</v>
      </c>
      <c r="F52" s="47" t="n">
        <v>0</v>
      </c>
      <c r="G52" s="47" t="n">
        <v>0</v>
      </c>
      <c r="H52" s="48" t="n">
        <v>0</v>
      </c>
    </row>
    <row r="53" customFormat="false" ht="12.75" hidden="false" customHeight="true" outlineLevel="0" collapsed="false">
      <c r="C53" s="30"/>
      <c r="D53" s="46" t="s">
        <v>30</v>
      </c>
      <c r="E53" s="49" t="n">
        <v>0</v>
      </c>
      <c r="F53" s="49" t="n">
        <v>0</v>
      </c>
      <c r="G53" s="49" t="n">
        <v>0</v>
      </c>
      <c r="H53" s="50" t="n">
        <v>0</v>
      </c>
    </row>
    <row r="54" customFormat="false" ht="12.75" hidden="false" customHeight="true" outlineLevel="0" collapsed="false">
      <c r="C54" s="30"/>
      <c r="D54" s="46" t="s">
        <v>31</v>
      </c>
      <c r="E54" s="51" t="n">
        <v>0.036</v>
      </c>
      <c r="F54" s="51" t="n">
        <v>0</v>
      </c>
      <c r="G54" s="51" t="n">
        <v>0</v>
      </c>
      <c r="H54" s="52" t="n">
        <v>0</v>
      </c>
    </row>
    <row r="55" customFormat="false" ht="12.75" hidden="false" customHeight="true" outlineLevel="0" collapsed="false">
      <c r="C55" s="30"/>
      <c r="D55" s="46" t="s">
        <v>32</v>
      </c>
      <c r="E55" s="49" t="n">
        <v>0.4424</v>
      </c>
      <c r="F55" s="49" t="n">
        <v>0</v>
      </c>
      <c r="G55" s="49" t="n">
        <v>0</v>
      </c>
      <c r="H55" s="50" t="n">
        <v>0</v>
      </c>
    </row>
    <row r="56" customFormat="false" ht="12.75" hidden="false" customHeight="true" outlineLevel="0" collapsed="false">
      <c r="C56" s="30"/>
      <c r="D56" s="53" t="s">
        <v>33</v>
      </c>
      <c r="E56" s="54" t="n">
        <v>0</v>
      </c>
      <c r="F56" s="55" t="n">
        <v>0</v>
      </c>
      <c r="G56" s="56" t="n">
        <v>0</v>
      </c>
      <c r="H56" s="57" t="n">
        <v>0</v>
      </c>
    </row>
    <row r="57" customFormat="false" ht="12.75" hidden="false" customHeight="true" outlineLevel="0" collapsed="false">
      <c r="C57" s="30"/>
      <c r="D57" s="58" t="s">
        <v>34</v>
      </c>
      <c r="E57" s="59" t="n">
        <v>0</v>
      </c>
      <c r="F57" s="60" t="n">
        <v>0</v>
      </c>
      <c r="G57" s="61" t="n">
        <v>0</v>
      </c>
      <c r="H57" s="62" t="n">
        <v>0</v>
      </c>
    </row>
    <row r="58" customFormat="false" ht="13.5" hidden="false" customHeight="true" outlineLevel="0" collapsed="false">
      <c r="C58" s="30"/>
      <c r="D58" s="53" t="s">
        <v>35</v>
      </c>
      <c r="E58" s="54" t="n">
        <v>0</v>
      </c>
      <c r="F58" s="55" t="n">
        <v>0</v>
      </c>
      <c r="G58" s="55" t="n">
        <v>0</v>
      </c>
      <c r="H58" s="63" t="n">
        <v>0</v>
      </c>
    </row>
    <row r="59" customFormat="false" ht="12.75" hidden="false" customHeight="true" outlineLevel="0" collapsed="false">
      <c r="C59" s="30"/>
      <c r="D59" s="64" t="s">
        <v>36</v>
      </c>
      <c r="E59" s="65" t="s">
        <v>56</v>
      </c>
      <c r="F59" s="66" t="s">
        <v>38</v>
      </c>
      <c r="G59" s="67" t="s">
        <v>39</v>
      </c>
      <c r="H59" s="68" t="s">
        <v>40</v>
      </c>
    </row>
    <row r="60" customFormat="false" ht="15.75" hidden="false" customHeight="true" outlineLevel="0" collapsed="false">
      <c r="C60" s="30"/>
      <c r="D60" s="69" t="s">
        <v>41</v>
      </c>
      <c r="E60" s="70" t="s">
        <v>57</v>
      </c>
      <c r="F60" s="71" t="s">
        <v>43</v>
      </c>
      <c r="G60" s="72" t="s">
        <v>44</v>
      </c>
      <c r="H60" s="73" t="s">
        <v>45</v>
      </c>
    </row>
    <row r="61" customFormat="false" ht="13.5" hidden="false" customHeight="true" outlineLevel="0" collapsed="false">
      <c r="C61" s="30"/>
      <c r="D61" s="74" t="s">
        <v>46</v>
      </c>
      <c r="E61" s="75" t="s">
        <v>47</v>
      </c>
      <c r="F61" s="76" t="s">
        <v>48</v>
      </c>
      <c r="G61" s="77" t="s">
        <v>49</v>
      </c>
      <c r="H61" s="68" t="s">
        <v>50</v>
      </c>
    </row>
    <row r="62" customFormat="false" ht="13.5" hidden="false" customHeight="true" outlineLevel="0" collapsed="false">
      <c r="C62" s="30"/>
      <c r="D62" s="78" t="s">
        <v>51</v>
      </c>
      <c r="E62" s="79" t="n">
        <v>5</v>
      </c>
      <c r="F62" s="80" t="e">
        <f aca="false">GetCorrelName1($E62)</f>
        <v>#VALUE!</v>
      </c>
      <c r="G62" s="81" t="e">
        <f aca="false">GetCorrelName2($E62)</f>
        <v>#VALUE!</v>
      </c>
      <c r="H62" s="82" t="s">
        <v>52</v>
      </c>
    </row>
    <row r="63" customFormat="false" ht="12.75" hidden="false" customHeight="true" outlineLevel="0" collapsed="false">
      <c r="C63" s="30"/>
      <c r="D63" s="83" t="s">
        <v>53</v>
      </c>
      <c r="E63" s="84"/>
      <c r="F63" s="84"/>
      <c r="G63" s="84"/>
      <c r="H63" s="84"/>
    </row>
    <row r="64" customFormat="false" ht="13.5" hidden="false" customHeight="true" outlineLevel="0" collapsed="false">
      <c r="C64" s="30"/>
      <c r="D64" s="83"/>
      <c r="E64" s="84"/>
      <c r="F64" s="84"/>
      <c r="G64" s="84"/>
      <c r="H64" s="84"/>
    </row>
    <row r="65" customFormat="false" ht="17.25" hidden="false" customHeight="true" outlineLevel="0" collapsed="false">
      <c r="C65" s="30" t="n">
        <v>26</v>
      </c>
      <c r="D65" s="31" t="s">
        <v>13</v>
      </c>
      <c r="E65" s="31"/>
      <c r="F65" s="31"/>
      <c r="G65" s="31"/>
      <c r="H65" s="31"/>
    </row>
    <row r="66" customFormat="false" ht="15.75" hidden="false" customHeight="true" outlineLevel="0" collapsed="false">
      <c r="C66" s="30"/>
      <c r="D66" s="32" t="s">
        <v>14</v>
      </c>
      <c r="E66" s="33" t="s">
        <v>15</v>
      </c>
      <c r="F66" s="33" t="s">
        <v>16</v>
      </c>
      <c r="G66" s="33" t="s">
        <v>17</v>
      </c>
      <c r="H66" s="34" t="s">
        <v>18</v>
      </c>
    </row>
    <row r="67" customFormat="false" ht="13.5" hidden="false" customHeight="true" outlineLevel="0" collapsed="false">
      <c r="C67" s="30"/>
      <c r="D67" s="35" t="s">
        <v>19</v>
      </c>
      <c r="E67" s="36" t="s">
        <v>55</v>
      </c>
      <c r="F67" s="36" t="s">
        <v>21</v>
      </c>
      <c r="G67" s="37" t="n">
        <v>39873</v>
      </c>
      <c r="H67" s="38" t="n">
        <v>39964</v>
      </c>
    </row>
    <row r="68" customFormat="false" ht="15.75" hidden="false" customHeight="true" outlineLevel="0" collapsed="false">
      <c r="C68" s="30"/>
      <c r="D68" s="39"/>
      <c r="E68" s="40" t="s">
        <v>22</v>
      </c>
      <c r="F68" s="41" t="s">
        <v>23</v>
      </c>
      <c r="G68" s="41" t="s">
        <v>24</v>
      </c>
      <c r="H68" s="42" t="s">
        <v>25</v>
      </c>
    </row>
    <row r="69" customFormat="false" ht="12.75" hidden="false" customHeight="true" outlineLevel="0" collapsed="false">
      <c r="C69" s="30"/>
      <c r="D69" s="43" t="s">
        <v>26</v>
      </c>
      <c r="E69" s="44" t="s">
        <v>27</v>
      </c>
      <c r="F69" s="44" t="s">
        <v>28</v>
      </c>
      <c r="G69" s="44" t="s">
        <v>28</v>
      </c>
      <c r="H69" s="45" t="s">
        <v>28</v>
      </c>
    </row>
    <row r="70" customFormat="false" ht="12.75" hidden="false" customHeight="true" outlineLevel="0" collapsed="false">
      <c r="C70" s="30"/>
      <c r="D70" s="46" t="s">
        <v>29</v>
      </c>
      <c r="E70" s="47" t="n">
        <v>15000</v>
      </c>
      <c r="F70" s="47" t="n">
        <v>0</v>
      </c>
      <c r="G70" s="47" t="n">
        <v>0</v>
      </c>
      <c r="H70" s="48" t="n">
        <v>0</v>
      </c>
    </row>
    <row r="71" customFormat="false" ht="12.75" hidden="false" customHeight="true" outlineLevel="0" collapsed="false">
      <c r="C71" s="30"/>
      <c r="D71" s="46" t="s">
        <v>30</v>
      </c>
      <c r="E71" s="49" t="n">
        <v>0</v>
      </c>
      <c r="F71" s="49" t="n">
        <v>0</v>
      </c>
      <c r="G71" s="49" t="n">
        <v>0</v>
      </c>
      <c r="H71" s="50" t="n">
        <v>0</v>
      </c>
    </row>
    <row r="72" customFormat="false" ht="12.75" hidden="false" customHeight="true" outlineLevel="0" collapsed="false">
      <c r="C72" s="30"/>
      <c r="D72" s="46" t="s">
        <v>31</v>
      </c>
      <c r="E72" s="51" t="n">
        <v>0.036</v>
      </c>
      <c r="F72" s="51" t="n">
        <v>0</v>
      </c>
      <c r="G72" s="51" t="n">
        <v>0</v>
      </c>
      <c r="H72" s="52" t="n">
        <v>0</v>
      </c>
    </row>
    <row r="73" customFormat="false" ht="12.75" hidden="false" customHeight="true" outlineLevel="0" collapsed="false">
      <c r="C73" s="30"/>
      <c r="D73" s="46" t="s">
        <v>32</v>
      </c>
      <c r="E73" s="49" t="n">
        <v>0.4424</v>
      </c>
      <c r="F73" s="49" t="n">
        <v>0</v>
      </c>
      <c r="G73" s="49" t="n">
        <v>0</v>
      </c>
      <c r="H73" s="50" t="n">
        <v>0</v>
      </c>
    </row>
    <row r="74" customFormat="false" ht="12.75" hidden="false" customHeight="true" outlineLevel="0" collapsed="false">
      <c r="C74" s="30"/>
      <c r="D74" s="53" t="s">
        <v>33</v>
      </c>
      <c r="E74" s="54" t="n">
        <v>0</v>
      </c>
      <c r="F74" s="55" t="n">
        <v>0</v>
      </c>
      <c r="G74" s="56" t="n">
        <v>0</v>
      </c>
      <c r="H74" s="57" t="n">
        <v>0</v>
      </c>
    </row>
    <row r="75" customFormat="false" ht="12.75" hidden="false" customHeight="true" outlineLevel="0" collapsed="false">
      <c r="C75" s="30"/>
      <c r="D75" s="58" t="s">
        <v>34</v>
      </c>
      <c r="E75" s="59" t="n">
        <v>0</v>
      </c>
      <c r="F75" s="60" t="n">
        <v>0</v>
      </c>
      <c r="G75" s="61" t="n">
        <v>0</v>
      </c>
      <c r="H75" s="62" t="n">
        <v>0</v>
      </c>
    </row>
    <row r="76" customFormat="false" ht="13.5" hidden="false" customHeight="true" outlineLevel="0" collapsed="false">
      <c r="C76" s="30"/>
      <c r="D76" s="53" t="s">
        <v>35</v>
      </c>
      <c r="E76" s="54" t="n">
        <v>0</v>
      </c>
      <c r="F76" s="55" t="n">
        <v>0</v>
      </c>
      <c r="G76" s="55" t="n">
        <v>0</v>
      </c>
      <c r="H76" s="63" t="n">
        <v>0</v>
      </c>
    </row>
    <row r="77" customFormat="false" ht="12.75" hidden="false" customHeight="true" outlineLevel="0" collapsed="false">
      <c r="C77" s="30"/>
      <c r="D77" s="64" t="s">
        <v>36</v>
      </c>
      <c r="E77" s="65" t="s">
        <v>56</v>
      </c>
      <c r="F77" s="66" t="s">
        <v>38</v>
      </c>
      <c r="G77" s="67" t="s">
        <v>39</v>
      </c>
      <c r="H77" s="68" t="s">
        <v>40</v>
      </c>
    </row>
    <row r="78" customFormat="false" ht="15.75" hidden="false" customHeight="true" outlineLevel="0" collapsed="false">
      <c r="C78" s="30"/>
      <c r="D78" s="69" t="s">
        <v>41</v>
      </c>
      <c r="E78" s="70" t="s">
        <v>57</v>
      </c>
      <c r="F78" s="71" t="s">
        <v>43</v>
      </c>
      <c r="G78" s="72" t="s">
        <v>44</v>
      </c>
      <c r="H78" s="73" t="s">
        <v>45</v>
      </c>
    </row>
    <row r="79" customFormat="false" ht="13.5" hidden="false" customHeight="true" outlineLevel="0" collapsed="false">
      <c r="C79" s="30"/>
      <c r="D79" s="74" t="s">
        <v>46</v>
      </c>
      <c r="E79" s="75" t="s">
        <v>47</v>
      </c>
      <c r="F79" s="76" t="s">
        <v>48</v>
      </c>
      <c r="G79" s="77" t="s">
        <v>49</v>
      </c>
      <c r="H79" s="68" t="s">
        <v>50</v>
      </c>
    </row>
    <row r="80" customFormat="false" ht="13.5" hidden="false" customHeight="true" outlineLevel="0" collapsed="false">
      <c r="C80" s="30"/>
      <c r="D80" s="78" t="s">
        <v>51</v>
      </c>
      <c r="E80" s="79" t="n">
        <v>5</v>
      </c>
      <c r="F80" s="80" t="e">
        <f aca="false">GetCorrelName1($E80)</f>
        <v>#VALUE!</v>
      </c>
      <c r="G80" s="81" t="e">
        <f aca="false">GetCorrelName2($E80)</f>
        <v>#VALUE!</v>
      </c>
      <c r="H80" s="82" t="s">
        <v>52</v>
      </c>
    </row>
    <row r="81" customFormat="false" ht="12.75" hidden="false" customHeight="true" outlineLevel="0" collapsed="false">
      <c r="C81" s="30"/>
      <c r="D81" s="83" t="s">
        <v>53</v>
      </c>
      <c r="E81" s="84"/>
      <c r="F81" s="84"/>
      <c r="G81" s="84"/>
      <c r="H81" s="84"/>
    </row>
    <row r="82" customFormat="false" ht="13.5" hidden="false" customHeight="true" outlineLevel="0" collapsed="false">
      <c r="C82" s="30"/>
      <c r="D82" s="83"/>
      <c r="E82" s="84"/>
      <c r="F82" s="84"/>
      <c r="G82" s="84"/>
      <c r="H82" s="84"/>
    </row>
    <row r="83" customFormat="false" ht="17.25" hidden="false" customHeight="false" outlineLevel="0" collapsed="false">
      <c r="C83" s="30" t="n">
        <v>72</v>
      </c>
      <c r="D83" s="31" t="s">
        <v>13</v>
      </c>
      <c r="E83" s="31"/>
      <c r="F83" s="31"/>
      <c r="G83" s="31"/>
      <c r="H83" s="31"/>
    </row>
    <row r="84" customFormat="false" ht="15.75" hidden="false" customHeight="false" outlineLevel="0" collapsed="false">
      <c r="C84" s="30"/>
      <c r="D84" s="32"/>
      <c r="E84" s="33" t="s">
        <v>15</v>
      </c>
      <c r="F84" s="33" t="s">
        <v>16</v>
      </c>
      <c r="G84" s="33" t="s">
        <v>17</v>
      </c>
      <c r="H84" s="34" t="s">
        <v>18</v>
      </c>
    </row>
    <row r="85" customFormat="false" ht="13.5" hidden="false" customHeight="false" outlineLevel="0" collapsed="false">
      <c r="C85" s="30"/>
      <c r="D85" s="35" t="s">
        <v>19</v>
      </c>
      <c r="E85" s="36" t="s">
        <v>58</v>
      </c>
      <c r="F85" s="36" t="s">
        <v>59</v>
      </c>
      <c r="G85" s="37" t="n">
        <v>36982</v>
      </c>
      <c r="H85" s="38" t="n">
        <v>37346</v>
      </c>
    </row>
    <row r="86" customFormat="false" ht="15.75" hidden="false" customHeight="false" outlineLevel="0" collapsed="false">
      <c r="C86" s="30"/>
      <c r="D86" s="39"/>
      <c r="E86" s="40" t="s">
        <v>22</v>
      </c>
      <c r="F86" s="41" t="s">
        <v>23</v>
      </c>
      <c r="G86" s="41" t="s">
        <v>24</v>
      </c>
      <c r="H86" s="42" t="s">
        <v>25</v>
      </c>
    </row>
    <row r="87" customFormat="false" ht="12.75" hidden="false" customHeight="false" outlineLevel="0" collapsed="false">
      <c r="C87" s="30"/>
      <c r="D87" s="43" t="s">
        <v>26</v>
      </c>
      <c r="E87" s="44" t="s">
        <v>27</v>
      </c>
      <c r="F87" s="44" t="s">
        <v>28</v>
      </c>
      <c r="G87" s="44" t="s">
        <v>28</v>
      </c>
      <c r="H87" s="45" t="s">
        <v>28</v>
      </c>
    </row>
    <row r="88" customFormat="false" ht="12.75" hidden="false" customHeight="false" outlineLevel="0" collapsed="false">
      <c r="C88" s="30"/>
      <c r="D88" s="46" t="s">
        <v>29</v>
      </c>
      <c r="E88" s="47" t="n">
        <v>10000</v>
      </c>
      <c r="F88" s="47" t="n">
        <v>0</v>
      </c>
      <c r="G88" s="47" t="n">
        <v>0</v>
      </c>
      <c r="H88" s="48" t="n">
        <v>0</v>
      </c>
    </row>
    <row r="89" customFormat="false" ht="12.75" hidden="false" customHeight="false" outlineLevel="0" collapsed="false">
      <c r="C89" s="30"/>
      <c r="D89" s="46" t="s">
        <v>30</v>
      </c>
      <c r="E89" s="49" t="n">
        <v>0.0111</v>
      </c>
      <c r="F89" s="49" t="n">
        <v>0</v>
      </c>
      <c r="G89" s="49" t="n">
        <v>0</v>
      </c>
      <c r="H89" s="50" t="n">
        <v>0</v>
      </c>
    </row>
    <row r="90" customFormat="false" ht="12.75" hidden="false" customHeight="false" outlineLevel="0" collapsed="false">
      <c r="C90" s="30"/>
      <c r="D90" s="46" t="s">
        <v>31</v>
      </c>
      <c r="E90" s="51" t="n">
        <v>0.0212</v>
      </c>
      <c r="F90" s="51" t="n">
        <v>0</v>
      </c>
      <c r="G90" s="51" t="n">
        <v>0</v>
      </c>
      <c r="H90" s="52" t="n">
        <v>0</v>
      </c>
    </row>
    <row r="91" customFormat="false" ht="12.75" hidden="false" customHeight="false" outlineLevel="0" collapsed="false">
      <c r="C91" s="30"/>
      <c r="D91" s="46" t="s">
        <v>32</v>
      </c>
      <c r="E91" s="49" t="n">
        <v>0.16</v>
      </c>
      <c r="F91" s="49" t="n">
        <v>0</v>
      </c>
      <c r="G91" s="49" t="n">
        <v>0</v>
      </c>
      <c r="H91" s="50" t="n">
        <v>0</v>
      </c>
    </row>
    <row r="92" customFormat="false" ht="12.75" hidden="false" customHeight="false" outlineLevel="0" collapsed="false">
      <c r="C92" s="30"/>
      <c r="D92" s="53" t="s">
        <v>33</v>
      </c>
      <c r="E92" s="54" t="n">
        <v>0</v>
      </c>
      <c r="F92" s="55" t="n">
        <v>0</v>
      </c>
      <c r="G92" s="56" t="n">
        <v>0</v>
      </c>
      <c r="H92" s="57" t="n">
        <v>0</v>
      </c>
    </row>
    <row r="93" customFormat="false" ht="12.75" hidden="false" customHeight="false" outlineLevel="0" collapsed="false">
      <c r="C93" s="30"/>
      <c r="D93" s="58" t="s">
        <v>34</v>
      </c>
      <c r="E93" s="59" t="n">
        <v>0</v>
      </c>
      <c r="F93" s="60" t="n">
        <v>0</v>
      </c>
      <c r="G93" s="61" t="n">
        <v>0</v>
      </c>
      <c r="H93" s="62" t="n">
        <v>0</v>
      </c>
    </row>
    <row r="94" customFormat="false" ht="13.5" hidden="false" customHeight="false" outlineLevel="0" collapsed="false">
      <c r="C94" s="30"/>
      <c r="D94" s="53" t="s">
        <v>35</v>
      </c>
      <c r="E94" s="54" t="n">
        <v>0</v>
      </c>
      <c r="F94" s="55" t="n">
        <v>0</v>
      </c>
      <c r="G94" s="55" t="n">
        <v>0</v>
      </c>
      <c r="H94" s="63" t="n">
        <v>0</v>
      </c>
    </row>
    <row r="95" customFormat="false" ht="12.75" hidden="false" customHeight="false" outlineLevel="0" collapsed="false">
      <c r="C95" s="30"/>
      <c r="D95" s="64" t="s">
        <v>36</v>
      </c>
      <c r="E95" s="65" t="s">
        <v>60</v>
      </c>
      <c r="F95" s="66" t="s">
        <v>38</v>
      </c>
      <c r="G95" s="67" t="s">
        <v>61</v>
      </c>
      <c r="H95" s="68" t="s">
        <v>40</v>
      </c>
    </row>
    <row r="96" customFormat="false" ht="15.75" hidden="false" customHeight="false" outlineLevel="0" collapsed="false">
      <c r="C96" s="30"/>
      <c r="D96" s="69" t="s">
        <v>41</v>
      </c>
      <c r="E96" s="70" t="s">
        <v>62</v>
      </c>
      <c r="F96" s="71" t="s">
        <v>43</v>
      </c>
      <c r="G96" s="72" t="s">
        <v>63</v>
      </c>
      <c r="H96" s="73" t="s">
        <v>45</v>
      </c>
    </row>
    <row r="97" customFormat="false" ht="13.5" hidden="false" customHeight="false" outlineLevel="0" collapsed="false">
      <c r="C97" s="30"/>
      <c r="D97" s="74" t="s">
        <v>46</v>
      </c>
      <c r="E97" s="75" t="s">
        <v>64</v>
      </c>
      <c r="F97" s="76" t="s">
        <v>48</v>
      </c>
      <c r="G97" s="77" t="s">
        <v>65</v>
      </c>
      <c r="H97" s="68" t="s">
        <v>50</v>
      </c>
    </row>
    <row r="98" customFormat="false" ht="13.5" hidden="false" customHeight="false" outlineLevel="0" collapsed="false">
      <c r="C98" s="30"/>
      <c r="D98" s="78" t="s">
        <v>51</v>
      </c>
      <c r="E98" s="79" t="n">
        <v>66</v>
      </c>
      <c r="F98" s="80" t="e">
        <f aca="false">GetCorrelName1($E98)</f>
        <v>#VALUE!</v>
      </c>
      <c r="G98" s="81" t="e">
        <f aca="false">GetCorrelName2($E98)</f>
        <v>#VALUE!</v>
      </c>
      <c r="H98" s="82" t="s">
        <v>52</v>
      </c>
    </row>
    <row r="99" customFormat="false" ht="12.75" hidden="false" customHeight="true" outlineLevel="0" collapsed="false">
      <c r="C99" s="30"/>
      <c r="D99" s="83" t="s">
        <v>53</v>
      </c>
      <c r="E99" s="84" t="s">
        <v>66</v>
      </c>
      <c r="F99" s="84"/>
      <c r="G99" s="84"/>
      <c r="H99" s="84"/>
    </row>
    <row r="100" customFormat="false" ht="13.5" hidden="false" customHeight="false" outlineLevel="0" collapsed="false">
      <c r="C100" s="30"/>
      <c r="D100" s="83"/>
      <c r="E100" s="84"/>
      <c r="F100" s="84"/>
      <c r="G100" s="84"/>
      <c r="H100" s="84"/>
    </row>
    <row r="101" customFormat="false" ht="17.25" hidden="false" customHeight="false" outlineLevel="0" collapsed="false">
      <c r="C101" s="30" t="n">
        <v>107</v>
      </c>
      <c r="D101" s="31" t="s">
        <v>13</v>
      </c>
      <c r="E101" s="31"/>
      <c r="F101" s="31"/>
      <c r="G101" s="31"/>
      <c r="H101" s="31"/>
    </row>
    <row r="102" customFormat="false" ht="15.75" hidden="false" customHeight="false" outlineLevel="0" collapsed="false">
      <c r="C102" s="30"/>
      <c r="D102" s="32" t="s">
        <v>14</v>
      </c>
      <c r="E102" s="33" t="s">
        <v>15</v>
      </c>
      <c r="F102" s="33" t="s">
        <v>16</v>
      </c>
      <c r="G102" s="33" t="s">
        <v>17</v>
      </c>
      <c r="H102" s="34" t="s">
        <v>18</v>
      </c>
    </row>
    <row r="103" customFormat="false" ht="13.5" hidden="false" customHeight="false" outlineLevel="0" collapsed="false">
      <c r="C103" s="30"/>
      <c r="D103" s="35" t="s">
        <v>19</v>
      </c>
      <c r="E103" s="36" t="s">
        <v>20</v>
      </c>
      <c r="F103" s="36" t="s">
        <v>67</v>
      </c>
      <c r="G103" s="37" t="n">
        <v>37196</v>
      </c>
      <c r="H103" s="38" t="n">
        <v>37560</v>
      </c>
    </row>
    <row r="104" customFormat="false" ht="15.75" hidden="false" customHeight="false" outlineLevel="0" collapsed="false">
      <c r="C104" s="30"/>
      <c r="D104" s="39"/>
      <c r="E104" s="40" t="s">
        <v>22</v>
      </c>
      <c r="F104" s="41" t="s">
        <v>23</v>
      </c>
      <c r="G104" s="41" t="s">
        <v>24</v>
      </c>
      <c r="H104" s="42" t="s">
        <v>25</v>
      </c>
    </row>
    <row r="105" customFormat="false" ht="12.75" hidden="false" customHeight="false" outlineLevel="0" collapsed="false">
      <c r="C105" s="30"/>
      <c r="D105" s="43" t="s">
        <v>26</v>
      </c>
      <c r="E105" s="44" t="s">
        <v>27</v>
      </c>
      <c r="F105" s="44" t="s">
        <v>28</v>
      </c>
      <c r="G105" s="44" t="s">
        <v>28</v>
      </c>
      <c r="H105" s="45" t="s">
        <v>28</v>
      </c>
    </row>
    <row r="106" customFormat="false" ht="12.75" hidden="false" customHeight="false" outlineLevel="0" collapsed="false">
      <c r="C106" s="30"/>
      <c r="D106" s="46" t="s">
        <v>29</v>
      </c>
      <c r="E106" s="47" t="n">
        <v>15600</v>
      </c>
      <c r="F106" s="47" t="n">
        <v>0</v>
      </c>
      <c r="G106" s="47" t="n">
        <v>0</v>
      </c>
      <c r="H106" s="48" t="n">
        <v>0</v>
      </c>
    </row>
    <row r="107" customFormat="false" ht="12.75" hidden="false" customHeight="false" outlineLevel="0" collapsed="false">
      <c r="C107" s="30"/>
      <c r="D107" s="46" t="s">
        <v>30</v>
      </c>
      <c r="E107" s="49" t="n">
        <v>0.0006</v>
      </c>
      <c r="F107" s="49" t="n">
        <v>0</v>
      </c>
      <c r="G107" s="49" t="n">
        <v>0</v>
      </c>
      <c r="H107" s="50" t="n">
        <v>0</v>
      </c>
    </row>
    <row r="108" customFormat="false" ht="12.75" hidden="false" customHeight="false" outlineLevel="0" collapsed="false">
      <c r="C108" s="30"/>
      <c r="D108" s="46" t="s">
        <v>31</v>
      </c>
      <c r="E108" s="51" t="n">
        <v>0.004</v>
      </c>
      <c r="F108" s="51" t="n">
        <v>0</v>
      </c>
      <c r="G108" s="51" t="n">
        <v>0</v>
      </c>
      <c r="H108" s="52" t="n">
        <v>0</v>
      </c>
    </row>
    <row r="109" customFormat="false" ht="12.75" hidden="false" customHeight="false" outlineLevel="0" collapsed="false">
      <c r="C109" s="30"/>
      <c r="D109" s="46" t="s">
        <v>32</v>
      </c>
      <c r="E109" s="49" t="n">
        <v>0.044</v>
      </c>
      <c r="F109" s="49" t="n">
        <v>0</v>
      </c>
      <c r="G109" s="49" t="n">
        <v>0</v>
      </c>
      <c r="H109" s="50" t="n">
        <v>0</v>
      </c>
    </row>
    <row r="110" customFormat="false" ht="12.75" hidden="false" customHeight="false" outlineLevel="0" collapsed="false">
      <c r="C110" s="30"/>
      <c r="D110" s="53" t="s">
        <v>33</v>
      </c>
      <c r="E110" s="54" t="n">
        <v>0</v>
      </c>
      <c r="F110" s="55" t="n">
        <v>0</v>
      </c>
      <c r="G110" s="56" t="n">
        <v>0</v>
      </c>
      <c r="H110" s="57" t="n">
        <v>0</v>
      </c>
    </row>
    <row r="111" customFormat="false" ht="12.75" hidden="false" customHeight="false" outlineLevel="0" collapsed="false">
      <c r="C111" s="30"/>
      <c r="D111" s="58" t="s">
        <v>34</v>
      </c>
      <c r="E111" s="59" t="n">
        <v>0</v>
      </c>
      <c r="F111" s="60" t="n">
        <v>0</v>
      </c>
      <c r="G111" s="61" t="n">
        <v>0</v>
      </c>
      <c r="H111" s="62" t="n">
        <v>0</v>
      </c>
    </row>
    <row r="112" customFormat="false" ht="13.5" hidden="false" customHeight="false" outlineLevel="0" collapsed="false">
      <c r="C112" s="30"/>
      <c r="D112" s="53" t="s">
        <v>35</v>
      </c>
      <c r="E112" s="54" t="n">
        <v>0</v>
      </c>
      <c r="F112" s="55" t="n">
        <v>0</v>
      </c>
      <c r="G112" s="55" t="n">
        <v>0</v>
      </c>
      <c r="H112" s="63" t="n">
        <v>0</v>
      </c>
    </row>
    <row r="113" customFormat="false" ht="12.75" hidden="false" customHeight="false" outlineLevel="0" collapsed="false">
      <c r="C113" s="30"/>
      <c r="D113" s="64" t="s">
        <v>36</v>
      </c>
      <c r="E113" s="65" t="s">
        <v>37</v>
      </c>
      <c r="F113" s="66" t="s">
        <v>38</v>
      </c>
      <c r="G113" s="67" t="s">
        <v>68</v>
      </c>
      <c r="H113" s="68" t="s">
        <v>40</v>
      </c>
    </row>
    <row r="114" customFormat="false" ht="15.75" hidden="false" customHeight="false" outlineLevel="0" collapsed="false">
      <c r="C114" s="30"/>
      <c r="D114" s="69" t="s">
        <v>41</v>
      </c>
      <c r="E114" s="70" t="s">
        <v>42</v>
      </c>
      <c r="F114" s="71" t="s">
        <v>43</v>
      </c>
      <c r="G114" s="72" t="s">
        <v>69</v>
      </c>
      <c r="H114" s="73" t="s">
        <v>45</v>
      </c>
    </row>
    <row r="115" customFormat="false" ht="13.5" hidden="false" customHeight="false" outlineLevel="0" collapsed="false">
      <c r="C115" s="30"/>
      <c r="D115" s="74" t="s">
        <v>46</v>
      </c>
      <c r="E115" s="75" t="s">
        <v>47</v>
      </c>
      <c r="F115" s="76" t="s">
        <v>48</v>
      </c>
      <c r="G115" s="77" t="s">
        <v>49</v>
      </c>
      <c r="H115" s="68" t="s">
        <v>50</v>
      </c>
    </row>
    <row r="116" customFormat="false" ht="13.5" hidden="false" customHeight="false" outlineLevel="0" collapsed="false">
      <c r="C116" s="30"/>
      <c r="D116" s="78" t="s">
        <v>51</v>
      </c>
      <c r="E116" s="79" t="n">
        <v>4</v>
      </c>
      <c r="F116" s="80" t="e">
        <f aca="false">GetCorrelName1($E116)</f>
        <v>#VALUE!</v>
      </c>
      <c r="G116" s="81" t="e">
        <f aca="false">GetCorrelName2($E116)</f>
        <v>#VALUE!</v>
      </c>
      <c r="H116" s="82" t="s">
        <v>52</v>
      </c>
    </row>
    <row r="117" customFormat="false" ht="12.75" hidden="false" customHeight="true" outlineLevel="0" collapsed="false">
      <c r="C117" s="30"/>
      <c r="D117" s="83" t="s">
        <v>53</v>
      </c>
      <c r="E117" s="84" t="s">
        <v>70</v>
      </c>
      <c r="F117" s="84"/>
      <c r="G117" s="84"/>
      <c r="H117" s="84"/>
    </row>
    <row r="118" customFormat="false" ht="13.5" hidden="false" customHeight="false" outlineLevel="0" collapsed="false">
      <c r="C118" s="30"/>
      <c r="D118" s="83"/>
      <c r="E118" s="84"/>
      <c r="F118" s="84"/>
      <c r="G118" s="84"/>
      <c r="H118" s="84"/>
    </row>
    <row r="119" customFormat="false" ht="17.25" hidden="false" customHeight="false" outlineLevel="0" collapsed="false">
      <c r="C119" s="30" t="n">
        <v>108</v>
      </c>
      <c r="D119" s="31" t="s">
        <v>13</v>
      </c>
      <c r="E119" s="31"/>
      <c r="F119" s="31"/>
      <c r="G119" s="31"/>
      <c r="H119" s="31"/>
    </row>
    <row r="120" customFormat="false" ht="15.75" hidden="false" customHeight="false" outlineLevel="0" collapsed="false">
      <c r="C120" s="30"/>
      <c r="D120" s="32" t="s">
        <v>14</v>
      </c>
      <c r="E120" s="33" t="s">
        <v>15</v>
      </c>
      <c r="F120" s="33" t="s">
        <v>16</v>
      </c>
      <c r="G120" s="33" t="s">
        <v>17</v>
      </c>
      <c r="H120" s="34" t="s">
        <v>18</v>
      </c>
    </row>
    <row r="121" customFormat="false" ht="13.5" hidden="false" customHeight="false" outlineLevel="0" collapsed="false">
      <c r="C121" s="30"/>
      <c r="D121" s="35" t="s">
        <v>19</v>
      </c>
      <c r="E121" s="36" t="s">
        <v>20</v>
      </c>
      <c r="F121" s="36" t="s">
        <v>67</v>
      </c>
      <c r="G121" s="37" t="n">
        <v>37561</v>
      </c>
      <c r="H121" s="38" t="n">
        <v>37925</v>
      </c>
    </row>
    <row r="122" customFormat="false" ht="15.75" hidden="false" customHeight="false" outlineLevel="0" collapsed="false">
      <c r="C122" s="30"/>
      <c r="D122" s="39"/>
      <c r="E122" s="40" t="s">
        <v>22</v>
      </c>
      <c r="F122" s="41" t="s">
        <v>23</v>
      </c>
      <c r="G122" s="41" t="s">
        <v>24</v>
      </c>
      <c r="H122" s="42" t="s">
        <v>25</v>
      </c>
    </row>
    <row r="123" customFormat="false" ht="12.75" hidden="false" customHeight="false" outlineLevel="0" collapsed="false">
      <c r="C123" s="30"/>
      <c r="D123" s="43" t="s">
        <v>26</v>
      </c>
      <c r="E123" s="44" t="s">
        <v>27</v>
      </c>
      <c r="F123" s="44" t="s">
        <v>28</v>
      </c>
      <c r="G123" s="44" t="s">
        <v>28</v>
      </c>
      <c r="H123" s="45" t="s">
        <v>28</v>
      </c>
    </row>
    <row r="124" customFormat="false" ht="12.75" hidden="false" customHeight="false" outlineLevel="0" collapsed="false">
      <c r="C124" s="30"/>
      <c r="D124" s="46" t="s">
        <v>29</v>
      </c>
      <c r="E124" s="47" t="n">
        <v>27600</v>
      </c>
      <c r="F124" s="47" t="n">
        <v>0</v>
      </c>
      <c r="G124" s="47" t="n">
        <v>0</v>
      </c>
      <c r="H124" s="48" t="n">
        <v>0</v>
      </c>
    </row>
    <row r="125" customFormat="false" ht="12.75" hidden="false" customHeight="false" outlineLevel="0" collapsed="false">
      <c r="C125" s="30"/>
      <c r="D125" s="46" t="s">
        <v>30</v>
      </c>
      <c r="E125" s="49" t="n">
        <v>0.0006</v>
      </c>
      <c r="F125" s="49" t="n">
        <v>0</v>
      </c>
      <c r="G125" s="49" t="n">
        <v>0</v>
      </c>
      <c r="H125" s="50" t="n">
        <v>0</v>
      </c>
    </row>
    <row r="126" customFormat="false" ht="12.75" hidden="false" customHeight="false" outlineLevel="0" collapsed="false">
      <c r="C126" s="30"/>
      <c r="D126" s="46" t="s">
        <v>31</v>
      </c>
      <c r="E126" s="51" t="n">
        <v>0.004</v>
      </c>
      <c r="F126" s="51" t="n">
        <v>0</v>
      </c>
      <c r="G126" s="51" t="n">
        <v>0</v>
      </c>
      <c r="H126" s="52" t="n">
        <v>0</v>
      </c>
    </row>
    <row r="127" customFormat="false" ht="12.75" hidden="false" customHeight="false" outlineLevel="0" collapsed="false">
      <c r="C127" s="30"/>
      <c r="D127" s="46" t="s">
        <v>32</v>
      </c>
      <c r="E127" s="49" t="n">
        <v>0.05</v>
      </c>
      <c r="F127" s="49" t="n">
        <v>0</v>
      </c>
      <c r="G127" s="49" t="n">
        <v>0</v>
      </c>
      <c r="H127" s="50" t="n">
        <v>0</v>
      </c>
    </row>
    <row r="128" customFormat="false" ht="12.75" hidden="false" customHeight="false" outlineLevel="0" collapsed="false">
      <c r="C128" s="30"/>
      <c r="D128" s="53" t="s">
        <v>33</v>
      </c>
      <c r="E128" s="54" t="n">
        <v>0</v>
      </c>
      <c r="F128" s="55" t="n">
        <v>0</v>
      </c>
      <c r="G128" s="56" t="n">
        <v>0</v>
      </c>
      <c r="H128" s="57" t="n">
        <v>0</v>
      </c>
    </row>
    <row r="129" customFormat="false" ht="12.75" hidden="false" customHeight="false" outlineLevel="0" collapsed="false">
      <c r="C129" s="30"/>
      <c r="D129" s="58" t="s">
        <v>34</v>
      </c>
      <c r="E129" s="59" t="n">
        <v>0</v>
      </c>
      <c r="F129" s="60" t="n">
        <v>0</v>
      </c>
      <c r="G129" s="61" t="n">
        <v>0</v>
      </c>
      <c r="H129" s="62" t="n">
        <v>0</v>
      </c>
    </row>
    <row r="130" customFormat="false" ht="13.5" hidden="false" customHeight="false" outlineLevel="0" collapsed="false">
      <c r="C130" s="30"/>
      <c r="D130" s="53" t="s">
        <v>35</v>
      </c>
      <c r="E130" s="54" t="n">
        <v>0</v>
      </c>
      <c r="F130" s="55" t="n">
        <v>0</v>
      </c>
      <c r="G130" s="55" t="n">
        <v>0</v>
      </c>
      <c r="H130" s="63" t="n">
        <v>0</v>
      </c>
    </row>
    <row r="131" customFormat="false" ht="12.75" hidden="false" customHeight="false" outlineLevel="0" collapsed="false">
      <c r="C131" s="30"/>
      <c r="D131" s="64" t="s">
        <v>36</v>
      </c>
      <c r="E131" s="65" t="s">
        <v>37</v>
      </c>
      <c r="F131" s="66" t="s">
        <v>38</v>
      </c>
      <c r="G131" s="67" t="s">
        <v>68</v>
      </c>
      <c r="H131" s="68" t="s">
        <v>40</v>
      </c>
    </row>
    <row r="132" customFormat="false" ht="15.75" hidden="false" customHeight="false" outlineLevel="0" collapsed="false">
      <c r="C132" s="30"/>
      <c r="D132" s="69" t="s">
        <v>41</v>
      </c>
      <c r="E132" s="70" t="s">
        <v>42</v>
      </c>
      <c r="F132" s="71" t="s">
        <v>43</v>
      </c>
      <c r="G132" s="72" t="s">
        <v>69</v>
      </c>
      <c r="H132" s="73" t="s">
        <v>45</v>
      </c>
    </row>
    <row r="133" customFormat="false" ht="13.5" hidden="false" customHeight="false" outlineLevel="0" collapsed="false">
      <c r="C133" s="30"/>
      <c r="D133" s="74" t="s">
        <v>46</v>
      </c>
      <c r="E133" s="75" t="s">
        <v>47</v>
      </c>
      <c r="F133" s="76" t="s">
        <v>48</v>
      </c>
      <c r="G133" s="77" t="s">
        <v>49</v>
      </c>
      <c r="H133" s="68" t="s">
        <v>50</v>
      </c>
    </row>
    <row r="134" customFormat="false" ht="13.5" hidden="false" customHeight="false" outlineLevel="0" collapsed="false">
      <c r="C134" s="30"/>
      <c r="D134" s="78" t="s">
        <v>51</v>
      </c>
      <c r="E134" s="79" t="n">
        <v>4</v>
      </c>
      <c r="F134" s="80" t="e">
        <f aca="false">GetCorrelName1($E134)</f>
        <v>#VALUE!</v>
      </c>
      <c r="G134" s="81" t="e">
        <f aca="false">GetCorrelName2($E134)</f>
        <v>#VALUE!</v>
      </c>
      <c r="H134" s="82" t="s">
        <v>52</v>
      </c>
    </row>
    <row r="135" customFormat="false" ht="12.75" hidden="false" customHeight="true" outlineLevel="0" collapsed="false">
      <c r="C135" s="30"/>
      <c r="D135" s="83" t="s">
        <v>53</v>
      </c>
      <c r="E135" s="84" t="s">
        <v>70</v>
      </c>
      <c r="F135" s="84"/>
      <c r="G135" s="84"/>
      <c r="H135" s="84"/>
    </row>
    <row r="136" customFormat="false" ht="13.5" hidden="false" customHeight="false" outlineLevel="0" collapsed="false">
      <c r="C136" s="30"/>
      <c r="D136" s="83"/>
      <c r="E136" s="84"/>
      <c r="F136" s="84"/>
      <c r="G136" s="84"/>
      <c r="H136" s="84"/>
    </row>
    <row r="137" customFormat="false" ht="13.5" hidden="false" customHeight="false" outlineLevel="0" collapsed="false"/>
  </sheetData>
  <mergeCells count="30">
    <mergeCell ref="C3:H3"/>
    <mergeCell ref="D9:H9"/>
    <mergeCell ref="C11:C28"/>
    <mergeCell ref="D11:H11"/>
    <mergeCell ref="D27:D28"/>
    <mergeCell ref="E27:H28"/>
    <mergeCell ref="C29:C46"/>
    <mergeCell ref="D29:H29"/>
    <mergeCell ref="D45:D46"/>
    <mergeCell ref="E45:H46"/>
    <mergeCell ref="C47:C64"/>
    <mergeCell ref="D47:H47"/>
    <mergeCell ref="D63:D64"/>
    <mergeCell ref="E63:H64"/>
    <mergeCell ref="C65:C82"/>
    <mergeCell ref="D65:H65"/>
    <mergeCell ref="D81:D82"/>
    <mergeCell ref="E81:H82"/>
    <mergeCell ref="C83:C100"/>
    <mergeCell ref="D83:H83"/>
    <mergeCell ref="D99:D100"/>
    <mergeCell ref="E99:H100"/>
    <mergeCell ref="C101:C118"/>
    <mergeCell ref="D101:H101"/>
    <mergeCell ref="D117:D118"/>
    <mergeCell ref="E117:H118"/>
    <mergeCell ref="C119:C136"/>
    <mergeCell ref="D119:H119"/>
    <mergeCell ref="D135:D136"/>
    <mergeCell ref="E135:H136"/>
  </mergeCells>
  <printOptions headings="false" gridLines="false" gridLinesSet="true" horizontalCentered="false" verticalCentered="false"/>
  <pageMargins left="0.747916666666667" right="0.747916666666667" top="0.5" bottom="0.5" header="0.511811023622047" footer="0.511811023622047"/>
  <pageSetup paperSize="5" scale="100"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anchor moveWithCells="true" sizeWithCells="false">
                  <from>
                    <xdr:col>4</xdr:col>
                    <xdr:colOff>1006200</xdr:colOff>
                    <xdr:row>3</xdr:row>
                    <xdr:rowOff>104760</xdr:rowOff>
                  </from>
                  <to>
                    <xdr:col>5</xdr:col>
                    <xdr:colOff>435240</xdr:colOff>
                    <xdr:row>5</xdr:row>
                    <xdr:rowOff>162000</xdr:rowOff>
                  </to>
                </anchor>
              </controlPr>
            </control>
          </mc:Choice>
        </mc:AlternateContent>
        <mc:AlternateContent xmlns:mc="http://schemas.openxmlformats.org/markup-compatibility/2006">
          <mc:Choice Requires="x14">
            <control shapeId="1002" r:id="rId4" name="Button 2">
              <controlPr defaultSize="0" print="false" autoFill="0" autoPict="0">
                <anchor moveWithCells="true" sizeWithCells="false">
                  <from>
                    <xdr:col>2</xdr:col>
                    <xdr:colOff>130320</xdr:colOff>
                    <xdr:row>3</xdr:row>
                    <xdr:rowOff>104760</xdr:rowOff>
                  </from>
                  <to>
                    <xdr:col>3</xdr:col>
                    <xdr:colOff>966960</xdr:colOff>
                    <xdr:row>5</xdr:row>
                    <xdr:rowOff>162000</xdr:rowOff>
                  </to>
                </anchor>
              </controlPr>
            </control>
          </mc:Choice>
        </mc:AlternateContent>
        <mc:AlternateContent xmlns:mc="http://schemas.openxmlformats.org/markup-compatibility/2006">
          <mc:Choice Requires="x14">
            <control shapeId="1003" r:id="rId5" name="Button 3">
              <controlPr defaultSize="0" print="false" autoFill="0" autoPict="0">
                <anchor moveWithCells="true" sizeWithCells="false">
                  <from>
                    <xdr:col>5</xdr:col>
                    <xdr:colOff>1802520</xdr:colOff>
                    <xdr:row>3</xdr:row>
                    <xdr:rowOff>104760</xdr:rowOff>
                  </from>
                  <to>
                    <xdr:col>6</xdr:col>
                    <xdr:colOff>1230120</xdr:colOff>
                    <xdr:row>5</xdr:row>
                    <xdr:rowOff>162000</xdr:rowOff>
                  </to>
                </anchor>
              </controlPr>
            </control>
          </mc:Choice>
        </mc:AlternateContent>
        <mc:AlternateContent xmlns:mc="http://schemas.openxmlformats.org/markup-compatibility/2006">
          <mc:Choice Requires="x14">
            <control shapeId="1004" r:id="rId6" name="Button 4">
              <controlPr defaultSize="0" print="false" autoFill="0" autoPict="0">
                <anchor moveWithCells="true" sizeWithCells="false">
                  <from>
                    <xdr:col>7</xdr:col>
                    <xdr:colOff>433440</xdr:colOff>
                    <xdr:row>3</xdr:row>
                    <xdr:rowOff>104760</xdr:rowOff>
                  </from>
                  <to>
                    <xdr:col>8</xdr:col>
                    <xdr:colOff>-139680</xdr:colOff>
                    <xdr:row>5</xdr:row>
                    <xdr:rowOff>162000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B2:CN164"/>
  <sheetViews>
    <sheetView showFormulas="false" showGridLines="false" showRowColHeaders="true" showZeros="true" rightToLeft="false" tabSelected="false" showOutlineSymbols="true" defaultGridColor="true" view="normal" topLeftCell="BT5" colorId="64" zoomScale="100" zoomScaleNormal="100" zoomScalePageLayoutView="100" workbookViewId="0">
      <selection pane="topLeft" activeCell="CC17" activeCellId="0" sqref="CC17"/>
    </sheetView>
  </sheetViews>
  <sheetFormatPr defaultColWidth="9.13671875" defaultRowHeight="12.75" customHeight="true" zeroHeight="false" outlineLevelRow="0" outlineLevelCol="0"/>
  <cols>
    <col collapsed="false" customWidth="true" hidden="false" outlineLevel="0" max="1" min="1" style="253" width="0.99"/>
    <col collapsed="false" customWidth="false" hidden="false" outlineLevel="0" max="2" min="2" style="253" width="9.14"/>
    <col collapsed="false" customWidth="false" hidden="true" outlineLevel="0" max="3" min="3" style="253" width="9.14"/>
    <col collapsed="false" customWidth="true" hidden="false" outlineLevel="0" max="4" min="4" style="253" width="6.13"/>
    <col collapsed="false" customWidth="true" hidden="false" outlineLevel="0" max="5" min="5" style="253" width="7.56"/>
    <col collapsed="false" customWidth="true" hidden="false" outlineLevel="0" max="6" min="6" style="253" width="7.14"/>
    <col collapsed="false" customWidth="true" hidden="false" outlineLevel="0" max="7" min="7" style="253" width="7.42"/>
    <col collapsed="false" customWidth="true" hidden="false" outlineLevel="0" max="8" min="8" style="253" width="5.28"/>
    <col collapsed="false" customWidth="true" hidden="false" outlineLevel="0" max="9" min="9" style="253" width="7.85"/>
    <col collapsed="false" customWidth="true" hidden="true" outlineLevel="0" max="12" min="10" style="253" width="9.06"/>
    <col collapsed="false" customWidth="false" hidden="false" outlineLevel="0" max="15" min="13" style="253" width="9.14"/>
    <col collapsed="false" customWidth="true" hidden="false" outlineLevel="0" max="16" min="16" style="253" width="2.99"/>
    <col collapsed="false" customWidth="false" hidden="false" outlineLevel="0" max="17" min="17" style="254" width="9.14"/>
    <col collapsed="false" customWidth="true" hidden="false" outlineLevel="0" max="18" min="18" style="254" width="5.99"/>
    <col collapsed="false" customWidth="true" hidden="false" outlineLevel="0" max="19" min="19" style="254" width="8.99"/>
    <col collapsed="false" customWidth="true" hidden="false" outlineLevel="0" max="20" min="20" style="254" width="8.14"/>
    <col collapsed="false" customWidth="true" hidden="false" outlineLevel="0" max="21" min="21" style="254" width="8.99"/>
    <col collapsed="false" customWidth="true" hidden="false" outlineLevel="0" max="22" min="22" style="254" width="7.85"/>
    <col collapsed="false" customWidth="true" hidden="false" outlineLevel="0" max="23" min="23" style="254" width="6.85"/>
    <col collapsed="false" customWidth="true" hidden="false" outlineLevel="0" max="26" min="24" style="254" width="9.28"/>
    <col collapsed="false" customWidth="true" hidden="false" outlineLevel="0" max="27" min="27" style="254" width="3.14"/>
    <col collapsed="false" customWidth="false" hidden="false" outlineLevel="0" max="28" min="28" style="254" width="9.14"/>
    <col collapsed="false" customWidth="true" hidden="false" outlineLevel="0" max="30" min="29" style="254" width="5.28"/>
    <col collapsed="false" customWidth="true" hidden="false" outlineLevel="0" max="31" min="31" style="254" width="7.14"/>
    <col collapsed="false" customWidth="true" hidden="false" outlineLevel="0" max="32" min="32" style="254" width="7.28"/>
    <col collapsed="false" customWidth="true" hidden="false" outlineLevel="0" max="33" min="33" style="254" width="7.7"/>
    <col collapsed="false" customWidth="true" hidden="false" outlineLevel="0" max="34" min="34" style="254" width="8.99"/>
    <col collapsed="false" customWidth="true" hidden="false" outlineLevel="0" max="35" min="35" style="254" width="10.56"/>
    <col collapsed="false" customWidth="true" hidden="false" outlineLevel="0" max="37" min="36" style="254" width="8.41"/>
    <col collapsed="false" customWidth="false" hidden="false" outlineLevel="0" max="39" min="38" style="253" width="9.14"/>
    <col collapsed="false" customWidth="true" hidden="false" outlineLevel="0" max="51" min="40" style="253" width="12.7"/>
    <col collapsed="false" customWidth="true" hidden="true" outlineLevel="0" max="58" min="52" style="253" width="12.7"/>
    <col collapsed="false" customWidth="true" hidden="false" outlineLevel="0" max="66" min="59" style="253" width="12.7"/>
    <col collapsed="false" customWidth="false" hidden="false" outlineLevel="0" max="69" min="67" style="253" width="9.14"/>
    <col collapsed="false" customWidth="true" hidden="false" outlineLevel="0" max="70" min="70" style="253" width="13.14"/>
    <col collapsed="false" customWidth="true" hidden="false" outlineLevel="0" max="76" min="71" style="253" width="12.7"/>
    <col collapsed="false" customWidth="true" hidden="false" outlineLevel="0" max="79" min="77" style="255" width="12.7"/>
    <col collapsed="false" customWidth="true" hidden="false" outlineLevel="0" max="80" min="80" style="253" width="14.41"/>
    <col collapsed="false" customWidth="true" hidden="false" outlineLevel="0" max="81" min="81" style="253" width="13.41"/>
    <col collapsed="false" customWidth="false" hidden="false" outlineLevel="0" max="88" min="82" style="253" width="9.14"/>
    <col collapsed="false" customWidth="false" hidden="false" outlineLevel="0" max="89" min="89" style="256" width="9.14"/>
    <col collapsed="false" customWidth="false" hidden="false" outlineLevel="0" max="257" min="90" style="253" width="9.14"/>
  </cols>
  <sheetData>
    <row r="2" customFormat="false" ht="12.75" hidden="false" customHeight="false" outlineLevel="0" collapsed="false">
      <c r="B2" s="257"/>
      <c r="C2" s="258"/>
      <c r="D2" s="259" t="s">
        <v>424</v>
      </c>
      <c r="E2" s="259"/>
      <c r="F2" s="259"/>
      <c r="G2" s="259"/>
      <c r="H2" s="259"/>
      <c r="I2" s="259"/>
      <c r="J2" s="259"/>
      <c r="K2" s="259"/>
      <c r="L2" s="259"/>
      <c r="M2" s="259"/>
      <c r="N2" s="259"/>
      <c r="O2" s="259"/>
    </row>
    <row r="3" customFormat="false" ht="12.75" hidden="false" customHeight="false" outlineLevel="0" collapsed="false">
      <c r="B3" s="260"/>
      <c r="D3" s="261" t="s">
        <v>410</v>
      </c>
      <c r="E3" s="261" t="s">
        <v>425</v>
      </c>
      <c r="F3" s="261" t="s">
        <v>55</v>
      </c>
      <c r="G3" s="261" t="s">
        <v>21</v>
      </c>
      <c r="H3" s="261" t="s">
        <v>426</v>
      </c>
      <c r="I3" s="261" t="s">
        <v>373</v>
      </c>
      <c r="J3" s="262"/>
      <c r="K3" s="262"/>
      <c r="L3" s="262"/>
      <c r="M3" s="259" t="s">
        <v>201</v>
      </c>
      <c r="N3" s="259" t="s">
        <v>200</v>
      </c>
      <c r="O3" s="261" t="s">
        <v>67</v>
      </c>
    </row>
    <row r="4" customFormat="false" ht="12.75" hidden="false" customHeight="false" outlineLevel="0" collapsed="false">
      <c r="B4" s="263" t="n">
        <v>2001</v>
      </c>
      <c r="D4" s="264" t="n">
        <f aca="false">SUMIF($C$17:$C$65536,$B4,D$17:D$65536)</f>
        <v>0</v>
      </c>
      <c r="E4" s="264" t="n">
        <f aca="false">SUMIF($C$17:$C$65536,$B4,E$17:E$65536)</f>
        <v>0</v>
      </c>
      <c r="F4" s="264" t="n">
        <f aca="false">SUMIF($C$17:$C$65536,$B4,F$17:F$65536)</f>
        <v>0</v>
      </c>
      <c r="G4" s="264" t="n">
        <f aca="false">SUMIF($C$17:$C$65536,$B4,G$17:G$65536)</f>
        <v>0</v>
      </c>
      <c r="H4" s="264" t="n">
        <f aca="false">SUMIF($C$17:$C$65536,$B4,H$17:H$65536)</f>
        <v>0</v>
      </c>
      <c r="I4" s="264" t="n">
        <f aca="false">SUMIF($C$17:$C$65536,$B4,I$17:I$65536)</f>
        <v>0</v>
      </c>
      <c r="J4" s="265"/>
      <c r="K4" s="265"/>
      <c r="L4" s="266"/>
      <c r="M4" s="266" t="n">
        <f aca="false">SUMIF($C$17:$C$65536,$B4,M$17:M$65536)</f>
        <v>0</v>
      </c>
      <c r="N4" s="267" t="n">
        <f aca="false">SUMIF($C$17:$C$65536,$B4,N$17:N$65536)</f>
        <v>0</v>
      </c>
      <c r="O4" s="268" t="n">
        <f aca="false">SUMIF($C$17:$C$65536,$B4,O$17:O$65536)</f>
        <v>0</v>
      </c>
    </row>
    <row r="5" customFormat="false" ht="12.75" hidden="false" customHeight="false" outlineLevel="0" collapsed="false">
      <c r="B5" s="263" t="n">
        <v>2002</v>
      </c>
      <c r="D5" s="264" t="n">
        <f aca="false">SUMIF($C$17:$C$65536,$B5,D$17:D$65536)</f>
        <v>0</v>
      </c>
      <c r="E5" s="264" t="n">
        <f aca="false">SUMIF($C$17:$C$65536,$B5,E$17:E$65536)</f>
        <v>0</v>
      </c>
      <c r="F5" s="264" t="n">
        <f aca="false">SUMIF($C$17:$C$65536,$B5,F$17:F$65536)</f>
        <v>0</v>
      </c>
      <c r="G5" s="264" t="n">
        <f aca="false">SUMIF($C$17:$C$65536,$B5,G$17:G$65536)</f>
        <v>0</v>
      </c>
      <c r="H5" s="264" t="n">
        <f aca="false">SUMIF($C$17:$C$65536,$B5,H$17:H$65536)</f>
        <v>0</v>
      </c>
      <c r="I5" s="264" t="n">
        <f aca="false">SUMIF($C$17:$C$65536,$B5,I$17:I$65536)</f>
        <v>0</v>
      </c>
      <c r="J5" s="265"/>
      <c r="K5" s="265"/>
      <c r="L5" s="266"/>
      <c r="M5" s="266" t="n">
        <f aca="false">SUMIF($C$17:$C$65536,$B5,M$17:M$65536)</f>
        <v>0</v>
      </c>
      <c r="N5" s="264" t="n">
        <f aca="false">SUMIF($C$17:$C$65536,$B5,N$17:N$65536)</f>
        <v>0</v>
      </c>
      <c r="O5" s="264" t="n">
        <f aca="false">SUMIF($C$17:$C$65536,$B5,O$17:O$65536)</f>
        <v>0</v>
      </c>
    </row>
    <row r="6" customFormat="false" ht="12.75" hidden="false" customHeight="false" outlineLevel="0" collapsed="false">
      <c r="B6" s="263" t="n">
        <v>2003</v>
      </c>
      <c r="D6" s="264" t="n">
        <f aca="false">SUMIF($C$17:$C$65536,$B6,D$17:D$65536)</f>
        <v>0</v>
      </c>
      <c r="E6" s="264" t="n">
        <f aca="false">SUMIF($C$17:$C$65536,$B6,E$17:E$65536)</f>
        <v>0</v>
      </c>
      <c r="F6" s="264" t="n">
        <f aca="false">SUMIF($C$17:$C$65536,$B6,F$17:F$65536)</f>
        <v>0</v>
      </c>
      <c r="G6" s="264" t="n">
        <f aca="false">SUMIF($C$17:$C$65536,$B6,G$17:G$65536)</f>
        <v>0</v>
      </c>
      <c r="H6" s="264" t="n">
        <f aca="false">SUMIF($C$17:$C$65536,$B6,H$17:H$65536)</f>
        <v>0</v>
      </c>
      <c r="I6" s="264" t="n">
        <f aca="false">SUMIF($C$17:$C$65536,$B6,I$17:I$65536)</f>
        <v>0</v>
      </c>
      <c r="J6" s="265"/>
      <c r="K6" s="265"/>
      <c r="L6" s="266"/>
      <c r="M6" s="266" t="n">
        <f aca="false">SUMIF($C$17:$C$65536,$B6,M$17:M$65536)</f>
        <v>0</v>
      </c>
      <c r="N6" s="264" t="n">
        <f aca="false">SUMIF($C$17:$C$65536,$B6,N$17:N$65536)</f>
        <v>0</v>
      </c>
      <c r="O6" s="264" t="n">
        <f aca="false">SUMIF($C$17:$C$65536,$B6,O$17:O$65536)</f>
        <v>0</v>
      </c>
    </row>
    <row r="7" customFormat="false" ht="12.75" hidden="false" customHeight="false" outlineLevel="0" collapsed="false">
      <c r="B7" s="263" t="n">
        <v>2004</v>
      </c>
      <c r="D7" s="264" t="n">
        <f aca="false">SUMIF($C$17:$C$65536,$B7,D$17:D$65536)</f>
        <v>0</v>
      </c>
      <c r="E7" s="264" t="n">
        <f aca="false">SUMIF($C$17:$C$65536,$B7,E$17:E$65536)</f>
        <v>0</v>
      </c>
      <c r="F7" s="264" t="n">
        <f aca="false">SUMIF($C$17:$C$65536,$B7,F$17:F$65536)</f>
        <v>0</v>
      </c>
      <c r="G7" s="264" t="n">
        <f aca="false">SUMIF($C$17:$C$65536,$B7,G$17:G$65536)</f>
        <v>0</v>
      </c>
      <c r="H7" s="264" t="n">
        <f aca="false">SUMIF($C$17:$C$65536,$B7,H$17:H$65536)</f>
        <v>0</v>
      </c>
      <c r="I7" s="264" t="n">
        <f aca="false">SUMIF($C$17:$C$65536,$B7,I$17:I$65536)</f>
        <v>0</v>
      </c>
      <c r="J7" s="265"/>
      <c r="K7" s="265"/>
      <c r="L7" s="266"/>
      <c r="M7" s="266" t="n">
        <f aca="false">SUMIF($C$17:$C$65536,$B7,M$17:M$65536)</f>
        <v>0</v>
      </c>
      <c r="N7" s="264" t="n">
        <f aca="false">SUMIF($C$17:$C$65536,$B7,N$17:N$65536)</f>
        <v>0</v>
      </c>
      <c r="O7" s="264" t="n">
        <f aca="false">SUMIF($C$17:$C$65536,$B7,O$17:O$65536)</f>
        <v>0</v>
      </c>
    </row>
    <row r="8" customFormat="false" ht="12.75" hidden="false" customHeight="false" outlineLevel="0" collapsed="false">
      <c r="B8" s="263" t="n">
        <v>2005</v>
      </c>
      <c r="D8" s="264" t="n">
        <f aca="false">SUMIF($C$17:$C$65536,$B8,D$17:D$65536)</f>
        <v>0</v>
      </c>
      <c r="E8" s="264" t="n">
        <f aca="false">SUMIF($C$17:$C$65536,$B8,E$17:E$65536)</f>
        <v>0</v>
      </c>
      <c r="F8" s="264" t="n">
        <f aca="false">SUMIF($C$17:$C$65536,$B8,F$17:F$65536)</f>
        <v>0</v>
      </c>
      <c r="G8" s="264" t="n">
        <f aca="false">SUMIF($C$17:$C$65536,$B8,G$17:G$65536)</f>
        <v>0</v>
      </c>
      <c r="H8" s="264" t="n">
        <f aca="false">SUMIF($C$17:$C$65536,$B8,H$17:H$65536)</f>
        <v>0</v>
      </c>
      <c r="I8" s="264" t="n">
        <f aca="false">SUMIF($C$17:$C$65536,$B8,I$17:I$65536)</f>
        <v>0</v>
      </c>
      <c r="J8" s="265"/>
      <c r="K8" s="265"/>
      <c r="L8" s="266"/>
      <c r="M8" s="266" t="n">
        <f aca="false">SUMIF($C$17:$C$65536,$B8,M$17:M$65536)</f>
        <v>0</v>
      </c>
      <c r="N8" s="264" t="n">
        <f aca="false">SUMIF($C$17:$C$65536,$B8,N$17:N$65536)</f>
        <v>0</v>
      </c>
      <c r="O8" s="264" t="n">
        <f aca="false">SUMIF($C$17:$C$65536,$B8,O$17:O$65536)</f>
        <v>0</v>
      </c>
      <c r="P8" s="255"/>
    </row>
    <row r="9" customFormat="false" ht="12.75" hidden="false" customHeight="false" outlineLevel="0" collapsed="false">
      <c r="B9" s="263" t="n">
        <v>2006</v>
      </c>
      <c r="D9" s="264" t="n">
        <f aca="false">SUMIF($C$17:$C$65536,$B9,D$17:D$65536)</f>
        <v>0</v>
      </c>
      <c r="E9" s="264" t="n">
        <f aca="false">SUMIF($C$17:$C$65536,$B9,E$17:E$65536)</f>
        <v>0</v>
      </c>
      <c r="F9" s="264" t="n">
        <f aca="false">SUMIF($C$17:$C$65536,$B9,F$17:F$65536)</f>
        <v>0</v>
      </c>
      <c r="G9" s="264" t="n">
        <f aca="false">SUMIF($C$17:$C$65536,$B9,G$17:G$65536)</f>
        <v>0</v>
      </c>
      <c r="H9" s="264" t="n">
        <f aca="false">SUMIF($C$17:$C$65536,$B9,H$17:H$65536)</f>
        <v>0</v>
      </c>
      <c r="I9" s="264" t="n">
        <f aca="false">SUMIF($C$17:$C$65536,$B9,I$17:I$65536)</f>
        <v>0</v>
      </c>
      <c r="J9" s="265"/>
      <c r="K9" s="265"/>
      <c r="L9" s="266"/>
      <c r="M9" s="266" t="n">
        <f aca="false">SUMIF($C$17:$C$65536,$B9,M$17:M$65536)</f>
        <v>0</v>
      </c>
      <c r="N9" s="264" t="n">
        <f aca="false">SUMIF($C$17:$C$65536,$B9,N$17:N$65536)</f>
        <v>0</v>
      </c>
      <c r="O9" s="264" t="n">
        <f aca="false">SUMIF($C$17:$C$65536,$B9,O$17:O$65536)</f>
        <v>0</v>
      </c>
    </row>
    <row r="10" customFormat="false" ht="12.75" hidden="false" customHeight="false" outlineLevel="0" collapsed="false">
      <c r="B10" s="263" t="n">
        <v>2007</v>
      </c>
      <c r="D10" s="264" t="n">
        <f aca="false">SUMIF($C$17:$C$65536,$B10,D$17:D$65536)</f>
        <v>0</v>
      </c>
      <c r="E10" s="264" t="n">
        <f aca="false">SUMIF($C$17:$C$65536,$B10,E$17:E$65536)</f>
        <v>0</v>
      </c>
      <c r="F10" s="264" t="n">
        <f aca="false">SUMIF($C$17:$C$65536,$B10,F$17:F$65536)</f>
        <v>0</v>
      </c>
      <c r="G10" s="264" t="n">
        <f aca="false">SUMIF($C$17:$C$65536,$B10,G$17:G$65536)</f>
        <v>0</v>
      </c>
      <c r="H10" s="264" t="n">
        <f aca="false">SUMIF($C$17:$C$65536,$B10,H$17:H$65536)</f>
        <v>0</v>
      </c>
      <c r="I10" s="264" t="n">
        <f aca="false">SUMIF($C$17:$C$65536,$B10,I$17:I$65536)</f>
        <v>0</v>
      </c>
      <c r="J10" s="265"/>
      <c r="K10" s="265"/>
      <c r="L10" s="266"/>
      <c r="M10" s="266" t="n">
        <f aca="false">SUMIF($C$17:$C$65536,$B10,M$17:M$65536)</f>
        <v>0</v>
      </c>
      <c r="N10" s="264" t="n">
        <f aca="false">SUMIF($C$17:$C$65536,$B10,N$17:N$65536)</f>
        <v>0</v>
      </c>
      <c r="O10" s="264" t="n">
        <f aca="false">SUMIF($C$17:$C$65536,$B10,O$17:O$65536)</f>
        <v>0</v>
      </c>
    </row>
    <row r="11" customFormat="false" ht="12.75" hidden="false" customHeight="false" outlineLevel="0" collapsed="false">
      <c r="B11" s="263" t="n">
        <v>2008</v>
      </c>
      <c r="D11" s="264" t="n">
        <f aca="false">SUMIF($C$17:$C$65536,$B11,D$17:D$65536)</f>
        <v>0</v>
      </c>
      <c r="E11" s="264" t="n">
        <f aca="false">SUMIF($C$17:$C$65536,$B11,E$17:E$65536)</f>
        <v>0</v>
      </c>
      <c r="F11" s="264" t="n">
        <f aca="false">SUMIF($C$17:$C$65536,$B11,F$17:F$65536)</f>
        <v>0</v>
      </c>
      <c r="G11" s="264" t="n">
        <f aca="false">SUMIF($C$17:$C$65536,$B11,G$17:G$65536)</f>
        <v>0</v>
      </c>
      <c r="H11" s="264" t="n">
        <f aca="false">SUMIF($C$17:$C$65536,$B11,H$17:H$65536)</f>
        <v>0</v>
      </c>
      <c r="I11" s="264" t="n">
        <f aca="false">SUMIF($C$17:$C$65536,$B11,I$17:I$65536)</f>
        <v>0</v>
      </c>
      <c r="J11" s="265"/>
      <c r="K11" s="265"/>
      <c r="L11" s="266"/>
      <c r="M11" s="266" t="n">
        <f aca="false">SUMIF($C$17:$C$65536,$B11,M$17:M$65536)</f>
        <v>0</v>
      </c>
      <c r="N11" s="264" t="n">
        <f aca="false">SUMIF($C$17:$C$65536,$B11,N$17:N$65536)</f>
        <v>0</v>
      </c>
      <c r="O11" s="264" t="n">
        <f aca="false">SUMIF($C$17:$C$65536,$B11,O$17:O$65536)</f>
        <v>0</v>
      </c>
    </row>
    <row r="12" customFormat="false" ht="13.5" hidden="false" customHeight="false" outlineLevel="0" collapsed="false">
      <c r="B12" s="269" t="n">
        <v>2009</v>
      </c>
      <c r="D12" s="264" t="n">
        <f aca="false">SUMIF($C$17:$C$65536,$B12,D$17:D$65536)</f>
        <v>0</v>
      </c>
      <c r="E12" s="264" t="n">
        <f aca="false">SUMIF($C$17:$C$65536,$B12,E$17:E$65536)</f>
        <v>0</v>
      </c>
      <c r="F12" s="264" t="n">
        <f aca="false">SUMIF($C$17:$C$65536,$B12,F$17:F$65536)</f>
        <v>0</v>
      </c>
      <c r="G12" s="264" t="n">
        <f aca="false">SUMIF($C$17:$C$65536,$B12,G$17:G$65536)</f>
        <v>0</v>
      </c>
      <c r="H12" s="264" t="n">
        <f aca="false">SUMIF($C$17:$C$65536,$B12,H$17:H$65536)</f>
        <v>0</v>
      </c>
      <c r="I12" s="264" t="n">
        <f aca="false">SUMIF($C$17:$C$65536,$B12,I$17:I$65536)</f>
        <v>0</v>
      </c>
      <c r="J12" s="265"/>
      <c r="K12" s="265"/>
      <c r="L12" s="266"/>
      <c r="M12" s="264" t="n">
        <f aca="false">SUMIF($C$17:$C$65536,$B12,M$17:M$65536)</f>
        <v>0</v>
      </c>
      <c r="N12" s="270" t="n">
        <f aca="false">SUMIF($C$17:$C$65536,$B12,N$17:N$65536)</f>
        <v>0</v>
      </c>
      <c r="O12" s="264" t="n">
        <f aca="false">SUMIF($C$17:$C$65536,$B12,O$17:O$65536)</f>
        <v>0</v>
      </c>
    </row>
    <row r="13" customFormat="false" ht="13.5" hidden="false" customHeight="false" outlineLevel="0" collapsed="false">
      <c r="D13" s="271" t="n">
        <f aca="false">SUM(D4:D12)</f>
        <v>0</v>
      </c>
      <c r="E13" s="272" t="n">
        <f aca="false">SUM(E4:E12)</f>
        <v>0</v>
      </c>
      <c r="F13" s="272" t="n">
        <f aca="false">SUM(F4:F12)</f>
        <v>0</v>
      </c>
      <c r="G13" s="272" t="n">
        <f aca="false">SUM(G4:G12)</f>
        <v>0</v>
      </c>
      <c r="H13" s="272" t="n">
        <f aca="false">SUM(H4:H12)</f>
        <v>0</v>
      </c>
      <c r="I13" s="272" t="n">
        <f aca="false">SUM(I4:I12)</f>
        <v>0</v>
      </c>
      <c r="J13" s="273"/>
      <c r="K13" s="273"/>
      <c r="L13" s="273"/>
      <c r="M13" s="274" t="n">
        <f aca="false">SUM(M4:M12)</f>
        <v>0</v>
      </c>
      <c r="N13" s="275" t="n">
        <f aca="false">SUM(N4:N12)</f>
        <v>0</v>
      </c>
      <c r="O13" s="276" t="n">
        <f aca="false">SUM(O4:O12)</f>
        <v>0</v>
      </c>
    </row>
    <row r="14" customFormat="false" ht="13.5" hidden="false" customHeight="false" outlineLevel="0" collapsed="false">
      <c r="AF14" s="277"/>
      <c r="AN14" s="278" t="s">
        <v>427</v>
      </c>
      <c r="AO14" s="278"/>
      <c r="AP14" s="278"/>
      <c r="AR14" s="278" t="s">
        <v>428</v>
      </c>
      <c r="AS14" s="278"/>
      <c r="AT14" s="278"/>
      <c r="AV14" s="278" t="s">
        <v>429</v>
      </c>
      <c r="AW14" s="278"/>
      <c r="AX14" s="278"/>
      <c r="AZ14" s="279"/>
      <c r="BA14" s="280"/>
      <c r="BB14" s="281"/>
      <c r="BD14" s="279"/>
      <c r="BE14" s="280"/>
      <c r="BF14" s="281"/>
      <c r="BH14" s="278" t="s">
        <v>430</v>
      </c>
      <c r="BI14" s="278"/>
      <c r="BJ14" s="278"/>
      <c r="BL14" s="278" t="s">
        <v>431</v>
      </c>
      <c r="BM14" s="278"/>
      <c r="BN14" s="278"/>
      <c r="BQ14" s="282" t="s">
        <v>432</v>
      </c>
      <c r="BR14" s="282"/>
      <c r="BS14" s="282"/>
      <c r="BT14" s="282"/>
      <c r="BV14" s="282" t="s">
        <v>433</v>
      </c>
      <c r="BW14" s="282"/>
      <c r="BX14" s="283"/>
      <c r="BY14" s="284"/>
      <c r="BZ14" s="253"/>
      <c r="CA14" s="282" t="s">
        <v>434</v>
      </c>
      <c r="CB14" s="282"/>
      <c r="CC14" s="283"/>
      <c r="CD14" s="255"/>
    </row>
    <row r="15" customFormat="false" ht="12.75" hidden="false" customHeight="false" outlineLevel="0" collapsed="false">
      <c r="B15" s="257"/>
      <c r="C15" s="285"/>
      <c r="D15" s="286"/>
      <c r="E15" s="286"/>
      <c r="F15" s="287" t="s">
        <v>435</v>
      </c>
      <c r="G15" s="285"/>
      <c r="H15" s="285"/>
      <c r="I15" s="285"/>
      <c r="J15" s="285"/>
      <c r="K15" s="285"/>
      <c r="L15" s="285"/>
      <c r="M15" s="285"/>
      <c r="N15" s="288"/>
      <c r="O15" s="289"/>
      <c r="Q15" s="290" t="s">
        <v>436</v>
      </c>
      <c r="R15" s="290"/>
      <c r="S15" s="290"/>
      <c r="T15" s="290"/>
      <c r="U15" s="290"/>
      <c r="V15" s="290"/>
      <c r="W15" s="290"/>
      <c r="X15" s="290"/>
      <c r="Y15" s="290"/>
      <c r="Z15" s="290"/>
      <c r="AA15" s="290"/>
      <c r="AB15" s="257"/>
      <c r="AC15" s="262" t="s">
        <v>437</v>
      </c>
      <c r="AD15" s="262"/>
      <c r="AE15" s="262"/>
      <c r="AF15" s="285"/>
      <c r="AG15" s="291"/>
      <c r="AH15" s="291"/>
      <c r="AI15" s="291"/>
      <c r="AJ15" s="292"/>
      <c r="AK15" s="293"/>
      <c r="AN15" s="294"/>
      <c r="AO15" s="295" t="s">
        <v>38</v>
      </c>
      <c r="AP15" s="296" t="s">
        <v>36</v>
      </c>
      <c r="AR15" s="294"/>
      <c r="AS15" s="295" t="s">
        <v>38</v>
      </c>
      <c r="AT15" s="296" t="s">
        <v>36</v>
      </c>
      <c r="AV15" s="294"/>
      <c r="AW15" s="295" t="s">
        <v>38</v>
      </c>
      <c r="AX15" s="296" t="s">
        <v>36</v>
      </c>
      <c r="AZ15" s="297"/>
      <c r="BA15" s="298"/>
      <c r="BB15" s="299"/>
      <c r="BD15" s="297"/>
      <c r="BE15" s="298"/>
      <c r="BF15" s="299"/>
      <c r="BH15" s="294"/>
      <c r="BI15" s="295" t="s">
        <v>38</v>
      </c>
      <c r="BJ15" s="296" t="s">
        <v>36</v>
      </c>
      <c r="BL15" s="294"/>
      <c r="BM15" s="295" t="s">
        <v>38</v>
      </c>
      <c r="BN15" s="296" t="s">
        <v>36</v>
      </c>
      <c r="BQ15" s="294"/>
      <c r="BR15" s="295" t="s">
        <v>38</v>
      </c>
      <c r="BS15" s="296" t="s">
        <v>36</v>
      </c>
      <c r="BT15" s="284"/>
      <c r="BV15" s="294"/>
      <c r="BW15" s="295" t="s">
        <v>38</v>
      </c>
      <c r="BX15" s="296" t="s">
        <v>36</v>
      </c>
      <c r="BY15" s="284"/>
      <c r="BZ15" s="253"/>
      <c r="CA15" s="294"/>
      <c r="CB15" s="295" t="s">
        <v>38</v>
      </c>
      <c r="CC15" s="296" t="s">
        <v>36</v>
      </c>
      <c r="CD15" s="255"/>
    </row>
    <row r="16" customFormat="false" ht="13.5" hidden="false" customHeight="false" outlineLevel="0" collapsed="false">
      <c r="B16" s="257"/>
      <c r="C16" s="285"/>
      <c r="D16" s="259" t="s">
        <v>410</v>
      </c>
      <c r="E16" s="259" t="s">
        <v>425</v>
      </c>
      <c r="F16" s="259" t="s">
        <v>55</v>
      </c>
      <c r="G16" s="259" t="s">
        <v>21</v>
      </c>
      <c r="H16" s="300" t="s">
        <v>426</v>
      </c>
      <c r="I16" s="300" t="s">
        <v>373</v>
      </c>
      <c r="J16" s="301"/>
      <c r="K16" s="301"/>
      <c r="L16" s="301"/>
      <c r="M16" s="300" t="s">
        <v>201</v>
      </c>
      <c r="N16" s="300" t="s">
        <v>200</v>
      </c>
      <c r="O16" s="261" t="s">
        <v>67</v>
      </c>
      <c r="Q16" s="302"/>
      <c r="R16" s="303" t="s">
        <v>410</v>
      </c>
      <c r="S16" s="304" t="s">
        <v>425</v>
      </c>
      <c r="T16" s="304" t="s">
        <v>55</v>
      </c>
      <c r="U16" s="304" t="s">
        <v>21</v>
      </c>
      <c r="V16" s="304" t="s">
        <v>59</v>
      </c>
      <c r="W16" s="304" t="s">
        <v>373</v>
      </c>
      <c r="X16" s="304" t="s">
        <v>201</v>
      </c>
      <c r="Y16" s="305" t="s">
        <v>200</v>
      </c>
      <c r="Z16" s="261" t="s">
        <v>67</v>
      </c>
      <c r="AA16" s="298"/>
      <c r="AB16" s="306"/>
      <c r="AC16" s="259" t="s">
        <v>410</v>
      </c>
      <c r="AD16" s="261" t="s">
        <v>425</v>
      </c>
      <c r="AE16" s="261" t="s">
        <v>55</v>
      </c>
      <c r="AF16" s="261" t="s">
        <v>438</v>
      </c>
      <c r="AG16" s="261" t="s">
        <v>59</v>
      </c>
      <c r="AH16" s="261" t="s">
        <v>373</v>
      </c>
      <c r="AI16" s="261" t="s">
        <v>201</v>
      </c>
      <c r="AJ16" s="300" t="s">
        <v>200</v>
      </c>
      <c r="AK16" s="261" t="s">
        <v>67</v>
      </c>
      <c r="AN16" s="294" t="s">
        <v>410</v>
      </c>
      <c r="AO16" s="295" t="s">
        <v>21</v>
      </c>
      <c r="AP16" s="296" t="s">
        <v>425</v>
      </c>
      <c r="AR16" s="294" t="s">
        <v>410</v>
      </c>
      <c r="AS16" s="295" t="s">
        <v>21</v>
      </c>
      <c r="AT16" s="296" t="s">
        <v>55</v>
      </c>
      <c r="AV16" s="307" t="s">
        <v>410</v>
      </c>
      <c r="AW16" s="308" t="s">
        <v>439</v>
      </c>
      <c r="AX16" s="309" t="s">
        <v>440</v>
      </c>
      <c r="AZ16" s="310"/>
      <c r="BA16" s="311"/>
      <c r="BB16" s="312"/>
      <c r="BD16" s="310"/>
      <c r="BE16" s="311"/>
      <c r="BF16" s="312"/>
      <c r="BH16" s="294" t="s">
        <v>410</v>
      </c>
      <c r="BI16" s="295" t="s">
        <v>21</v>
      </c>
      <c r="BJ16" s="296" t="s">
        <v>55</v>
      </c>
      <c r="BL16" s="294" t="s">
        <v>410</v>
      </c>
      <c r="BM16" s="295" t="s">
        <v>21</v>
      </c>
      <c r="BN16" s="296" t="s">
        <v>55</v>
      </c>
      <c r="BQ16" s="294" t="s">
        <v>410</v>
      </c>
      <c r="BR16" s="295" t="s">
        <v>201</v>
      </c>
      <c r="BS16" s="296" t="s">
        <v>200</v>
      </c>
      <c r="BT16" s="284"/>
      <c r="BV16" s="294" t="s">
        <v>410</v>
      </c>
      <c r="BW16" s="295" t="s">
        <v>67</v>
      </c>
      <c r="BX16" s="296" t="s">
        <v>20</v>
      </c>
      <c r="BY16" s="284"/>
      <c r="BZ16" s="253"/>
      <c r="CA16" s="294" t="s">
        <v>410</v>
      </c>
      <c r="CB16" s="295" t="s">
        <v>441</v>
      </c>
      <c r="CC16" s="296" t="s">
        <v>20</v>
      </c>
      <c r="CD16" s="255"/>
      <c r="CF16" s="313"/>
      <c r="CG16" s="314" t="s">
        <v>437</v>
      </c>
      <c r="CH16" s="315"/>
      <c r="CI16" s="315"/>
      <c r="CJ16" s="315"/>
      <c r="CK16" s="316"/>
      <c r="CL16" s="315"/>
      <c r="CM16" s="315"/>
      <c r="CN16" s="317"/>
    </row>
    <row r="17" customFormat="false" ht="12.75" hidden="false" customHeight="false" outlineLevel="0" collapsed="false">
      <c r="B17" s="318" t="e">
        <f aca="false">Q17</f>
        <v>#VALUE!</v>
      </c>
      <c r="C17" s="319" t="e">
        <f aca="false">YEAR(B17)</f>
        <v>#VALUE!</v>
      </c>
      <c r="D17" s="266" t="e">
        <f aca="false">R17+AC17</f>
        <v>#VALUE!</v>
      </c>
      <c r="E17" s="266" t="e">
        <f aca="false">S17+AD17</f>
        <v>#VALUE!</v>
      </c>
      <c r="F17" s="266" t="e">
        <f aca="false">+T17+AE17</f>
        <v>#VALUE!</v>
      </c>
      <c r="G17" s="266" t="e">
        <f aca="false">+U17+AF17</f>
        <v>#VALUE!</v>
      </c>
      <c r="H17" s="266" t="e">
        <f aca="false">V17+AG17</f>
        <v>#VALUE!</v>
      </c>
      <c r="I17" s="266" t="e">
        <f aca="false">W17+AH17</f>
        <v>#VALUE!</v>
      </c>
      <c r="J17" s="265"/>
      <c r="K17" s="265"/>
      <c r="L17" s="265"/>
      <c r="M17" s="268" t="e">
        <f aca="false">X17+AI17</f>
        <v>#VALUE!</v>
      </c>
      <c r="N17" s="267" t="e">
        <f aca="false">Y17+AJ17</f>
        <v>#VALUE!</v>
      </c>
      <c r="O17" s="267" t="e">
        <f aca="false">Z17+AK17</f>
        <v>#VALUE!</v>
      </c>
      <c r="Q17" s="320" t="e">
        <f aca="false">AM17</f>
        <v>#VALUE!</v>
      </c>
      <c r="R17" s="266" t="e">
        <f aca="false">SUMIF(AM:AM,$Q17,AN:AN)+SUMIF(AQ:AQ,$Q17,AR:AR)+SUMIF(AU:AU,$Q17,AV:AV)+SUMIF(BU:BU,$Q17,BV:BV)+SUMIF(BZ:BZ,$Q17,CA:CA)+SUMIF(BG:BG,$Q17,BH:BH)+SUMIF(BK:BK,$Q17,BL:BL)+SUMIF(BP:BP,$Q17,BQ:BQ)</f>
        <v>#VALUE!</v>
      </c>
      <c r="S17" s="264" t="e">
        <f aca="false">SUMIF(AM:AM,$Q17,AP:AP)+SUMIF(BU:BU,$Q17,BW:BW)+SUMIF(BZ:BZ,$Q17,CB:CB)</f>
        <v>#VALUE!</v>
      </c>
      <c r="T17" s="264" t="e">
        <f aca="false">SUMIF(AQ:AQ,$Q17,AT:AT)+SUMIF(BG:BG,$Q17,BJ:BJ)+SUMIF(BK:BK,$Q17,BN:BN)</f>
        <v>#VALUE!</v>
      </c>
      <c r="U17" s="264" t="e">
        <f aca="false">SUMIF(AM:AM,$Q17,AO:AO)+SUMIF(AQ:AQ,$Q17,AS:AS)+SUMIF(BG:BG,$Q17,BI:BI)+SUMIF(BK:BK,$Q17,BM:BM)</f>
        <v>#VALUE!</v>
      </c>
      <c r="V17" s="264" t="e">
        <f aca="false">SUMIF(AU:AU,$Q17,AW:AW)</f>
        <v>#VALUE!</v>
      </c>
      <c r="W17" s="264" t="e">
        <f aca="false">SUMIF(AU:AU,$Q17,AX:AX)</f>
        <v>#VALUE!</v>
      </c>
      <c r="X17" s="264" t="e">
        <f aca="false">SUMIF(BP:BP,$Q17,BR:BR)</f>
        <v>#VALUE!</v>
      </c>
      <c r="Y17" s="266" t="e">
        <f aca="false">SUMIF(BP:BP,$Q17,BS:BS)</f>
        <v>#VALUE!</v>
      </c>
      <c r="Z17" s="264" t="e">
        <f aca="false">SUMIF(BU:BU,$Q17,BX:BX)+SUMIF(BZ:BZ,$Q17,CC:CC)</f>
        <v>#VALUE!</v>
      </c>
      <c r="AA17" s="265"/>
      <c r="AB17" s="320" t="e">
        <f aca="false">B17</f>
        <v>#VALUE!</v>
      </c>
      <c r="AC17" s="321" t="e">
        <f aca="false">VLOOKUP(AB17,CE18:CK123,7,FALSE())</f>
        <v>#VALUE!</v>
      </c>
      <c r="AD17" s="264" t="e">
        <f aca="false">VLOOKUP(AB17,CE18:CJ123,3,FALSE())</f>
        <v>#VALUE!</v>
      </c>
      <c r="AE17" s="264" t="e">
        <f aca="false">VLOOKUP(AB17,CE18:CJ123,2,FALSE())</f>
        <v>#VALUE!</v>
      </c>
      <c r="AF17" s="264" t="e">
        <f aca="false">VLOOKUP(AB17,CE18:CJ123,4,FALSE())</f>
        <v>#VALUE!</v>
      </c>
      <c r="AG17" s="264" t="e">
        <f aca="false">VLOOKUP(AB17,CE18:CJ123,5,FALSE())</f>
        <v>#VALUE!</v>
      </c>
      <c r="AH17" s="264" t="e">
        <f aca="false">VLOOKUP(AB17,CE18:CJ123,6,FALSE())</f>
        <v>#VALUE!</v>
      </c>
      <c r="AI17" s="264" t="e">
        <f aca="false">VLOOKUP(AB17,CE18:CM123,8,FALSE())</f>
        <v>#VALUE!</v>
      </c>
      <c r="AJ17" s="266" t="e">
        <f aca="false">VLOOKUP(AB17,CE18:CM123,9,FALSE())</f>
        <v>#VALUE!</v>
      </c>
      <c r="AK17" s="264" t="e">
        <f aca="false">VLOOKUP(AB17,CE18:CN123,10,FALSE())</f>
        <v>#VALUE!</v>
      </c>
      <c r="AM17" s="322" t="e">
        <f aca="false">LongTerm1!D22</f>
        <v>#VALUE!</v>
      </c>
      <c r="AN17" s="323" t="e">
        <f aca="false">(LongTerm1!BM22+LongTerm1!BL22/(1-LongTerm1!AR22))*(LongTerm1!F22*LongTerm1!AF22*LongTerm1!AH22)/10000</f>
        <v>#VALUE!</v>
      </c>
      <c r="AO17" s="323" t="e">
        <f aca="false">LongTerm1!BM22*(LongTerm1!F22*LongTerm1!AF22*LongTerm1!AH22)/10000</f>
        <v>#VALUE!</v>
      </c>
      <c r="AP17" s="323" t="e">
        <f aca="false">(LongTerm1!BL22/(1-LongTerm1!AR22))*(LongTerm1!F22*LongTerm1!AF22*LongTerm1!AH22)/10000</f>
        <v>#VALUE!</v>
      </c>
      <c r="AQ17" s="322" t="e">
        <f aca="false">LongTerm2!D22</f>
        <v>#VALUE!</v>
      </c>
      <c r="AR17" s="323" t="e">
        <f aca="false">(LongTerm2!BM22+LongTerm2!BL22/(1-LongTerm2!AR22))*(LongTerm2!F22*LongTerm2!AF22*LongTerm2!AH22)/10000</f>
        <v>#VALUE!</v>
      </c>
      <c r="AS17" s="323" t="e">
        <f aca="false">LongTerm2!BM22*(LongTerm2!F22*LongTerm2!AF22*LongTerm2!AH22)/10000</f>
        <v>#VALUE!</v>
      </c>
      <c r="AT17" s="323" t="e">
        <f aca="false">(LongTerm2!BL22/(1-LongTerm2!AR22))*(LongTerm2!F22*LongTerm2!AF22*LongTerm2!AH22)/10000</f>
        <v>#VALUE!</v>
      </c>
      <c r="AU17" s="322" t="e">
        <f aca="false">LongTerm72!D22</f>
        <v>#VALUE!</v>
      </c>
      <c r="AV17" s="323" t="e">
        <f aca="false">(LongTerm72!BM22+LongTerm72!BL22/(1-LongTerm72!AR22))*(LongTerm72!F22*LongTerm72!AF22*LongTerm72!AH22)/10000</f>
        <v>#VALUE!</v>
      </c>
      <c r="AW17" s="323" t="e">
        <f aca="false">LongTerm72!BM22*(LongTerm72!F22*LongTerm72!AF22*LongTerm72!AH22)/10000</f>
        <v>#VALUE!</v>
      </c>
      <c r="AX17" s="323" t="e">
        <f aca="false">(LongTerm72!BL22/(1-LongTerm72!AR22))*(LongTerm72!F22*LongTerm72!AF22*LongTerm72!AH22)/10000</f>
        <v>#VALUE!</v>
      </c>
      <c r="AY17" s="324"/>
      <c r="AZ17" s="319"/>
      <c r="BA17" s="319"/>
      <c r="BB17" s="319"/>
      <c r="BC17" s="324"/>
      <c r="BD17" s="319"/>
      <c r="BE17" s="319"/>
      <c r="BF17" s="319"/>
      <c r="BG17" s="322" t="e">
        <f aca="false">LongTerm25!D22</f>
        <v>#VALUE!</v>
      </c>
      <c r="BH17" s="323" t="e">
        <f aca="false">(LongTerm25!$BM22+LongTerm25!$BL22/(1-LongTerm25!$AR22))*(LongTerm25!$F22*LongTerm25!$AF22*LongTerm25!$AH22)/10000</f>
        <v>#VALUE!</v>
      </c>
      <c r="BI17" s="323" t="e">
        <f aca="false">LongTerm25!$BM22*(LongTerm25!$F22*LongTerm25!$AF22*LongTerm25!$AH22)/10000</f>
        <v>#VALUE!</v>
      </c>
      <c r="BJ17" s="323" t="e">
        <f aca="false">(LongTerm25!$BL22/(1-LongTerm25!$AR22))*(LongTerm25!$F22*LongTerm25!$AF22*LongTerm25!$AH22)/10000</f>
        <v>#VALUE!</v>
      </c>
      <c r="BK17" s="322" t="e">
        <f aca="false">LongTerm26!D22</f>
        <v>#VALUE!</v>
      </c>
      <c r="BL17" s="323" t="e">
        <f aca="false">(LongTerm26!BM22+LongTerm26!BL22/(1-LongTerm26!AR22))*(LongTerm26!F22*LongTerm26!AF22*LongTerm26!AH22)/10000</f>
        <v>#VALUE!</v>
      </c>
      <c r="BM17" s="323" t="e">
        <f aca="false">LongTerm26!BM22*(LongTerm26!F22*LongTerm26!AF22*LongTerm26!AH22)/10000</f>
        <v>#VALUE!</v>
      </c>
      <c r="BN17" s="323" t="e">
        <f aca="false">(LongTerm26!BL22/(1-LongTerm26!AR22))*(LongTerm26!F22*LongTerm26!AF22*LongTerm26!AH22)/10000</f>
        <v>#VALUE!</v>
      </c>
      <c r="BP17" s="325" t="e">
        <f aca="false">LongTerm62!D22</f>
        <v>#VALUE!</v>
      </c>
      <c r="BQ17" s="323" t="e">
        <f aca="false">(LongTerm62!$BM22+LongTerm62!$BL22/(1-LongTerm62!$AR22))*(LongTerm62!$F22*LongTerm62!$AF22*LongTerm62!$AH22)/10000</f>
        <v>#VALUE!</v>
      </c>
      <c r="BR17" s="323" t="e">
        <f aca="false">LongTerm62!$BM22*(LongTerm62!$F22*LongTerm62!$AF22*LongTerm62!$AH22)/10000</f>
        <v>#VALUE!</v>
      </c>
      <c r="BS17" s="323" t="e">
        <f aca="false">(LongTerm62!$BL22/(1-LongTerm62!$AR22))*(LongTerm62!$F22*LongTerm62!$AF22*LongTerm62!$AH22)/10000</f>
        <v>#VALUE!</v>
      </c>
      <c r="BT17" s="265"/>
      <c r="BU17" s="325" t="e">
        <f aca="false">LongTerm107!D22</f>
        <v>#VALUE!</v>
      </c>
      <c r="BV17" s="323" t="e">
        <f aca="false">(LongTerm107!$BM22+LongTerm107!$BL22/(1-LongTerm107!$AR22))*(LongTerm107!$F22*LongTerm107!$AF22*LongTerm107!$AH22)/10000</f>
        <v>#VALUE!</v>
      </c>
      <c r="BW17" s="323" t="e">
        <f aca="false">LongTerm107!$BM22*(LongTerm107!$F22*LongTerm107!$AF22*LongTerm107!$AH22)/10000</f>
        <v>#VALUE!</v>
      </c>
      <c r="BX17" s="323" t="e">
        <f aca="false">(LongTerm107!$BL22/(1-LongTerm107!$AR22))*(LongTerm107!$F22*LongTerm107!$AF22*LongTerm107!$AH22)/10000</f>
        <v>#VALUE!</v>
      </c>
      <c r="BY17" s="326"/>
      <c r="BZ17" s="325" t="e">
        <f aca="false">LongTerm108!D22</f>
        <v>#VALUE!</v>
      </c>
      <c r="CA17" s="323" t="e">
        <f aca="false">(LongTerm108!$BM22+LongTerm108!$BL22/(1-LongTerm108!$AR22))*(LongTerm108!$F22*LongTerm108!$AF22*LongTerm108!$AH22)/10000</f>
        <v>#VALUE!</v>
      </c>
      <c r="CB17" s="323" t="e">
        <f aca="false">LongTerm108!$BM22*(LongTerm108!$F22*LongTerm108!$AF22*LongTerm108!$AH22)/10000</f>
        <v>#VALUE!</v>
      </c>
      <c r="CC17" s="323" t="e">
        <f aca="false">(LongTerm108!$BL22/(1-LongTerm108!$AR22))*(LongTerm108!$F22*LongTerm108!$AF22*LongTerm108!$AH22)/10000</f>
        <v>#VALUE!</v>
      </c>
      <c r="CE17" s="327"/>
      <c r="CF17" s="328" t="s">
        <v>55</v>
      </c>
      <c r="CG17" s="328" t="s">
        <v>425</v>
      </c>
      <c r="CH17" s="328" t="s">
        <v>438</v>
      </c>
      <c r="CI17" s="329" t="s">
        <v>59</v>
      </c>
      <c r="CJ17" s="329" t="s">
        <v>373</v>
      </c>
      <c r="CK17" s="330" t="s">
        <v>410</v>
      </c>
      <c r="CL17" s="328" t="s">
        <v>201</v>
      </c>
      <c r="CM17" s="328" t="s">
        <v>200</v>
      </c>
      <c r="CN17" s="331" t="s">
        <v>67</v>
      </c>
    </row>
    <row r="18" customFormat="false" ht="12.75" hidden="false" customHeight="false" outlineLevel="0" collapsed="false">
      <c r="B18" s="320" t="e">
        <f aca="false">Q18</f>
        <v>#VALUE!</v>
      </c>
      <c r="C18" s="319" t="e">
        <f aca="false">YEAR(B18)</f>
        <v>#VALUE!</v>
      </c>
      <c r="D18" s="266" t="e">
        <f aca="false">R18+AC18</f>
        <v>#VALUE!</v>
      </c>
      <c r="E18" s="266" t="e">
        <f aca="false">S18+AD18</f>
        <v>#VALUE!</v>
      </c>
      <c r="F18" s="266" t="e">
        <f aca="false">+T18+AE18</f>
        <v>#VALUE!</v>
      </c>
      <c r="G18" s="266" t="e">
        <f aca="false">+U18+AF18</f>
        <v>#VALUE!</v>
      </c>
      <c r="H18" s="266" t="e">
        <f aca="false">V18+AG18</f>
        <v>#VALUE!</v>
      </c>
      <c r="I18" s="266" t="e">
        <f aca="false">W18+AH18</f>
        <v>#VALUE!</v>
      </c>
      <c r="J18" s="265"/>
      <c r="K18" s="265"/>
      <c r="L18" s="265"/>
      <c r="M18" s="266" t="e">
        <f aca="false">X18+AI18</f>
        <v>#VALUE!</v>
      </c>
      <c r="N18" s="264" t="e">
        <f aca="false">Y18+AJ18</f>
        <v>#VALUE!</v>
      </c>
      <c r="O18" s="264" t="e">
        <f aca="false">Z18+AK18</f>
        <v>#VALUE!</v>
      </c>
      <c r="Q18" s="320" t="e">
        <f aca="false">EOMONTH(Q17,0)+15</f>
        <v>#VALUE!</v>
      </c>
      <c r="R18" s="266" t="e">
        <f aca="false">SUMIF(AM:AM,$Q18,AN:AN)+SUMIF(AQ:AQ,$Q18,AR:AR)+SUMIF(AU:AU,$Q18,AV:AV)+SUMIF(BU:BU,$Q18,BV:BV)+SUMIF(BZ:BZ,$Q18,CA:CA)+SUMIF(BG:BG,$Q18,BH:BH)+SUMIF(BK:BK,$Q18,BL:BL)+SUMIF(BP:BP,$Q18,BQ:BQ)</f>
        <v>#VALUE!</v>
      </c>
      <c r="S18" s="264" t="e">
        <f aca="false">SUMIF(AM:AM,$Q18,AP:AP)+SUMIF(BU:BU,$Q18,BW:BW)+SUMIF(BZ:BZ,$Q18,CB:CB)</f>
        <v>#VALUE!</v>
      </c>
      <c r="T18" s="264" t="e">
        <f aca="false">SUMIF(AQ:AQ,$Q18,AT:AT)+SUMIF(BG:BG,$Q18,BJ:BJ)+SUMIF(BK:BK,$Q18,BN:BN)</f>
        <v>#VALUE!</v>
      </c>
      <c r="U18" s="264" t="e">
        <f aca="false">SUMIF(AM:AM,$Q18,AO:AO)+SUMIF(AQ:AQ,$Q18,AS:AS)+SUMIF(BG:BG,$Q18,BI:BI)+SUMIF(BK:BK,$Q18,BM:BM)</f>
        <v>#VALUE!</v>
      </c>
      <c r="V18" s="264" t="e">
        <f aca="false">SUMIF(AU:AU,$Q18,AW:AW)</f>
        <v>#VALUE!</v>
      </c>
      <c r="W18" s="264" t="e">
        <f aca="false">SUMIF(AU:AU,$Q18,AX:AX)</f>
        <v>#VALUE!</v>
      </c>
      <c r="X18" s="264" t="e">
        <f aca="false">SUMIF(BP:BP,$Q18,BR:BR)</f>
        <v>#VALUE!</v>
      </c>
      <c r="Y18" s="266" t="e">
        <f aca="false">SUMIF(BP:BP,$Q18,BS:BS)</f>
        <v>#VALUE!</v>
      </c>
      <c r="Z18" s="264" t="e">
        <f aca="false">SUMIF(BU:BU,$Q18,BX:BX)+SUMIF(BZ:BZ,$Q18,CC:CC)</f>
        <v>#VALUE!</v>
      </c>
      <c r="AA18" s="265"/>
      <c r="AB18" s="320" t="e">
        <f aca="false">Q18</f>
        <v>#VALUE!</v>
      </c>
      <c r="AC18" s="321" t="e">
        <f aca="false">VLOOKUP(AB18,CE19:CK124,7,FALSE())</f>
        <v>#VALUE!</v>
      </c>
      <c r="AD18" s="264" t="e">
        <f aca="false">VLOOKUP(AB18,CE19:CJ124,3,FALSE())</f>
        <v>#VALUE!</v>
      </c>
      <c r="AE18" s="264" t="e">
        <f aca="false">VLOOKUP(AB18,CE19:CJ124,2,FALSE())</f>
        <v>#VALUE!</v>
      </c>
      <c r="AF18" s="264" t="e">
        <f aca="false">VLOOKUP(AB18,CE19:CJ124,4,FALSE())</f>
        <v>#VALUE!</v>
      </c>
      <c r="AG18" s="264" t="e">
        <f aca="false">VLOOKUP(AB18,CE19:CJ124,5,FALSE())</f>
        <v>#VALUE!</v>
      </c>
      <c r="AH18" s="264" t="e">
        <f aca="false">VLOOKUP(AB18,CE19:CJ124,6,FALSE())</f>
        <v>#VALUE!</v>
      </c>
      <c r="AI18" s="264" t="e">
        <f aca="false">VLOOKUP(AB18,CE19:CM124,8,FALSE())</f>
        <v>#VALUE!</v>
      </c>
      <c r="AJ18" s="266" t="e">
        <f aca="false">VLOOKUP(AB18,CE19:CM124,9,FALSE())</f>
        <v>#VALUE!</v>
      </c>
      <c r="AK18" s="264" t="e">
        <f aca="false">VLOOKUP(AB18,CE19:CN124,10,FALSE())</f>
        <v>#VALUE!</v>
      </c>
      <c r="AM18" s="322" t="e">
        <f aca="false">LongTerm1!D23</f>
        <v>#VALUE!</v>
      </c>
      <c r="AN18" s="323" t="e">
        <f aca="false">(LongTerm1!BM23+LongTerm1!BL23/(1-LongTerm1!AR23))*(LongTerm1!F23*LongTerm1!AF23*LongTerm1!AH23)/10000</f>
        <v>#VALUE!</v>
      </c>
      <c r="AO18" s="323" t="e">
        <f aca="false">LongTerm1!BM23*(LongTerm1!F23*LongTerm1!AF23*LongTerm1!AH23)/10000</f>
        <v>#VALUE!</v>
      </c>
      <c r="AP18" s="323" t="e">
        <f aca="false">(LongTerm1!BL23/(1-LongTerm1!AR23))*(LongTerm1!F23*LongTerm1!AF23*LongTerm1!AH23)/10000</f>
        <v>#VALUE!</v>
      </c>
      <c r="AQ18" s="322" t="e">
        <f aca="false">LongTerm2!D23</f>
        <v>#VALUE!</v>
      </c>
      <c r="AR18" s="323" t="e">
        <f aca="false">(LongTerm2!BM23+LongTerm2!BL23/(1-LongTerm2!AR23))*(LongTerm2!F23*LongTerm2!AF23*LongTerm2!AH23)/10000</f>
        <v>#VALUE!</v>
      </c>
      <c r="AS18" s="323" t="e">
        <f aca="false">LongTerm2!BM23*(LongTerm2!F23*LongTerm2!AF23*LongTerm2!AH23)/10000</f>
        <v>#VALUE!</v>
      </c>
      <c r="AT18" s="323" t="e">
        <f aca="false">(LongTerm2!BL23/(1-LongTerm2!AR23))*(LongTerm2!F23*LongTerm2!AF23*LongTerm2!AH23)/10000</f>
        <v>#VALUE!</v>
      </c>
      <c r="AU18" s="322" t="e">
        <f aca="false">LongTerm72!D23</f>
        <v>#VALUE!</v>
      </c>
      <c r="AV18" s="323" t="e">
        <f aca="false">(LongTerm72!BM23+LongTerm72!BL23/(1-LongTerm72!AR23))*(LongTerm72!F23*LongTerm72!AF23*LongTerm72!AH23)/10000</f>
        <v>#VALUE!</v>
      </c>
      <c r="AW18" s="323" t="e">
        <f aca="false">LongTerm72!BM23*(LongTerm72!F23*LongTerm72!AF23*LongTerm72!AH23)/10000</f>
        <v>#VALUE!</v>
      </c>
      <c r="AX18" s="323" t="e">
        <f aca="false">(LongTerm72!BL23/(1-LongTerm72!AR23))*(LongTerm72!F23*LongTerm72!AF23*LongTerm72!AH23)/10000</f>
        <v>#VALUE!</v>
      </c>
      <c r="AY18" s="324"/>
      <c r="AZ18" s="319"/>
      <c r="BA18" s="319"/>
      <c r="BB18" s="319"/>
      <c r="BC18" s="324"/>
      <c r="BD18" s="319"/>
      <c r="BE18" s="319"/>
      <c r="BF18" s="319"/>
      <c r="BG18" s="322" t="e">
        <f aca="false">LongTerm25!D23</f>
        <v>#VALUE!</v>
      </c>
      <c r="BH18" s="323" t="e">
        <f aca="false">(LongTerm25!BM23+LongTerm25!BL23/(1-LongTerm25!AR23))*(LongTerm25!F23*LongTerm25!AF23*LongTerm25!AH23)/10000</f>
        <v>#VALUE!</v>
      </c>
      <c r="BI18" s="323" t="e">
        <f aca="false">LongTerm25!BM23*(LongTerm25!F23*LongTerm25!AF23*LongTerm25!AH23)/10000</f>
        <v>#VALUE!</v>
      </c>
      <c r="BJ18" s="323" t="e">
        <f aca="false">(LongTerm25!BL23/(1-LongTerm25!AR23))*(LongTerm25!F23*LongTerm25!AF23*LongTerm25!AH23)/10000</f>
        <v>#VALUE!</v>
      </c>
      <c r="BK18" s="322" t="e">
        <f aca="false">LongTerm26!D23</f>
        <v>#VALUE!</v>
      </c>
      <c r="BL18" s="323" t="e">
        <f aca="false">(LongTerm26!BM23+LongTerm26!BL23/(1-LongTerm26!AR23))*(LongTerm26!F23*LongTerm26!AF23*LongTerm26!AH23)/10000</f>
        <v>#VALUE!</v>
      </c>
      <c r="BM18" s="323" t="e">
        <f aca="false">LongTerm26!BM23*(LongTerm26!F23*LongTerm26!AF23*LongTerm26!AH23)/10000</f>
        <v>#VALUE!</v>
      </c>
      <c r="BN18" s="323" t="e">
        <f aca="false">(LongTerm26!BL23/(1-LongTerm26!AR23))*(LongTerm26!F23*LongTerm26!AF23*LongTerm26!AH23)/10000</f>
        <v>#VALUE!</v>
      </c>
      <c r="BP18" s="325" t="e">
        <f aca="false">LongTerm62!D23</f>
        <v>#VALUE!</v>
      </c>
      <c r="BQ18" s="323" t="e">
        <f aca="false">(LongTerm62!$BM23+LongTerm62!$BL23/(1-LongTerm62!$AR23))*(LongTerm62!$F23*LongTerm62!$AF23*LongTerm62!$AH23)/10000</f>
        <v>#VALUE!</v>
      </c>
      <c r="BR18" s="323" t="e">
        <f aca="false">LongTerm62!$BM23*(LongTerm62!$F23*LongTerm62!$AF23*LongTerm62!$AH23)/10000</f>
        <v>#VALUE!</v>
      </c>
      <c r="BS18" s="323" t="e">
        <f aca="false">(LongTerm62!$BL23/(1-LongTerm62!$AR23))*(LongTerm62!$F23*LongTerm62!$AF23*LongTerm62!$AH23)/10000</f>
        <v>#VALUE!</v>
      </c>
      <c r="BT18" s="265"/>
      <c r="BU18" s="325" t="e">
        <f aca="false">LongTerm107!D23</f>
        <v>#VALUE!</v>
      </c>
      <c r="BV18" s="323" t="e">
        <f aca="false">(LongTerm107!$BM23+LongTerm107!$BL23/(1-LongTerm107!$AR23))*(LongTerm107!$F23*LongTerm107!$AF23*LongTerm107!$AH23)/10000</f>
        <v>#VALUE!</v>
      </c>
      <c r="BW18" s="323" t="e">
        <f aca="false">LongTerm107!$BM23*(LongTerm107!$F23*LongTerm107!$AF23*LongTerm107!$AH23)/10000</f>
        <v>#VALUE!</v>
      </c>
      <c r="BX18" s="323" t="e">
        <f aca="false">(LongTerm107!$BL23/(1-LongTerm107!$AR23))*(LongTerm107!$F23*LongTerm107!$AF23*LongTerm107!$AH23)/10000</f>
        <v>#VALUE!</v>
      </c>
      <c r="BY18" s="326"/>
      <c r="BZ18" s="325" t="e">
        <f aca="false">LongTerm108!D23</f>
        <v>#VALUE!</v>
      </c>
      <c r="CA18" s="323" t="e">
        <f aca="false">(LongTerm108!$BM23+LongTerm108!$BL23/(1-LongTerm108!$AR23))*(LongTerm108!$F23*LongTerm108!$AF23*LongTerm108!$AH23)/10000</f>
        <v>#VALUE!</v>
      </c>
      <c r="CB18" s="323" t="e">
        <f aca="false">LongTerm108!$BM23*(LongTerm108!$F23*LongTerm108!$AF23*LongTerm108!$AH23)/10000</f>
        <v>#VALUE!</v>
      </c>
      <c r="CC18" s="323" t="e">
        <f aca="false">(LongTerm108!$BL23/(1-LongTerm108!$AR23))*(LongTerm108!$F23*LongTerm108!$AF23*LongTerm108!$AH23)/10000</f>
        <v>#VALUE!</v>
      </c>
      <c r="CD18" s="332"/>
      <c r="CE18" s="333" t="n">
        <v>37057</v>
      </c>
      <c r="CF18" s="334"/>
      <c r="CG18" s="334"/>
      <c r="CH18" s="334"/>
      <c r="CI18" s="334"/>
      <c r="CJ18" s="335"/>
      <c r="CK18" s="336"/>
      <c r="CL18" s="335"/>
      <c r="CM18" s="335"/>
      <c r="CN18" s="335"/>
    </row>
    <row r="19" customFormat="false" ht="12.75" hidden="false" customHeight="false" outlineLevel="0" collapsed="false">
      <c r="B19" s="320" t="e">
        <f aca="false">Q19</f>
        <v>#VALUE!</v>
      </c>
      <c r="C19" s="319" t="e">
        <f aca="false">YEAR(B19)</f>
        <v>#VALUE!</v>
      </c>
      <c r="D19" s="266" t="e">
        <f aca="false">R19+AC19</f>
        <v>#VALUE!</v>
      </c>
      <c r="E19" s="266" t="e">
        <f aca="false">S19+AD19</f>
        <v>#VALUE!</v>
      </c>
      <c r="F19" s="266" t="e">
        <f aca="false">+T19+AE19</f>
        <v>#VALUE!</v>
      </c>
      <c r="G19" s="266" t="e">
        <f aca="false">+U19+AF19</f>
        <v>#VALUE!</v>
      </c>
      <c r="H19" s="266" t="e">
        <f aca="false">V19+AG19</f>
        <v>#VALUE!</v>
      </c>
      <c r="I19" s="266" t="e">
        <f aca="false">W19+AH19</f>
        <v>#VALUE!</v>
      </c>
      <c r="J19" s="265"/>
      <c r="K19" s="265"/>
      <c r="L19" s="265"/>
      <c r="M19" s="266" t="e">
        <f aca="false">X19+AI19</f>
        <v>#VALUE!</v>
      </c>
      <c r="N19" s="264" t="e">
        <f aca="false">Y19+AJ19</f>
        <v>#VALUE!</v>
      </c>
      <c r="O19" s="264" t="e">
        <f aca="false">Z19+AK19</f>
        <v>#VALUE!</v>
      </c>
      <c r="Q19" s="320" t="e">
        <f aca="false">EOMONTH(Q18,0)+15</f>
        <v>#VALUE!</v>
      </c>
      <c r="R19" s="266" t="e">
        <f aca="false">SUMIF(AM:AM,$Q19,AN:AN)+SUMIF(AQ:AQ,$Q19,AR:AR)+SUMIF(AU:AU,$Q19,AV:AV)+SUMIF(BU:BU,$Q19,BV:BV)+SUMIF(BZ:BZ,$Q19,CA:CA)+SUMIF(BG:BG,$Q19,BH:BH)+SUMIF(BK:BK,$Q19,BL:BL)+SUMIF(BP:BP,$Q19,BQ:BQ)</f>
        <v>#VALUE!</v>
      </c>
      <c r="S19" s="264" t="e">
        <f aca="false">SUMIF(AM:AM,$Q19,AP:AP)+SUMIF(BU:BU,$Q19,BW:BW)+SUMIF(BZ:BZ,$Q19,CB:CB)</f>
        <v>#VALUE!</v>
      </c>
      <c r="T19" s="264" t="e">
        <f aca="false">SUMIF(AQ:AQ,$Q19,AT:AT)+SUMIF(BG:BG,$Q19,BJ:BJ)+SUMIF(BK:BK,$Q19,BN:BN)</f>
        <v>#VALUE!</v>
      </c>
      <c r="U19" s="264" t="e">
        <f aca="false">SUMIF(AM:AM,$Q19,AO:AO)+SUMIF(AQ:AQ,$Q19,AS:AS)+SUMIF(BG:BG,$Q19,BI:BI)+SUMIF(BK:BK,$Q19,BM:BM)</f>
        <v>#VALUE!</v>
      </c>
      <c r="V19" s="264" t="e">
        <f aca="false">SUMIF(AU:AU,$Q19,AW:AW)</f>
        <v>#VALUE!</v>
      </c>
      <c r="W19" s="264" t="e">
        <f aca="false">SUMIF(AU:AU,$Q19,AX:AX)</f>
        <v>#VALUE!</v>
      </c>
      <c r="X19" s="264" t="e">
        <f aca="false">SUMIF(BP:BP,$Q19,BR:BR)</f>
        <v>#VALUE!</v>
      </c>
      <c r="Y19" s="266" t="e">
        <f aca="false">SUMIF(BP:BP,$Q19,BS:BS)</f>
        <v>#VALUE!</v>
      </c>
      <c r="Z19" s="264" t="e">
        <f aca="false">SUMIF(BU:BU,$Q19,BX:BX)+SUMIF(BZ:BZ,$Q19,CC:CC)</f>
        <v>#VALUE!</v>
      </c>
      <c r="AA19" s="265"/>
      <c r="AB19" s="320" t="e">
        <f aca="false">Q19</f>
        <v>#VALUE!</v>
      </c>
      <c r="AC19" s="321" t="e">
        <f aca="false">VLOOKUP(AB19,CE20:CK125,7,FALSE())</f>
        <v>#VALUE!</v>
      </c>
      <c r="AD19" s="264" t="e">
        <f aca="false">VLOOKUP(AB19,CE20:CJ125,3,FALSE())</f>
        <v>#VALUE!</v>
      </c>
      <c r="AE19" s="264" t="e">
        <f aca="false">VLOOKUP(AB19,CE20:CJ125,2,FALSE())</f>
        <v>#VALUE!</v>
      </c>
      <c r="AF19" s="264" t="e">
        <f aca="false">VLOOKUP(AB19,CE20:CJ125,4,FALSE())</f>
        <v>#VALUE!</v>
      </c>
      <c r="AG19" s="264" t="e">
        <f aca="false">VLOOKUP(AB19,CE20:CJ125,5,FALSE())</f>
        <v>#VALUE!</v>
      </c>
      <c r="AH19" s="264" t="e">
        <f aca="false">VLOOKUP(AB19,CE20:CJ125,6,FALSE())</f>
        <v>#VALUE!</v>
      </c>
      <c r="AI19" s="264" t="e">
        <f aca="false">VLOOKUP(AB19,CE20:CM125,8,FALSE())</f>
        <v>#VALUE!</v>
      </c>
      <c r="AJ19" s="266" t="e">
        <f aca="false">VLOOKUP(AB19,CE20:CM125,9,FALSE())</f>
        <v>#VALUE!</v>
      </c>
      <c r="AK19" s="264" t="e">
        <f aca="false">VLOOKUP(AB19,CE20:CN125,10,FALSE())</f>
        <v>#VALUE!</v>
      </c>
      <c r="AM19" s="322" t="e">
        <f aca="false">LongTerm1!D24</f>
        <v>#VALUE!</v>
      </c>
      <c r="AN19" s="323" t="e">
        <f aca="false">(LongTerm1!BM24+LongTerm1!BL24/(1-LongTerm1!AR24))*(LongTerm1!F24*LongTerm1!AF24*LongTerm1!AH24)/10000</f>
        <v>#VALUE!</v>
      </c>
      <c r="AO19" s="323" t="e">
        <f aca="false">LongTerm1!BM24*(LongTerm1!F24*LongTerm1!AF24*LongTerm1!AH24)/10000</f>
        <v>#VALUE!</v>
      </c>
      <c r="AP19" s="323" t="e">
        <f aca="false">(LongTerm1!BL24/(1-LongTerm1!AR24))*(LongTerm1!F24*LongTerm1!AF24*LongTerm1!AH24)/10000</f>
        <v>#VALUE!</v>
      </c>
      <c r="AQ19" s="322" t="e">
        <f aca="false">LongTerm2!D24</f>
        <v>#VALUE!</v>
      </c>
      <c r="AR19" s="323" t="e">
        <f aca="false">(LongTerm2!BM24+LongTerm2!BL24/(1-LongTerm2!AR24))*(LongTerm2!F24*LongTerm2!AF24*LongTerm2!AH24)/10000</f>
        <v>#VALUE!</v>
      </c>
      <c r="AS19" s="323" t="e">
        <f aca="false">LongTerm2!BM24*(LongTerm2!F24*LongTerm2!AF24*LongTerm2!AH24)/10000</f>
        <v>#VALUE!</v>
      </c>
      <c r="AT19" s="323" t="e">
        <f aca="false">(LongTerm2!BL24/(1-LongTerm2!AR24))*(LongTerm2!F24*LongTerm2!AF24*LongTerm2!AH24)/10000</f>
        <v>#VALUE!</v>
      </c>
      <c r="AU19" s="322" t="e">
        <f aca="false">LongTerm72!D24</f>
        <v>#VALUE!</v>
      </c>
      <c r="AV19" s="323" t="e">
        <f aca="false">(LongTerm72!BM24+LongTerm72!BL24/(1-LongTerm72!AR24))*(LongTerm72!F24*LongTerm72!AF24*LongTerm72!AH24)/10000</f>
        <v>#VALUE!</v>
      </c>
      <c r="AW19" s="323" t="e">
        <f aca="false">LongTerm72!BM24*(LongTerm72!F24*LongTerm72!AF24*LongTerm72!AH24)/10000</f>
        <v>#VALUE!</v>
      </c>
      <c r="AX19" s="323" t="e">
        <f aca="false">(LongTerm72!BL24/(1-LongTerm72!AR24))*(LongTerm72!F24*LongTerm72!AF24*LongTerm72!AH24)/10000</f>
        <v>#VALUE!</v>
      </c>
      <c r="AY19" s="324"/>
      <c r="AZ19" s="319"/>
      <c r="BA19" s="319"/>
      <c r="BB19" s="319"/>
      <c r="BC19" s="324"/>
      <c r="BD19" s="319"/>
      <c r="BE19" s="319"/>
      <c r="BF19" s="319"/>
      <c r="BG19" s="322" t="e">
        <f aca="false">LongTerm25!D24</f>
        <v>#VALUE!</v>
      </c>
      <c r="BH19" s="323" t="e">
        <f aca="false">(LongTerm25!BM24+LongTerm25!BL24/(1-LongTerm25!AR24))*(LongTerm25!F24*LongTerm25!AF24*LongTerm25!AH24)/10000</f>
        <v>#VALUE!</v>
      </c>
      <c r="BI19" s="323" t="e">
        <f aca="false">LongTerm25!BM24*(LongTerm25!F24*LongTerm25!AF24*LongTerm25!AH24)/10000</f>
        <v>#VALUE!</v>
      </c>
      <c r="BJ19" s="323" t="e">
        <f aca="false">(LongTerm25!BL24/(1-LongTerm25!AR24))*(LongTerm25!F24*LongTerm25!AF24*LongTerm25!AH24)/10000</f>
        <v>#VALUE!</v>
      </c>
      <c r="BK19" s="322" t="e">
        <f aca="false">LongTerm26!D24</f>
        <v>#VALUE!</v>
      </c>
      <c r="BL19" s="323" t="e">
        <f aca="false">(LongTerm26!BM24+LongTerm26!BL24/(1-LongTerm26!AR24))*(LongTerm26!F24*LongTerm26!AF24*LongTerm26!AH24)/10000</f>
        <v>#VALUE!</v>
      </c>
      <c r="BM19" s="323" t="e">
        <f aca="false">LongTerm26!BM24*(LongTerm26!F24*LongTerm26!AF24*LongTerm26!AH24)/10000</f>
        <v>#VALUE!</v>
      </c>
      <c r="BN19" s="323" t="e">
        <f aca="false">(LongTerm26!BL24/(1-LongTerm26!AR24))*(LongTerm26!F24*LongTerm26!AF24*LongTerm26!AH24)/10000</f>
        <v>#VALUE!</v>
      </c>
      <c r="BP19" s="325" t="e">
        <f aca="false">LongTerm62!D24</f>
        <v>#VALUE!</v>
      </c>
      <c r="BQ19" s="323" t="e">
        <f aca="false">(LongTerm62!$BM24+LongTerm62!$BL24/(1-LongTerm62!$AR24))*(LongTerm62!$F24*LongTerm62!$AF24*LongTerm62!$AH24)/10000</f>
        <v>#VALUE!</v>
      </c>
      <c r="BR19" s="323" t="e">
        <f aca="false">LongTerm62!$BM24*(LongTerm62!$F24*LongTerm62!$AF24*LongTerm62!$AH24)/10000</f>
        <v>#VALUE!</v>
      </c>
      <c r="BS19" s="323" t="e">
        <f aca="false">(LongTerm62!$BL24/(1-LongTerm62!$AR24))*(LongTerm62!$F24*LongTerm62!$AF24*LongTerm62!$AH24)/10000</f>
        <v>#VALUE!</v>
      </c>
      <c r="BT19" s="265"/>
      <c r="BU19" s="325" t="e">
        <f aca="false">LongTerm107!D24</f>
        <v>#VALUE!</v>
      </c>
      <c r="BV19" s="323" t="e">
        <f aca="false">(LongTerm107!$BM24+LongTerm107!$BL24/(1-LongTerm107!$AR24))*(LongTerm107!$F24*LongTerm107!$AF24*LongTerm107!$AH24)/10000</f>
        <v>#VALUE!</v>
      </c>
      <c r="BW19" s="323" t="e">
        <f aca="false">LongTerm107!$BM24*(LongTerm107!$F24*LongTerm107!$AF24*LongTerm107!$AH24)/10000</f>
        <v>#VALUE!</v>
      </c>
      <c r="BX19" s="323" t="e">
        <f aca="false">(LongTerm107!$BL24/(1-LongTerm107!$AR24))*(LongTerm107!$F24*LongTerm107!$AF24*LongTerm107!$AH24)/10000</f>
        <v>#VALUE!</v>
      </c>
      <c r="BY19" s="326"/>
      <c r="BZ19" s="325" t="e">
        <f aca="false">LongTerm108!D24</f>
        <v>#VALUE!</v>
      </c>
      <c r="CA19" s="323" t="e">
        <f aca="false">(LongTerm108!$BM24+LongTerm108!$BL24/(1-LongTerm108!$AR24))*(LongTerm108!$F24*LongTerm108!$AF24*LongTerm108!$AH24)/10000</f>
        <v>#VALUE!</v>
      </c>
      <c r="CB19" s="323" t="e">
        <f aca="false">LongTerm108!$BM24*(LongTerm108!$F24*LongTerm108!$AF24*LongTerm108!$AH24)/10000</f>
        <v>#VALUE!</v>
      </c>
      <c r="CC19" s="323" t="e">
        <f aca="false">(LongTerm108!$BL24/(1-LongTerm108!$AR24))*(LongTerm108!$F24*LongTerm108!$AF24*LongTerm108!$AH24)/10000</f>
        <v>#VALUE!</v>
      </c>
      <c r="CD19" s="332"/>
      <c r="CE19" s="333" t="n">
        <f aca="false">EOMONTH(CE18,0)+15</f>
        <v>37087</v>
      </c>
      <c r="CF19" s="334"/>
      <c r="CG19" s="334"/>
      <c r="CH19" s="334"/>
      <c r="CI19" s="334"/>
      <c r="CJ19" s="334"/>
      <c r="CK19" s="336"/>
      <c r="CL19" s="335"/>
      <c r="CM19" s="335"/>
      <c r="CN19" s="335"/>
    </row>
    <row r="20" customFormat="false" ht="12.75" hidden="false" customHeight="false" outlineLevel="0" collapsed="false">
      <c r="B20" s="320" t="e">
        <f aca="false">Q20</f>
        <v>#VALUE!</v>
      </c>
      <c r="C20" s="319" t="e">
        <f aca="false">YEAR(B20)</f>
        <v>#VALUE!</v>
      </c>
      <c r="D20" s="266" t="e">
        <f aca="false">R20+AC20</f>
        <v>#VALUE!</v>
      </c>
      <c r="E20" s="266" t="e">
        <f aca="false">S20+AD20</f>
        <v>#VALUE!</v>
      </c>
      <c r="F20" s="266" t="e">
        <f aca="false">+T20+AE20</f>
        <v>#VALUE!</v>
      </c>
      <c r="G20" s="266" t="e">
        <f aca="false">+U20+AF20</f>
        <v>#VALUE!</v>
      </c>
      <c r="H20" s="266" t="e">
        <f aca="false">V20+AG20</f>
        <v>#VALUE!</v>
      </c>
      <c r="I20" s="266" t="e">
        <f aca="false">W20+AH20</f>
        <v>#VALUE!</v>
      </c>
      <c r="J20" s="265"/>
      <c r="K20" s="265"/>
      <c r="L20" s="265"/>
      <c r="M20" s="266" t="e">
        <f aca="false">X20+AI20</f>
        <v>#VALUE!</v>
      </c>
      <c r="N20" s="264" t="e">
        <f aca="false">Y20+AJ20</f>
        <v>#VALUE!</v>
      </c>
      <c r="O20" s="264" t="e">
        <f aca="false">Z20+AK20</f>
        <v>#VALUE!</v>
      </c>
      <c r="Q20" s="320" t="e">
        <f aca="false">EOMONTH(Q19,0)+15</f>
        <v>#VALUE!</v>
      </c>
      <c r="R20" s="266" t="e">
        <f aca="false">SUMIF(AM:AM,$Q20,AN:AN)+SUMIF(AQ:AQ,$Q20,AR:AR)+SUMIF(AU:AU,$Q20,AV:AV)+SUMIF(BU:BU,$Q20,BV:BV)+SUMIF(BZ:BZ,$Q20,CA:CA)+SUMIF(BG:BG,$Q20,BH:BH)+SUMIF(BK:BK,$Q20,BL:BL)+SUMIF(BP:BP,$Q20,BQ:BQ)</f>
        <v>#VALUE!</v>
      </c>
      <c r="S20" s="264" t="e">
        <f aca="false">SUMIF(AM:AM,$Q20,AP:AP)+SUMIF(BU:BU,$Q20,BW:BW)+SUMIF(BZ:BZ,$Q20,CB:CB)</f>
        <v>#VALUE!</v>
      </c>
      <c r="T20" s="264" t="e">
        <f aca="false">SUMIF(AQ:AQ,$Q20,AT:AT)+SUMIF(BG:BG,$Q20,BJ:BJ)+SUMIF(BK:BK,$Q20,BN:BN)</f>
        <v>#VALUE!</v>
      </c>
      <c r="U20" s="264" t="e">
        <f aca="false">SUMIF(AM:AM,$Q20,AO:AO)+SUMIF(AQ:AQ,$Q20,AS:AS)+SUMIF(BG:BG,$Q20,BI:BI)+SUMIF(BK:BK,$Q20,BM:BM)</f>
        <v>#VALUE!</v>
      </c>
      <c r="V20" s="264" t="e">
        <f aca="false">SUMIF(AU:AU,$Q20,AW:AW)</f>
        <v>#VALUE!</v>
      </c>
      <c r="W20" s="264" t="e">
        <f aca="false">SUMIF(AU:AU,$Q20,AX:AX)</f>
        <v>#VALUE!</v>
      </c>
      <c r="X20" s="264" t="e">
        <f aca="false">SUMIF(BP:BP,$Q20,BR:BR)</f>
        <v>#VALUE!</v>
      </c>
      <c r="Y20" s="266" t="e">
        <f aca="false">SUMIF(BP:BP,$Q20,BS:BS)</f>
        <v>#VALUE!</v>
      </c>
      <c r="Z20" s="264" t="e">
        <f aca="false">SUMIF(BU:BU,$Q20,BX:BX)+SUMIF(BZ:BZ,$Q20,CC:CC)</f>
        <v>#VALUE!</v>
      </c>
      <c r="AA20" s="265"/>
      <c r="AB20" s="320" t="e">
        <f aca="false">Q20</f>
        <v>#VALUE!</v>
      </c>
      <c r="AC20" s="321" t="e">
        <f aca="false">VLOOKUP(AB20,CE21:CK126,7,FALSE())</f>
        <v>#VALUE!</v>
      </c>
      <c r="AD20" s="264" t="e">
        <f aca="false">VLOOKUP(AB20,CE21:CJ126,3,FALSE())</f>
        <v>#VALUE!</v>
      </c>
      <c r="AE20" s="264" t="e">
        <f aca="false">VLOOKUP(AB20,CE21:CJ126,2,FALSE())</f>
        <v>#VALUE!</v>
      </c>
      <c r="AF20" s="264" t="e">
        <f aca="false">VLOOKUP(AB20,CE21:CJ126,4,FALSE())</f>
        <v>#VALUE!</v>
      </c>
      <c r="AG20" s="264" t="e">
        <f aca="false">VLOOKUP(AB20,CE21:CJ126,5,FALSE())</f>
        <v>#VALUE!</v>
      </c>
      <c r="AH20" s="264" t="e">
        <f aca="false">VLOOKUP(AB20,CE21:CJ126,6,FALSE())</f>
        <v>#VALUE!</v>
      </c>
      <c r="AI20" s="264" t="e">
        <f aca="false">VLOOKUP(AB20,CE21:CM126,8,FALSE())</f>
        <v>#VALUE!</v>
      </c>
      <c r="AJ20" s="266" t="e">
        <f aca="false">VLOOKUP(AB20,CE21:CM126,9,FALSE())</f>
        <v>#VALUE!</v>
      </c>
      <c r="AK20" s="264" t="e">
        <f aca="false">VLOOKUP(AB20,CE21:CN126,10,FALSE())</f>
        <v>#VALUE!</v>
      </c>
      <c r="AM20" s="322" t="e">
        <f aca="false">LongTerm1!D25</f>
        <v>#VALUE!</v>
      </c>
      <c r="AN20" s="323" t="e">
        <f aca="false">(LongTerm1!BM25+LongTerm1!BL25/(1-LongTerm1!AR25))*(LongTerm1!F25*LongTerm1!AF25*LongTerm1!AH25)/10000</f>
        <v>#VALUE!</v>
      </c>
      <c r="AO20" s="323" t="e">
        <f aca="false">LongTerm1!BM25*(LongTerm1!F25*LongTerm1!AF25*LongTerm1!AH25)/10000</f>
        <v>#VALUE!</v>
      </c>
      <c r="AP20" s="323" t="e">
        <f aca="false">(LongTerm1!BL25/(1-LongTerm1!AR25))*(LongTerm1!F25*LongTerm1!AF25*LongTerm1!AH25)/10000</f>
        <v>#VALUE!</v>
      </c>
      <c r="AQ20" s="322" t="e">
        <f aca="false">LongTerm2!D25</f>
        <v>#VALUE!</v>
      </c>
      <c r="AR20" s="323" t="e">
        <f aca="false">(LongTerm2!BM25+LongTerm2!BL25/(1-LongTerm2!AR25))*(LongTerm2!F25*LongTerm2!AF25*LongTerm2!AH25)/10000</f>
        <v>#VALUE!</v>
      </c>
      <c r="AS20" s="323" t="e">
        <f aca="false">LongTerm2!BM25*(LongTerm2!F25*LongTerm2!AF25*LongTerm2!AH25)/10000</f>
        <v>#VALUE!</v>
      </c>
      <c r="AT20" s="323" t="e">
        <f aca="false">(LongTerm2!BL25/(1-LongTerm2!AR25))*(LongTerm2!F25*LongTerm2!AF25*LongTerm2!AH25)/10000</f>
        <v>#VALUE!</v>
      </c>
      <c r="AU20" s="322" t="e">
        <f aca="false">LongTerm72!D25</f>
        <v>#VALUE!</v>
      </c>
      <c r="AV20" s="323" t="e">
        <f aca="false">(LongTerm72!BM25+LongTerm72!BL25/(1-LongTerm72!AR25))*(LongTerm72!F25*LongTerm72!AF25*LongTerm72!AH25)/10000</f>
        <v>#VALUE!</v>
      </c>
      <c r="AW20" s="323" t="e">
        <f aca="false">LongTerm72!BM25*(LongTerm72!F25*LongTerm72!AF25*LongTerm72!AH25)/10000</f>
        <v>#VALUE!</v>
      </c>
      <c r="AX20" s="323" t="e">
        <f aca="false">(LongTerm72!BL25/(1-LongTerm72!AR25))*(LongTerm72!F25*LongTerm72!AF25*LongTerm72!AH25)/10000</f>
        <v>#VALUE!</v>
      </c>
      <c r="AY20" s="324"/>
      <c r="AZ20" s="319"/>
      <c r="BA20" s="319"/>
      <c r="BB20" s="319"/>
      <c r="BC20" s="324"/>
      <c r="BD20" s="319"/>
      <c r="BE20" s="319"/>
      <c r="BF20" s="319"/>
      <c r="BG20" s="322" t="e">
        <f aca="false">LongTerm25!D25</f>
        <v>#VALUE!</v>
      </c>
      <c r="BH20" s="323" t="e">
        <f aca="false">(LongTerm25!BM25+LongTerm25!BL25/(1-LongTerm25!AR25))*(LongTerm25!F25*LongTerm25!AF25*LongTerm25!AH25)/10000</f>
        <v>#VALUE!</v>
      </c>
      <c r="BI20" s="323" t="e">
        <f aca="false">LongTerm25!BM25*(LongTerm25!F25*LongTerm25!AF25*LongTerm25!AH25)/10000</f>
        <v>#VALUE!</v>
      </c>
      <c r="BJ20" s="323" t="e">
        <f aca="false">(LongTerm25!BL25/(1-LongTerm25!AR25))*(LongTerm25!F25*LongTerm25!AF25*LongTerm25!AH25)/10000</f>
        <v>#VALUE!</v>
      </c>
      <c r="BK20" s="324"/>
      <c r="BL20" s="319"/>
      <c r="BM20" s="319"/>
      <c r="BN20" s="319"/>
      <c r="BP20" s="325" t="e">
        <f aca="false">LongTerm62!D25</f>
        <v>#VALUE!</v>
      </c>
      <c r="BQ20" s="323" t="e">
        <f aca="false">(LongTerm62!$BM25+LongTerm62!$BL25/(1-LongTerm62!$AR25))*(LongTerm62!$F25*LongTerm62!$AF25*LongTerm62!$AH25)/10000</f>
        <v>#VALUE!</v>
      </c>
      <c r="BR20" s="323" t="e">
        <f aca="false">LongTerm62!$BM25*(LongTerm62!$F25*LongTerm62!$AF25*LongTerm62!$AH25)/10000</f>
        <v>#VALUE!</v>
      </c>
      <c r="BS20" s="323" t="e">
        <f aca="false">(LongTerm62!$BL25/(1-LongTerm62!$AR25))*(LongTerm62!$F25*LongTerm62!$AF25*LongTerm62!$AH25)/10000</f>
        <v>#VALUE!</v>
      </c>
      <c r="BT20" s="265"/>
      <c r="BU20" s="325" t="e">
        <f aca="false">LongTerm107!D25</f>
        <v>#VALUE!</v>
      </c>
      <c r="BV20" s="323" t="e">
        <f aca="false">(LongTerm107!$BM25+LongTerm107!$BL25/(1-LongTerm107!$AR25))*(LongTerm107!$F25*LongTerm107!$AF25*LongTerm107!$AH25)/10000</f>
        <v>#VALUE!</v>
      </c>
      <c r="BW20" s="323" t="e">
        <f aca="false">LongTerm107!$BM25*(LongTerm107!$F25*LongTerm107!$AF25*LongTerm107!$AH25)/10000</f>
        <v>#VALUE!</v>
      </c>
      <c r="BX20" s="323" t="e">
        <f aca="false">(LongTerm107!$BL25/(1-LongTerm107!$AR25))*(LongTerm107!$F25*LongTerm107!$AF25*LongTerm107!$AH25)/10000</f>
        <v>#VALUE!</v>
      </c>
      <c r="BY20" s="326"/>
      <c r="BZ20" s="325" t="e">
        <f aca="false">LongTerm108!D25</f>
        <v>#VALUE!</v>
      </c>
      <c r="CA20" s="323" t="e">
        <f aca="false">(LongTerm108!$BM25+LongTerm108!$BL25/(1-LongTerm108!$AR25))*(LongTerm108!$F25*LongTerm108!$AF25*LongTerm108!$AH25)/10000</f>
        <v>#VALUE!</v>
      </c>
      <c r="CB20" s="323" t="e">
        <f aca="false">LongTerm108!$BM25*(LongTerm108!$F25*LongTerm108!$AF25*LongTerm108!$AH25)/10000</f>
        <v>#VALUE!</v>
      </c>
      <c r="CC20" s="323" t="e">
        <f aca="false">(LongTerm108!$BL25/(1-LongTerm108!$AR25))*(LongTerm108!$F25*LongTerm108!$AF25*LongTerm108!$AH25)/10000</f>
        <v>#VALUE!</v>
      </c>
      <c r="CD20" s="332"/>
      <c r="CE20" s="333" t="n">
        <f aca="false">EOMONTH(CE19,0)+15</f>
        <v>37118</v>
      </c>
      <c r="CF20" s="334"/>
      <c r="CG20" s="334"/>
      <c r="CH20" s="334"/>
      <c r="CI20" s="334"/>
      <c r="CJ20" s="334"/>
      <c r="CK20" s="336"/>
      <c r="CL20" s="335"/>
      <c r="CM20" s="335"/>
      <c r="CN20" s="335"/>
    </row>
    <row r="21" customFormat="false" ht="12.75" hidden="false" customHeight="false" outlineLevel="0" collapsed="false">
      <c r="B21" s="320" t="e">
        <f aca="false">Q21</f>
        <v>#VALUE!</v>
      </c>
      <c r="C21" s="319" t="e">
        <f aca="false">YEAR(B21)</f>
        <v>#VALUE!</v>
      </c>
      <c r="D21" s="266" t="e">
        <f aca="false">R21+AC21</f>
        <v>#VALUE!</v>
      </c>
      <c r="E21" s="266" t="e">
        <f aca="false">S21+AD21</f>
        <v>#VALUE!</v>
      </c>
      <c r="F21" s="266" t="e">
        <f aca="false">+T21+AE21</f>
        <v>#VALUE!</v>
      </c>
      <c r="G21" s="266" t="e">
        <f aca="false">+U21+AF21</f>
        <v>#VALUE!</v>
      </c>
      <c r="H21" s="266" t="e">
        <f aca="false">V21+AG21</f>
        <v>#VALUE!</v>
      </c>
      <c r="I21" s="266" t="e">
        <f aca="false">W21+AH21</f>
        <v>#VALUE!</v>
      </c>
      <c r="J21" s="265"/>
      <c r="K21" s="265"/>
      <c r="L21" s="265"/>
      <c r="M21" s="266" t="e">
        <f aca="false">X21+AI21</f>
        <v>#VALUE!</v>
      </c>
      <c r="N21" s="264" t="e">
        <f aca="false">Y21+AJ21</f>
        <v>#VALUE!</v>
      </c>
      <c r="O21" s="264" t="e">
        <f aca="false">Z21+AK21</f>
        <v>#VALUE!</v>
      </c>
      <c r="Q21" s="320" t="e">
        <f aca="false">EOMONTH(Q20,0)+15</f>
        <v>#VALUE!</v>
      </c>
      <c r="R21" s="266" t="e">
        <f aca="false">SUMIF(AM:AM,$Q21,AN:AN)+SUMIF(AQ:AQ,$Q21,AR:AR)+SUMIF(AU:AU,$Q21,AV:AV)+SUMIF(BU:BU,$Q21,BV:BV)+SUMIF(BZ:BZ,$Q21,CA:CA)+SUMIF(BG:BG,$Q21,BH:BH)+SUMIF(BK:BK,$Q21,BL:BL)+SUMIF(BP:BP,$Q21,BQ:BQ)</f>
        <v>#VALUE!</v>
      </c>
      <c r="S21" s="264" t="e">
        <f aca="false">SUMIF(AM:AM,$Q21,AP:AP)+SUMIF(BU:BU,$Q21,BW:BW)+SUMIF(BZ:BZ,$Q21,CB:CB)</f>
        <v>#VALUE!</v>
      </c>
      <c r="T21" s="264" t="e">
        <f aca="false">SUMIF(AQ:AQ,$Q21,AT:AT)+SUMIF(BG:BG,$Q21,BJ:BJ)+SUMIF(BK:BK,$Q21,BN:BN)</f>
        <v>#VALUE!</v>
      </c>
      <c r="U21" s="264" t="e">
        <f aca="false">SUMIF(AM:AM,$Q21,AO:AO)+SUMIF(AQ:AQ,$Q21,AS:AS)+SUMIF(BG:BG,$Q21,BI:BI)+SUMIF(BK:BK,$Q21,BM:BM)</f>
        <v>#VALUE!</v>
      </c>
      <c r="V21" s="264" t="e">
        <f aca="false">SUMIF(AU:AU,$Q21,AW:AW)</f>
        <v>#VALUE!</v>
      </c>
      <c r="W21" s="264" t="e">
        <f aca="false">SUMIF(AU:AU,$Q21,AX:AX)</f>
        <v>#VALUE!</v>
      </c>
      <c r="X21" s="264" t="e">
        <f aca="false">SUMIF(BP:BP,$Q21,BR:BR)</f>
        <v>#VALUE!</v>
      </c>
      <c r="Y21" s="266" t="e">
        <f aca="false">SUMIF(BP:BP,$Q21,BS:BS)</f>
        <v>#VALUE!</v>
      </c>
      <c r="Z21" s="264" t="e">
        <f aca="false">SUMIF(BU:BU,$Q21,BX:BX)+SUMIF(BZ:BZ,$Q21,CC:CC)</f>
        <v>#VALUE!</v>
      </c>
      <c r="AA21" s="265"/>
      <c r="AB21" s="320" t="e">
        <f aca="false">Q21</f>
        <v>#VALUE!</v>
      </c>
      <c r="AC21" s="321" t="e">
        <f aca="false">VLOOKUP(AB21,CE22:CK127,7,FALSE())</f>
        <v>#VALUE!</v>
      </c>
      <c r="AD21" s="264" t="e">
        <f aca="false">VLOOKUP(AB21,CE22:CJ127,3,FALSE())</f>
        <v>#VALUE!</v>
      </c>
      <c r="AE21" s="264" t="e">
        <f aca="false">VLOOKUP(AB21,CE22:CJ127,2,FALSE())</f>
        <v>#VALUE!</v>
      </c>
      <c r="AF21" s="264" t="e">
        <f aca="false">VLOOKUP(AB21,CE22:CJ127,4,FALSE())</f>
        <v>#VALUE!</v>
      </c>
      <c r="AG21" s="264" t="e">
        <f aca="false">VLOOKUP(AB21,CE22:CJ127,5,FALSE())</f>
        <v>#VALUE!</v>
      </c>
      <c r="AH21" s="264" t="e">
        <f aca="false">VLOOKUP(AB21,CE22:CJ127,6,FALSE())</f>
        <v>#VALUE!</v>
      </c>
      <c r="AI21" s="264" t="e">
        <f aca="false">VLOOKUP(AB21,CE22:CM127,8,FALSE())</f>
        <v>#VALUE!</v>
      </c>
      <c r="AJ21" s="266" t="e">
        <f aca="false">VLOOKUP(AB21,CE22:CM127,9,FALSE())</f>
        <v>#VALUE!</v>
      </c>
      <c r="AK21" s="264" t="e">
        <f aca="false">VLOOKUP(AB21,CE22:CN127,10,FALSE())</f>
        <v>#VALUE!</v>
      </c>
      <c r="AM21" s="322" t="e">
        <f aca="false">LongTerm1!D26</f>
        <v>#VALUE!</v>
      </c>
      <c r="AN21" s="323" t="e">
        <f aca="false">(LongTerm1!BM26+LongTerm1!BL26/(1-LongTerm1!AR26))*(LongTerm1!F26*LongTerm1!AF26*LongTerm1!AH26)/10000</f>
        <v>#VALUE!</v>
      </c>
      <c r="AO21" s="323" t="e">
        <f aca="false">LongTerm1!BM26*(LongTerm1!F26*LongTerm1!AF26*LongTerm1!AH26)/10000</f>
        <v>#VALUE!</v>
      </c>
      <c r="AP21" s="323" t="e">
        <f aca="false">(LongTerm1!BL26/(1-LongTerm1!AR26))*(LongTerm1!F26*LongTerm1!AF26*LongTerm1!AH26)/10000</f>
        <v>#VALUE!</v>
      </c>
      <c r="AQ21" s="322" t="e">
        <f aca="false">LongTerm2!D26</f>
        <v>#VALUE!</v>
      </c>
      <c r="AR21" s="323" t="e">
        <f aca="false">(LongTerm2!BM26+LongTerm2!BL26/(1-LongTerm2!AR26))*(LongTerm2!F26*LongTerm2!AF26*LongTerm2!AH26)/10000</f>
        <v>#VALUE!</v>
      </c>
      <c r="AS21" s="323" t="e">
        <f aca="false">LongTerm2!BM26*(LongTerm2!F26*LongTerm2!AF26*LongTerm2!AH26)/10000</f>
        <v>#VALUE!</v>
      </c>
      <c r="AT21" s="323" t="e">
        <f aca="false">(LongTerm2!BL26/(1-LongTerm2!AR26))*(LongTerm2!F26*LongTerm2!AF26*LongTerm2!AH26)/10000</f>
        <v>#VALUE!</v>
      </c>
      <c r="AU21" s="322" t="e">
        <f aca="false">LongTerm72!D26</f>
        <v>#VALUE!</v>
      </c>
      <c r="AV21" s="323" t="e">
        <f aca="false">(LongTerm72!BM26+LongTerm72!BL26/(1-LongTerm72!AR26))*(LongTerm72!F26*LongTerm72!AF26*LongTerm72!AH26)/10000</f>
        <v>#VALUE!</v>
      </c>
      <c r="AW21" s="323" t="e">
        <f aca="false">LongTerm72!BM26*(LongTerm72!F26*LongTerm72!AF26*LongTerm72!AH26)/10000</f>
        <v>#VALUE!</v>
      </c>
      <c r="AX21" s="323" t="e">
        <f aca="false">(LongTerm72!BL26/(1-LongTerm72!AR26))*(LongTerm72!F26*LongTerm72!AF26*LongTerm72!AH26)/10000</f>
        <v>#VALUE!</v>
      </c>
      <c r="AY21" s="324"/>
      <c r="AZ21" s="319"/>
      <c r="BA21" s="319"/>
      <c r="BB21" s="319"/>
      <c r="BC21" s="324"/>
      <c r="BD21" s="319"/>
      <c r="BE21" s="319"/>
      <c r="BF21" s="319"/>
      <c r="BG21" s="322" t="e">
        <f aca="false">LongTerm25!D26</f>
        <v>#VALUE!</v>
      </c>
      <c r="BH21" s="323" t="e">
        <f aca="false">(LongTerm25!BM26+LongTerm25!BL26/(1-LongTerm25!AR26))*(LongTerm25!F26*LongTerm25!AF26*LongTerm25!AH26)/10000</f>
        <v>#VALUE!</v>
      </c>
      <c r="BI21" s="323" t="e">
        <f aca="false">LongTerm25!BM26*(LongTerm25!F26*LongTerm25!AF26*LongTerm25!AH26)/10000</f>
        <v>#VALUE!</v>
      </c>
      <c r="BJ21" s="323" t="e">
        <f aca="false">(LongTerm25!BL26/(1-LongTerm25!AR26))*(LongTerm25!F26*LongTerm25!AF26*LongTerm25!AH26)/10000</f>
        <v>#VALUE!</v>
      </c>
      <c r="BK21" s="319"/>
      <c r="BL21" s="319"/>
      <c r="BM21" s="319"/>
      <c r="BN21" s="319"/>
      <c r="BP21" s="325" t="e">
        <f aca="false">LongTerm62!D26</f>
        <v>#VALUE!</v>
      </c>
      <c r="BQ21" s="323" t="e">
        <f aca="false">(LongTerm62!$BM26+LongTerm62!$BL26/(1-LongTerm62!$AR26))*(LongTerm62!$F26*LongTerm62!$AF26*LongTerm62!$AH26)/10000</f>
        <v>#VALUE!</v>
      </c>
      <c r="BR21" s="323" t="e">
        <f aca="false">LongTerm62!$BM26*(LongTerm62!$F26*LongTerm62!$AF26*LongTerm62!$AH26)/10000</f>
        <v>#VALUE!</v>
      </c>
      <c r="BS21" s="323" t="e">
        <f aca="false">(LongTerm62!$BL26/(1-LongTerm62!$AR26))*(LongTerm62!$F26*LongTerm62!$AF26*LongTerm62!$AH26)/10000</f>
        <v>#VALUE!</v>
      </c>
      <c r="BT21" s="265"/>
      <c r="BU21" s="325" t="e">
        <f aca="false">LongTerm107!D26</f>
        <v>#VALUE!</v>
      </c>
      <c r="BV21" s="323" t="e">
        <f aca="false">(LongTerm107!$BM26+LongTerm107!$BL26/(1-LongTerm107!$AR26))*(LongTerm107!$F26*LongTerm107!$AF26*LongTerm107!$AH26)/10000</f>
        <v>#VALUE!</v>
      </c>
      <c r="BW21" s="323" t="e">
        <f aca="false">LongTerm107!$BM26*(LongTerm107!$F26*LongTerm107!$AF26*LongTerm107!$AH26)/10000</f>
        <v>#VALUE!</v>
      </c>
      <c r="BX21" s="323" t="e">
        <f aca="false">(LongTerm107!$BL26/(1-LongTerm107!$AR26))*(LongTerm107!$F26*LongTerm107!$AF26*LongTerm107!$AH26)/10000</f>
        <v>#VALUE!</v>
      </c>
      <c r="BY21" s="326"/>
      <c r="BZ21" s="325" t="e">
        <f aca="false">LongTerm108!D26</f>
        <v>#VALUE!</v>
      </c>
      <c r="CA21" s="323" t="e">
        <f aca="false">(LongTerm108!$BM26+LongTerm108!$BL26/(1-LongTerm108!$AR26))*(LongTerm108!$F26*LongTerm108!$AF26*LongTerm108!$AH26)/10000</f>
        <v>#VALUE!</v>
      </c>
      <c r="CB21" s="323" t="e">
        <f aca="false">LongTerm108!$BM26*(LongTerm108!$F26*LongTerm108!$AF26*LongTerm108!$AH26)/10000</f>
        <v>#VALUE!</v>
      </c>
      <c r="CC21" s="323" t="e">
        <f aca="false">(LongTerm108!$BL26/(1-LongTerm108!$AR26))*(LongTerm108!$F26*LongTerm108!$AF26*LongTerm108!$AH26)/10000</f>
        <v>#VALUE!</v>
      </c>
      <c r="CD21" s="332"/>
      <c r="CE21" s="333" t="n">
        <f aca="false">EOMONTH(CE20,0)+15</f>
        <v>37149</v>
      </c>
      <c r="CF21" s="334"/>
      <c r="CG21" s="334"/>
      <c r="CH21" s="334"/>
      <c r="CI21" s="334"/>
      <c r="CJ21" s="334"/>
      <c r="CK21" s="336"/>
      <c r="CL21" s="335"/>
      <c r="CM21" s="335"/>
      <c r="CN21" s="335"/>
    </row>
    <row r="22" customFormat="false" ht="12.75" hidden="false" customHeight="false" outlineLevel="0" collapsed="false">
      <c r="B22" s="320" t="e">
        <f aca="false">Q22</f>
        <v>#VALUE!</v>
      </c>
      <c r="C22" s="319" t="e">
        <f aca="false">YEAR(B22)</f>
        <v>#VALUE!</v>
      </c>
      <c r="D22" s="266" t="e">
        <f aca="false">R22+AC22</f>
        <v>#VALUE!</v>
      </c>
      <c r="E22" s="266" t="e">
        <f aca="false">S22+AD22</f>
        <v>#VALUE!</v>
      </c>
      <c r="F22" s="266" t="e">
        <f aca="false">+T22+AE22</f>
        <v>#VALUE!</v>
      </c>
      <c r="G22" s="266" t="e">
        <f aca="false">+U22+AF22</f>
        <v>#VALUE!</v>
      </c>
      <c r="H22" s="266" t="e">
        <f aca="false">V22+AG22</f>
        <v>#VALUE!</v>
      </c>
      <c r="I22" s="266" t="e">
        <f aca="false">W22+AH22</f>
        <v>#VALUE!</v>
      </c>
      <c r="J22" s="265"/>
      <c r="K22" s="265"/>
      <c r="L22" s="265"/>
      <c r="M22" s="266" t="e">
        <f aca="false">X22+AI22</f>
        <v>#VALUE!</v>
      </c>
      <c r="N22" s="264" t="e">
        <f aca="false">Y22+AJ22</f>
        <v>#VALUE!</v>
      </c>
      <c r="O22" s="264" t="e">
        <f aca="false">Z22+AK22</f>
        <v>#VALUE!</v>
      </c>
      <c r="Q22" s="320" t="e">
        <f aca="false">EOMONTH(Q21,0)+15</f>
        <v>#VALUE!</v>
      </c>
      <c r="R22" s="266" t="e">
        <f aca="false">SUMIF(AM:AM,$Q22,AN:AN)+SUMIF(AQ:AQ,$Q22,AR:AR)+SUMIF(AU:AU,$Q22,AV:AV)+SUMIF(BU:BU,$Q22,BV:BV)+SUMIF(BZ:BZ,$Q22,CA:CA)+SUMIF(BG:BG,$Q22,BH:BH)+SUMIF(BK:BK,$Q22,BL:BL)+SUMIF(BP:BP,$Q22,BQ:BQ)</f>
        <v>#VALUE!</v>
      </c>
      <c r="S22" s="264" t="e">
        <f aca="false">SUMIF(AM:AM,$Q22,AP:AP)+SUMIF(BU:BU,$Q22,BW:BW)+SUMIF(BZ:BZ,$Q22,CB:CB)</f>
        <v>#VALUE!</v>
      </c>
      <c r="T22" s="264" t="e">
        <f aca="false">SUMIF(AQ:AQ,$Q22,AT:AT)+SUMIF(BG:BG,$Q22,BJ:BJ)+SUMIF(BK:BK,$Q22,BN:BN)</f>
        <v>#VALUE!</v>
      </c>
      <c r="U22" s="264" t="e">
        <f aca="false">SUMIF(AM:AM,$Q22,AO:AO)+SUMIF(AQ:AQ,$Q22,AS:AS)+SUMIF(BG:BG,$Q22,BI:BI)+SUMIF(BK:BK,$Q22,BM:BM)</f>
        <v>#VALUE!</v>
      </c>
      <c r="V22" s="264" t="e">
        <f aca="false">SUMIF(AU:AU,$Q22,AW:AW)</f>
        <v>#VALUE!</v>
      </c>
      <c r="W22" s="264" t="e">
        <f aca="false">SUMIF(AU:AU,$Q22,AX:AX)</f>
        <v>#VALUE!</v>
      </c>
      <c r="X22" s="264" t="e">
        <f aca="false">SUMIF(BP:BP,$Q22,BR:BR)</f>
        <v>#VALUE!</v>
      </c>
      <c r="Y22" s="266" t="e">
        <f aca="false">SUMIF(BP:BP,$Q22,BS:BS)</f>
        <v>#VALUE!</v>
      </c>
      <c r="Z22" s="264" t="e">
        <f aca="false">SUMIF(BU:BU,$Q22,BX:BX)+SUMIF(BZ:BZ,$Q22,CC:CC)</f>
        <v>#VALUE!</v>
      </c>
      <c r="AA22" s="265"/>
      <c r="AB22" s="320" t="e">
        <f aca="false">Q22</f>
        <v>#VALUE!</v>
      </c>
      <c r="AC22" s="321" t="e">
        <f aca="false">VLOOKUP(AB22,CE23:CK128,7,FALSE())</f>
        <v>#VALUE!</v>
      </c>
      <c r="AD22" s="264" t="e">
        <f aca="false">VLOOKUP(AB22,CE23:CJ128,3,FALSE())</f>
        <v>#VALUE!</v>
      </c>
      <c r="AE22" s="264" t="e">
        <f aca="false">VLOOKUP(AB22,CE23:CJ128,2,FALSE())</f>
        <v>#VALUE!</v>
      </c>
      <c r="AF22" s="264" t="e">
        <f aca="false">VLOOKUP(AB22,CE23:CJ128,4,FALSE())</f>
        <v>#VALUE!</v>
      </c>
      <c r="AG22" s="264" t="e">
        <f aca="false">VLOOKUP(AB22,CE23:CJ128,5,FALSE())</f>
        <v>#VALUE!</v>
      </c>
      <c r="AH22" s="264" t="e">
        <f aca="false">VLOOKUP(AB22,CE23:CJ128,6,FALSE())</f>
        <v>#VALUE!</v>
      </c>
      <c r="AI22" s="264" t="e">
        <f aca="false">VLOOKUP(AB22,CE23:CM128,8,FALSE())</f>
        <v>#VALUE!</v>
      </c>
      <c r="AJ22" s="266" t="e">
        <f aca="false">VLOOKUP(AB22,CE23:CM128,9,FALSE())</f>
        <v>#VALUE!</v>
      </c>
      <c r="AK22" s="264" t="e">
        <f aca="false">VLOOKUP(AB22,CE23:CN128,10,FALSE())</f>
        <v>#VALUE!</v>
      </c>
      <c r="AM22" s="322" t="e">
        <f aca="false">LongTerm1!D27</f>
        <v>#VALUE!</v>
      </c>
      <c r="AN22" s="323" t="e">
        <f aca="false">(LongTerm1!BM27+LongTerm1!BL27/(1-LongTerm1!AR27))*(LongTerm1!F27*LongTerm1!AF27*LongTerm1!AH27)/10000</f>
        <v>#VALUE!</v>
      </c>
      <c r="AO22" s="323" t="e">
        <f aca="false">LongTerm1!BM27*(LongTerm1!F27*LongTerm1!AF27*LongTerm1!AH27)/10000</f>
        <v>#VALUE!</v>
      </c>
      <c r="AP22" s="323" t="e">
        <f aca="false">(LongTerm1!BL27/(1-LongTerm1!AR27))*(LongTerm1!F27*LongTerm1!AF27*LongTerm1!AH27)/10000</f>
        <v>#VALUE!</v>
      </c>
      <c r="AQ22" s="322" t="e">
        <f aca="false">LongTerm2!D27</f>
        <v>#VALUE!</v>
      </c>
      <c r="AR22" s="323" t="e">
        <f aca="false">(LongTerm2!BM27+LongTerm2!BL27/(1-LongTerm2!AR27))*(LongTerm2!F27*LongTerm2!AF27*LongTerm2!AH27)/10000</f>
        <v>#VALUE!</v>
      </c>
      <c r="AS22" s="323" t="e">
        <f aca="false">LongTerm2!BM27*(LongTerm2!F27*LongTerm2!AF27*LongTerm2!AH27)/10000</f>
        <v>#VALUE!</v>
      </c>
      <c r="AT22" s="323" t="e">
        <f aca="false">(LongTerm2!BL27/(1-LongTerm2!AR27))*(LongTerm2!F27*LongTerm2!AF27*LongTerm2!AH27)/10000</f>
        <v>#VALUE!</v>
      </c>
      <c r="AU22" s="322" t="e">
        <f aca="false">LongTerm72!D27</f>
        <v>#VALUE!</v>
      </c>
      <c r="AV22" s="323" t="e">
        <f aca="false">(LongTerm72!BM27+LongTerm72!BL27/(1-LongTerm72!AR27))*(LongTerm72!F27*LongTerm72!AF27*LongTerm72!AH27)/10000</f>
        <v>#VALUE!</v>
      </c>
      <c r="AW22" s="323" t="e">
        <f aca="false">LongTerm72!BM27*(LongTerm72!F27*LongTerm72!AF27*LongTerm72!AH27)/10000</f>
        <v>#VALUE!</v>
      </c>
      <c r="AX22" s="323" t="e">
        <f aca="false">(LongTerm72!BL27/(1-LongTerm72!AR27))*(LongTerm72!F27*LongTerm72!AF27*LongTerm72!AH27)/10000</f>
        <v>#VALUE!</v>
      </c>
      <c r="AY22" s="324"/>
      <c r="AZ22" s="319"/>
      <c r="BA22" s="319"/>
      <c r="BB22" s="319"/>
      <c r="BC22" s="324"/>
      <c r="BD22" s="319"/>
      <c r="BE22" s="319"/>
      <c r="BF22" s="319"/>
      <c r="BG22" s="322" t="e">
        <f aca="false">LongTerm25!D27</f>
        <v>#VALUE!</v>
      </c>
      <c r="BH22" s="323" t="e">
        <f aca="false">(LongTerm25!BM27+LongTerm25!BL27/(1-LongTerm25!AR27))*(LongTerm25!F27*LongTerm25!AF27*LongTerm25!AH27)/10000</f>
        <v>#VALUE!</v>
      </c>
      <c r="BI22" s="323" t="e">
        <f aca="false">LongTerm25!BM27*(LongTerm25!F27*LongTerm25!AF27*LongTerm25!AH27)/10000</f>
        <v>#VALUE!</v>
      </c>
      <c r="BJ22" s="323" t="e">
        <f aca="false">(LongTerm25!BL27/(1-LongTerm25!AR27))*(LongTerm25!F27*LongTerm25!AF27*LongTerm25!AH27)/10000</f>
        <v>#VALUE!</v>
      </c>
      <c r="BK22" s="319"/>
      <c r="BL22" s="319"/>
      <c r="BM22" s="319"/>
      <c r="BN22" s="319"/>
      <c r="BP22" s="325" t="e">
        <f aca="false">LongTerm62!D27</f>
        <v>#VALUE!</v>
      </c>
      <c r="BQ22" s="323" t="e">
        <f aca="false">(LongTerm62!$BM27+LongTerm62!$BL27/(1-LongTerm62!$AR27))*(LongTerm62!$F27*LongTerm62!$AF27*LongTerm62!$AH27)/10000</f>
        <v>#VALUE!</v>
      </c>
      <c r="BR22" s="323" t="e">
        <f aca="false">LongTerm62!$BM27*(LongTerm62!$F27*LongTerm62!$AF27*LongTerm62!$AH27)/10000</f>
        <v>#VALUE!</v>
      </c>
      <c r="BS22" s="323" t="e">
        <f aca="false">(LongTerm62!$BL27/(1-LongTerm62!$AR27))*(LongTerm62!$F27*LongTerm62!$AF27*LongTerm62!$AH27)/10000</f>
        <v>#VALUE!</v>
      </c>
      <c r="BT22" s="265"/>
      <c r="BU22" s="325" t="e">
        <f aca="false">LongTerm107!D27</f>
        <v>#VALUE!</v>
      </c>
      <c r="BV22" s="323" t="e">
        <f aca="false">(LongTerm107!$BM27+LongTerm107!$BL27/(1-LongTerm107!$AR27))*(LongTerm107!$F27*LongTerm107!$AF27*LongTerm107!$AH27)/10000</f>
        <v>#VALUE!</v>
      </c>
      <c r="BW22" s="323" t="e">
        <f aca="false">LongTerm107!$BM27*(LongTerm107!$F27*LongTerm107!$AF27*LongTerm107!$AH27)/10000</f>
        <v>#VALUE!</v>
      </c>
      <c r="BX22" s="323" t="e">
        <f aca="false">(LongTerm107!$BL27/(1-LongTerm107!$AR27))*(LongTerm107!$F27*LongTerm107!$AF27*LongTerm107!$AH27)/10000</f>
        <v>#VALUE!</v>
      </c>
      <c r="BY22" s="326"/>
      <c r="BZ22" s="325" t="e">
        <f aca="false">LongTerm108!D27</f>
        <v>#VALUE!</v>
      </c>
      <c r="CA22" s="323" t="e">
        <f aca="false">(LongTerm108!$BM27+LongTerm108!$BL27/(1-LongTerm108!$AR27))*(LongTerm108!$F27*LongTerm108!$AF27*LongTerm108!$AH27)/10000</f>
        <v>#VALUE!</v>
      </c>
      <c r="CB22" s="323" t="e">
        <f aca="false">LongTerm108!$BM27*(LongTerm108!$F27*LongTerm108!$AF27*LongTerm108!$AH27)/10000</f>
        <v>#VALUE!</v>
      </c>
      <c r="CC22" s="323" t="e">
        <f aca="false">(LongTerm108!$BL27/(1-LongTerm108!$AR27))*(LongTerm108!$F27*LongTerm108!$AF27*LongTerm108!$AH27)/10000</f>
        <v>#VALUE!</v>
      </c>
      <c r="CD22" s="332"/>
      <c r="CE22" s="333" t="n">
        <f aca="false">EOMONTH(CE21,0)+15</f>
        <v>37179</v>
      </c>
      <c r="CF22" s="334"/>
      <c r="CG22" s="334"/>
      <c r="CH22" s="334"/>
      <c r="CI22" s="334"/>
      <c r="CJ22" s="334"/>
      <c r="CK22" s="336"/>
      <c r="CL22" s="335"/>
      <c r="CM22" s="335"/>
      <c r="CN22" s="335"/>
    </row>
    <row r="23" customFormat="false" ht="12.75" hidden="false" customHeight="false" outlineLevel="0" collapsed="false">
      <c r="B23" s="320" t="e">
        <f aca="false">Q23</f>
        <v>#VALUE!</v>
      </c>
      <c r="C23" s="319" t="e">
        <f aca="false">YEAR(B23)</f>
        <v>#VALUE!</v>
      </c>
      <c r="D23" s="266" t="e">
        <f aca="false">R23+AC23</f>
        <v>#VALUE!</v>
      </c>
      <c r="E23" s="266" t="e">
        <f aca="false">S23+AD23</f>
        <v>#VALUE!</v>
      </c>
      <c r="F23" s="266" t="e">
        <f aca="false">+T23+AE23</f>
        <v>#VALUE!</v>
      </c>
      <c r="G23" s="266" t="e">
        <f aca="false">+U23+AF23</f>
        <v>#VALUE!</v>
      </c>
      <c r="H23" s="266" t="e">
        <f aca="false">V23+AG23</f>
        <v>#VALUE!</v>
      </c>
      <c r="I23" s="266" t="e">
        <f aca="false">W23+AH23</f>
        <v>#VALUE!</v>
      </c>
      <c r="J23" s="265"/>
      <c r="K23" s="265"/>
      <c r="L23" s="265"/>
      <c r="M23" s="266" t="e">
        <f aca="false">X23+AI23</f>
        <v>#VALUE!</v>
      </c>
      <c r="N23" s="264" t="e">
        <f aca="false">Y23+AJ23</f>
        <v>#VALUE!</v>
      </c>
      <c r="O23" s="264" t="e">
        <f aca="false">Z23+AK23</f>
        <v>#VALUE!</v>
      </c>
      <c r="Q23" s="320" t="e">
        <f aca="false">EOMONTH(Q22,0)+15</f>
        <v>#VALUE!</v>
      </c>
      <c r="R23" s="266" t="e">
        <f aca="false">SUMIF(AM:AM,$Q23,AN:AN)+SUMIF(AQ:AQ,$Q23,AR:AR)+SUMIF(AU:AU,$Q23,AV:AV)+SUMIF(BU:BU,$Q23,BV:BV)+SUMIF(BZ:BZ,$Q23,CA:CA)+SUMIF(BG:BG,$Q23,BH:BH)+SUMIF(BK:BK,$Q23,BL:BL)+SUMIF(BP:BP,$Q23,BQ:BQ)</f>
        <v>#VALUE!</v>
      </c>
      <c r="S23" s="264" t="e">
        <f aca="false">SUMIF(AM:AM,$Q23,AP:AP)+SUMIF(BU:BU,$Q23,BW:BW)+SUMIF(BZ:BZ,$Q23,CB:CB)</f>
        <v>#VALUE!</v>
      </c>
      <c r="T23" s="264" t="e">
        <f aca="false">SUMIF(AQ:AQ,$Q23,AT:AT)+SUMIF(BG:BG,$Q23,BJ:BJ)+SUMIF(BK:BK,$Q23,BN:BN)</f>
        <v>#VALUE!</v>
      </c>
      <c r="U23" s="264" t="e">
        <f aca="false">SUMIF(AM:AM,$Q23,AO:AO)+SUMIF(AQ:AQ,$Q23,AS:AS)+SUMIF(BG:BG,$Q23,BI:BI)+SUMIF(BK:BK,$Q23,BM:BM)</f>
        <v>#VALUE!</v>
      </c>
      <c r="V23" s="264" t="e">
        <f aca="false">SUMIF(AU:AU,$Q23,AW:AW)</f>
        <v>#VALUE!</v>
      </c>
      <c r="W23" s="264" t="e">
        <f aca="false">SUMIF(AU:AU,$Q23,AX:AX)</f>
        <v>#VALUE!</v>
      </c>
      <c r="X23" s="264" t="e">
        <f aca="false">SUMIF(BP:BP,$Q23,BR:BR)</f>
        <v>#VALUE!</v>
      </c>
      <c r="Y23" s="266" t="e">
        <f aca="false">SUMIF(BP:BP,$Q23,BS:BS)</f>
        <v>#VALUE!</v>
      </c>
      <c r="Z23" s="264" t="e">
        <f aca="false">SUMIF(BU:BU,$Q23,BX:BX)+SUMIF(BZ:BZ,$Q23,CC:CC)</f>
        <v>#VALUE!</v>
      </c>
      <c r="AA23" s="265"/>
      <c r="AB23" s="320" t="e">
        <f aca="false">Q23</f>
        <v>#VALUE!</v>
      </c>
      <c r="AC23" s="321" t="e">
        <f aca="false">VLOOKUP(AB23,CE24:CK129,7,FALSE())</f>
        <v>#VALUE!</v>
      </c>
      <c r="AD23" s="264" t="e">
        <f aca="false">VLOOKUP(AB23,CE24:CJ129,3,FALSE())</f>
        <v>#VALUE!</v>
      </c>
      <c r="AE23" s="264" t="e">
        <f aca="false">VLOOKUP(AB23,CE24:CJ129,2,FALSE())</f>
        <v>#VALUE!</v>
      </c>
      <c r="AF23" s="264" t="e">
        <f aca="false">VLOOKUP(AB23,CE24:CJ129,4,FALSE())</f>
        <v>#VALUE!</v>
      </c>
      <c r="AG23" s="264" t="e">
        <f aca="false">VLOOKUP(AB23,CE24:CJ129,5,FALSE())</f>
        <v>#VALUE!</v>
      </c>
      <c r="AH23" s="264" t="e">
        <f aca="false">VLOOKUP(AB23,CE24:CJ129,6,FALSE())</f>
        <v>#VALUE!</v>
      </c>
      <c r="AI23" s="264" t="e">
        <f aca="false">VLOOKUP(AB23,CE24:CM129,8,FALSE())</f>
        <v>#VALUE!</v>
      </c>
      <c r="AJ23" s="266" t="e">
        <f aca="false">VLOOKUP(AB23,CE24:CM129,9,FALSE())</f>
        <v>#VALUE!</v>
      </c>
      <c r="AK23" s="264" t="e">
        <f aca="false">VLOOKUP(AB23,CE24:CN129,10,FALSE())</f>
        <v>#VALUE!</v>
      </c>
      <c r="AM23" s="322" t="e">
        <f aca="false">LongTerm1!D28</f>
        <v>#VALUE!</v>
      </c>
      <c r="AN23" s="323" t="e">
        <f aca="false">(LongTerm1!BM28+LongTerm1!BL28/(1-LongTerm1!AR28))*(LongTerm1!F28*LongTerm1!AF28*LongTerm1!AH28)/10000</f>
        <v>#VALUE!</v>
      </c>
      <c r="AO23" s="323" t="e">
        <f aca="false">LongTerm1!BM28*(LongTerm1!F28*LongTerm1!AF28*LongTerm1!AH28)/10000</f>
        <v>#VALUE!</v>
      </c>
      <c r="AP23" s="323" t="e">
        <f aca="false">(LongTerm1!BL28/(1-LongTerm1!AR28))*(LongTerm1!F28*LongTerm1!AF28*LongTerm1!AH28)/10000</f>
        <v>#VALUE!</v>
      </c>
      <c r="AQ23" s="322" t="e">
        <f aca="false">LongTerm2!D28</f>
        <v>#VALUE!</v>
      </c>
      <c r="AR23" s="323" t="e">
        <f aca="false">(LongTerm2!BM28+LongTerm2!BL28/(1-LongTerm2!AR28))*(LongTerm2!F28*LongTerm2!AF28*LongTerm2!AH28)/10000</f>
        <v>#VALUE!</v>
      </c>
      <c r="AS23" s="323" t="e">
        <f aca="false">LongTerm2!BM28*(LongTerm2!F28*LongTerm2!AF28*LongTerm2!AH28)/10000</f>
        <v>#VALUE!</v>
      </c>
      <c r="AT23" s="323" t="e">
        <f aca="false">(LongTerm2!BL28/(1-LongTerm2!AR28))*(LongTerm2!F28*LongTerm2!AF28*LongTerm2!AH28)/10000</f>
        <v>#VALUE!</v>
      </c>
      <c r="AU23" s="322" t="e">
        <f aca="false">LongTerm72!D28</f>
        <v>#VALUE!</v>
      </c>
      <c r="AV23" s="323" t="e">
        <f aca="false">(LongTerm72!BM28+LongTerm72!BL28/(1-LongTerm72!AR28))*(LongTerm72!F28*LongTerm72!AF28*LongTerm72!AH28)/10000</f>
        <v>#VALUE!</v>
      </c>
      <c r="AW23" s="323" t="e">
        <f aca="false">LongTerm72!BM28*(LongTerm72!F28*LongTerm72!AF28*LongTerm72!AH28)/10000</f>
        <v>#VALUE!</v>
      </c>
      <c r="AX23" s="323" t="e">
        <f aca="false">(LongTerm72!BL28/(1-LongTerm72!AR28))*(LongTerm72!F28*LongTerm72!AF28*LongTerm72!AH28)/10000</f>
        <v>#VALUE!</v>
      </c>
      <c r="AY23" s="319"/>
      <c r="AZ23" s="319"/>
      <c r="BA23" s="319"/>
      <c r="BB23" s="319"/>
      <c r="BC23" s="319"/>
      <c r="BD23" s="319"/>
      <c r="BE23" s="319"/>
      <c r="BF23" s="319"/>
      <c r="BG23" s="322" t="e">
        <f aca="false">LongTerm25!D28</f>
        <v>#VALUE!</v>
      </c>
      <c r="BH23" s="323" t="e">
        <f aca="false">(LongTerm25!BM28+LongTerm25!BL28/(1-LongTerm25!AR28))*(LongTerm25!F28*LongTerm25!AF28*LongTerm25!AH28)/10000</f>
        <v>#VALUE!</v>
      </c>
      <c r="BI23" s="323" t="e">
        <f aca="false">LongTerm25!BM28*(LongTerm25!F28*LongTerm25!AF28*LongTerm25!AH28)/10000</f>
        <v>#VALUE!</v>
      </c>
      <c r="BJ23" s="323" t="e">
        <f aca="false">(LongTerm25!BL28/(1-LongTerm25!AR28))*(LongTerm25!F28*LongTerm25!AF28*LongTerm25!AH28)/10000</f>
        <v>#VALUE!</v>
      </c>
      <c r="BK23" s="319"/>
      <c r="BL23" s="319"/>
      <c r="BM23" s="319"/>
      <c r="BN23" s="319"/>
      <c r="BP23" s="325" t="e">
        <f aca="false">LongTerm62!D28</f>
        <v>#VALUE!</v>
      </c>
      <c r="BQ23" s="323" t="e">
        <f aca="false">(LongTerm62!$BM28+LongTerm62!$BL28/(1-LongTerm62!$AR28))*(LongTerm62!$F28*LongTerm62!$AF28*LongTerm62!$AH28)/10000</f>
        <v>#VALUE!</v>
      </c>
      <c r="BR23" s="323" t="e">
        <f aca="false">LongTerm62!$BM28*(LongTerm62!$F28*LongTerm62!$AF28*LongTerm62!$AH28)/10000</f>
        <v>#VALUE!</v>
      </c>
      <c r="BS23" s="323" t="e">
        <f aca="false">(LongTerm62!$BL28/(1-LongTerm62!$AR28))*(LongTerm62!$F28*LongTerm62!$AF28*LongTerm62!$AH28)/10000</f>
        <v>#VALUE!</v>
      </c>
      <c r="BT23" s="265"/>
      <c r="BU23" s="325" t="e">
        <f aca="false">LongTerm107!D28</f>
        <v>#VALUE!</v>
      </c>
      <c r="BV23" s="323" t="e">
        <f aca="false">(LongTerm107!$BM28+LongTerm107!$BL28/(1-LongTerm107!$AR28))*(LongTerm107!$F28*LongTerm107!$AF28*LongTerm107!$AH28)/10000</f>
        <v>#VALUE!</v>
      </c>
      <c r="BW23" s="323" t="e">
        <f aca="false">LongTerm107!$BM28*(LongTerm107!$F28*LongTerm107!$AF28*LongTerm107!$AH28)/10000</f>
        <v>#VALUE!</v>
      </c>
      <c r="BX23" s="323" t="e">
        <f aca="false">(LongTerm107!$BL28/(1-LongTerm107!$AR28))*(LongTerm107!$F28*LongTerm107!$AF28*LongTerm107!$AH28)/10000</f>
        <v>#VALUE!</v>
      </c>
      <c r="BY23" s="326"/>
      <c r="BZ23" s="325" t="e">
        <f aca="false">LongTerm108!D28</f>
        <v>#VALUE!</v>
      </c>
      <c r="CA23" s="323" t="e">
        <f aca="false">(LongTerm108!$BM28+LongTerm108!$BL28/(1-LongTerm108!$AR28))*(LongTerm108!$F28*LongTerm108!$AF28*LongTerm108!$AH28)/10000</f>
        <v>#VALUE!</v>
      </c>
      <c r="CB23" s="323" t="e">
        <f aca="false">LongTerm108!$BM28*(LongTerm108!$F28*LongTerm108!$AF28*LongTerm108!$AH28)/10000</f>
        <v>#VALUE!</v>
      </c>
      <c r="CC23" s="323" t="e">
        <f aca="false">(LongTerm108!$BL28/(1-LongTerm108!$AR28))*(LongTerm108!$F28*LongTerm108!$AF28*LongTerm108!$AH28)/10000</f>
        <v>#VALUE!</v>
      </c>
      <c r="CD23" s="332"/>
      <c r="CE23" s="333" t="n">
        <f aca="false">EOMONTH(CE22,0)+15</f>
        <v>37210</v>
      </c>
      <c r="CF23" s="337" t="n">
        <v>30.7</v>
      </c>
      <c r="CG23" s="337" t="n">
        <v>90.1</v>
      </c>
      <c r="CH23" s="337" t="n">
        <v>-142</v>
      </c>
      <c r="CI23" s="337" t="n">
        <v>-15</v>
      </c>
      <c r="CJ23" s="337" t="n">
        <v>15</v>
      </c>
      <c r="CK23" s="337" t="n">
        <v>0</v>
      </c>
      <c r="CL23" s="337" t="n">
        <v>-16.9</v>
      </c>
      <c r="CM23" s="337" t="n">
        <v>15.9</v>
      </c>
      <c r="CN23" s="337" t="n">
        <v>31</v>
      </c>
    </row>
    <row r="24" customFormat="false" ht="12.75" hidden="false" customHeight="false" outlineLevel="0" collapsed="false">
      <c r="B24" s="320" t="e">
        <f aca="false">Q24</f>
        <v>#VALUE!</v>
      </c>
      <c r="C24" s="319" t="e">
        <f aca="false">YEAR(B24)</f>
        <v>#VALUE!</v>
      </c>
      <c r="D24" s="266" t="e">
        <f aca="false">R24+AC24</f>
        <v>#VALUE!</v>
      </c>
      <c r="E24" s="266" t="e">
        <f aca="false">S24+AD24</f>
        <v>#VALUE!</v>
      </c>
      <c r="F24" s="266" t="e">
        <f aca="false">+T24+AE24</f>
        <v>#VALUE!</v>
      </c>
      <c r="G24" s="266" t="e">
        <f aca="false">+U24+AF24</f>
        <v>#VALUE!</v>
      </c>
      <c r="H24" s="266" t="e">
        <f aca="false">V24+AG24</f>
        <v>#VALUE!</v>
      </c>
      <c r="I24" s="266" t="e">
        <f aca="false">W24+AH24</f>
        <v>#VALUE!</v>
      </c>
      <c r="J24" s="265"/>
      <c r="K24" s="265"/>
      <c r="L24" s="265"/>
      <c r="M24" s="266" t="e">
        <f aca="false">X24+AI24</f>
        <v>#VALUE!</v>
      </c>
      <c r="N24" s="264" t="e">
        <f aca="false">Y24+AJ24</f>
        <v>#VALUE!</v>
      </c>
      <c r="O24" s="264" t="e">
        <f aca="false">Z24+AK24</f>
        <v>#VALUE!</v>
      </c>
      <c r="Q24" s="320" t="e">
        <f aca="false">EOMONTH(Q23,0)+15</f>
        <v>#VALUE!</v>
      </c>
      <c r="R24" s="266" t="e">
        <f aca="false">SUMIF(AM:AM,$Q24,AN:AN)+SUMIF(AQ:AQ,$Q24,AR:AR)+SUMIF(AU:AU,$Q24,AV:AV)+SUMIF(BU:BU,$Q24,BV:BV)+SUMIF(BZ:BZ,$Q24,CA:CA)+SUMIF(BG:BG,$Q24,BH:BH)+SUMIF(BK:BK,$Q24,BL:BL)+SUMIF(BP:BP,$Q24,BQ:BQ)</f>
        <v>#VALUE!</v>
      </c>
      <c r="S24" s="264" t="e">
        <f aca="false">SUMIF(AM:AM,$Q24,AP:AP)+SUMIF(BU:BU,$Q24,BW:BW)+SUMIF(BZ:BZ,$Q24,CB:CB)</f>
        <v>#VALUE!</v>
      </c>
      <c r="T24" s="264" t="e">
        <f aca="false">SUMIF(AQ:AQ,$Q24,AT:AT)+SUMIF(BG:BG,$Q24,BJ:BJ)+SUMIF(BK:BK,$Q24,BN:BN)</f>
        <v>#VALUE!</v>
      </c>
      <c r="U24" s="264" t="e">
        <f aca="false">SUMIF(AM:AM,$Q24,AO:AO)+SUMIF(AQ:AQ,$Q24,AS:AS)+SUMIF(BG:BG,$Q24,BI:BI)+SUMIF(BK:BK,$Q24,BM:BM)</f>
        <v>#VALUE!</v>
      </c>
      <c r="V24" s="264" t="e">
        <f aca="false">SUMIF(AU:AU,$Q24,AW:AW)</f>
        <v>#VALUE!</v>
      </c>
      <c r="W24" s="264" t="e">
        <f aca="false">SUMIF(AU:AU,$Q24,AX:AX)</f>
        <v>#VALUE!</v>
      </c>
      <c r="X24" s="264" t="e">
        <f aca="false">SUMIF(BP:BP,$Q24,BR:BR)</f>
        <v>#VALUE!</v>
      </c>
      <c r="Y24" s="266" t="e">
        <f aca="false">SUMIF(BP:BP,$Q24,BS:BS)</f>
        <v>#VALUE!</v>
      </c>
      <c r="Z24" s="264" t="e">
        <f aca="false">SUMIF(BU:BU,$Q24,BX:BX)+SUMIF(BZ:BZ,$Q24,CC:CC)</f>
        <v>#VALUE!</v>
      </c>
      <c r="AA24" s="265"/>
      <c r="AB24" s="320" t="e">
        <f aca="false">Q24</f>
        <v>#VALUE!</v>
      </c>
      <c r="AC24" s="321" t="e">
        <f aca="false">VLOOKUP(AB24,CE25:CK130,7,FALSE())</f>
        <v>#VALUE!</v>
      </c>
      <c r="AD24" s="264" t="e">
        <f aca="false">VLOOKUP(AB24,CE25:CJ130,3,FALSE())</f>
        <v>#VALUE!</v>
      </c>
      <c r="AE24" s="264" t="e">
        <f aca="false">VLOOKUP(AB24,CE25:CJ130,2,FALSE())</f>
        <v>#VALUE!</v>
      </c>
      <c r="AF24" s="264" t="e">
        <f aca="false">VLOOKUP(AB24,CE25:CJ130,4,FALSE())</f>
        <v>#VALUE!</v>
      </c>
      <c r="AG24" s="264" t="e">
        <f aca="false">VLOOKUP(AB24,CE25:CJ130,5,FALSE())</f>
        <v>#VALUE!</v>
      </c>
      <c r="AH24" s="264" t="e">
        <f aca="false">VLOOKUP(AB24,CE25:CJ130,6,FALSE())</f>
        <v>#VALUE!</v>
      </c>
      <c r="AI24" s="264" t="e">
        <f aca="false">VLOOKUP(AB24,CE25:CM130,8,FALSE())</f>
        <v>#VALUE!</v>
      </c>
      <c r="AJ24" s="266" t="e">
        <f aca="false">VLOOKUP(AB24,CE25:CM130,9,FALSE())</f>
        <v>#VALUE!</v>
      </c>
      <c r="AK24" s="264" t="e">
        <f aca="false">VLOOKUP(AB24,CE25:CN130,10,FALSE())</f>
        <v>#VALUE!</v>
      </c>
      <c r="AM24" s="322" t="e">
        <f aca="false">LongTerm1!D29</f>
        <v>#VALUE!</v>
      </c>
      <c r="AN24" s="323" t="e">
        <f aca="false">(LongTerm1!BM29+LongTerm1!BL29/(1-LongTerm1!AR29))*(LongTerm1!F29*LongTerm1!AF29*LongTerm1!AH29)/10000</f>
        <v>#VALUE!</v>
      </c>
      <c r="AO24" s="323" t="e">
        <f aca="false">LongTerm1!BM29*(LongTerm1!F29*LongTerm1!AF29*LongTerm1!AH29)/10000</f>
        <v>#VALUE!</v>
      </c>
      <c r="AP24" s="323" t="e">
        <f aca="false">(LongTerm1!BL29/(1-LongTerm1!AR29))*(LongTerm1!F29*LongTerm1!AF29*LongTerm1!AH29)/10000</f>
        <v>#VALUE!</v>
      </c>
      <c r="AQ24" s="322" t="e">
        <f aca="false">LongTerm2!D29</f>
        <v>#VALUE!</v>
      </c>
      <c r="AR24" s="323" t="e">
        <f aca="false">(LongTerm2!BM29+LongTerm2!BL29/(1-LongTerm2!AR29))*(LongTerm2!F29*LongTerm2!AF29*LongTerm2!AH29)/10000</f>
        <v>#VALUE!</v>
      </c>
      <c r="AS24" s="323" t="e">
        <f aca="false">LongTerm2!BM29*(LongTerm2!F29*LongTerm2!AF29*LongTerm2!AH29)/10000</f>
        <v>#VALUE!</v>
      </c>
      <c r="AT24" s="323" t="e">
        <f aca="false">(LongTerm2!BL29/(1-LongTerm2!AR29))*(LongTerm2!F29*LongTerm2!AF29*LongTerm2!AH29)/10000</f>
        <v>#VALUE!</v>
      </c>
      <c r="AU24" s="322" t="e">
        <f aca="false">LongTerm72!D29</f>
        <v>#VALUE!</v>
      </c>
      <c r="AV24" s="323" t="e">
        <f aca="false">(LongTerm72!BM29+LongTerm72!BL29/(1-LongTerm72!AR29))*(LongTerm72!F29*LongTerm72!AF29*LongTerm72!AH29)/10000</f>
        <v>#VALUE!</v>
      </c>
      <c r="AW24" s="323" t="e">
        <f aca="false">LongTerm72!BM29*(LongTerm72!F29*LongTerm72!AF29*LongTerm72!AH29)/10000</f>
        <v>#VALUE!</v>
      </c>
      <c r="AX24" s="323" t="e">
        <f aca="false">(LongTerm72!BL29/(1-LongTerm72!AR29))*(LongTerm72!F29*LongTerm72!AF29*LongTerm72!AH29)/10000</f>
        <v>#VALUE!</v>
      </c>
      <c r="AY24" s="319"/>
      <c r="AZ24" s="319"/>
      <c r="BA24" s="319"/>
      <c r="BB24" s="319"/>
      <c r="BC24" s="319"/>
      <c r="BD24" s="319"/>
      <c r="BE24" s="319"/>
      <c r="BF24" s="319"/>
      <c r="BG24" s="322" t="e">
        <f aca="false">LongTerm25!D29</f>
        <v>#VALUE!</v>
      </c>
      <c r="BH24" s="323" t="e">
        <f aca="false">(LongTerm25!BM29+LongTerm25!BL29/(1-LongTerm25!AR29))*(LongTerm25!F29*LongTerm25!AF29*LongTerm25!AH29)/10000</f>
        <v>#VALUE!</v>
      </c>
      <c r="BI24" s="323" t="e">
        <f aca="false">LongTerm25!BM29*(LongTerm25!F29*LongTerm25!AF29*LongTerm25!AH29)/10000</f>
        <v>#VALUE!</v>
      </c>
      <c r="BJ24" s="323" t="e">
        <f aca="false">(LongTerm25!BL29/(1-LongTerm25!AR29))*(LongTerm25!F29*LongTerm25!AF29*LongTerm25!AH29)/10000</f>
        <v>#VALUE!</v>
      </c>
      <c r="BK24" s="319"/>
      <c r="BL24" s="319"/>
      <c r="BM24" s="319"/>
      <c r="BN24" s="319"/>
      <c r="BP24" s="325" t="e">
        <f aca="false">LongTerm62!D29</f>
        <v>#VALUE!</v>
      </c>
      <c r="BQ24" s="323" t="e">
        <f aca="false">(LongTerm62!$BM29+LongTerm62!$BL29/(1-LongTerm62!$AR29))*(LongTerm62!$F29*LongTerm62!$AF29*LongTerm62!$AH29)/10000</f>
        <v>#VALUE!</v>
      </c>
      <c r="BR24" s="323" t="e">
        <f aca="false">LongTerm62!$BM29*(LongTerm62!$F29*LongTerm62!$AF29*LongTerm62!$AH29)/10000</f>
        <v>#VALUE!</v>
      </c>
      <c r="BS24" s="323" t="e">
        <f aca="false">(LongTerm62!$BL29/(1-LongTerm62!$AR29))*(LongTerm62!$F29*LongTerm62!$AF29*LongTerm62!$AH29)/10000</f>
        <v>#VALUE!</v>
      </c>
      <c r="BT24" s="265"/>
      <c r="BU24" s="325" t="e">
        <f aca="false">LongTerm107!D29</f>
        <v>#VALUE!</v>
      </c>
      <c r="BV24" s="323" t="e">
        <f aca="false">(LongTerm107!$BM29+LongTerm107!$BL29/(1-LongTerm107!$AR29))*(LongTerm107!$F29*LongTerm107!$AF29*LongTerm107!$AH29)/10000</f>
        <v>#VALUE!</v>
      </c>
      <c r="BW24" s="323" t="e">
        <f aca="false">LongTerm107!$BM29*(LongTerm107!$F29*LongTerm107!$AF29*LongTerm107!$AH29)/10000</f>
        <v>#VALUE!</v>
      </c>
      <c r="BX24" s="323" t="e">
        <f aca="false">(LongTerm107!$BL29/(1-LongTerm107!$AR29))*(LongTerm107!$F29*LongTerm107!$AF29*LongTerm107!$AH29)/10000</f>
        <v>#VALUE!</v>
      </c>
      <c r="BY24" s="326"/>
      <c r="BZ24" s="325" t="e">
        <f aca="false">LongTerm108!D29</f>
        <v>#VALUE!</v>
      </c>
      <c r="CA24" s="323" t="e">
        <f aca="false">(LongTerm108!$BM29+LongTerm108!$BL29/(1-LongTerm108!$AR29))*(LongTerm108!$F29*LongTerm108!$AF29*LongTerm108!$AH29)/10000</f>
        <v>#VALUE!</v>
      </c>
      <c r="CB24" s="323" t="e">
        <f aca="false">LongTerm108!$BM29*(LongTerm108!$F29*LongTerm108!$AF29*LongTerm108!$AH29)/10000</f>
        <v>#VALUE!</v>
      </c>
      <c r="CC24" s="323" t="e">
        <f aca="false">(LongTerm108!$BL29/(1-LongTerm108!$AR29))*(LongTerm108!$F29*LongTerm108!$AF29*LongTerm108!$AH29)/10000</f>
        <v>#VALUE!</v>
      </c>
      <c r="CD24" s="332"/>
      <c r="CE24" s="333" t="n">
        <f aca="false">EOMONTH(CE23,0)+15</f>
        <v>37240</v>
      </c>
      <c r="CF24" s="337" t="n">
        <v>32.1</v>
      </c>
      <c r="CG24" s="337" t="n">
        <v>90.3</v>
      </c>
      <c r="CH24" s="337" t="n">
        <v>-144</v>
      </c>
      <c r="CI24" s="337" t="n">
        <v>-15.5</v>
      </c>
      <c r="CJ24" s="337" t="n">
        <v>15.5</v>
      </c>
      <c r="CK24" s="337" t="n">
        <v>-10.7</v>
      </c>
      <c r="CL24" s="337" t="n">
        <v>-16.3</v>
      </c>
      <c r="CM24" s="337" t="n">
        <v>15.3</v>
      </c>
      <c r="CN24" s="337" t="n">
        <v>31.9</v>
      </c>
    </row>
    <row r="25" customFormat="false" ht="12.75" hidden="false" customHeight="false" outlineLevel="0" collapsed="false">
      <c r="B25" s="320" t="e">
        <f aca="false">Q25</f>
        <v>#VALUE!</v>
      </c>
      <c r="C25" s="319" t="e">
        <f aca="false">YEAR(B25)</f>
        <v>#VALUE!</v>
      </c>
      <c r="D25" s="266" t="e">
        <f aca="false">R25+AC25</f>
        <v>#VALUE!</v>
      </c>
      <c r="E25" s="266" t="e">
        <f aca="false">S25+AD25</f>
        <v>#VALUE!</v>
      </c>
      <c r="F25" s="266" t="e">
        <f aca="false">+T25+AE25</f>
        <v>#VALUE!</v>
      </c>
      <c r="G25" s="266" t="e">
        <f aca="false">+U25+AF25</f>
        <v>#VALUE!</v>
      </c>
      <c r="H25" s="266" t="e">
        <f aca="false">V25+AG25</f>
        <v>#VALUE!</v>
      </c>
      <c r="I25" s="266" t="e">
        <f aca="false">W25+AH25</f>
        <v>#VALUE!</v>
      </c>
      <c r="J25" s="265"/>
      <c r="K25" s="265"/>
      <c r="L25" s="265"/>
      <c r="M25" s="266" t="e">
        <f aca="false">X25+AI25</f>
        <v>#VALUE!</v>
      </c>
      <c r="N25" s="264" t="e">
        <f aca="false">Y25+AJ25</f>
        <v>#VALUE!</v>
      </c>
      <c r="O25" s="264" t="e">
        <f aca="false">Z25+AK25</f>
        <v>#VALUE!</v>
      </c>
      <c r="Q25" s="320" t="e">
        <f aca="false">EOMONTH(Q24,0)+15</f>
        <v>#VALUE!</v>
      </c>
      <c r="R25" s="266" t="e">
        <f aca="false">SUMIF(AM:AM,$Q25,AN:AN)+SUMIF(AQ:AQ,$Q25,AR:AR)+SUMIF(AU:AU,$Q25,AV:AV)+SUMIF(BU:BU,$Q25,BV:BV)+SUMIF(BZ:BZ,$Q25,CA:CA)+SUMIF(BG:BG,$Q25,BH:BH)+SUMIF(BK:BK,$Q25,BL:BL)+SUMIF(BP:BP,$Q25,BQ:BQ)</f>
        <v>#VALUE!</v>
      </c>
      <c r="S25" s="264" t="e">
        <f aca="false">SUMIF(AM:AM,$Q25,AP:AP)+SUMIF(BU:BU,$Q25,BW:BW)+SUMIF(BZ:BZ,$Q25,CB:CB)</f>
        <v>#VALUE!</v>
      </c>
      <c r="T25" s="264" t="e">
        <f aca="false">SUMIF(AQ:AQ,$Q25,AT:AT)+SUMIF(BG:BG,$Q25,BJ:BJ)+SUMIF(BK:BK,$Q25,BN:BN)</f>
        <v>#VALUE!</v>
      </c>
      <c r="U25" s="264" t="e">
        <f aca="false">SUMIF(AM:AM,$Q25,AO:AO)+SUMIF(AQ:AQ,$Q25,AS:AS)+SUMIF(BG:BG,$Q25,BI:BI)+SUMIF(BK:BK,$Q25,BM:BM)</f>
        <v>#VALUE!</v>
      </c>
      <c r="V25" s="264" t="e">
        <f aca="false">SUMIF(AU:AU,$Q25,AW:AW)</f>
        <v>#VALUE!</v>
      </c>
      <c r="W25" s="264" t="e">
        <f aca="false">SUMIF(AU:AU,$Q25,AX:AX)</f>
        <v>#VALUE!</v>
      </c>
      <c r="X25" s="264" t="e">
        <f aca="false">SUMIF(BP:BP,$Q25,BR:BR)</f>
        <v>#VALUE!</v>
      </c>
      <c r="Y25" s="266" t="e">
        <f aca="false">SUMIF(BP:BP,$Q25,BS:BS)</f>
        <v>#VALUE!</v>
      </c>
      <c r="Z25" s="264" t="e">
        <f aca="false">SUMIF(BU:BU,$Q25,BX:BX)+SUMIF(BZ:BZ,$Q25,CC:CC)</f>
        <v>#VALUE!</v>
      </c>
      <c r="AA25" s="265"/>
      <c r="AB25" s="320" t="e">
        <f aca="false">Q25</f>
        <v>#VALUE!</v>
      </c>
      <c r="AC25" s="321" t="e">
        <f aca="false">VLOOKUP(AB25,CE26:CK131,7,FALSE())</f>
        <v>#VALUE!</v>
      </c>
      <c r="AD25" s="264" t="e">
        <f aca="false">VLOOKUP(AB25,CE26:CJ131,3,FALSE())</f>
        <v>#VALUE!</v>
      </c>
      <c r="AE25" s="264" t="e">
        <f aca="false">VLOOKUP(AB25,CE26:CJ131,2,FALSE())</f>
        <v>#VALUE!</v>
      </c>
      <c r="AF25" s="264" t="e">
        <f aca="false">VLOOKUP(AB25,CE26:CJ131,4,FALSE())</f>
        <v>#VALUE!</v>
      </c>
      <c r="AG25" s="264" t="e">
        <f aca="false">VLOOKUP(AB25,CE26:CJ131,5,FALSE())</f>
        <v>#VALUE!</v>
      </c>
      <c r="AH25" s="264" t="e">
        <f aca="false">VLOOKUP(AB25,CE26:CJ131,6,FALSE())</f>
        <v>#VALUE!</v>
      </c>
      <c r="AI25" s="264" t="e">
        <f aca="false">VLOOKUP(AB25,CE26:CM131,8,FALSE())</f>
        <v>#VALUE!</v>
      </c>
      <c r="AJ25" s="266" t="e">
        <f aca="false">VLOOKUP(AB25,CE26:CM131,9,FALSE())</f>
        <v>#VALUE!</v>
      </c>
      <c r="AK25" s="264" t="e">
        <f aca="false">VLOOKUP(AB25,CE26:CN131,10,FALSE())</f>
        <v>#VALUE!</v>
      </c>
      <c r="AM25" s="322" t="e">
        <f aca="false">LongTerm1!D30</f>
        <v>#VALUE!</v>
      </c>
      <c r="AN25" s="323" t="e">
        <f aca="false">(LongTerm1!BM30+LongTerm1!BL30/(1-LongTerm1!AR30))*(LongTerm1!F30*LongTerm1!AF30*LongTerm1!AH30)/10000</f>
        <v>#VALUE!</v>
      </c>
      <c r="AO25" s="323" t="e">
        <f aca="false">LongTerm1!BM30*(LongTerm1!F30*LongTerm1!AF30*LongTerm1!AH30)/10000</f>
        <v>#VALUE!</v>
      </c>
      <c r="AP25" s="323" t="e">
        <f aca="false">(LongTerm1!BL30/(1-LongTerm1!AR30))*(LongTerm1!F30*LongTerm1!AF30*LongTerm1!AH30)/10000</f>
        <v>#VALUE!</v>
      </c>
      <c r="AQ25" s="322" t="e">
        <f aca="false">LongTerm2!D30</f>
        <v>#VALUE!</v>
      </c>
      <c r="AR25" s="323" t="e">
        <f aca="false">(LongTerm2!BM30+LongTerm2!BL30/(1-LongTerm2!AR30))*(LongTerm2!F30*LongTerm2!AF30*LongTerm2!AH30)/10000</f>
        <v>#VALUE!</v>
      </c>
      <c r="AS25" s="323" t="e">
        <f aca="false">LongTerm2!BM30*(LongTerm2!F30*LongTerm2!AF30*LongTerm2!AH30)/10000</f>
        <v>#VALUE!</v>
      </c>
      <c r="AT25" s="323" t="e">
        <f aca="false">(LongTerm2!BL30/(1-LongTerm2!AR30))*(LongTerm2!F30*LongTerm2!AF30*LongTerm2!AH30)/10000</f>
        <v>#VALUE!</v>
      </c>
      <c r="AU25" s="322" t="e">
        <f aca="false">LongTerm72!D30</f>
        <v>#VALUE!</v>
      </c>
      <c r="AV25" s="323" t="e">
        <f aca="false">(LongTerm72!BM30+LongTerm72!BL30/(1-LongTerm72!AR30))*(LongTerm72!F30*LongTerm72!AF30*LongTerm72!AH30)/10000</f>
        <v>#VALUE!</v>
      </c>
      <c r="AW25" s="323" t="e">
        <f aca="false">LongTerm72!BM30*(LongTerm72!F30*LongTerm72!AF30*LongTerm72!AH30)/10000</f>
        <v>#VALUE!</v>
      </c>
      <c r="AX25" s="323" t="e">
        <f aca="false">(LongTerm72!BL30/(1-LongTerm72!AR30))*(LongTerm72!F30*LongTerm72!AF30*LongTerm72!AH30)/10000</f>
        <v>#VALUE!</v>
      </c>
      <c r="AY25" s="319"/>
      <c r="AZ25" s="319"/>
      <c r="BA25" s="319"/>
      <c r="BB25" s="319"/>
      <c r="BC25" s="319"/>
      <c r="BD25" s="319"/>
      <c r="BE25" s="319"/>
      <c r="BF25" s="319"/>
      <c r="BG25" s="322" t="e">
        <f aca="false">LongTerm25!D30</f>
        <v>#VALUE!</v>
      </c>
      <c r="BH25" s="323" t="e">
        <f aca="false">(LongTerm25!BM30+LongTerm25!BL30/(1-LongTerm25!AR30))*(LongTerm25!F30*LongTerm25!AF30*LongTerm25!AH30)/10000</f>
        <v>#VALUE!</v>
      </c>
      <c r="BI25" s="323" t="e">
        <f aca="false">LongTerm25!BM30*(LongTerm25!F30*LongTerm25!AF30*LongTerm25!AH30)/10000</f>
        <v>#VALUE!</v>
      </c>
      <c r="BJ25" s="323" t="e">
        <f aca="false">(LongTerm25!BL30/(1-LongTerm25!AR30))*(LongTerm25!F30*LongTerm25!AF30*LongTerm25!AH30)/10000</f>
        <v>#VALUE!</v>
      </c>
      <c r="BK25" s="319"/>
      <c r="BL25" s="319"/>
      <c r="BM25" s="319"/>
      <c r="BN25" s="319"/>
      <c r="BP25" s="325" t="e">
        <f aca="false">LongTerm62!D30</f>
        <v>#VALUE!</v>
      </c>
      <c r="BQ25" s="323" t="e">
        <f aca="false">(LongTerm62!$BM30+LongTerm62!$BL30/(1-LongTerm62!$AR30))*(LongTerm62!$F30*LongTerm62!$AF30*LongTerm62!$AH30)/10000</f>
        <v>#VALUE!</v>
      </c>
      <c r="BR25" s="323" t="e">
        <f aca="false">LongTerm62!$BM30*(LongTerm62!$F30*LongTerm62!$AF30*LongTerm62!$AH30)/10000</f>
        <v>#VALUE!</v>
      </c>
      <c r="BS25" s="323" t="e">
        <f aca="false">(LongTerm62!$BL30/(1-LongTerm62!$AR30))*(LongTerm62!$F30*LongTerm62!$AF30*LongTerm62!$AH30)/10000</f>
        <v>#VALUE!</v>
      </c>
      <c r="BT25" s="265"/>
      <c r="BU25" s="325" t="e">
        <f aca="false">LongTerm107!D30</f>
        <v>#VALUE!</v>
      </c>
      <c r="BV25" s="323" t="e">
        <f aca="false">(LongTerm107!$BM30+LongTerm107!$BL30/(1-LongTerm107!$AR30))*(LongTerm107!$F30*LongTerm107!$AF30*LongTerm107!$AH30)/10000</f>
        <v>#VALUE!</v>
      </c>
      <c r="BW25" s="323" t="e">
        <f aca="false">LongTerm107!$BM30*(LongTerm107!$F30*LongTerm107!$AF30*LongTerm107!$AH30)/10000</f>
        <v>#VALUE!</v>
      </c>
      <c r="BX25" s="323" t="e">
        <f aca="false">(LongTerm107!$BL30/(1-LongTerm107!$AR30))*(LongTerm107!$F30*LongTerm107!$AF30*LongTerm107!$AH30)/10000</f>
        <v>#VALUE!</v>
      </c>
      <c r="BY25" s="326"/>
      <c r="BZ25" s="325" t="e">
        <f aca="false">LongTerm108!D30</f>
        <v>#VALUE!</v>
      </c>
      <c r="CA25" s="323" t="e">
        <f aca="false">(LongTerm108!$BM30+LongTerm108!$BL30/(1-LongTerm108!$AR30))*(LongTerm108!$F30*LongTerm108!$AF30*LongTerm108!$AH30)/10000</f>
        <v>#VALUE!</v>
      </c>
      <c r="CB25" s="323" t="e">
        <f aca="false">LongTerm108!$BM30*(LongTerm108!$F30*LongTerm108!$AF30*LongTerm108!$AH30)/10000</f>
        <v>#VALUE!</v>
      </c>
      <c r="CC25" s="323" t="e">
        <f aca="false">(LongTerm108!$BL30/(1-LongTerm108!$AR30))*(LongTerm108!$F30*LongTerm108!$AF30*LongTerm108!$AH30)/10000</f>
        <v>#VALUE!</v>
      </c>
      <c r="CD25" s="332"/>
      <c r="CE25" s="333" t="n">
        <f aca="false">EOMONTH(CE24,0)+15</f>
        <v>37271</v>
      </c>
      <c r="CF25" s="337" t="n">
        <v>31.5</v>
      </c>
      <c r="CG25" s="337" t="n">
        <v>97.6</v>
      </c>
      <c r="CH25" s="337" t="n">
        <v>-163.8</v>
      </c>
      <c r="CI25" s="337" t="n">
        <v>-15.4</v>
      </c>
      <c r="CJ25" s="337" t="n">
        <v>15.4</v>
      </c>
      <c r="CK25" s="337" t="n">
        <v>-11.5</v>
      </c>
      <c r="CL25" s="337" t="n">
        <v>-15.3</v>
      </c>
      <c r="CM25" s="337" t="n">
        <v>15.3</v>
      </c>
      <c r="CN25" s="337" t="n">
        <v>33.9</v>
      </c>
    </row>
    <row r="26" customFormat="false" ht="12.75" hidden="false" customHeight="false" outlineLevel="0" collapsed="false">
      <c r="B26" s="320" t="e">
        <f aca="false">Q26</f>
        <v>#VALUE!</v>
      </c>
      <c r="C26" s="319" t="e">
        <f aca="false">YEAR(B26)</f>
        <v>#VALUE!</v>
      </c>
      <c r="D26" s="266" t="e">
        <f aca="false">R26+AC26</f>
        <v>#VALUE!</v>
      </c>
      <c r="E26" s="266" t="e">
        <f aca="false">S26+AD26</f>
        <v>#VALUE!</v>
      </c>
      <c r="F26" s="266" t="e">
        <f aca="false">+T26+AE26</f>
        <v>#VALUE!</v>
      </c>
      <c r="G26" s="266" t="e">
        <f aca="false">+U26+AF26</f>
        <v>#VALUE!</v>
      </c>
      <c r="H26" s="266" t="e">
        <f aca="false">V26+AG26</f>
        <v>#VALUE!</v>
      </c>
      <c r="I26" s="266" t="e">
        <f aca="false">W26+AH26</f>
        <v>#VALUE!</v>
      </c>
      <c r="J26" s="265"/>
      <c r="K26" s="265"/>
      <c r="L26" s="265"/>
      <c r="M26" s="266" t="e">
        <f aca="false">X26+AI26</f>
        <v>#VALUE!</v>
      </c>
      <c r="N26" s="264" t="e">
        <f aca="false">Y26+AJ26</f>
        <v>#VALUE!</v>
      </c>
      <c r="O26" s="264" t="e">
        <f aca="false">Z26+AK26</f>
        <v>#VALUE!</v>
      </c>
      <c r="Q26" s="320" t="e">
        <f aca="false">EOMONTH(Q25,0)+15</f>
        <v>#VALUE!</v>
      </c>
      <c r="R26" s="266" t="e">
        <f aca="false">SUMIF(AM:AM,$Q26,AN:AN)+SUMIF(AQ:AQ,$Q26,AR:AR)+SUMIF(AU:AU,$Q26,AV:AV)+SUMIF(BU:BU,$Q26,BV:BV)+SUMIF(BZ:BZ,$Q26,CA:CA)+SUMIF(BG:BG,$Q26,BH:BH)+SUMIF(BK:BK,$Q26,BL:BL)+SUMIF(BP:BP,$Q26,BQ:BQ)</f>
        <v>#VALUE!</v>
      </c>
      <c r="S26" s="264" t="e">
        <f aca="false">SUMIF(AM:AM,$Q26,AP:AP)+SUMIF(BU:BU,$Q26,BW:BW)+SUMIF(BZ:BZ,$Q26,CB:CB)</f>
        <v>#VALUE!</v>
      </c>
      <c r="T26" s="264" t="e">
        <f aca="false">SUMIF(AQ:AQ,$Q26,AT:AT)+SUMIF(BG:BG,$Q26,BJ:BJ)+SUMIF(BK:BK,$Q26,BN:BN)</f>
        <v>#VALUE!</v>
      </c>
      <c r="U26" s="264" t="e">
        <f aca="false">SUMIF(AM:AM,$Q26,AO:AO)+SUMIF(AQ:AQ,$Q26,AS:AS)+SUMIF(BG:BG,$Q26,BI:BI)+SUMIF(BK:BK,$Q26,BM:BM)</f>
        <v>#VALUE!</v>
      </c>
      <c r="V26" s="264" t="e">
        <f aca="false">SUMIF(AU:AU,$Q26,AW:AW)</f>
        <v>#VALUE!</v>
      </c>
      <c r="W26" s="264" t="e">
        <f aca="false">SUMIF(AU:AU,$Q26,AX:AX)</f>
        <v>#VALUE!</v>
      </c>
      <c r="X26" s="264" t="e">
        <f aca="false">SUMIF(BP:BP,$Q26,BR:BR)</f>
        <v>#VALUE!</v>
      </c>
      <c r="Y26" s="266" t="e">
        <f aca="false">SUMIF(BP:BP,$Q26,BS:BS)</f>
        <v>#VALUE!</v>
      </c>
      <c r="Z26" s="264" t="e">
        <f aca="false">SUMIF(BU:BU,$Q26,BX:BX)+SUMIF(BZ:BZ,$Q26,CC:CC)</f>
        <v>#VALUE!</v>
      </c>
      <c r="AA26" s="265"/>
      <c r="AB26" s="320" t="e">
        <f aca="false">Q26</f>
        <v>#VALUE!</v>
      </c>
      <c r="AC26" s="321" t="e">
        <f aca="false">VLOOKUP(AB26,CE27:CK132,7,FALSE())</f>
        <v>#VALUE!</v>
      </c>
      <c r="AD26" s="264" t="e">
        <f aca="false">VLOOKUP(AB26,CE27:CJ132,3,FALSE())</f>
        <v>#VALUE!</v>
      </c>
      <c r="AE26" s="264" t="e">
        <f aca="false">VLOOKUP(AB26,CE27:CJ132,2,FALSE())</f>
        <v>#VALUE!</v>
      </c>
      <c r="AF26" s="264" t="e">
        <f aca="false">VLOOKUP(AB26,CE27:CJ132,4,FALSE())</f>
        <v>#VALUE!</v>
      </c>
      <c r="AG26" s="264" t="e">
        <f aca="false">VLOOKUP(AB26,CE27:CJ132,5,FALSE())</f>
        <v>#VALUE!</v>
      </c>
      <c r="AH26" s="264" t="e">
        <f aca="false">VLOOKUP(AB26,CE27:CJ132,6,FALSE())</f>
        <v>#VALUE!</v>
      </c>
      <c r="AI26" s="264" t="e">
        <f aca="false">VLOOKUP(AB26,CE27:CM132,8,FALSE())</f>
        <v>#VALUE!</v>
      </c>
      <c r="AJ26" s="266" t="e">
        <f aca="false">VLOOKUP(AB26,CE27:CM132,9,FALSE())</f>
        <v>#VALUE!</v>
      </c>
      <c r="AK26" s="264" t="e">
        <f aca="false">VLOOKUP(AB26,CE27:CN132,10,FALSE())</f>
        <v>#VALUE!</v>
      </c>
      <c r="AM26" s="322" t="e">
        <f aca="false">LongTerm1!D31</f>
        <v>#VALUE!</v>
      </c>
      <c r="AN26" s="323" t="e">
        <f aca="false">(LongTerm1!BM31+LongTerm1!BL31/(1-LongTerm1!AR31))*(LongTerm1!F31*LongTerm1!AF31*LongTerm1!AH31)/10000</f>
        <v>#VALUE!</v>
      </c>
      <c r="AO26" s="323" t="e">
        <f aca="false">LongTerm1!BM31*(LongTerm1!F31*LongTerm1!AF31*LongTerm1!AH31)/10000</f>
        <v>#VALUE!</v>
      </c>
      <c r="AP26" s="323" t="e">
        <f aca="false">(LongTerm1!BL31/(1-LongTerm1!AR31))*(LongTerm1!F31*LongTerm1!AF31*LongTerm1!AH31)/10000</f>
        <v>#VALUE!</v>
      </c>
      <c r="AQ26" s="322"/>
      <c r="AR26" s="323"/>
      <c r="AS26" s="323"/>
      <c r="AT26" s="323"/>
      <c r="AU26" s="322" t="e">
        <f aca="false">LongTerm72!D31</f>
        <v>#VALUE!</v>
      </c>
      <c r="AV26" s="323" t="e">
        <f aca="false">(LongTerm72!BM31+LongTerm72!BL31/(1-LongTerm72!AR31))*(LongTerm72!F31*LongTerm72!AF31*LongTerm72!AH31)/10000</f>
        <v>#VALUE!</v>
      </c>
      <c r="AW26" s="323" t="e">
        <f aca="false">LongTerm72!BM31*(LongTerm72!F31*LongTerm72!AF31*LongTerm72!AH31)/10000</f>
        <v>#VALUE!</v>
      </c>
      <c r="AX26" s="323" t="e">
        <f aca="false">(LongTerm72!BL31/(1-LongTerm72!AR31))*(LongTerm72!F31*LongTerm72!AF31*LongTerm72!AH31)/10000</f>
        <v>#VALUE!</v>
      </c>
      <c r="AY26" s="319"/>
      <c r="AZ26" s="319"/>
      <c r="BA26" s="319"/>
      <c r="BB26" s="319"/>
      <c r="BC26" s="319"/>
      <c r="BD26" s="319"/>
      <c r="BE26" s="319"/>
      <c r="BF26" s="319"/>
      <c r="BG26" s="322" t="e">
        <f aca="false">LongTerm25!D31</f>
        <v>#VALUE!</v>
      </c>
      <c r="BH26" s="323" t="e">
        <f aca="false">(LongTerm25!BM31+LongTerm25!BL31/(1-LongTerm25!AR31))*(LongTerm25!F31*LongTerm25!AF31*LongTerm25!AH31)/10000</f>
        <v>#VALUE!</v>
      </c>
      <c r="BI26" s="323" t="e">
        <f aca="false">LongTerm25!BM31*(LongTerm25!F31*LongTerm25!AF31*LongTerm25!AH31)/10000</f>
        <v>#VALUE!</v>
      </c>
      <c r="BJ26" s="323" t="e">
        <f aca="false">(LongTerm25!BL31/(1-LongTerm25!AR31))*(LongTerm25!F31*LongTerm25!AF31*LongTerm25!AH31)/10000</f>
        <v>#VALUE!</v>
      </c>
      <c r="BK26" s="319"/>
      <c r="BL26" s="319"/>
      <c r="BM26" s="319"/>
      <c r="BN26" s="319"/>
      <c r="BP26" s="325" t="e">
        <f aca="false">LongTerm62!D31</f>
        <v>#VALUE!</v>
      </c>
      <c r="BQ26" s="323" t="e">
        <f aca="false">(LongTerm62!$BM31+LongTerm62!$BL31/(1-LongTerm62!$AR31))*(LongTerm62!$F31*LongTerm62!$AF31*LongTerm62!$AH31)/10000</f>
        <v>#VALUE!</v>
      </c>
      <c r="BR26" s="323" t="e">
        <f aca="false">LongTerm62!$BM31*(LongTerm62!$F31*LongTerm62!$AF31*LongTerm62!$AH31)/10000</f>
        <v>#VALUE!</v>
      </c>
      <c r="BS26" s="323" t="e">
        <f aca="false">(LongTerm62!$BL31/(1-LongTerm62!$AR31))*(LongTerm62!$F31*LongTerm62!$AF31*LongTerm62!$AH31)/10000</f>
        <v>#VALUE!</v>
      </c>
      <c r="BT26" s="265"/>
      <c r="BU26" s="325" t="e">
        <f aca="false">LongTerm107!D31</f>
        <v>#VALUE!</v>
      </c>
      <c r="BV26" s="323" t="e">
        <f aca="false">(LongTerm107!$BM31+LongTerm107!$BL31/(1-LongTerm107!$AR31))*(LongTerm107!$F31*LongTerm107!$AF31*LongTerm107!$AH31)/10000</f>
        <v>#VALUE!</v>
      </c>
      <c r="BW26" s="323" t="e">
        <f aca="false">LongTerm107!$BM31*(LongTerm107!$F31*LongTerm107!$AF31*LongTerm107!$AH31)/10000</f>
        <v>#VALUE!</v>
      </c>
      <c r="BX26" s="323" t="e">
        <f aca="false">(LongTerm107!$BL31/(1-LongTerm107!$AR31))*(LongTerm107!$F31*LongTerm107!$AF31*LongTerm107!$AH31)/10000</f>
        <v>#VALUE!</v>
      </c>
      <c r="BY26" s="326"/>
      <c r="BZ26" s="325" t="e">
        <f aca="false">LongTerm108!D31</f>
        <v>#VALUE!</v>
      </c>
      <c r="CA26" s="323" t="e">
        <f aca="false">(LongTerm108!$BM31+LongTerm108!$BL31/(1-LongTerm108!$AR31))*(LongTerm108!$F31*LongTerm108!$AF31*LongTerm108!$AH31)/10000</f>
        <v>#VALUE!</v>
      </c>
      <c r="CB26" s="323" t="e">
        <f aca="false">LongTerm108!$BM31*(LongTerm108!$F31*LongTerm108!$AF31*LongTerm108!$AH31)/10000</f>
        <v>#VALUE!</v>
      </c>
      <c r="CC26" s="323" t="e">
        <f aca="false">(LongTerm108!$BL31/(1-LongTerm108!$AR31))*(LongTerm108!$F31*LongTerm108!$AF31*LongTerm108!$AH31)/10000</f>
        <v>#VALUE!</v>
      </c>
      <c r="CD26" s="332"/>
      <c r="CE26" s="333" t="n">
        <f aca="false">EOMONTH(CE25,0)+15</f>
        <v>37302</v>
      </c>
      <c r="CF26" s="337" t="n">
        <v>28.2</v>
      </c>
      <c r="CG26" s="337" t="n">
        <v>85.5</v>
      </c>
      <c r="CH26" s="337" t="n">
        <v>-152.5</v>
      </c>
      <c r="CI26" s="337" t="n">
        <v>-13.9</v>
      </c>
      <c r="CJ26" s="337" t="n">
        <v>13.9</v>
      </c>
      <c r="CK26" s="337" t="n">
        <v>-11.4</v>
      </c>
      <c r="CL26" s="337" t="n">
        <v>-14</v>
      </c>
      <c r="CM26" s="337" t="n">
        <v>14</v>
      </c>
      <c r="CN26" s="337" t="n">
        <v>29.8</v>
      </c>
    </row>
    <row r="27" customFormat="false" ht="12.75" hidden="false" customHeight="false" outlineLevel="0" collapsed="false">
      <c r="B27" s="320" t="e">
        <f aca="false">Q27</f>
        <v>#VALUE!</v>
      </c>
      <c r="C27" s="319" t="e">
        <f aca="false">YEAR(B27)</f>
        <v>#VALUE!</v>
      </c>
      <c r="D27" s="266" t="e">
        <f aca="false">R27+AC27</f>
        <v>#VALUE!</v>
      </c>
      <c r="E27" s="266" t="e">
        <f aca="false">S27+AD27</f>
        <v>#VALUE!</v>
      </c>
      <c r="F27" s="266" t="e">
        <f aca="false">+T27+AE27</f>
        <v>#VALUE!</v>
      </c>
      <c r="G27" s="266" t="e">
        <f aca="false">+U27+AF27</f>
        <v>#VALUE!</v>
      </c>
      <c r="H27" s="266" t="e">
        <f aca="false">V27+AG27</f>
        <v>#VALUE!</v>
      </c>
      <c r="I27" s="266" t="e">
        <f aca="false">W27+AH27</f>
        <v>#VALUE!</v>
      </c>
      <c r="J27" s="265"/>
      <c r="K27" s="265"/>
      <c r="L27" s="265"/>
      <c r="M27" s="266" t="e">
        <f aca="false">X27+AI27</f>
        <v>#VALUE!</v>
      </c>
      <c r="N27" s="264" t="e">
        <f aca="false">Y27+AJ27</f>
        <v>#VALUE!</v>
      </c>
      <c r="O27" s="264" t="e">
        <f aca="false">Z27+AK27</f>
        <v>#VALUE!</v>
      </c>
      <c r="Q27" s="320" t="e">
        <f aca="false">EOMONTH(Q26,0)+15</f>
        <v>#VALUE!</v>
      </c>
      <c r="R27" s="266" t="e">
        <f aca="false">SUMIF(AM:AM,$Q27,AN:AN)+SUMIF(AQ:AQ,$Q27,AR:AR)+SUMIF(AU:AU,$Q27,AV:AV)+SUMIF(BU:BU,$Q27,BV:BV)+SUMIF(BZ:BZ,$Q27,CA:CA)+SUMIF(BG:BG,$Q27,BH:BH)+SUMIF(BK:BK,$Q27,BL:BL)+SUMIF(BP:BP,$Q27,BQ:BQ)</f>
        <v>#VALUE!</v>
      </c>
      <c r="S27" s="264" t="e">
        <f aca="false">SUMIF(AM:AM,$Q27,AP:AP)+SUMIF(BU:BU,$Q27,BW:BW)+SUMIF(BZ:BZ,$Q27,CB:CB)</f>
        <v>#VALUE!</v>
      </c>
      <c r="T27" s="264" t="e">
        <f aca="false">SUMIF(AQ:AQ,$Q27,AT:AT)+SUMIF(BG:BG,$Q27,BJ:BJ)+SUMIF(BK:BK,$Q27,BN:BN)</f>
        <v>#VALUE!</v>
      </c>
      <c r="U27" s="264" t="e">
        <f aca="false">SUMIF(AM:AM,$Q27,AO:AO)+SUMIF(AQ:AQ,$Q27,AS:AS)+SUMIF(BG:BG,$Q27,BI:BI)+SUMIF(BK:BK,$Q27,BM:BM)</f>
        <v>#VALUE!</v>
      </c>
      <c r="V27" s="264" t="e">
        <f aca="false">SUMIF(AU:AU,$Q27,AW:AW)</f>
        <v>#VALUE!</v>
      </c>
      <c r="W27" s="264" t="e">
        <f aca="false">SUMIF(AU:AU,$Q27,AX:AX)</f>
        <v>#VALUE!</v>
      </c>
      <c r="X27" s="264" t="e">
        <f aca="false">SUMIF(BP:BP,$Q27,BR:BR)</f>
        <v>#VALUE!</v>
      </c>
      <c r="Y27" s="266" t="e">
        <f aca="false">SUMIF(BP:BP,$Q27,BS:BS)</f>
        <v>#VALUE!</v>
      </c>
      <c r="Z27" s="264" t="e">
        <f aca="false">SUMIF(BU:BU,$Q27,BX:BX)+SUMIF(BZ:BZ,$Q27,CC:CC)</f>
        <v>#VALUE!</v>
      </c>
      <c r="AA27" s="265"/>
      <c r="AB27" s="320" t="e">
        <f aca="false">Q27</f>
        <v>#VALUE!</v>
      </c>
      <c r="AC27" s="321" t="e">
        <f aca="false">VLOOKUP(AB27,CE28:CK133,7,FALSE())</f>
        <v>#VALUE!</v>
      </c>
      <c r="AD27" s="264" t="e">
        <f aca="false">VLOOKUP(AB27,CE28:CJ133,3,FALSE())</f>
        <v>#VALUE!</v>
      </c>
      <c r="AE27" s="264" t="e">
        <f aca="false">VLOOKUP(AB27,CE28:CJ133,2,FALSE())</f>
        <v>#VALUE!</v>
      </c>
      <c r="AF27" s="264" t="e">
        <f aca="false">VLOOKUP(AB27,CE28:CJ133,4,FALSE())</f>
        <v>#VALUE!</v>
      </c>
      <c r="AG27" s="264" t="e">
        <f aca="false">VLOOKUP(AB27,CE28:CJ133,5,FALSE())</f>
        <v>#VALUE!</v>
      </c>
      <c r="AH27" s="264" t="e">
        <f aca="false">VLOOKUP(AB27,CE28:CJ133,6,FALSE())</f>
        <v>#VALUE!</v>
      </c>
      <c r="AI27" s="264" t="e">
        <f aca="false">VLOOKUP(AB27,CE28:CM133,8,FALSE())</f>
        <v>#VALUE!</v>
      </c>
      <c r="AJ27" s="266" t="e">
        <f aca="false">VLOOKUP(AB27,CE28:CM133,9,FALSE())</f>
        <v>#VALUE!</v>
      </c>
      <c r="AK27" s="264" t="e">
        <f aca="false">VLOOKUP(AB27,CE28:CN133,10,FALSE())</f>
        <v>#VALUE!</v>
      </c>
      <c r="AM27" s="322" t="e">
        <f aca="false">LongTerm1!D32</f>
        <v>#VALUE!</v>
      </c>
      <c r="AN27" s="323" t="e">
        <f aca="false">(LongTerm1!BM32+LongTerm1!BL32/(1-LongTerm1!AR32))*(LongTerm1!F32*LongTerm1!AF32*LongTerm1!AH32)/10000</f>
        <v>#VALUE!</v>
      </c>
      <c r="AO27" s="323" t="e">
        <f aca="false">LongTerm1!BM32*(LongTerm1!F32*LongTerm1!AF32*LongTerm1!AH32)/10000</f>
        <v>#VALUE!</v>
      </c>
      <c r="AP27" s="323" t="e">
        <f aca="false">(LongTerm1!BL32/(1-LongTerm1!AR32))*(LongTerm1!F32*LongTerm1!AF32*LongTerm1!AH32)/10000</f>
        <v>#VALUE!</v>
      </c>
      <c r="AQ27" s="324"/>
      <c r="AR27" s="319"/>
      <c r="AS27" s="319"/>
      <c r="AT27" s="319"/>
      <c r="AU27" s="324"/>
      <c r="AV27" s="319"/>
      <c r="AW27" s="319"/>
      <c r="AX27" s="319"/>
      <c r="AY27" s="319"/>
      <c r="AZ27" s="319"/>
      <c r="BA27" s="319"/>
      <c r="BB27" s="319"/>
      <c r="BC27" s="319"/>
      <c r="BD27" s="319"/>
      <c r="BE27" s="319"/>
      <c r="BF27" s="319"/>
      <c r="BG27" s="322" t="e">
        <f aca="false">LongTerm25!D32</f>
        <v>#VALUE!</v>
      </c>
      <c r="BH27" s="323" t="e">
        <f aca="false">(LongTerm25!BM32+LongTerm25!BL32/(1-LongTerm25!AR32))*(LongTerm25!F32*LongTerm25!AF32*LongTerm25!AH32)/10000</f>
        <v>#VALUE!</v>
      </c>
      <c r="BI27" s="323" t="e">
        <f aca="false">LongTerm25!BM32*(LongTerm25!F32*LongTerm25!AF32*LongTerm25!AH32)/10000</f>
        <v>#VALUE!</v>
      </c>
      <c r="BJ27" s="323" t="e">
        <f aca="false">(LongTerm25!BL32/(1-LongTerm25!AR32))*(LongTerm25!F32*LongTerm25!AF32*LongTerm25!AH32)/10000</f>
        <v>#VALUE!</v>
      </c>
      <c r="BK27" s="319"/>
      <c r="BL27" s="319"/>
      <c r="BM27" s="319"/>
      <c r="BN27" s="319"/>
      <c r="BP27" s="325" t="e">
        <f aca="false">LongTerm62!D32</f>
        <v>#VALUE!</v>
      </c>
      <c r="BQ27" s="323" t="e">
        <f aca="false">(LongTerm62!$BM32+LongTerm62!$BL32/(1-LongTerm62!$AR32))*(LongTerm62!$F32*LongTerm62!$AF32*LongTerm62!$AH32)/10000</f>
        <v>#VALUE!</v>
      </c>
      <c r="BR27" s="323" t="e">
        <f aca="false">LongTerm62!$BM32*(LongTerm62!$F32*LongTerm62!$AF32*LongTerm62!$AH32)/10000</f>
        <v>#VALUE!</v>
      </c>
      <c r="BS27" s="323" t="e">
        <f aca="false">(LongTerm62!$BL32/(1-LongTerm62!$AR32))*(LongTerm62!$F32*LongTerm62!$AF32*LongTerm62!$AH32)/10000</f>
        <v>#VALUE!</v>
      </c>
      <c r="BT27" s="265"/>
      <c r="BU27" s="325" t="e">
        <f aca="false">LongTerm107!D32</f>
        <v>#VALUE!</v>
      </c>
      <c r="BV27" s="323" t="e">
        <f aca="false">(LongTerm107!$BM32+LongTerm107!$BL32/(1-LongTerm107!$AR32))*(LongTerm107!$F32*LongTerm107!$AF32*LongTerm107!$AH32)/10000</f>
        <v>#VALUE!</v>
      </c>
      <c r="BW27" s="323" t="e">
        <f aca="false">LongTerm107!$BM32*(LongTerm107!$F32*LongTerm107!$AF32*LongTerm107!$AH32)/10000</f>
        <v>#VALUE!</v>
      </c>
      <c r="BX27" s="323" t="e">
        <f aca="false">(LongTerm107!$BL32/(1-LongTerm107!$AR32))*(LongTerm107!$F32*LongTerm107!$AF32*LongTerm107!$AH32)/10000</f>
        <v>#VALUE!</v>
      </c>
      <c r="BY27" s="326"/>
      <c r="BZ27" s="325" t="e">
        <f aca="false">LongTerm108!D32</f>
        <v>#VALUE!</v>
      </c>
      <c r="CA27" s="323" t="e">
        <f aca="false">(LongTerm108!$BM32+LongTerm108!$BL32/(1-LongTerm108!$AR32))*(LongTerm108!$F32*LongTerm108!$AF32*LongTerm108!$AH32)/10000</f>
        <v>#VALUE!</v>
      </c>
      <c r="CB27" s="323" t="e">
        <f aca="false">LongTerm108!$BM32*(LongTerm108!$F32*LongTerm108!$AF32*LongTerm108!$AH32)/10000</f>
        <v>#VALUE!</v>
      </c>
      <c r="CC27" s="323" t="e">
        <f aca="false">(LongTerm108!$BL32/(1-LongTerm108!$AR32))*(LongTerm108!$F32*LongTerm108!$AF32*LongTerm108!$AH32)/10000</f>
        <v>#VALUE!</v>
      </c>
      <c r="CD27" s="332"/>
      <c r="CE27" s="333" t="n">
        <f aca="false">EOMONTH(CE26,0)+15</f>
        <v>37330</v>
      </c>
      <c r="CF27" s="337" t="n">
        <v>28.9</v>
      </c>
      <c r="CG27" s="337" t="n">
        <v>95.3</v>
      </c>
      <c r="CH27" s="337" t="n">
        <v>-174.1</v>
      </c>
      <c r="CI27" s="337" t="n">
        <v>-15.4</v>
      </c>
      <c r="CJ27" s="337" t="n">
        <v>15.4</v>
      </c>
      <c r="CK27" s="337" t="n">
        <v>-11.5</v>
      </c>
      <c r="CL27" s="337" t="n">
        <v>-16.2</v>
      </c>
      <c r="CM27" s="337" t="n">
        <v>15.2</v>
      </c>
      <c r="CN27" s="337" t="n">
        <v>32.8</v>
      </c>
    </row>
    <row r="28" customFormat="false" ht="12.75" hidden="false" customHeight="false" outlineLevel="0" collapsed="false">
      <c r="B28" s="320" t="e">
        <f aca="false">Q28</f>
        <v>#VALUE!</v>
      </c>
      <c r="C28" s="319" t="e">
        <f aca="false">YEAR(B28)</f>
        <v>#VALUE!</v>
      </c>
      <c r="D28" s="266" t="e">
        <f aca="false">R28+AC28</f>
        <v>#VALUE!</v>
      </c>
      <c r="E28" s="266" t="e">
        <f aca="false">S28+AD28</f>
        <v>#VALUE!</v>
      </c>
      <c r="F28" s="266" t="e">
        <f aca="false">+T28+AE28</f>
        <v>#VALUE!</v>
      </c>
      <c r="G28" s="266" t="e">
        <f aca="false">+U28+AF28</f>
        <v>#VALUE!</v>
      </c>
      <c r="H28" s="266" t="e">
        <f aca="false">V28+AG28</f>
        <v>#VALUE!</v>
      </c>
      <c r="I28" s="266" t="e">
        <f aca="false">W28+AH28</f>
        <v>#VALUE!</v>
      </c>
      <c r="J28" s="265"/>
      <c r="K28" s="265"/>
      <c r="L28" s="265"/>
      <c r="M28" s="266" t="e">
        <f aca="false">X28+AI28</f>
        <v>#VALUE!</v>
      </c>
      <c r="N28" s="264" t="e">
        <f aca="false">Y28+AJ28</f>
        <v>#VALUE!</v>
      </c>
      <c r="O28" s="264" t="e">
        <f aca="false">Z28+AK28</f>
        <v>#VALUE!</v>
      </c>
      <c r="Q28" s="320" t="e">
        <f aca="false">EOMONTH(Q27,0)+15</f>
        <v>#VALUE!</v>
      </c>
      <c r="R28" s="266" t="e">
        <f aca="false">SUMIF(AM:AM,$Q28,AN:AN)+SUMIF(AQ:AQ,$Q28,AR:AR)+SUMIF(AU:AU,$Q28,AV:AV)+SUMIF(BU:BU,$Q28,BV:BV)+SUMIF(BZ:BZ,$Q28,CA:CA)+SUMIF(BG:BG,$Q28,BH:BH)+SUMIF(BK:BK,$Q28,BL:BL)+SUMIF(BP:BP,$Q28,BQ:BQ)</f>
        <v>#VALUE!</v>
      </c>
      <c r="S28" s="264" t="e">
        <f aca="false">SUMIF(AM:AM,$Q28,AP:AP)+SUMIF(BU:BU,$Q28,BW:BW)+SUMIF(BZ:BZ,$Q28,CB:CB)</f>
        <v>#VALUE!</v>
      </c>
      <c r="T28" s="264" t="e">
        <f aca="false">SUMIF(AQ:AQ,$Q28,AT:AT)+SUMIF(BG:BG,$Q28,BJ:BJ)+SUMIF(BK:BK,$Q28,BN:BN)</f>
        <v>#VALUE!</v>
      </c>
      <c r="U28" s="264" t="e">
        <f aca="false">SUMIF(AM:AM,$Q28,AO:AO)+SUMIF(AQ:AQ,$Q28,AS:AS)+SUMIF(BG:BG,$Q28,BI:BI)+SUMIF(BK:BK,$Q28,BM:BM)</f>
        <v>#VALUE!</v>
      </c>
      <c r="V28" s="264" t="e">
        <f aca="false">SUMIF(AU:AU,$Q28,AW:AW)</f>
        <v>#VALUE!</v>
      </c>
      <c r="W28" s="264" t="e">
        <f aca="false">SUMIF(AU:AU,$Q28,AX:AX)</f>
        <v>#VALUE!</v>
      </c>
      <c r="X28" s="264" t="e">
        <f aca="false">SUMIF(BP:BP,$Q28,BR:BR)</f>
        <v>#VALUE!</v>
      </c>
      <c r="Y28" s="266" t="e">
        <f aca="false">SUMIF(BP:BP,$Q28,BS:BS)</f>
        <v>#VALUE!</v>
      </c>
      <c r="Z28" s="264" t="e">
        <f aca="false">SUMIF(BU:BU,$Q28,BX:BX)+SUMIF(BZ:BZ,$Q28,CC:CC)</f>
        <v>#VALUE!</v>
      </c>
      <c r="AA28" s="265"/>
      <c r="AB28" s="320" t="e">
        <f aca="false">Q28</f>
        <v>#VALUE!</v>
      </c>
      <c r="AC28" s="321" t="e">
        <f aca="false">VLOOKUP(AB28,CE29:CK134,7,FALSE())</f>
        <v>#VALUE!</v>
      </c>
      <c r="AD28" s="264" t="e">
        <f aca="false">VLOOKUP(AB28,CE29:CJ134,3,FALSE())</f>
        <v>#VALUE!</v>
      </c>
      <c r="AE28" s="264" t="e">
        <f aca="false">VLOOKUP(AB28,CE29:CJ134,2,FALSE())</f>
        <v>#VALUE!</v>
      </c>
      <c r="AF28" s="264" t="e">
        <f aca="false">VLOOKUP(AB28,CE29:CJ134,4,FALSE())</f>
        <v>#VALUE!</v>
      </c>
      <c r="AG28" s="264" t="e">
        <f aca="false">VLOOKUP(AB28,CE29:CJ134,5,FALSE())</f>
        <v>#VALUE!</v>
      </c>
      <c r="AH28" s="264" t="e">
        <f aca="false">VLOOKUP(AB28,CE29:CJ134,6,FALSE())</f>
        <v>#VALUE!</v>
      </c>
      <c r="AI28" s="264" t="e">
        <f aca="false">VLOOKUP(AB28,CE29:CM134,8,FALSE())</f>
        <v>#VALUE!</v>
      </c>
      <c r="AJ28" s="266" t="e">
        <f aca="false">VLOOKUP(AB28,CE29:CM134,9,FALSE())</f>
        <v>#VALUE!</v>
      </c>
      <c r="AK28" s="264" t="e">
        <f aca="false">VLOOKUP(AB28,CE29:CN134,10,FALSE())</f>
        <v>#VALUE!</v>
      </c>
      <c r="AM28" s="322" t="e">
        <f aca="false">LongTerm1!D33</f>
        <v>#VALUE!</v>
      </c>
      <c r="AN28" s="323" t="e">
        <f aca="false">(LongTerm1!BM33+LongTerm1!BL33/(1-LongTerm1!AR33))*(LongTerm1!F33*LongTerm1!AF33*LongTerm1!AH33)/10000</f>
        <v>#VALUE!</v>
      </c>
      <c r="AO28" s="323" t="e">
        <f aca="false">LongTerm1!BM33*(LongTerm1!F33*LongTerm1!AF33*LongTerm1!AH33)/10000</f>
        <v>#VALUE!</v>
      </c>
      <c r="AP28" s="323" t="e">
        <f aca="false">(LongTerm1!BL33/(1-LongTerm1!AR33))*(LongTerm1!F33*LongTerm1!AF33*LongTerm1!AH33)/10000</f>
        <v>#VALUE!</v>
      </c>
      <c r="AQ28" s="324"/>
      <c r="AR28" s="319"/>
      <c r="AS28" s="319"/>
      <c r="AT28" s="319"/>
      <c r="AU28" s="324"/>
      <c r="AV28" s="319"/>
      <c r="AW28" s="319"/>
      <c r="AX28" s="319"/>
      <c r="AY28" s="319"/>
      <c r="AZ28" s="319"/>
      <c r="BA28" s="319"/>
      <c r="BB28" s="319"/>
      <c r="BC28" s="319"/>
      <c r="BD28" s="319"/>
      <c r="BE28" s="319"/>
      <c r="BF28" s="319"/>
      <c r="BG28" s="322" t="e">
        <f aca="false">LongTerm25!D33</f>
        <v>#VALUE!</v>
      </c>
      <c r="BH28" s="323" t="e">
        <f aca="false">(LongTerm25!BM33+LongTerm25!BL33/(1-LongTerm25!AR33))*(LongTerm25!F33*LongTerm25!AF33*LongTerm25!AH33)/10000</f>
        <v>#VALUE!</v>
      </c>
      <c r="BI28" s="323" t="e">
        <f aca="false">LongTerm25!BM33*(LongTerm25!F33*LongTerm25!AF33*LongTerm25!AH33)/10000</f>
        <v>#VALUE!</v>
      </c>
      <c r="BJ28" s="323" t="e">
        <f aca="false">(LongTerm25!BL33/(1-LongTerm25!AR33))*(LongTerm25!F33*LongTerm25!AF33*LongTerm25!AH33)/10000</f>
        <v>#VALUE!</v>
      </c>
      <c r="BK28" s="319"/>
      <c r="BL28" s="319"/>
      <c r="BM28" s="319"/>
      <c r="BN28" s="319"/>
      <c r="BP28" s="325" t="e">
        <f aca="false">LongTerm62!D33</f>
        <v>#VALUE!</v>
      </c>
      <c r="BQ28" s="323" t="e">
        <f aca="false">(LongTerm62!$BM33+LongTerm62!$BL33/(1-LongTerm62!$AR33))*(LongTerm62!$F33*LongTerm62!$AF33*LongTerm62!$AH33)/10000</f>
        <v>#VALUE!</v>
      </c>
      <c r="BR28" s="323" t="e">
        <f aca="false">LongTerm62!$BM33*(LongTerm62!$F33*LongTerm62!$AF33*LongTerm62!$AH33)/10000</f>
        <v>#VALUE!</v>
      </c>
      <c r="BS28" s="323" t="e">
        <f aca="false">(LongTerm62!$BL33/(1-LongTerm62!$AR33))*(LongTerm62!$F33*LongTerm62!$AF33*LongTerm62!$AH33)/10000</f>
        <v>#VALUE!</v>
      </c>
      <c r="BT28" s="265"/>
      <c r="BU28" s="325" t="e">
        <f aca="false">LongTerm107!D33</f>
        <v>#VALUE!</v>
      </c>
      <c r="BV28" s="323" t="e">
        <f aca="false">(LongTerm107!$BM33+LongTerm107!$BL33/(1-LongTerm107!$AR33))*(LongTerm107!$F33*LongTerm107!$AF33*LongTerm107!$AH33)/10000</f>
        <v>#VALUE!</v>
      </c>
      <c r="BW28" s="323" t="e">
        <f aca="false">LongTerm107!$BM33*(LongTerm107!$F33*LongTerm107!$AF33*LongTerm107!$AH33)/10000</f>
        <v>#VALUE!</v>
      </c>
      <c r="BX28" s="323" t="e">
        <f aca="false">(LongTerm107!$BL33/(1-LongTerm107!$AR33))*(LongTerm107!$F33*LongTerm107!$AF33*LongTerm107!$AH33)/10000</f>
        <v>#VALUE!</v>
      </c>
      <c r="BY28" s="326"/>
      <c r="BZ28" s="325" t="e">
        <f aca="false">LongTerm108!D33</f>
        <v>#VALUE!</v>
      </c>
      <c r="CA28" s="323" t="e">
        <f aca="false">(LongTerm108!$BM33+LongTerm108!$BL33/(1-LongTerm108!$AR33))*(LongTerm108!$F33*LongTerm108!$AF33*LongTerm108!$AH33)/10000</f>
        <v>#VALUE!</v>
      </c>
      <c r="CB28" s="323" t="e">
        <f aca="false">LongTerm108!$BM33*(LongTerm108!$F33*LongTerm108!$AF33*LongTerm108!$AH33)/10000</f>
        <v>#VALUE!</v>
      </c>
      <c r="CC28" s="323" t="e">
        <f aca="false">(LongTerm108!$BL33/(1-LongTerm108!$AR33))*(LongTerm108!$F33*LongTerm108!$AF33*LongTerm108!$AH33)/10000</f>
        <v>#VALUE!</v>
      </c>
      <c r="CD28" s="332"/>
      <c r="CE28" s="333" t="n">
        <f aca="false">EOMONTH(CE27,0)+15</f>
        <v>37361</v>
      </c>
      <c r="CF28" s="337" t="n">
        <v>28.2</v>
      </c>
      <c r="CG28" s="337" t="n">
        <v>122.8</v>
      </c>
      <c r="CH28" s="337" t="n">
        <v>-197.9</v>
      </c>
      <c r="CI28" s="337" t="n">
        <v>0</v>
      </c>
      <c r="CJ28" s="337" t="n">
        <v>0</v>
      </c>
      <c r="CK28" s="337" t="n">
        <v>0.5</v>
      </c>
      <c r="CL28" s="337" t="n">
        <v>0</v>
      </c>
      <c r="CM28" s="337" t="n">
        <v>0</v>
      </c>
      <c r="CN28" s="337" t="n">
        <v>42.6</v>
      </c>
    </row>
    <row r="29" customFormat="false" ht="12.75" hidden="false" customHeight="false" outlineLevel="0" collapsed="false">
      <c r="B29" s="320" t="e">
        <f aca="false">Q29</f>
        <v>#VALUE!</v>
      </c>
      <c r="C29" s="319" t="e">
        <f aca="false">YEAR(B29)</f>
        <v>#VALUE!</v>
      </c>
      <c r="D29" s="266" t="e">
        <f aca="false">R29+AC29</f>
        <v>#VALUE!</v>
      </c>
      <c r="E29" s="266" t="e">
        <f aca="false">S29+AD29</f>
        <v>#VALUE!</v>
      </c>
      <c r="F29" s="266" t="e">
        <f aca="false">+T29+AE29</f>
        <v>#VALUE!</v>
      </c>
      <c r="G29" s="266" t="e">
        <f aca="false">+U29+AF29</f>
        <v>#VALUE!</v>
      </c>
      <c r="H29" s="266" t="e">
        <f aca="false">V29+AG29</f>
        <v>#VALUE!</v>
      </c>
      <c r="I29" s="266" t="e">
        <f aca="false">W29+AH29</f>
        <v>#VALUE!</v>
      </c>
      <c r="J29" s="265"/>
      <c r="K29" s="265"/>
      <c r="L29" s="265"/>
      <c r="M29" s="266" t="e">
        <f aca="false">X29+AI29</f>
        <v>#VALUE!</v>
      </c>
      <c r="N29" s="264" t="e">
        <f aca="false">Y29+AJ29</f>
        <v>#VALUE!</v>
      </c>
      <c r="O29" s="264" t="e">
        <f aca="false">Z29+AK29</f>
        <v>#VALUE!</v>
      </c>
      <c r="Q29" s="320" t="e">
        <f aca="false">EOMONTH(Q28,0)+15</f>
        <v>#VALUE!</v>
      </c>
      <c r="R29" s="266" t="e">
        <f aca="false">SUMIF(AM:AM,$Q29,AN:AN)+SUMIF(AQ:AQ,$Q29,AR:AR)+SUMIF(AU:AU,$Q29,AV:AV)+SUMIF(BU:BU,$Q29,BV:BV)+SUMIF(BZ:BZ,$Q29,CA:CA)+SUMIF(BG:BG,$Q29,BH:BH)+SUMIF(BK:BK,$Q29,BL:BL)+SUMIF(BP:BP,$Q29,BQ:BQ)</f>
        <v>#VALUE!</v>
      </c>
      <c r="S29" s="264" t="e">
        <f aca="false">SUMIF(AM:AM,$Q29,AP:AP)+SUMIF(BU:BU,$Q29,BW:BW)+SUMIF(BZ:BZ,$Q29,CB:CB)</f>
        <v>#VALUE!</v>
      </c>
      <c r="T29" s="264" t="e">
        <f aca="false">SUMIF(AQ:AQ,$Q29,AT:AT)+SUMIF(BG:BG,$Q29,BJ:BJ)+SUMIF(BK:BK,$Q29,BN:BN)</f>
        <v>#VALUE!</v>
      </c>
      <c r="U29" s="264" t="e">
        <f aca="false">SUMIF(AM:AM,$Q29,AO:AO)+SUMIF(AQ:AQ,$Q29,AS:AS)+SUMIF(BG:BG,$Q29,BI:BI)+SUMIF(BK:BK,$Q29,BM:BM)</f>
        <v>#VALUE!</v>
      </c>
      <c r="V29" s="264" t="e">
        <f aca="false">SUMIF(AU:AU,$Q29,AW:AW)</f>
        <v>#VALUE!</v>
      </c>
      <c r="W29" s="264" t="e">
        <f aca="false">SUMIF(AU:AU,$Q29,AX:AX)</f>
        <v>#VALUE!</v>
      </c>
      <c r="X29" s="264" t="e">
        <f aca="false">SUMIF(BP:BP,$Q29,BR:BR)</f>
        <v>#VALUE!</v>
      </c>
      <c r="Y29" s="266" t="e">
        <f aca="false">SUMIF(BP:BP,$Q29,BS:BS)</f>
        <v>#VALUE!</v>
      </c>
      <c r="Z29" s="264" t="e">
        <f aca="false">SUMIF(BU:BU,$Q29,BX:BX)+SUMIF(BZ:BZ,$Q29,CC:CC)</f>
        <v>#VALUE!</v>
      </c>
      <c r="AA29" s="265"/>
      <c r="AB29" s="320" t="e">
        <f aca="false">Q29</f>
        <v>#VALUE!</v>
      </c>
      <c r="AC29" s="321" t="e">
        <f aca="false">VLOOKUP(AB29,CE30:CK135,7,FALSE())</f>
        <v>#VALUE!</v>
      </c>
      <c r="AD29" s="264" t="e">
        <f aca="false">VLOOKUP(AB29,CE30:CJ135,3,FALSE())</f>
        <v>#VALUE!</v>
      </c>
      <c r="AE29" s="264" t="e">
        <f aca="false">VLOOKUP(AB29,CE30:CJ135,2,FALSE())</f>
        <v>#VALUE!</v>
      </c>
      <c r="AF29" s="264" t="e">
        <f aca="false">VLOOKUP(AB29,CE30:CJ135,4,FALSE())</f>
        <v>#VALUE!</v>
      </c>
      <c r="AG29" s="264" t="e">
        <f aca="false">VLOOKUP(AB29,CE30:CJ135,5,FALSE())</f>
        <v>#VALUE!</v>
      </c>
      <c r="AH29" s="264" t="e">
        <f aca="false">VLOOKUP(AB29,CE30:CJ135,6,FALSE())</f>
        <v>#VALUE!</v>
      </c>
      <c r="AI29" s="264" t="e">
        <f aca="false">VLOOKUP(AB29,CE30:CM135,8,FALSE())</f>
        <v>#VALUE!</v>
      </c>
      <c r="AJ29" s="266" t="e">
        <f aca="false">VLOOKUP(AB29,CE30:CM135,9,FALSE())</f>
        <v>#VALUE!</v>
      </c>
      <c r="AK29" s="264" t="e">
        <f aca="false">VLOOKUP(AB29,CE30:CN135,10,FALSE())</f>
        <v>#VALUE!</v>
      </c>
      <c r="AM29" s="322" t="e">
        <f aca="false">LongTerm1!D34</f>
        <v>#VALUE!</v>
      </c>
      <c r="AN29" s="323" t="e">
        <f aca="false">(LongTerm1!BM34+LongTerm1!BL34/(1-LongTerm1!AR34))*(LongTerm1!F34*LongTerm1!AF34*LongTerm1!AH34)/10000</f>
        <v>#VALUE!</v>
      </c>
      <c r="AO29" s="323" t="e">
        <f aca="false">LongTerm1!BM34*(LongTerm1!F34*LongTerm1!AF34*LongTerm1!AH34)/10000</f>
        <v>#VALUE!</v>
      </c>
      <c r="AP29" s="323" t="e">
        <f aca="false">(LongTerm1!BL34/(1-LongTerm1!AR34))*(LongTerm1!F34*LongTerm1!AF34*LongTerm1!AH34)/10000</f>
        <v>#VALUE!</v>
      </c>
      <c r="AQ29" s="324"/>
      <c r="AR29" s="319"/>
      <c r="AS29" s="319"/>
      <c r="AT29" s="319"/>
      <c r="AU29" s="324"/>
      <c r="AV29" s="319"/>
      <c r="AW29" s="319"/>
      <c r="AX29" s="319"/>
      <c r="AY29" s="319"/>
      <c r="AZ29" s="319"/>
      <c r="BA29" s="319"/>
      <c r="BB29" s="319"/>
      <c r="BC29" s="319"/>
      <c r="BD29" s="319"/>
      <c r="BE29" s="319"/>
      <c r="BF29" s="319"/>
      <c r="BG29" s="322" t="e">
        <f aca="false">LongTerm25!D34</f>
        <v>#VALUE!</v>
      </c>
      <c r="BH29" s="323" t="e">
        <f aca="false">(LongTerm25!BM34+LongTerm25!BL34/(1-LongTerm25!AR34))*(LongTerm25!F34*LongTerm25!AF34*LongTerm25!AH34)/10000</f>
        <v>#VALUE!</v>
      </c>
      <c r="BI29" s="323" t="e">
        <f aca="false">LongTerm25!BM34*(LongTerm25!F34*LongTerm25!AF34*LongTerm25!AH34)/10000</f>
        <v>#VALUE!</v>
      </c>
      <c r="BJ29" s="323" t="e">
        <f aca="false">(LongTerm25!BL34/(1-LongTerm25!AR34))*(LongTerm25!F34*LongTerm25!AF34*LongTerm25!AH34)/10000</f>
        <v>#VALUE!</v>
      </c>
      <c r="BK29" s="319"/>
      <c r="BL29" s="319"/>
      <c r="BM29" s="319"/>
      <c r="BN29" s="319"/>
      <c r="BP29" s="325" t="e">
        <f aca="false">LongTerm62!D34</f>
        <v>#VALUE!</v>
      </c>
      <c r="BQ29" s="323" t="e">
        <f aca="false">(LongTerm62!$BM34+LongTerm62!$BL34/(1-LongTerm62!$AR34))*(LongTerm62!$F34*LongTerm62!$AF34*LongTerm62!$AH34)/10000</f>
        <v>#VALUE!</v>
      </c>
      <c r="BR29" s="323" t="e">
        <f aca="false">LongTerm62!$BM34*(LongTerm62!$F34*LongTerm62!$AF34*LongTerm62!$AH34)/10000</f>
        <v>#VALUE!</v>
      </c>
      <c r="BS29" s="323" t="e">
        <f aca="false">(LongTerm62!$BL34/(1-LongTerm62!$AR34))*(LongTerm62!$F34*LongTerm62!$AF34*LongTerm62!$AH34)/10000</f>
        <v>#VALUE!</v>
      </c>
      <c r="BT29" s="265"/>
      <c r="BU29" s="325" t="e">
        <f aca="false">LongTerm107!D34</f>
        <v>#VALUE!</v>
      </c>
      <c r="BV29" s="323" t="e">
        <f aca="false">(LongTerm107!$BM34+LongTerm107!$BL34/(1-LongTerm107!$AR34))*(LongTerm107!$F34*LongTerm107!$AF34*LongTerm107!$AH34)/10000</f>
        <v>#VALUE!</v>
      </c>
      <c r="BW29" s="323" t="e">
        <f aca="false">LongTerm107!$BM34*(LongTerm107!$F34*LongTerm107!$AF34*LongTerm107!$AH34)/10000</f>
        <v>#VALUE!</v>
      </c>
      <c r="BX29" s="323" t="e">
        <f aca="false">(LongTerm107!$BL34/(1-LongTerm107!$AR34))*(LongTerm107!$F34*LongTerm107!$AF34*LongTerm107!$AH34)/10000</f>
        <v>#VALUE!</v>
      </c>
      <c r="BY29" s="326"/>
      <c r="BZ29" s="325" t="e">
        <f aca="false">LongTerm108!D34</f>
        <v>#VALUE!</v>
      </c>
      <c r="CA29" s="323" t="e">
        <f aca="false">(LongTerm108!$BM34+LongTerm108!$BL34/(1-LongTerm108!$AR34))*(LongTerm108!$F34*LongTerm108!$AF34*LongTerm108!$AH34)/10000</f>
        <v>#VALUE!</v>
      </c>
      <c r="CB29" s="323" t="e">
        <f aca="false">LongTerm108!$BM34*(LongTerm108!$F34*LongTerm108!$AF34*LongTerm108!$AH34)/10000</f>
        <v>#VALUE!</v>
      </c>
      <c r="CC29" s="323" t="e">
        <f aca="false">(LongTerm108!$BL34/(1-LongTerm108!$AR34))*(LongTerm108!$F34*LongTerm108!$AF34*LongTerm108!$AH34)/10000</f>
        <v>#VALUE!</v>
      </c>
      <c r="CD29" s="332"/>
      <c r="CE29" s="333" t="n">
        <f aca="false">EOMONTH(CE28,0)+15</f>
        <v>37391</v>
      </c>
      <c r="CF29" s="337" t="n">
        <v>29.6</v>
      </c>
      <c r="CG29" s="337" t="n">
        <v>123.6</v>
      </c>
      <c r="CH29" s="337" t="n">
        <v>-199.9</v>
      </c>
      <c r="CI29" s="337" t="n">
        <v>0</v>
      </c>
      <c r="CJ29" s="337" t="n">
        <v>0</v>
      </c>
      <c r="CK29" s="337" t="n">
        <v>0.4</v>
      </c>
      <c r="CL29" s="337" t="n">
        <v>0</v>
      </c>
      <c r="CM29" s="337" t="n">
        <v>0</v>
      </c>
      <c r="CN29" s="337" t="n">
        <v>42.5</v>
      </c>
    </row>
    <row r="30" customFormat="false" ht="12.75" hidden="false" customHeight="false" outlineLevel="0" collapsed="false">
      <c r="B30" s="320" t="e">
        <f aca="false">Q30</f>
        <v>#VALUE!</v>
      </c>
      <c r="C30" s="319" t="e">
        <f aca="false">YEAR(B30)</f>
        <v>#VALUE!</v>
      </c>
      <c r="D30" s="266" t="e">
        <f aca="false">R30+AC30</f>
        <v>#VALUE!</v>
      </c>
      <c r="E30" s="266" t="e">
        <f aca="false">S30+AD30</f>
        <v>#VALUE!</v>
      </c>
      <c r="F30" s="266" t="e">
        <f aca="false">+T30+AE30</f>
        <v>#VALUE!</v>
      </c>
      <c r="G30" s="266" t="e">
        <f aca="false">+U30+AF30</f>
        <v>#VALUE!</v>
      </c>
      <c r="H30" s="266" t="e">
        <f aca="false">V30+AG30</f>
        <v>#VALUE!</v>
      </c>
      <c r="I30" s="266" t="e">
        <f aca="false">W30+AH30</f>
        <v>#VALUE!</v>
      </c>
      <c r="J30" s="265"/>
      <c r="K30" s="265"/>
      <c r="L30" s="265"/>
      <c r="M30" s="266" t="e">
        <f aca="false">X30+AI30</f>
        <v>#VALUE!</v>
      </c>
      <c r="N30" s="264" t="e">
        <f aca="false">Y30+AJ30</f>
        <v>#VALUE!</v>
      </c>
      <c r="O30" s="264" t="e">
        <f aca="false">Z30+AK30</f>
        <v>#VALUE!</v>
      </c>
      <c r="Q30" s="320" t="e">
        <f aca="false">EOMONTH(Q29,0)+15</f>
        <v>#VALUE!</v>
      </c>
      <c r="R30" s="266" t="e">
        <f aca="false">SUMIF(AM:AM,$Q30,AN:AN)+SUMIF(AQ:AQ,$Q30,AR:AR)+SUMIF(AU:AU,$Q30,AV:AV)+SUMIF(BU:BU,$Q30,BV:BV)+SUMIF(BZ:BZ,$Q30,CA:CA)+SUMIF(BG:BG,$Q30,BH:BH)+SUMIF(BK:BK,$Q30,BL:BL)+SUMIF(BP:BP,$Q30,BQ:BQ)</f>
        <v>#VALUE!</v>
      </c>
      <c r="S30" s="264" t="e">
        <f aca="false">SUMIF(AM:AM,$Q30,AP:AP)+SUMIF(BU:BU,$Q30,BW:BW)+SUMIF(BZ:BZ,$Q30,CB:CB)</f>
        <v>#VALUE!</v>
      </c>
      <c r="T30" s="264" t="e">
        <f aca="false">SUMIF(AQ:AQ,$Q30,AT:AT)+SUMIF(BG:BG,$Q30,BJ:BJ)+SUMIF(BK:BK,$Q30,BN:BN)</f>
        <v>#VALUE!</v>
      </c>
      <c r="U30" s="264" t="e">
        <f aca="false">SUMIF(AM:AM,$Q30,AO:AO)+SUMIF(AQ:AQ,$Q30,AS:AS)+SUMIF(BG:BG,$Q30,BI:BI)+SUMIF(BK:BK,$Q30,BM:BM)</f>
        <v>#VALUE!</v>
      </c>
      <c r="V30" s="264" t="e">
        <f aca="false">SUMIF(AU:AU,$Q30,AW:AW)</f>
        <v>#VALUE!</v>
      </c>
      <c r="W30" s="264" t="e">
        <f aca="false">SUMIF(AU:AU,$Q30,AX:AX)</f>
        <v>#VALUE!</v>
      </c>
      <c r="X30" s="264" t="e">
        <f aca="false">SUMIF(BP:BP,$Q30,BR:BR)</f>
        <v>#VALUE!</v>
      </c>
      <c r="Y30" s="266" t="e">
        <f aca="false">SUMIF(BP:BP,$Q30,BS:BS)</f>
        <v>#VALUE!</v>
      </c>
      <c r="Z30" s="264" t="e">
        <f aca="false">SUMIF(BU:BU,$Q30,BX:BX)+SUMIF(BZ:BZ,$Q30,CC:CC)</f>
        <v>#VALUE!</v>
      </c>
      <c r="AA30" s="265"/>
      <c r="AB30" s="320" t="e">
        <f aca="false">Q30</f>
        <v>#VALUE!</v>
      </c>
      <c r="AC30" s="321" t="e">
        <f aca="false">VLOOKUP(AB30,CE31:CK136,7,FALSE())</f>
        <v>#VALUE!</v>
      </c>
      <c r="AD30" s="264" t="e">
        <f aca="false">VLOOKUP(AB30,CE31:CJ136,3,FALSE())</f>
        <v>#VALUE!</v>
      </c>
      <c r="AE30" s="264" t="e">
        <f aca="false">VLOOKUP(AB30,CE31:CJ136,2,FALSE())</f>
        <v>#VALUE!</v>
      </c>
      <c r="AF30" s="264" t="e">
        <f aca="false">VLOOKUP(AB30,CE31:CJ136,4,FALSE())</f>
        <v>#VALUE!</v>
      </c>
      <c r="AG30" s="264" t="e">
        <f aca="false">VLOOKUP(AB30,CE31:CJ136,5,FALSE())</f>
        <v>#VALUE!</v>
      </c>
      <c r="AH30" s="264" t="e">
        <f aca="false">VLOOKUP(AB30,CE31:CJ136,6,FALSE())</f>
        <v>#VALUE!</v>
      </c>
      <c r="AI30" s="264" t="e">
        <f aca="false">VLOOKUP(AB30,CE31:CM136,8,FALSE())</f>
        <v>#VALUE!</v>
      </c>
      <c r="AJ30" s="266" t="e">
        <f aca="false">VLOOKUP(AB30,CE31:CM136,9,FALSE())</f>
        <v>#VALUE!</v>
      </c>
      <c r="AK30" s="264" t="e">
        <f aca="false">VLOOKUP(AB30,CE31:CN136,10,FALSE())</f>
        <v>#VALUE!</v>
      </c>
      <c r="AM30" s="322" t="e">
        <f aca="false">LongTerm1!D35</f>
        <v>#VALUE!</v>
      </c>
      <c r="AN30" s="323" t="e">
        <f aca="false">(LongTerm1!BM35+LongTerm1!BL35/(1-LongTerm1!AR35))*(LongTerm1!F35*LongTerm1!AF35*LongTerm1!AH35)/10000</f>
        <v>#VALUE!</v>
      </c>
      <c r="AO30" s="323" t="e">
        <f aca="false">LongTerm1!BM35*(LongTerm1!F35*LongTerm1!AF35*LongTerm1!AH35)/10000</f>
        <v>#VALUE!</v>
      </c>
      <c r="AP30" s="323" t="e">
        <f aca="false">(LongTerm1!BL35/(1-LongTerm1!AR35))*(LongTerm1!F35*LongTerm1!AF35*LongTerm1!AH35)/10000</f>
        <v>#VALUE!</v>
      </c>
      <c r="AQ30" s="324"/>
      <c r="AR30" s="319"/>
      <c r="AS30" s="319"/>
      <c r="AT30" s="319"/>
      <c r="AU30" s="324"/>
      <c r="AV30" s="319"/>
      <c r="AW30" s="319"/>
      <c r="AX30" s="319"/>
      <c r="AY30" s="319"/>
      <c r="AZ30" s="319"/>
      <c r="BA30" s="319"/>
      <c r="BB30" s="319"/>
      <c r="BC30" s="319"/>
      <c r="BD30" s="319"/>
      <c r="BE30" s="319"/>
      <c r="BF30" s="319"/>
      <c r="BG30" s="322" t="e">
        <f aca="false">LongTerm25!D35</f>
        <v>#VALUE!</v>
      </c>
      <c r="BH30" s="323" t="e">
        <f aca="false">(LongTerm25!BM35+LongTerm25!BL35/(1-LongTerm25!AR35))*(LongTerm25!F35*LongTerm25!AF35*LongTerm25!AH35)/10000</f>
        <v>#VALUE!</v>
      </c>
      <c r="BI30" s="323" t="e">
        <f aca="false">LongTerm25!BM35*(LongTerm25!F35*LongTerm25!AF35*LongTerm25!AH35)/10000</f>
        <v>#VALUE!</v>
      </c>
      <c r="BJ30" s="323" t="e">
        <f aca="false">(LongTerm25!BL35/(1-LongTerm25!AR35))*(LongTerm25!F35*LongTerm25!AF35*LongTerm25!AH35)/10000</f>
        <v>#VALUE!</v>
      </c>
      <c r="BK30" s="319"/>
      <c r="BL30" s="319"/>
      <c r="BM30" s="319"/>
      <c r="BN30" s="319"/>
      <c r="BP30" s="325" t="e">
        <f aca="false">LongTerm62!D35</f>
        <v>#VALUE!</v>
      </c>
      <c r="BQ30" s="323" t="e">
        <f aca="false">(LongTerm62!$BM35+LongTerm62!$BL35/(1-LongTerm62!$AR35))*(LongTerm62!$F35*LongTerm62!$AF35*LongTerm62!$AH35)/10000</f>
        <v>#VALUE!</v>
      </c>
      <c r="BR30" s="323" t="e">
        <f aca="false">LongTerm62!$BM35*(LongTerm62!$F35*LongTerm62!$AF35*LongTerm62!$AH35)/10000</f>
        <v>#VALUE!</v>
      </c>
      <c r="BS30" s="323" t="e">
        <f aca="false">(LongTerm62!$BL35/(1-LongTerm62!$AR35))*(LongTerm62!$F35*LongTerm62!$AF35*LongTerm62!$AH35)/10000</f>
        <v>#VALUE!</v>
      </c>
      <c r="BT30" s="265"/>
      <c r="BU30" s="325" t="e">
        <f aca="false">LongTerm107!D35</f>
        <v>#VALUE!</v>
      </c>
      <c r="BV30" s="323" t="e">
        <f aca="false">(LongTerm107!$BM35+LongTerm107!$BL35/(1-LongTerm107!$AR35))*(LongTerm107!$F35*LongTerm107!$AF35*LongTerm107!$AH35)/10000</f>
        <v>#VALUE!</v>
      </c>
      <c r="BW30" s="323" t="e">
        <f aca="false">LongTerm107!$BM35*(LongTerm107!$F35*LongTerm107!$AF35*LongTerm107!$AH35)/10000</f>
        <v>#VALUE!</v>
      </c>
      <c r="BX30" s="323" t="e">
        <f aca="false">(LongTerm107!$BL35/(1-LongTerm107!$AR35))*(LongTerm107!$F35*LongTerm107!$AF35*LongTerm107!$AH35)/10000</f>
        <v>#VALUE!</v>
      </c>
      <c r="BY30" s="326"/>
      <c r="BZ30" s="325" t="e">
        <f aca="false">LongTerm108!D35</f>
        <v>#VALUE!</v>
      </c>
      <c r="CA30" s="323" t="e">
        <f aca="false">(LongTerm108!$BM35+LongTerm108!$BL35/(1-LongTerm108!$AR35))*(LongTerm108!$F35*LongTerm108!$AF35*LongTerm108!$AH35)/10000</f>
        <v>#VALUE!</v>
      </c>
      <c r="CB30" s="323" t="e">
        <f aca="false">LongTerm108!$BM35*(LongTerm108!$F35*LongTerm108!$AF35*LongTerm108!$AH35)/10000</f>
        <v>#VALUE!</v>
      </c>
      <c r="CC30" s="323" t="e">
        <f aca="false">(LongTerm108!$BL35/(1-LongTerm108!$AR35))*(LongTerm108!$F35*LongTerm108!$AF35*LongTerm108!$AH35)/10000</f>
        <v>#VALUE!</v>
      </c>
      <c r="CD30" s="332"/>
      <c r="CE30" s="333" t="n">
        <f aca="false">EOMONTH(CE29,0)+15</f>
        <v>37422</v>
      </c>
      <c r="CF30" s="337" t="n">
        <v>27.6</v>
      </c>
      <c r="CG30" s="337" t="n">
        <v>120.4</v>
      </c>
      <c r="CH30" s="337" t="n">
        <v>-193.7</v>
      </c>
      <c r="CI30" s="337" t="n">
        <v>0</v>
      </c>
      <c r="CJ30" s="337" t="n">
        <v>0</v>
      </c>
      <c r="CK30" s="337" t="n">
        <v>0.5</v>
      </c>
      <c r="CL30" s="337" t="n">
        <v>0</v>
      </c>
      <c r="CM30" s="337" t="n">
        <v>0</v>
      </c>
      <c r="CN30" s="337" t="n">
        <v>41.5</v>
      </c>
    </row>
    <row r="31" customFormat="false" ht="12.75" hidden="false" customHeight="false" outlineLevel="0" collapsed="false">
      <c r="B31" s="320" t="e">
        <f aca="false">Q31</f>
        <v>#VALUE!</v>
      </c>
      <c r="C31" s="319" t="e">
        <f aca="false">YEAR(B31)</f>
        <v>#VALUE!</v>
      </c>
      <c r="D31" s="266" t="e">
        <f aca="false">R31+AC31</f>
        <v>#VALUE!</v>
      </c>
      <c r="E31" s="266" t="e">
        <f aca="false">S31+AD31</f>
        <v>#VALUE!</v>
      </c>
      <c r="F31" s="266" t="e">
        <f aca="false">+T31+AE31</f>
        <v>#VALUE!</v>
      </c>
      <c r="G31" s="266" t="e">
        <f aca="false">+U31+AF31</f>
        <v>#VALUE!</v>
      </c>
      <c r="H31" s="266" t="e">
        <f aca="false">V31+AG31</f>
        <v>#VALUE!</v>
      </c>
      <c r="I31" s="266" t="e">
        <f aca="false">W31+AH31</f>
        <v>#VALUE!</v>
      </c>
      <c r="J31" s="265"/>
      <c r="K31" s="265"/>
      <c r="L31" s="265"/>
      <c r="M31" s="266" t="e">
        <f aca="false">X31+AI31</f>
        <v>#VALUE!</v>
      </c>
      <c r="N31" s="264" t="e">
        <f aca="false">Y31+AJ31</f>
        <v>#VALUE!</v>
      </c>
      <c r="O31" s="264" t="e">
        <f aca="false">Z31+AK31</f>
        <v>#VALUE!</v>
      </c>
      <c r="Q31" s="320" t="e">
        <f aca="false">EOMONTH(Q30,0)+15</f>
        <v>#VALUE!</v>
      </c>
      <c r="R31" s="266" t="e">
        <f aca="false">SUMIF(AM:AM,$Q31,AN:AN)+SUMIF(AQ:AQ,$Q31,AR:AR)+SUMIF(AU:AU,$Q31,AV:AV)+SUMIF(BU:BU,$Q31,BV:BV)+SUMIF(BZ:BZ,$Q31,CA:CA)+SUMIF(BG:BG,$Q31,BH:BH)+SUMIF(BK:BK,$Q31,BL:BL)+SUMIF(BP:BP,$Q31,BQ:BQ)</f>
        <v>#VALUE!</v>
      </c>
      <c r="S31" s="264" t="e">
        <f aca="false">SUMIF(AM:AM,$Q31,AP:AP)+SUMIF(BU:BU,$Q31,BW:BW)+SUMIF(BZ:BZ,$Q31,CB:CB)</f>
        <v>#VALUE!</v>
      </c>
      <c r="T31" s="264" t="e">
        <f aca="false">SUMIF(AQ:AQ,$Q31,AT:AT)+SUMIF(BG:BG,$Q31,BJ:BJ)+SUMIF(BK:BK,$Q31,BN:BN)</f>
        <v>#VALUE!</v>
      </c>
      <c r="U31" s="264" t="e">
        <f aca="false">SUMIF(AM:AM,$Q31,AO:AO)+SUMIF(AQ:AQ,$Q31,AS:AS)+SUMIF(BG:BG,$Q31,BI:BI)+SUMIF(BK:BK,$Q31,BM:BM)</f>
        <v>#VALUE!</v>
      </c>
      <c r="V31" s="264" t="e">
        <f aca="false">SUMIF(AU:AU,$Q31,AW:AW)</f>
        <v>#VALUE!</v>
      </c>
      <c r="W31" s="264" t="e">
        <f aca="false">SUMIF(AU:AU,$Q31,AX:AX)</f>
        <v>#VALUE!</v>
      </c>
      <c r="X31" s="264" t="e">
        <f aca="false">SUMIF(BP:BP,$Q31,BR:BR)</f>
        <v>#VALUE!</v>
      </c>
      <c r="Y31" s="266" t="e">
        <f aca="false">SUMIF(BP:BP,$Q31,BS:BS)</f>
        <v>#VALUE!</v>
      </c>
      <c r="Z31" s="264" t="e">
        <f aca="false">SUMIF(BU:BU,$Q31,BX:BX)+SUMIF(BZ:BZ,$Q31,CC:CC)</f>
        <v>#VALUE!</v>
      </c>
      <c r="AA31" s="265"/>
      <c r="AB31" s="320" t="e">
        <f aca="false">Q31</f>
        <v>#VALUE!</v>
      </c>
      <c r="AC31" s="321" t="e">
        <f aca="false">VLOOKUP(AB31,CE32:CK137,7,FALSE())</f>
        <v>#VALUE!</v>
      </c>
      <c r="AD31" s="264" t="e">
        <f aca="false">VLOOKUP(AB31,CE32:CJ137,3,FALSE())</f>
        <v>#VALUE!</v>
      </c>
      <c r="AE31" s="264" t="e">
        <f aca="false">VLOOKUP(AB31,CE32:CJ137,2,FALSE())</f>
        <v>#VALUE!</v>
      </c>
      <c r="AF31" s="264" t="e">
        <f aca="false">VLOOKUP(AB31,CE32:CJ137,4,FALSE())</f>
        <v>#VALUE!</v>
      </c>
      <c r="AG31" s="264" t="e">
        <f aca="false">VLOOKUP(AB31,CE32:CJ137,5,FALSE())</f>
        <v>#VALUE!</v>
      </c>
      <c r="AH31" s="264" t="e">
        <f aca="false">VLOOKUP(AB31,CE32:CJ137,6,FALSE())</f>
        <v>#VALUE!</v>
      </c>
      <c r="AI31" s="264" t="e">
        <f aca="false">VLOOKUP(AB31,CE32:CM137,8,FALSE())</f>
        <v>#VALUE!</v>
      </c>
      <c r="AJ31" s="266" t="e">
        <f aca="false">VLOOKUP(AB31,CE32:CM137,9,FALSE())</f>
        <v>#VALUE!</v>
      </c>
      <c r="AK31" s="264" t="e">
        <f aca="false">VLOOKUP(AB31,CE32:CN137,10,FALSE())</f>
        <v>#VALUE!</v>
      </c>
      <c r="AM31" s="322" t="e">
        <f aca="false">LongTerm1!D36</f>
        <v>#VALUE!</v>
      </c>
      <c r="AN31" s="323" t="e">
        <f aca="false">(LongTerm1!BM36+LongTerm1!BL36/(1-LongTerm1!AR36))*(LongTerm1!F36*LongTerm1!AF36*LongTerm1!AH36)/10000</f>
        <v>#VALUE!</v>
      </c>
      <c r="AO31" s="323" t="e">
        <f aca="false">LongTerm1!BM36*(LongTerm1!F36*LongTerm1!AF36*LongTerm1!AH36)/10000</f>
        <v>#VALUE!</v>
      </c>
      <c r="AP31" s="323" t="e">
        <f aca="false">(LongTerm1!BL36/(1-LongTerm1!AR36))*(LongTerm1!F36*LongTerm1!AF36*LongTerm1!AH36)/10000</f>
        <v>#VALUE!</v>
      </c>
      <c r="AQ31" s="324"/>
      <c r="AR31" s="319"/>
      <c r="AS31" s="319"/>
      <c r="AT31" s="319"/>
      <c r="AU31" s="324"/>
      <c r="AV31" s="319"/>
      <c r="AW31" s="319"/>
      <c r="AX31" s="319"/>
      <c r="AY31" s="319"/>
      <c r="AZ31" s="319"/>
      <c r="BA31" s="319"/>
      <c r="BB31" s="319"/>
      <c r="BC31" s="319"/>
      <c r="BD31" s="319"/>
      <c r="BE31" s="319"/>
      <c r="BF31" s="319"/>
      <c r="BG31" s="322" t="e">
        <f aca="false">LongTerm25!D36</f>
        <v>#VALUE!</v>
      </c>
      <c r="BH31" s="323" t="e">
        <f aca="false">(LongTerm25!BM36+LongTerm25!BL36/(1-LongTerm25!AR36))*(LongTerm25!F36*LongTerm25!AF36*LongTerm25!AH36)/10000</f>
        <v>#VALUE!</v>
      </c>
      <c r="BI31" s="323" t="e">
        <f aca="false">LongTerm25!BM36*(LongTerm25!F36*LongTerm25!AF36*LongTerm25!AH36)/10000</f>
        <v>#VALUE!</v>
      </c>
      <c r="BJ31" s="323" t="e">
        <f aca="false">(LongTerm25!BL36/(1-LongTerm25!AR36))*(LongTerm25!F36*LongTerm25!AF36*LongTerm25!AH36)/10000</f>
        <v>#VALUE!</v>
      </c>
      <c r="BK31" s="319"/>
      <c r="BL31" s="319"/>
      <c r="BM31" s="319"/>
      <c r="BN31" s="319"/>
      <c r="BP31" s="325" t="e">
        <f aca="false">LongTerm62!D36</f>
        <v>#VALUE!</v>
      </c>
      <c r="BQ31" s="323" t="e">
        <f aca="false">(LongTerm62!$BM36+LongTerm62!$BL36/(1-LongTerm62!$AR36))*(LongTerm62!$F36*LongTerm62!$AF36*LongTerm62!$AH36)/10000</f>
        <v>#VALUE!</v>
      </c>
      <c r="BR31" s="323" t="e">
        <f aca="false">LongTerm62!$BM36*(LongTerm62!$F36*LongTerm62!$AF36*LongTerm62!$AH36)/10000</f>
        <v>#VALUE!</v>
      </c>
      <c r="BS31" s="323" t="e">
        <f aca="false">(LongTerm62!$BL36/(1-LongTerm62!$AR36))*(LongTerm62!$F36*LongTerm62!$AF36*LongTerm62!$AH36)/10000</f>
        <v>#VALUE!</v>
      </c>
      <c r="BT31" s="265"/>
      <c r="BU31" s="325" t="e">
        <f aca="false">LongTerm107!D36</f>
        <v>#VALUE!</v>
      </c>
      <c r="BV31" s="323" t="e">
        <f aca="false">(LongTerm107!$BM36+LongTerm107!$BL36/(1-LongTerm107!$AR36))*(LongTerm107!$F36*LongTerm107!$AF36*LongTerm107!$AH36)/10000</f>
        <v>#VALUE!</v>
      </c>
      <c r="BW31" s="323" t="e">
        <f aca="false">LongTerm107!$BM36*(LongTerm107!$F36*LongTerm107!$AF36*LongTerm107!$AH36)/10000</f>
        <v>#VALUE!</v>
      </c>
      <c r="BX31" s="323" t="e">
        <f aca="false">(LongTerm107!$BL36/(1-LongTerm107!$AR36))*(LongTerm107!$F36*LongTerm107!$AF36*LongTerm107!$AH36)/10000</f>
        <v>#VALUE!</v>
      </c>
      <c r="BY31" s="326"/>
      <c r="BZ31" s="325" t="e">
        <f aca="false">LongTerm108!D36</f>
        <v>#VALUE!</v>
      </c>
      <c r="CA31" s="323" t="e">
        <f aca="false">(LongTerm108!$BM36+LongTerm108!$BL36/(1-LongTerm108!$AR36))*(LongTerm108!$F36*LongTerm108!$AF36*LongTerm108!$AH36)/10000</f>
        <v>#VALUE!</v>
      </c>
      <c r="CB31" s="323" t="e">
        <f aca="false">LongTerm108!$BM36*(LongTerm108!$F36*LongTerm108!$AF36*LongTerm108!$AH36)/10000</f>
        <v>#VALUE!</v>
      </c>
      <c r="CC31" s="323" t="e">
        <f aca="false">(LongTerm108!$BL36/(1-LongTerm108!$AR36))*(LongTerm108!$F36*LongTerm108!$AF36*LongTerm108!$AH36)/10000</f>
        <v>#VALUE!</v>
      </c>
      <c r="CD31" s="332"/>
      <c r="CE31" s="333" t="n">
        <f aca="false">EOMONTH(CE30,0)+15</f>
        <v>37452</v>
      </c>
      <c r="CF31" s="337" t="n">
        <v>28.9</v>
      </c>
      <c r="CG31" s="337" t="n">
        <v>121.2</v>
      </c>
      <c r="CH31" s="337" t="n">
        <v>-196.7</v>
      </c>
      <c r="CI31" s="337" t="n">
        <v>0</v>
      </c>
      <c r="CJ31" s="337" t="n">
        <v>0</v>
      </c>
      <c r="CK31" s="337" t="n">
        <v>0.4</v>
      </c>
      <c r="CL31" s="337" t="n">
        <v>0</v>
      </c>
      <c r="CM31" s="337" t="n">
        <v>0</v>
      </c>
      <c r="CN31" s="337" t="n">
        <v>41.4</v>
      </c>
    </row>
    <row r="32" customFormat="false" ht="12.75" hidden="false" customHeight="false" outlineLevel="0" collapsed="false">
      <c r="B32" s="320" t="e">
        <f aca="false">Q32</f>
        <v>#VALUE!</v>
      </c>
      <c r="C32" s="319" t="e">
        <f aca="false">YEAR(B32)</f>
        <v>#VALUE!</v>
      </c>
      <c r="D32" s="266" t="e">
        <f aca="false">R32+AC32</f>
        <v>#VALUE!</v>
      </c>
      <c r="E32" s="266" t="e">
        <f aca="false">S32+AD32</f>
        <v>#VALUE!</v>
      </c>
      <c r="F32" s="266" t="e">
        <f aca="false">+T32+AE32</f>
        <v>#VALUE!</v>
      </c>
      <c r="G32" s="266" t="e">
        <f aca="false">+U32+AF32</f>
        <v>#VALUE!</v>
      </c>
      <c r="H32" s="266" t="e">
        <f aca="false">V32+AG32</f>
        <v>#VALUE!</v>
      </c>
      <c r="I32" s="266" t="e">
        <f aca="false">W32+AH32</f>
        <v>#VALUE!</v>
      </c>
      <c r="J32" s="265"/>
      <c r="K32" s="265"/>
      <c r="L32" s="265"/>
      <c r="M32" s="266" t="e">
        <f aca="false">X32+AI32</f>
        <v>#VALUE!</v>
      </c>
      <c r="N32" s="264" t="e">
        <f aca="false">Y32+AJ32</f>
        <v>#VALUE!</v>
      </c>
      <c r="O32" s="264" t="e">
        <f aca="false">Z32+AK32</f>
        <v>#VALUE!</v>
      </c>
      <c r="Q32" s="320" t="e">
        <f aca="false">EOMONTH(Q31,0)+15</f>
        <v>#VALUE!</v>
      </c>
      <c r="R32" s="266" t="e">
        <f aca="false">SUMIF(AM:AM,$Q32,AN:AN)+SUMIF(AQ:AQ,$Q32,AR:AR)+SUMIF(AU:AU,$Q32,AV:AV)+SUMIF(BU:BU,$Q32,BV:BV)+SUMIF(BZ:BZ,$Q32,CA:CA)+SUMIF(BG:BG,$Q32,BH:BH)+SUMIF(BK:BK,$Q32,BL:BL)+SUMIF(BP:BP,$Q32,BQ:BQ)</f>
        <v>#VALUE!</v>
      </c>
      <c r="S32" s="264" t="e">
        <f aca="false">SUMIF(AM:AM,$Q32,AP:AP)+SUMIF(BU:BU,$Q32,BW:BW)+SUMIF(BZ:BZ,$Q32,CB:CB)</f>
        <v>#VALUE!</v>
      </c>
      <c r="T32" s="264" t="e">
        <f aca="false">SUMIF(AQ:AQ,$Q32,AT:AT)+SUMIF(BG:BG,$Q32,BJ:BJ)+SUMIF(BK:BK,$Q32,BN:BN)</f>
        <v>#VALUE!</v>
      </c>
      <c r="U32" s="264" t="e">
        <f aca="false">SUMIF(AM:AM,$Q32,AO:AO)+SUMIF(AQ:AQ,$Q32,AS:AS)+SUMIF(BG:BG,$Q32,BI:BI)+SUMIF(BK:BK,$Q32,BM:BM)</f>
        <v>#VALUE!</v>
      </c>
      <c r="V32" s="264" t="e">
        <f aca="false">SUMIF(AU:AU,$Q32,AW:AW)</f>
        <v>#VALUE!</v>
      </c>
      <c r="W32" s="264" t="e">
        <f aca="false">SUMIF(AU:AU,$Q32,AX:AX)</f>
        <v>#VALUE!</v>
      </c>
      <c r="X32" s="264" t="e">
        <f aca="false">SUMIF(BP:BP,$Q32,BR:BR)</f>
        <v>#VALUE!</v>
      </c>
      <c r="Y32" s="266" t="e">
        <f aca="false">SUMIF(BP:BP,$Q32,BS:BS)</f>
        <v>#VALUE!</v>
      </c>
      <c r="Z32" s="264" t="e">
        <f aca="false">SUMIF(BU:BU,$Q32,BX:BX)+SUMIF(BZ:BZ,$Q32,CC:CC)</f>
        <v>#VALUE!</v>
      </c>
      <c r="AB32" s="320" t="e">
        <f aca="false">Q32</f>
        <v>#VALUE!</v>
      </c>
      <c r="AC32" s="321" t="e">
        <f aca="false">VLOOKUP(AB32,CE33:CK138,7,FALSE())</f>
        <v>#VALUE!</v>
      </c>
      <c r="AD32" s="264" t="e">
        <f aca="false">VLOOKUP(AB32,CE33:CJ138,3,FALSE())</f>
        <v>#VALUE!</v>
      </c>
      <c r="AE32" s="264" t="e">
        <f aca="false">VLOOKUP(AB32,CE33:CJ138,2,FALSE())</f>
        <v>#VALUE!</v>
      </c>
      <c r="AF32" s="264" t="e">
        <f aca="false">VLOOKUP(AB32,CE33:CJ138,4,FALSE())</f>
        <v>#VALUE!</v>
      </c>
      <c r="AG32" s="264" t="e">
        <f aca="false">VLOOKUP(AB32,CE33:CJ138,5,FALSE())</f>
        <v>#VALUE!</v>
      </c>
      <c r="AH32" s="264" t="e">
        <f aca="false">VLOOKUP(AB32,CE33:CJ138,6,FALSE())</f>
        <v>#VALUE!</v>
      </c>
      <c r="AI32" s="264" t="e">
        <f aca="false">VLOOKUP(AB32,CE33:CM138,8,FALSE())</f>
        <v>#VALUE!</v>
      </c>
      <c r="AJ32" s="266" t="e">
        <f aca="false">VLOOKUP(AB32,CE33:CM138,9,FALSE())</f>
        <v>#VALUE!</v>
      </c>
      <c r="AK32" s="264" t="e">
        <f aca="false">VLOOKUP(AB32,CE33:CN138,10,FALSE())</f>
        <v>#VALUE!</v>
      </c>
      <c r="AM32" s="322" t="e">
        <f aca="false">LongTerm1!D37</f>
        <v>#VALUE!</v>
      </c>
      <c r="AN32" s="323" t="e">
        <f aca="false">(LongTerm1!BM37+LongTerm1!BL37/(1-LongTerm1!AR37))*(LongTerm1!F37*LongTerm1!AF37*LongTerm1!AH37)/10000</f>
        <v>#VALUE!</v>
      </c>
      <c r="AO32" s="323" t="e">
        <f aca="false">LongTerm1!BM37*(LongTerm1!F37*LongTerm1!AF37*LongTerm1!AH37)/10000</f>
        <v>#VALUE!</v>
      </c>
      <c r="AP32" s="323" t="e">
        <f aca="false">(LongTerm1!BL37/(1-LongTerm1!AR37))*(LongTerm1!F37*LongTerm1!AF37*LongTerm1!AH37)/10000</f>
        <v>#VALUE!</v>
      </c>
      <c r="AQ32" s="324"/>
      <c r="AR32" s="319"/>
      <c r="AS32" s="319"/>
      <c r="AT32" s="319"/>
      <c r="AU32" s="324"/>
      <c r="AV32" s="319"/>
      <c r="AW32" s="319"/>
      <c r="AX32" s="319"/>
      <c r="AY32" s="319"/>
      <c r="AZ32" s="319"/>
      <c r="BA32" s="319"/>
      <c r="BB32" s="319"/>
      <c r="BC32" s="319"/>
      <c r="BD32" s="319"/>
      <c r="BE32" s="319"/>
      <c r="BF32" s="319"/>
      <c r="BG32" s="322" t="e">
        <f aca="false">LongTerm25!D37</f>
        <v>#VALUE!</v>
      </c>
      <c r="BH32" s="323" t="e">
        <f aca="false">(LongTerm25!BM37+LongTerm25!BL37/(1-LongTerm25!AR37))*(LongTerm25!F37*LongTerm25!AF37*LongTerm25!AH37)/10000</f>
        <v>#VALUE!</v>
      </c>
      <c r="BI32" s="323" t="e">
        <f aca="false">LongTerm25!BM37*(LongTerm25!F37*LongTerm25!AF37*LongTerm25!AH37)/10000</f>
        <v>#VALUE!</v>
      </c>
      <c r="BJ32" s="323" t="e">
        <f aca="false">(LongTerm25!BL37/(1-LongTerm25!AR37))*(LongTerm25!F37*LongTerm25!AF37*LongTerm25!AH37)/10000</f>
        <v>#VALUE!</v>
      </c>
      <c r="BK32" s="319"/>
      <c r="BL32" s="319"/>
      <c r="BM32" s="319"/>
      <c r="BN32" s="319"/>
      <c r="BP32" s="325" t="e">
        <f aca="false">LongTerm62!D37</f>
        <v>#VALUE!</v>
      </c>
      <c r="BQ32" s="323" t="e">
        <f aca="false">(LongTerm62!$BM37+LongTerm62!$BL37/(1-LongTerm62!$AR37))*(LongTerm62!$F37*LongTerm62!$AF37*LongTerm62!$AH37)/10000</f>
        <v>#VALUE!</v>
      </c>
      <c r="BR32" s="323" t="e">
        <f aca="false">LongTerm62!$BM37*(LongTerm62!$F37*LongTerm62!$AF37*LongTerm62!$AH37)/10000</f>
        <v>#VALUE!</v>
      </c>
      <c r="BS32" s="323" t="e">
        <f aca="false">(LongTerm62!$BL37/(1-LongTerm62!$AR37))*(LongTerm62!$F37*LongTerm62!$AF37*LongTerm62!$AH37)/10000</f>
        <v>#VALUE!</v>
      </c>
      <c r="BT32" s="265"/>
      <c r="BU32" s="325" t="e">
        <f aca="false">LongTerm107!D37</f>
        <v>#VALUE!</v>
      </c>
      <c r="BV32" s="323" t="e">
        <f aca="false">(LongTerm107!$BM37+LongTerm107!$BL37/(1-LongTerm107!$AR37))*(LongTerm107!$F37*LongTerm107!$AF37*LongTerm107!$AH37)/10000</f>
        <v>#VALUE!</v>
      </c>
      <c r="BW32" s="323" t="e">
        <f aca="false">LongTerm107!$BM37*(LongTerm107!$F37*LongTerm107!$AF37*LongTerm107!$AH37)/10000</f>
        <v>#VALUE!</v>
      </c>
      <c r="BX32" s="323" t="e">
        <f aca="false">(LongTerm107!$BL37/(1-LongTerm107!$AR37))*(LongTerm107!$F37*LongTerm107!$AF37*LongTerm107!$AH37)/10000</f>
        <v>#VALUE!</v>
      </c>
      <c r="BY32" s="326"/>
      <c r="BZ32" s="325" t="e">
        <f aca="false">LongTerm108!D37</f>
        <v>#VALUE!</v>
      </c>
      <c r="CA32" s="323" t="e">
        <f aca="false">(LongTerm108!$BM37+LongTerm108!$BL37/(1-LongTerm108!$AR37))*(LongTerm108!$F37*LongTerm108!$AF37*LongTerm108!$AH37)/10000</f>
        <v>#VALUE!</v>
      </c>
      <c r="CB32" s="323" t="e">
        <f aca="false">LongTerm108!$BM37*(LongTerm108!$F37*LongTerm108!$AF37*LongTerm108!$AH37)/10000</f>
        <v>#VALUE!</v>
      </c>
      <c r="CC32" s="323" t="e">
        <f aca="false">(LongTerm108!$BL37/(1-LongTerm108!$AR37))*(LongTerm108!$F37*LongTerm108!$AF37*LongTerm108!$AH37)/10000</f>
        <v>#VALUE!</v>
      </c>
      <c r="CD32" s="332"/>
      <c r="CE32" s="333" t="n">
        <f aca="false">EOMONTH(CE31,0)+15</f>
        <v>37483</v>
      </c>
      <c r="CF32" s="337" t="n">
        <v>28.6</v>
      </c>
      <c r="CG32" s="337" t="n">
        <v>118</v>
      </c>
      <c r="CH32" s="337" t="n">
        <v>-192.1</v>
      </c>
      <c r="CI32" s="337" t="n">
        <v>0</v>
      </c>
      <c r="CJ32" s="337" t="n">
        <v>0</v>
      </c>
      <c r="CK32" s="337" t="n">
        <v>0.4</v>
      </c>
      <c r="CL32" s="337" t="n">
        <v>0</v>
      </c>
      <c r="CM32" s="337" t="n">
        <v>0</v>
      </c>
      <c r="CN32" s="337" t="n">
        <v>40.3</v>
      </c>
    </row>
    <row r="33" customFormat="false" ht="12.75" hidden="false" customHeight="false" outlineLevel="0" collapsed="false">
      <c r="B33" s="320" t="e">
        <f aca="false">Q33</f>
        <v>#VALUE!</v>
      </c>
      <c r="C33" s="319" t="e">
        <f aca="false">YEAR(B33)</f>
        <v>#VALUE!</v>
      </c>
      <c r="D33" s="266" t="e">
        <f aca="false">R33+AC33</f>
        <v>#VALUE!</v>
      </c>
      <c r="E33" s="266" t="e">
        <f aca="false">S33+AD33</f>
        <v>#VALUE!</v>
      </c>
      <c r="F33" s="266" t="e">
        <f aca="false">+T33+AE33</f>
        <v>#VALUE!</v>
      </c>
      <c r="G33" s="266" t="e">
        <f aca="false">+U33+AF33</f>
        <v>#VALUE!</v>
      </c>
      <c r="H33" s="266" t="e">
        <f aca="false">V33+AG33</f>
        <v>#VALUE!</v>
      </c>
      <c r="I33" s="266" t="e">
        <f aca="false">W33+AH33</f>
        <v>#VALUE!</v>
      </c>
      <c r="J33" s="265"/>
      <c r="K33" s="265"/>
      <c r="L33" s="265"/>
      <c r="M33" s="266" t="e">
        <f aca="false">X33+AI33</f>
        <v>#VALUE!</v>
      </c>
      <c r="N33" s="264" t="e">
        <f aca="false">Y33+AJ33</f>
        <v>#VALUE!</v>
      </c>
      <c r="O33" s="264" t="e">
        <f aca="false">Z33+AK33</f>
        <v>#VALUE!</v>
      </c>
      <c r="Q33" s="320" t="e">
        <f aca="false">EOMONTH(Q32,0)+15</f>
        <v>#VALUE!</v>
      </c>
      <c r="R33" s="266" t="e">
        <f aca="false">SUMIF(AM:AM,$Q33,AN:AN)+SUMIF(AQ:AQ,$Q33,AR:AR)+SUMIF(AU:AU,$Q33,AV:AV)+SUMIF(BU:BU,$Q33,BV:BV)+SUMIF(BZ:BZ,$Q33,CA:CA)+SUMIF(BG:BG,$Q33,BH:BH)+SUMIF(BK:BK,$Q33,BL:BL)+SUMIF(BP:BP,$Q33,BQ:BQ)</f>
        <v>#VALUE!</v>
      </c>
      <c r="S33" s="264" t="e">
        <f aca="false">SUMIF(AM:AM,$Q33,AP:AP)+SUMIF(BU:BU,$Q33,BW:BW)+SUMIF(BZ:BZ,$Q33,CB:CB)</f>
        <v>#VALUE!</v>
      </c>
      <c r="T33" s="264" t="e">
        <f aca="false">SUMIF(AQ:AQ,$Q33,AT:AT)+SUMIF(BG:BG,$Q33,BJ:BJ)+SUMIF(BK:BK,$Q33,BN:BN)</f>
        <v>#VALUE!</v>
      </c>
      <c r="U33" s="264" t="e">
        <f aca="false">SUMIF(AM:AM,$Q33,AO:AO)+SUMIF(AQ:AQ,$Q33,AS:AS)+SUMIF(BG:BG,$Q33,BI:BI)+SUMIF(BK:BK,$Q33,BM:BM)</f>
        <v>#VALUE!</v>
      </c>
      <c r="V33" s="264" t="e">
        <f aca="false">SUMIF(AU:AU,$Q33,AW:AW)</f>
        <v>#VALUE!</v>
      </c>
      <c r="W33" s="264" t="e">
        <f aca="false">SUMIF(AU:AU,$Q33,AX:AX)</f>
        <v>#VALUE!</v>
      </c>
      <c r="X33" s="264" t="e">
        <f aca="false">SUMIF(BP:BP,$Q33,BR:BR)</f>
        <v>#VALUE!</v>
      </c>
      <c r="Y33" s="266" t="e">
        <f aca="false">SUMIF(BP:BP,$Q33,BS:BS)</f>
        <v>#VALUE!</v>
      </c>
      <c r="Z33" s="264" t="e">
        <f aca="false">SUMIF(BU:BU,$Q33,BX:BX)+SUMIF(BZ:BZ,$Q33,CC:CC)</f>
        <v>#VALUE!</v>
      </c>
      <c r="AB33" s="320" t="e">
        <f aca="false">Q33</f>
        <v>#VALUE!</v>
      </c>
      <c r="AC33" s="321" t="e">
        <f aca="false">VLOOKUP(AB33,CE34:CK139,7,FALSE())</f>
        <v>#VALUE!</v>
      </c>
      <c r="AD33" s="264" t="e">
        <f aca="false">VLOOKUP(AB33,CE34:CJ139,3,FALSE())</f>
        <v>#VALUE!</v>
      </c>
      <c r="AE33" s="264" t="e">
        <f aca="false">VLOOKUP(AB33,CE34:CJ139,2,FALSE())</f>
        <v>#VALUE!</v>
      </c>
      <c r="AF33" s="264" t="e">
        <f aca="false">VLOOKUP(AB33,CE34:CJ139,4,FALSE())</f>
        <v>#VALUE!</v>
      </c>
      <c r="AG33" s="264" t="e">
        <f aca="false">VLOOKUP(AB33,CE34:CJ139,5,FALSE())</f>
        <v>#VALUE!</v>
      </c>
      <c r="AH33" s="264" t="e">
        <f aca="false">VLOOKUP(AB33,CE34:CJ139,6,FALSE())</f>
        <v>#VALUE!</v>
      </c>
      <c r="AI33" s="264" t="e">
        <f aca="false">VLOOKUP(AB33,CE34:CM139,8,FALSE())</f>
        <v>#VALUE!</v>
      </c>
      <c r="AJ33" s="266" t="e">
        <f aca="false">VLOOKUP(AB33,CE34:CM139,9,FALSE())</f>
        <v>#VALUE!</v>
      </c>
      <c r="AK33" s="264" t="e">
        <f aca="false">VLOOKUP(AB33,CE34:CN139,10,FALSE())</f>
        <v>#VALUE!</v>
      </c>
      <c r="AM33" s="322" t="e">
        <f aca="false">LongTerm1!D38</f>
        <v>#VALUE!</v>
      </c>
      <c r="AN33" s="323" t="e">
        <f aca="false">(LongTerm1!BM38+LongTerm1!BL38/(1-LongTerm1!AR38))*(LongTerm1!F38*LongTerm1!AF38*LongTerm1!AH38)/10000</f>
        <v>#VALUE!</v>
      </c>
      <c r="AO33" s="323" t="e">
        <f aca="false">LongTerm1!BM38*(LongTerm1!F38*LongTerm1!AF38*LongTerm1!AH38)/10000</f>
        <v>#VALUE!</v>
      </c>
      <c r="AP33" s="323" t="e">
        <f aca="false">(LongTerm1!BL38/(1-LongTerm1!AR38))*(LongTerm1!F38*LongTerm1!AF38*LongTerm1!AH38)/10000</f>
        <v>#VALUE!</v>
      </c>
      <c r="AQ33" s="324"/>
      <c r="AR33" s="319"/>
      <c r="AS33" s="319"/>
      <c r="AT33" s="319"/>
      <c r="AU33" s="319"/>
      <c r="AV33" s="319"/>
      <c r="AW33" s="319"/>
      <c r="AX33" s="319"/>
      <c r="AY33" s="319"/>
      <c r="AZ33" s="319"/>
      <c r="BA33" s="319"/>
      <c r="BB33" s="319"/>
      <c r="BC33" s="319"/>
      <c r="BD33" s="319"/>
      <c r="BE33" s="319"/>
      <c r="BF33" s="319"/>
      <c r="BG33" s="322" t="e">
        <f aca="false">LongTerm25!D38</f>
        <v>#VALUE!</v>
      </c>
      <c r="BH33" s="323" t="e">
        <f aca="false">(LongTerm25!BM38+LongTerm25!BL38/(1-LongTerm25!AR38))*(LongTerm25!F38*LongTerm25!AF38*LongTerm25!AH38)/10000</f>
        <v>#VALUE!</v>
      </c>
      <c r="BI33" s="323" t="e">
        <f aca="false">LongTerm25!BM38*(LongTerm25!F38*LongTerm25!AF38*LongTerm25!AH38)/10000</f>
        <v>#VALUE!</v>
      </c>
      <c r="BJ33" s="323" t="e">
        <f aca="false">(LongTerm25!BL38/(1-LongTerm25!AR38))*(LongTerm25!F38*LongTerm25!AF38*LongTerm25!AH38)/10000</f>
        <v>#VALUE!</v>
      </c>
      <c r="BK33" s="319"/>
      <c r="BL33" s="319"/>
      <c r="BM33" s="319"/>
      <c r="BN33" s="319"/>
      <c r="BP33" s="325" t="e">
        <f aca="false">LongTerm62!D38</f>
        <v>#VALUE!</v>
      </c>
      <c r="BQ33" s="323" t="e">
        <f aca="false">(LongTerm62!$BM38+LongTerm62!$BL38/(1-LongTerm62!$AR38))*(LongTerm62!$F38*LongTerm62!$AF38*LongTerm62!$AH38)/10000</f>
        <v>#VALUE!</v>
      </c>
      <c r="BR33" s="323" t="e">
        <f aca="false">LongTerm62!$BM38*(LongTerm62!$F38*LongTerm62!$AF38*LongTerm62!$AH38)/10000</f>
        <v>#VALUE!</v>
      </c>
      <c r="BS33" s="323" t="e">
        <f aca="false">(LongTerm62!$BL38/(1-LongTerm62!$AR38))*(LongTerm62!$F38*LongTerm62!$AF38*LongTerm62!$AH38)/10000</f>
        <v>#VALUE!</v>
      </c>
      <c r="BT33" s="265"/>
      <c r="BU33" s="325" t="e">
        <f aca="false">LongTerm107!D38</f>
        <v>#VALUE!</v>
      </c>
      <c r="BV33" s="323" t="e">
        <f aca="false">(LongTerm107!$BM38+LongTerm107!$BL38/(1-LongTerm107!$AR38))*(LongTerm107!$F38*LongTerm107!$AF38*LongTerm107!$AH38)/10000</f>
        <v>#VALUE!</v>
      </c>
      <c r="BW33" s="323" t="e">
        <f aca="false">LongTerm107!$BM38*(LongTerm107!$F38*LongTerm107!$AF38*LongTerm107!$AH38)/10000</f>
        <v>#VALUE!</v>
      </c>
      <c r="BX33" s="323" t="e">
        <f aca="false">(LongTerm107!$BL38/(1-LongTerm107!$AR38))*(LongTerm107!$F38*LongTerm107!$AF38*LongTerm107!$AH38)/10000</f>
        <v>#VALUE!</v>
      </c>
      <c r="BY33" s="326"/>
      <c r="BZ33" s="325" t="e">
        <f aca="false">LongTerm108!D38</f>
        <v>#VALUE!</v>
      </c>
      <c r="CA33" s="323" t="e">
        <f aca="false">(LongTerm108!$BM38+LongTerm108!$BL38/(1-LongTerm108!$AR38))*(LongTerm108!$F38*LongTerm108!$AF38*LongTerm108!$AH38)/10000</f>
        <v>#VALUE!</v>
      </c>
      <c r="CB33" s="323" t="e">
        <f aca="false">LongTerm108!$BM38*(LongTerm108!$F38*LongTerm108!$AF38*LongTerm108!$AH38)/10000</f>
        <v>#VALUE!</v>
      </c>
      <c r="CC33" s="323" t="e">
        <f aca="false">(LongTerm108!$BL38/(1-LongTerm108!$AR38))*(LongTerm108!$F38*LongTerm108!$AF38*LongTerm108!$AH38)/10000</f>
        <v>#VALUE!</v>
      </c>
      <c r="CD33" s="332"/>
      <c r="CE33" s="333" t="n">
        <f aca="false">EOMONTH(CE32,0)+15</f>
        <v>37514</v>
      </c>
      <c r="CF33" s="337" t="n">
        <v>27.7</v>
      </c>
      <c r="CG33" s="337" t="n">
        <v>114.8</v>
      </c>
      <c r="CH33" s="337" t="n">
        <v>-186</v>
      </c>
      <c r="CI33" s="337" t="n">
        <v>0</v>
      </c>
      <c r="CJ33" s="337" t="n">
        <v>0</v>
      </c>
      <c r="CK33" s="337" t="n">
        <v>0.5</v>
      </c>
      <c r="CL33" s="337" t="n">
        <v>0</v>
      </c>
      <c r="CM33" s="337" t="n">
        <v>0</v>
      </c>
      <c r="CN33" s="337" t="n">
        <v>39.2</v>
      </c>
    </row>
    <row r="34" customFormat="false" ht="12.75" hidden="false" customHeight="false" outlineLevel="0" collapsed="false">
      <c r="B34" s="320" t="e">
        <f aca="false">Q34</f>
        <v>#VALUE!</v>
      </c>
      <c r="C34" s="319" t="e">
        <f aca="false">YEAR(B34)</f>
        <v>#VALUE!</v>
      </c>
      <c r="D34" s="266" t="e">
        <f aca="false">R34+AC34</f>
        <v>#VALUE!</v>
      </c>
      <c r="E34" s="266" t="e">
        <f aca="false">S34+AD34</f>
        <v>#VALUE!</v>
      </c>
      <c r="F34" s="266" t="e">
        <f aca="false">+T34+AE34</f>
        <v>#VALUE!</v>
      </c>
      <c r="G34" s="266" t="e">
        <f aca="false">+U34+AF34</f>
        <v>#VALUE!</v>
      </c>
      <c r="H34" s="266" t="e">
        <f aca="false">V34+AG34</f>
        <v>#VALUE!</v>
      </c>
      <c r="I34" s="266" t="e">
        <f aca="false">W34+AH34</f>
        <v>#VALUE!</v>
      </c>
      <c r="J34" s="265"/>
      <c r="K34" s="265"/>
      <c r="L34" s="265"/>
      <c r="M34" s="266" t="e">
        <f aca="false">X34+AI34</f>
        <v>#VALUE!</v>
      </c>
      <c r="N34" s="264" t="e">
        <f aca="false">Y34+AJ34</f>
        <v>#VALUE!</v>
      </c>
      <c r="O34" s="264" t="e">
        <f aca="false">Z34+AK34</f>
        <v>#VALUE!</v>
      </c>
      <c r="Q34" s="320" t="e">
        <f aca="false">EOMONTH(Q33,0)+15</f>
        <v>#VALUE!</v>
      </c>
      <c r="R34" s="266" t="e">
        <f aca="false">SUMIF(AM:AM,$Q34,AN:AN)+SUMIF(AQ:AQ,$Q34,AR:AR)+SUMIF(AU:AU,$Q34,AV:AV)+SUMIF(BU:BU,$Q34,BV:BV)+SUMIF(BZ:BZ,$Q34,CA:CA)+SUMIF(BG:BG,$Q34,BH:BH)+SUMIF(BK:BK,$Q34,BL:BL)+SUMIF(BP:BP,$Q34,BQ:BQ)</f>
        <v>#VALUE!</v>
      </c>
      <c r="S34" s="264" t="e">
        <f aca="false">SUMIF(AM:AM,$Q34,AP:AP)+SUMIF(BU:BU,$Q34,BW:BW)+SUMIF(BZ:BZ,$Q34,CB:CB)</f>
        <v>#VALUE!</v>
      </c>
      <c r="T34" s="264" t="e">
        <f aca="false">SUMIF(AQ:AQ,$Q34,AT:AT)+SUMIF(BG:BG,$Q34,BJ:BJ)+SUMIF(BK:BK,$Q34,BN:BN)</f>
        <v>#VALUE!</v>
      </c>
      <c r="U34" s="264" t="e">
        <f aca="false">SUMIF(AM:AM,$Q34,AO:AO)+SUMIF(AQ:AQ,$Q34,AS:AS)+SUMIF(BG:BG,$Q34,BI:BI)+SUMIF(BK:BK,$Q34,BM:BM)</f>
        <v>#VALUE!</v>
      </c>
      <c r="V34" s="264" t="e">
        <f aca="false">SUMIF(AU:AU,$Q34,AW:AW)</f>
        <v>#VALUE!</v>
      </c>
      <c r="W34" s="264" t="e">
        <f aca="false">SUMIF(AU:AU,$Q34,AX:AX)</f>
        <v>#VALUE!</v>
      </c>
      <c r="X34" s="264" t="e">
        <f aca="false">SUMIF(BP:BP,$Q34,BR:BR)</f>
        <v>#VALUE!</v>
      </c>
      <c r="Y34" s="266" t="e">
        <f aca="false">SUMIF(BP:BP,$Q34,BS:BS)</f>
        <v>#VALUE!</v>
      </c>
      <c r="Z34" s="264" t="e">
        <f aca="false">SUMIF(BU:BU,$Q34,BX:BX)+SUMIF(BZ:BZ,$Q34,CC:CC)</f>
        <v>#VALUE!</v>
      </c>
      <c r="AB34" s="320" t="e">
        <f aca="false">Q34</f>
        <v>#VALUE!</v>
      </c>
      <c r="AC34" s="321" t="e">
        <f aca="false">VLOOKUP(AB34,CE35:CK140,7,FALSE())</f>
        <v>#VALUE!</v>
      </c>
      <c r="AD34" s="264" t="e">
        <f aca="false">VLOOKUP(AB34,CE35:CJ140,3,FALSE())</f>
        <v>#VALUE!</v>
      </c>
      <c r="AE34" s="264" t="e">
        <f aca="false">VLOOKUP(AB34,CE35:CJ140,2,FALSE())</f>
        <v>#VALUE!</v>
      </c>
      <c r="AF34" s="264" t="e">
        <f aca="false">VLOOKUP(AB34,CE35:CJ140,4,FALSE())</f>
        <v>#VALUE!</v>
      </c>
      <c r="AG34" s="264" t="e">
        <f aca="false">VLOOKUP(AB34,CE35:CJ140,5,FALSE())</f>
        <v>#VALUE!</v>
      </c>
      <c r="AH34" s="264" t="e">
        <f aca="false">VLOOKUP(AB34,CE35:CJ140,6,FALSE())</f>
        <v>#VALUE!</v>
      </c>
      <c r="AI34" s="264" t="e">
        <f aca="false">VLOOKUP(AB34,CE35:CM140,8,FALSE())</f>
        <v>#VALUE!</v>
      </c>
      <c r="AJ34" s="266" t="e">
        <f aca="false">VLOOKUP(AB34,CE35:CM140,9,FALSE())</f>
        <v>#VALUE!</v>
      </c>
      <c r="AK34" s="264" t="e">
        <f aca="false">VLOOKUP(AB34,CE35:CN140,10,FALSE())</f>
        <v>#VALUE!</v>
      </c>
      <c r="AM34" s="322" t="e">
        <f aca="false">LongTerm1!D39</f>
        <v>#VALUE!</v>
      </c>
      <c r="AN34" s="323" t="e">
        <f aca="false">(LongTerm1!BM39+LongTerm1!BL39/(1-LongTerm1!AR39))*(LongTerm1!F39*LongTerm1!AF39*LongTerm1!AH39)/10000</f>
        <v>#VALUE!</v>
      </c>
      <c r="AO34" s="323" t="e">
        <f aca="false">LongTerm1!BM39*(LongTerm1!F39*LongTerm1!AF39*LongTerm1!AH39)/10000</f>
        <v>#VALUE!</v>
      </c>
      <c r="AP34" s="323" t="e">
        <f aca="false">(LongTerm1!BL39/(1-LongTerm1!AR39))*(LongTerm1!F39*LongTerm1!AF39*LongTerm1!AH39)/10000</f>
        <v>#VALUE!</v>
      </c>
      <c r="AQ34" s="324"/>
      <c r="AR34" s="319"/>
      <c r="AS34" s="319"/>
      <c r="AT34" s="319"/>
      <c r="AU34" s="319"/>
      <c r="AV34" s="319"/>
      <c r="AW34" s="319"/>
      <c r="AX34" s="319"/>
      <c r="AY34" s="319"/>
      <c r="AZ34" s="319"/>
      <c r="BA34" s="319"/>
      <c r="BB34" s="319"/>
      <c r="BC34" s="319"/>
      <c r="BD34" s="319"/>
      <c r="BE34" s="319"/>
      <c r="BF34" s="319"/>
      <c r="BG34" s="322" t="e">
        <f aca="false">LongTerm25!D39</f>
        <v>#VALUE!</v>
      </c>
      <c r="BH34" s="323" t="e">
        <f aca="false">(LongTerm25!BM39+LongTerm25!BL39/(1-LongTerm25!AR39))*(LongTerm25!F39*LongTerm25!AF39*LongTerm25!AH39)/10000</f>
        <v>#VALUE!</v>
      </c>
      <c r="BI34" s="323" t="e">
        <f aca="false">LongTerm25!BM39*(LongTerm25!F39*LongTerm25!AF39*LongTerm25!AH39)/10000</f>
        <v>#VALUE!</v>
      </c>
      <c r="BJ34" s="323" t="e">
        <f aca="false">(LongTerm25!BL39/(1-LongTerm25!AR39))*(LongTerm25!F39*LongTerm25!AF39*LongTerm25!AH39)/10000</f>
        <v>#VALUE!</v>
      </c>
      <c r="BK34" s="319"/>
      <c r="BL34" s="319"/>
      <c r="BM34" s="319"/>
      <c r="BN34" s="319"/>
      <c r="BP34" s="325" t="e">
        <f aca="false">LongTerm62!D39</f>
        <v>#VALUE!</v>
      </c>
      <c r="BQ34" s="323" t="e">
        <f aca="false">(LongTerm62!$BM39+LongTerm62!$BL39/(1-LongTerm62!$AR39))*(LongTerm62!$F39*LongTerm62!$AF39*LongTerm62!$AH39)/10000</f>
        <v>#VALUE!</v>
      </c>
      <c r="BR34" s="323" t="e">
        <f aca="false">LongTerm62!$BM39*(LongTerm62!$F39*LongTerm62!$AF39*LongTerm62!$AH39)/10000</f>
        <v>#VALUE!</v>
      </c>
      <c r="BS34" s="323" t="e">
        <f aca="false">(LongTerm62!$BL39/(1-LongTerm62!$AR39))*(LongTerm62!$F39*LongTerm62!$AF39*LongTerm62!$AH39)/10000</f>
        <v>#VALUE!</v>
      </c>
      <c r="BT34" s="265"/>
      <c r="BU34" s="325" t="e">
        <f aca="false">LongTerm107!D39</f>
        <v>#VALUE!</v>
      </c>
      <c r="BV34" s="323" t="e">
        <f aca="false">(LongTerm107!$BM39+LongTerm107!$BL39/(1-LongTerm107!$AR39))*(LongTerm107!$F39*LongTerm107!$AF39*LongTerm107!$AH39)/10000</f>
        <v>#VALUE!</v>
      </c>
      <c r="BW34" s="323" t="e">
        <f aca="false">LongTerm107!$BM39*(LongTerm107!$F39*LongTerm107!$AF39*LongTerm107!$AH39)/10000</f>
        <v>#VALUE!</v>
      </c>
      <c r="BX34" s="323" t="e">
        <f aca="false">(LongTerm107!$BL39/(1-LongTerm107!$AR39))*(LongTerm107!$F39*LongTerm107!$AF39*LongTerm107!$AH39)/10000</f>
        <v>#VALUE!</v>
      </c>
      <c r="BY34" s="326"/>
      <c r="BZ34" s="325" t="e">
        <f aca="false">LongTerm108!D39</f>
        <v>#VALUE!</v>
      </c>
      <c r="CA34" s="323" t="e">
        <f aca="false">(LongTerm108!$BM39+LongTerm108!$BL39/(1-LongTerm108!$AR39))*(LongTerm108!$F39*LongTerm108!$AF39*LongTerm108!$AH39)/10000</f>
        <v>#VALUE!</v>
      </c>
      <c r="CB34" s="323" t="e">
        <f aca="false">LongTerm108!$BM39*(LongTerm108!$F39*LongTerm108!$AF39*LongTerm108!$AH39)/10000</f>
        <v>#VALUE!</v>
      </c>
      <c r="CC34" s="323" t="e">
        <f aca="false">(LongTerm108!$BL39/(1-LongTerm108!$AR39))*(LongTerm108!$F39*LongTerm108!$AF39*LongTerm108!$AH39)/10000</f>
        <v>#VALUE!</v>
      </c>
      <c r="CD34" s="332"/>
      <c r="CE34" s="333" t="n">
        <f aca="false">EOMONTH(CE33,0)+15</f>
        <v>37544</v>
      </c>
      <c r="CF34" s="337" t="n">
        <v>28</v>
      </c>
      <c r="CG34" s="337" t="n">
        <v>115.5</v>
      </c>
      <c r="CH34" s="337" t="n">
        <v>-188.9</v>
      </c>
      <c r="CI34" s="337" t="n">
        <v>0</v>
      </c>
      <c r="CJ34" s="337" t="n">
        <v>0</v>
      </c>
      <c r="CK34" s="337" t="n">
        <v>0.4</v>
      </c>
      <c r="CL34" s="337" t="n">
        <v>0</v>
      </c>
      <c r="CM34" s="337" t="n">
        <v>0</v>
      </c>
      <c r="CN34" s="337" t="n">
        <v>39.2</v>
      </c>
    </row>
    <row r="35" customFormat="false" ht="12.75" hidden="false" customHeight="false" outlineLevel="0" collapsed="false">
      <c r="B35" s="320" t="e">
        <f aca="false">Q35</f>
        <v>#VALUE!</v>
      </c>
      <c r="C35" s="319" t="e">
        <f aca="false">YEAR(B35)</f>
        <v>#VALUE!</v>
      </c>
      <c r="D35" s="266" t="e">
        <f aca="false">R35+AC35</f>
        <v>#VALUE!</v>
      </c>
      <c r="E35" s="266" t="e">
        <f aca="false">S35+AD35</f>
        <v>#VALUE!</v>
      </c>
      <c r="F35" s="266" t="e">
        <f aca="false">+T35+AE35</f>
        <v>#VALUE!</v>
      </c>
      <c r="G35" s="266" t="e">
        <f aca="false">+U35+AF35</f>
        <v>#VALUE!</v>
      </c>
      <c r="H35" s="266" t="e">
        <f aca="false">V35+AG35</f>
        <v>#VALUE!</v>
      </c>
      <c r="I35" s="266" t="e">
        <f aca="false">W35+AH35</f>
        <v>#VALUE!</v>
      </c>
      <c r="J35" s="265"/>
      <c r="K35" s="265"/>
      <c r="L35" s="265"/>
      <c r="M35" s="266" t="e">
        <f aca="false">X35+AI35</f>
        <v>#VALUE!</v>
      </c>
      <c r="N35" s="264" t="e">
        <f aca="false">Y35+AJ35</f>
        <v>#VALUE!</v>
      </c>
      <c r="O35" s="264" t="e">
        <f aca="false">Z35+AK35</f>
        <v>#VALUE!</v>
      </c>
      <c r="Q35" s="320" t="e">
        <f aca="false">EOMONTH(Q34,0)+15</f>
        <v>#VALUE!</v>
      </c>
      <c r="R35" s="266" t="e">
        <f aca="false">SUMIF(AM:AM,$Q35,AN:AN)+SUMIF(AQ:AQ,$Q35,AR:AR)+SUMIF(AU:AU,$Q35,AV:AV)+SUMIF(BU:BU,$Q35,BV:BV)+SUMIF(BZ:BZ,$Q35,CA:CA)+SUMIF(BG:BG,$Q35,BH:BH)+SUMIF(BK:BK,$Q35,BL:BL)+SUMIF(BP:BP,$Q35,BQ:BQ)</f>
        <v>#VALUE!</v>
      </c>
      <c r="S35" s="264" t="e">
        <f aca="false">SUMIF(AM:AM,$Q35,AP:AP)+SUMIF(BU:BU,$Q35,BW:BW)+SUMIF(BZ:BZ,$Q35,CB:CB)</f>
        <v>#VALUE!</v>
      </c>
      <c r="T35" s="264" t="e">
        <f aca="false">SUMIF(AQ:AQ,$Q35,AT:AT)+SUMIF(BG:BG,$Q35,BJ:BJ)+SUMIF(BK:BK,$Q35,BN:BN)</f>
        <v>#VALUE!</v>
      </c>
      <c r="U35" s="264" t="e">
        <f aca="false">SUMIF(AM:AM,$Q35,AO:AO)+SUMIF(AQ:AQ,$Q35,AS:AS)+SUMIF(BG:BG,$Q35,BI:BI)+SUMIF(BK:BK,$Q35,BM:BM)</f>
        <v>#VALUE!</v>
      </c>
      <c r="V35" s="264" t="e">
        <f aca="false">SUMIF(AU:AU,$Q35,AW:AW)</f>
        <v>#VALUE!</v>
      </c>
      <c r="W35" s="264" t="e">
        <f aca="false">SUMIF(AU:AU,$Q35,AX:AX)</f>
        <v>#VALUE!</v>
      </c>
      <c r="X35" s="264" t="e">
        <f aca="false">SUMIF(BP:BP,$Q35,BR:BR)</f>
        <v>#VALUE!</v>
      </c>
      <c r="Y35" s="266" t="e">
        <f aca="false">SUMIF(BP:BP,$Q35,BS:BS)</f>
        <v>#VALUE!</v>
      </c>
      <c r="Z35" s="264" t="e">
        <f aca="false">SUMIF(BU:BU,$Q35,BX:BX)+SUMIF(BZ:BZ,$Q35,CC:CC)</f>
        <v>#VALUE!</v>
      </c>
      <c r="AB35" s="320" t="e">
        <f aca="false">Q35</f>
        <v>#VALUE!</v>
      </c>
      <c r="AC35" s="321" t="e">
        <f aca="false">VLOOKUP(AB35,CE36:CK141,7,FALSE())</f>
        <v>#VALUE!</v>
      </c>
      <c r="AD35" s="264" t="e">
        <f aca="false">VLOOKUP(AB35,CE36:CJ141,3,FALSE())</f>
        <v>#VALUE!</v>
      </c>
      <c r="AE35" s="264" t="e">
        <f aca="false">VLOOKUP(AB35,CE36:CJ141,2,FALSE())</f>
        <v>#VALUE!</v>
      </c>
      <c r="AF35" s="264" t="e">
        <f aca="false">VLOOKUP(AB35,CE36:CJ141,4,FALSE())</f>
        <v>#VALUE!</v>
      </c>
      <c r="AG35" s="264" t="e">
        <f aca="false">VLOOKUP(AB35,CE36:CJ141,5,FALSE())</f>
        <v>#VALUE!</v>
      </c>
      <c r="AH35" s="264" t="e">
        <f aca="false">VLOOKUP(AB35,CE36:CJ141,6,FALSE())</f>
        <v>#VALUE!</v>
      </c>
      <c r="AI35" s="264" t="e">
        <f aca="false">VLOOKUP(AB35,CE36:CM141,8,FALSE())</f>
        <v>#VALUE!</v>
      </c>
      <c r="AJ35" s="266" t="e">
        <f aca="false">VLOOKUP(AB35,CE36:CM141,9,FALSE())</f>
        <v>#VALUE!</v>
      </c>
      <c r="AK35" s="264" t="e">
        <f aca="false">VLOOKUP(AB35,CE36:CN141,10,FALSE())</f>
        <v>#VALUE!</v>
      </c>
      <c r="AM35" s="322" t="e">
        <f aca="false">LongTerm1!D40</f>
        <v>#VALUE!</v>
      </c>
      <c r="AN35" s="323" t="e">
        <f aca="false">(LongTerm1!BM40+LongTerm1!BL40/(1-LongTerm1!AR40))*(LongTerm1!F40*LongTerm1!AF40*LongTerm1!AH40)/10000</f>
        <v>#VALUE!</v>
      </c>
      <c r="AO35" s="323" t="e">
        <f aca="false">LongTerm1!BM40*(LongTerm1!F40*LongTerm1!AF40*LongTerm1!AH40)/10000</f>
        <v>#VALUE!</v>
      </c>
      <c r="AP35" s="323" t="e">
        <f aca="false">(LongTerm1!BL40/(1-LongTerm1!AR40))*(LongTerm1!F40*LongTerm1!AF40*LongTerm1!AH40)/10000</f>
        <v>#VALUE!</v>
      </c>
      <c r="AQ35" s="324"/>
      <c r="AR35" s="319"/>
      <c r="AS35" s="319"/>
      <c r="AT35" s="319"/>
      <c r="AU35" s="319"/>
      <c r="AV35" s="319"/>
      <c r="AW35" s="319"/>
      <c r="AX35" s="319"/>
      <c r="AY35" s="319"/>
      <c r="AZ35" s="319"/>
      <c r="BA35" s="319"/>
      <c r="BB35" s="319"/>
      <c r="BC35" s="319"/>
      <c r="BD35" s="319"/>
      <c r="BE35" s="319"/>
      <c r="BF35" s="319"/>
      <c r="BG35" s="322" t="e">
        <f aca="false">LongTerm25!D40</f>
        <v>#VALUE!</v>
      </c>
      <c r="BH35" s="323" t="e">
        <f aca="false">(LongTerm25!BM40+LongTerm25!BL40/(1-LongTerm25!AR40))*(LongTerm25!F40*LongTerm25!AF40*LongTerm25!AH40)/10000</f>
        <v>#VALUE!</v>
      </c>
      <c r="BI35" s="323" t="e">
        <f aca="false">LongTerm25!BM40*(LongTerm25!F40*LongTerm25!AF40*LongTerm25!AH40)/10000</f>
        <v>#VALUE!</v>
      </c>
      <c r="BJ35" s="323" t="e">
        <f aca="false">(LongTerm25!BL40/(1-LongTerm25!AR40))*(LongTerm25!F40*LongTerm25!AF40*LongTerm25!AH40)/10000</f>
        <v>#VALUE!</v>
      </c>
      <c r="BK35" s="319"/>
      <c r="BL35" s="319"/>
      <c r="BM35" s="319"/>
      <c r="BN35" s="319"/>
      <c r="BP35" s="325" t="e">
        <f aca="false">LongTerm62!D40</f>
        <v>#VALUE!</v>
      </c>
      <c r="BQ35" s="323" t="e">
        <f aca="false">(LongTerm62!$BM40+LongTerm62!$BL40/(1-LongTerm62!$AR40))*(LongTerm62!$F40*LongTerm62!$AF40*LongTerm62!$AH40)/10000</f>
        <v>#VALUE!</v>
      </c>
      <c r="BR35" s="323" t="e">
        <f aca="false">LongTerm62!$BM40*(LongTerm62!$F40*LongTerm62!$AF40*LongTerm62!$AH40)/10000</f>
        <v>#VALUE!</v>
      </c>
      <c r="BS35" s="323" t="e">
        <f aca="false">(LongTerm62!$BL40/(1-LongTerm62!$AR40))*(LongTerm62!$F40*LongTerm62!$AF40*LongTerm62!$AH40)/10000</f>
        <v>#VALUE!</v>
      </c>
      <c r="BT35" s="265"/>
      <c r="BU35" s="325" t="e">
        <f aca="false">LongTerm107!D40</f>
        <v>#VALUE!</v>
      </c>
      <c r="BV35" s="323" t="e">
        <f aca="false">(LongTerm107!$BM40+LongTerm107!$BL40/(1-LongTerm107!$AR40))*(LongTerm107!$F40*LongTerm107!$AF40*LongTerm107!$AH40)/10000</f>
        <v>#VALUE!</v>
      </c>
      <c r="BW35" s="323" t="e">
        <f aca="false">LongTerm107!$BM40*(LongTerm107!$F40*LongTerm107!$AF40*LongTerm107!$AH40)/10000</f>
        <v>#VALUE!</v>
      </c>
      <c r="BX35" s="323" t="e">
        <f aca="false">(LongTerm107!$BL40/(1-LongTerm107!$AR40))*(LongTerm107!$F40*LongTerm107!$AF40*LongTerm107!$AH40)/10000</f>
        <v>#VALUE!</v>
      </c>
      <c r="BY35" s="326"/>
      <c r="BZ35" s="325" t="e">
        <f aca="false">LongTerm108!D40</f>
        <v>#VALUE!</v>
      </c>
      <c r="CA35" s="323" t="e">
        <f aca="false">(LongTerm108!$BM40+LongTerm108!$BL40/(1-LongTerm108!$AR40))*(LongTerm108!$F40*LongTerm108!$AF40*LongTerm108!$AH40)/10000</f>
        <v>#VALUE!</v>
      </c>
      <c r="CB35" s="323" t="e">
        <f aca="false">LongTerm108!$BM40*(LongTerm108!$F40*LongTerm108!$AF40*LongTerm108!$AH40)/10000</f>
        <v>#VALUE!</v>
      </c>
      <c r="CC35" s="323" t="e">
        <f aca="false">(LongTerm108!$BL40/(1-LongTerm108!$AR40))*(LongTerm108!$F40*LongTerm108!$AF40*LongTerm108!$AH40)/10000</f>
        <v>#VALUE!</v>
      </c>
      <c r="CD35" s="332"/>
      <c r="CE35" s="333" t="n">
        <f aca="false">EOMONTH(CE34,0)+15</f>
        <v>37575</v>
      </c>
      <c r="CF35" s="337" t="n">
        <v>27.7</v>
      </c>
      <c r="CG35" s="337" t="n">
        <v>61.5</v>
      </c>
      <c r="CH35" s="337" t="n">
        <v>-142</v>
      </c>
      <c r="CI35" s="337" t="n">
        <v>0</v>
      </c>
      <c r="CJ35" s="337" t="n">
        <v>0</v>
      </c>
      <c r="CK35" s="337" t="n">
        <v>0.5</v>
      </c>
      <c r="CL35" s="337" t="n">
        <v>-19.1</v>
      </c>
      <c r="CM35" s="337" t="n">
        <v>19.1</v>
      </c>
      <c r="CN35" s="337" t="n">
        <v>41</v>
      </c>
    </row>
    <row r="36" customFormat="false" ht="12.75" hidden="false" customHeight="false" outlineLevel="0" collapsed="false">
      <c r="B36" s="320" t="e">
        <f aca="false">Q36</f>
        <v>#VALUE!</v>
      </c>
      <c r="C36" s="319" t="e">
        <f aca="false">YEAR(B36)</f>
        <v>#VALUE!</v>
      </c>
      <c r="D36" s="266" t="e">
        <f aca="false">R36+AC36</f>
        <v>#VALUE!</v>
      </c>
      <c r="E36" s="266" t="e">
        <f aca="false">S36+AD36</f>
        <v>#VALUE!</v>
      </c>
      <c r="F36" s="266" t="e">
        <f aca="false">+T36+AE36</f>
        <v>#VALUE!</v>
      </c>
      <c r="G36" s="266" t="e">
        <f aca="false">+U36+AF36</f>
        <v>#VALUE!</v>
      </c>
      <c r="H36" s="266" t="e">
        <f aca="false">V36+AG36</f>
        <v>#VALUE!</v>
      </c>
      <c r="I36" s="266" t="e">
        <f aca="false">W36+AH36</f>
        <v>#VALUE!</v>
      </c>
      <c r="J36" s="265"/>
      <c r="K36" s="265"/>
      <c r="L36" s="265"/>
      <c r="M36" s="266" t="e">
        <f aca="false">X36+AI36</f>
        <v>#VALUE!</v>
      </c>
      <c r="N36" s="264" t="e">
        <f aca="false">Y36+AJ36</f>
        <v>#VALUE!</v>
      </c>
      <c r="O36" s="264" t="e">
        <f aca="false">Z36+AK36</f>
        <v>#VALUE!</v>
      </c>
      <c r="Q36" s="320" t="e">
        <f aca="false">EOMONTH(Q35,0)+15</f>
        <v>#VALUE!</v>
      </c>
      <c r="R36" s="266" t="e">
        <f aca="false">SUMIF(AM:AM,$Q36,AN:AN)+SUMIF(AQ:AQ,$Q36,AR:AR)+SUMIF(AU:AU,$Q36,AV:AV)+SUMIF(BU:BU,$Q36,BV:BV)+SUMIF(BZ:BZ,$Q36,CA:CA)+SUMIF(BG:BG,$Q36,BH:BH)+SUMIF(BK:BK,$Q36,BL:BL)+SUMIF(BP:BP,$Q36,BQ:BQ)</f>
        <v>#VALUE!</v>
      </c>
      <c r="S36" s="264" t="e">
        <f aca="false">SUMIF(AM:AM,$Q36,AP:AP)+SUMIF(BU:BU,$Q36,BW:BW)+SUMIF(BZ:BZ,$Q36,CB:CB)</f>
        <v>#VALUE!</v>
      </c>
      <c r="T36" s="264" t="e">
        <f aca="false">SUMIF(AQ:AQ,$Q36,AT:AT)+SUMIF(BG:BG,$Q36,BJ:BJ)+SUMIF(BK:BK,$Q36,BN:BN)</f>
        <v>#VALUE!</v>
      </c>
      <c r="U36" s="264" t="e">
        <f aca="false">SUMIF(AM:AM,$Q36,AO:AO)+SUMIF(AQ:AQ,$Q36,AS:AS)+SUMIF(BG:BG,$Q36,BI:BI)+SUMIF(BK:BK,$Q36,BM:BM)</f>
        <v>#VALUE!</v>
      </c>
      <c r="V36" s="264" t="e">
        <f aca="false">SUMIF(AU:AU,$Q36,AW:AW)</f>
        <v>#VALUE!</v>
      </c>
      <c r="W36" s="264" t="e">
        <f aca="false">SUMIF(AU:AU,$Q36,AX:AX)</f>
        <v>#VALUE!</v>
      </c>
      <c r="X36" s="264" t="e">
        <f aca="false">SUMIF(BP:BP,$Q36,BR:BR)</f>
        <v>#VALUE!</v>
      </c>
      <c r="Y36" s="266" t="e">
        <f aca="false">SUMIF(BP:BP,$Q36,BS:BS)</f>
        <v>#VALUE!</v>
      </c>
      <c r="Z36" s="264" t="e">
        <f aca="false">SUMIF(BU:BU,$Q36,BX:BX)+SUMIF(BZ:BZ,$Q36,CC:CC)</f>
        <v>#VALUE!</v>
      </c>
      <c r="AB36" s="320" t="e">
        <f aca="false">Q36</f>
        <v>#VALUE!</v>
      </c>
      <c r="AC36" s="321" t="e">
        <f aca="false">VLOOKUP(AB36,CE37:CK142,7,FALSE())</f>
        <v>#VALUE!</v>
      </c>
      <c r="AD36" s="264" t="e">
        <f aca="false">VLOOKUP(AB36,CE37:CJ142,3,FALSE())</f>
        <v>#VALUE!</v>
      </c>
      <c r="AE36" s="264" t="e">
        <f aca="false">VLOOKUP(AB36,CE37:CJ142,2,FALSE())</f>
        <v>#VALUE!</v>
      </c>
      <c r="AF36" s="264" t="e">
        <f aca="false">VLOOKUP(AB36,CE37:CJ142,4,FALSE())</f>
        <v>#VALUE!</v>
      </c>
      <c r="AG36" s="264" t="e">
        <f aca="false">VLOOKUP(AB36,CE37:CJ142,5,FALSE())</f>
        <v>#VALUE!</v>
      </c>
      <c r="AH36" s="264" t="e">
        <f aca="false">VLOOKUP(AB36,CE37:CJ142,6,FALSE())</f>
        <v>#VALUE!</v>
      </c>
      <c r="AI36" s="264" t="e">
        <f aca="false">VLOOKUP(AB36,CE37:CM142,8,FALSE())</f>
        <v>#VALUE!</v>
      </c>
      <c r="AJ36" s="266" t="e">
        <f aca="false">VLOOKUP(AB36,CE37:CM142,9,FALSE())</f>
        <v>#VALUE!</v>
      </c>
      <c r="AK36" s="264" t="e">
        <f aca="false">VLOOKUP(AB36,CE37:CN142,10,FALSE())</f>
        <v>#VALUE!</v>
      </c>
      <c r="AM36" s="322" t="e">
        <f aca="false">LongTerm1!D41</f>
        <v>#VALUE!</v>
      </c>
      <c r="AN36" s="323" t="e">
        <f aca="false">(LongTerm1!BM41+LongTerm1!BL41/(1-LongTerm1!AR41))*(LongTerm1!F41*LongTerm1!AF41*LongTerm1!AH41)/10000</f>
        <v>#VALUE!</v>
      </c>
      <c r="AO36" s="323" t="e">
        <f aca="false">LongTerm1!BM41*(LongTerm1!F41*LongTerm1!AF41*LongTerm1!AH41)/10000</f>
        <v>#VALUE!</v>
      </c>
      <c r="AP36" s="323" t="e">
        <f aca="false">(LongTerm1!BL41/(1-LongTerm1!AR41))*(LongTerm1!F41*LongTerm1!AF41*LongTerm1!AH41)/10000</f>
        <v>#VALUE!</v>
      </c>
      <c r="AQ36" s="324"/>
      <c r="AR36" s="319"/>
      <c r="AS36" s="319"/>
      <c r="AT36" s="319"/>
      <c r="AU36" s="319"/>
      <c r="AV36" s="319"/>
      <c r="AW36" s="319"/>
      <c r="AX36" s="319"/>
      <c r="AY36" s="319"/>
      <c r="AZ36" s="319"/>
      <c r="BA36" s="319"/>
      <c r="BB36" s="319"/>
      <c r="BC36" s="319"/>
      <c r="BD36" s="319"/>
      <c r="BE36" s="319"/>
      <c r="BF36" s="319"/>
      <c r="BG36" s="322" t="e">
        <f aca="false">LongTerm25!D41</f>
        <v>#VALUE!</v>
      </c>
      <c r="BH36" s="323" t="e">
        <f aca="false">(LongTerm25!BM41+LongTerm25!BL41/(1-LongTerm25!AR41))*(LongTerm25!F41*LongTerm25!AF41*LongTerm25!AH41)/10000</f>
        <v>#VALUE!</v>
      </c>
      <c r="BI36" s="323" t="e">
        <f aca="false">LongTerm25!BM41*(LongTerm25!F41*LongTerm25!AF41*LongTerm25!AH41)/10000</f>
        <v>#VALUE!</v>
      </c>
      <c r="BJ36" s="323" t="e">
        <f aca="false">(LongTerm25!BL41/(1-LongTerm25!AR41))*(LongTerm25!F41*LongTerm25!AF41*LongTerm25!AH41)/10000</f>
        <v>#VALUE!</v>
      </c>
      <c r="BK36" s="319"/>
      <c r="BL36" s="319"/>
      <c r="BM36" s="319"/>
      <c r="BN36" s="319"/>
      <c r="BP36" s="325" t="e">
        <f aca="false">LongTerm62!D41</f>
        <v>#VALUE!</v>
      </c>
      <c r="BQ36" s="323" t="e">
        <f aca="false">(LongTerm62!$BM41+LongTerm62!$BL41/(1-LongTerm62!$AR41))*(LongTerm62!$F41*LongTerm62!$AF41*LongTerm62!$AH41)/10000</f>
        <v>#VALUE!</v>
      </c>
      <c r="BR36" s="323" t="e">
        <f aca="false">LongTerm62!$BM41*(LongTerm62!$F41*LongTerm62!$AF41*LongTerm62!$AH41)/10000</f>
        <v>#VALUE!</v>
      </c>
      <c r="BS36" s="323" t="e">
        <f aca="false">(LongTerm62!$BL41/(1-LongTerm62!$AR41))*(LongTerm62!$F41*LongTerm62!$AF41*LongTerm62!$AH41)/10000</f>
        <v>#VALUE!</v>
      </c>
      <c r="BT36" s="265"/>
      <c r="BU36" s="325" t="e">
        <f aca="false">LongTerm107!D41</f>
        <v>#VALUE!</v>
      </c>
      <c r="BV36" s="323" t="e">
        <f aca="false">(LongTerm107!$BM41+LongTerm107!$BL41/(1-LongTerm107!$AR41))*(LongTerm107!$F41*LongTerm107!$AF41*LongTerm107!$AH41)/10000</f>
        <v>#VALUE!</v>
      </c>
      <c r="BW36" s="323" t="e">
        <f aca="false">LongTerm107!$BM41*(LongTerm107!$F41*LongTerm107!$AF41*LongTerm107!$AH41)/10000</f>
        <v>#VALUE!</v>
      </c>
      <c r="BX36" s="323" t="e">
        <f aca="false">(LongTerm107!$BL41/(1-LongTerm107!$AR41))*(LongTerm107!$F41*LongTerm107!$AF41*LongTerm107!$AH41)/10000</f>
        <v>#VALUE!</v>
      </c>
      <c r="BY36" s="326"/>
      <c r="BZ36" s="325" t="e">
        <f aca="false">LongTerm108!D41</f>
        <v>#VALUE!</v>
      </c>
      <c r="CA36" s="323" t="e">
        <f aca="false">(LongTerm108!$BM41+LongTerm108!$BL41/(1-LongTerm108!$AR41))*(LongTerm108!$F41*LongTerm108!$AF41*LongTerm108!$AH41)/10000</f>
        <v>#VALUE!</v>
      </c>
      <c r="CB36" s="323" t="e">
        <f aca="false">LongTerm108!$BM41*(LongTerm108!$F41*LongTerm108!$AF41*LongTerm108!$AH41)/10000</f>
        <v>#VALUE!</v>
      </c>
      <c r="CC36" s="323" t="e">
        <f aca="false">(LongTerm108!$BL41/(1-LongTerm108!$AR41))*(LongTerm108!$F41*LongTerm108!$AF41*LongTerm108!$AH41)/10000</f>
        <v>#VALUE!</v>
      </c>
      <c r="CD36" s="332"/>
      <c r="CE36" s="333" t="n">
        <f aca="false">EOMONTH(CE35,0)+15</f>
        <v>37605</v>
      </c>
      <c r="CF36" s="337" t="n">
        <v>29.1</v>
      </c>
      <c r="CG36" s="337" t="n">
        <v>67.2</v>
      </c>
      <c r="CH36" s="337" t="n">
        <v>-140.9</v>
      </c>
      <c r="CI36" s="337" t="n">
        <v>0</v>
      </c>
      <c r="CJ36" s="337" t="n">
        <v>0</v>
      </c>
      <c r="CK36" s="337" t="n">
        <v>0.4</v>
      </c>
      <c r="CL36" s="337" t="n">
        <v>-16.6</v>
      </c>
      <c r="CM36" s="337" t="n">
        <v>16.6</v>
      </c>
      <c r="CN36" s="337" t="n">
        <v>43.8</v>
      </c>
    </row>
    <row r="37" customFormat="false" ht="12.75" hidden="false" customHeight="false" outlineLevel="0" collapsed="false">
      <c r="B37" s="320" t="e">
        <f aca="false">Q37</f>
        <v>#VALUE!</v>
      </c>
      <c r="C37" s="319" t="e">
        <f aca="false">YEAR(B37)</f>
        <v>#VALUE!</v>
      </c>
      <c r="D37" s="266" t="e">
        <f aca="false">R37+AC37</f>
        <v>#VALUE!</v>
      </c>
      <c r="E37" s="266" t="e">
        <f aca="false">S37+AD37</f>
        <v>#VALUE!</v>
      </c>
      <c r="F37" s="266" t="e">
        <f aca="false">+T37+AE37</f>
        <v>#VALUE!</v>
      </c>
      <c r="G37" s="266" t="e">
        <f aca="false">+U37+AF37</f>
        <v>#VALUE!</v>
      </c>
      <c r="H37" s="266" t="e">
        <f aca="false">V37+AG37</f>
        <v>#VALUE!</v>
      </c>
      <c r="I37" s="266" t="e">
        <f aca="false">W37+AH37</f>
        <v>#VALUE!</v>
      </c>
      <c r="J37" s="265"/>
      <c r="K37" s="265"/>
      <c r="L37" s="265"/>
      <c r="M37" s="266" t="e">
        <f aca="false">X37+AI37</f>
        <v>#VALUE!</v>
      </c>
      <c r="N37" s="264" t="e">
        <f aca="false">Y37+AJ37</f>
        <v>#VALUE!</v>
      </c>
      <c r="O37" s="264" t="e">
        <f aca="false">Z37+AK37</f>
        <v>#VALUE!</v>
      </c>
      <c r="Q37" s="320" t="e">
        <f aca="false">EOMONTH(Q36,0)+15</f>
        <v>#VALUE!</v>
      </c>
      <c r="R37" s="266" t="e">
        <f aca="false">SUMIF(AM:AM,$Q37,AN:AN)+SUMIF(AQ:AQ,$Q37,AR:AR)+SUMIF(AU:AU,$Q37,AV:AV)+SUMIF(BU:BU,$Q37,BV:BV)+SUMIF(BZ:BZ,$Q37,CA:CA)+SUMIF(BG:BG,$Q37,BH:BH)+SUMIF(BK:BK,$Q37,BL:BL)+SUMIF(BP:BP,$Q37,BQ:BQ)</f>
        <v>#VALUE!</v>
      </c>
      <c r="S37" s="264" t="e">
        <f aca="false">SUMIF(AM:AM,$Q37,AP:AP)+SUMIF(BU:BU,$Q37,BW:BW)+SUMIF(BZ:BZ,$Q37,CB:CB)</f>
        <v>#VALUE!</v>
      </c>
      <c r="T37" s="264" t="e">
        <f aca="false">SUMIF(AQ:AQ,$Q37,AT:AT)+SUMIF(BG:BG,$Q37,BJ:BJ)+SUMIF(BK:BK,$Q37,BN:BN)</f>
        <v>#VALUE!</v>
      </c>
      <c r="U37" s="264" t="e">
        <f aca="false">SUMIF(AM:AM,$Q37,AO:AO)+SUMIF(AQ:AQ,$Q37,AS:AS)+SUMIF(BG:BG,$Q37,BI:BI)+SUMIF(BK:BK,$Q37,BM:BM)</f>
        <v>#VALUE!</v>
      </c>
      <c r="V37" s="264" t="e">
        <f aca="false">SUMIF(AU:AU,$Q37,AW:AW)</f>
        <v>#VALUE!</v>
      </c>
      <c r="W37" s="264" t="e">
        <f aca="false">SUMIF(AU:AU,$Q37,AX:AX)</f>
        <v>#VALUE!</v>
      </c>
      <c r="X37" s="264" t="e">
        <f aca="false">SUMIF(BP:BP,$Q37,BR:BR)</f>
        <v>#VALUE!</v>
      </c>
      <c r="Y37" s="266" t="e">
        <f aca="false">SUMIF(BP:BP,$Q37,BS:BS)</f>
        <v>#VALUE!</v>
      </c>
      <c r="Z37" s="264" t="e">
        <f aca="false">SUMIF(BU:BU,$Q37,BX:BX)+SUMIF(BZ:BZ,$Q37,CC:CC)</f>
        <v>#VALUE!</v>
      </c>
      <c r="AB37" s="320" t="e">
        <f aca="false">Q37</f>
        <v>#VALUE!</v>
      </c>
      <c r="AC37" s="321" t="e">
        <f aca="false">VLOOKUP(AB37,CE38:CK143,7,FALSE())</f>
        <v>#VALUE!</v>
      </c>
      <c r="AD37" s="264" t="e">
        <f aca="false">VLOOKUP(AB37,CE38:CJ143,3,FALSE())</f>
        <v>#VALUE!</v>
      </c>
      <c r="AE37" s="264" t="e">
        <f aca="false">VLOOKUP(AB37,CE38:CJ143,2,FALSE())</f>
        <v>#VALUE!</v>
      </c>
      <c r="AF37" s="264" t="e">
        <f aca="false">VLOOKUP(AB37,CE38:CJ143,4,FALSE())</f>
        <v>#VALUE!</v>
      </c>
      <c r="AG37" s="264" t="e">
        <f aca="false">VLOOKUP(AB37,CE38:CJ143,5,FALSE())</f>
        <v>#VALUE!</v>
      </c>
      <c r="AH37" s="264" t="e">
        <f aca="false">VLOOKUP(AB37,CE38:CJ143,6,FALSE())</f>
        <v>#VALUE!</v>
      </c>
      <c r="AI37" s="264" t="e">
        <f aca="false">VLOOKUP(AB37,CE38:CM143,8,FALSE())</f>
        <v>#VALUE!</v>
      </c>
      <c r="AJ37" s="266" t="e">
        <f aca="false">VLOOKUP(AB37,CE38:CM143,9,FALSE())</f>
        <v>#VALUE!</v>
      </c>
      <c r="AK37" s="264" t="e">
        <f aca="false">VLOOKUP(AB37,CE38:CN143,10,FALSE())</f>
        <v>#VALUE!</v>
      </c>
      <c r="AM37" s="322" t="e">
        <f aca="false">LongTerm1!D42</f>
        <v>#VALUE!</v>
      </c>
      <c r="AN37" s="323" t="e">
        <f aca="false">(LongTerm1!BM42+LongTerm1!BL42/(1-LongTerm1!AR42))*(LongTerm1!F42*LongTerm1!AF42*LongTerm1!AH42)/10000</f>
        <v>#VALUE!</v>
      </c>
      <c r="AO37" s="323" t="e">
        <f aca="false">LongTerm1!BM42*(LongTerm1!F42*LongTerm1!AF42*LongTerm1!AH42)/10000</f>
        <v>#VALUE!</v>
      </c>
      <c r="AP37" s="323" t="e">
        <f aca="false">(LongTerm1!BL42/(1-LongTerm1!AR42))*(LongTerm1!F42*LongTerm1!AF42*LongTerm1!AH42)/10000</f>
        <v>#VALUE!</v>
      </c>
      <c r="AQ37" s="324"/>
      <c r="AR37" s="319"/>
      <c r="AS37" s="319"/>
      <c r="AT37" s="319"/>
      <c r="AU37" s="319"/>
      <c r="AV37" s="319"/>
      <c r="AW37" s="319"/>
      <c r="AX37" s="319"/>
      <c r="AY37" s="319"/>
      <c r="AZ37" s="319"/>
      <c r="BA37" s="319"/>
      <c r="BB37" s="319"/>
      <c r="BC37" s="319"/>
      <c r="BD37" s="319"/>
      <c r="BE37" s="319"/>
      <c r="BF37" s="319"/>
      <c r="BG37" s="322" t="e">
        <f aca="false">LongTerm25!D42</f>
        <v>#VALUE!</v>
      </c>
      <c r="BH37" s="323" t="e">
        <f aca="false">(LongTerm25!BM42+LongTerm25!BL42/(1-LongTerm25!AR42))*(LongTerm25!F42*LongTerm25!AF42*LongTerm25!AH42)/10000</f>
        <v>#VALUE!</v>
      </c>
      <c r="BI37" s="323" t="e">
        <f aca="false">LongTerm25!BM42*(LongTerm25!F42*LongTerm25!AF42*LongTerm25!AH42)/10000</f>
        <v>#VALUE!</v>
      </c>
      <c r="BJ37" s="323" t="e">
        <f aca="false">(LongTerm25!BL42/(1-LongTerm25!AR42))*(LongTerm25!F42*LongTerm25!AF42*LongTerm25!AH42)/10000</f>
        <v>#VALUE!</v>
      </c>
      <c r="BK37" s="319"/>
      <c r="BL37" s="319"/>
      <c r="BM37" s="319"/>
      <c r="BN37" s="319"/>
      <c r="BP37" s="325" t="e">
        <f aca="false">LongTerm62!D42</f>
        <v>#VALUE!</v>
      </c>
      <c r="BQ37" s="323" t="e">
        <f aca="false">(LongTerm62!$BM42+LongTerm62!$BL42/(1-LongTerm62!$AR42))*(LongTerm62!$F42*LongTerm62!$AF42*LongTerm62!$AH42)/10000</f>
        <v>#VALUE!</v>
      </c>
      <c r="BR37" s="323" t="e">
        <f aca="false">LongTerm62!$BM42*(LongTerm62!$F42*LongTerm62!$AF42*LongTerm62!$AH42)/10000</f>
        <v>#VALUE!</v>
      </c>
      <c r="BS37" s="323" t="e">
        <f aca="false">(LongTerm62!$BL42/(1-LongTerm62!$AR42))*(LongTerm62!$F42*LongTerm62!$AF42*LongTerm62!$AH42)/10000</f>
        <v>#VALUE!</v>
      </c>
      <c r="BT37" s="265"/>
      <c r="BU37" s="325" t="e">
        <f aca="false">LongTerm107!D42</f>
        <v>#VALUE!</v>
      </c>
      <c r="BV37" s="323" t="e">
        <f aca="false">(LongTerm107!$BM42+LongTerm107!$BL42/(1-LongTerm107!$AR42))*(LongTerm107!$F42*LongTerm107!$AF42*LongTerm107!$AH42)/10000</f>
        <v>#VALUE!</v>
      </c>
      <c r="BW37" s="323" t="e">
        <f aca="false">LongTerm107!$BM42*(LongTerm107!$F42*LongTerm107!$AF42*LongTerm107!$AH42)/10000</f>
        <v>#VALUE!</v>
      </c>
      <c r="BX37" s="323" t="e">
        <f aca="false">(LongTerm107!$BL42/(1-LongTerm107!$AR42))*(LongTerm107!$F42*LongTerm107!$AF42*LongTerm107!$AH42)/10000</f>
        <v>#VALUE!</v>
      </c>
      <c r="BY37" s="326"/>
      <c r="BZ37" s="325" t="e">
        <f aca="false">LongTerm108!D42</f>
        <v>#VALUE!</v>
      </c>
      <c r="CA37" s="323" t="e">
        <f aca="false">(LongTerm108!$BM42+LongTerm108!$BL42/(1-LongTerm108!$AR42))*(LongTerm108!$F42*LongTerm108!$AF42*LongTerm108!$AH42)/10000</f>
        <v>#VALUE!</v>
      </c>
      <c r="CB37" s="323" t="e">
        <f aca="false">LongTerm108!$BM42*(LongTerm108!$F42*LongTerm108!$AF42*LongTerm108!$AH42)/10000</f>
        <v>#VALUE!</v>
      </c>
      <c r="CC37" s="323" t="e">
        <f aca="false">(LongTerm108!$BL42/(1-LongTerm108!$AR42))*(LongTerm108!$F42*LongTerm108!$AF42*LongTerm108!$AH42)/10000</f>
        <v>#VALUE!</v>
      </c>
      <c r="CD37" s="332"/>
      <c r="CE37" s="333" t="n">
        <f aca="false">EOMONTH(CE36,0)+15</f>
        <v>37636</v>
      </c>
      <c r="CF37" s="337" t="n">
        <v>29</v>
      </c>
      <c r="CG37" s="337" t="n">
        <v>64.1</v>
      </c>
      <c r="CH37" s="337" t="n">
        <v>-144.5</v>
      </c>
      <c r="CI37" s="337" t="n">
        <v>0</v>
      </c>
      <c r="CJ37" s="337" t="n">
        <v>0</v>
      </c>
      <c r="CK37" s="337" t="n">
        <v>0.7</v>
      </c>
      <c r="CL37" s="337" t="n">
        <v>-15.6</v>
      </c>
      <c r="CM37" s="337" t="n">
        <v>15.6</v>
      </c>
      <c r="CN37" s="337" t="n">
        <v>47.6</v>
      </c>
    </row>
    <row r="38" customFormat="false" ht="12.75" hidden="false" customHeight="false" outlineLevel="0" collapsed="false">
      <c r="B38" s="320" t="e">
        <f aca="false">Q38</f>
        <v>#VALUE!</v>
      </c>
      <c r="C38" s="319" t="e">
        <f aca="false">YEAR(B38)</f>
        <v>#VALUE!</v>
      </c>
      <c r="D38" s="266" t="e">
        <f aca="false">R38+AC38</f>
        <v>#VALUE!</v>
      </c>
      <c r="E38" s="266" t="e">
        <f aca="false">S38+AD38</f>
        <v>#VALUE!</v>
      </c>
      <c r="F38" s="266" t="e">
        <f aca="false">+T38+AE38</f>
        <v>#VALUE!</v>
      </c>
      <c r="G38" s="266" t="e">
        <f aca="false">+U38+AF38</f>
        <v>#VALUE!</v>
      </c>
      <c r="H38" s="266" t="e">
        <f aca="false">V38+AG38</f>
        <v>#VALUE!</v>
      </c>
      <c r="I38" s="266" t="e">
        <f aca="false">W38+AH38</f>
        <v>#VALUE!</v>
      </c>
      <c r="J38" s="265"/>
      <c r="K38" s="265"/>
      <c r="L38" s="265"/>
      <c r="M38" s="266" t="e">
        <f aca="false">X38+AI38</f>
        <v>#VALUE!</v>
      </c>
      <c r="N38" s="264" t="e">
        <f aca="false">Y38+AJ38</f>
        <v>#VALUE!</v>
      </c>
      <c r="O38" s="264" t="e">
        <f aca="false">Z38+AK38</f>
        <v>#VALUE!</v>
      </c>
      <c r="Q38" s="320" t="e">
        <f aca="false">EOMONTH(Q37,0)+15</f>
        <v>#VALUE!</v>
      </c>
      <c r="R38" s="266" t="e">
        <f aca="false">SUMIF(AM:AM,$Q38,AN:AN)+SUMIF(AQ:AQ,$Q38,AR:AR)+SUMIF(AU:AU,$Q38,AV:AV)+SUMIF(BU:BU,$Q38,BV:BV)+SUMIF(BZ:BZ,$Q38,CA:CA)+SUMIF(BG:BG,$Q38,BH:BH)+SUMIF(BK:BK,$Q38,BL:BL)+SUMIF(BP:BP,$Q38,BQ:BQ)</f>
        <v>#VALUE!</v>
      </c>
      <c r="S38" s="264" t="e">
        <f aca="false">SUMIF(AM:AM,$Q38,AP:AP)+SUMIF(BU:BU,$Q38,BW:BW)+SUMIF(BZ:BZ,$Q38,CB:CB)</f>
        <v>#VALUE!</v>
      </c>
      <c r="T38" s="264" t="e">
        <f aca="false">SUMIF(AQ:AQ,$Q38,AT:AT)+SUMIF(BG:BG,$Q38,BJ:BJ)+SUMIF(BK:BK,$Q38,BN:BN)</f>
        <v>#VALUE!</v>
      </c>
      <c r="U38" s="264" t="e">
        <f aca="false">SUMIF(AM:AM,$Q38,AO:AO)+SUMIF(AQ:AQ,$Q38,AS:AS)+SUMIF(BG:BG,$Q38,BI:BI)+SUMIF(BK:BK,$Q38,BM:BM)</f>
        <v>#VALUE!</v>
      </c>
      <c r="V38" s="264" t="e">
        <f aca="false">SUMIF(AU:AU,$Q38,AW:AW)</f>
        <v>#VALUE!</v>
      </c>
      <c r="W38" s="264" t="e">
        <f aca="false">SUMIF(AU:AU,$Q38,AX:AX)</f>
        <v>#VALUE!</v>
      </c>
      <c r="X38" s="264" t="e">
        <f aca="false">SUMIF(BP:BP,$Q38,BR:BR)</f>
        <v>#VALUE!</v>
      </c>
      <c r="Y38" s="266" t="e">
        <f aca="false">SUMIF(BP:BP,$Q38,BS:BS)</f>
        <v>#VALUE!</v>
      </c>
      <c r="Z38" s="264" t="e">
        <f aca="false">SUMIF(BU:BU,$Q38,BX:BX)+SUMIF(BZ:BZ,$Q38,CC:CC)</f>
        <v>#VALUE!</v>
      </c>
      <c r="AB38" s="320" t="e">
        <f aca="false">Q38</f>
        <v>#VALUE!</v>
      </c>
      <c r="AC38" s="321" t="e">
        <f aca="false">VLOOKUP(AB38,CE39:CK144,7,FALSE())</f>
        <v>#VALUE!</v>
      </c>
      <c r="AD38" s="264" t="e">
        <f aca="false">VLOOKUP(AB38,CE39:CJ144,3,FALSE())</f>
        <v>#VALUE!</v>
      </c>
      <c r="AE38" s="264" t="e">
        <f aca="false">VLOOKUP(AB38,CE39:CJ144,2,FALSE())</f>
        <v>#VALUE!</v>
      </c>
      <c r="AF38" s="264" t="e">
        <f aca="false">VLOOKUP(AB38,CE39:CJ144,4,FALSE())</f>
        <v>#VALUE!</v>
      </c>
      <c r="AG38" s="264" t="e">
        <f aca="false">VLOOKUP(AB38,CE39:CJ144,5,FALSE())</f>
        <v>#VALUE!</v>
      </c>
      <c r="AH38" s="264" t="e">
        <f aca="false">VLOOKUP(AB38,CE39:CJ144,6,FALSE())</f>
        <v>#VALUE!</v>
      </c>
      <c r="AI38" s="264" t="e">
        <f aca="false">VLOOKUP(AB38,CE39:CM144,8,FALSE())</f>
        <v>#VALUE!</v>
      </c>
      <c r="AJ38" s="266" t="e">
        <f aca="false">VLOOKUP(AB38,CE39:CM144,9,FALSE())</f>
        <v>#VALUE!</v>
      </c>
      <c r="AK38" s="264" t="e">
        <f aca="false">VLOOKUP(AB38,CE39:CN144,10,FALSE())</f>
        <v>#VALUE!</v>
      </c>
      <c r="AM38" s="322" t="e">
        <f aca="false">LongTerm1!D43</f>
        <v>#VALUE!</v>
      </c>
      <c r="AN38" s="323" t="e">
        <f aca="false">(LongTerm1!BM43+LongTerm1!BL43/(1-LongTerm1!AR43))*(LongTerm1!F43*LongTerm1!AF43*LongTerm1!AH43)/10000</f>
        <v>#VALUE!</v>
      </c>
      <c r="AO38" s="323" t="e">
        <f aca="false">LongTerm1!BM43*(LongTerm1!F43*LongTerm1!AF43*LongTerm1!AH43)/10000</f>
        <v>#VALUE!</v>
      </c>
      <c r="AP38" s="323" t="e">
        <f aca="false">(LongTerm1!BL43/(1-LongTerm1!AR43))*(LongTerm1!F43*LongTerm1!AF43*LongTerm1!AH43)/10000</f>
        <v>#VALUE!</v>
      </c>
      <c r="AQ38" s="324"/>
      <c r="AR38" s="319"/>
      <c r="AS38" s="319"/>
      <c r="AT38" s="319"/>
      <c r="AU38" s="319"/>
      <c r="AV38" s="319"/>
      <c r="AW38" s="319"/>
      <c r="AX38" s="319"/>
      <c r="AY38" s="319"/>
      <c r="AZ38" s="319"/>
      <c r="BA38" s="319"/>
      <c r="BB38" s="319"/>
      <c r="BC38" s="319"/>
      <c r="BD38" s="319"/>
      <c r="BE38" s="319"/>
      <c r="BF38" s="319"/>
      <c r="BG38" s="322" t="e">
        <f aca="false">LongTerm25!D43</f>
        <v>#VALUE!</v>
      </c>
      <c r="BH38" s="323" t="e">
        <f aca="false">(LongTerm25!BM43+LongTerm25!BL43/(1-LongTerm25!AR43))*(LongTerm25!F43*LongTerm25!AF43*LongTerm25!AH43)/10000</f>
        <v>#VALUE!</v>
      </c>
      <c r="BI38" s="323" t="e">
        <f aca="false">LongTerm25!BM43*(LongTerm25!F43*LongTerm25!AF43*LongTerm25!AH43)/10000</f>
        <v>#VALUE!</v>
      </c>
      <c r="BJ38" s="323" t="e">
        <f aca="false">(LongTerm25!BL43/(1-LongTerm25!AR43))*(LongTerm25!F43*LongTerm25!AF43*LongTerm25!AH43)/10000</f>
        <v>#VALUE!</v>
      </c>
      <c r="BK38" s="319"/>
      <c r="BL38" s="319"/>
      <c r="BM38" s="319"/>
      <c r="BN38" s="319"/>
      <c r="BP38" s="325" t="e">
        <f aca="false">LongTerm62!D43</f>
        <v>#VALUE!</v>
      </c>
      <c r="BQ38" s="323" t="e">
        <f aca="false">(LongTerm62!$BM43+LongTerm62!$BL43/(1-LongTerm62!$AR43))*(LongTerm62!$F43*LongTerm62!$AF43*LongTerm62!$AH43)/10000</f>
        <v>#VALUE!</v>
      </c>
      <c r="BR38" s="323" t="e">
        <f aca="false">LongTerm62!$BM43*(LongTerm62!$F43*LongTerm62!$AF43*LongTerm62!$AH43)/10000</f>
        <v>#VALUE!</v>
      </c>
      <c r="BS38" s="323" t="e">
        <f aca="false">(LongTerm62!$BL43/(1-LongTerm62!$AR43))*(LongTerm62!$F43*LongTerm62!$AF43*LongTerm62!$AH43)/10000</f>
        <v>#VALUE!</v>
      </c>
      <c r="BT38" s="265"/>
      <c r="BU38" s="325" t="e">
        <f aca="false">LongTerm107!D43</f>
        <v>#VALUE!</v>
      </c>
      <c r="BV38" s="323" t="e">
        <f aca="false">(LongTerm107!$BM43+LongTerm107!$BL43/(1-LongTerm107!$AR43))*(LongTerm107!$F43*LongTerm107!$AF43*LongTerm107!$AH43)/10000</f>
        <v>#VALUE!</v>
      </c>
      <c r="BW38" s="323" t="e">
        <f aca="false">LongTerm107!$BM43*(LongTerm107!$F43*LongTerm107!$AF43*LongTerm107!$AH43)/10000</f>
        <v>#VALUE!</v>
      </c>
      <c r="BX38" s="323" t="e">
        <f aca="false">(LongTerm107!$BL43/(1-LongTerm107!$AR43))*(LongTerm107!$F43*LongTerm107!$AF43*LongTerm107!$AH43)/10000</f>
        <v>#VALUE!</v>
      </c>
      <c r="BY38" s="326"/>
      <c r="BZ38" s="325" t="e">
        <f aca="false">LongTerm108!D43</f>
        <v>#VALUE!</v>
      </c>
      <c r="CA38" s="323" t="e">
        <f aca="false">(LongTerm108!$BM43+LongTerm108!$BL43/(1-LongTerm108!$AR43))*(LongTerm108!$F43*LongTerm108!$AF43*LongTerm108!$AH43)/10000</f>
        <v>#VALUE!</v>
      </c>
      <c r="CB38" s="323" t="e">
        <f aca="false">LongTerm108!$BM43*(LongTerm108!$F43*LongTerm108!$AF43*LongTerm108!$AH43)/10000</f>
        <v>#VALUE!</v>
      </c>
      <c r="CC38" s="323" t="e">
        <f aca="false">(LongTerm108!$BL43/(1-LongTerm108!$AR43))*(LongTerm108!$F43*LongTerm108!$AF43*LongTerm108!$AH43)/10000</f>
        <v>#VALUE!</v>
      </c>
      <c r="CD38" s="332"/>
      <c r="CE38" s="333" t="n">
        <f aca="false">EOMONTH(CE37,0)+15</f>
        <v>37667</v>
      </c>
      <c r="CF38" s="337" t="n">
        <v>26.6</v>
      </c>
      <c r="CG38" s="337" t="n">
        <v>60.1</v>
      </c>
      <c r="CH38" s="337" t="n">
        <v>-129.4</v>
      </c>
      <c r="CI38" s="337" t="n">
        <v>0</v>
      </c>
      <c r="CJ38" s="337" t="n">
        <v>0</v>
      </c>
      <c r="CK38" s="337" t="n">
        <v>0.8</v>
      </c>
      <c r="CL38" s="337" t="n">
        <v>-14.3</v>
      </c>
      <c r="CM38" s="337" t="n">
        <v>13.3</v>
      </c>
      <c r="CN38" s="337" t="n">
        <v>43.6</v>
      </c>
    </row>
    <row r="39" customFormat="false" ht="12.75" hidden="false" customHeight="false" outlineLevel="0" collapsed="false">
      <c r="B39" s="320" t="e">
        <f aca="false">Q39</f>
        <v>#VALUE!</v>
      </c>
      <c r="C39" s="319" t="e">
        <f aca="false">YEAR(B39)</f>
        <v>#VALUE!</v>
      </c>
      <c r="D39" s="266" t="e">
        <f aca="false">R39+AC39</f>
        <v>#VALUE!</v>
      </c>
      <c r="E39" s="266" t="e">
        <f aca="false">S39+AD39</f>
        <v>#VALUE!</v>
      </c>
      <c r="F39" s="266" t="e">
        <f aca="false">+T39+AE39</f>
        <v>#VALUE!</v>
      </c>
      <c r="G39" s="266" t="e">
        <f aca="false">+U39+AF39</f>
        <v>#VALUE!</v>
      </c>
      <c r="H39" s="266" t="e">
        <f aca="false">V39+AG39</f>
        <v>#VALUE!</v>
      </c>
      <c r="I39" s="266" t="e">
        <f aca="false">W39+AH39</f>
        <v>#VALUE!</v>
      </c>
      <c r="J39" s="265"/>
      <c r="K39" s="265"/>
      <c r="L39" s="265"/>
      <c r="M39" s="266" t="e">
        <f aca="false">X39+AI39</f>
        <v>#VALUE!</v>
      </c>
      <c r="N39" s="264" t="e">
        <f aca="false">Y39+AJ39</f>
        <v>#VALUE!</v>
      </c>
      <c r="O39" s="264" t="e">
        <f aca="false">Z39+AK39</f>
        <v>#VALUE!</v>
      </c>
      <c r="Q39" s="320" t="e">
        <f aca="false">EOMONTH(Q38,0)+15</f>
        <v>#VALUE!</v>
      </c>
      <c r="R39" s="266" t="e">
        <f aca="false">SUMIF(AM:AM,$Q39,AN:AN)+SUMIF(AQ:AQ,$Q39,AR:AR)+SUMIF(AU:AU,$Q39,AV:AV)+SUMIF(BU:BU,$Q39,BV:BV)+SUMIF(BZ:BZ,$Q39,CA:CA)+SUMIF(BG:BG,$Q39,BH:BH)+SUMIF(BK:BK,$Q39,BL:BL)+SUMIF(BP:BP,$Q39,BQ:BQ)</f>
        <v>#VALUE!</v>
      </c>
      <c r="S39" s="264" t="e">
        <f aca="false">SUMIF(AM:AM,$Q39,AP:AP)+SUMIF(BU:BU,$Q39,BW:BW)+SUMIF(BZ:BZ,$Q39,CB:CB)</f>
        <v>#VALUE!</v>
      </c>
      <c r="T39" s="264" t="e">
        <f aca="false">SUMIF(AQ:AQ,$Q39,AT:AT)+SUMIF(BG:BG,$Q39,BJ:BJ)+SUMIF(BK:BK,$Q39,BN:BN)</f>
        <v>#VALUE!</v>
      </c>
      <c r="U39" s="264" t="e">
        <f aca="false">SUMIF(AM:AM,$Q39,AO:AO)+SUMIF(AQ:AQ,$Q39,AS:AS)+SUMIF(BG:BG,$Q39,BI:BI)+SUMIF(BK:BK,$Q39,BM:BM)</f>
        <v>#VALUE!</v>
      </c>
      <c r="V39" s="264" t="e">
        <f aca="false">SUMIF(AU:AU,$Q39,AW:AW)</f>
        <v>#VALUE!</v>
      </c>
      <c r="W39" s="264" t="e">
        <f aca="false">SUMIF(AU:AU,$Q39,AX:AX)</f>
        <v>#VALUE!</v>
      </c>
      <c r="X39" s="264" t="e">
        <f aca="false">SUMIF(BP:BP,$Q39,BR:BR)</f>
        <v>#VALUE!</v>
      </c>
      <c r="Y39" s="266" t="e">
        <f aca="false">SUMIF(BP:BP,$Q39,BS:BS)</f>
        <v>#VALUE!</v>
      </c>
      <c r="Z39" s="264" t="e">
        <f aca="false">SUMIF(BU:BU,$Q39,BX:BX)+SUMIF(BZ:BZ,$Q39,CC:CC)</f>
        <v>#VALUE!</v>
      </c>
      <c r="AB39" s="320" t="e">
        <f aca="false">Q39</f>
        <v>#VALUE!</v>
      </c>
      <c r="AC39" s="321" t="e">
        <f aca="false">VLOOKUP(AB39,CE40:CK145,7,FALSE())</f>
        <v>#VALUE!</v>
      </c>
      <c r="AD39" s="264" t="e">
        <f aca="false">VLOOKUP(AB39,CE40:CJ145,3,FALSE())</f>
        <v>#VALUE!</v>
      </c>
      <c r="AE39" s="264" t="e">
        <f aca="false">VLOOKUP(AB39,CE40:CJ145,2,FALSE())</f>
        <v>#VALUE!</v>
      </c>
      <c r="AF39" s="264" t="e">
        <f aca="false">VLOOKUP(AB39,CE40:CJ145,4,FALSE())</f>
        <v>#VALUE!</v>
      </c>
      <c r="AG39" s="264" t="e">
        <f aca="false">VLOOKUP(AB39,CE40:CJ145,5,FALSE())</f>
        <v>#VALUE!</v>
      </c>
      <c r="AH39" s="264" t="e">
        <f aca="false">VLOOKUP(AB39,CE40:CJ145,6,FALSE())</f>
        <v>#VALUE!</v>
      </c>
      <c r="AI39" s="264" t="e">
        <f aca="false">VLOOKUP(AB39,CE40:CM145,8,FALSE())</f>
        <v>#VALUE!</v>
      </c>
      <c r="AJ39" s="266" t="e">
        <f aca="false">VLOOKUP(AB39,CE40:CM145,9,FALSE())</f>
        <v>#VALUE!</v>
      </c>
      <c r="AK39" s="264" t="e">
        <f aca="false">VLOOKUP(AB39,CE40:CN145,10,FALSE())</f>
        <v>#VALUE!</v>
      </c>
      <c r="AM39" s="322" t="e">
        <f aca="false">LongTerm1!D44</f>
        <v>#VALUE!</v>
      </c>
      <c r="AN39" s="323" t="e">
        <f aca="false">(LongTerm1!BM44+LongTerm1!BL44/(1-LongTerm1!AR44))*(LongTerm1!F44*LongTerm1!AF44*LongTerm1!AH44)/10000</f>
        <v>#VALUE!</v>
      </c>
      <c r="AO39" s="323" t="e">
        <f aca="false">LongTerm1!BM44*(LongTerm1!F44*LongTerm1!AF44*LongTerm1!AH44)/10000</f>
        <v>#VALUE!</v>
      </c>
      <c r="AP39" s="323" t="e">
        <f aca="false">(LongTerm1!BL44/(1-LongTerm1!AR44))*(LongTerm1!F44*LongTerm1!AF44*LongTerm1!AH44)/10000</f>
        <v>#VALUE!</v>
      </c>
      <c r="AQ39" s="324"/>
      <c r="AR39" s="319"/>
      <c r="AS39" s="319"/>
      <c r="AT39" s="319"/>
      <c r="AU39" s="319"/>
      <c r="AV39" s="319"/>
      <c r="AW39" s="319"/>
      <c r="AX39" s="319"/>
      <c r="AY39" s="319"/>
      <c r="AZ39" s="319"/>
      <c r="BA39" s="319"/>
      <c r="BB39" s="319"/>
      <c r="BC39" s="319"/>
      <c r="BD39" s="319"/>
      <c r="BE39" s="319"/>
      <c r="BF39" s="319"/>
      <c r="BG39" s="322" t="e">
        <f aca="false">LongTerm25!D44</f>
        <v>#VALUE!</v>
      </c>
      <c r="BH39" s="323" t="e">
        <f aca="false">(LongTerm25!BM44+LongTerm25!BL44/(1-LongTerm25!AR44))*(LongTerm25!F44*LongTerm25!AF44*LongTerm25!AH44)/10000</f>
        <v>#VALUE!</v>
      </c>
      <c r="BI39" s="323" t="e">
        <f aca="false">LongTerm25!BM44*(LongTerm25!F44*LongTerm25!AF44*LongTerm25!AH44)/10000</f>
        <v>#VALUE!</v>
      </c>
      <c r="BJ39" s="323" t="e">
        <f aca="false">(LongTerm25!BL44/(1-LongTerm25!AR44))*(LongTerm25!F44*LongTerm25!AF44*LongTerm25!AH44)/10000</f>
        <v>#VALUE!</v>
      </c>
      <c r="BK39" s="319"/>
      <c r="BL39" s="319"/>
      <c r="BM39" s="319"/>
      <c r="BN39" s="319"/>
      <c r="BP39" s="325" t="e">
        <f aca="false">LongTerm62!D44</f>
        <v>#VALUE!</v>
      </c>
      <c r="BQ39" s="323" t="e">
        <f aca="false">(LongTerm62!$BM44+LongTerm62!$BL44/(1-LongTerm62!$AR44))*(LongTerm62!$F44*LongTerm62!$AF44*LongTerm62!$AH44)/10000</f>
        <v>#VALUE!</v>
      </c>
      <c r="BR39" s="323" t="e">
        <f aca="false">LongTerm62!$BM44*(LongTerm62!$F44*LongTerm62!$AF44*LongTerm62!$AH44)/10000</f>
        <v>#VALUE!</v>
      </c>
      <c r="BS39" s="323" t="e">
        <f aca="false">(LongTerm62!$BL44/(1-LongTerm62!$AR44))*(LongTerm62!$F44*LongTerm62!$AF44*LongTerm62!$AH44)/10000</f>
        <v>#VALUE!</v>
      </c>
      <c r="BT39" s="265"/>
      <c r="BU39" s="325" t="e">
        <f aca="false">LongTerm107!D44</f>
        <v>#VALUE!</v>
      </c>
      <c r="BV39" s="323" t="e">
        <f aca="false">(LongTerm107!$BM44+LongTerm107!$BL44/(1-LongTerm107!$AR44))*(LongTerm107!$F44*LongTerm107!$AF44*LongTerm107!$AH44)/10000</f>
        <v>#VALUE!</v>
      </c>
      <c r="BW39" s="323" t="e">
        <f aca="false">LongTerm107!$BM44*(LongTerm107!$F44*LongTerm107!$AF44*LongTerm107!$AH44)/10000</f>
        <v>#VALUE!</v>
      </c>
      <c r="BX39" s="323" t="e">
        <f aca="false">(LongTerm107!$BL44/(1-LongTerm107!$AR44))*(LongTerm107!$F44*LongTerm107!$AF44*LongTerm107!$AH44)/10000</f>
        <v>#VALUE!</v>
      </c>
      <c r="BY39" s="326"/>
      <c r="BZ39" s="325" t="e">
        <f aca="false">LongTerm108!D44</f>
        <v>#VALUE!</v>
      </c>
      <c r="CA39" s="323" t="e">
        <f aca="false">(LongTerm108!$BM44+LongTerm108!$BL44/(1-LongTerm108!$AR44))*(LongTerm108!$F44*LongTerm108!$AF44*LongTerm108!$AH44)/10000</f>
        <v>#VALUE!</v>
      </c>
      <c r="CB39" s="323" t="e">
        <f aca="false">LongTerm108!$BM44*(LongTerm108!$F44*LongTerm108!$AF44*LongTerm108!$AH44)/10000</f>
        <v>#VALUE!</v>
      </c>
      <c r="CC39" s="323" t="e">
        <f aca="false">(LongTerm108!$BL44/(1-LongTerm108!$AR44))*(LongTerm108!$F44*LongTerm108!$AF44*LongTerm108!$AH44)/10000</f>
        <v>#VALUE!</v>
      </c>
      <c r="CD39" s="332"/>
      <c r="CE39" s="333" t="n">
        <f aca="false">EOMONTH(CE38,0)+15</f>
        <v>37695</v>
      </c>
      <c r="CF39" s="337" t="n">
        <v>28.5</v>
      </c>
      <c r="CG39" s="337" t="n">
        <v>78.3</v>
      </c>
      <c r="CH39" s="337" t="n">
        <v>-144.8</v>
      </c>
      <c r="CI39" s="337" t="n">
        <v>0</v>
      </c>
      <c r="CJ39" s="337" t="n">
        <v>0</v>
      </c>
      <c r="CK39" s="337" t="n">
        <v>0.7</v>
      </c>
      <c r="CL39" s="337" t="n">
        <v>-15.5</v>
      </c>
      <c r="CM39" s="337" t="n">
        <v>15.5</v>
      </c>
      <c r="CN39" s="337" t="n">
        <v>49.3</v>
      </c>
    </row>
    <row r="40" customFormat="false" ht="12.75" hidden="false" customHeight="false" outlineLevel="0" collapsed="false">
      <c r="B40" s="320" t="e">
        <f aca="false">Q40</f>
        <v>#VALUE!</v>
      </c>
      <c r="C40" s="319" t="e">
        <f aca="false">YEAR(B40)</f>
        <v>#VALUE!</v>
      </c>
      <c r="D40" s="266" t="e">
        <f aca="false">R40+AC40</f>
        <v>#VALUE!</v>
      </c>
      <c r="E40" s="266" t="e">
        <f aca="false">S40+AD40</f>
        <v>#VALUE!</v>
      </c>
      <c r="F40" s="266" t="e">
        <f aca="false">+T40+AE40</f>
        <v>#VALUE!</v>
      </c>
      <c r="G40" s="266" t="e">
        <f aca="false">+U40+AF40</f>
        <v>#VALUE!</v>
      </c>
      <c r="H40" s="266" t="e">
        <f aca="false">V40+AG40</f>
        <v>#VALUE!</v>
      </c>
      <c r="I40" s="266" t="e">
        <f aca="false">W40+AH40</f>
        <v>#VALUE!</v>
      </c>
      <c r="J40" s="265"/>
      <c r="K40" s="265"/>
      <c r="L40" s="265"/>
      <c r="M40" s="266" t="e">
        <f aca="false">X40+AI40</f>
        <v>#VALUE!</v>
      </c>
      <c r="N40" s="264" t="e">
        <f aca="false">Y40+AJ40</f>
        <v>#VALUE!</v>
      </c>
      <c r="O40" s="264" t="e">
        <f aca="false">Z40+AK40</f>
        <v>#VALUE!</v>
      </c>
      <c r="Q40" s="320" t="e">
        <f aca="false">EOMONTH(Q39,0)+15</f>
        <v>#VALUE!</v>
      </c>
      <c r="R40" s="266" t="e">
        <f aca="false">SUMIF(AM:AM,$Q40,AN:AN)+SUMIF(AQ:AQ,$Q40,AR:AR)+SUMIF(AU:AU,$Q40,AV:AV)+SUMIF(BU:BU,$Q40,BV:BV)+SUMIF(BZ:BZ,$Q40,CA:CA)+SUMIF(BG:BG,$Q40,BH:BH)+SUMIF(BK:BK,$Q40,BL:BL)+SUMIF(BP:BP,$Q40,BQ:BQ)</f>
        <v>#VALUE!</v>
      </c>
      <c r="S40" s="264" t="e">
        <f aca="false">SUMIF(AM:AM,$Q40,AP:AP)+SUMIF(BU:BU,$Q40,BW:BW)+SUMIF(BZ:BZ,$Q40,CB:CB)</f>
        <v>#VALUE!</v>
      </c>
      <c r="T40" s="264" t="e">
        <f aca="false">SUMIF(AQ:AQ,$Q40,AT:AT)+SUMIF(BG:BG,$Q40,BJ:BJ)+SUMIF(BK:BK,$Q40,BN:BN)</f>
        <v>#VALUE!</v>
      </c>
      <c r="U40" s="264" t="e">
        <f aca="false">SUMIF(AM:AM,$Q40,AO:AO)+SUMIF(AQ:AQ,$Q40,AS:AS)+SUMIF(BG:BG,$Q40,BI:BI)+SUMIF(BK:BK,$Q40,BM:BM)</f>
        <v>#VALUE!</v>
      </c>
      <c r="V40" s="264" t="e">
        <f aca="false">SUMIF(AU:AU,$Q40,AW:AW)</f>
        <v>#VALUE!</v>
      </c>
      <c r="W40" s="264" t="e">
        <f aca="false">SUMIF(AU:AU,$Q40,AX:AX)</f>
        <v>#VALUE!</v>
      </c>
      <c r="X40" s="264" t="e">
        <f aca="false">SUMIF(BP:BP,$Q40,BR:BR)</f>
        <v>#VALUE!</v>
      </c>
      <c r="Y40" s="266" t="e">
        <f aca="false">SUMIF(BP:BP,$Q40,BS:BS)</f>
        <v>#VALUE!</v>
      </c>
      <c r="Z40" s="264" t="e">
        <f aca="false">SUMIF(BU:BU,$Q40,BX:BX)+SUMIF(BZ:BZ,$Q40,CC:CC)</f>
        <v>#VALUE!</v>
      </c>
      <c r="AB40" s="320" t="e">
        <f aca="false">Q40</f>
        <v>#VALUE!</v>
      </c>
      <c r="AC40" s="321" t="e">
        <f aca="false">VLOOKUP(AB40,CE41:CK146,7,FALSE())</f>
        <v>#VALUE!</v>
      </c>
      <c r="AD40" s="264" t="e">
        <f aca="false">VLOOKUP(AB40,CE41:CJ146,3,FALSE())</f>
        <v>#VALUE!</v>
      </c>
      <c r="AE40" s="264" t="e">
        <f aca="false">VLOOKUP(AB40,CE41:CJ146,2,FALSE())</f>
        <v>#VALUE!</v>
      </c>
      <c r="AF40" s="264" t="e">
        <f aca="false">VLOOKUP(AB40,CE41:CJ146,4,FALSE())</f>
        <v>#VALUE!</v>
      </c>
      <c r="AG40" s="264" t="e">
        <f aca="false">VLOOKUP(AB40,CE41:CJ146,5,FALSE())</f>
        <v>#VALUE!</v>
      </c>
      <c r="AH40" s="264" t="e">
        <f aca="false">VLOOKUP(AB40,CE41:CJ146,6,FALSE())</f>
        <v>#VALUE!</v>
      </c>
      <c r="AI40" s="264" t="e">
        <f aca="false">VLOOKUP(AB40,CE41:CM146,8,FALSE())</f>
        <v>#VALUE!</v>
      </c>
      <c r="AJ40" s="266" t="e">
        <f aca="false">VLOOKUP(AB40,CE41:CM146,9,FALSE())</f>
        <v>#VALUE!</v>
      </c>
      <c r="AK40" s="264" t="e">
        <f aca="false">VLOOKUP(AB40,CE41:CN146,10,FALSE())</f>
        <v>#VALUE!</v>
      </c>
      <c r="AM40" s="322" t="e">
        <f aca="false">LongTerm1!D45</f>
        <v>#VALUE!</v>
      </c>
      <c r="AN40" s="323" t="e">
        <f aca="false">(LongTerm1!BM45+LongTerm1!BL45/(1-LongTerm1!AR45))*(LongTerm1!F45*LongTerm1!AF45*LongTerm1!AH45)/10000</f>
        <v>#VALUE!</v>
      </c>
      <c r="AO40" s="323" t="e">
        <f aca="false">LongTerm1!BM45*(LongTerm1!F45*LongTerm1!AF45*LongTerm1!AH45)/10000</f>
        <v>#VALUE!</v>
      </c>
      <c r="AP40" s="323" t="e">
        <f aca="false">(LongTerm1!BL45/(1-LongTerm1!AR45))*(LongTerm1!F45*LongTerm1!AF45*LongTerm1!AH45)/10000</f>
        <v>#VALUE!</v>
      </c>
      <c r="AQ40" s="324"/>
      <c r="AR40" s="319"/>
      <c r="AS40" s="319"/>
      <c r="AT40" s="319"/>
      <c r="AU40" s="319"/>
      <c r="AV40" s="319"/>
      <c r="AW40" s="319"/>
      <c r="AX40" s="319"/>
      <c r="AY40" s="319"/>
      <c r="AZ40" s="319"/>
      <c r="BA40" s="319"/>
      <c r="BB40" s="319"/>
      <c r="BC40" s="319"/>
      <c r="BD40" s="319"/>
      <c r="BE40" s="319"/>
      <c r="BF40" s="319"/>
      <c r="BG40" s="322" t="e">
        <f aca="false">LongTerm25!D45</f>
        <v>#VALUE!</v>
      </c>
      <c r="BH40" s="323" t="e">
        <f aca="false">(LongTerm25!BM45+LongTerm25!BL45/(1-LongTerm25!AR45))*(LongTerm25!F45*LongTerm25!AF45*LongTerm25!AH45)/10000</f>
        <v>#VALUE!</v>
      </c>
      <c r="BI40" s="323" t="e">
        <f aca="false">LongTerm25!BM45*(LongTerm25!F45*LongTerm25!AF45*LongTerm25!AH45)/10000</f>
        <v>#VALUE!</v>
      </c>
      <c r="BJ40" s="323" t="e">
        <f aca="false">(LongTerm25!BL45/(1-LongTerm25!AR45))*(LongTerm25!F45*LongTerm25!AF45*LongTerm25!AH45)/10000</f>
        <v>#VALUE!</v>
      </c>
      <c r="BK40" s="319"/>
      <c r="BL40" s="319"/>
      <c r="BM40" s="319"/>
      <c r="BN40" s="319"/>
      <c r="BP40" s="325" t="e">
        <f aca="false">LongTerm62!D45</f>
        <v>#VALUE!</v>
      </c>
      <c r="BQ40" s="323" t="e">
        <f aca="false">(LongTerm62!$BM45+LongTerm62!$BL45/(1-LongTerm62!$AR45))*(LongTerm62!$F45*LongTerm62!$AF45*LongTerm62!$AH45)/10000</f>
        <v>#VALUE!</v>
      </c>
      <c r="BR40" s="323" t="e">
        <f aca="false">LongTerm62!$BM45*(LongTerm62!$F45*LongTerm62!$AF45*LongTerm62!$AH45)/10000</f>
        <v>#VALUE!</v>
      </c>
      <c r="BS40" s="323" t="e">
        <f aca="false">(LongTerm62!$BL45/(1-LongTerm62!$AR45))*(LongTerm62!$F45*LongTerm62!$AF45*LongTerm62!$AH45)/10000</f>
        <v>#VALUE!</v>
      </c>
      <c r="BT40" s="265"/>
      <c r="BU40" s="325" t="e">
        <f aca="false">LongTerm107!D45</f>
        <v>#VALUE!</v>
      </c>
      <c r="BV40" s="323" t="e">
        <f aca="false">(LongTerm107!$BM45+LongTerm107!$BL45/(1-LongTerm107!$AR45))*(LongTerm107!$F45*LongTerm107!$AF45*LongTerm107!$AH45)/10000</f>
        <v>#VALUE!</v>
      </c>
      <c r="BW40" s="323" t="e">
        <f aca="false">LongTerm107!$BM45*(LongTerm107!$F45*LongTerm107!$AF45*LongTerm107!$AH45)/10000</f>
        <v>#VALUE!</v>
      </c>
      <c r="BX40" s="323" t="e">
        <f aca="false">(LongTerm107!$BL45/(1-LongTerm107!$AR45))*(LongTerm107!$F45*LongTerm107!$AF45*LongTerm107!$AH45)/10000</f>
        <v>#VALUE!</v>
      </c>
      <c r="BY40" s="326"/>
      <c r="BZ40" s="325" t="e">
        <f aca="false">LongTerm108!D45</f>
        <v>#VALUE!</v>
      </c>
      <c r="CA40" s="323" t="e">
        <f aca="false">(LongTerm108!$BM45+LongTerm108!$BL45/(1-LongTerm108!$AR45))*(LongTerm108!$F45*LongTerm108!$AF45*LongTerm108!$AH45)/10000</f>
        <v>#VALUE!</v>
      </c>
      <c r="CB40" s="323" t="e">
        <f aca="false">LongTerm108!$BM45*(LongTerm108!$F45*LongTerm108!$AF45*LongTerm108!$AH45)/10000</f>
        <v>#VALUE!</v>
      </c>
      <c r="CC40" s="323" t="e">
        <f aca="false">(LongTerm108!$BL45/(1-LongTerm108!$AR45))*(LongTerm108!$F45*LongTerm108!$AF45*LongTerm108!$AH45)/10000</f>
        <v>#VALUE!</v>
      </c>
      <c r="CD40" s="332"/>
      <c r="CE40" s="333" t="n">
        <f aca="false">EOMONTH(CE39,0)+15</f>
        <v>37726</v>
      </c>
      <c r="CF40" s="337" t="n">
        <v>27.8</v>
      </c>
      <c r="CG40" s="337" t="n">
        <v>103.1</v>
      </c>
      <c r="CH40" s="337" t="n">
        <v>-150.5</v>
      </c>
      <c r="CI40" s="337" t="n">
        <v>0</v>
      </c>
      <c r="CJ40" s="337" t="n">
        <v>0</v>
      </c>
      <c r="CK40" s="337" t="n">
        <v>0.7</v>
      </c>
      <c r="CL40" s="337" t="n">
        <v>0</v>
      </c>
      <c r="CM40" s="337" t="n">
        <v>0</v>
      </c>
      <c r="CN40" s="337" t="n">
        <v>61.7</v>
      </c>
    </row>
    <row r="41" customFormat="false" ht="12.75" hidden="false" customHeight="false" outlineLevel="0" collapsed="false">
      <c r="B41" s="320" t="e">
        <f aca="false">Q41</f>
        <v>#VALUE!</v>
      </c>
      <c r="C41" s="319" t="e">
        <f aca="false">YEAR(B41)</f>
        <v>#VALUE!</v>
      </c>
      <c r="D41" s="266" t="e">
        <f aca="false">R41+AC41</f>
        <v>#VALUE!</v>
      </c>
      <c r="E41" s="266" t="e">
        <f aca="false">S41+AD41</f>
        <v>#VALUE!</v>
      </c>
      <c r="F41" s="266" t="e">
        <f aca="false">+T41+AE41</f>
        <v>#VALUE!</v>
      </c>
      <c r="G41" s="266" t="e">
        <f aca="false">+U41+AF41</f>
        <v>#VALUE!</v>
      </c>
      <c r="H41" s="266" t="e">
        <f aca="false">V41+AG41</f>
        <v>#VALUE!</v>
      </c>
      <c r="I41" s="266" t="e">
        <f aca="false">W41+AH41</f>
        <v>#VALUE!</v>
      </c>
      <c r="J41" s="265"/>
      <c r="K41" s="265"/>
      <c r="L41" s="265"/>
      <c r="M41" s="266" t="e">
        <f aca="false">X41+AI41</f>
        <v>#VALUE!</v>
      </c>
      <c r="N41" s="264" t="e">
        <f aca="false">Y41+AJ41</f>
        <v>#VALUE!</v>
      </c>
      <c r="O41" s="264" t="e">
        <f aca="false">Z41+AK41</f>
        <v>#VALUE!</v>
      </c>
      <c r="Q41" s="320" t="e">
        <f aca="false">EOMONTH(Q40,0)+15</f>
        <v>#VALUE!</v>
      </c>
      <c r="R41" s="266" t="e">
        <f aca="false">SUMIF(AM:AM,$Q41,AN:AN)+SUMIF(AQ:AQ,$Q41,AR:AR)+SUMIF(AU:AU,$Q41,AV:AV)+SUMIF(BU:BU,$Q41,BV:BV)+SUMIF(BZ:BZ,$Q41,CA:CA)+SUMIF(BG:BG,$Q41,BH:BH)+SUMIF(BK:BK,$Q41,BL:BL)+SUMIF(BP:BP,$Q41,BQ:BQ)</f>
        <v>#VALUE!</v>
      </c>
      <c r="S41" s="264" t="e">
        <f aca="false">SUMIF(AM:AM,$Q41,AP:AP)+SUMIF(BU:BU,$Q41,BW:BW)+SUMIF(BZ:BZ,$Q41,CB:CB)</f>
        <v>#VALUE!</v>
      </c>
      <c r="T41" s="264" t="e">
        <f aca="false">SUMIF(AQ:AQ,$Q41,AT:AT)+SUMIF(BG:BG,$Q41,BJ:BJ)+SUMIF(BK:BK,$Q41,BN:BN)</f>
        <v>#VALUE!</v>
      </c>
      <c r="U41" s="264" t="e">
        <f aca="false">SUMIF(AM:AM,$Q41,AO:AO)+SUMIF(AQ:AQ,$Q41,AS:AS)+SUMIF(BG:BG,$Q41,BI:BI)+SUMIF(BK:BK,$Q41,BM:BM)</f>
        <v>#VALUE!</v>
      </c>
      <c r="V41" s="264" t="e">
        <f aca="false">SUMIF(AU:AU,$Q41,AW:AW)</f>
        <v>#VALUE!</v>
      </c>
      <c r="W41" s="264" t="e">
        <f aca="false">SUMIF(AU:AU,$Q41,AX:AX)</f>
        <v>#VALUE!</v>
      </c>
      <c r="X41" s="264" t="e">
        <f aca="false">SUMIF(BP:BP,$Q41,BR:BR)</f>
        <v>#VALUE!</v>
      </c>
      <c r="Y41" s="266" t="e">
        <f aca="false">SUMIF(BP:BP,$Q41,BS:BS)</f>
        <v>#VALUE!</v>
      </c>
      <c r="Z41" s="264" t="e">
        <f aca="false">SUMIF(BU:BU,$Q41,BX:BX)+SUMIF(BZ:BZ,$Q41,CC:CC)</f>
        <v>#VALUE!</v>
      </c>
      <c r="AB41" s="320" t="e">
        <f aca="false">Q41</f>
        <v>#VALUE!</v>
      </c>
      <c r="AC41" s="321" t="e">
        <f aca="false">VLOOKUP(AB41,CE42:CK147,7,FALSE())</f>
        <v>#VALUE!</v>
      </c>
      <c r="AD41" s="264" t="e">
        <f aca="false">VLOOKUP(AB41,CE42:CJ147,3,FALSE())</f>
        <v>#VALUE!</v>
      </c>
      <c r="AE41" s="264" t="e">
        <f aca="false">VLOOKUP(AB41,CE42:CJ147,2,FALSE())</f>
        <v>#VALUE!</v>
      </c>
      <c r="AF41" s="264" t="e">
        <f aca="false">VLOOKUP(AB41,CE42:CJ147,4,FALSE())</f>
        <v>#VALUE!</v>
      </c>
      <c r="AG41" s="264" t="e">
        <f aca="false">VLOOKUP(AB41,CE42:CJ147,5,FALSE())</f>
        <v>#VALUE!</v>
      </c>
      <c r="AH41" s="264" t="e">
        <f aca="false">VLOOKUP(AB41,CE42:CJ147,6,FALSE())</f>
        <v>#VALUE!</v>
      </c>
      <c r="AI41" s="264" t="e">
        <f aca="false">VLOOKUP(AB41,CE42:CM147,8,FALSE())</f>
        <v>#VALUE!</v>
      </c>
      <c r="AJ41" s="266" t="e">
        <f aca="false">VLOOKUP(AB41,CE42:CM147,9,FALSE())</f>
        <v>#VALUE!</v>
      </c>
      <c r="AK41" s="264" t="e">
        <f aca="false">VLOOKUP(AB41,CE42:CN147,10,FALSE())</f>
        <v>#VALUE!</v>
      </c>
      <c r="AM41" s="322" t="e">
        <f aca="false">LongTerm1!D46</f>
        <v>#VALUE!</v>
      </c>
      <c r="AN41" s="323" t="e">
        <f aca="false">(LongTerm1!BM46+LongTerm1!BL46/(1-LongTerm1!AR46))*(LongTerm1!F46*LongTerm1!AF46*LongTerm1!AH46)/10000</f>
        <v>#VALUE!</v>
      </c>
      <c r="AO41" s="323" t="e">
        <f aca="false">LongTerm1!BM46*(LongTerm1!F46*LongTerm1!AF46*LongTerm1!AH46)/10000</f>
        <v>#VALUE!</v>
      </c>
      <c r="AP41" s="323" t="e">
        <f aca="false">(LongTerm1!BL46/(1-LongTerm1!AR46))*(LongTerm1!F46*LongTerm1!AF46*LongTerm1!AH46)/10000</f>
        <v>#VALUE!</v>
      </c>
      <c r="AQ41" s="324"/>
      <c r="AR41" s="319"/>
      <c r="AS41" s="319"/>
      <c r="AT41" s="319"/>
      <c r="AU41" s="319"/>
      <c r="AV41" s="319"/>
      <c r="AW41" s="319"/>
      <c r="AX41" s="319"/>
      <c r="AY41" s="319"/>
      <c r="AZ41" s="319"/>
      <c r="BA41" s="319"/>
      <c r="BB41" s="319"/>
      <c r="BC41" s="319"/>
      <c r="BD41" s="319"/>
      <c r="BE41" s="319"/>
      <c r="BF41" s="319"/>
      <c r="BG41" s="322" t="e">
        <f aca="false">LongTerm25!D46</f>
        <v>#VALUE!</v>
      </c>
      <c r="BH41" s="323" t="e">
        <f aca="false">(LongTerm25!BM46+LongTerm25!BL46/(1-LongTerm25!AR46))*(LongTerm25!F46*LongTerm25!AF46*LongTerm25!AH46)/10000</f>
        <v>#VALUE!</v>
      </c>
      <c r="BI41" s="323" t="e">
        <f aca="false">LongTerm25!BM46*(LongTerm25!F46*LongTerm25!AF46*LongTerm25!AH46)/10000</f>
        <v>#VALUE!</v>
      </c>
      <c r="BJ41" s="323" t="e">
        <f aca="false">(LongTerm25!BL46/(1-LongTerm25!AR46))*(LongTerm25!F46*LongTerm25!AF46*LongTerm25!AH46)/10000</f>
        <v>#VALUE!</v>
      </c>
      <c r="BK41" s="319"/>
      <c r="BL41" s="319"/>
      <c r="BM41" s="319"/>
      <c r="BN41" s="319"/>
      <c r="BP41" s="325" t="e">
        <f aca="false">LongTerm62!D46</f>
        <v>#VALUE!</v>
      </c>
      <c r="BQ41" s="323" t="e">
        <f aca="false">(LongTerm62!$BM46+LongTerm62!$BL46/(1-LongTerm62!$AR46))*(LongTerm62!$F46*LongTerm62!$AF46*LongTerm62!$AH46)/10000</f>
        <v>#VALUE!</v>
      </c>
      <c r="BR41" s="323" t="e">
        <f aca="false">LongTerm62!$BM46*(LongTerm62!$F46*LongTerm62!$AF46*LongTerm62!$AH46)/10000</f>
        <v>#VALUE!</v>
      </c>
      <c r="BS41" s="323" t="e">
        <f aca="false">(LongTerm62!$BL46/(1-LongTerm62!$AR46))*(LongTerm62!$F46*LongTerm62!$AF46*LongTerm62!$AH46)/10000</f>
        <v>#VALUE!</v>
      </c>
      <c r="BT41" s="265"/>
      <c r="BU41" s="325" t="e">
        <f aca="false">LongTerm107!D46</f>
        <v>#VALUE!</v>
      </c>
      <c r="BV41" s="323" t="e">
        <f aca="false">(LongTerm107!$BM46+LongTerm107!$BL46/(1-LongTerm107!$AR46))*(LongTerm107!$F46*LongTerm107!$AF46*LongTerm107!$AH46)/10000</f>
        <v>#VALUE!</v>
      </c>
      <c r="BW41" s="323" t="e">
        <f aca="false">LongTerm107!$BM46*(LongTerm107!$F46*LongTerm107!$AF46*LongTerm107!$AH46)/10000</f>
        <v>#VALUE!</v>
      </c>
      <c r="BX41" s="323" t="e">
        <f aca="false">(LongTerm107!$BL46/(1-LongTerm107!$AR46))*(LongTerm107!$F46*LongTerm107!$AF46*LongTerm107!$AH46)/10000</f>
        <v>#VALUE!</v>
      </c>
      <c r="BY41" s="326"/>
      <c r="BZ41" s="325" t="e">
        <f aca="false">LongTerm108!D46</f>
        <v>#VALUE!</v>
      </c>
      <c r="CA41" s="323" t="e">
        <f aca="false">(LongTerm108!$BM46+LongTerm108!$BL46/(1-LongTerm108!$AR46))*(LongTerm108!$F46*LongTerm108!$AF46*LongTerm108!$AH46)/10000</f>
        <v>#VALUE!</v>
      </c>
      <c r="CB41" s="323" t="e">
        <f aca="false">LongTerm108!$BM46*(LongTerm108!$F46*LongTerm108!$AF46*LongTerm108!$AH46)/10000</f>
        <v>#VALUE!</v>
      </c>
      <c r="CC41" s="323" t="e">
        <f aca="false">(LongTerm108!$BL46/(1-LongTerm108!$AR46))*(LongTerm108!$F46*LongTerm108!$AF46*LongTerm108!$AH46)/10000</f>
        <v>#VALUE!</v>
      </c>
      <c r="CD41" s="332"/>
      <c r="CE41" s="333" t="n">
        <f aca="false">EOMONTH(CE40,0)+15</f>
        <v>37756</v>
      </c>
      <c r="CF41" s="337" t="n">
        <v>29</v>
      </c>
      <c r="CG41" s="337" t="n">
        <v>101.9</v>
      </c>
      <c r="CH41" s="337" t="n">
        <v>-190.8</v>
      </c>
      <c r="CI41" s="337" t="n">
        <v>0</v>
      </c>
      <c r="CJ41" s="337" t="n">
        <v>0</v>
      </c>
      <c r="CK41" s="337" t="n">
        <v>0.7</v>
      </c>
      <c r="CL41" s="337" t="n">
        <v>0</v>
      </c>
      <c r="CM41" s="337" t="n">
        <v>0</v>
      </c>
      <c r="CN41" s="337" t="n">
        <v>62.5</v>
      </c>
    </row>
    <row r="42" customFormat="false" ht="12.75" hidden="false" customHeight="false" outlineLevel="0" collapsed="false">
      <c r="B42" s="320" t="e">
        <f aca="false">Q42</f>
        <v>#VALUE!</v>
      </c>
      <c r="C42" s="319" t="e">
        <f aca="false">YEAR(B42)</f>
        <v>#VALUE!</v>
      </c>
      <c r="D42" s="266" t="e">
        <f aca="false">R42+AC42</f>
        <v>#VALUE!</v>
      </c>
      <c r="E42" s="266" t="e">
        <f aca="false">S42+AD42</f>
        <v>#VALUE!</v>
      </c>
      <c r="F42" s="266" t="e">
        <f aca="false">+T42+AE42</f>
        <v>#VALUE!</v>
      </c>
      <c r="G42" s="266" t="e">
        <f aca="false">+U42+AF42</f>
        <v>#VALUE!</v>
      </c>
      <c r="H42" s="266" t="e">
        <f aca="false">V42+AG42</f>
        <v>#VALUE!</v>
      </c>
      <c r="I42" s="266" t="e">
        <f aca="false">W42+AH42</f>
        <v>#VALUE!</v>
      </c>
      <c r="J42" s="265"/>
      <c r="K42" s="265"/>
      <c r="L42" s="265"/>
      <c r="M42" s="266" t="e">
        <f aca="false">X42+AI42</f>
        <v>#VALUE!</v>
      </c>
      <c r="N42" s="264" t="e">
        <f aca="false">Y42+AJ42</f>
        <v>#VALUE!</v>
      </c>
      <c r="O42" s="264" t="e">
        <f aca="false">Z42+AK42</f>
        <v>#VALUE!</v>
      </c>
      <c r="Q42" s="320" t="e">
        <f aca="false">EOMONTH(Q41,0)+15</f>
        <v>#VALUE!</v>
      </c>
      <c r="R42" s="266" t="e">
        <f aca="false">SUMIF(AM:AM,$Q42,AN:AN)+SUMIF(AQ:AQ,$Q42,AR:AR)+SUMIF(AU:AU,$Q42,AV:AV)+SUMIF(BU:BU,$Q42,BV:BV)+SUMIF(BZ:BZ,$Q42,CA:CA)+SUMIF(BG:BG,$Q42,BH:BH)+SUMIF(BK:BK,$Q42,BL:BL)+SUMIF(BP:BP,$Q42,BQ:BQ)</f>
        <v>#VALUE!</v>
      </c>
      <c r="S42" s="264" t="e">
        <f aca="false">SUMIF(AM:AM,$Q42,AP:AP)+SUMIF(BU:BU,$Q42,BW:BW)+SUMIF(BZ:BZ,$Q42,CB:CB)</f>
        <v>#VALUE!</v>
      </c>
      <c r="T42" s="264" t="e">
        <f aca="false">SUMIF(AQ:AQ,$Q42,AT:AT)+SUMIF(BG:BG,$Q42,BJ:BJ)+SUMIF(BK:BK,$Q42,BN:BN)</f>
        <v>#VALUE!</v>
      </c>
      <c r="U42" s="264" t="e">
        <f aca="false">SUMIF(AM:AM,$Q42,AO:AO)+SUMIF(AQ:AQ,$Q42,AS:AS)+SUMIF(BG:BG,$Q42,BI:BI)+SUMIF(BK:BK,$Q42,BM:BM)</f>
        <v>#VALUE!</v>
      </c>
      <c r="V42" s="264" t="e">
        <f aca="false">SUMIF(AU:AU,$Q42,AW:AW)</f>
        <v>#VALUE!</v>
      </c>
      <c r="W42" s="264" t="e">
        <f aca="false">SUMIF(AU:AU,$Q42,AX:AX)</f>
        <v>#VALUE!</v>
      </c>
      <c r="X42" s="264" t="e">
        <f aca="false">SUMIF(BP:BP,$Q42,BR:BR)</f>
        <v>#VALUE!</v>
      </c>
      <c r="Y42" s="266" t="e">
        <f aca="false">SUMIF(BP:BP,$Q42,BS:BS)</f>
        <v>#VALUE!</v>
      </c>
      <c r="Z42" s="264" t="e">
        <f aca="false">SUMIF(BU:BU,$Q42,BX:BX)+SUMIF(BZ:BZ,$Q42,CC:CC)</f>
        <v>#VALUE!</v>
      </c>
      <c r="AB42" s="320" t="e">
        <f aca="false">Q42</f>
        <v>#VALUE!</v>
      </c>
      <c r="AC42" s="321" t="e">
        <f aca="false">VLOOKUP(AB42,CE43:CK148,7,FALSE())</f>
        <v>#VALUE!</v>
      </c>
      <c r="AD42" s="264" t="e">
        <f aca="false">VLOOKUP(AB42,CE43:CJ148,3,FALSE())</f>
        <v>#VALUE!</v>
      </c>
      <c r="AE42" s="264" t="e">
        <f aca="false">VLOOKUP(AB42,CE43:CJ148,2,FALSE())</f>
        <v>#VALUE!</v>
      </c>
      <c r="AF42" s="264" t="e">
        <f aca="false">VLOOKUP(AB42,CE43:CJ148,4,FALSE())</f>
        <v>#VALUE!</v>
      </c>
      <c r="AG42" s="264" t="e">
        <f aca="false">VLOOKUP(AB42,CE43:CJ148,5,FALSE())</f>
        <v>#VALUE!</v>
      </c>
      <c r="AH42" s="264" t="e">
        <f aca="false">VLOOKUP(AB42,CE43:CJ148,6,FALSE())</f>
        <v>#VALUE!</v>
      </c>
      <c r="AI42" s="264" t="e">
        <f aca="false">VLOOKUP(AB42,CE43:CM148,8,FALSE())</f>
        <v>#VALUE!</v>
      </c>
      <c r="AJ42" s="266" t="e">
        <f aca="false">VLOOKUP(AB42,CE43:CM148,9,FALSE())</f>
        <v>#VALUE!</v>
      </c>
      <c r="AK42" s="264" t="e">
        <f aca="false">VLOOKUP(AB42,CE43:CN148,10,FALSE())</f>
        <v>#VALUE!</v>
      </c>
      <c r="AM42" s="322" t="e">
        <f aca="false">LongTerm1!D47</f>
        <v>#VALUE!</v>
      </c>
      <c r="AN42" s="323" t="e">
        <f aca="false">(LongTerm1!BM47+LongTerm1!BL47/(1-LongTerm1!AR47))*(LongTerm1!F47*LongTerm1!AF47*LongTerm1!AH47)/10000</f>
        <v>#VALUE!</v>
      </c>
      <c r="AO42" s="323" t="e">
        <f aca="false">LongTerm1!BM47*(LongTerm1!F47*LongTerm1!AF47*LongTerm1!AH47)/10000</f>
        <v>#VALUE!</v>
      </c>
      <c r="AP42" s="323" t="e">
        <f aca="false">(LongTerm1!BL47/(1-LongTerm1!AR47))*(LongTerm1!F47*LongTerm1!AF47*LongTerm1!AH47)/10000</f>
        <v>#VALUE!</v>
      </c>
      <c r="AQ42" s="324"/>
      <c r="AR42" s="319"/>
      <c r="AS42" s="319"/>
      <c r="AT42" s="319"/>
      <c r="AU42" s="319"/>
      <c r="AV42" s="319"/>
      <c r="AW42" s="319"/>
      <c r="AX42" s="319"/>
      <c r="AY42" s="319"/>
      <c r="AZ42" s="319"/>
      <c r="BA42" s="319"/>
      <c r="BB42" s="319"/>
      <c r="BC42" s="319"/>
      <c r="BD42" s="319"/>
      <c r="BE42" s="319"/>
      <c r="BF42" s="319"/>
      <c r="BG42" s="322" t="e">
        <f aca="false">LongTerm25!D47</f>
        <v>#VALUE!</v>
      </c>
      <c r="BH42" s="323" t="e">
        <f aca="false">(LongTerm25!BM47+LongTerm25!BL47/(1-LongTerm25!AR47))*(LongTerm25!F47*LongTerm25!AF47*LongTerm25!AH47)/10000</f>
        <v>#VALUE!</v>
      </c>
      <c r="BI42" s="323" t="e">
        <f aca="false">LongTerm25!BM47*(LongTerm25!F47*LongTerm25!AF47*LongTerm25!AH47)/10000</f>
        <v>#VALUE!</v>
      </c>
      <c r="BJ42" s="323" t="e">
        <f aca="false">(LongTerm25!BL47/(1-LongTerm25!AR47))*(LongTerm25!F47*LongTerm25!AF47*LongTerm25!AH47)/10000</f>
        <v>#VALUE!</v>
      </c>
      <c r="BK42" s="319"/>
      <c r="BL42" s="319"/>
      <c r="BM42" s="319"/>
      <c r="BN42" s="319"/>
      <c r="BP42" s="325" t="e">
        <f aca="false">LongTerm62!D47</f>
        <v>#VALUE!</v>
      </c>
      <c r="BQ42" s="323" t="e">
        <f aca="false">(LongTerm62!$BM47+LongTerm62!$BL47/(1-LongTerm62!$AR47))*(LongTerm62!$F47*LongTerm62!$AF47*LongTerm62!$AH47)/10000</f>
        <v>#VALUE!</v>
      </c>
      <c r="BR42" s="323" t="e">
        <f aca="false">LongTerm62!$BM47*(LongTerm62!$F47*LongTerm62!$AF47*LongTerm62!$AH47)/10000</f>
        <v>#VALUE!</v>
      </c>
      <c r="BS42" s="323" t="e">
        <f aca="false">(LongTerm62!$BL47/(1-LongTerm62!$AR47))*(LongTerm62!$F47*LongTerm62!$AF47*LongTerm62!$AH47)/10000</f>
        <v>#VALUE!</v>
      </c>
      <c r="BT42" s="265"/>
      <c r="BU42" s="325" t="e">
        <f aca="false">LongTerm107!D47</f>
        <v>#VALUE!</v>
      </c>
      <c r="BV42" s="323" t="e">
        <f aca="false">(LongTerm107!$BM47+LongTerm107!$BL47/(1-LongTerm107!$AR47))*(LongTerm107!$F47*LongTerm107!$AF47*LongTerm107!$AH47)/10000</f>
        <v>#VALUE!</v>
      </c>
      <c r="BW42" s="323" t="e">
        <f aca="false">LongTerm107!$BM47*(LongTerm107!$F47*LongTerm107!$AF47*LongTerm107!$AH47)/10000</f>
        <v>#VALUE!</v>
      </c>
      <c r="BX42" s="323" t="e">
        <f aca="false">(LongTerm107!$BL47/(1-LongTerm107!$AR47))*(LongTerm107!$F47*LongTerm107!$AF47*LongTerm107!$AH47)/10000</f>
        <v>#VALUE!</v>
      </c>
      <c r="BY42" s="326"/>
      <c r="BZ42" s="325" t="e">
        <f aca="false">LongTerm108!D47</f>
        <v>#VALUE!</v>
      </c>
      <c r="CA42" s="323" t="e">
        <f aca="false">(LongTerm108!$BM47+LongTerm108!$BL47/(1-LongTerm108!$AR47))*(LongTerm108!$F47*LongTerm108!$AF47*LongTerm108!$AH47)/10000</f>
        <v>#VALUE!</v>
      </c>
      <c r="CB42" s="323" t="e">
        <f aca="false">LongTerm108!$BM47*(LongTerm108!$F47*LongTerm108!$AF47*LongTerm108!$AH47)/10000</f>
        <v>#VALUE!</v>
      </c>
      <c r="CC42" s="323" t="e">
        <f aca="false">(LongTerm108!$BL47/(1-LongTerm108!$AR47))*(LongTerm108!$F47*LongTerm108!$AF47*LongTerm108!$AH47)/10000</f>
        <v>#VALUE!</v>
      </c>
      <c r="CD42" s="332"/>
      <c r="CE42" s="333" t="n">
        <f aca="false">EOMONTH(CE41,0)+15</f>
        <v>37787</v>
      </c>
      <c r="CF42" s="337" t="n">
        <v>27.2</v>
      </c>
      <c r="CG42" s="337" t="n">
        <v>97.7</v>
      </c>
      <c r="CH42" s="337" t="n">
        <v>-178.9</v>
      </c>
      <c r="CI42" s="337" t="n">
        <v>0</v>
      </c>
      <c r="CJ42" s="337" t="n">
        <v>0</v>
      </c>
      <c r="CK42" s="337" t="n">
        <v>0.7</v>
      </c>
      <c r="CL42" s="337" t="n">
        <v>0</v>
      </c>
      <c r="CM42" s="337" t="n">
        <v>0</v>
      </c>
      <c r="CN42" s="337" t="n">
        <v>61.3</v>
      </c>
    </row>
    <row r="43" customFormat="false" ht="12.75" hidden="false" customHeight="false" outlineLevel="0" collapsed="false">
      <c r="B43" s="320" t="e">
        <f aca="false">Q43</f>
        <v>#VALUE!</v>
      </c>
      <c r="C43" s="319" t="e">
        <f aca="false">YEAR(B43)</f>
        <v>#VALUE!</v>
      </c>
      <c r="D43" s="266" t="e">
        <f aca="false">R43+AC43</f>
        <v>#VALUE!</v>
      </c>
      <c r="E43" s="266" t="e">
        <f aca="false">S43+AD43</f>
        <v>#VALUE!</v>
      </c>
      <c r="F43" s="266" t="e">
        <f aca="false">+T43+AE43</f>
        <v>#VALUE!</v>
      </c>
      <c r="G43" s="266" t="e">
        <f aca="false">+U43+AF43</f>
        <v>#VALUE!</v>
      </c>
      <c r="H43" s="266" t="e">
        <f aca="false">V43+AG43</f>
        <v>#VALUE!</v>
      </c>
      <c r="I43" s="266" t="e">
        <f aca="false">W43+AH43</f>
        <v>#VALUE!</v>
      </c>
      <c r="J43" s="265"/>
      <c r="K43" s="265"/>
      <c r="L43" s="265"/>
      <c r="M43" s="266" t="e">
        <f aca="false">X43+AI43</f>
        <v>#VALUE!</v>
      </c>
      <c r="N43" s="264" t="e">
        <f aca="false">Y43+AJ43</f>
        <v>#VALUE!</v>
      </c>
      <c r="O43" s="264" t="e">
        <f aca="false">Z43+AK43</f>
        <v>#VALUE!</v>
      </c>
      <c r="Q43" s="320" t="e">
        <f aca="false">EOMONTH(Q42,0)+15</f>
        <v>#VALUE!</v>
      </c>
      <c r="R43" s="266" t="e">
        <f aca="false">SUMIF(AM:AM,$Q43,AN:AN)+SUMIF(AQ:AQ,$Q43,AR:AR)+SUMIF(AU:AU,$Q43,AV:AV)+SUMIF(BU:BU,$Q43,BV:BV)+SUMIF(BZ:BZ,$Q43,CA:CA)+SUMIF(BG:BG,$Q43,BH:BH)+SUMIF(BK:BK,$Q43,BL:BL)+SUMIF(BP:BP,$Q43,BQ:BQ)</f>
        <v>#VALUE!</v>
      </c>
      <c r="S43" s="264" t="e">
        <f aca="false">SUMIF(AM:AM,$Q43,AP:AP)+SUMIF(BU:BU,$Q43,BW:BW)+SUMIF(BZ:BZ,$Q43,CB:CB)</f>
        <v>#VALUE!</v>
      </c>
      <c r="T43" s="264" t="e">
        <f aca="false">SUMIF(AQ:AQ,$Q43,AT:AT)+SUMIF(BG:BG,$Q43,BJ:BJ)+SUMIF(BK:BK,$Q43,BN:BN)</f>
        <v>#VALUE!</v>
      </c>
      <c r="U43" s="264" t="e">
        <f aca="false">SUMIF(AM:AM,$Q43,AO:AO)+SUMIF(AQ:AQ,$Q43,AS:AS)+SUMIF(BG:BG,$Q43,BI:BI)+SUMIF(BK:BK,$Q43,BM:BM)</f>
        <v>#VALUE!</v>
      </c>
      <c r="V43" s="264" t="e">
        <f aca="false">SUMIF(AU:AU,$Q43,AW:AW)</f>
        <v>#VALUE!</v>
      </c>
      <c r="W43" s="264" t="e">
        <f aca="false">SUMIF(AU:AU,$Q43,AX:AX)</f>
        <v>#VALUE!</v>
      </c>
      <c r="X43" s="264" t="e">
        <f aca="false">SUMIF(BP:BP,$Q43,BR:BR)</f>
        <v>#VALUE!</v>
      </c>
      <c r="Y43" s="266" t="e">
        <f aca="false">SUMIF(BP:BP,$Q43,BS:BS)</f>
        <v>#VALUE!</v>
      </c>
      <c r="Z43" s="264" t="e">
        <f aca="false">SUMIF(BU:BU,$Q43,BX:BX)+SUMIF(BZ:BZ,$Q43,CC:CC)</f>
        <v>#VALUE!</v>
      </c>
      <c r="AB43" s="320" t="e">
        <f aca="false">Q43</f>
        <v>#VALUE!</v>
      </c>
      <c r="AC43" s="321" t="e">
        <f aca="false">VLOOKUP(AB43,CE44:CK149,7,FALSE())</f>
        <v>#VALUE!</v>
      </c>
      <c r="AD43" s="264" t="e">
        <f aca="false">VLOOKUP(AB43,CE44:CJ149,3,FALSE())</f>
        <v>#VALUE!</v>
      </c>
      <c r="AE43" s="264" t="e">
        <f aca="false">VLOOKUP(AB43,CE44:CJ149,2,FALSE())</f>
        <v>#VALUE!</v>
      </c>
      <c r="AF43" s="264" t="e">
        <f aca="false">VLOOKUP(AB43,CE44:CJ149,4,FALSE())</f>
        <v>#VALUE!</v>
      </c>
      <c r="AG43" s="264" t="e">
        <f aca="false">VLOOKUP(AB43,CE44:CJ149,5,FALSE())</f>
        <v>#VALUE!</v>
      </c>
      <c r="AH43" s="264" t="e">
        <f aca="false">VLOOKUP(AB43,CE44:CJ149,6,FALSE())</f>
        <v>#VALUE!</v>
      </c>
      <c r="AI43" s="264" t="e">
        <f aca="false">VLOOKUP(AB43,CE44:CM149,8,FALSE())</f>
        <v>#VALUE!</v>
      </c>
      <c r="AJ43" s="266" t="e">
        <f aca="false">VLOOKUP(AB43,CE44:CM149,9,FALSE())</f>
        <v>#VALUE!</v>
      </c>
      <c r="AK43" s="264" t="e">
        <f aca="false">VLOOKUP(AB43,CE44:CN149,10,FALSE())</f>
        <v>#VALUE!</v>
      </c>
      <c r="AM43" s="322" t="e">
        <f aca="false">LongTerm1!D48</f>
        <v>#VALUE!</v>
      </c>
      <c r="AN43" s="323" t="e">
        <f aca="false">(LongTerm1!BM48+LongTerm1!BL48/(1-LongTerm1!AR48))*(LongTerm1!F48*LongTerm1!AF48*LongTerm1!AH48)/10000</f>
        <v>#VALUE!</v>
      </c>
      <c r="AO43" s="323" t="e">
        <f aca="false">LongTerm1!BM48*(LongTerm1!F48*LongTerm1!AF48*LongTerm1!AH48)/10000</f>
        <v>#VALUE!</v>
      </c>
      <c r="AP43" s="323" t="e">
        <f aca="false">(LongTerm1!BL48/(1-LongTerm1!AR48))*(LongTerm1!F48*LongTerm1!AF48*LongTerm1!AH48)/10000</f>
        <v>#VALUE!</v>
      </c>
      <c r="AQ43" s="324"/>
      <c r="AR43" s="319"/>
      <c r="AS43" s="319"/>
      <c r="AT43" s="319"/>
      <c r="AU43" s="319"/>
      <c r="AV43" s="319"/>
      <c r="AW43" s="319"/>
      <c r="AX43" s="319"/>
      <c r="AY43" s="319"/>
      <c r="AZ43" s="319"/>
      <c r="BA43" s="319"/>
      <c r="BB43" s="319"/>
      <c r="BC43" s="319"/>
      <c r="BD43" s="319"/>
      <c r="BE43" s="319"/>
      <c r="BF43" s="319"/>
      <c r="BG43" s="322" t="e">
        <f aca="false">LongTerm25!D48</f>
        <v>#VALUE!</v>
      </c>
      <c r="BH43" s="323" t="e">
        <f aca="false">(LongTerm25!BM48+LongTerm25!BL48/(1-LongTerm25!AR48))*(LongTerm25!F48*LongTerm25!AF48*LongTerm25!AH48)/10000</f>
        <v>#VALUE!</v>
      </c>
      <c r="BI43" s="323" t="e">
        <f aca="false">LongTerm25!BM48*(LongTerm25!F48*LongTerm25!AF48*LongTerm25!AH48)/10000</f>
        <v>#VALUE!</v>
      </c>
      <c r="BJ43" s="323" t="e">
        <f aca="false">(LongTerm25!BL48/(1-LongTerm25!AR48))*(LongTerm25!F48*LongTerm25!AF48*LongTerm25!AH48)/10000</f>
        <v>#VALUE!</v>
      </c>
      <c r="BK43" s="319"/>
      <c r="BL43" s="319"/>
      <c r="BM43" s="319"/>
      <c r="BN43" s="319"/>
      <c r="BP43" s="325" t="e">
        <f aca="false">LongTerm62!D48</f>
        <v>#VALUE!</v>
      </c>
      <c r="BQ43" s="323" t="e">
        <f aca="false">(LongTerm62!$BM48+LongTerm62!$BL48/(1-LongTerm62!$AR48))*(LongTerm62!$F48*LongTerm62!$AF48*LongTerm62!$AH48)/10000</f>
        <v>#VALUE!</v>
      </c>
      <c r="BR43" s="323" t="e">
        <f aca="false">LongTerm62!$BM48*(LongTerm62!$F48*LongTerm62!$AF48*LongTerm62!$AH48)/10000</f>
        <v>#VALUE!</v>
      </c>
      <c r="BS43" s="323" t="e">
        <f aca="false">(LongTerm62!$BL48/(1-LongTerm62!$AR48))*(LongTerm62!$F48*LongTerm62!$AF48*LongTerm62!$AH48)/10000</f>
        <v>#VALUE!</v>
      </c>
      <c r="BT43" s="265"/>
      <c r="BU43" s="325" t="e">
        <f aca="false">LongTerm107!D48</f>
        <v>#VALUE!</v>
      </c>
      <c r="BV43" s="323" t="e">
        <f aca="false">(LongTerm107!$BM48+LongTerm107!$BL48/(1-LongTerm107!$AR48))*(LongTerm107!$F48*LongTerm107!$AF48*LongTerm107!$AH48)/10000</f>
        <v>#VALUE!</v>
      </c>
      <c r="BW43" s="323" t="e">
        <f aca="false">LongTerm107!$BM48*(LongTerm107!$F48*LongTerm107!$AF48*LongTerm107!$AH48)/10000</f>
        <v>#VALUE!</v>
      </c>
      <c r="BX43" s="323" t="e">
        <f aca="false">(LongTerm107!$BL48/(1-LongTerm107!$AR48))*(LongTerm107!$F48*LongTerm107!$AF48*LongTerm107!$AH48)/10000</f>
        <v>#VALUE!</v>
      </c>
      <c r="BY43" s="326"/>
      <c r="BZ43" s="325" t="e">
        <f aca="false">LongTerm108!D48</f>
        <v>#VALUE!</v>
      </c>
      <c r="CA43" s="323" t="e">
        <f aca="false">(LongTerm108!$BM48+LongTerm108!$BL48/(1-LongTerm108!$AR48))*(LongTerm108!$F48*LongTerm108!$AF48*LongTerm108!$AH48)/10000</f>
        <v>#VALUE!</v>
      </c>
      <c r="CB43" s="323" t="e">
        <f aca="false">LongTerm108!$BM48*(LongTerm108!$F48*LongTerm108!$AF48*LongTerm108!$AH48)/10000</f>
        <v>#VALUE!</v>
      </c>
      <c r="CC43" s="323" t="e">
        <f aca="false">(LongTerm108!$BL48/(1-LongTerm108!$AR48))*(LongTerm108!$F48*LongTerm108!$AF48*LongTerm108!$AH48)/10000</f>
        <v>#VALUE!</v>
      </c>
      <c r="CD43" s="332"/>
      <c r="CE43" s="333" t="n">
        <f aca="false">EOMONTH(CE42,0)+15</f>
        <v>37817</v>
      </c>
      <c r="CF43" s="337" t="n">
        <v>28.4</v>
      </c>
      <c r="CG43" s="337" t="n">
        <v>97.4</v>
      </c>
      <c r="CH43" s="337" t="n">
        <v>-183.4</v>
      </c>
      <c r="CI43" s="337" t="n">
        <v>0</v>
      </c>
      <c r="CJ43" s="337" t="n">
        <v>0</v>
      </c>
      <c r="CK43" s="337" t="n">
        <v>0.7</v>
      </c>
      <c r="CL43" s="337" t="n">
        <v>0</v>
      </c>
      <c r="CM43" s="337" t="n">
        <v>0</v>
      </c>
      <c r="CN43" s="337" t="n">
        <v>62.1</v>
      </c>
    </row>
    <row r="44" customFormat="false" ht="12.75" hidden="false" customHeight="false" outlineLevel="0" collapsed="false">
      <c r="B44" s="320" t="e">
        <f aca="false">Q44</f>
        <v>#VALUE!</v>
      </c>
      <c r="C44" s="319" t="e">
        <f aca="false">YEAR(B44)</f>
        <v>#VALUE!</v>
      </c>
      <c r="D44" s="266" t="e">
        <f aca="false">R44+AC44</f>
        <v>#VALUE!</v>
      </c>
      <c r="E44" s="266" t="e">
        <f aca="false">S44+AD44</f>
        <v>#VALUE!</v>
      </c>
      <c r="F44" s="266" t="e">
        <f aca="false">+T44+AE44</f>
        <v>#VALUE!</v>
      </c>
      <c r="G44" s="266" t="e">
        <f aca="false">+U44+AF44</f>
        <v>#VALUE!</v>
      </c>
      <c r="H44" s="266" t="e">
        <f aca="false">V44+AG44</f>
        <v>#VALUE!</v>
      </c>
      <c r="I44" s="266" t="e">
        <f aca="false">W44+AH44</f>
        <v>#VALUE!</v>
      </c>
      <c r="J44" s="265"/>
      <c r="K44" s="265"/>
      <c r="L44" s="265"/>
      <c r="M44" s="266" t="e">
        <f aca="false">X44+AI44</f>
        <v>#VALUE!</v>
      </c>
      <c r="N44" s="264" t="e">
        <f aca="false">Y44+AJ44</f>
        <v>#VALUE!</v>
      </c>
      <c r="O44" s="264" t="e">
        <f aca="false">Z44+AK44</f>
        <v>#VALUE!</v>
      </c>
      <c r="Q44" s="320" t="e">
        <f aca="false">EOMONTH(Q43,0)+15</f>
        <v>#VALUE!</v>
      </c>
      <c r="R44" s="266" t="e">
        <f aca="false">SUMIF(AM:AM,$Q44,AN:AN)+SUMIF(AQ:AQ,$Q44,AR:AR)+SUMIF(AU:AU,$Q44,AV:AV)+SUMIF(BU:BU,$Q44,BV:BV)+SUMIF(BZ:BZ,$Q44,CA:CA)+SUMIF(BG:BG,$Q44,BH:BH)+SUMIF(BK:BK,$Q44,BL:BL)+SUMIF(BP:BP,$Q44,BQ:BQ)</f>
        <v>#VALUE!</v>
      </c>
      <c r="S44" s="264" t="e">
        <f aca="false">SUMIF(AM:AM,$Q44,AP:AP)+SUMIF(BU:BU,$Q44,BW:BW)+SUMIF(BZ:BZ,$Q44,CB:CB)</f>
        <v>#VALUE!</v>
      </c>
      <c r="T44" s="264" t="e">
        <f aca="false">SUMIF(AQ:AQ,$Q44,AT:AT)+SUMIF(BG:BG,$Q44,BJ:BJ)+SUMIF(BK:BK,$Q44,BN:BN)</f>
        <v>#VALUE!</v>
      </c>
      <c r="U44" s="264" t="e">
        <f aca="false">SUMIF(AM:AM,$Q44,AO:AO)+SUMIF(AQ:AQ,$Q44,AS:AS)+SUMIF(BG:BG,$Q44,BI:BI)+SUMIF(BK:BK,$Q44,BM:BM)</f>
        <v>#VALUE!</v>
      </c>
      <c r="V44" s="264" t="e">
        <f aca="false">SUMIF(AU:AU,$Q44,AW:AW)</f>
        <v>#VALUE!</v>
      </c>
      <c r="W44" s="264" t="e">
        <f aca="false">SUMIF(AU:AU,$Q44,AX:AX)</f>
        <v>#VALUE!</v>
      </c>
      <c r="X44" s="264" t="e">
        <f aca="false">SUMIF(BP:BP,$Q44,BR:BR)</f>
        <v>#VALUE!</v>
      </c>
      <c r="Y44" s="266" t="e">
        <f aca="false">SUMIF(BP:BP,$Q44,BS:BS)</f>
        <v>#VALUE!</v>
      </c>
      <c r="Z44" s="264" t="e">
        <f aca="false">SUMIF(BU:BU,$Q44,BX:BX)+SUMIF(BZ:BZ,$Q44,CC:CC)</f>
        <v>#VALUE!</v>
      </c>
      <c r="AB44" s="320" t="e">
        <f aca="false">Q44</f>
        <v>#VALUE!</v>
      </c>
      <c r="AC44" s="321" t="e">
        <f aca="false">VLOOKUP(AB44,CE45:CK150,7,FALSE())</f>
        <v>#VALUE!</v>
      </c>
      <c r="AD44" s="264" t="e">
        <f aca="false">VLOOKUP(AB44,CE45:CJ150,3,FALSE())</f>
        <v>#VALUE!</v>
      </c>
      <c r="AE44" s="264" t="e">
        <f aca="false">VLOOKUP(AB44,CE45:CJ150,2,FALSE())</f>
        <v>#VALUE!</v>
      </c>
      <c r="AF44" s="264" t="e">
        <f aca="false">VLOOKUP(AB44,CE45:CJ150,4,FALSE())</f>
        <v>#VALUE!</v>
      </c>
      <c r="AG44" s="264" t="e">
        <f aca="false">VLOOKUP(AB44,CE45:CJ150,5,FALSE())</f>
        <v>#VALUE!</v>
      </c>
      <c r="AH44" s="264" t="e">
        <f aca="false">VLOOKUP(AB44,CE45:CJ150,6,FALSE())</f>
        <v>#VALUE!</v>
      </c>
      <c r="AI44" s="264" t="e">
        <f aca="false">VLOOKUP(AB44,CE45:CM150,8,FALSE())</f>
        <v>#VALUE!</v>
      </c>
      <c r="AJ44" s="266" t="e">
        <f aca="false">VLOOKUP(AB44,CE45:CM150,9,FALSE())</f>
        <v>#VALUE!</v>
      </c>
      <c r="AK44" s="264" t="e">
        <f aca="false">VLOOKUP(AB44,CE45:CN150,10,FALSE())</f>
        <v>#VALUE!</v>
      </c>
      <c r="AM44" s="322" t="e">
        <f aca="false">LongTerm1!D49</f>
        <v>#VALUE!</v>
      </c>
      <c r="AN44" s="323" t="e">
        <f aca="false">(LongTerm1!BM49+LongTerm1!BL49/(1-LongTerm1!AR49))*(LongTerm1!F49*LongTerm1!AF49*LongTerm1!AH49)/10000</f>
        <v>#VALUE!</v>
      </c>
      <c r="AO44" s="323" t="e">
        <f aca="false">LongTerm1!BM49*(LongTerm1!F49*LongTerm1!AF49*LongTerm1!AH49)/10000</f>
        <v>#VALUE!</v>
      </c>
      <c r="AP44" s="323" t="e">
        <f aca="false">(LongTerm1!BL49/(1-LongTerm1!AR49))*(LongTerm1!F49*LongTerm1!AF49*LongTerm1!AH49)/10000</f>
        <v>#VALUE!</v>
      </c>
      <c r="AQ44" s="324"/>
      <c r="AR44" s="319"/>
      <c r="AS44" s="319"/>
      <c r="AT44" s="319"/>
      <c r="AU44" s="319"/>
      <c r="AV44" s="319"/>
      <c r="AW44" s="319"/>
      <c r="AX44" s="319"/>
      <c r="AY44" s="319"/>
      <c r="AZ44" s="319"/>
      <c r="BA44" s="319"/>
      <c r="BB44" s="319"/>
      <c r="BC44" s="319"/>
      <c r="BD44" s="319"/>
      <c r="BE44" s="319"/>
      <c r="BF44" s="319"/>
      <c r="BG44" s="322" t="e">
        <f aca="false">LongTerm25!D49</f>
        <v>#VALUE!</v>
      </c>
      <c r="BH44" s="323" t="e">
        <f aca="false">(LongTerm25!BM49+LongTerm25!BL49/(1-LongTerm25!AR49))*(LongTerm25!F49*LongTerm25!AF49*LongTerm25!AH49)/10000</f>
        <v>#VALUE!</v>
      </c>
      <c r="BI44" s="323" t="e">
        <f aca="false">LongTerm25!BM49*(LongTerm25!F49*LongTerm25!AF49*LongTerm25!AH49)/10000</f>
        <v>#VALUE!</v>
      </c>
      <c r="BJ44" s="323" t="e">
        <f aca="false">(LongTerm25!BL49/(1-LongTerm25!AR49))*(LongTerm25!F49*LongTerm25!AF49*LongTerm25!AH49)/10000</f>
        <v>#VALUE!</v>
      </c>
      <c r="BK44" s="319"/>
      <c r="BL44" s="319"/>
      <c r="BM44" s="319"/>
      <c r="BN44" s="319"/>
      <c r="BP44" s="325" t="e">
        <f aca="false">LongTerm62!D49</f>
        <v>#VALUE!</v>
      </c>
      <c r="BQ44" s="323" t="e">
        <f aca="false">(LongTerm62!$BM49+LongTerm62!$BL49/(1-LongTerm62!$AR49))*(LongTerm62!$F49*LongTerm62!$AF49*LongTerm62!$AH49)/10000</f>
        <v>#VALUE!</v>
      </c>
      <c r="BR44" s="323" t="e">
        <f aca="false">LongTerm62!$BM49*(LongTerm62!$F49*LongTerm62!$AF49*LongTerm62!$AH49)/10000</f>
        <v>#VALUE!</v>
      </c>
      <c r="BS44" s="323" t="e">
        <f aca="false">(LongTerm62!$BL49/(1-LongTerm62!$AR49))*(LongTerm62!$F49*LongTerm62!$AF49*LongTerm62!$AH49)/10000</f>
        <v>#VALUE!</v>
      </c>
      <c r="BT44" s="265"/>
      <c r="BU44" s="325" t="e">
        <f aca="false">LongTerm107!D49</f>
        <v>#VALUE!</v>
      </c>
      <c r="BV44" s="323" t="e">
        <f aca="false">(LongTerm107!$BM49+LongTerm107!$BL49/(1-LongTerm107!$AR49))*(LongTerm107!$F49*LongTerm107!$AF49*LongTerm107!$AH49)/10000</f>
        <v>#VALUE!</v>
      </c>
      <c r="BW44" s="323" t="e">
        <f aca="false">LongTerm107!$BM49*(LongTerm107!$F49*LongTerm107!$AF49*LongTerm107!$AH49)/10000</f>
        <v>#VALUE!</v>
      </c>
      <c r="BX44" s="323" t="e">
        <f aca="false">(LongTerm107!$BL49/(1-LongTerm107!$AR49))*(LongTerm107!$F49*LongTerm107!$AF49*LongTerm107!$AH49)/10000</f>
        <v>#VALUE!</v>
      </c>
      <c r="BY44" s="326"/>
      <c r="BZ44" s="325" t="e">
        <f aca="false">LongTerm108!D49</f>
        <v>#VALUE!</v>
      </c>
      <c r="CA44" s="323" t="e">
        <f aca="false">(LongTerm108!$BM49+LongTerm108!$BL49/(1-LongTerm108!$AR49))*(LongTerm108!$F49*LongTerm108!$AF49*LongTerm108!$AH49)/10000</f>
        <v>#VALUE!</v>
      </c>
      <c r="CB44" s="323" t="e">
        <f aca="false">LongTerm108!$BM49*(LongTerm108!$F49*LongTerm108!$AF49*LongTerm108!$AH49)/10000</f>
        <v>#VALUE!</v>
      </c>
      <c r="CC44" s="323" t="e">
        <f aca="false">(LongTerm108!$BL49/(1-LongTerm108!$AR49))*(LongTerm108!$F49*LongTerm108!$AF49*LongTerm108!$AH49)/10000</f>
        <v>#VALUE!</v>
      </c>
      <c r="CD44" s="332"/>
      <c r="CE44" s="333" t="n">
        <f aca="false">EOMONTH(CE43,0)+15</f>
        <v>37848</v>
      </c>
      <c r="CF44" s="337" t="n">
        <v>28</v>
      </c>
      <c r="CG44" s="337" t="n">
        <v>94.2</v>
      </c>
      <c r="CH44" s="337" t="n">
        <v>-178.7</v>
      </c>
      <c r="CI44" s="337" t="n">
        <v>0</v>
      </c>
      <c r="CJ44" s="337" t="n">
        <v>0</v>
      </c>
      <c r="CK44" s="337" t="n">
        <v>0.7</v>
      </c>
      <c r="CL44" s="337" t="n">
        <v>0</v>
      </c>
      <c r="CM44" s="337" t="n">
        <v>0</v>
      </c>
      <c r="CN44" s="337" t="n">
        <v>60.9</v>
      </c>
    </row>
    <row r="45" customFormat="false" ht="12.75" hidden="false" customHeight="false" outlineLevel="0" collapsed="false">
      <c r="B45" s="320" t="e">
        <f aca="false">Q45</f>
        <v>#VALUE!</v>
      </c>
      <c r="C45" s="319" t="e">
        <f aca="false">YEAR(B45)</f>
        <v>#VALUE!</v>
      </c>
      <c r="D45" s="266" t="e">
        <f aca="false">R45+AC45</f>
        <v>#VALUE!</v>
      </c>
      <c r="E45" s="266" t="e">
        <f aca="false">S45+AD45</f>
        <v>#VALUE!</v>
      </c>
      <c r="F45" s="266" t="e">
        <f aca="false">+T45+AE45</f>
        <v>#VALUE!</v>
      </c>
      <c r="G45" s="266" t="e">
        <f aca="false">+U45+AF45</f>
        <v>#VALUE!</v>
      </c>
      <c r="H45" s="266" t="e">
        <f aca="false">V45+AG45</f>
        <v>#VALUE!</v>
      </c>
      <c r="I45" s="266" t="e">
        <f aca="false">W45+AH45</f>
        <v>#VALUE!</v>
      </c>
      <c r="J45" s="265"/>
      <c r="K45" s="265"/>
      <c r="L45" s="265"/>
      <c r="M45" s="266" t="e">
        <f aca="false">X45+AI45</f>
        <v>#VALUE!</v>
      </c>
      <c r="N45" s="264" t="e">
        <f aca="false">Y45+AJ45</f>
        <v>#VALUE!</v>
      </c>
      <c r="O45" s="264" t="e">
        <f aca="false">Z45+AK45</f>
        <v>#VALUE!</v>
      </c>
      <c r="Q45" s="320" t="e">
        <f aca="false">EOMONTH(Q44,0)+15</f>
        <v>#VALUE!</v>
      </c>
      <c r="R45" s="266" t="e">
        <f aca="false">SUMIF(AM:AM,$Q45,AN:AN)+SUMIF(AQ:AQ,$Q45,AR:AR)+SUMIF(AU:AU,$Q45,AV:AV)+SUMIF(BU:BU,$Q45,BV:BV)+SUMIF(BZ:BZ,$Q45,CA:CA)+SUMIF(BG:BG,$Q45,BH:BH)+SUMIF(BK:BK,$Q45,BL:BL)+SUMIF(BP:BP,$Q45,BQ:BQ)</f>
        <v>#VALUE!</v>
      </c>
      <c r="S45" s="264" t="e">
        <f aca="false">SUMIF(AM:AM,$Q45,AP:AP)+SUMIF(BU:BU,$Q45,BW:BW)+SUMIF(BZ:BZ,$Q45,CB:CB)</f>
        <v>#VALUE!</v>
      </c>
      <c r="T45" s="264" t="e">
        <f aca="false">SUMIF(AQ:AQ,$Q45,AT:AT)+SUMIF(BG:BG,$Q45,BJ:BJ)+SUMIF(BK:BK,$Q45,BN:BN)</f>
        <v>#VALUE!</v>
      </c>
      <c r="U45" s="264" t="e">
        <f aca="false">SUMIF(AM:AM,$Q45,AO:AO)+SUMIF(AQ:AQ,$Q45,AS:AS)+SUMIF(BG:BG,$Q45,BI:BI)+SUMIF(BK:BK,$Q45,BM:BM)</f>
        <v>#VALUE!</v>
      </c>
      <c r="V45" s="264" t="e">
        <f aca="false">SUMIF(AU:AU,$Q45,AW:AW)</f>
        <v>#VALUE!</v>
      </c>
      <c r="W45" s="264" t="e">
        <f aca="false">SUMIF(AU:AU,$Q45,AX:AX)</f>
        <v>#VALUE!</v>
      </c>
      <c r="X45" s="264" t="e">
        <f aca="false">SUMIF(BP:BP,$Q45,BR:BR)</f>
        <v>#VALUE!</v>
      </c>
      <c r="Y45" s="266" t="e">
        <f aca="false">SUMIF(BP:BP,$Q45,BS:BS)</f>
        <v>#VALUE!</v>
      </c>
      <c r="Z45" s="264" t="e">
        <f aca="false">SUMIF(BU:BU,$Q45,BX:BX)+SUMIF(BZ:BZ,$Q45,CC:CC)</f>
        <v>#VALUE!</v>
      </c>
      <c r="AB45" s="320" t="e">
        <f aca="false">Q45</f>
        <v>#VALUE!</v>
      </c>
      <c r="AC45" s="321" t="e">
        <f aca="false">VLOOKUP(AB45,CE46:CK151,7,FALSE())</f>
        <v>#VALUE!</v>
      </c>
      <c r="AD45" s="264" t="e">
        <f aca="false">VLOOKUP(AB45,CE46:CJ151,3,FALSE())</f>
        <v>#VALUE!</v>
      </c>
      <c r="AE45" s="264" t="e">
        <f aca="false">VLOOKUP(AB45,CE46:CJ151,2,FALSE())</f>
        <v>#VALUE!</v>
      </c>
      <c r="AF45" s="264" t="e">
        <f aca="false">VLOOKUP(AB45,CE46:CJ151,4,FALSE())</f>
        <v>#VALUE!</v>
      </c>
      <c r="AG45" s="264" t="e">
        <f aca="false">VLOOKUP(AB45,CE46:CJ151,5,FALSE())</f>
        <v>#VALUE!</v>
      </c>
      <c r="AH45" s="264" t="e">
        <f aca="false">VLOOKUP(AB45,CE46:CJ151,6,FALSE())</f>
        <v>#VALUE!</v>
      </c>
      <c r="AI45" s="264" t="e">
        <f aca="false">VLOOKUP(AB45,CE46:CM151,8,FALSE())</f>
        <v>#VALUE!</v>
      </c>
      <c r="AJ45" s="266" t="e">
        <f aca="false">VLOOKUP(AB45,CE46:CM151,9,FALSE())</f>
        <v>#VALUE!</v>
      </c>
      <c r="AK45" s="264" t="e">
        <f aca="false">VLOOKUP(AB45,CE46:CN151,10,FALSE())</f>
        <v>#VALUE!</v>
      </c>
      <c r="AM45" s="322" t="e">
        <f aca="false">LongTerm1!D50</f>
        <v>#VALUE!</v>
      </c>
      <c r="AN45" s="323" t="e">
        <f aca="false">(LongTerm1!BM50+LongTerm1!BL50/(1-LongTerm1!AR50))*(LongTerm1!F50*LongTerm1!AF50*LongTerm1!AH50)/10000</f>
        <v>#VALUE!</v>
      </c>
      <c r="AO45" s="323" t="e">
        <f aca="false">LongTerm1!BM50*(LongTerm1!F50*LongTerm1!AF50*LongTerm1!AH50)/10000</f>
        <v>#VALUE!</v>
      </c>
      <c r="AP45" s="323" t="e">
        <f aca="false">(LongTerm1!BL50/(1-LongTerm1!AR50))*(LongTerm1!F50*LongTerm1!AF50*LongTerm1!AH50)/10000</f>
        <v>#VALUE!</v>
      </c>
      <c r="AQ45" s="324"/>
      <c r="AR45" s="319"/>
      <c r="AS45" s="319"/>
      <c r="AT45" s="319"/>
      <c r="AU45" s="319"/>
      <c r="AV45" s="319"/>
      <c r="AW45" s="319"/>
      <c r="AX45" s="319"/>
      <c r="AY45" s="319"/>
      <c r="AZ45" s="319"/>
      <c r="BA45" s="319"/>
      <c r="BB45" s="319"/>
      <c r="BC45" s="319"/>
      <c r="BD45" s="319"/>
      <c r="BE45" s="319"/>
      <c r="BF45" s="319"/>
      <c r="BG45" s="322" t="e">
        <f aca="false">LongTerm25!D50</f>
        <v>#VALUE!</v>
      </c>
      <c r="BH45" s="323" t="e">
        <f aca="false">(LongTerm25!BM50+LongTerm25!BL50/(1-LongTerm25!AR50))*(LongTerm25!F50*LongTerm25!AF50*LongTerm25!AH50)/10000</f>
        <v>#VALUE!</v>
      </c>
      <c r="BI45" s="323" t="e">
        <f aca="false">LongTerm25!BM50*(LongTerm25!F50*LongTerm25!AF50*LongTerm25!AH50)/10000</f>
        <v>#VALUE!</v>
      </c>
      <c r="BJ45" s="323" t="e">
        <f aca="false">(LongTerm25!BL50/(1-LongTerm25!AR50))*(LongTerm25!F50*LongTerm25!AF50*LongTerm25!AH50)/10000</f>
        <v>#VALUE!</v>
      </c>
      <c r="BK45" s="319"/>
      <c r="BL45" s="319"/>
      <c r="BM45" s="319"/>
      <c r="BN45" s="319"/>
      <c r="BP45" s="325" t="e">
        <f aca="false">LongTerm62!D50</f>
        <v>#VALUE!</v>
      </c>
      <c r="BQ45" s="323" t="e">
        <f aca="false">(LongTerm62!$BM50+LongTerm62!$BL50/(1-LongTerm62!$AR50))*(LongTerm62!$F50*LongTerm62!$AF50*LongTerm62!$AH50)/10000</f>
        <v>#VALUE!</v>
      </c>
      <c r="BR45" s="323" t="e">
        <f aca="false">LongTerm62!$BM50*(LongTerm62!$F50*LongTerm62!$AF50*LongTerm62!$AH50)/10000</f>
        <v>#VALUE!</v>
      </c>
      <c r="BS45" s="323" t="e">
        <f aca="false">(LongTerm62!$BL50/(1-LongTerm62!$AR50))*(LongTerm62!$F50*LongTerm62!$AF50*LongTerm62!$AH50)/10000</f>
        <v>#VALUE!</v>
      </c>
      <c r="BT45" s="265"/>
      <c r="BU45" s="325" t="e">
        <f aca="false">LongTerm107!D50</f>
        <v>#VALUE!</v>
      </c>
      <c r="BV45" s="323" t="e">
        <f aca="false">(LongTerm107!$BM50+LongTerm107!$BL50/(1-LongTerm107!$AR50))*(LongTerm107!$F50*LongTerm107!$AF50*LongTerm107!$AH50)/10000</f>
        <v>#VALUE!</v>
      </c>
      <c r="BW45" s="323" t="e">
        <f aca="false">LongTerm107!$BM50*(LongTerm107!$F50*LongTerm107!$AF50*LongTerm107!$AH50)/10000</f>
        <v>#VALUE!</v>
      </c>
      <c r="BX45" s="323" t="e">
        <f aca="false">(LongTerm107!$BL50/(1-LongTerm107!$AR50))*(LongTerm107!$F50*LongTerm107!$AF50*LongTerm107!$AH50)/10000</f>
        <v>#VALUE!</v>
      </c>
      <c r="BY45" s="326"/>
      <c r="BZ45" s="325" t="e">
        <f aca="false">LongTerm108!D50</f>
        <v>#VALUE!</v>
      </c>
      <c r="CA45" s="323" t="e">
        <f aca="false">(LongTerm108!$BM50+LongTerm108!$BL50/(1-LongTerm108!$AR50))*(LongTerm108!$F50*LongTerm108!$AF50*LongTerm108!$AH50)/10000</f>
        <v>#VALUE!</v>
      </c>
      <c r="CB45" s="323" t="e">
        <f aca="false">LongTerm108!$BM50*(LongTerm108!$F50*LongTerm108!$AF50*LongTerm108!$AH50)/10000</f>
        <v>#VALUE!</v>
      </c>
      <c r="CC45" s="323" t="e">
        <f aca="false">(LongTerm108!$BL50/(1-LongTerm108!$AR50))*(LongTerm108!$F50*LongTerm108!$AF50*LongTerm108!$AH50)/10000</f>
        <v>#VALUE!</v>
      </c>
      <c r="CD45" s="332"/>
      <c r="CE45" s="333" t="n">
        <f aca="false">EOMONTH(CE44,0)+15</f>
        <v>37879</v>
      </c>
      <c r="CF45" s="337" t="n">
        <v>27.2</v>
      </c>
      <c r="CG45" s="337" t="n">
        <v>91</v>
      </c>
      <c r="CH45" s="337" t="n">
        <v>-168.9</v>
      </c>
      <c r="CI45" s="337" t="n">
        <v>0</v>
      </c>
      <c r="CJ45" s="337" t="n">
        <v>0</v>
      </c>
      <c r="CK45" s="337" t="n">
        <v>0.7</v>
      </c>
      <c r="CL45" s="337" t="n">
        <v>0</v>
      </c>
      <c r="CM45" s="337" t="n">
        <v>0</v>
      </c>
      <c r="CN45" s="337" t="n">
        <v>59.7</v>
      </c>
    </row>
    <row r="46" customFormat="false" ht="12.75" hidden="false" customHeight="false" outlineLevel="0" collapsed="false">
      <c r="B46" s="320" t="e">
        <f aca="false">Q46</f>
        <v>#VALUE!</v>
      </c>
      <c r="C46" s="319" t="e">
        <f aca="false">YEAR(B46)</f>
        <v>#VALUE!</v>
      </c>
      <c r="D46" s="266" t="e">
        <f aca="false">R46+AC46</f>
        <v>#VALUE!</v>
      </c>
      <c r="E46" s="266" t="e">
        <f aca="false">S46+AD46</f>
        <v>#VALUE!</v>
      </c>
      <c r="F46" s="266" t="e">
        <f aca="false">+T46+AE46</f>
        <v>#VALUE!</v>
      </c>
      <c r="G46" s="266" t="e">
        <f aca="false">+U46+AF46</f>
        <v>#VALUE!</v>
      </c>
      <c r="H46" s="266" t="e">
        <f aca="false">V46+AG46</f>
        <v>#VALUE!</v>
      </c>
      <c r="I46" s="266" t="e">
        <f aca="false">W46+AH46</f>
        <v>#VALUE!</v>
      </c>
      <c r="J46" s="265"/>
      <c r="K46" s="265"/>
      <c r="L46" s="265"/>
      <c r="M46" s="266" t="e">
        <f aca="false">X46+AI46</f>
        <v>#VALUE!</v>
      </c>
      <c r="N46" s="264" t="e">
        <f aca="false">Y46+AJ46</f>
        <v>#VALUE!</v>
      </c>
      <c r="O46" s="264" t="e">
        <f aca="false">Z46+AK46</f>
        <v>#VALUE!</v>
      </c>
      <c r="Q46" s="320" t="e">
        <f aca="false">EOMONTH(Q45,0)+15</f>
        <v>#VALUE!</v>
      </c>
      <c r="R46" s="266" t="e">
        <f aca="false">SUMIF(AM:AM,$Q46,AN:AN)+SUMIF(AQ:AQ,$Q46,AR:AR)+SUMIF(AU:AU,$Q46,AV:AV)+SUMIF(BU:BU,$Q46,BV:BV)+SUMIF(BZ:BZ,$Q46,CA:CA)+SUMIF(BG:BG,$Q46,BH:BH)+SUMIF(BK:BK,$Q46,BL:BL)+SUMIF(BP:BP,$Q46,BQ:BQ)</f>
        <v>#VALUE!</v>
      </c>
      <c r="S46" s="264" t="e">
        <f aca="false">SUMIF(AM:AM,$Q46,AP:AP)+SUMIF(BU:BU,$Q46,BW:BW)+SUMIF(BZ:BZ,$Q46,CB:CB)</f>
        <v>#VALUE!</v>
      </c>
      <c r="T46" s="264" t="e">
        <f aca="false">SUMIF(AQ:AQ,$Q46,AT:AT)+SUMIF(BG:BG,$Q46,BJ:BJ)+SUMIF(BK:BK,$Q46,BN:BN)</f>
        <v>#VALUE!</v>
      </c>
      <c r="U46" s="264" t="e">
        <f aca="false">SUMIF(AM:AM,$Q46,AO:AO)+SUMIF(AQ:AQ,$Q46,AS:AS)+SUMIF(BG:BG,$Q46,BI:BI)+SUMIF(BK:BK,$Q46,BM:BM)</f>
        <v>#VALUE!</v>
      </c>
      <c r="V46" s="264" t="e">
        <f aca="false">SUMIF(AU:AU,$Q46,AW:AW)</f>
        <v>#VALUE!</v>
      </c>
      <c r="W46" s="264" t="e">
        <f aca="false">SUMIF(AU:AU,$Q46,AX:AX)</f>
        <v>#VALUE!</v>
      </c>
      <c r="X46" s="264" t="e">
        <f aca="false">SUMIF(BP:BP,$Q46,BR:BR)</f>
        <v>#VALUE!</v>
      </c>
      <c r="Y46" s="266" t="e">
        <f aca="false">SUMIF(BP:BP,$Q46,BS:BS)</f>
        <v>#VALUE!</v>
      </c>
      <c r="Z46" s="264" t="e">
        <f aca="false">SUMIF(BU:BU,$Q46,BX:BX)+SUMIF(BZ:BZ,$Q46,CC:CC)</f>
        <v>#VALUE!</v>
      </c>
      <c r="AB46" s="320" t="e">
        <f aca="false">Q46</f>
        <v>#VALUE!</v>
      </c>
      <c r="AC46" s="321" t="e">
        <f aca="false">VLOOKUP(AB46,CE47:CK152,7,FALSE())</f>
        <v>#VALUE!</v>
      </c>
      <c r="AD46" s="264" t="e">
        <f aca="false">VLOOKUP(AB46,CE47:CJ152,3,FALSE())</f>
        <v>#VALUE!</v>
      </c>
      <c r="AE46" s="264" t="e">
        <f aca="false">VLOOKUP(AB46,CE47:CJ152,2,FALSE())</f>
        <v>#VALUE!</v>
      </c>
      <c r="AF46" s="264" t="e">
        <f aca="false">VLOOKUP(AB46,CE47:CJ152,4,FALSE())</f>
        <v>#VALUE!</v>
      </c>
      <c r="AG46" s="264" t="e">
        <f aca="false">VLOOKUP(AB46,CE47:CJ152,5,FALSE())</f>
        <v>#VALUE!</v>
      </c>
      <c r="AH46" s="264" t="e">
        <f aca="false">VLOOKUP(AB46,CE47:CJ152,6,FALSE())</f>
        <v>#VALUE!</v>
      </c>
      <c r="AI46" s="264" t="e">
        <f aca="false">VLOOKUP(AB46,CE47:CM152,8,FALSE())</f>
        <v>#VALUE!</v>
      </c>
      <c r="AJ46" s="266" t="e">
        <f aca="false">VLOOKUP(AB46,CE47:CM152,9,FALSE())</f>
        <v>#VALUE!</v>
      </c>
      <c r="AK46" s="264" t="e">
        <f aca="false">VLOOKUP(AB46,CE47:CN152,10,FALSE())</f>
        <v>#VALUE!</v>
      </c>
      <c r="AM46" s="322" t="e">
        <f aca="false">LongTerm1!D51</f>
        <v>#VALUE!</v>
      </c>
      <c r="AN46" s="323" t="e">
        <f aca="false">(LongTerm1!BM51+LongTerm1!BL51/(1-LongTerm1!AR51))*(LongTerm1!F51*LongTerm1!AF51*LongTerm1!AH51)/10000</f>
        <v>#VALUE!</v>
      </c>
      <c r="AO46" s="323" t="e">
        <f aca="false">LongTerm1!BM51*(LongTerm1!F51*LongTerm1!AF51*LongTerm1!AH51)/10000</f>
        <v>#VALUE!</v>
      </c>
      <c r="AP46" s="323" t="e">
        <f aca="false">(LongTerm1!BL51/(1-LongTerm1!AR51))*(LongTerm1!F51*LongTerm1!AF51*LongTerm1!AH51)/10000</f>
        <v>#VALUE!</v>
      </c>
      <c r="AQ46" s="324"/>
      <c r="AR46" s="319"/>
      <c r="AS46" s="319"/>
      <c r="AT46" s="319"/>
      <c r="AU46" s="319"/>
      <c r="AV46" s="319"/>
      <c r="AW46" s="319"/>
      <c r="AX46" s="319"/>
      <c r="AY46" s="319"/>
      <c r="AZ46" s="319"/>
      <c r="BA46" s="319"/>
      <c r="BB46" s="319"/>
      <c r="BC46" s="319"/>
      <c r="BD46" s="319"/>
      <c r="BE46" s="319"/>
      <c r="BF46" s="319"/>
      <c r="BG46" s="322" t="e">
        <f aca="false">LongTerm25!D51</f>
        <v>#VALUE!</v>
      </c>
      <c r="BH46" s="323" t="e">
        <f aca="false">(LongTerm25!BM51+LongTerm25!BL51/(1-LongTerm25!AR51))*(LongTerm25!F51*LongTerm25!AF51*LongTerm25!AH51)/10000</f>
        <v>#VALUE!</v>
      </c>
      <c r="BI46" s="323" t="e">
        <f aca="false">LongTerm25!BM51*(LongTerm25!F51*LongTerm25!AF51*LongTerm25!AH51)/10000</f>
        <v>#VALUE!</v>
      </c>
      <c r="BJ46" s="323" t="e">
        <f aca="false">(LongTerm25!BL51/(1-LongTerm25!AR51))*(LongTerm25!F51*LongTerm25!AF51*LongTerm25!AH51)/10000</f>
        <v>#VALUE!</v>
      </c>
      <c r="BK46" s="319"/>
      <c r="BL46" s="319"/>
      <c r="BM46" s="319"/>
      <c r="BN46" s="319"/>
      <c r="BP46" s="325" t="e">
        <f aca="false">LongTerm62!D51</f>
        <v>#VALUE!</v>
      </c>
      <c r="BQ46" s="323" t="e">
        <f aca="false">(LongTerm62!$BM51+LongTerm62!$BL51/(1-LongTerm62!$AR51))*(LongTerm62!$F51*LongTerm62!$AF51*LongTerm62!$AH51)/10000</f>
        <v>#VALUE!</v>
      </c>
      <c r="BR46" s="323" t="e">
        <f aca="false">LongTerm62!$BM51*(LongTerm62!$F51*LongTerm62!$AF51*LongTerm62!$AH51)/10000</f>
        <v>#VALUE!</v>
      </c>
      <c r="BS46" s="323" t="e">
        <f aca="false">(LongTerm62!$BL51/(1-LongTerm62!$AR51))*(LongTerm62!$F51*LongTerm62!$AF51*LongTerm62!$AH51)/10000</f>
        <v>#VALUE!</v>
      </c>
      <c r="BT46" s="265"/>
      <c r="BU46" s="325" t="e">
        <f aca="false">LongTerm107!D51</f>
        <v>#VALUE!</v>
      </c>
      <c r="BV46" s="323" t="e">
        <f aca="false">(LongTerm107!$BM51+LongTerm107!$BL51/(1-LongTerm107!$AR51))*(LongTerm107!$F51*LongTerm107!$AF51*LongTerm107!$AH51)/10000</f>
        <v>#VALUE!</v>
      </c>
      <c r="BW46" s="323" t="e">
        <f aca="false">LongTerm107!$BM51*(LongTerm107!$F51*LongTerm107!$AF51*LongTerm107!$AH51)/10000</f>
        <v>#VALUE!</v>
      </c>
      <c r="BX46" s="323" t="e">
        <f aca="false">(LongTerm107!$BL51/(1-LongTerm107!$AR51))*(LongTerm107!$F51*LongTerm107!$AF51*LongTerm107!$AH51)/10000</f>
        <v>#VALUE!</v>
      </c>
      <c r="BY46" s="326"/>
      <c r="BZ46" s="325" t="e">
        <f aca="false">LongTerm108!D51</f>
        <v>#VALUE!</v>
      </c>
      <c r="CA46" s="323" t="e">
        <f aca="false">(LongTerm108!$BM51+LongTerm108!$BL51/(1-LongTerm108!$AR51))*(LongTerm108!$F51*LongTerm108!$AF51*LongTerm108!$AH51)/10000</f>
        <v>#VALUE!</v>
      </c>
      <c r="CB46" s="323" t="e">
        <f aca="false">LongTerm108!$BM51*(LongTerm108!$F51*LongTerm108!$AF51*LongTerm108!$AH51)/10000</f>
        <v>#VALUE!</v>
      </c>
      <c r="CC46" s="323" t="e">
        <f aca="false">(LongTerm108!$BL51/(1-LongTerm108!$AR51))*(LongTerm108!$F51*LongTerm108!$AF51*LongTerm108!$AH51)/10000</f>
        <v>#VALUE!</v>
      </c>
      <c r="CD46" s="332"/>
      <c r="CE46" s="333" t="n">
        <f aca="false">EOMONTH(CE45,0)+15</f>
        <v>37909</v>
      </c>
      <c r="CF46" s="337" t="n">
        <v>28.3</v>
      </c>
      <c r="CG46" s="337" t="n">
        <v>90.7</v>
      </c>
      <c r="CH46" s="337" t="n">
        <v>-174.2</v>
      </c>
      <c r="CI46" s="337" t="n">
        <v>0</v>
      </c>
      <c r="CJ46" s="337" t="n">
        <v>0</v>
      </c>
      <c r="CK46" s="337" t="n">
        <v>0.7</v>
      </c>
      <c r="CL46" s="337" t="n">
        <v>0</v>
      </c>
      <c r="CM46" s="337" t="n">
        <v>0</v>
      </c>
      <c r="CN46" s="337" t="n">
        <v>59.5</v>
      </c>
    </row>
    <row r="47" customFormat="false" ht="12.75" hidden="false" customHeight="false" outlineLevel="0" collapsed="false">
      <c r="B47" s="320" t="e">
        <f aca="false">Q47</f>
        <v>#VALUE!</v>
      </c>
      <c r="C47" s="319" t="e">
        <f aca="false">YEAR(B47)</f>
        <v>#VALUE!</v>
      </c>
      <c r="D47" s="266" t="e">
        <f aca="false">R47+AC47</f>
        <v>#VALUE!</v>
      </c>
      <c r="E47" s="266" t="e">
        <f aca="false">S47+AD47</f>
        <v>#VALUE!</v>
      </c>
      <c r="F47" s="266" t="e">
        <f aca="false">+T47+AE47</f>
        <v>#VALUE!</v>
      </c>
      <c r="G47" s="266" t="e">
        <f aca="false">+U47+AF47</f>
        <v>#VALUE!</v>
      </c>
      <c r="H47" s="266" t="e">
        <f aca="false">V47+AG47</f>
        <v>#VALUE!</v>
      </c>
      <c r="I47" s="266" t="e">
        <f aca="false">W47+AH47</f>
        <v>#VALUE!</v>
      </c>
      <c r="J47" s="265"/>
      <c r="K47" s="265"/>
      <c r="L47" s="265"/>
      <c r="M47" s="266" t="e">
        <f aca="false">X47+AI47</f>
        <v>#VALUE!</v>
      </c>
      <c r="N47" s="264" t="e">
        <f aca="false">Y47+AJ47</f>
        <v>#VALUE!</v>
      </c>
      <c r="O47" s="264" t="e">
        <f aca="false">Z47+AK47</f>
        <v>#VALUE!</v>
      </c>
      <c r="Q47" s="320" t="e">
        <f aca="false">EOMONTH(Q46,0)+15</f>
        <v>#VALUE!</v>
      </c>
      <c r="R47" s="266" t="e">
        <f aca="false">SUMIF(AM:AM,$Q47,AN:AN)+SUMIF(AQ:AQ,$Q47,AR:AR)+SUMIF(AU:AU,$Q47,AV:AV)+SUMIF(BU:BU,$Q47,BV:BV)+SUMIF(BZ:BZ,$Q47,CA:CA)+SUMIF(BG:BG,$Q47,BH:BH)+SUMIF(BK:BK,$Q47,BL:BL)+SUMIF(BP:BP,$Q47,BQ:BQ)</f>
        <v>#VALUE!</v>
      </c>
      <c r="S47" s="264" t="e">
        <f aca="false">SUMIF(AM:AM,$Q47,AP:AP)+SUMIF(BU:BU,$Q47,BW:BW)+SUMIF(BZ:BZ,$Q47,CB:CB)</f>
        <v>#VALUE!</v>
      </c>
      <c r="T47" s="264" t="e">
        <f aca="false">SUMIF(AQ:AQ,$Q47,AT:AT)+SUMIF(BG:BG,$Q47,BJ:BJ)+SUMIF(BK:BK,$Q47,BN:BN)</f>
        <v>#VALUE!</v>
      </c>
      <c r="U47" s="264" t="e">
        <f aca="false">SUMIF(AM:AM,$Q47,AO:AO)+SUMIF(AQ:AQ,$Q47,AS:AS)+SUMIF(BG:BG,$Q47,BI:BI)+SUMIF(BK:BK,$Q47,BM:BM)</f>
        <v>#VALUE!</v>
      </c>
      <c r="V47" s="264" t="e">
        <f aca="false">SUMIF(AU:AU,$Q47,AW:AW)</f>
        <v>#VALUE!</v>
      </c>
      <c r="W47" s="264" t="e">
        <f aca="false">SUMIF(AU:AU,$Q47,AX:AX)</f>
        <v>#VALUE!</v>
      </c>
      <c r="X47" s="264" t="e">
        <f aca="false">SUMIF(BP:BP,$Q47,BR:BR)</f>
        <v>#VALUE!</v>
      </c>
      <c r="Y47" s="266" t="e">
        <f aca="false">SUMIF(BP:BP,$Q47,BS:BS)</f>
        <v>#VALUE!</v>
      </c>
      <c r="Z47" s="264" t="e">
        <f aca="false">SUMIF(BU:BU,$Q47,BX:BX)+SUMIF(BZ:BZ,$Q47,CC:CC)</f>
        <v>#VALUE!</v>
      </c>
      <c r="AB47" s="320" t="e">
        <f aca="false">Q47</f>
        <v>#VALUE!</v>
      </c>
      <c r="AC47" s="321" t="e">
        <f aca="false">VLOOKUP(AB47,CE48:CK153,7,FALSE())</f>
        <v>#VALUE!</v>
      </c>
      <c r="AD47" s="264" t="e">
        <f aca="false">VLOOKUP(AB47,CE48:CJ153,3,FALSE())</f>
        <v>#VALUE!</v>
      </c>
      <c r="AE47" s="264" t="e">
        <f aca="false">VLOOKUP(AB47,CE48:CJ153,2,FALSE())</f>
        <v>#VALUE!</v>
      </c>
      <c r="AF47" s="264" t="e">
        <f aca="false">VLOOKUP(AB47,CE48:CJ153,4,FALSE())</f>
        <v>#VALUE!</v>
      </c>
      <c r="AG47" s="264" t="e">
        <f aca="false">VLOOKUP(AB47,CE48:CJ153,5,FALSE())</f>
        <v>#VALUE!</v>
      </c>
      <c r="AH47" s="264" t="e">
        <f aca="false">VLOOKUP(AB47,CE48:CJ153,6,FALSE())</f>
        <v>#VALUE!</v>
      </c>
      <c r="AI47" s="264" t="e">
        <f aca="false">VLOOKUP(AB47,CE48:CM153,8,FALSE())</f>
        <v>#VALUE!</v>
      </c>
      <c r="AJ47" s="266" t="e">
        <f aca="false">VLOOKUP(AB47,CE48:CM153,9,FALSE())</f>
        <v>#VALUE!</v>
      </c>
      <c r="AK47" s="264" t="e">
        <f aca="false">VLOOKUP(AB47,CE48:CN153,10,FALSE())</f>
        <v>#VALUE!</v>
      </c>
      <c r="AM47" s="322" t="e">
        <f aca="false">LongTerm1!D52</f>
        <v>#VALUE!</v>
      </c>
      <c r="AN47" s="323" t="e">
        <f aca="false">(LongTerm1!BM52+LongTerm1!BL52/(1-LongTerm1!AR52))*(LongTerm1!F52*LongTerm1!AF52*LongTerm1!AH52)/10000</f>
        <v>#VALUE!</v>
      </c>
      <c r="AO47" s="323" t="e">
        <f aca="false">LongTerm1!BM52*(LongTerm1!F52*LongTerm1!AF52*LongTerm1!AH52)/10000</f>
        <v>#VALUE!</v>
      </c>
      <c r="AP47" s="323" t="e">
        <f aca="false">(LongTerm1!BL52/(1-LongTerm1!AR52))*(LongTerm1!F52*LongTerm1!AF52*LongTerm1!AH52)/10000</f>
        <v>#VALUE!</v>
      </c>
      <c r="AQ47" s="324"/>
      <c r="AR47" s="319"/>
      <c r="AS47" s="319"/>
      <c r="AT47" s="319"/>
      <c r="AU47" s="319"/>
      <c r="AV47" s="319"/>
      <c r="AW47" s="319"/>
      <c r="AX47" s="319"/>
      <c r="AY47" s="319"/>
      <c r="AZ47" s="319"/>
      <c r="BA47" s="319"/>
      <c r="BB47" s="319"/>
      <c r="BC47" s="319"/>
      <c r="BD47" s="319"/>
      <c r="BE47" s="319"/>
      <c r="BF47" s="319"/>
      <c r="BG47" s="322" t="e">
        <f aca="false">LongTerm25!D52</f>
        <v>#VALUE!</v>
      </c>
      <c r="BH47" s="323" t="e">
        <f aca="false">(LongTerm25!BM52+LongTerm25!BL52/(1-LongTerm25!AR52))*(LongTerm25!F52*LongTerm25!AF52*LongTerm25!AH52)/10000</f>
        <v>#VALUE!</v>
      </c>
      <c r="BI47" s="323" t="e">
        <f aca="false">LongTerm25!BM52*(LongTerm25!F52*LongTerm25!AF52*LongTerm25!AH52)/10000</f>
        <v>#VALUE!</v>
      </c>
      <c r="BJ47" s="323" t="e">
        <f aca="false">(LongTerm25!BL52/(1-LongTerm25!AR52))*(LongTerm25!F52*LongTerm25!AF52*LongTerm25!AH52)/10000</f>
        <v>#VALUE!</v>
      </c>
      <c r="BK47" s="319"/>
      <c r="BL47" s="319"/>
      <c r="BM47" s="319"/>
      <c r="BN47" s="319"/>
      <c r="BP47" s="325" t="e">
        <f aca="false">LongTerm62!D52</f>
        <v>#VALUE!</v>
      </c>
      <c r="BQ47" s="323" t="e">
        <f aca="false">(LongTerm62!$BM52+LongTerm62!$BL52/(1-LongTerm62!$AR52))*(LongTerm62!$F52*LongTerm62!$AF52*LongTerm62!$AH52)/10000</f>
        <v>#VALUE!</v>
      </c>
      <c r="BR47" s="323" t="e">
        <f aca="false">LongTerm62!$BM52*(LongTerm62!$F52*LongTerm62!$AF52*LongTerm62!$AH52)/10000</f>
        <v>#VALUE!</v>
      </c>
      <c r="BS47" s="323" t="e">
        <f aca="false">(LongTerm62!$BL52/(1-LongTerm62!$AR52))*(LongTerm62!$F52*LongTerm62!$AF52*LongTerm62!$AH52)/10000</f>
        <v>#VALUE!</v>
      </c>
      <c r="BT47" s="265"/>
      <c r="BU47" s="325" t="e">
        <f aca="false">LongTerm107!D52</f>
        <v>#VALUE!</v>
      </c>
      <c r="BV47" s="323" t="e">
        <f aca="false">(LongTerm107!$BM52+LongTerm107!$BL52/(1-LongTerm107!$AR52))*(LongTerm107!$F52*LongTerm107!$AF52*LongTerm107!$AH52)/10000</f>
        <v>#VALUE!</v>
      </c>
      <c r="BW47" s="323" t="e">
        <f aca="false">LongTerm107!$BM52*(LongTerm107!$F52*LongTerm107!$AF52*LongTerm107!$AH52)/10000</f>
        <v>#VALUE!</v>
      </c>
      <c r="BX47" s="323" t="e">
        <f aca="false">(LongTerm107!$BL52/(1-LongTerm107!$AR52))*(LongTerm107!$F52*LongTerm107!$AF52*LongTerm107!$AH52)/10000</f>
        <v>#VALUE!</v>
      </c>
      <c r="BY47" s="326"/>
      <c r="BZ47" s="325" t="e">
        <f aca="false">LongTerm108!D52</f>
        <v>#VALUE!</v>
      </c>
      <c r="CA47" s="323" t="e">
        <f aca="false">(LongTerm108!$BM52+LongTerm108!$BL52/(1-LongTerm108!$AR52))*(LongTerm108!$F52*LongTerm108!$AF52*LongTerm108!$AH52)/10000</f>
        <v>#VALUE!</v>
      </c>
      <c r="CB47" s="323" t="e">
        <f aca="false">LongTerm108!$BM52*(LongTerm108!$F52*LongTerm108!$AF52*LongTerm108!$AH52)/10000</f>
        <v>#VALUE!</v>
      </c>
      <c r="CC47" s="323" t="e">
        <f aca="false">(LongTerm108!$BL52/(1-LongTerm108!$AR52))*(LongTerm108!$F52*LongTerm108!$AF52*LongTerm108!$AH52)/10000</f>
        <v>#VALUE!</v>
      </c>
      <c r="CD47" s="332"/>
      <c r="CE47" s="333" t="n">
        <f aca="false">EOMONTH(CE46,0)+15</f>
        <v>37940</v>
      </c>
      <c r="CF47" s="337" t="n">
        <v>27.1</v>
      </c>
      <c r="CG47" s="337" t="n">
        <v>112</v>
      </c>
      <c r="CH47" s="337" t="n">
        <v>-145.7</v>
      </c>
      <c r="CI47" s="337" t="n">
        <v>0</v>
      </c>
      <c r="CJ47" s="337" t="n">
        <v>0</v>
      </c>
      <c r="CK47" s="337" t="n">
        <v>0.7</v>
      </c>
      <c r="CL47" s="337" t="n">
        <v>-19.7</v>
      </c>
      <c r="CM47" s="337" t="n">
        <v>19.7</v>
      </c>
      <c r="CN47" s="337" t="n">
        <v>0</v>
      </c>
    </row>
    <row r="48" customFormat="false" ht="12.75" hidden="false" customHeight="false" outlineLevel="0" collapsed="false">
      <c r="B48" s="320" t="e">
        <f aca="false">Q48</f>
        <v>#VALUE!</v>
      </c>
      <c r="C48" s="319" t="e">
        <f aca="false">YEAR(B48)</f>
        <v>#VALUE!</v>
      </c>
      <c r="D48" s="266" t="e">
        <f aca="false">R48+AC48</f>
        <v>#VALUE!</v>
      </c>
      <c r="E48" s="266" t="e">
        <f aca="false">S48+AD48</f>
        <v>#VALUE!</v>
      </c>
      <c r="F48" s="266" t="e">
        <f aca="false">+T48+AE48</f>
        <v>#VALUE!</v>
      </c>
      <c r="G48" s="266" t="e">
        <f aca="false">+U48+AF48</f>
        <v>#VALUE!</v>
      </c>
      <c r="H48" s="266" t="e">
        <f aca="false">V48+AG48</f>
        <v>#VALUE!</v>
      </c>
      <c r="I48" s="266" t="e">
        <f aca="false">W48+AH48</f>
        <v>#VALUE!</v>
      </c>
      <c r="J48" s="265"/>
      <c r="K48" s="265"/>
      <c r="L48" s="265"/>
      <c r="M48" s="266" t="e">
        <f aca="false">X48+AI48</f>
        <v>#VALUE!</v>
      </c>
      <c r="N48" s="264" t="e">
        <f aca="false">Y48+AJ48</f>
        <v>#VALUE!</v>
      </c>
      <c r="O48" s="264" t="e">
        <f aca="false">Z48+AK48</f>
        <v>#VALUE!</v>
      </c>
      <c r="Q48" s="320" t="e">
        <f aca="false">EOMONTH(Q47,0)+15</f>
        <v>#VALUE!</v>
      </c>
      <c r="R48" s="266" t="e">
        <f aca="false">SUMIF(AM:AM,$Q48,AN:AN)+SUMIF(AQ:AQ,$Q48,AR:AR)+SUMIF(AU:AU,$Q48,AV:AV)+SUMIF(BU:BU,$Q48,BV:BV)+SUMIF(BZ:BZ,$Q48,CA:CA)+SUMIF(BG:BG,$Q48,BH:BH)+SUMIF(BK:BK,$Q48,BL:BL)+SUMIF(BP:BP,$Q48,BQ:BQ)</f>
        <v>#VALUE!</v>
      </c>
      <c r="S48" s="264" t="e">
        <f aca="false">SUMIF(AM:AM,$Q48,AP:AP)+SUMIF(BU:BU,$Q48,BW:BW)+SUMIF(BZ:BZ,$Q48,CB:CB)</f>
        <v>#VALUE!</v>
      </c>
      <c r="T48" s="264" t="e">
        <f aca="false">SUMIF(AQ:AQ,$Q48,AT:AT)+SUMIF(BG:BG,$Q48,BJ:BJ)+SUMIF(BK:BK,$Q48,BN:BN)</f>
        <v>#VALUE!</v>
      </c>
      <c r="U48" s="264" t="e">
        <f aca="false">SUMIF(AM:AM,$Q48,AO:AO)+SUMIF(AQ:AQ,$Q48,AS:AS)+SUMIF(BG:BG,$Q48,BI:BI)+SUMIF(BK:BK,$Q48,BM:BM)</f>
        <v>#VALUE!</v>
      </c>
      <c r="V48" s="264" t="e">
        <f aca="false">SUMIF(AU:AU,$Q48,AW:AW)</f>
        <v>#VALUE!</v>
      </c>
      <c r="W48" s="264" t="e">
        <f aca="false">SUMIF(AU:AU,$Q48,AX:AX)</f>
        <v>#VALUE!</v>
      </c>
      <c r="X48" s="264" t="e">
        <f aca="false">SUMIF(BP:BP,$Q48,BR:BR)</f>
        <v>#VALUE!</v>
      </c>
      <c r="Y48" s="266" t="e">
        <f aca="false">SUMIF(BP:BP,$Q48,BS:BS)</f>
        <v>#VALUE!</v>
      </c>
      <c r="Z48" s="264" t="e">
        <f aca="false">SUMIF(BU:BU,$Q48,BX:BX)+SUMIF(BZ:BZ,$Q48,CC:CC)</f>
        <v>#VALUE!</v>
      </c>
      <c r="AB48" s="320" t="e">
        <f aca="false">Q48</f>
        <v>#VALUE!</v>
      </c>
      <c r="AC48" s="321" t="e">
        <f aca="false">VLOOKUP(AB48,CE49:CK154,7,FALSE())</f>
        <v>#VALUE!</v>
      </c>
      <c r="AD48" s="264" t="e">
        <f aca="false">VLOOKUP(AB48,CE49:CJ154,3,FALSE())</f>
        <v>#VALUE!</v>
      </c>
      <c r="AE48" s="264" t="e">
        <f aca="false">VLOOKUP(AB48,CE49:CJ154,2,FALSE())</f>
        <v>#VALUE!</v>
      </c>
      <c r="AF48" s="264" t="e">
        <f aca="false">VLOOKUP(AB48,CE49:CJ154,4,FALSE())</f>
        <v>#VALUE!</v>
      </c>
      <c r="AG48" s="264" t="e">
        <f aca="false">VLOOKUP(AB48,CE49:CJ154,5,FALSE())</f>
        <v>#VALUE!</v>
      </c>
      <c r="AH48" s="264" t="e">
        <f aca="false">VLOOKUP(AB48,CE49:CJ154,6,FALSE())</f>
        <v>#VALUE!</v>
      </c>
      <c r="AI48" s="264" t="e">
        <f aca="false">VLOOKUP(AB48,CE49:CM154,8,FALSE())</f>
        <v>#VALUE!</v>
      </c>
      <c r="AJ48" s="266" t="e">
        <f aca="false">VLOOKUP(AB48,CE49:CM154,9,FALSE())</f>
        <v>#VALUE!</v>
      </c>
      <c r="AK48" s="264" t="e">
        <f aca="false">VLOOKUP(AB48,CE49:CN154,10,FALSE())</f>
        <v>#VALUE!</v>
      </c>
      <c r="AM48" s="322" t="e">
        <f aca="false">LongTerm1!D53</f>
        <v>#VALUE!</v>
      </c>
      <c r="AN48" s="323" t="e">
        <f aca="false">(LongTerm1!BM53+LongTerm1!BL53/(1-LongTerm1!AR53))*(LongTerm1!F53*LongTerm1!AF53*LongTerm1!AH53)/10000</f>
        <v>#VALUE!</v>
      </c>
      <c r="AO48" s="323" t="e">
        <f aca="false">LongTerm1!BM53*(LongTerm1!F53*LongTerm1!AF53*LongTerm1!AH53)/10000</f>
        <v>#VALUE!</v>
      </c>
      <c r="AP48" s="323" t="e">
        <f aca="false">(LongTerm1!BL53/(1-LongTerm1!AR53))*(LongTerm1!F53*LongTerm1!AF53*LongTerm1!AH53)/10000</f>
        <v>#VALUE!</v>
      </c>
      <c r="AQ48" s="324"/>
      <c r="AR48" s="319"/>
      <c r="AS48" s="319"/>
      <c r="AT48" s="319"/>
      <c r="AU48" s="319"/>
      <c r="AV48" s="319"/>
      <c r="AW48" s="319"/>
      <c r="AX48" s="319"/>
      <c r="AY48" s="319"/>
      <c r="AZ48" s="319"/>
      <c r="BA48" s="319"/>
      <c r="BB48" s="319"/>
      <c r="BC48" s="319"/>
      <c r="BD48" s="319"/>
      <c r="BE48" s="319"/>
      <c r="BF48" s="319"/>
      <c r="BG48" s="322" t="e">
        <f aca="false">LongTerm25!D53</f>
        <v>#VALUE!</v>
      </c>
      <c r="BH48" s="323" t="e">
        <f aca="false">(LongTerm25!BM53+LongTerm25!BL53/(1-LongTerm25!AR53))*(LongTerm25!F53*LongTerm25!AF53*LongTerm25!AH53)/10000</f>
        <v>#VALUE!</v>
      </c>
      <c r="BI48" s="323" t="e">
        <f aca="false">LongTerm25!BM53*(LongTerm25!F53*LongTerm25!AF53*LongTerm25!AH53)/10000</f>
        <v>#VALUE!</v>
      </c>
      <c r="BJ48" s="323" t="e">
        <f aca="false">(LongTerm25!BL53/(1-LongTerm25!AR53))*(LongTerm25!F53*LongTerm25!AF53*LongTerm25!AH53)/10000</f>
        <v>#VALUE!</v>
      </c>
      <c r="BK48" s="319"/>
      <c r="BL48" s="319"/>
      <c r="BM48" s="319"/>
      <c r="BN48" s="319"/>
      <c r="BP48" s="325" t="e">
        <f aca="false">LongTerm62!D53</f>
        <v>#VALUE!</v>
      </c>
      <c r="BQ48" s="323" t="e">
        <f aca="false">(LongTerm62!$BM53+LongTerm62!$BL53/(1-LongTerm62!$AR53))*(LongTerm62!$F53*LongTerm62!$AF53*LongTerm62!$AH53)/10000</f>
        <v>#VALUE!</v>
      </c>
      <c r="BR48" s="323" t="e">
        <f aca="false">LongTerm62!$BM53*(LongTerm62!$F53*LongTerm62!$AF53*LongTerm62!$AH53)/10000</f>
        <v>#VALUE!</v>
      </c>
      <c r="BS48" s="323" t="e">
        <f aca="false">(LongTerm62!$BL53/(1-LongTerm62!$AR53))*(LongTerm62!$F53*LongTerm62!$AF53*LongTerm62!$AH53)/10000</f>
        <v>#VALUE!</v>
      </c>
      <c r="BT48" s="265"/>
      <c r="BU48" s="325" t="e">
        <f aca="false">LongTerm107!D53</f>
        <v>#VALUE!</v>
      </c>
      <c r="BV48" s="323" t="e">
        <f aca="false">(LongTerm107!$BM53+LongTerm107!$BL53/(1-LongTerm107!$AR53))*(LongTerm107!$F53*LongTerm107!$AF53*LongTerm107!$AH53)/10000</f>
        <v>#VALUE!</v>
      </c>
      <c r="BW48" s="323" t="e">
        <f aca="false">LongTerm107!$BM53*(LongTerm107!$F53*LongTerm107!$AF53*LongTerm107!$AH53)/10000</f>
        <v>#VALUE!</v>
      </c>
      <c r="BX48" s="323" t="e">
        <f aca="false">(LongTerm107!$BL53/(1-LongTerm107!$AR53))*(LongTerm107!$F53*LongTerm107!$AF53*LongTerm107!$AH53)/10000</f>
        <v>#VALUE!</v>
      </c>
      <c r="BY48" s="326"/>
      <c r="BZ48" s="325" t="e">
        <f aca="false">LongTerm108!D53</f>
        <v>#VALUE!</v>
      </c>
      <c r="CA48" s="323" t="e">
        <f aca="false">(LongTerm108!$BM53+LongTerm108!$BL53/(1-LongTerm108!$AR53))*(LongTerm108!$F53*LongTerm108!$AF53*LongTerm108!$AH53)/10000</f>
        <v>#VALUE!</v>
      </c>
      <c r="CB48" s="323" t="e">
        <f aca="false">LongTerm108!$BM53*(LongTerm108!$F53*LongTerm108!$AF53*LongTerm108!$AH53)/10000</f>
        <v>#VALUE!</v>
      </c>
      <c r="CC48" s="323" t="e">
        <f aca="false">(LongTerm108!$BL53/(1-LongTerm108!$AR53))*(LongTerm108!$F53*LongTerm108!$AF53*LongTerm108!$AH53)/10000</f>
        <v>#VALUE!</v>
      </c>
      <c r="CD48" s="332"/>
      <c r="CE48" s="333" t="n">
        <f aca="false">EOMONTH(CE47,0)+15</f>
        <v>37970</v>
      </c>
      <c r="CF48" s="337" t="n">
        <v>27.7</v>
      </c>
      <c r="CG48" s="337" t="n">
        <v>106.9</v>
      </c>
      <c r="CH48" s="337" t="n">
        <v>-140</v>
      </c>
      <c r="CI48" s="337" t="n">
        <v>0</v>
      </c>
      <c r="CJ48" s="337" t="n">
        <v>0</v>
      </c>
      <c r="CK48" s="337" t="n">
        <v>0.7</v>
      </c>
      <c r="CL48" s="337" t="n">
        <v>-14.4</v>
      </c>
      <c r="CM48" s="337" t="n">
        <v>14.4</v>
      </c>
      <c r="CN48" s="337" t="n">
        <v>0</v>
      </c>
    </row>
    <row r="49" customFormat="false" ht="12.75" hidden="false" customHeight="false" outlineLevel="0" collapsed="false">
      <c r="B49" s="320" t="e">
        <f aca="false">Q49</f>
        <v>#VALUE!</v>
      </c>
      <c r="C49" s="319" t="e">
        <f aca="false">YEAR(B49)</f>
        <v>#VALUE!</v>
      </c>
      <c r="D49" s="266" t="e">
        <f aca="false">R49+AC49</f>
        <v>#VALUE!</v>
      </c>
      <c r="E49" s="266" t="e">
        <f aca="false">S49+AD49</f>
        <v>#VALUE!</v>
      </c>
      <c r="F49" s="266" t="e">
        <f aca="false">+T49+AE49</f>
        <v>#VALUE!</v>
      </c>
      <c r="G49" s="266" t="e">
        <f aca="false">+U49+AF49</f>
        <v>#VALUE!</v>
      </c>
      <c r="H49" s="266" t="e">
        <f aca="false">V49+AG49</f>
        <v>#VALUE!</v>
      </c>
      <c r="I49" s="266" t="e">
        <f aca="false">W49+AH49</f>
        <v>#VALUE!</v>
      </c>
      <c r="J49" s="265"/>
      <c r="K49" s="265"/>
      <c r="L49" s="265"/>
      <c r="M49" s="266" t="e">
        <f aca="false">X49+AI49</f>
        <v>#VALUE!</v>
      </c>
      <c r="N49" s="264" t="e">
        <f aca="false">Y49+AJ49</f>
        <v>#VALUE!</v>
      </c>
      <c r="O49" s="264" t="e">
        <f aca="false">Z49+AK49</f>
        <v>#VALUE!</v>
      </c>
      <c r="Q49" s="320" t="e">
        <f aca="false">EOMONTH(Q48,0)+15</f>
        <v>#VALUE!</v>
      </c>
      <c r="R49" s="266" t="e">
        <f aca="false">SUMIF(AM:AM,$Q49,AN:AN)+SUMIF(AQ:AQ,$Q49,AR:AR)+SUMIF(AU:AU,$Q49,AV:AV)+SUMIF(BU:BU,$Q49,BV:BV)+SUMIF(BZ:BZ,$Q49,CA:CA)+SUMIF(BG:BG,$Q49,BH:BH)+SUMIF(BK:BK,$Q49,BL:BL)+SUMIF(BP:BP,$Q49,BQ:BQ)</f>
        <v>#VALUE!</v>
      </c>
      <c r="S49" s="264" t="e">
        <f aca="false">SUMIF(AM:AM,$Q49,AP:AP)+SUMIF(BU:BU,$Q49,BW:BW)+SUMIF(BZ:BZ,$Q49,CB:CB)</f>
        <v>#VALUE!</v>
      </c>
      <c r="T49" s="264" t="e">
        <f aca="false">SUMIF(AQ:AQ,$Q49,AT:AT)+SUMIF(BG:BG,$Q49,BJ:BJ)+SUMIF(BK:BK,$Q49,BN:BN)</f>
        <v>#VALUE!</v>
      </c>
      <c r="U49" s="264" t="e">
        <f aca="false">SUMIF(AM:AM,$Q49,AO:AO)+SUMIF(AQ:AQ,$Q49,AS:AS)+SUMIF(BG:BG,$Q49,BI:BI)+SUMIF(BK:BK,$Q49,BM:BM)</f>
        <v>#VALUE!</v>
      </c>
      <c r="V49" s="264" t="e">
        <f aca="false">SUMIF(AU:AU,$Q49,AW:AW)</f>
        <v>#VALUE!</v>
      </c>
      <c r="W49" s="264" t="e">
        <f aca="false">SUMIF(AU:AU,$Q49,AX:AX)</f>
        <v>#VALUE!</v>
      </c>
      <c r="X49" s="264" t="e">
        <f aca="false">SUMIF(BP:BP,$Q49,BR:BR)</f>
        <v>#VALUE!</v>
      </c>
      <c r="Y49" s="266" t="e">
        <f aca="false">SUMIF(BP:BP,$Q49,BS:BS)</f>
        <v>#VALUE!</v>
      </c>
      <c r="Z49" s="264" t="e">
        <f aca="false">SUMIF(BU:BU,$Q49,BX:BX)+SUMIF(BZ:BZ,$Q49,CC:CC)</f>
        <v>#VALUE!</v>
      </c>
      <c r="AB49" s="320" t="e">
        <f aca="false">Q49</f>
        <v>#VALUE!</v>
      </c>
      <c r="AC49" s="321" t="e">
        <f aca="false">VLOOKUP(AB49,CE50:CK155,7,FALSE())</f>
        <v>#VALUE!</v>
      </c>
      <c r="AD49" s="264" t="e">
        <f aca="false">VLOOKUP(AB49,CE50:CJ155,3,FALSE())</f>
        <v>#VALUE!</v>
      </c>
      <c r="AE49" s="264" t="e">
        <f aca="false">VLOOKUP(AB49,CE50:CJ155,2,FALSE())</f>
        <v>#VALUE!</v>
      </c>
      <c r="AF49" s="264" t="e">
        <f aca="false">VLOOKUP(AB49,CE50:CJ155,4,FALSE())</f>
        <v>#VALUE!</v>
      </c>
      <c r="AG49" s="264" t="e">
        <f aca="false">VLOOKUP(AB49,CE50:CJ155,5,FALSE())</f>
        <v>#VALUE!</v>
      </c>
      <c r="AH49" s="264" t="e">
        <f aca="false">VLOOKUP(AB49,CE50:CJ155,6,FALSE())</f>
        <v>#VALUE!</v>
      </c>
      <c r="AI49" s="264" t="e">
        <f aca="false">VLOOKUP(AB49,CE50:CM155,8,FALSE())</f>
        <v>#VALUE!</v>
      </c>
      <c r="AJ49" s="266" t="e">
        <f aca="false">VLOOKUP(AB49,CE50:CM155,9,FALSE())</f>
        <v>#VALUE!</v>
      </c>
      <c r="AK49" s="264" t="e">
        <f aca="false">VLOOKUP(AB49,CE50:CN155,10,FALSE())</f>
        <v>#VALUE!</v>
      </c>
      <c r="AM49" s="322" t="e">
        <f aca="false">LongTerm1!D54</f>
        <v>#VALUE!</v>
      </c>
      <c r="AN49" s="323" t="e">
        <f aca="false">(LongTerm1!BM54+LongTerm1!BL54/(1-LongTerm1!AR54))*(LongTerm1!F54*LongTerm1!AF54*LongTerm1!AH54)/10000</f>
        <v>#VALUE!</v>
      </c>
      <c r="AO49" s="323" t="e">
        <f aca="false">LongTerm1!BM54*(LongTerm1!F54*LongTerm1!AF54*LongTerm1!AH54)/10000</f>
        <v>#VALUE!</v>
      </c>
      <c r="AP49" s="323" t="e">
        <f aca="false">(LongTerm1!BL54/(1-LongTerm1!AR54))*(LongTerm1!F54*LongTerm1!AF54*LongTerm1!AH54)/10000</f>
        <v>#VALUE!</v>
      </c>
      <c r="AQ49" s="324"/>
      <c r="AR49" s="319"/>
      <c r="AS49" s="319"/>
      <c r="AT49" s="319"/>
      <c r="AU49" s="319"/>
      <c r="AV49" s="319"/>
      <c r="AW49" s="319"/>
      <c r="AX49" s="319"/>
      <c r="AY49" s="319"/>
      <c r="AZ49" s="319"/>
      <c r="BA49" s="319"/>
      <c r="BB49" s="319"/>
      <c r="BC49" s="319"/>
      <c r="BD49" s="319"/>
      <c r="BE49" s="319"/>
      <c r="BF49" s="319"/>
      <c r="BG49" s="322" t="e">
        <f aca="false">LongTerm25!D54</f>
        <v>#VALUE!</v>
      </c>
      <c r="BH49" s="323" t="e">
        <f aca="false">(LongTerm25!BM54+LongTerm25!BL54/(1-LongTerm25!AR54))*(LongTerm25!F54*LongTerm25!AF54*LongTerm25!AH54)/10000</f>
        <v>#VALUE!</v>
      </c>
      <c r="BI49" s="323" t="e">
        <f aca="false">LongTerm25!BM54*(LongTerm25!F54*LongTerm25!AF54*LongTerm25!AH54)/10000</f>
        <v>#VALUE!</v>
      </c>
      <c r="BJ49" s="323" t="e">
        <f aca="false">(LongTerm25!BL54/(1-LongTerm25!AR54))*(LongTerm25!F54*LongTerm25!AF54*LongTerm25!AH54)/10000</f>
        <v>#VALUE!</v>
      </c>
      <c r="BK49" s="319"/>
      <c r="BL49" s="319"/>
      <c r="BM49" s="319"/>
      <c r="BN49" s="319"/>
      <c r="BP49" s="325" t="e">
        <f aca="false">LongTerm62!D54</f>
        <v>#VALUE!</v>
      </c>
      <c r="BQ49" s="323" t="e">
        <f aca="false">(LongTerm62!$BM54+LongTerm62!$BL54/(1-LongTerm62!$AR54))*(LongTerm62!$F54*LongTerm62!$AF54*LongTerm62!$AH54)/10000</f>
        <v>#VALUE!</v>
      </c>
      <c r="BR49" s="323" t="e">
        <f aca="false">LongTerm62!$BM54*(LongTerm62!$F54*LongTerm62!$AF54*LongTerm62!$AH54)/10000</f>
        <v>#VALUE!</v>
      </c>
      <c r="BS49" s="323" t="e">
        <f aca="false">(LongTerm62!$BL54/(1-LongTerm62!$AR54))*(LongTerm62!$F54*LongTerm62!$AF54*LongTerm62!$AH54)/10000</f>
        <v>#VALUE!</v>
      </c>
      <c r="BT49" s="265"/>
      <c r="BU49" s="325" t="e">
        <f aca="false">LongTerm107!D54</f>
        <v>#VALUE!</v>
      </c>
      <c r="BV49" s="323" t="e">
        <f aca="false">(LongTerm107!$BM54+LongTerm107!$BL54/(1-LongTerm107!$AR54))*(LongTerm107!$F54*LongTerm107!$AF54*LongTerm107!$AH54)/10000</f>
        <v>#VALUE!</v>
      </c>
      <c r="BW49" s="323" t="e">
        <f aca="false">LongTerm107!$BM54*(LongTerm107!$F54*LongTerm107!$AF54*LongTerm107!$AH54)/10000</f>
        <v>#VALUE!</v>
      </c>
      <c r="BX49" s="323" t="e">
        <f aca="false">(LongTerm107!$BL54/(1-LongTerm107!$AR54))*(LongTerm107!$F54*LongTerm107!$AF54*LongTerm107!$AH54)/10000</f>
        <v>#VALUE!</v>
      </c>
      <c r="BY49" s="326"/>
      <c r="BZ49" s="325" t="e">
        <f aca="false">LongTerm108!D54</f>
        <v>#VALUE!</v>
      </c>
      <c r="CA49" s="323" t="e">
        <f aca="false">(LongTerm108!$BM54+LongTerm108!$BL54/(1-LongTerm108!$AR54))*(LongTerm108!$F54*LongTerm108!$AF54*LongTerm108!$AH54)/10000</f>
        <v>#VALUE!</v>
      </c>
      <c r="CB49" s="323" t="e">
        <f aca="false">LongTerm108!$BM54*(LongTerm108!$F54*LongTerm108!$AF54*LongTerm108!$AH54)/10000</f>
        <v>#VALUE!</v>
      </c>
      <c r="CC49" s="323" t="e">
        <f aca="false">(LongTerm108!$BL54/(1-LongTerm108!$AR54))*(LongTerm108!$F54*LongTerm108!$AF54*LongTerm108!$AH54)/10000</f>
        <v>#VALUE!</v>
      </c>
      <c r="CD49" s="332"/>
      <c r="CE49" s="333" t="n">
        <f aca="false">EOMONTH(CE48,0)+15</f>
        <v>38001</v>
      </c>
      <c r="CF49" s="337" t="n">
        <v>27.5</v>
      </c>
      <c r="CG49" s="337" t="n">
        <v>100.9</v>
      </c>
      <c r="CH49" s="337" t="n">
        <v>-133.8</v>
      </c>
      <c r="CI49" s="337" t="n">
        <v>0</v>
      </c>
      <c r="CJ49" s="337" t="n">
        <v>0</v>
      </c>
      <c r="CK49" s="337" t="n">
        <v>0.9</v>
      </c>
      <c r="CL49" s="337" t="n">
        <v>-14.3</v>
      </c>
      <c r="CM49" s="337" t="n">
        <v>14.3</v>
      </c>
      <c r="CN49" s="337" t="n">
        <v>0</v>
      </c>
    </row>
    <row r="50" customFormat="false" ht="12.75" hidden="false" customHeight="false" outlineLevel="0" collapsed="false">
      <c r="B50" s="320" t="e">
        <f aca="false">Q50</f>
        <v>#VALUE!</v>
      </c>
      <c r="C50" s="319" t="e">
        <f aca="false">YEAR(B50)</f>
        <v>#VALUE!</v>
      </c>
      <c r="D50" s="266" t="e">
        <f aca="false">R50+AC50</f>
        <v>#VALUE!</v>
      </c>
      <c r="E50" s="266" t="e">
        <f aca="false">S50+AD50</f>
        <v>#VALUE!</v>
      </c>
      <c r="F50" s="266" t="e">
        <f aca="false">+T50+AE50</f>
        <v>#VALUE!</v>
      </c>
      <c r="G50" s="266" t="e">
        <f aca="false">+U50+AF50</f>
        <v>#VALUE!</v>
      </c>
      <c r="H50" s="266" t="e">
        <f aca="false">V50+AG50</f>
        <v>#VALUE!</v>
      </c>
      <c r="I50" s="266" t="e">
        <f aca="false">W50+AH50</f>
        <v>#VALUE!</v>
      </c>
      <c r="J50" s="265"/>
      <c r="K50" s="265"/>
      <c r="L50" s="265"/>
      <c r="M50" s="266" t="e">
        <f aca="false">X50+AI50</f>
        <v>#VALUE!</v>
      </c>
      <c r="N50" s="264" t="e">
        <f aca="false">Y50+AJ50</f>
        <v>#VALUE!</v>
      </c>
      <c r="O50" s="264" t="e">
        <f aca="false">Z50+AK50</f>
        <v>#VALUE!</v>
      </c>
      <c r="Q50" s="320" t="e">
        <f aca="false">EOMONTH(Q49,0)+15</f>
        <v>#VALUE!</v>
      </c>
      <c r="R50" s="266" t="e">
        <f aca="false">SUMIF(AM:AM,$Q50,AN:AN)+SUMIF(AQ:AQ,$Q50,AR:AR)+SUMIF(AU:AU,$Q50,AV:AV)+SUMIF(BU:BU,$Q50,BV:BV)+SUMIF(BZ:BZ,$Q50,CA:CA)+SUMIF(BG:BG,$Q50,BH:BH)+SUMIF(BK:BK,$Q50,BL:BL)+SUMIF(BP:BP,$Q50,BQ:BQ)</f>
        <v>#VALUE!</v>
      </c>
      <c r="S50" s="264" t="e">
        <f aca="false">SUMIF(AM:AM,$Q50,AP:AP)+SUMIF(BU:BU,$Q50,BW:BW)+SUMIF(BZ:BZ,$Q50,CB:CB)</f>
        <v>#VALUE!</v>
      </c>
      <c r="T50" s="264" t="e">
        <f aca="false">SUMIF(AQ:AQ,$Q50,AT:AT)+SUMIF(BG:BG,$Q50,BJ:BJ)+SUMIF(BK:BK,$Q50,BN:BN)</f>
        <v>#VALUE!</v>
      </c>
      <c r="U50" s="264" t="e">
        <f aca="false">SUMIF(AM:AM,$Q50,AO:AO)+SUMIF(AQ:AQ,$Q50,AS:AS)+SUMIF(BG:BG,$Q50,BI:BI)+SUMIF(BK:BK,$Q50,BM:BM)</f>
        <v>#VALUE!</v>
      </c>
      <c r="V50" s="264" t="e">
        <f aca="false">SUMIF(AU:AU,$Q50,AW:AW)</f>
        <v>#VALUE!</v>
      </c>
      <c r="W50" s="264" t="e">
        <f aca="false">SUMIF(AU:AU,$Q50,AX:AX)</f>
        <v>#VALUE!</v>
      </c>
      <c r="X50" s="264" t="e">
        <f aca="false">SUMIF(BP:BP,$Q50,BR:BR)</f>
        <v>#VALUE!</v>
      </c>
      <c r="Y50" s="266" t="e">
        <f aca="false">SUMIF(BP:BP,$Q50,BS:BS)</f>
        <v>#VALUE!</v>
      </c>
      <c r="Z50" s="264" t="e">
        <f aca="false">SUMIF(BU:BU,$Q50,BX:BX)+SUMIF(BZ:BZ,$Q50,CC:CC)</f>
        <v>#VALUE!</v>
      </c>
      <c r="AB50" s="320" t="e">
        <f aca="false">Q50</f>
        <v>#VALUE!</v>
      </c>
      <c r="AC50" s="321" t="e">
        <f aca="false">VLOOKUP(AB50,CE51:CK156,7,FALSE())</f>
        <v>#VALUE!</v>
      </c>
      <c r="AD50" s="264" t="e">
        <f aca="false">VLOOKUP(AB50,CE51:CJ156,3,FALSE())</f>
        <v>#VALUE!</v>
      </c>
      <c r="AE50" s="264" t="e">
        <f aca="false">VLOOKUP(AB50,CE51:CJ156,2,FALSE())</f>
        <v>#VALUE!</v>
      </c>
      <c r="AF50" s="264" t="e">
        <f aca="false">VLOOKUP(AB50,CE51:CJ156,4,FALSE())</f>
        <v>#VALUE!</v>
      </c>
      <c r="AG50" s="264" t="e">
        <f aca="false">VLOOKUP(AB50,CE51:CJ156,5,FALSE())</f>
        <v>#VALUE!</v>
      </c>
      <c r="AH50" s="264" t="e">
        <f aca="false">VLOOKUP(AB50,CE51:CJ156,6,FALSE())</f>
        <v>#VALUE!</v>
      </c>
      <c r="AI50" s="264" t="e">
        <f aca="false">VLOOKUP(AB50,CE51:CM156,8,FALSE())</f>
        <v>#VALUE!</v>
      </c>
      <c r="AJ50" s="266" t="e">
        <f aca="false">VLOOKUP(AB50,CE51:CM156,9,FALSE())</f>
        <v>#VALUE!</v>
      </c>
      <c r="AK50" s="264" t="e">
        <f aca="false">VLOOKUP(AB50,CE51:CN156,10,FALSE())</f>
        <v>#VALUE!</v>
      </c>
      <c r="AM50" s="322" t="e">
        <f aca="false">LongTerm1!D55</f>
        <v>#VALUE!</v>
      </c>
      <c r="AN50" s="323" t="e">
        <f aca="false">(LongTerm1!BM55+LongTerm1!BL55/(1-LongTerm1!AR55))*(LongTerm1!F55*LongTerm1!AF55*LongTerm1!AH55)/10000</f>
        <v>#VALUE!</v>
      </c>
      <c r="AO50" s="323" t="e">
        <f aca="false">LongTerm1!BM55*(LongTerm1!F55*LongTerm1!AF55*LongTerm1!AH55)/10000</f>
        <v>#VALUE!</v>
      </c>
      <c r="AP50" s="323" t="e">
        <f aca="false">(LongTerm1!BL55/(1-LongTerm1!AR55))*(LongTerm1!F55*LongTerm1!AF55*LongTerm1!AH55)/10000</f>
        <v>#VALUE!</v>
      </c>
      <c r="AQ50" s="324"/>
      <c r="AR50" s="319"/>
      <c r="AS50" s="319"/>
      <c r="AT50" s="319"/>
      <c r="AU50" s="319"/>
      <c r="AV50" s="319"/>
      <c r="AW50" s="319"/>
      <c r="AX50" s="319"/>
      <c r="AY50" s="319"/>
      <c r="AZ50" s="319"/>
      <c r="BA50" s="319"/>
      <c r="BB50" s="319"/>
      <c r="BC50" s="319"/>
      <c r="BD50" s="319"/>
      <c r="BE50" s="319"/>
      <c r="BF50" s="319"/>
      <c r="BG50" s="322" t="e">
        <f aca="false">LongTerm25!D55</f>
        <v>#VALUE!</v>
      </c>
      <c r="BH50" s="323" t="e">
        <f aca="false">(LongTerm25!BM55+LongTerm25!BL55/(1-LongTerm25!AR55))*(LongTerm25!F55*LongTerm25!AF55*LongTerm25!AH55)/10000</f>
        <v>#VALUE!</v>
      </c>
      <c r="BI50" s="323" t="e">
        <f aca="false">LongTerm25!BM55*(LongTerm25!F55*LongTerm25!AF55*LongTerm25!AH55)/10000</f>
        <v>#VALUE!</v>
      </c>
      <c r="BJ50" s="323" t="e">
        <f aca="false">(LongTerm25!BL55/(1-LongTerm25!AR55))*(LongTerm25!F55*LongTerm25!AF55*LongTerm25!AH55)/10000</f>
        <v>#VALUE!</v>
      </c>
      <c r="BK50" s="319"/>
      <c r="BL50" s="319"/>
      <c r="BM50" s="319"/>
      <c r="BN50" s="319"/>
      <c r="BP50" s="325" t="e">
        <f aca="false">LongTerm62!D55</f>
        <v>#VALUE!</v>
      </c>
      <c r="BQ50" s="323" t="e">
        <f aca="false">(LongTerm62!$BM55+LongTerm62!$BL55/(1-LongTerm62!$AR55))*(LongTerm62!$F55*LongTerm62!$AF55*LongTerm62!$AH55)/10000</f>
        <v>#VALUE!</v>
      </c>
      <c r="BR50" s="323" t="e">
        <f aca="false">LongTerm62!$BM55*(LongTerm62!$F55*LongTerm62!$AF55*LongTerm62!$AH55)/10000</f>
        <v>#VALUE!</v>
      </c>
      <c r="BS50" s="323" t="e">
        <f aca="false">(LongTerm62!$BL55/(1-LongTerm62!$AR55))*(LongTerm62!$F55*LongTerm62!$AF55*LongTerm62!$AH55)/10000</f>
        <v>#VALUE!</v>
      </c>
      <c r="BT50" s="265"/>
      <c r="BU50" s="325" t="e">
        <f aca="false">LongTerm107!D55</f>
        <v>#VALUE!</v>
      </c>
      <c r="BV50" s="323" t="e">
        <f aca="false">(LongTerm107!$BM55+LongTerm107!$BL55/(1-LongTerm107!$AR55))*(LongTerm107!$F55*LongTerm107!$AF55*LongTerm107!$AH55)/10000</f>
        <v>#VALUE!</v>
      </c>
      <c r="BW50" s="323" t="e">
        <f aca="false">LongTerm107!$BM55*(LongTerm107!$F55*LongTerm107!$AF55*LongTerm107!$AH55)/10000</f>
        <v>#VALUE!</v>
      </c>
      <c r="BX50" s="323" t="e">
        <f aca="false">(LongTerm107!$BL55/(1-LongTerm107!$AR55))*(LongTerm107!$F55*LongTerm107!$AF55*LongTerm107!$AH55)/10000</f>
        <v>#VALUE!</v>
      </c>
      <c r="BY50" s="326"/>
      <c r="BZ50" s="325" t="e">
        <f aca="false">LongTerm108!D55</f>
        <v>#VALUE!</v>
      </c>
      <c r="CA50" s="323" t="e">
        <f aca="false">(LongTerm108!$BM55+LongTerm108!$BL55/(1-LongTerm108!$AR55))*(LongTerm108!$F55*LongTerm108!$AF55*LongTerm108!$AH55)/10000</f>
        <v>#VALUE!</v>
      </c>
      <c r="CB50" s="323" t="e">
        <f aca="false">LongTerm108!$BM55*(LongTerm108!$F55*LongTerm108!$AF55*LongTerm108!$AH55)/10000</f>
        <v>#VALUE!</v>
      </c>
      <c r="CC50" s="323" t="e">
        <f aca="false">(LongTerm108!$BL55/(1-LongTerm108!$AR55))*(LongTerm108!$F55*LongTerm108!$AF55*LongTerm108!$AH55)/10000</f>
        <v>#VALUE!</v>
      </c>
      <c r="CD50" s="332"/>
      <c r="CE50" s="333" t="n">
        <f aca="false">EOMONTH(CE49,0)+15</f>
        <v>38032</v>
      </c>
      <c r="CF50" s="337" t="n">
        <v>25.4</v>
      </c>
      <c r="CG50" s="337" t="n">
        <v>96.8</v>
      </c>
      <c r="CH50" s="337" t="n">
        <v>-126.9</v>
      </c>
      <c r="CI50" s="337" t="n">
        <v>0</v>
      </c>
      <c r="CJ50" s="337" t="n">
        <v>0</v>
      </c>
      <c r="CK50" s="337" t="n">
        <v>0.9</v>
      </c>
      <c r="CL50" s="337" t="n">
        <v>-13.5</v>
      </c>
      <c r="CM50" s="337" t="n">
        <v>13.5</v>
      </c>
      <c r="CN50" s="337" t="n">
        <v>0</v>
      </c>
    </row>
    <row r="51" customFormat="false" ht="12.75" hidden="false" customHeight="false" outlineLevel="0" collapsed="false">
      <c r="B51" s="320" t="e">
        <f aca="false">Q51</f>
        <v>#VALUE!</v>
      </c>
      <c r="C51" s="319" t="e">
        <f aca="false">YEAR(B51)</f>
        <v>#VALUE!</v>
      </c>
      <c r="D51" s="266" t="e">
        <f aca="false">R51+AC51</f>
        <v>#VALUE!</v>
      </c>
      <c r="E51" s="266" t="e">
        <f aca="false">S51+AD51</f>
        <v>#VALUE!</v>
      </c>
      <c r="F51" s="266" t="e">
        <f aca="false">+T51+AE51</f>
        <v>#VALUE!</v>
      </c>
      <c r="G51" s="266" t="e">
        <f aca="false">+U51+AF51</f>
        <v>#VALUE!</v>
      </c>
      <c r="H51" s="266" t="e">
        <f aca="false">V51+AG51</f>
        <v>#VALUE!</v>
      </c>
      <c r="I51" s="266" t="e">
        <f aca="false">W51+AH51</f>
        <v>#VALUE!</v>
      </c>
      <c r="J51" s="265"/>
      <c r="K51" s="265"/>
      <c r="L51" s="265"/>
      <c r="M51" s="266" t="e">
        <f aca="false">X51+AI51</f>
        <v>#VALUE!</v>
      </c>
      <c r="N51" s="264" t="e">
        <f aca="false">Y51+AJ51</f>
        <v>#VALUE!</v>
      </c>
      <c r="O51" s="264" t="e">
        <f aca="false">Z51+AK51</f>
        <v>#VALUE!</v>
      </c>
      <c r="Q51" s="320" t="e">
        <f aca="false">EOMONTH(Q50,0)+15</f>
        <v>#VALUE!</v>
      </c>
      <c r="R51" s="266" t="e">
        <f aca="false">SUMIF(AM:AM,$Q51,AN:AN)+SUMIF(AQ:AQ,$Q51,AR:AR)+SUMIF(AU:AU,$Q51,AV:AV)+SUMIF(BU:BU,$Q51,BV:BV)+SUMIF(BZ:BZ,$Q51,CA:CA)+SUMIF(BG:BG,$Q51,BH:BH)+SUMIF(BK:BK,$Q51,BL:BL)+SUMIF(BP:BP,$Q51,BQ:BQ)</f>
        <v>#VALUE!</v>
      </c>
      <c r="S51" s="264" t="e">
        <f aca="false">SUMIF(AM:AM,$Q51,AP:AP)+SUMIF(BU:BU,$Q51,BW:BW)+SUMIF(BZ:BZ,$Q51,CB:CB)</f>
        <v>#VALUE!</v>
      </c>
      <c r="T51" s="264" t="e">
        <f aca="false">SUMIF(AQ:AQ,$Q51,AT:AT)+SUMIF(BG:BG,$Q51,BJ:BJ)+SUMIF(BK:BK,$Q51,BN:BN)</f>
        <v>#VALUE!</v>
      </c>
      <c r="U51" s="264" t="e">
        <f aca="false">SUMIF(AM:AM,$Q51,AO:AO)+SUMIF(AQ:AQ,$Q51,AS:AS)+SUMIF(BG:BG,$Q51,BI:BI)+SUMIF(BK:BK,$Q51,BM:BM)</f>
        <v>#VALUE!</v>
      </c>
      <c r="V51" s="264" t="e">
        <f aca="false">SUMIF(AU:AU,$Q51,AW:AW)</f>
        <v>#VALUE!</v>
      </c>
      <c r="W51" s="264" t="e">
        <f aca="false">SUMIF(AU:AU,$Q51,AX:AX)</f>
        <v>#VALUE!</v>
      </c>
      <c r="X51" s="264" t="e">
        <f aca="false">SUMIF(BP:BP,$Q51,BR:BR)</f>
        <v>#VALUE!</v>
      </c>
      <c r="Y51" s="266" t="e">
        <f aca="false">SUMIF(BP:BP,$Q51,BS:BS)</f>
        <v>#VALUE!</v>
      </c>
      <c r="Z51" s="264" t="e">
        <f aca="false">SUMIF(BU:BU,$Q51,BX:BX)+SUMIF(BZ:BZ,$Q51,CC:CC)</f>
        <v>#VALUE!</v>
      </c>
      <c r="AB51" s="320" t="e">
        <f aca="false">Q51</f>
        <v>#VALUE!</v>
      </c>
      <c r="AC51" s="321" t="e">
        <f aca="false">VLOOKUP(AB51,CE52:CK157,7,FALSE())</f>
        <v>#VALUE!</v>
      </c>
      <c r="AD51" s="264" t="e">
        <f aca="false">VLOOKUP(AB51,CE52:CJ157,3,FALSE())</f>
        <v>#VALUE!</v>
      </c>
      <c r="AE51" s="264" t="e">
        <f aca="false">VLOOKUP(AB51,CE52:CJ157,2,FALSE())</f>
        <v>#VALUE!</v>
      </c>
      <c r="AF51" s="264" t="e">
        <f aca="false">VLOOKUP(AB51,CE52:CJ157,4,FALSE())</f>
        <v>#VALUE!</v>
      </c>
      <c r="AG51" s="264" t="e">
        <f aca="false">VLOOKUP(AB51,CE52:CJ157,5,FALSE())</f>
        <v>#VALUE!</v>
      </c>
      <c r="AH51" s="264" t="e">
        <f aca="false">VLOOKUP(AB51,CE52:CJ157,6,FALSE())</f>
        <v>#VALUE!</v>
      </c>
      <c r="AI51" s="264" t="e">
        <f aca="false">VLOOKUP(AB51,CE52:CM157,8,FALSE())</f>
        <v>#VALUE!</v>
      </c>
      <c r="AJ51" s="266" t="e">
        <f aca="false">VLOOKUP(AB51,CE52:CM157,9,FALSE())</f>
        <v>#VALUE!</v>
      </c>
      <c r="AK51" s="264" t="e">
        <f aca="false">VLOOKUP(AB51,CE52:CN157,10,FALSE())</f>
        <v>#VALUE!</v>
      </c>
      <c r="AM51" s="322" t="e">
        <f aca="false">LongTerm1!D56</f>
        <v>#VALUE!</v>
      </c>
      <c r="AN51" s="323" t="e">
        <f aca="false">(LongTerm1!BM56+LongTerm1!BL56/(1-LongTerm1!AR56))*(LongTerm1!F56*LongTerm1!AF56*LongTerm1!AH56)/10000</f>
        <v>#VALUE!</v>
      </c>
      <c r="AO51" s="323" t="e">
        <f aca="false">LongTerm1!BM56*(LongTerm1!F56*LongTerm1!AF56*LongTerm1!AH56)/10000</f>
        <v>#VALUE!</v>
      </c>
      <c r="AP51" s="323" t="e">
        <f aca="false">(LongTerm1!BL56/(1-LongTerm1!AR56))*(LongTerm1!F56*LongTerm1!AF56*LongTerm1!AH56)/10000</f>
        <v>#VALUE!</v>
      </c>
      <c r="AQ51" s="324"/>
      <c r="AR51" s="319"/>
      <c r="AS51" s="319"/>
      <c r="AT51" s="319"/>
      <c r="AU51" s="319"/>
      <c r="AV51" s="319"/>
      <c r="AW51" s="319"/>
      <c r="AX51" s="319"/>
      <c r="AY51" s="319"/>
      <c r="AZ51" s="319"/>
      <c r="BA51" s="319"/>
      <c r="BB51" s="319"/>
      <c r="BC51" s="319"/>
      <c r="BD51" s="319"/>
      <c r="BE51" s="319"/>
      <c r="BF51" s="319"/>
      <c r="BG51" s="322" t="e">
        <f aca="false">LongTerm25!D56</f>
        <v>#VALUE!</v>
      </c>
      <c r="BH51" s="323" t="e">
        <f aca="false">(LongTerm25!BM56+LongTerm25!BL56/(1-LongTerm25!AR56))*(LongTerm25!F56*LongTerm25!AF56*LongTerm25!AH56)/10000</f>
        <v>#VALUE!</v>
      </c>
      <c r="BI51" s="323" t="e">
        <f aca="false">LongTerm25!BM56*(LongTerm25!F56*LongTerm25!AF56*LongTerm25!AH56)/10000</f>
        <v>#VALUE!</v>
      </c>
      <c r="BJ51" s="323" t="e">
        <f aca="false">(LongTerm25!BL56/(1-LongTerm25!AR56))*(LongTerm25!F56*LongTerm25!AF56*LongTerm25!AH56)/10000</f>
        <v>#VALUE!</v>
      </c>
      <c r="BK51" s="319"/>
      <c r="BL51" s="319"/>
      <c r="BM51" s="319"/>
      <c r="BN51" s="319"/>
      <c r="BP51" s="325" t="e">
        <f aca="false">LongTerm62!D56</f>
        <v>#VALUE!</v>
      </c>
      <c r="BQ51" s="323" t="e">
        <f aca="false">(LongTerm62!$BM56+LongTerm62!$BL56/(1-LongTerm62!$AR56))*(LongTerm62!$F56*LongTerm62!$AF56*LongTerm62!$AH56)/10000</f>
        <v>#VALUE!</v>
      </c>
      <c r="BR51" s="323" t="e">
        <f aca="false">LongTerm62!$BM56*(LongTerm62!$F56*LongTerm62!$AF56*LongTerm62!$AH56)/10000</f>
        <v>#VALUE!</v>
      </c>
      <c r="BS51" s="323" t="e">
        <f aca="false">(LongTerm62!$BL56/(1-LongTerm62!$AR56))*(LongTerm62!$F56*LongTerm62!$AF56*LongTerm62!$AH56)/10000</f>
        <v>#VALUE!</v>
      </c>
      <c r="BT51" s="265"/>
      <c r="BU51" s="325" t="e">
        <f aca="false">LongTerm107!D56</f>
        <v>#VALUE!</v>
      </c>
      <c r="BV51" s="323" t="e">
        <f aca="false">(LongTerm107!$BM56+LongTerm107!$BL56/(1-LongTerm107!$AR56))*(LongTerm107!$F56*LongTerm107!$AF56*LongTerm107!$AH56)/10000</f>
        <v>#VALUE!</v>
      </c>
      <c r="BW51" s="323" t="e">
        <f aca="false">LongTerm107!$BM56*(LongTerm107!$F56*LongTerm107!$AF56*LongTerm107!$AH56)/10000</f>
        <v>#VALUE!</v>
      </c>
      <c r="BX51" s="323" t="e">
        <f aca="false">(LongTerm107!$BL56/(1-LongTerm107!$AR56))*(LongTerm107!$F56*LongTerm107!$AF56*LongTerm107!$AH56)/10000</f>
        <v>#VALUE!</v>
      </c>
      <c r="BY51" s="326"/>
      <c r="BZ51" s="325" t="e">
        <f aca="false">LongTerm108!D56</f>
        <v>#VALUE!</v>
      </c>
      <c r="CA51" s="323" t="e">
        <f aca="false">(LongTerm108!$BM56+LongTerm108!$BL56/(1-LongTerm108!$AR56))*(LongTerm108!$F56*LongTerm108!$AF56*LongTerm108!$AH56)/10000</f>
        <v>#VALUE!</v>
      </c>
      <c r="CB51" s="323" t="e">
        <f aca="false">LongTerm108!$BM56*(LongTerm108!$F56*LongTerm108!$AF56*LongTerm108!$AH56)/10000</f>
        <v>#VALUE!</v>
      </c>
      <c r="CC51" s="323" t="e">
        <f aca="false">(LongTerm108!$BL56/(1-LongTerm108!$AR56))*(LongTerm108!$F56*LongTerm108!$AF56*LongTerm108!$AH56)/10000</f>
        <v>#VALUE!</v>
      </c>
      <c r="CD51" s="332"/>
      <c r="CE51" s="333" t="n">
        <f aca="false">EOMONTH(CE50,0)+15</f>
        <v>38061</v>
      </c>
      <c r="CF51" s="337" t="n">
        <v>27.8</v>
      </c>
      <c r="CG51" s="337" t="n">
        <v>115.9</v>
      </c>
      <c r="CH51" s="337" t="n">
        <v>-147.8</v>
      </c>
      <c r="CI51" s="337" t="n">
        <v>0</v>
      </c>
      <c r="CJ51" s="337" t="n">
        <v>0</v>
      </c>
      <c r="CK51" s="337" t="n">
        <v>0.9</v>
      </c>
      <c r="CL51" s="337" t="n">
        <v>-14.2</v>
      </c>
      <c r="CM51" s="337" t="n">
        <v>14.2</v>
      </c>
      <c r="CN51" s="337" t="n">
        <v>0</v>
      </c>
    </row>
    <row r="52" customFormat="false" ht="12.75" hidden="false" customHeight="false" outlineLevel="0" collapsed="false">
      <c r="B52" s="320" t="e">
        <f aca="false">Q52</f>
        <v>#VALUE!</v>
      </c>
      <c r="C52" s="319" t="e">
        <f aca="false">YEAR(B52)</f>
        <v>#VALUE!</v>
      </c>
      <c r="D52" s="266" t="e">
        <f aca="false">R52+AC52</f>
        <v>#VALUE!</v>
      </c>
      <c r="E52" s="266" t="e">
        <f aca="false">S52+AD52</f>
        <v>#VALUE!</v>
      </c>
      <c r="F52" s="266" t="e">
        <f aca="false">+T52+AE52</f>
        <v>#VALUE!</v>
      </c>
      <c r="G52" s="266" t="e">
        <f aca="false">+U52+AF52</f>
        <v>#VALUE!</v>
      </c>
      <c r="H52" s="266" t="e">
        <f aca="false">V52+AG52</f>
        <v>#VALUE!</v>
      </c>
      <c r="I52" s="266" t="e">
        <f aca="false">W52+AH52</f>
        <v>#VALUE!</v>
      </c>
      <c r="J52" s="265"/>
      <c r="K52" s="265"/>
      <c r="L52" s="265"/>
      <c r="M52" s="266" t="e">
        <f aca="false">X52+AI52</f>
        <v>#VALUE!</v>
      </c>
      <c r="N52" s="264" t="e">
        <f aca="false">Y52+AJ52</f>
        <v>#VALUE!</v>
      </c>
      <c r="O52" s="264" t="e">
        <f aca="false">Z52+AK52</f>
        <v>#VALUE!</v>
      </c>
      <c r="Q52" s="320" t="e">
        <f aca="false">EOMONTH(Q51,0)+15</f>
        <v>#VALUE!</v>
      </c>
      <c r="R52" s="266" t="e">
        <f aca="false">SUMIF(AM:AM,$Q52,AN:AN)+SUMIF(AQ:AQ,$Q52,AR:AR)+SUMIF(AU:AU,$Q52,AV:AV)+SUMIF(BU:BU,$Q52,BV:BV)+SUMIF(BZ:BZ,$Q52,CA:CA)+SUMIF(BG:BG,$Q52,BH:BH)+SUMIF(BK:BK,$Q52,BL:BL)+SUMIF(BP:BP,$Q52,BQ:BQ)</f>
        <v>#VALUE!</v>
      </c>
      <c r="S52" s="264" t="e">
        <f aca="false">SUMIF(AM:AM,$Q52,AP:AP)+SUMIF(BU:BU,$Q52,BW:BW)+SUMIF(BZ:BZ,$Q52,CB:CB)</f>
        <v>#VALUE!</v>
      </c>
      <c r="T52" s="264" t="e">
        <f aca="false">SUMIF(AQ:AQ,$Q52,AT:AT)+SUMIF(BG:BG,$Q52,BJ:BJ)+SUMIF(BK:BK,$Q52,BN:BN)</f>
        <v>#VALUE!</v>
      </c>
      <c r="U52" s="264" t="e">
        <f aca="false">SUMIF(AM:AM,$Q52,AO:AO)+SUMIF(AQ:AQ,$Q52,AS:AS)+SUMIF(BG:BG,$Q52,BI:BI)+SUMIF(BK:BK,$Q52,BM:BM)</f>
        <v>#VALUE!</v>
      </c>
      <c r="V52" s="264" t="e">
        <f aca="false">SUMIF(AU:AU,$Q52,AW:AW)</f>
        <v>#VALUE!</v>
      </c>
      <c r="W52" s="264" t="e">
        <f aca="false">SUMIF(AU:AU,$Q52,AX:AX)</f>
        <v>#VALUE!</v>
      </c>
      <c r="X52" s="264" t="e">
        <f aca="false">SUMIF(BP:BP,$Q52,BR:BR)</f>
        <v>#VALUE!</v>
      </c>
      <c r="Y52" s="266" t="e">
        <f aca="false">SUMIF(BP:BP,$Q52,BS:BS)</f>
        <v>#VALUE!</v>
      </c>
      <c r="Z52" s="264" t="e">
        <f aca="false">SUMIF(BU:BU,$Q52,BX:BX)+SUMIF(BZ:BZ,$Q52,CC:CC)</f>
        <v>#VALUE!</v>
      </c>
      <c r="AB52" s="320" t="e">
        <f aca="false">Q52</f>
        <v>#VALUE!</v>
      </c>
      <c r="AC52" s="321" t="e">
        <f aca="false">VLOOKUP(AB52,CE53:CK158,7,FALSE())</f>
        <v>#VALUE!</v>
      </c>
      <c r="AD52" s="264" t="e">
        <f aca="false">VLOOKUP(AB52,CE53:CJ158,3,FALSE())</f>
        <v>#VALUE!</v>
      </c>
      <c r="AE52" s="264" t="e">
        <f aca="false">VLOOKUP(AB52,CE53:CJ158,2,FALSE())</f>
        <v>#VALUE!</v>
      </c>
      <c r="AF52" s="264" t="e">
        <f aca="false">VLOOKUP(AB52,CE53:CJ158,4,FALSE())</f>
        <v>#VALUE!</v>
      </c>
      <c r="AG52" s="264" t="e">
        <f aca="false">VLOOKUP(AB52,CE53:CJ158,5,FALSE())</f>
        <v>#VALUE!</v>
      </c>
      <c r="AH52" s="264" t="e">
        <f aca="false">VLOOKUP(AB52,CE53:CJ158,6,FALSE())</f>
        <v>#VALUE!</v>
      </c>
      <c r="AI52" s="264" t="e">
        <f aca="false">VLOOKUP(AB52,CE53:CM158,8,FALSE())</f>
        <v>#VALUE!</v>
      </c>
      <c r="AJ52" s="266" t="e">
        <f aca="false">VLOOKUP(AB52,CE53:CM158,9,FALSE())</f>
        <v>#VALUE!</v>
      </c>
      <c r="AK52" s="264" t="e">
        <f aca="false">VLOOKUP(AB52,CE53:CN158,10,FALSE())</f>
        <v>#VALUE!</v>
      </c>
      <c r="AM52" s="322" t="e">
        <f aca="false">LongTerm1!D57</f>
        <v>#VALUE!</v>
      </c>
      <c r="AN52" s="323" t="e">
        <f aca="false">(LongTerm1!BM57+LongTerm1!BL57/(1-LongTerm1!AR57))*(LongTerm1!F57*LongTerm1!AF57*LongTerm1!AH57)/10000</f>
        <v>#VALUE!</v>
      </c>
      <c r="AO52" s="323" t="e">
        <f aca="false">LongTerm1!BM57*(LongTerm1!F57*LongTerm1!AF57*LongTerm1!AH57)/10000</f>
        <v>#VALUE!</v>
      </c>
      <c r="AP52" s="323" t="e">
        <f aca="false">(LongTerm1!BL57/(1-LongTerm1!AR57))*(LongTerm1!F57*LongTerm1!AF57*LongTerm1!AH57)/10000</f>
        <v>#VALUE!</v>
      </c>
      <c r="AQ52" s="324"/>
      <c r="AV52" s="319"/>
      <c r="AW52" s="319"/>
      <c r="AX52" s="319"/>
      <c r="AY52" s="319"/>
      <c r="AZ52" s="319"/>
      <c r="BA52" s="319"/>
      <c r="BB52" s="319"/>
      <c r="BC52" s="319"/>
      <c r="BD52" s="319"/>
      <c r="BE52" s="319"/>
      <c r="BF52" s="319"/>
      <c r="BG52" s="322" t="e">
        <f aca="false">LongTerm25!D57</f>
        <v>#VALUE!</v>
      </c>
      <c r="BH52" s="323" t="e">
        <f aca="false">(LongTerm25!BM57+LongTerm25!BL57/(1-LongTerm25!AR57))*(LongTerm25!F57*LongTerm25!AF57*LongTerm25!AH57)/10000</f>
        <v>#VALUE!</v>
      </c>
      <c r="BI52" s="323" t="e">
        <f aca="false">LongTerm25!BM57*(LongTerm25!F57*LongTerm25!AF57*LongTerm25!AH57)/10000</f>
        <v>#VALUE!</v>
      </c>
      <c r="BJ52" s="323" t="e">
        <f aca="false">(LongTerm25!BL57/(1-LongTerm25!AR57))*(LongTerm25!F57*LongTerm25!AF57*LongTerm25!AH57)/10000</f>
        <v>#VALUE!</v>
      </c>
      <c r="BK52" s="319"/>
      <c r="BL52" s="319"/>
      <c r="BM52" s="319"/>
      <c r="BN52" s="319"/>
      <c r="BP52" s="325" t="e">
        <f aca="false">LongTerm62!D57</f>
        <v>#VALUE!</v>
      </c>
      <c r="BQ52" s="323" t="e">
        <f aca="false">(LongTerm62!$BM57+LongTerm62!$BL57/(1-LongTerm62!$AR57))*(LongTerm62!$F57*LongTerm62!$AF57*LongTerm62!$AH57)/10000</f>
        <v>#VALUE!</v>
      </c>
      <c r="BR52" s="323" t="e">
        <f aca="false">LongTerm62!$BM57*(LongTerm62!$F57*LongTerm62!$AF57*LongTerm62!$AH57)/10000</f>
        <v>#VALUE!</v>
      </c>
      <c r="BS52" s="323" t="e">
        <f aca="false">(LongTerm62!$BL57/(1-LongTerm62!$AR57))*(LongTerm62!$F57*LongTerm62!$AF57*LongTerm62!$AH57)/10000</f>
        <v>#VALUE!</v>
      </c>
      <c r="BT52" s="265"/>
      <c r="BU52" s="325" t="e">
        <f aca="false">LongTerm107!D57</f>
        <v>#VALUE!</v>
      </c>
      <c r="BV52" s="323" t="e">
        <f aca="false">(LongTerm107!$BM57+LongTerm107!$BL57/(1-LongTerm107!$AR57))*(LongTerm107!$F57*LongTerm107!$AF57*LongTerm107!$AH57)/10000</f>
        <v>#VALUE!</v>
      </c>
      <c r="BW52" s="323" t="e">
        <f aca="false">LongTerm107!$BM57*(LongTerm107!$F57*LongTerm107!$AF57*LongTerm107!$AH57)/10000</f>
        <v>#VALUE!</v>
      </c>
      <c r="BX52" s="323" t="e">
        <f aca="false">(LongTerm107!$BL57/(1-LongTerm107!$AR57))*(LongTerm107!$F57*LongTerm107!$AF57*LongTerm107!$AH57)/10000</f>
        <v>#VALUE!</v>
      </c>
      <c r="BY52" s="326"/>
      <c r="BZ52" s="325" t="e">
        <f aca="false">LongTerm108!D57</f>
        <v>#VALUE!</v>
      </c>
      <c r="CA52" s="323" t="e">
        <f aca="false">(LongTerm108!$BM57+LongTerm108!$BL57/(1-LongTerm108!$AR57))*(LongTerm108!$F57*LongTerm108!$AF57*LongTerm108!$AH57)/10000</f>
        <v>#VALUE!</v>
      </c>
      <c r="CB52" s="323" t="e">
        <f aca="false">LongTerm108!$BM57*(LongTerm108!$F57*LongTerm108!$AF57*LongTerm108!$AH57)/10000</f>
        <v>#VALUE!</v>
      </c>
      <c r="CC52" s="323" t="e">
        <f aca="false">(LongTerm108!$BL57/(1-LongTerm108!$AR57))*(LongTerm108!$F57*LongTerm108!$AF57*LongTerm108!$AH57)/10000</f>
        <v>#VALUE!</v>
      </c>
      <c r="CD52" s="332"/>
      <c r="CE52" s="333" t="n">
        <f aca="false">EOMONTH(CE51,0)+15</f>
        <v>38092</v>
      </c>
      <c r="CF52" s="337" t="n">
        <v>26.2</v>
      </c>
      <c r="CG52" s="337" t="n">
        <v>153.3</v>
      </c>
      <c r="CH52" s="337" t="n">
        <v>-177.1</v>
      </c>
      <c r="CI52" s="337" t="n">
        <v>0</v>
      </c>
      <c r="CJ52" s="337" t="n">
        <v>0</v>
      </c>
      <c r="CK52" s="337" t="n">
        <v>0.9</v>
      </c>
      <c r="CL52" s="337" t="n">
        <v>0</v>
      </c>
      <c r="CM52" s="337" t="n">
        <v>0</v>
      </c>
      <c r="CN52" s="337" t="n">
        <v>0</v>
      </c>
    </row>
    <row r="53" customFormat="false" ht="12.75" hidden="false" customHeight="false" outlineLevel="0" collapsed="false">
      <c r="B53" s="320" t="e">
        <f aca="false">Q53</f>
        <v>#VALUE!</v>
      </c>
      <c r="C53" s="319" t="e">
        <f aca="false">YEAR(B53)</f>
        <v>#VALUE!</v>
      </c>
      <c r="D53" s="266" t="e">
        <f aca="false">R53+AC53</f>
        <v>#VALUE!</v>
      </c>
      <c r="E53" s="266" t="e">
        <f aca="false">S53+AD53</f>
        <v>#VALUE!</v>
      </c>
      <c r="F53" s="266" t="e">
        <f aca="false">+T53+AE53</f>
        <v>#VALUE!</v>
      </c>
      <c r="G53" s="266" t="e">
        <f aca="false">+U53+AF53</f>
        <v>#VALUE!</v>
      </c>
      <c r="H53" s="266" t="e">
        <f aca="false">V53+AG53</f>
        <v>#VALUE!</v>
      </c>
      <c r="I53" s="266" t="e">
        <f aca="false">W53+AH53</f>
        <v>#VALUE!</v>
      </c>
      <c r="J53" s="265"/>
      <c r="K53" s="265"/>
      <c r="L53" s="265"/>
      <c r="M53" s="266" t="e">
        <f aca="false">X53+AI53</f>
        <v>#VALUE!</v>
      </c>
      <c r="N53" s="264" t="e">
        <f aca="false">Y53+AJ53</f>
        <v>#VALUE!</v>
      </c>
      <c r="O53" s="264" t="e">
        <f aca="false">Z53+AK53</f>
        <v>#VALUE!</v>
      </c>
      <c r="Q53" s="320" t="e">
        <f aca="false">EOMONTH(Q52,0)+15</f>
        <v>#VALUE!</v>
      </c>
      <c r="R53" s="266" t="e">
        <f aca="false">SUMIF(AM:AM,$Q53,AN:AN)+SUMIF(AQ:AQ,$Q53,AR:AR)+SUMIF(AU:AU,$Q53,AV:AV)+SUMIF(BU:BU,$Q53,BV:BV)+SUMIF(BZ:BZ,$Q53,CA:CA)+SUMIF(BG:BG,$Q53,BH:BH)+SUMIF(BK:BK,$Q53,BL:BL)+SUMIF(BP:BP,$Q53,BQ:BQ)</f>
        <v>#VALUE!</v>
      </c>
      <c r="S53" s="264" t="e">
        <f aca="false">SUMIF(AM:AM,$Q53,AP:AP)+SUMIF(BU:BU,$Q53,BW:BW)+SUMIF(BZ:BZ,$Q53,CB:CB)</f>
        <v>#VALUE!</v>
      </c>
      <c r="T53" s="264" t="e">
        <f aca="false">SUMIF(AQ:AQ,$Q53,AT:AT)+SUMIF(BG:BG,$Q53,BJ:BJ)+SUMIF(BK:BK,$Q53,BN:BN)</f>
        <v>#VALUE!</v>
      </c>
      <c r="U53" s="264" t="e">
        <f aca="false">SUMIF(AM:AM,$Q53,AO:AO)+SUMIF(AQ:AQ,$Q53,AS:AS)+SUMIF(BG:BG,$Q53,BI:BI)+SUMIF(BK:BK,$Q53,BM:BM)</f>
        <v>#VALUE!</v>
      </c>
      <c r="V53" s="264" t="e">
        <f aca="false">SUMIF(AU:AU,$Q53,AW:AW)</f>
        <v>#VALUE!</v>
      </c>
      <c r="W53" s="264" t="e">
        <f aca="false">SUMIF(AU:AU,$Q53,AX:AX)</f>
        <v>#VALUE!</v>
      </c>
      <c r="X53" s="264" t="e">
        <f aca="false">SUMIF(BP:BP,$Q53,BR:BR)</f>
        <v>#VALUE!</v>
      </c>
      <c r="Y53" s="266" t="e">
        <f aca="false">SUMIF(BP:BP,$Q53,BS:BS)</f>
        <v>#VALUE!</v>
      </c>
      <c r="Z53" s="264" t="e">
        <f aca="false">SUMIF(BU:BU,$Q53,BX:BX)+SUMIF(BZ:BZ,$Q53,CC:CC)</f>
        <v>#VALUE!</v>
      </c>
      <c r="AB53" s="320" t="e">
        <f aca="false">Q53</f>
        <v>#VALUE!</v>
      </c>
      <c r="AC53" s="321" t="e">
        <f aca="false">VLOOKUP(AB53,CE54:CK159,7,FALSE())</f>
        <v>#VALUE!</v>
      </c>
      <c r="AD53" s="264" t="e">
        <f aca="false">VLOOKUP(AB53,CE54:CJ159,3,FALSE())</f>
        <v>#VALUE!</v>
      </c>
      <c r="AE53" s="264" t="e">
        <f aca="false">VLOOKUP(AB53,CE54:CJ159,2,FALSE())</f>
        <v>#VALUE!</v>
      </c>
      <c r="AF53" s="264" t="e">
        <f aca="false">VLOOKUP(AB53,CE54:CJ159,4,FALSE())</f>
        <v>#VALUE!</v>
      </c>
      <c r="AG53" s="264" t="e">
        <f aca="false">VLOOKUP(AB53,CE54:CJ159,5,FALSE())</f>
        <v>#VALUE!</v>
      </c>
      <c r="AH53" s="264" t="e">
        <f aca="false">VLOOKUP(AB53,CE54:CJ159,6,FALSE())</f>
        <v>#VALUE!</v>
      </c>
      <c r="AI53" s="264" t="e">
        <f aca="false">VLOOKUP(AB53,CE54:CM159,8,FALSE())</f>
        <v>#VALUE!</v>
      </c>
      <c r="AJ53" s="266" t="e">
        <f aca="false">VLOOKUP(AB53,CE54:CM159,9,FALSE())</f>
        <v>#VALUE!</v>
      </c>
      <c r="AK53" s="264" t="e">
        <f aca="false">VLOOKUP(AB53,CE54:CN159,10,FALSE())</f>
        <v>#VALUE!</v>
      </c>
      <c r="AM53" s="322" t="e">
        <f aca="false">LongTerm1!D58</f>
        <v>#VALUE!</v>
      </c>
      <c r="AN53" s="323" t="e">
        <f aca="false">(LongTerm1!BM58+LongTerm1!BL58/(1-LongTerm1!AR58))*(LongTerm1!F58*LongTerm1!AF58*LongTerm1!AH58)/10000</f>
        <v>#VALUE!</v>
      </c>
      <c r="AO53" s="323" t="e">
        <f aca="false">LongTerm1!BM58*(LongTerm1!F58*LongTerm1!AF58*LongTerm1!AH58)/10000</f>
        <v>#VALUE!</v>
      </c>
      <c r="AP53" s="323" t="e">
        <f aca="false">(LongTerm1!BL58/(1-LongTerm1!AR58))*(LongTerm1!F58*LongTerm1!AF58*LongTerm1!AH58)/10000</f>
        <v>#VALUE!</v>
      </c>
      <c r="AQ53" s="324"/>
      <c r="AV53" s="319"/>
      <c r="AW53" s="319"/>
      <c r="AX53" s="319"/>
      <c r="AY53" s="319"/>
      <c r="AZ53" s="319"/>
      <c r="BA53" s="319"/>
      <c r="BB53" s="319"/>
      <c r="BC53" s="319"/>
      <c r="BD53" s="319"/>
      <c r="BE53" s="319"/>
      <c r="BF53" s="319"/>
      <c r="BG53" s="322" t="e">
        <f aca="false">LongTerm25!D58</f>
        <v>#VALUE!</v>
      </c>
      <c r="BH53" s="323" t="e">
        <f aca="false">(LongTerm25!BM58+LongTerm25!BL58/(1-LongTerm25!AR58))*(LongTerm25!F58*LongTerm25!AF58*LongTerm25!AH58)/10000</f>
        <v>#VALUE!</v>
      </c>
      <c r="BI53" s="323" t="e">
        <f aca="false">LongTerm25!BM58*(LongTerm25!F58*LongTerm25!AF58*LongTerm25!AH58)/10000</f>
        <v>#VALUE!</v>
      </c>
      <c r="BJ53" s="323" t="e">
        <f aca="false">(LongTerm25!BL58/(1-LongTerm25!AR58))*(LongTerm25!F58*LongTerm25!AF58*LongTerm25!AH58)/10000</f>
        <v>#VALUE!</v>
      </c>
      <c r="BK53" s="319"/>
      <c r="BL53" s="319"/>
      <c r="BM53" s="319"/>
      <c r="BN53" s="319"/>
      <c r="BP53" s="325" t="e">
        <f aca="false">LongTerm62!D58</f>
        <v>#VALUE!</v>
      </c>
      <c r="BQ53" s="323" t="e">
        <f aca="false">(LongTerm62!$BM58+LongTerm62!$BL58/(1-LongTerm62!$AR58))*(LongTerm62!$F58*LongTerm62!$AF58*LongTerm62!$AH58)/10000</f>
        <v>#VALUE!</v>
      </c>
      <c r="BR53" s="323" t="e">
        <f aca="false">LongTerm62!$BM58*(LongTerm62!$F58*LongTerm62!$AF58*LongTerm62!$AH58)/10000</f>
        <v>#VALUE!</v>
      </c>
      <c r="BS53" s="323" t="e">
        <f aca="false">(LongTerm62!$BL58/(1-LongTerm62!$AR58))*(LongTerm62!$F58*LongTerm62!$AF58*LongTerm62!$AH58)/10000</f>
        <v>#VALUE!</v>
      </c>
      <c r="BT53" s="265"/>
      <c r="BU53" s="325" t="e">
        <f aca="false">LongTerm107!D58</f>
        <v>#VALUE!</v>
      </c>
      <c r="BV53" s="323" t="e">
        <f aca="false">(LongTerm107!$BM58+LongTerm107!$BL58/(1-LongTerm107!$AR58))*(LongTerm107!$F58*LongTerm107!$AF58*LongTerm107!$AH58)/10000</f>
        <v>#VALUE!</v>
      </c>
      <c r="BW53" s="323" t="e">
        <f aca="false">LongTerm107!$BM58*(LongTerm107!$F58*LongTerm107!$AF58*LongTerm107!$AH58)/10000</f>
        <v>#VALUE!</v>
      </c>
      <c r="BX53" s="323" t="e">
        <f aca="false">(LongTerm107!$BL58/(1-LongTerm107!$AR58))*(LongTerm107!$F58*LongTerm107!$AF58*LongTerm107!$AH58)/10000</f>
        <v>#VALUE!</v>
      </c>
      <c r="BY53" s="326"/>
      <c r="BZ53" s="325" t="e">
        <f aca="false">LongTerm108!D58</f>
        <v>#VALUE!</v>
      </c>
      <c r="CA53" s="323" t="e">
        <f aca="false">(LongTerm108!$BM58+LongTerm108!$BL58/(1-LongTerm108!$AR58))*(LongTerm108!$F58*LongTerm108!$AF58*LongTerm108!$AH58)/10000</f>
        <v>#VALUE!</v>
      </c>
      <c r="CB53" s="323" t="e">
        <f aca="false">LongTerm108!$BM58*(LongTerm108!$F58*LongTerm108!$AF58*LongTerm108!$AH58)/10000</f>
        <v>#VALUE!</v>
      </c>
      <c r="CC53" s="323" t="e">
        <f aca="false">(LongTerm108!$BL58/(1-LongTerm108!$AR58))*(LongTerm108!$F58*LongTerm108!$AF58*LongTerm108!$AH58)/10000</f>
        <v>#VALUE!</v>
      </c>
      <c r="CD53" s="332"/>
      <c r="CE53" s="333" t="n">
        <f aca="false">EOMONTH(CE52,0)+15</f>
        <v>38122</v>
      </c>
      <c r="CF53" s="337" t="n">
        <v>27.3</v>
      </c>
      <c r="CG53" s="337" t="n">
        <v>155.4</v>
      </c>
      <c r="CH53" s="337" t="n">
        <v>-181.3</v>
      </c>
      <c r="CI53" s="337" t="n">
        <v>0</v>
      </c>
      <c r="CJ53" s="337" t="n">
        <v>0</v>
      </c>
      <c r="CK53" s="337" t="n">
        <v>0.9</v>
      </c>
      <c r="CL53" s="337" t="n">
        <v>0</v>
      </c>
      <c r="CM53" s="337" t="n">
        <v>0</v>
      </c>
      <c r="CN53" s="337" t="n">
        <v>0</v>
      </c>
    </row>
    <row r="54" customFormat="false" ht="12.75" hidden="false" customHeight="false" outlineLevel="0" collapsed="false">
      <c r="B54" s="320" t="e">
        <f aca="false">Q54</f>
        <v>#VALUE!</v>
      </c>
      <c r="C54" s="319" t="e">
        <f aca="false">YEAR(B54)</f>
        <v>#VALUE!</v>
      </c>
      <c r="D54" s="266" t="e">
        <f aca="false">R54+AC54</f>
        <v>#VALUE!</v>
      </c>
      <c r="E54" s="266" t="e">
        <f aca="false">S54+AD54</f>
        <v>#VALUE!</v>
      </c>
      <c r="F54" s="266" t="e">
        <f aca="false">+T54+AE54</f>
        <v>#VALUE!</v>
      </c>
      <c r="G54" s="266" t="e">
        <f aca="false">+U54+AF54</f>
        <v>#VALUE!</v>
      </c>
      <c r="H54" s="266" t="e">
        <f aca="false">V54+AG54</f>
        <v>#VALUE!</v>
      </c>
      <c r="I54" s="266" t="e">
        <f aca="false">W54+AH54</f>
        <v>#VALUE!</v>
      </c>
      <c r="J54" s="265"/>
      <c r="K54" s="265"/>
      <c r="L54" s="265"/>
      <c r="M54" s="266" t="e">
        <f aca="false">X54+AI54</f>
        <v>#VALUE!</v>
      </c>
      <c r="N54" s="264" t="e">
        <f aca="false">Y54+AJ54</f>
        <v>#VALUE!</v>
      </c>
      <c r="O54" s="264" t="e">
        <f aca="false">Z54+AK54</f>
        <v>#VALUE!</v>
      </c>
      <c r="Q54" s="320" t="e">
        <f aca="false">EOMONTH(Q53,0)+15</f>
        <v>#VALUE!</v>
      </c>
      <c r="R54" s="266" t="e">
        <f aca="false">SUMIF(AM:AM,$Q54,AN:AN)+SUMIF(AQ:AQ,$Q54,AR:AR)+SUMIF(AU:AU,$Q54,AV:AV)+SUMIF(BU:BU,$Q54,BV:BV)+SUMIF(BZ:BZ,$Q54,CA:CA)+SUMIF(BG:BG,$Q54,BH:BH)+SUMIF(BK:BK,$Q54,BL:BL)+SUMIF(BP:BP,$Q54,BQ:BQ)</f>
        <v>#VALUE!</v>
      </c>
      <c r="S54" s="264" t="e">
        <f aca="false">SUMIF(AM:AM,$Q54,AP:AP)+SUMIF(BU:BU,$Q54,BW:BW)+SUMIF(BZ:BZ,$Q54,CB:CB)</f>
        <v>#VALUE!</v>
      </c>
      <c r="T54" s="264" t="e">
        <f aca="false">SUMIF(AQ:AQ,$Q54,AT:AT)+SUMIF(BG:BG,$Q54,BJ:BJ)+SUMIF(BK:BK,$Q54,BN:BN)</f>
        <v>#VALUE!</v>
      </c>
      <c r="U54" s="264" t="e">
        <f aca="false">SUMIF(AM:AM,$Q54,AO:AO)+SUMIF(AQ:AQ,$Q54,AS:AS)+SUMIF(BG:BG,$Q54,BI:BI)+SUMIF(BK:BK,$Q54,BM:BM)</f>
        <v>#VALUE!</v>
      </c>
      <c r="V54" s="264" t="e">
        <f aca="false">SUMIF(AU:AU,$Q54,AW:AW)</f>
        <v>#VALUE!</v>
      </c>
      <c r="W54" s="264" t="e">
        <f aca="false">SUMIF(AU:AU,$Q54,AX:AX)</f>
        <v>#VALUE!</v>
      </c>
      <c r="X54" s="264" t="e">
        <f aca="false">SUMIF(BP:BP,$Q54,BR:BR)</f>
        <v>#VALUE!</v>
      </c>
      <c r="Y54" s="266" t="e">
        <f aca="false">SUMIF(BP:BP,$Q54,BS:BS)</f>
        <v>#VALUE!</v>
      </c>
      <c r="Z54" s="264" t="e">
        <f aca="false">SUMIF(BU:BU,$Q54,BX:BX)+SUMIF(BZ:BZ,$Q54,CC:CC)</f>
        <v>#VALUE!</v>
      </c>
      <c r="AB54" s="320" t="e">
        <f aca="false">Q54</f>
        <v>#VALUE!</v>
      </c>
      <c r="AC54" s="321" t="e">
        <f aca="false">VLOOKUP(AB54,CE55:CK160,7,FALSE())</f>
        <v>#VALUE!</v>
      </c>
      <c r="AD54" s="264" t="e">
        <f aca="false">VLOOKUP(AB54,CE55:CJ160,3,FALSE())</f>
        <v>#VALUE!</v>
      </c>
      <c r="AE54" s="264" t="e">
        <f aca="false">VLOOKUP(AB54,CE55:CJ160,2,FALSE())</f>
        <v>#VALUE!</v>
      </c>
      <c r="AF54" s="264" t="e">
        <f aca="false">VLOOKUP(AB54,CE55:CJ160,4,FALSE())</f>
        <v>#VALUE!</v>
      </c>
      <c r="AG54" s="264" t="e">
        <f aca="false">VLOOKUP(AB54,CE55:CJ160,5,FALSE())</f>
        <v>#VALUE!</v>
      </c>
      <c r="AH54" s="264" t="e">
        <f aca="false">VLOOKUP(AB54,CE55:CJ160,6,FALSE())</f>
        <v>#VALUE!</v>
      </c>
      <c r="AI54" s="264" t="e">
        <f aca="false">VLOOKUP(AB54,CE55:CM160,8,FALSE())</f>
        <v>#VALUE!</v>
      </c>
      <c r="AJ54" s="266" t="e">
        <f aca="false">VLOOKUP(AB54,CE55:CM160,9,FALSE())</f>
        <v>#VALUE!</v>
      </c>
      <c r="AK54" s="264" t="e">
        <f aca="false">VLOOKUP(AB54,CE55:CN160,10,FALSE())</f>
        <v>#VALUE!</v>
      </c>
      <c r="AM54" s="322" t="e">
        <f aca="false">LongTerm1!D59</f>
        <v>#VALUE!</v>
      </c>
      <c r="AN54" s="323" t="e">
        <f aca="false">(LongTerm1!BM59+LongTerm1!BL59/(1-LongTerm1!AR59))*(LongTerm1!F59*LongTerm1!AF59*LongTerm1!AH59)/10000</f>
        <v>#VALUE!</v>
      </c>
      <c r="AO54" s="323" t="e">
        <f aca="false">LongTerm1!BM59*(LongTerm1!F59*LongTerm1!AF59*LongTerm1!AH59)/10000</f>
        <v>#VALUE!</v>
      </c>
      <c r="AP54" s="323" t="e">
        <f aca="false">(LongTerm1!BL59/(1-LongTerm1!AR59))*(LongTerm1!F59*LongTerm1!AF59*LongTerm1!AH59)/10000</f>
        <v>#VALUE!</v>
      </c>
      <c r="AQ54" s="324"/>
      <c r="AV54" s="319"/>
      <c r="AW54" s="319"/>
      <c r="AX54" s="319"/>
      <c r="AY54" s="319"/>
      <c r="AZ54" s="319"/>
      <c r="BA54" s="319"/>
      <c r="BB54" s="319"/>
      <c r="BC54" s="319"/>
      <c r="BD54" s="319"/>
      <c r="BE54" s="319"/>
      <c r="BF54" s="319"/>
      <c r="BG54" s="322" t="e">
        <f aca="false">LongTerm25!D59</f>
        <v>#VALUE!</v>
      </c>
      <c r="BH54" s="323" t="e">
        <f aca="false">(LongTerm25!BM59+LongTerm25!BL59/(1-LongTerm25!AR59))*(LongTerm25!F59*LongTerm25!AF59*LongTerm25!AH59)/10000</f>
        <v>#VALUE!</v>
      </c>
      <c r="BI54" s="323" t="e">
        <f aca="false">LongTerm25!BM59*(LongTerm25!F59*LongTerm25!AF59*LongTerm25!AH59)/10000</f>
        <v>#VALUE!</v>
      </c>
      <c r="BJ54" s="323" t="e">
        <f aca="false">(LongTerm25!BL59/(1-LongTerm25!AR59))*(LongTerm25!F59*LongTerm25!AF59*LongTerm25!AH59)/10000</f>
        <v>#VALUE!</v>
      </c>
      <c r="BK54" s="319"/>
      <c r="BL54" s="319"/>
      <c r="BM54" s="319"/>
      <c r="BN54" s="319"/>
      <c r="BP54" s="325" t="e">
        <f aca="false">LongTerm62!D59</f>
        <v>#VALUE!</v>
      </c>
      <c r="BQ54" s="323" t="e">
        <f aca="false">(LongTerm62!$BM59+LongTerm62!$BL59/(1-LongTerm62!$AR59))*(LongTerm62!$F59*LongTerm62!$AF59*LongTerm62!$AH59)/10000</f>
        <v>#VALUE!</v>
      </c>
      <c r="BR54" s="323" t="e">
        <f aca="false">LongTerm62!$BM59*(LongTerm62!$F59*LongTerm62!$AF59*LongTerm62!$AH59)/10000</f>
        <v>#VALUE!</v>
      </c>
      <c r="BS54" s="323" t="e">
        <f aca="false">(LongTerm62!$BL59/(1-LongTerm62!$AR59))*(LongTerm62!$F59*LongTerm62!$AF59*LongTerm62!$AH59)/10000</f>
        <v>#VALUE!</v>
      </c>
      <c r="BT54" s="265"/>
      <c r="BU54" s="325" t="e">
        <f aca="false">LongTerm107!D59</f>
        <v>#VALUE!</v>
      </c>
      <c r="BV54" s="323" t="e">
        <f aca="false">(LongTerm107!$BM59+LongTerm107!$BL59/(1-LongTerm107!$AR59))*(LongTerm107!$F59*LongTerm107!$AF59*LongTerm107!$AH59)/10000</f>
        <v>#VALUE!</v>
      </c>
      <c r="BW54" s="323" t="e">
        <f aca="false">LongTerm107!$BM59*(LongTerm107!$F59*LongTerm107!$AF59*LongTerm107!$AH59)/10000</f>
        <v>#VALUE!</v>
      </c>
      <c r="BX54" s="323" t="e">
        <f aca="false">(LongTerm107!$BL59/(1-LongTerm107!$AR59))*(LongTerm107!$F59*LongTerm107!$AF59*LongTerm107!$AH59)/10000</f>
        <v>#VALUE!</v>
      </c>
      <c r="BY54" s="326"/>
      <c r="BZ54" s="325" t="e">
        <f aca="false">LongTerm108!D59</f>
        <v>#VALUE!</v>
      </c>
      <c r="CA54" s="323" t="e">
        <f aca="false">(LongTerm108!$BM59+LongTerm108!$BL59/(1-LongTerm108!$AR59))*(LongTerm108!$F59*LongTerm108!$AF59*LongTerm108!$AH59)/10000</f>
        <v>#VALUE!</v>
      </c>
      <c r="CB54" s="323" t="e">
        <f aca="false">LongTerm108!$BM59*(LongTerm108!$F59*LongTerm108!$AF59*LongTerm108!$AH59)/10000</f>
        <v>#VALUE!</v>
      </c>
      <c r="CC54" s="323" t="e">
        <f aca="false">(LongTerm108!$BL59/(1-LongTerm108!$AR59))*(LongTerm108!$F59*LongTerm108!$AF59*LongTerm108!$AH59)/10000</f>
        <v>#VALUE!</v>
      </c>
      <c r="CD54" s="332"/>
      <c r="CE54" s="333" t="n">
        <f aca="false">EOMONTH(CE53,0)+15</f>
        <v>38153</v>
      </c>
      <c r="CF54" s="337" t="n">
        <v>26.6</v>
      </c>
      <c r="CG54" s="337" t="n">
        <v>149.3</v>
      </c>
      <c r="CH54" s="337" t="n">
        <v>-174.4</v>
      </c>
      <c r="CI54" s="337" t="n">
        <v>0</v>
      </c>
      <c r="CJ54" s="337" t="n">
        <v>0</v>
      </c>
      <c r="CK54" s="337" t="n">
        <v>0.9</v>
      </c>
      <c r="CL54" s="337" t="n">
        <v>0</v>
      </c>
      <c r="CM54" s="337" t="n">
        <v>0</v>
      </c>
      <c r="CN54" s="337" t="n">
        <v>0</v>
      </c>
    </row>
    <row r="55" customFormat="false" ht="12.75" hidden="false" customHeight="false" outlineLevel="0" collapsed="false">
      <c r="B55" s="320" t="e">
        <f aca="false">Q55</f>
        <v>#VALUE!</v>
      </c>
      <c r="C55" s="319" t="e">
        <f aca="false">YEAR(B55)</f>
        <v>#VALUE!</v>
      </c>
      <c r="D55" s="266" t="e">
        <f aca="false">R55+AC55</f>
        <v>#VALUE!</v>
      </c>
      <c r="E55" s="266" t="e">
        <f aca="false">S55+AD55</f>
        <v>#VALUE!</v>
      </c>
      <c r="F55" s="266" t="e">
        <f aca="false">+T55+AE55</f>
        <v>#VALUE!</v>
      </c>
      <c r="G55" s="266" t="e">
        <f aca="false">+U55+AF55</f>
        <v>#VALUE!</v>
      </c>
      <c r="H55" s="266" t="e">
        <f aca="false">V55+AG55</f>
        <v>#VALUE!</v>
      </c>
      <c r="I55" s="266" t="e">
        <f aca="false">W55+AH55</f>
        <v>#VALUE!</v>
      </c>
      <c r="J55" s="265"/>
      <c r="K55" s="265"/>
      <c r="L55" s="265"/>
      <c r="M55" s="266" t="e">
        <f aca="false">X55+AI55</f>
        <v>#VALUE!</v>
      </c>
      <c r="N55" s="264" t="e">
        <f aca="false">Y55+AJ55</f>
        <v>#VALUE!</v>
      </c>
      <c r="O55" s="264" t="e">
        <f aca="false">Z55+AK55</f>
        <v>#VALUE!</v>
      </c>
      <c r="Q55" s="320" t="e">
        <f aca="false">EOMONTH(Q54,0)+15</f>
        <v>#VALUE!</v>
      </c>
      <c r="R55" s="266" t="e">
        <f aca="false">SUMIF(AM:AM,$Q55,AN:AN)+SUMIF(AQ:AQ,$Q55,AR:AR)+SUMIF(AU:AU,$Q55,AV:AV)+SUMIF(BU:BU,$Q55,BV:BV)+SUMIF(BZ:BZ,$Q55,CA:CA)+SUMIF(BG:BG,$Q55,BH:BH)+SUMIF(BK:BK,$Q55,BL:BL)+SUMIF(BP:BP,$Q55,BQ:BQ)</f>
        <v>#VALUE!</v>
      </c>
      <c r="S55" s="264" t="e">
        <f aca="false">SUMIF(AM:AM,$Q55,AP:AP)+SUMIF(BU:BU,$Q55,BW:BW)+SUMIF(BZ:BZ,$Q55,CB:CB)</f>
        <v>#VALUE!</v>
      </c>
      <c r="T55" s="264" t="e">
        <f aca="false">SUMIF(AQ:AQ,$Q55,AT:AT)+SUMIF(BG:BG,$Q55,BJ:BJ)+SUMIF(BK:BK,$Q55,BN:BN)</f>
        <v>#VALUE!</v>
      </c>
      <c r="U55" s="264" t="e">
        <f aca="false">SUMIF(AM:AM,$Q55,AO:AO)+SUMIF(AQ:AQ,$Q55,AS:AS)+SUMIF(BG:BG,$Q55,BI:BI)+SUMIF(BK:BK,$Q55,BM:BM)</f>
        <v>#VALUE!</v>
      </c>
      <c r="V55" s="264" t="e">
        <f aca="false">SUMIF(AU:AU,$Q55,AW:AW)</f>
        <v>#VALUE!</v>
      </c>
      <c r="W55" s="264" t="e">
        <f aca="false">SUMIF(AU:AU,$Q55,AX:AX)</f>
        <v>#VALUE!</v>
      </c>
      <c r="X55" s="264" t="e">
        <f aca="false">SUMIF(BP:BP,$Q55,BR:BR)</f>
        <v>#VALUE!</v>
      </c>
      <c r="Y55" s="266" t="e">
        <f aca="false">SUMIF(BP:BP,$Q55,BS:BS)</f>
        <v>#VALUE!</v>
      </c>
      <c r="Z55" s="264" t="e">
        <f aca="false">SUMIF(BU:BU,$Q55,BX:BX)+SUMIF(BZ:BZ,$Q55,CC:CC)</f>
        <v>#VALUE!</v>
      </c>
      <c r="AB55" s="320" t="e">
        <f aca="false">Q55</f>
        <v>#VALUE!</v>
      </c>
      <c r="AC55" s="321" t="e">
        <f aca="false">VLOOKUP(AB55,CE56:CK161,7,FALSE())</f>
        <v>#VALUE!</v>
      </c>
      <c r="AD55" s="264" t="e">
        <f aca="false">VLOOKUP(AB55,CE56:CJ161,3,FALSE())</f>
        <v>#VALUE!</v>
      </c>
      <c r="AE55" s="264" t="e">
        <f aca="false">VLOOKUP(AB55,CE56:CJ161,2,FALSE())</f>
        <v>#VALUE!</v>
      </c>
      <c r="AF55" s="264" t="e">
        <f aca="false">VLOOKUP(AB55,CE56:CJ161,4,FALSE())</f>
        <v>#VALUE!</v>
      </c>
      <c r="AG55" s="264" t="e">
        <f aca="false">VLOOKUP(AB55,CE56:CJ161,5,FALSE())</f>
        <v>#VALUE!</v>
      </c>
      <c r="AH55" s="264" t="e">
        <f aca="false">VLOOKUP(AB55,CE56:CJ161,6,FALSE())</f>
        <v>#VALUE!</v>
      </c>
      <c r="AI55" s="264" t="e">
        <f aca="false">VLOOKUP(AB55,CE56:CM161,8,FALSE())</f>
        <v>#VALUE!</v>
      </c>
      <c r="AJ55" s="266" t="e">
        <f aca="false">VLOOKUP(AB55,CE56:CM161,9,FALSE())</f>
        <v>#VALUE!</v>
      </c>
      <c r="AK55" s="264" t="e">
        <f aca="false">VLOOKUP(AB55,CE56:CN161,10,FALSE())</f>
        <v>#VALUE!</v>
      </c>
      <c r="AM55" s="322" t="e">
        <f aca="false">LongTerm1!D60</f>
        <v>#VALUE!</v>
      </c>
      <c r="AN55" s="323" t="e">
        <f aca="false">(LongTerm1!BM60+LongTerm1!BL60/(1-LongTerm1!AR60))*(LongTerm1!F60*LongTerm1!AF60*LongTerm1!AH60)/10000</f>
        <v>#VALUE!</v>
      </c>
      <c r="AO55" s="323" t="e">
        <f aca="false">LongTerm1!BM60*(LongTerm1!F60*LongTerm1!AF60*LongTerm1!AH60)/10000</f>
        <v>#VALUE!</v>
      </c>
      <c r="AP55" s="323" t="e">
        <f aca="false">(LongTerm1!BL60/(1-LongTerm1!AR60))*(LongTerm1!F60*LongTerm1!AF60*LongTerm1!AH60)/10000</f>
        <v>#VALUE!</v>
      </c>
      <c r="AQ55" s="324"/>
      <c r="AV55" s="319"/>
      <c r="AW55" s="319"/>
      <c r="AX55" s="319"/>
      <c r="AY55" s="319"/>
      <c r="AZ55" s="319"/>
      <c r="BA55" s="319"/>
      <c r="BB55" s="319"/>
      <c r="BC55" s="319"/>
      <c r="BD55" s="319"/>
      <c r="BE55" s="319"/>
      <c r="BF55" s="319"/>
      <c r="BG55" s="322" t="e">
        <f aca="false">LongTerm25!D60</f>
        <v>#VALUE!</v>
      </c>
      <c r="BH55" s="323" t="e">
        <f aca="false">(LongTerm25!BM60+LongTerm25!BL60/(1-LongTerm25!AR60))*(LongTerm25!F60*LongTerm25!AF60*LongTerm25!AH60)/10000</f>
        <v>#VALUE!</v>
      </c>
      <c r="BI55" s="323" t="e">
        <f aca="false">LongTerm25!BM60*(LongTerm25!F60*LongTerm25!AF60*LongTerm25!AH60)/10000</f>
        <v>#VALUE!</v>
      </c>
      <c r="BJ55" s="323" t="e">
        <f aca="false">(LongTerm25!BL60/(1-LongTerm25!AR60))*(LongTerm25!F60*LongTerm25!AF60*LongTerm25!AH60)/10000</f>
        <v>#VALUE!</v>
      </c>
      <c r="BK55" s="319"/>
      <c r="BL55" s="319"/>
      <c r="BM55" s="319"/>
      <c r="BN55" s="319"/>
      <c r="BP55" s="325" t="e">
        <f aca="false">LongTerm62!D60</f>
        <v>#VALUE!</v>
      </c>
      <c r="BQ55" s="323" t="e">
        <f aca="false">(LongTerm62!$BM60+LongTerm62!$BL60/(1-LongTerm62!$AR60))*(LongTerm62!$F60*LongTerm62!$AF60*LongTerm62!$AH60)/10000</f>
        <v>#VALUE!</v>
      </c>
      <c r="BR55" s="323" t="e">
        <f aca="false">LongTerm62!$BM60*(LongTerm62!$F60*LongTerm62!$AF60*LongTerm62!$AH60)/10000</f>
        <v>#VALUE!</v>
      </c>
      <c r="BS55" s="323" t="e">
        <f aca="false">(LongTerm62!$BL60/(1-LongTerm62!$AR60))*(LongTerm62!$F60*LongTerm62!$AF60*LongTerm62!$AH60)/10000</f>
        <v>#VALUE!</v>
      </c>
      <c r="BT55" s="265"/>
      <c r="BU55" s="325" t="e">
        <f aca="false">LongTerm107!D60</f>
        <v>#VALUE!</v>
      </c>
      <c r="BV55" s="323" t="e">
        <f aca="false">(LongTerm107!$BM60+LongTerm107!$BL60/(1-LongTerm107!$AR60))*(LongTerm107!$F60*LongTerm107!$AF60*LongTerm107!$AH60)/10000</f>
        <v>#VALUE!</v>
      </c>
      <c r="BW55" s="323" t="e">
        <f aca="false">LongTerm107!$BM60*(LongTerm107!$F60*LongTerm107!$AF60*LongTerm107!$AH60)/10000</f>
        <v>#VALUE!</v>
      </c>
      <c r="BX55" s="323" t="e">
        <f aca="false">(LongTerm107!$BL60/(1-LongTerm107!$AR60))*(LongTerm107!$F60*LongTerm107!$AF60*LongTerm107!$AH60)/10000</f>
        <v>#VALUE!</v>
      </c>
      <c r="BY55" s="326"/>
      <c r="BZ55" s="325" t="e">
        <f aca="false">LongTerm108!D60</f>
        <v>#VALUE!</v>
      </c>
      <c r="CA55" s="323" t="e">
        <f aca="false">(LongTerm108!$BM60+LongTerm108!$BL60/(1-LongTerm108!$AR60))*(LongTerm108!$F60*LongTerm108!$AF60*LongTerm108!$AH60)/10000</f>
        <v>#VALUE!</v>
      </c>
      <c r="CB55" s="323" t="e">
        <f aca="false">LongTerm108!$BM60*(LongTerm108!$F60*LongTerm108!$AF60*LongTerm108!$AH60)/10000</f>
        <v>#VALUE!</v>
      </c>
      <c r="CC55" s="323" t="e">
        <f aca="false">(LongTerm108!$BL60/(1-LongTerm108!$AR60))*(LongTerm108!$F60*LongTerm108!$AF60*LongTerm108!$AH60)/10000</f>
        <v>#VALUE!</v>
      </c>
      <c r="CD55" s="332"/>
      <c r="CE55" s="333" t="n">
        <f aca="false">EOMONTH(CE54,0)+15</f>
        <v>38183</v>
      </c>
      <c r="CF55" s="337" t="n">
        <v>26.7</v>
      </c>
      <c r="CG55" s="337" t="n">
        <v>149.6</v>
      </c>
      <c r="CH55" s="337" t="n">
        <v>-174.9</v>
      </c>
      <c r="CI55" s="337" t="n">
        <v>0</v>
      </c>
      <c r="CJ55" s="337" t="n">
        <v>0</v>
      </c>
      <c r="CK55" s="337" t="n">
        <v>0.9</v>
      </c>
      <c r="CL55" s="337" t="n">
        <v>0</v>
      </c>
      <c r="CM55" s="337" t="n">
        <v>0</v>
      </c>
      <c r="CN55" s="337" t="n">
        <v>0</v>
      </c>
    </row>
    <row r="56" customFormat="false" ht="12.75" hidden="false" customHeight="false" outlineLevel="0" collapsed="false">
      <c r="B56" s="320" t="e">
        <f aca="false">Q56</f>
        <v>#VALUE!</v>
      </c>
      <c r="C56" s="319" t="e">
        <f aca="false">YEAR(B56)</f>
        <v>#VALUE!</v>
      </c>
      <c r="D56" s="266" t="e">
        <f aca="false">R56+AC56</f>
        <v>#VALUE!</v>
      </c>
      <c r="E56" s="266" t="e">
        <f aca="false">S56+AD56</f>
        <v>#VALUE!</v>
      </c>
      <c r="F56" s="266" t="e">
        <f aca="false">+T56+AE56</f>
        <v>#VALUE!</v>
      </c>
      <c r="G56" s="266" t="e">
        <f aca="false">+U56+AF56</f>
        <v>#VALUE!</v>
      </c>
      <c r="H56" s="266" t="e">
        <f aca="false">V56+AG56</f>
        <v>#VALUE!</v>
      </c>
      <c r="I56" s="266" t="e">
        <f aca="false">W56+AH56</f>
        <v>#VALUE!</v>
      </c>
      <c r="J56" s="265"/>
      <c r="K56" s="265"/>
      <c r="L56" s="265"/>
      <c r="M56" s="266" t="e">
        <f aca="false">X56+AI56</f>
        <v>#VALUE!</v>
      </c>
      <c r="N56" s="264" t="e">
        <f aca="false">Y56+AJ56</f>
        <v>#VALUE!</v>
      </c>
      <c r="O56" s="264" t="e">
        <f aca="false">Z56+AK56</f>
        <v>#VALUE!</v>
      </c>
      <c r="Q56" s="320" t="e">
        <f aca="false">EOMONTH(Q55,0)+15</f>
        <v>#VALUE!</v>
      </c>
      <c r="R56" s="266" t="e">
        <f aca="false">SUMIF(AM:AM,$Q56,AN:AN)+SUMIF(AQ:AQ,$Q56,AR:AR)+SUMIF(AU:AU,$Q56,AV:AV)+SUMIF(BU:BU,$Q56,BV:BV)+SUMIF(BZ:BZ,$Q56,CA:CA)+SUMIF(BG:BG,$Q56,BH:BH)+SUMIF(BK:BK,$Q56,BL:BL)+SUMIF(BP:BP,$Q56,BQ:BQ)</f>
        <v>#VALUE!</v>
      </c>
      <c r="S56" s="264" t="e">
        <f aca="false">SUMIF(AM:AM,$Q56,AP:AP)+SUMIF(BU:BU,$Q56,BW:BW)+SUMIF(BZ:BZ,$Q56,CB:CB)</f>
        <v>#VALUE!</v>
      </c>
      <c r="T56" s="264" t="e">
        <f aca="false">SUMIF(AQ:AQ,$Q56,AT:AT)+SUMIF(BG:BG,$Q56,BJ:BJ)+SUMIF(BK:BK,$Q56,BN:BN)</f>
        <v>#VALUE!</v>
      </c>
      <c r="U56" s="264" t="e">
        <f aca="false">SUMIF(AM:AM,$Q56,AO:AO)+SUMIF(AQ:AQ,$Q56,AS:AS)+SUMIF(BG:BG,$Q56,BI:BI)+SUMIF(BK:BK,$Q56,BM:BM)</f>
        <v>#VALUE!</v>
      </c>
      <c r="V56" s="264" t="e">
        <f aca="false">SUMIF(AU:AU,$Q56,AW:AW)</f>
        <v>#VALUE!</v>
      </c>
      <c r="W56" s="264" t="e">
        <f aca="false">SUMIF(AU:AU,$Q56,AX:AX)</f>
        <v>#VALUE!</v>
      </c>
      <c r="X56" s="264" t="e">
        <f aca="false">SUMIF(BP:BP,$Q56,BR:BR)</f>
        <v>#VALUE!</v>
      </c>
      <c r="Y56" s="266" t="e">
        <f aca="false">SUMIF(BP:BP,$Q56,BS:BS)</f>
        <v>#VALUE!</v>
      </c>
      <c r="Z56" s="264" t="e">
        <f aca="false">SUMIF(BU:BU,$Q56,BX:BX)+SUMIF(BZ:BZ,$Q56,CC:CC)</f>
        <v>#VALUE!</v>
      </c>
      <c r="AB56" s="320" t="e">
        <f aca="false">Q56</f>
        <v>#VALUE!</v>
      </c>
      <c r="AC56" s="321" t="e">
        <f aca="false">VLOOKUP(AB56,CE57:CK162,7,FALSE())</f>
        <v>#VALUE!</v>
      </c>
      <c r="AD56" s="264" t="e">
        <f aca="false">VLOOKUP(AB56,CE57:CJ162,3,FALSE())</f>
        <v>#VALUE!</v>
      </c>
      <c r="AE56" s="264" t="e">
        <f aca="false">VLOOKUP(AB56,CE57:CJ162,2,FALSE())</f>
        <v>#VALUE!</v>
      </c>
      <c r="AF56" s="264" t="e">
        <f aca="false">VLOOKUP(AB56,CE57:CJ162,4,FALSE())</f>
        <v>#VALUE!</v>
      </c>
      <c r="AG56" s="264" t="e">
        <f aca="false">VLOOKUP(AB56,CE57:CJ162,5,FALSE())</f>
        <v>#VALUE!</v>
      </c>
      <c r="AH56" s="264" t="e">
        <f aca="false">VLOOKUP(AB56,CE57:CJ162,6,FALSE())</f>
        <v>#VALUE!</v>
      </c>
      <c r="AI56" s="264" t="e">
        <f aca="false">VLOOKUP(AB56,CE57:CM162,8,FALSE())</f>
        <v>#VALUE!</v>
      </c>
      <c r="AJ56" s="266" t="e">
        <f aca="false">VLOOKUP(AB56,CE57:CM162,9,FALSE())</f>
        <v>#VALUE!</v>
      </c>
      <c r="AK56" s="264" t="e">
        <f aca="false">VLOOKUP(AB56,CE57:CN162,10,FALSE())</f>
        <v>#VALUE!</v>
      </c>
      <c r="AM56" s="322" t="e">
        <f aca="false">LongTerm1!D61</f>
        <v>#VALUE!</v>
      </c>
      <c r="AN56" s="323" t="e">
        <f aca="false">(LongTerm1!BM61+LongTerm1!BL61/(1-LongTerm1!AR61))*(LongTerm1!F61*LongTerm1!AF61*LongTerm1!AH61)/10000</f>
        <v>#VALUE!</v>
      </c>
      <c r="AO56" s="323" t="e">
        <f aca="false">LongTerm1!BM61*(LongTerm1!F61*LongTerm1!AF61*LongTerm1!AH61)/10000</f>
        <v>#VALUE!</v>
      </c>
      <c r="AP56" s="323" t="e">
        <f aca="false">(LongTerm1!BL61/(1-LongTerm1!AR61))*(LongTerm1!F61*LongTerm1!AF61*LongTerm1!AH61)/10000</f>
        <v>#VALUE!</v>
      </c>
      <c r="AQ56" s="324"/>
      <c r="AV56" s="319"/>
      <c r="AW56" s="319"/>
      <c r="AX56" s="319"/>
      <c r="AY56" s="319"/>
      <c r="AZ56" s="319"/>
      <c r="BA56" s="319"/>
      <c r="BB56" s="319"/>
      <c r="BC56" s="319"/>
      <c r="BD56" s="319"/>
      <c r="BE56" s="319"/>
      <c r="BF56" s="319"/>
      <c r="BG56" s="322" t="e">
        <f aca="false">LongTerm25!D61</f>
        <v>#VALUE!</v>
      </c>
      <c r="BH56" s="323" t="e">
        <f aca="false">(LongTerm25!BM61+LongTerm25!BL61/(1-LongTerm25!AR61))*(LongTerm25!F61*LongTerm25!AF61*LongTerm25!AH61)/10000</f>
        <v>#VALUE!</v>
      </c>
      <c r="BI56" s="323" t="e">
        <f aca="false">LongTerm25!BM61*(LongTerm25!F61*LongTerm25!AF61*LongTerm25!AH61)/10000</f>
        <v>#VALUE!</v>
      </c>
      <c r="BJ56" s="323" t="e">
        <f aca="false">(LongTerm25!BL61/(1-LongTerm25!AR61))*(LongTerm25!F61*LongTerm25!AF61*LongTerm25!AH61)/10000</f>
        <v>#VALUE!</v>
      </c>
      <c r="BK56" s="319"/>
      <c r="BL56" s="319"/>
      <c r="BM56" s="319"/>
      <c r="BN56" s="319"/>
      <c r="BP56" s="325" t="e">
        <f aca="false">LongTerm62!D61</f>
        <v>#VALUE!</v>
      </c>
      <c r="BQ56" s="323" t="e">
        <f aca="false">(LongTerm62!$BM61+LongTerm62!$BL61/(1-LongTerm62!$AR61))*(LongTerm62!$F61*LongTerm62!$AF61*LongTerm62!$AH61)/10000</f>
        <v>#VALUE!</v>
      </c>
      <c r="BR56" s="323" t="e">
        <f aca="false">LongTerm62!$BM61*(LongTerm62!$F61*LongTerm62!$AF61*LongTerm62!$AH61)/10000</f>
        <v>#VALUE!</v>
      </c>
      <c r="BS56" s="323" t="e">
        <f aca="false">(LongTerm62!$BL61/(1-LongTerm62!$AR61))*(LongTerm62!$F61*LongTerm62!$AF61*LongTerm62!$AH61)/10000</f>
        <v>#VALUE!</v>
      </c>
      <c r="BT56" s="265"/>
      <c r="BU56" s="325" t="e">
        <f aca="false">LongTerm107!D61</f>
        <v>#VALUE!</v>
      </c>
      <c r="BV56" s="323" t="e">
        <f aca="false">(LongTerm107!$BM61+LongTerm107!$BL61/(1-LongTerm107!$AR61))*(LongTerm107!$F61*LongTerm107!$AF61*LongTerm107!$AH61)/10000</f>
        <v>#VALUE!</v>
      </c>
      <c r="BW56" s="323" t="e">
        <f aca="false">LongTerm107!$BM61*(LongTerm107!$F61*LongTerm107!$AF61*LongTerm107!$AH61)/10000</f>
        <v>#VALUE!</v>
      </c>
      <c r="BX56" s="323" t="e">
        <f aca="false">(LongTerm107!$BL61/(1-LongTerm107!$AR61))*(LongTerm107!$F61*LongTerm107!$AF61*LongTerm107!$AH61)/10000</f>
        <v>#VALUE!</v>
      </c>
      <c r="BY56" s="326"/>
      <c r="BZ56" s="325" t="e">
        <f aca="false">LongTerm108!D61</f>
        <v>#VALUE!</v>
      </c>
      <c r="CA56" s="323" t="e">
        <f aca="false">(LongTerm108!$BM61+LongTerm108!$BL61/(1-LongTerm108!$AR61))*(LongTerm108!$F61*LongTerm108!$AF61*LongTerm108!$AH61)/10000</f>
        <v>#VALUE!</v>
      </c>
      <c r="CB56" s="323" t="e">
        <f aca="false">LongTerm108!$BM61*(LongTerm108!$F61*LongTerm108!$AF61*LongTerm108!$AH61)/10000</f>
        <v>#VALUE!</v>
      </c>
      <c r="CC56" s="323" t="e">
        <f aca="false">(LongTerm108!$BL61/(1-LongTerm108!$AR61))*(LongTerm108!$F61*LongTerm108!$AF61*LongTerm108!$AH61)/10000</f>
        <v>#VALUE!</v>
      </c>
      <c r="CD56" s="332"/>
      <c r="CE56" s="333" t="n">
        <f aca="false">EOMONTH(CE55,0)+15</f>
        <v>38214</v>
      </c>
      <c r="CF56" s="337" t="n">
        <v>26.4</v>
      </c>
      <c r="CG56" s="337" t="n">
        <v>144.4</v>
      </c>
      <c r="CH56" s="337" t="n">
        <v>-170.3</v>
      </c>
      <c r="CI56" s="337" t="n">
        <v>0</v>
      </c>
      <c r="CJ56" s="337" t="n">
        <v>0</v>
      </c>
      <c r="CK56" s="337" t="n">
        <v>0.9</v>
      </c>
      <c r="CL56" s="337" t="n">
        <v>0</v>
      </c>
      <c r="CM56" s="337" t="n">
        <v>0</v>
      </c>
      <c r="CN56" s="337" t="n">
        <v>0</v>
      </c>
    </row>
    <row r="57" customFormat="false" ht="12.75" hidden="false" customHeight="false" outlineLevel="0" collapsed="false">
      <c r="B57" s="320" t="e">
        <f aca="false">Q57</f>
        <v>#VALUE!</v>
      </c>
      <c r="C57" s="319" t="e">
        <f aca="false">YEAR(B57)</f>
        <v>#VALUE!</v>
      </c>
      <c r="D57" s="266" t="e">
        <f aca="false">R57+AC57</f>
        <v>#VALUE!</v>
      </c>
      <c r="E57" s="266" t="e">
        <f aca="false">S57+AD57</f>
        <v>#VALUE!</v>
      </c>
      <c r="F57" s="266" t="e">
        <f aca="false">+T57+AE57</f>
        <v>#VALUE!</v>
      </c>
      <c r="G57" s="266" t="e">
        <f aca="false">+U57+AF57</f>
        <v>#VALUE!</v>
      </c>
      <c r="H57" s="266" t="e">
        <f aca="false">V57+AG57</f>
        <v>#VALUE!</v>
      </c>
      <c r="I57" s="266" t="e">
        <f aca="false">W57+AH57</f>
        <v>#VALUE!</v>
      </c>
      <c r="J57" s="265"/>
      <c r="K57" s="265"/>
      <c r="L57" s="265"/>
      <c r="M57" s="266" t="e">
        <f aca="false">X57+AI57</f>
        <v>#VALUE!</v>
      </c>
      <c r="N57" s="264" t="e">
        <f aca="false">Y57+AJ57</f>
        <v>#VALUE!</v>
      </c>
      <c r="O57" s="264" t="e">
        <f aca="false">Z57+AK57</f>
        <v>#VALUE!</v>
      </c>
      <c r="Q57" s="320" t="e">
        <f aca="false">EOMONTH(Q56,0)+15</f>
        <v>#VALUE!</v>
      </c>
      <c r="R57" s="266" t="e">
        <f aca="false">SUMIF(AM:AM,$Q57,AN:AN)+SUMIF(AQ:AQ,$Q57,AR:AR)+SUMIF(AU:AU,$Q57,AV:AV)+SUMIF(BU:BU,$Q57,BV:BV)+SUMIF(BZ:BZ,$Q57,CA:CA)+SUMIF(BG:BG,$Q57,BH:BH)+SUMIF(BK:BK,$Q57,BL:BL)+SUMIF(BP:BP,$Q57,BQ:BQ)</f>
        <v>#VALUE!</v>
      </c>
      <c r="S57" s="264" t="e">
        <f aca="false">SUMIF(AM:AM,$Q57,AP:AP)+SUMIF(BU:BU,$Q57,BW:BW)+SUMIF(BZ:BZ,$Q57,CB:CB)</f>
        <v>#VALUE!</v>
      </c>
      <c r="T57" s="264" t="e">
        <f aca="false">SUMIF(AQ:AQ,$Q57,AT:AT)+SUMIF(BG:BG,$Q57,BJ:BJ)+SUMIF(BK:BK,$Q57,BN:BN)</f>
        <v>#VALUE!</v>
      </c>
      <c r="U57" s="264" t="e">
        <f aca="false">SUMIF(AM:AM,$Q57,AO:AO)+SUMIF(AQ:AQ,$Q57,AS:AS)+SUMIF(BG:BG,$Q57,BI:BI)+SUMIF(BK:BK,$Q57,BM:BM)</f>
        <v>#VALUE!</v>
      </c>
      <c r="V57" s="264" t="e">
        <f aca="false">SUMIF(AU:AU,$Q57,AW:AW)</f>
        <v>#VALUE!</v>
      </c>
      <c r="W57" s="264" t="e">
        <f aca="false">SUMIF(AU:AU,$Q57,AX:AX)</f>
        <v>#VALUE!</v>
      </c>
      <c r="X57" s="264" t="e">
        <f aca="false">SUMIF(BP:BP,$Q57,BR:BR)</f>
        <v>#VALUE!</v>
      </c>
      <c r="Y57" s="266" t="e">
        <f aca="false">SUMIF(BP:BP,$Q57,BS:BS)</f>
        <v>#VALUE!</v>
      </c>
      <c r="Z57" s="264" t="e">
        <f aca="false">SUMIF(BU:BU,$Q57,BX:BX)+SUMIF(BZ:BZ,$Q57,CC:CC)</f>
        <v>#VALUE!</v>
      </c>
      <c r="AB57" s="320" t="e">
        <f aca="false">Q57</f>
        <v>#VALUE!</v>
      </c>
      <c r="AC57" s="321" t="e">
        <f aca="false">VLOOKUP(AB57,CE58:CK163,7,FALSE())</f>
        <v>#VALUE!</v>
      </c>
      <c r="AD57" s="264" t="e">
        <f aca="false">VLOOKUP(AB57,CE58:CJ163,3,FALSE())</f>
        <v>#VALUE!</v>
      </c>
      <c r="AE57" s="264" t="e">
        <f aca="false">VLOOKUP(AB57,CE58:CJ163,2,FALSE())</f>
        <v>#VALUE!</v>
      </c>
      <c r="AF57" s="264" t="e">
        <f aca="false">VLOOKUP(AB57,CE58:CJ163,4,FALSE())</f>
        <v>#VALUE!</v>
      </c>
      <c r="AG57" s="264" t="e">
        <f aca="false">VLOOKUP(AB57,CE58:CJ163,5,FALSE())</f>
        <v>#VALUE!</v>
      </c>
      <c r="AH57" s="264" t="e">
        <f aca="false">VLOOKUP(AB57,CE58:CJ163,6,FALSE())</f>
        <v>#VALUE!</v>
      </c>
      <c r="AI57" s="264" t="e">
        <f aca="false">VLOOKUP(AB57,CE58:CM163,8,FALSE())</f>
        <v>#VALUE!</v>
      </c>
      <c r="AJ57" s="266" t="e">
        <f aca="false">VLOOKUP(AB57,CE58:CM163,9,FALSE())</f>
        <v>#VALUE!</v>
      </c>
      <c r="AK57" s="264" t="e">
        <f aca="false">VLOOKUP(AB57,CE58:CN163,10,FALSE())</f>
        <v>#VALUE!</v>
      </c>
      <c r="AM57" s="322" t="e">
        <f aca="false">LongTerm1!D62</f>
        <v>#VALUE!</v>
      </c>
      <c r="AN57" s="323" t="e">
        <f aca="false">(LongTerm1!BM62+LongTerm1!BL62/(1-LongTerm1!AR62))*(LongTerm1!F62*LongTerm1!AF62*LongTerm1!AH62)/10000</f>
        <v>#VALUE!</v>
      </c>
      <c r="AO57" s="323" t="e">
        <f aca="false">LongTerm1!BM62*(LongTerm1!F62*LongTerm1!AF62*LongTerm1!AH62)/10000</f>
        <v>#VALUE!</v>
      </c>
      <c r="AP57" s="323" t="e">
        <f aca="false">(LongTerm1!BL62/(1-LongTerm1!AR62))*(LongTerm1!F62*LongTerm1!AF62*LongTerm1!AH62)/10000</f>
        <v>#VALUE!</v>
      </c>
      <c r="AQ57" s="324"/>
      <c r="AV57" s="319"/>
      <c r="AW57" s="319"/>
      <c r="AX57" s="319"/>
      <c r="AY57" s="319"/>
      <c r="AZ57" s="319"/>
      <c r="BA57" s="319"/>
      <c r="BB57" s="319"/>
      <c r="BC57" s="319"/>
      <c r="BD57" s="319"/>
      <c r="BE57" s="319"/>
      <c r="BF57" s="319"/>
      <c r="BG57" s="322" t="e">
        <f aca="false">LongTerm25!D62</f>
        <v>#VALUE!</v>
      </c>
      <c r="BH57" s="323" t="e">
        <f aca="false">(LongTerm25!BM62+LongTerm25!BL62/(1-LongTerm25!AR62))*(LongTerm25!F62*LongTerm25!AF62*LongTerm25!AH62)/10000</f>
        <v>#VALUE!</v>
      </c>
      <c r="BI57" s="323" t="e">
        <f aca="false">LongTerm25!BM62*(LongTerm25!F62*LongTerm25!AF62*LongTerm25!AH62)/10000</f>
        <v>#VALUE!</v>
      </c>
      <c r="BJ57" s="323" t="e">
        <f aca="false">(LongTerm25!BL62/(1-LongTerm25!AR62))*(LongTerm25!F62*LongTerm25!AF62*LongTerm25!AH62)/10000</f>
        <v>#VALUE!</v>
      </c>
      <c r="BK57" s="319"/>
      <c r="BL57" s="319"/>
      <c r="BM57" s="319"/>
      <c r="BN57" s="319"/>
      <c r="BP57" s="325" t="e">
        <f aca="false">LongTerm62!D62</f>
        <v>#VALUE!</v>
      </c>
      <c r="BQ57" s="323" t="e">
        <f aca="false">(LongTerm62!$BM62+LongTerm62!$BL62/(1-LongTerm62!$AR62))*(LongTerm62!$F62*LongTerm62!$AF62*LongTerm62!$AH62)/10000</f>
        <v>#VALUE!</v>
      </c>
      <c r="BR57" s="323" t="e">
        <f aca="false">LongTerm62!$BM62*(LongTerm62!$F62*LongTerm62!$AF62*LongTerm62!$AH62)/10000</f>
        <v>#VALUE!</v>
      </c>
      <c r="BS57" s="323" t="e">
        <f aca="false">(LongTerm62!$BL62/(1-LongTerm62!$AR62))*(LongTerm62!$F62*LongTerm62!$AF62*LongTerm62!$AH62)/10000</f>
        <v>#VALUE!</v>
      </c>
      <c r="BT57" s="265"/>
      <c r="BU57" s="325" t="e">
        <f aca="false">LongTerm107!D62</f>
        <v>#VALUE!</v>
      </c>
      <c r="BV57" s="323" t="e">
        <f aca="false">(LongTerm107!$BM62+LongTerm107!$BL62/(1-LongTerm107!$AR62))*(LongTerm107!$F62*LongTerm107!$AF62*LongTerm107!$AH62)/10000</f>
        <v>#VALUE!</v>
      </c>
      <c r="BW57" s="323" t="e">
        <f aca="false">LongTerm107!$BM62*(LongTerm107!$F62*LongTerm107!$AF62*LongTerm107!$AH62)/10000</f>
        <v>#VALUE!</v>
      </c>
      <c r="BX57" s="323" t="e">
        <f aca="false">(LongTerm107!$BL62/(1-LongTerm107!$AR62))*(LongTerm107!$F62*LongTerm107!$AF62*LongTerm107!$AH62)/10000</f>
        <v>#VALUE!</v>
      </c>
      <c r="BY57" s="326"/>
      <c r="BZ57" s="325" t="e">
        <f aca="false">LongTerm108!D62</f>
        <v>#VALUE!</v>
      </c>
      <c r="CA57" s="323" t="e">
        <f aca="false">(LongTerm108!$BM62+LongTerm108!$BL62/(1-LongTerm108!$AR62))*(LongTerm108!$F62*LongTerm108!$AF62*LongTerm108!$AH62)/10000</f>
        <v>#VALUE!</v>
      </c>
      <c r="CB57" s="323" t="e">
        <f aca="false">LongTerm108!$BM62*(LongTerm108!$F62*LongTerm108!$AF62*LongTerm108!$AH62)/10000</f>
        <v>#VALUE!</v>
      </c>
      <c r="CC57" s="323" t="e">
        <f aca="false">(LongTerm108!$BL62/(1-LongTerm108!$AR62))*(LongTerm108!$F62*LongTerm108!$AF62*LongTerm108!$AH62)/10000</f>
        <v>#VALUE!</v>
      </c>
      <c r="CD57" s="332"/>
      <c r="CE57" s="333" t="n">
        <f aca="false">EOMONTH(CE56,0)+15</f>
        <v>38245</v>
      </c>
      <c r="CF57" s="337" t="n">
        <v>25.7</v>
      </c>
      <c r="CG57" s="337" t="n">
        <v>139.2</v>
      </c>
      <c r="CH57" s="337" t="n">
        <v>-163.6</v>
      </c>
      <c r="CI57" s="337" t="n">
        <v>0</v>
      </c>
      <c r="CJ57" s="337" t="n">
        <v>0</v>
      </c>
      <c r="CK57" s="337" t="n">
        <v>0.9</v>
      </c>
      <c r="CL57" s="337" t="n">
        <v>0</v>
      </c>
      <c r="CM57" s="337" t="n">
        <v>0</v>
      </c>
      <c r="CN57" s="337" t="n">
        <v>0</v>
      </c>
    </row>
    <row r="58" customFormat="false" ht="12.75" hidden="false" customHeight="false" outlineLevel="0" collapsed="false">
      <c r="B58" s="320" t="e">
        <f aca="false">Q58</f>
        <v>#VALUE!</v>
      </c>
      <c r="C58" s="319" t="e">
        <f aca="false">YEAR(B58)</f>
        <v>#VALUE!</v>
      </c>
      <c r="D58" s="266" t="e">
        <f aca="false">R58+AC58</f>
        <v>#VALUE!</v>
      </c>
      <c r="E58" s="266" t="e">
        <f aca="false">S58+AD58</f>
        <v>#VALUE!</v>
      </c>
      <c r="F58" s="266" t="e">
        <f aca="false">+T58+AE58</f>
        <v>#VALUE!</v>
      </c>
      <c r="G58" s="266" t="e">
        <f aca="false">+U58+AF58</f>
        <v>#VALUE!</v>
      </c>
      <c r="H58" s="266" t="e">
        <f aca="false">V58+AG58</f>
        <v>#VALUE!</v>
      </c>
      <c r="I58" s="266" t="e">
        <f aca="false">W58+AH58</f>
        <v>#VALUE!</v>
      </c>
      <c r="J58" s="265"/>
      <c r="K58" s="265"/>
      <c r="L58" s="265"/>
      <c r="M58" s="266" t="e">
        <f aca="false">X58+AI58</f>
        <v>#VALUE!</v>
      </c>
      <c r="N58" s="264" t="e">
        <f aca="false">Y58+AJ58</f>
        <v>#VALUE!</v>
      </c>
      <c r="O58" s="264" t="e">
        <f aca="false">Z58+AK58</f>
        <v>#VALUE!</v>
      </c>
      <c r="Q58" s="320" t="e">
        <f aca="false">EOMONTH(Q57,0)+15</f>
        <v>#VALUE!</v>
      </c>
      <c r="R58" s="266" t="e">
        <f aca="false">SUMIF(AM:AM,$Q58,AN:AN)+SUMIF(AQ:AQ,$Q58,AR:AR)+SUMIF(AU:AU,$Q58,AV:AV)+SUMIF(BU:BU,$Q58,BV:BV)+SUMIF(BZ:BZ,$Q58,CA:CA)+SUMIF(BG:BG,$Q58,BH:BH)+SUMIF(BK:BK,$Q58,BL:BL)+SUMIF(BP:BP,$Q58,BQ:BQ)</f>
        <v>#VALUE!</v>
      </c>
      <c r="S58" s="264" t="e">
        <f aca="false">SUMIF(AM:AM,$Q58,AP:AP)+SUMIF(BU:BU,$Q58,BW:BW)+SUMIF(BZ:BZ,$Q58,CB:CB)</f>
        <v>#VALUE!</v>
      </c>
      <c r="T58" s="264" t="e">
        <f aca="false">SUMIF(AQ:AQ,$Q58,AT:AT)+SUMIF(BG:BG,$Q58,BJ:BJ)+SUMIF(BK:BK,$Q58,BN:BN)</f>
        <v>#VALUE!</v>
      </c>
      <c r="U58" s="264" t="e">
        <f aca="false">SUMIF(AM:AM,$Q58,AO:AO)+SUMIF(AQ:AQ,$Q58,AS:AS)+SUMIF(BG:BG,$Q58,BI:BI)+SUMIF(BK:BK,$Q58,BM:BM)</f>
        <v>#VALUE!</v>
      </c>
      <c r="V58" s="264" t="e">
        <f aca="false">SUMIF(AU:AU,$Q58,AW:AW)</f>
        <v>#VALUE!</v>
      </c>
      <c r="W58" s="264" t="e">
        <f aca="false">SUMIF(AU:AU,$Q58,AX:AX)</f>
        <v>#VALUE!</v>
      </c>
      <c r="X58" s="264" t="e">
        <f aca="false">SUMIF(BP:BP,$Q58,BR:BR)</f>
        <v>#VALUE!</v>
      </c>
      <c r="Y58" s="266" t="e">
        <f aca="false">SUMIF(BP:BP,$Q58,BS:BS)</f>
        <v>#VALUE!</v>
      </c>
      <c r="Z58" s="264" t="e">
        <f aca="false">SUMIF(BU:BU,$Q58,BX:BX)+SUMIF(BZ:BZ,$Q58,CC:CC)</f>
        <v>#VALUE!</v>
      </c>
      <c r="AB58" s="320" t="e">
        <f aca="false">Q58</f>
        <v>#VALUE!</v>
      </c>
      <c r="AC58" s="321" t="e">
        <f aca="false">VLOOKUP(AB58,CE59:CK164,7,FALSE())</f>
        <v>#VALUE!</v>
      </c>
      <c r="AD58" s="264" t="e">
        <f aca="false">VLOOKUP(AB58,CE59:CJ164,3,FALSE())</f>
        <v>#VALUE!</v>
      </c>
      <c r="AE58" s="264" t="e">
        <f aca="false">VLOOKUP(AB58,CE59:CJ164,2,FALSE())</f>
        <v>#VALUE!</v>
      </c>
      <c r="AF58" s="264" t="e">
        <f aca="false">VLOOKUP(AB58,CE59:CJ164,4,FALSE())</f>
        <v>#VALUE!</v>
      </c>
      <c r="AG58" s="264" t="e">
        <f aca="false">VLOOKUP(AB58,CE59:CJ164,5,FALSE())</f>
        <v>#VALUE!</v>
      </c>
      <c r="AH58" s="264" t="e">
        <f aca="false">VLOOKUP(AB58,CE59:CJ164,6,FALSE())</f>
        <v>#VALUE!</v>
      </c>
      <c r="AI58" s="264" t="e">
        <f aca="false">VLOOKUP(AB58,CE59:CM164,8,FALSE())</f>
        <v>#VALUE!</v>
      </c>
      <c r="AJ58" s="266" t="e">
        <f aca="false">VLOOKUP(AB58,CE59:CM164,9,FALSE())</f>
        <v>#VALUE!</v>
      </c>
      <c r="AK58" s="264" t="e">
        <f aca="false">VLOOKUP(AB58,CE59:CN164,10,FALSE())</f>
        <v>#VALUE!</v>
      </c>
      <c r="AM58" s="322" t="e">
        <f aca="false">LongTerm1!D63</f>
        <v>#VALUE!</v>
      </c>
      <c r="AN58" s="323" t="e">
        <f aca="false">(LongTerm1!BM63+LongTerm1!BL63/(1-LongTerm1!AR63))*(LongTerm1!F63*LongTerm1!AF63*LongTerm1!AH63)/10000</f>
        <v>#VALUE!</v>
      </c>
      <c r="AO58" s="323" t="e">
        <f aca="false">LongTerm1!BM63*(LongTerm1!F63*LongTerm1!AF63*LongTerm1!AH63)/10000</f>
        <v>#VALUE!</v>
      </c>
      <c r="AP58" s="323" t="e">
        <f aca="false">(LongTerm1!BL63/(1-LongTerm1!AR63))*(LongTerm1!F63*LongTerm1!AF63*LongTerm1!AH63)/10000</f>
        <v>#VALUE!</v>
      </c>
      <c r="AQ58" s="324"/>
      <c r="AV58" s="319"/>
      <c r="AW58" s="319"/>
      <c r="AX58" s="319"/>
      <c r="AY58" s="319"/>
      <c r="AZ58" s="319"/>
      <c r="BA58" s="319"/>
      <c r="BB58" s="319"/>
      <c r="BC58" s="319"/>
      <c r="BD58" s="319"/>
      <c r="BE58" s="319"/>
      <c r="BF58" s="319"/>
      <c r="BG58" s="322" t="e">
        <f aca="false">LongTerm25!D63</f>
        <v>#VALUE!</v>
      </c>
      <c r="BH58" s="323" t="e">
        <f aca="false">(LongTerm25!BM63+LongTerm25!BL63/(1-LongTerm25!AR63))*(LongTerm25!F63*LongTerm25!AF63*LongTerm25!AH63)/10000</f>
        <v>#VALUE!</v>
      </c>
      <c r="BI58" s="323" t="e">
        <f aca="false">LongTerm25!BM63*(LongTerm25!F63*LongTerm25!AF63*LongTerm25!AH63)/10000</f>
        <v>#VALUE!</v>
      </c>
      <c r="BJ58" s="323" t="e">
        <f aca="false">(LongTerm25!BL63/(1-LongTerm25!AR63))*(LongTerm25!F63*LongTerm25!AF63*LongTerm25!AH63)/10000</f>
        <v>#VALUE!</v>
      </c>
      <c r="BK58" s="319"/>
      <c r="BL58" s="319"/>
      <c r="BM58" s="319"/>
      <c r="BN58" s="319"/>
      <c r="BP58" s="325" t="e">
        <f aca="false">LongTerm62!D63</f>
        <v>#VALUE!</v>
      </c>
      <c r="BQ58" s="323" t="e">
        <f aca="false">(LongTerm62!$BM63+LongTerm62!$BL63/(1-LongTerm62!$AR63))*(LongTerm62!$F63*LongTerm62!$AF63*LongTerm62!$AH63)/10000</f>
        <v>#VALUE!</v>
      </c>
      <c r="BR58" s="323" t="e">
        <f aca="false">LongTerm62!$BM63*(LongTerm62!$F63*LongTerm62!$AF63*LongTerm62!$AH63)/10000</f>
        <v>#VALUE!</v>
      </c>
      <c r="BS58" s="323" t="e">
        <f aca="false">(LongTerm62!$BL63/(1-LongTerm62!$AR63))*(LongTerm62!$F63*LongTerm62!$AF63*LongTerm62!$AH63)/10000</f>
        <v>#VALUE!</v>
      </c>
      <c r="BT58" s="265"/>
      <c r="BU58" s="325" t="e">
        <f aca="false">LongTerm107!D63</f>
        <v>#VALUE!</v>
      </c>
      <c r="BV58" s="323" t="e">
        <f aca="false">(LongTerm107!$BM63+LongTerm107!$BL63/(1-LongTerm107!$AR63))*(LongTerm107!$F63*LongTerm107!$AF63*LongTerm107!$AH63)/10000</f>
        <v>#VALUE!</v>
      </c>
      <c r="BW58" s="323" t="e">
        <f aca="false">LongTerm107!$BM63*(LongTerm107!$F63*LongTerm107!$AF63*LongTerm107!$AH63)/10000</f>
        <v>#VALUE!</v>
      </c>
      <c r="BX58" s="323" t="e">
        <f aca="false">(LongTerm107!$BL63/(1-LongTerm107!$AR63))*(LongTerm107!$F63*LongTerm107!$AF63*LongTerm107!$AH63)/10000</f>
        <v>#VALUE!</v>
      </c>
      <c r="BY58" s="326"/>
      <c r="BZ58" s="325" t="e">
        <f aca="false">LongTerm108!D63</f>
        <v>#VALUE!</v>
      </c>
      <c r="CA58" s="323" t="e">
        <f aca="false">(LongTerm108!$BM63+LongTerm108!$BL63/(1-LongTerm108!$AR63))*(LongTerm108!$F63*LongTerm108!$AF63*LongTerm108!$AH63)/10000</f>
        <v>#VALUE!</v>
      </c>
      <c r="CB58" s="323" t="e">
        <f aca="false">LongTerm108!$BM63*(LongTerm108!$F63*LongTerm108!$AF63*LongTerm108!$AH63)/10000</f>
        <v>#VALUE!</v>
      </c>
      <c r="CC58" s="323" t="e">
        <f aca="false">(LongTerm108!$BL63/(1-LongTerm108!$AR63))*(LongTerm108!$F63*LongTerm108!$AF63*LongTerm108!$AH63)/10000</f>
        <v>#VALUE!</v>
      </c>
      <c r="CD58" s="332"/>
      <c r="CE58" s="333" t="n">
        <f aca="false">EOMONTH(CE57,0)+15</f>
        <v>38275</v>
      </c>
      <c r="CF58" s="337" t="n">
        <v>26.7</v>
      </c>
      <c r="CG58" s="337" t="n">
        <v>139.6</v>
      </c>
      <c r="CH58" s="337" t="n">
        <v>-164.9</v>
      </c>
      <c r="CI58" s="337" t="n">
        <v>0</v>
      </c>
      <c r="CJ58" s="337" t="n">
        <v>0</v>
      </c>
      <c r="CK58" s="337" t="n">
        <v>0.8</v>
      </c>
      <c r="CL58" s="337" t="n">
        <v>0</v>
      </c>
      <c r="CM58" s="337" t="n">
        <v>0</v>
      </c>
      <c r="CN58" s="337" t="n">
        <v>0</v>
      </c>
    </row>
    <row r="59" customFormat="false" ht="12.75" hidden="false" customHeight="false" outlineLevel="0" collapsed="false">
      <c r="B59" s="320" t="e">
        <f aca="false">Q59</f>
        <v>#VALUE!</v>
      </c>
      <c r="C59" s="319" t="e">
        <f aca="false">YEAR(B59)</f>
        <v>#VALUE!</v>
      </c>
      <c r="D59" s="266" t="e">
        <f aca="false">R59+AC59</f>
        <v>#VALUE!</v>
      </c>
      <c r="E59" s="266" t="e">
        <f aca="false">S59+AD59</f>
        <v>#VALUE!</v>
      </c>
      <c r="F59" s="266" t="e">
        <f aca="false">+T59+AE59</f>
        <v>#VALUE!</v>
      </c>
      <c r="G59" s="266" t="e">
        <f aca="false">+U59+AF59</f>
        <v>#VALUE!</v>
      </c>
      <c r="H59" s="266" t="e">
        <f aca="false">V59+AG59</f>
        <v>#VALUE!</v>
      </c>
      <c r="I59" s="266" t="e">
        <f aca="false">W59+AH59</f>
        <v>#VALUE!</v>
      </c>
      <c r="J59" s="265"/>
      <c r="K59" s="265"/>
      <c r="L59" s="265"/>
      <c r="M59" s="266" t="e">
        <f aca="false">X59+AI59</f>
        <v>#VALUE!</v>
      </c>
      <c r="N59" s="264" t="e">
        <f aca="false">Y59+AJ59</f>
        <v>#VALUE!</v>
      </c>
      <c r="O59" s="264" t="e">
        <f aca="false">Z59+AK59</f>
        <v>#VALUE!</v>
      </c>
      <c r="Q59" s="320" t="e">
        <f aca="false">EOMONTH(Q58,0)+15</f>
        <v>#VALUE!</v>
      </c>
      <c r="R59" s="266" t="e">
        <f aca="false">SUMIF(AM:AM,$Q59,AN:AN)+SUMIF(AQ:AQ,$Q59,AR:AR)+SUMIF(AU:AU,$Q59,AV:AV)+SUMIF(BU:BU,$Q59,BV:BV)+SUMIF(BZ:BZ,$Q59,CA:CA)+SUMIF(BG:BG,$Q59,BH:BH)+SUMIF(BK:BK,$Q59,BL:BL)+SUMIF(BP:BP,$Q59,BQ:BQ)</f>
        <v>#VALUE!</v>
      </c>
      <c r="S59" s="264" t="e">
        <f aca="false">SUMIF(AM:AM,$Q59,AP:AP)+SUMIF(BU:BU,$Q59,BW:BW)+SUMIF(BZ:BZ,$Q59,CB:CB)</f>
        <v>#VALUE!</v>
      </c>
      <c r="T59" s="264" t="e">
        <f aca="false">SUMIF(AQ:AQ,$Q59,AT:AT)+SUMIF(BG:BG,$Q59,BJ:BJ)+SUMIF(BK:BK,$Q59,BN:BN)</f>
        <v>#VALUE!</v>
      </c>
      <c r="U59" s="264" t="e">
        <f aca="false">SUMIF(AM:AM,$Q59,AO:AO)+SUMIF(AQ:AQ,$Q59,AS:AS)+SUMIF(BG:BG,$Q59,BI:BI)+SUMIF(BK:BK,$Q59,BM:BM)</f>
        <v>#VALUE!</v>
      </c>
      <c r="V59" s="264" t="e">
        <f aca="false">SUMIF(AU:AU,$Q59,AW:AW)</f>
        <v>#VALUE!</v>
      </c>
      <c r="W59" s="264" t="e">
        <f aca="false">SUMIF(AU:AU,$Q59,AX:AX)</f>
        <v>#VALUE!</v>
      </c>
      <c r="X59" s="264" t="e">
        <f aca="false">SUMIF(BP:BP,$Q59,BR:BR)</f>
        <v>#VALUE!</v>
      </c>
      <c r="Y59" s="266" t="e">
        <f aca="false">SUMIF(BP:BP,$Q59,BS:BS)</f>
        <v>#VALUE!</v>
      </c>
      <c r="Z59" s="264" t="e">
        <f aca="false">SUMIF(BU:BU,$Q59,BX:BX)+SUMIF(BZ:BZ,$Q59,CC:CC)</f>
        <v>#VALUE!</v>
      </c>
      <c r="AB59" s="320" t="e">
        <f aca="false">Q59</f>
        <v>#VALUE!</v>
      </c>
      <c r="AC59" s="321" t="e">
        <f aca="false">VLOOKUP(AB59,CE60:CK165,7,FALSE())</f>
        <v>#VALUE!</v>
      </c>
      <c r="AD59" s="264" t="e">
        <f aca="false">VLOOKUP(AB59,CE60:CJ165,3,FALSE())</f>
        <v>#VALUE!</v>
      </c>
      <c r="AE59" s="264" t="e">
        <f aca="false">VLOOKUP(AB59,CE60:CJ165,2,FALSE())</f>
        <v>#VALUE!</v>
      </c>
      <c r="AF59" s="264" t="e">
        <f aca="false">VLOOKUP(AB59,CE60:CJ165,4,FALSE())</f>
        <v>#VALUE!</v>
      </c>
      <c r="AG59" s="264" t="e">
        <f aca="false">VLOOKUP(AB59,CE60:CJ165,5,FALSE())</f>
        <v>#VALUE!</v>
      </c>
      <c r="AH59" s="264" t="e">
        <f aca="false">VLOOKUP(AB59,CE60:CJ165,6,FALSE())</f>
        <v>#VALUE!</v>
      </c>
      <c r="AI59" s="264" t="e">
        <f aca="false">VLOOKUP(AB59,CE60:CM165,8,FALSE())</f>
        <v>#VALUE!</v>
      </c>
      <c r="AJ59" s="266" t="e">
        <f aca="false">VLOOKUP(AB59,CE60:CM165,9,FALSE())</f>
        <v>#VALUE!</v>
      </c>
      <c r="AK59" s="264" t="e">
        <f aca="false">VLOOKUP(AB59,CE60:CN165,10,FALSE())</f>
        <v>#VALUE!</v>
      </c>
      <c r="AM59" s="322" t="e">
        <f aca="false">LongTerm1!D64</f>
        <v>#VALUE!</v>
      </c>
      <c r="AN59" s="323" t="e">
        <f aca="false">(LongTerm1!BM64+LongTerm1!BL64/(1-LongTerm1!AR64))*(LongTerm1!F64*LongTerm1!AF64*LongTerm1!AH64)/10000</f>
        <v>#VALUE!</v>
      </c>
      <c r="AO59" s="323" t="e">
        <f aca="false">LongTerm1!BM64*(LongTerm1!F64*LongTerm1!AF64*LongTerm1!AH64)/10000</f>
        <v>#VALUE!</v>
      </c>
      <c r="AP59" s="323" t="e">
        <f aca="false">(LongTerm1!BL64/(1-LongTerm1!AR64))*(LongTerm1!F64*LongTerm1!AF64*LongTerm1!AH64)/10000</f>
        <v>#VALUE!</v>
      </c>
      <c r="AQ59" s="324"/>
      <c r="AV59" s="319"/>
      <c r="AW59" s="319"/>
      <c r="AX59" s="319"/>
      <c r="AY59" s="319"/>
      <c r="AZ59" s="319"/>
      <c r="BA59" s="319"/>
      <c r="BB59" s="319"/>
      <c r="BC59" s="319"/>
      <c r="BD59" s="319"/>
      <c r="BE59" s="319"/>
      <c r="BF59" s="319"/>
      <c r="BG59" s="322" t="e">
        <f aca="false">LongTerm25!D64</f>
        <v>#VALUE!</v>
      </c>
      <c r="BH59" s="323" t="e">
        <f aca="false">(LongTerm25!BM64+LongTerm25!BL64/(1-LongTerm25!AR64))*(LongTerm25!F64*LongTerm25!AF64*LongTerm25!AH64)/10000</f>
        <v>#VALUE!</v>
      </c>
      <c r="BI59" s="323" t="e">
        <f aca="false">LongTerm25!BM64*(LongTerm25!F64*LongTerm25!AF64*LongTerm25!AH64)/10000</f>
        <v>#VALUE!</v>
      </c>
      <c r="BJ59" s="323" t="e">
        <f aca="false">(LongTerm25!BL64/(1-LongTerm25!AR64))*(LongTerm25!F64*LongTerm25!AF64*LongTerm25!AH64)/10000</f>
        <v>#VALUE!</v>
      </c>
      <c r="BK59" s="319"/>
      <c r="BL59" s="319"/>
      <c r="BM59" s="319"/>
      <c r="BN59" s="319"/>
      <c r="BP59" s="325" t="e">
        <f aca="false">LongTerm62!D64</f>
        <v>#VALUE!</v>
      </c>
      <c r="BQ59" s="323" t="e">
        <f aca="false">(LongTerm62!$BM64+LongTerm62!$BL64/(1-LongTerm62!$AR64))*(LongTerm62!$F64*LongTerm62!$AF64*LongTerm62!$AH64)/10000</f>
        <v>#VALUE!</v>
      </c>
      <c r="BR59" s="323" t="e">
        <f aca="false">LongTerm62!$BM64*(LongTerm62!$F64*LongTerm62!$AF64*LongTerm62!$AH64)/10000</f>
        <v>#VALUE!</v>
      </c>
      <c r="BS59" s="323" t="e">
        <f aca="false">(LongTerm62!$BL64/(1-LongTerm62!$AR64))*(LongTerm62!$F64*LongTerm62!$AF64*LongTerm62!$AH64)/10000</f>
        <v>#VALUE!</v>
      </c>
      <c r="BT59" s="265"/>
      <c r="BU59" s="325" t="e">
        <f aca="false">LongTerm107!D64</f>
        <v>#VALUE!</v>
      </c>
      <c r="BV59" s="323" t="e">
        <f aca="false">(LongTerm107!$BM64+LongTerm107!$BL64/(1-LongTerm107!$AR64))*(LongTerm107!$F64*LongTerm107!$AF64*LongTerm107!$AH64)/10000</f>
        <v>#VALUE!</v>
      </c>
      <c r="BW59" s="323" t="e">
        <f aca="false">LongTerm107!$BM64*(LongTerm107!$F64*LongTerm107!$AF64*LongTerm107!$AH64)/10000</f>
        <v>#VALUE!</v>
      </c>
      <c r="BX59" s="323" t="e">
        <f aca="false">(LongTerm107!$BL64/(1-LongTerm107!$AR64))*(LongTerm107!$F64*LongTerm107!$AF64*LongTerm107!$AH64)/10000</f>
        <v>#VALUE!</v>
      </c>
      <c r="BY59" s="326"/>
      <c r="BZ59" s="325" t="e">
        <f aca="false">LongTerm108!D64</f>
        <v>#VALUE!</v>
      </c>
      <c r="CA59" s="323" t="e">
        <f aca="false">(LongTerm108!$BM64+LongTerm108!$BL64/(1-LongTerm108!$AR64))*(LongTerm108!$F64*LongTerm108!$AF64*LongTerm108!$AH64)/10000</f>
        <v>#VALUE!</v>
      </c>
      <c r="CB59" s="323" t="e">
        <f aca="false">LongTerm108!$BM64*(LongTerm108!$F64*LongTerm108!$AF64*LongTerm108!$AH64)/10000</f>
        <v>#VALUE!</v>
      </c>
      <c r="CC59" s="323" t="e">
        <f aca="false">(LongTerm108!$BL64/(1-LongTerm108!$AR64))*(LongTerm108!$F64*LongTerm108!$AF64*LongTerm108!$AH64)/10000</f>
        <v>#VALUE!</v>
      </c>
      <c r="CD59" s="332"/>
      <c r="CE59" s="333" t="n">
        <f aca="false">EOMONTH(CE58,0)+15</f>
        <v>38306</v>
      </c>
      <c r="CF59" s="337" t="n">
        <v>25.2</v>
      </c>
      <c r="CG59" s="337" t="n">
        <v>112.1</v>
      </c>
      <c r="CH59" s="337" t="n">
        <v>-143.5</v>
      </c>
      <c r="CI59" s="337" t="n">
        <v>0</v>
      </c>
      <c r="CJ59" s="337" t="n">
        <v>0</v>
      </c>
      <c r="CK59" s="337" t="n">
        <v>0.9</v>
      </c>
      <c r="CL59" s="337" t="n">
        <v>-18.7</v>
      </c>
      <c r="CM59" s="337" t="n">
        <v>18.7</v>
      </c>
      <c r="CN59" s="337" t="n">
        <v>0</v>
      </c>
    </row>
    <row r="60" customFormat="false" ht="12.75" hidden="false" customHeight="false" outlineLevel="0" collapsed="false">
      <c r="B60" s="320" t="e">
        <f aca="false">Q60</f>
        <v>#VALUE!</v>
      </c>
      <c r="C60" s="319" t="e">
        <f aca="false">YEAR(B60)</f>
        <v>#VALUE!</v>
      </c>
      <c r="D60" s="266" t="e">
        <f aca="false">R60+AC60</f>
        <v>#VALUE!</v>
      </c>
      <c r="E60" s="266" t="e">
        <f aca="false">S60+AD60</f>
        <v>#VALUE!</v>
      </c>
      <c r="F60" s="266" t="e">
        <f aca="false">+T60+AE60</f>
        <v>#VALUE!</v>
      </c>
      <c r="G60" s="266" t="e">
        <f aca="false">+U60+AF60</f>
        <v>#VALUE!</v>
      </c>
      <c r="H60" s="266" t="e">
        <f aca="false">V60+AG60</f>
        <v>#VALUE!</v>
      </c>
      <c r="I60" s="266" t="e">
        <f aca="false">W60+AH60</f>
        <v>#VALUE!</v>
      </c>
      <c r="J60" s="265"/>
      <c r="K60" s="265"/>
      <c r="L60" s="265"/>
      <c r="M60" s="266" t="e">
        <f aca="false">X60+AI60</f>
        <v>#VALUE!</v>
      </c>
      <c r="N60" s="264" t="e">
        <f aca="false">Y60+AJ60</f>
        <v>#VALUE!</v>
      </c>
      <c r="O60" s="264" t="e">
        <f aca="false">Z60+AK60</f>
        <v>#VALUE!</v>
      </c>
      <c r="Q60" s="320" t="e">
        <f aca="false">EOMONTH(Q59,0)+15</f>
        <v>#VALUE!</v>
      </c>
      <c r="R60" s="266" t="e">
        <f aca="false">SUMIF(AM:AM,$Q60,AN:AN)+SUMIF(AQ:AQ,$Q60,AR:AR)+SUMIF(AU:AU,$Q60,AV:AV)+SUMIF(BU:BU,$Q60,BV:BV)+SUMIF(BZ:BZ,$Q60,CA:CA)+SUMIF(BG:BG,$Q60,BH:BH)+SUMIF(BK:BK,$Q60,BL:BL)+SUMIF(BP:BP,$Q60,BQ:BQ)</f>
        <v>#VALUE!</v>
      </c>
      <c r="S60" s="264" t="e">
        <f aca="false">SUMIF(AM:AM,$Q60,AP:AP)+SUMIF(BU:BU,$Q60,BW:BW)+SUMIF(BZ:BZ,$Q60,CB:CB)</f>
        <v>#VALUE!</v>
      </c>
      <c r="T60" s="264" t="e">
        <f aca="false">SUMIF(AQ:AQ,$Q60,AT:AT)+SUMIF(BG:BG,$Q60,BJ:BJ)+SUMIF(BK:BK,$Q60,BN:BN)</f>
        <v>#VALUE!</v>
      </c>
      <c r="U60" s="264" t="e">
        <f aca="false">SUMIF(AM:AM,$Q60,AO:AO)+SUMIF(AQ:AQ,$Q60,AS:AS)+SUMIF(BG:BG,$Q60,BI:BI)+SUMIF(BK:BK,$Q60,BM:BM)</f>
        <v>#VALUE!</v>
      </c>
      <c r="V60" s="264" t="e">
        <f aca="false">SUMIF(AU:AU,$Q60,AW:AW)</f>
        <v>#VALUE!</v>
      </c>
      <c r="W60" s="264" t="e">
        <f aca="false">SUMIF(AU:AU,$Q60,AX:AX)</f>
        <v>#VALUE!</v>
      </c>
      <c r="X60" s="264" t="e">
        <f aca="false">SUMIF(BP:BP,$Q60,BR:BR)</f>
        <v>#VALUE!</v>
      </c>
      <c r="Y60" s="266" t="e">
        <f aca="false">SUMIF(BP:BP,$Q60,BS:BS)</f>
        <v>#VALUE!</v>
      </c>
      <c r="Z60" s="264" t="e">
        <f aca="false">SUMIF(BU:BU,$Q60,BX:BX)+SUMIF(BZ:BZ,$Q60,CC:CC)</f>
        <v>#VALUE!</v>
      </c>
      <c r="AB60" s="320" t="e">
        <f aca="false">Q60</f>
        <v>#VALUE!</v>
      </c>
      <c r="AC60" s="321" t="e">
        <f aca="false">VLOOKUP(AB60,CE61:CK166,7,FALSE())</f>
        <v>#VALUE!</v>
      </c>
      <c r="AD60" s="264" t="e">
        <f aca="false">VLOOKUP(AB60,CE61:CJ166,3,FALSE())</f>
        <v>#VALUE!</v>
      </c>
      <c r="AE60" s="264" t="e">
        <f aca="false">VLOOKUP(AB60,CE61:CJ166,2,FALSE())</f>
        <v>#VALUE!</v>
      </c>
      <c r="AF60" s="264" t="e">
        <f aca="false">VLOOKUP(AB60,CE61:CJ166,4,FALSE())</f>
        <v>#VALUE!</v>
      </c>
      <c r="AG60" s="264" t="e">
        <f aca="false">VLOOKUP(AB60,CE61:CJ166,5,FALSE())</f>
        <v>#VALUE!</v>
      </c>
      <c r="AH60" s="264" t="e">
        <f aca="false">VLOOKUP(AB60,CE61:CJ166,6,FALSE())</f>
        <v>#VALUE!</v>
      </c>
      <c r="AI60" s="264" t="e">
        <f aca="false">VLOOKUP(AB60,CE61:CM166,8,FALSE())</f>
        <v>#VALUE!</v>
      </c>
      <c r="AJ60" s="266" t="e">
        <f aca="false">VLOOKUP(AB60,CE61:CM166,9,FALSE())</f>
        <v>#VALUE!</v>
      </c>
      <c r="AK60" s="264" t="e">
        <f aca="false">VLOOKUP(AB60,CE61:CN166,10,FALSE())</f>
        <v>#VALUE!</v>
      </c>
      <c r="AM60" s="322" t="e">
        <f aca="false">LongTerm1!D65</f>
        <v>#VALUE!</v>
      </c>
      <c r="AN60" s="323" t="e">
        <f aca="false">(LongTerm1!BM65+LongTerm1!BL65/(1-LongTerm1!AR65))*(LongTerm1!F65*LongTerm1!AF65*LongTerm1!AH65)/10000</f>
        <v>#VALUE!</v>
      </c>
      <c r="AO60" s="323" t="e">
        <f aca="false">LongTerm1!BM65*(LongTerm1!F65*LongTerm1!AF65*LongTerm1!AH65)/10000</f>
        <v>#VALUE!</v>
      </c>
      <c r="AP60" s="323" t="e">
        <f aca="false">(LongTerm1!BL65/(1-LongTerm1!AR65))*(LongTerm1!F65*LongTerm1!AF65*LongTerm1!AH65)/10000</f>
        <v>#VALUE!</v>
      </c>
      <c r="AQ60" s="324"/>
      <c r="AV60" s="319"/>
      <c r="AW60" s="319"/>
      <c r="AX60" s="319"/>
      <c r="AY60" s="319"/>
      <c r="AZ60" s="319"/>
      <c r="BA60" s="319"/>
      <c r="BB60" s="319"/>
      <c r="BC60" s="319"/>
      <c r="BD60" s="319"/>
      <c r="BE60" s="319"/>
      <c r="BF60" s="319"/>
      <c r="BG60" s="322" t="e">
        <f aca="false">LongTerm25!D65</f>
        <v>#VALUE!</v>
      </c>
      <c r="BH60" s="323" t="e">
        <f aca="false">(LongTerm25!BM65+LongTerm25!BL65/(1-LongTerm25!AR65))*(LongTerm25!F65*LongTerm25!AF65*LongTerm25!AH65)/10000</f>
        <v>#VALUE!</v>
      </c>
      <c r="BI60" s="323" t="e">
        <f aca="false">LongTerm25!BM65*(LongTerm25!F65*LongTerm25!AF65*LongTerm25!AH65)/10000</f>
        <v>#VALUE!</v>
      </c>
      <c r="BJ60" s="323" t="e">
        <f aca="false">(LongTerm25!BL65/(1-LongTerm25!AR65))*(LongTerm25!F65*LongTerm25!AF65*LongTerm25!AH65)/10000</f>
        <v>#VALUE!</v>
      </c>
      <c r="BK60" s="319"/>
      <c r="BL60" s="319"/>
      <c r="BM60" s="319"/>
      <c r="BN60" s="319"/>
      <c r="BP60" s="325" t="e">
        <f aca="false">LongTerm62!D65</f>
        <v>#VALUE!</v>
      </c>
      <c r="BQ60" s="323" t="e">
        <f aca="false">(LongTerm62!$BM65+LongTerm62!$BL65/(1-LongTerm62!$AR65))*(LongTerm62!$F65*LongTerm62!$AF65*LongTerm62!$AH65)/10000</f>
        <v>#VALUE!</v>
      </c>
      <c r="BR60" s="323" t="e">
        <f aca="false">LongTerm62!$BM65*(LongTerm62!$F65*LongTerm62!$AF65*LongTerm62!$AH65)/10000</f>
        <v>#VALUE!</v>
      </c>
      <c r="BS60" s="323" t="e">
        <f aca="false">(LongTerm62!$BL65/(1-LongTerm62!$AR65))*(LongTerm62!$F65*LongTerm62!$AF65*LongTerm62!$AH65)/10000</f>
        <v>#VALUE!</v>
      </c>
      <c r="BT60" s="265"/>
      <c r="BU60" s="325" t="e">
        <f aca="false">LongTerm107!D65</f>
        <v>#VALUE!</v>
      </c>
      <c r="BV60" s="323" t="e">
        <f aca="false">(LongTerm107!$BM65+LongTerm107!$BL65/(1-LongTerm107!$AR65))*(LongTerm107!$F65*LongTerm107!$AF65*LongTerm107!$AH65)/10000</f>
        <v>#VALUE!</v>
      </c>
      <c r="BW60" s="323" t="e">
        <f aca="false">LongTerm107!$BM65*(LongTerm107!$F65*LongTerm107!$AF65*LongTerm107!$AH65)/10000</f>
        <v>#VALUE!</v>
      </c>
      <c r="BX60" s="323" t="e">
        <f aca="false">(LongTerm107!$BL65/(1-LongTerm107!$AR65))*(LongTerm107!$F65*LongTerm107!$AF65*LongTerm107!$AH65)/10000</f>
        <v>#VALUE!</v>
      </c>
      <c r="BY60" s="326"/>
      <c r="BZ60" s="325" t="e">
        <f aca="false">LongTerm108!D65</f>
        <v>#VALUE!</v>
      </c>
      <c r="CA60" s="323" t="e">
        <f aca="false">(LongTerm108!$BM65+LongTerm108!$BL65/(1-LongTerm108!$AR65))*(LongTerm108!$F65*LongTerm108!$AF65*LongTerm108!$AH65)/10000</f>
        <v>#VALUE!</v>
      </c>
      <c r="CB60" s="323" t="e">
        <f aca="false">LongTerm108!$BM65*(LongTerm108!$F65*LongTerm108!$AF65*LongTerm108!$AH65)/10000</f>
        <v>#VALUE!</v>
      </c>
      <c r="CC60" s="323" t="e">
        <f aca="false">(LongTerm108!$BL65/(1-LongTerm108!$AR65))*(LongTerm108!$F65*LongTerm108!$AF65*LongTerm108!$AH65)/10000</f>
        <v>#VALUE!</v>
      </c>
      <c r="CD60" s="332"/>
      <c r="CE60" s="333" t="n">
        <f aca="false">EOMONTH(CE59,0)+15</f>
        <v>38336</v>
      </c>
      <c r="CF60" s="337" t="n">
        <v>26.6</v>
      </c>
      <c r="CG60" s="337" t="n">
        <v>104.4</v>
      </c>
      <c r="CH60" s="337" t="n">
        <v>-132.5</v>
      </c>
      <c r="CI60" s="337" t="n">
        <v>0</v>
      </c>
      <c r="CJ60" s="337" t="n">
        <v>0</v>
      </c>
      <c r="CK60" s="337" t="n">
        <v>0.8</v>
      </c>
      <c r="CL60" s="337" t="n">
        <v>-12.8</v>
      </c>
      <c r="CM60" s="337" t="n">
        <v>12.8</v>
      </c>
      <c r="CN60" s="337" t="n">
        <v>0</v>
      </c>
    </row>
    <row r="61" customFormat="false" ht="12.75" hidden="false" customHeight="false" outlineLevel="0" collapsed="false">
      <c r="B61" s="320" t="e">
        <f aca="false">Q61</f>
        <v>#VALUE!</v>
      </c>
      <c r="C61" s="319" t="e">
        <f aca="false">YEAR(B61)</f>
        <v>#VALUE!</v>
      </c>
      <c r="D61" s="266" t="e">
        <f aca="false">R61+AC61</f>
        <v>#VALUE!</v>
      </c>
      <c r="E61" s="266" t="e">
        <f aca="false">S61+AD61</f>
        <v>#VALUE!</v>
      </c>
      <c r="F61" s="266" t="e">
        <f aca="false">+T61+AE61</f>
        <v>#VALUE!</v>
      </c>
      <c r="G61" s="266" t="e">
        <f aca="false">+U61+AF61</f>
        <v>#VALUE!</v>
      </c>
      <c r="H61" s="266" t="e">
        <f aca="false">V61+AG61</f>
        <v>#VALUE!</v>
      </c>
      <c r="I61" s="266" t="e">
        <f aca="false">W61+AH61</f>
        <v>#VALUE!</v>
      </c>
      <c r="J61" s="265"/>
      <c r="K61" s="265"/>
      <c r="L61" s="265"/>
      <c r="M61" s="266" t="e">
        <f aca="false">X61+AI61</f>
        <v>#VALUE!</v>
      </c>
      <c r="N61" s="264" t="e">
        <f aca="false">Y61+AJ61</f>
        <v>#VALUE!</v>
      </c>
      <c r="O61" s="264" t="e">
        <f aca="false">Z61+AK61</f>
        <v>#VALUE!</v>
      </c>
      <c r="Q61" s="320" t="e">
        <f aca="false">EOMONTH(Q60,0)+15</f>
        <v>#VALUE!</v>
      </c>
      <c r="R61" s="266" t="e">
        <f aca="false">SUMIF(AM:AM,$Q61,AN:AN)+SUMIF(AQ:AQ,$Q61,AR:AR)+SUMIF(AU:AU,$Q61,AV:AV)+SUMIF(BU:BU,$Q61,BV:BV)+SUMIF(BZ:BZ,$Q61,CA:CA)+SUMIF(BG:BG,$Q61,BH:BH)+SUMIF(BK:BK,$Q61,BL:BL)+SUMIF(BP:BP,$Q61,BQ:BQ)</f>
        <v>#VALUE!</v>
      </c>
      <c r="S61" s="264" t="e">
        <f aca="false">SUMIF(AM:AM,$Q61,AP:AP)+SUMIF(BU:BU,$Q61,BW:BW)+SUMIF(BZ:BZ,$Q61,CB:CB)</f>
        <v>#VALUE!</v>
      </c>
      <c r="T61" s="264" t="e">
        <f aca="false">SUMIF(AQ:AQ,$Q61,AT:AT)+SUMIF(BG:BG,$Q61,BJ:BJ)+SUMIF(BK:BK,$Q61,BN:BN)</f>
        <v>#VALUE!</v>
      </c>
      <c r="U61" s="264" t="e">
        <f aca="false">SUMIF(AM:AM,$Q61,AO:AO)+SUMIF(AQ:AQ,$Q61,AS:AS)+SUMIF(BG:BG,$Q61,BI:BI)+SUMIF(BK:BK,$Q61,BM:BM)</f>
        <v>#VALUE!</v>
      </c>
      <c r="V61" s="264" t="e">
        <f aca="false">SUMIF(AU:AU,$Q61,AW:AW)</f>
        <v>#VALUE!</v>
      </c>
      <c r="W61" s="264" t="e">
        <f aca="false">SUMIF(AU:AU,$Q61,AX:AX)</f>
        <v>#VALUE!</v>
      </c>
      <c r="X61" s="264" t="e">
        <f aca="false">SUMIF(BP:BP,$Q61,BR:BR)</f>
        <v>#VALUE!</v>
      </c>
      <c r="Y61" s="266" t="e">
        <f aca="false">SUMIF(BP:BP,$Q61,BS:BS)</f>
        <v>#VALUE!</v>
      </c>
      <c r="Z61" s="264" t="e">
        <f aca="false">SUMIF(BU:BU,$Q61,BX:BX)+SUMIF(BZ:BZ,$Q61,CC:CC)</f>
        <v>#VALUE!</v>
      </c>
      <c r="AB61" s="320" t="e">
        <f aca="false">Q61</f>
        <v>#VALUE!</v>
      </c>
      <c r="AC61" s="321" t="e">
        <f aca="false">VLOOKUP(AB61,CE62:CK167,7,FALSE())</f>
        <v>#VALUE!</v>
      </c>
      <c r="AD61" s="264" t="e">
        <f aca="false">VLOOKUP(AB61,CE62:CJ167,3,FALSE())</f>
        <v>#VALUE!</v>
      </c>
      <c r="AE61" s="264" t="e">
        <f aca="false">VLOOKUP(AB61,CE62:CJ167,2,FALSE())</f>
        <v>#VALUE!</v>
      </c>
      <c r="AF61" s="264" t="e">
        <f aca="false">VLOOKUP(AB61,CE62:CJ167,4,FALSE())</f>
        <v>#VALUE!</v>
      </c>
      <c r="AG61" s="264" t="e">
        <f aca="false">VLOOKUP(AB61,CE62:CJ167,5,FALSE())</f>
        <v>#VALUE!</v>
      </c>
      <c r="AH61" s="264" t="e">
        <f aca="false">VLOOKUP(AB61,CE62:CJ167,6,FALSE())</f>
        <v>#VALUE!</v>
      </c>
      <c r="AI61" s="264" t="e">
        <f aca="false">VLOOKUP(AB61,CE62:CM167,8,FALSE())</f>
        <v>#VALUE!</v>
      </c>
      <c r="AJ61" s="266" t="e">
        <f aca="false">VLOOKUP(AB61,CE62:CM167,9,FALSE())</f>
        <v>#VALUE!</v>
      </c>
      <c r="AK61" s="264" t="e">
        <f aca="false">VLOOKUP(AB61,CE62:CN167,10,FALSE())</f>
        <v>#VALUE!</v>
      </c>
      <c r="AM61" s="322" t="e">
        <f aca="false">LongTerm1!D66</f>
        <v>#VALUE!</v>
      </c>
      <c r="AN61" s="323" t="e">
        <f aca="false">(LongTerm1!BM66+LongTerm1!BL66/(1-LongTerm1!AR66))*(LongTerm1!F66*LongTerm1!AF66*LongTerm1!AH66)/10000</f>
        <v>#VALUE!</v>
      </c>
      <c r="AO61" s="323" t="e">
        <f aca="false">LongTerm1!BM66*(LongTerm1!F66*LongTerm1!AF66*LongTerm1!AH66)/10000</f>
        <v>#VALUE!</v>
      </c>
      <c r="AP61" s="323" t="e">
        <f aca="false">(LongTerm1!BL66/(1-LongTerm1!AR66))*(LongTerm1!F66*LongTerm1!AF66*LongTerm1!AH66)/10000</f>
        <v>#VALUE!</v>
      </c>
      <c r="AQ61" s="324"/>
      <c r="AV61" s="319"/>
      <c r="AW61" s="319"/>
      <c r="AX61" s="319"/>
      <c r="AY61" s="319"/>
      <c r="AZ61" s="319"/>
      <c r="BA61" s="319"/>
      <c r="BB61" s="319"/>
      <c r="BC61" s="319"/>
      <c r="BD61" s="319"/>
      <c r="BE61" s="319"/>
      <c r="BF61" s="319"/>
      <c r="BG61" s="322" t="e">
        <f aca="false">LongTerm25!D66</f>
        <v>#VALUE!</v>
      </c>
      <c r="BH61" s="323" t="e">
        <f aca="false">(LongTerm25!BM66+LongTerm25!BL66/(1-LongTerm25!AR66))*(LongTerm25!F66*LongTerm25!AF66*LongTerm25!AH66)/10000</f>
        <v>#VALUE!</v>
      </c>
      <c r="BI61" s="323" t="e">
        <f aca="false">LongTerm25!BM66*(LongTerm25!F66*LongTerm25!AF66*LongTerm25!AH66)/10000</f>
        <v>#VALUE!</v>
      </c>
      <c r="BJ61" s="323" t="e">
        <f aca="false">(LongTerm25!BL66/(1-LongTerm25!AR66))*(LongTerm25!F66*LongTerm25!AF66*LongTerm25!AH66)/10000</f>
        <v>#VALUE!</v>
      </c>
      <c r="BK61" s="319"/>
      <c r="BL61" s="319"/>
      <c r="BM61" s="319"/>
      <c r="BN61" s="319"/>
      <c r="BP61" s="325" t="e">
        <f aca="false">LongTerm62!D66</f>
        <v>#VALUE!</v>
      </c>
      <c r="BQ61" s="323" t="e">
        <f aca="false">(LongTerm62!$BM66+LongTerm62!$BL66/(1-LongTerm62!$AR66))*(LongTerm62!$F66*LongTerm62!$AF66*LongTerm62!$AH66)/10000</f>
        <v>#VALUE!</v>
      </c>
      <c r="BR61" s="323" t="e">
        <f aca="false">LongTerm62!$BM66*(LongTerm62!$F66*LongTerm62!$AF66*LongTerm62!$AH66)/10000</f>
        <v>#VALUE!</v>
      </c>
      <c r="BS61" s="323" t="e">
        <f aca="false">(LongTerm62!$BL66/(1-LongTerm62!$AR66))*(LongTerm62!$F66*LongTerm62!$AF66*LongTerm62!$AH66)/10000</f>
        <v>#VALUE!</v>
      </c>
      <c r="BT61" s="265"/>
      <c r="BU61" s="325" t="e">
        <f aca="false">LongTerm107!D66</f>
        <v>#VALUE!</v>
      </c>
      <c r="BV61" s="323" t="e">
        <f aca="false">(LongTerm107!$BM66+LongTerm107!$BL66/(1-LongTerm107!$AR66))*(LongTerm107!$F66*LongTerm107!$AF66*LongTerm107!$AH66)/10000</f>
        <v>#VALUE!</v>
      </c>
      <c r="BW61" s="323" t="e">
        <f aca="false">LongTerm107!$BM66*(LongTerm107!$F66*LongTerm107!$AF66*LongTerm107!$AH66)/10000</f>
        <v>#VALUE!</v>
      </c>
      <c r="BX61" s="323" t="e">
        <f aca="false">(LongTerm107!$BL66/(1-LongTerm107!$AR66))*(LongTerm107!$F66*LongTerm107!$AF66*LongTerm107!$AH66)/10000</f>
        <v>#VALUE!</v>
      </c>
      <c r="BY61" s="326"/>
      <c r="BZ61" s="325" t="e">
        <f aca="false">LongTerm108!D66</f>
        <v>#VALUE!</v>
      </c>
      <c r="CA61" s="323" t="e">
        <f aca="false">(LongTerm108!$BM66+LongTerm108!$BL66/(1-LongTerm108!$AR66))*(LongTerm108!$F66*LongTerm108!$AF66*LongTerm108!$AH66)/10000</f>
        <v>#VALUE!</v>
      </c>
      <c r="CB61" s="323" t="e">
        <f aca="false">LongTerm108!$BM66*(LongTerm108!$F66*LongTerm108!$AF66*LongTerm108!$AH66)/10000</f>
        <v>#VALUE!</v>
      </c>
      <c r="CC61" s="323" t="e">
        <f aca="false">(LongTerm108!$BL66/(1-LongTerm108!$AR66))*(LongTerm108!$F66*LongTerm108!$AF66*LongTerm108!$AH66)/10000</f>
        <v>#VALUE!</v>
      </c>
      <c r="CD61" s="332"/>
      <c r="CE61" s="333" t="n">
        <f aca="false">EOMONTH(CE60,0)+15</f>
        <v>38367</v>
      </c>
      <c r="CF61" s="337" t="n">
        <v>26.4</v>
      </c>
      <c r="CG61" s="337" t="n">
        <v>97.7</v>
      </c>
      <c r="CH61" s="337" t="n">
        <v>-126.5</v>
      </c>
      <c r="CI61" s="337" t="n">
        <v>0</v>
      </c>
      <c r="CJ61" s="337" t="n">
        <v>0</v>
      </c>
      <c r="CK61" s="337" t="n">
        <v>1.2</v>
      </c>
      <c r="CL61" s="337" t="n">
        <v>-12.7</v>
      </c>
      <c r="CM61" s="337" t="n">
        <v>12.7</v>
      </c>
      <c r="CN61" s="337" t="n">
        <v>0</v>
      </c>
    </row>
    <row r="62" customFormat="false" ht="12.75" hidden="false" customHeight="false" outlineLevel="0" collapsed="false">
      <c r="B62" s="320" t="e">
        <f aca="false">Q62</f>
        <v>#VALUE!</v>
      </c>
      <c r="C62" s="319" t="e">
        <f aca="false">YEAR(B62)</f>
        <v>#VALUE!</v>
      </c>
      <c r="D62" s="266" t="e">
        <f aca="false">R62+AC62</f>
        <v>#VALUE!</v>
      </c>
      <c r="E62" s="266" t="e">
        <f aca="false">S62+AD62</f>
        <v>#VALUE!</v>
      </c>
      <c r="F62" s="266" t="e">
        <f aca="false">+T62+AE62</f>
        <v>#VALUE!</v>
      </c>
      <c r="G62" s="266" t="e">
        <f aca="false">+U62+AF62</f>
        <v>#VALUE!</v>
      </c>
      <c r="H62" s="266" t="e">
        <f aca="false">V62+AG62</f>
        <v>#VALUE!</v>
      </c>
      <c r="I62" s="266" t="e">
        <f aca="false">W62+AH62</f>
        <v>#VALUE!</v>
      </c>
      <c r="J62" s="265"/>
      <c r="K62" s="265"/>
      <c r="L62" s="265"/>
      <c r="M62" s="266" t="e">
        <f aca="false">X62+AI62</f>
        <v>#VALUE!</v>
      </c>
      <c r="N62" s="264" t="e">
        <f aca="false">Y62+AJ62</f>
        <v>#VALUE!</v>
      </c>
      <c r="O62" s="264" t="e">
        <f aca="false">Z62+AK62</f>
        <v>#VALUE!</v>
      </c>
      <c r="Q62" s="320" t="e">
        <f aca="false">EOMONTH(Q61,0)+15</f>
        <v>#VALUE!</v>
      </c>
      <c r="R62" s="266" t="e">
        <f aca="false">SUMIF(AM:AM,$Q62,AN:AN)+SUMIF(AQ:AQ,$Q62,AR:AR)+SUMIF(AU:AU,$Q62,AV:AV)+SUMIF(BU:BU,$Q62,BV:BV)+SUMIF(BZ:BZ,$Q62,CA:CA)+SUMIF(BG:BG,$Q62,BH:BH)+SUMIF(BK:BK,$Q62,BL:BL)+SUMIF(BP:BP,$Q62,BQ:BQ)</f>
        <v>#VALUE!</v>
      </c>
      <c r="S62" s="264" t="e">
        <f aca="false">SUMIF(AM:AM,$Q62,AP:AP)+SUMIF(BU:BU,$Q62,BW:BW)+SUMIF(BZ:BZ,$Q62,CB:CB)</f>
        <v>#VALUE!</v>
      </c>
      <c r="T62" s="264" t="e">
        <f aca="false">SUMIF(AQ:AQ,$Q62,AT:AT)+SUMIF(BG:BG,$Q62,BJ:BJ)+SUMIF(BK:BK,$Q62,BN:BN)</f>
        <v>#VALUE!</v>
      </c>
      <c r="U62" s="264" t="e">
        <f aca="false">SUMIF(AM:AM,$Q62,AO:AO)+SUMIF(AQ:AQ,$Q62,AS:AS)+SUMIF(BG:BG,$Q62,BI:BI)+SUMIF(BK:BK,$Q62,BM:BM)</f>
        <v>#VALUE!</v>
      </c>
      <c r="V62" s="264" t="e">
        <f aca="false">SUMIF(AU:AU,$Q62,AW:AW)</f>
        <v>#VALUE!</v>
      </c>
      <c r="W62" s="264" t="e">
        <f aca="false">SUMIF(AU:AU,$Q62,AX:AX)</f>
        <v>#VALUE!</v>
      </c>
      <c r="X62" s="264" t="e">
        <f aca="false">SUMIF(BP:BP,$Q62,BR:BR)</f>
        <v>#VALUE!</v>
      </c>
      <c r="Y62" s="266" t="e">
        <f aca="false">SUMIF(BP:BP,$Q62,BS:BS)</f>
        <v>#VALUE!</v>
      </c>
      <c r="Z62" s="264" t="e">
        <f aca="false">SUMIF(BU:BU,$Q62,BX:BX)+SUMIF(BZ:BZ,$Q62,CC:CC)</f>
        <v>#VALUE!</v>
      </c>
      <c r="AB62" s="320" t="e">
        <f aca="false">Q62</f>
        <v>#VALUE!</v>
      </c>
      <c r="AC62" s="321" t="e">
        <f aca="false">VLOOKUP(AB62,CE63:CK168,7,FALSE())</f>
        <v>#VALUE!</v>
      </c>
      <c r="AD62" s="264" t="e">
        <f aca="false">VLOOKUP(AB62,CE63:CJ168,3,FALSE())</f>
        <v>#VALUE!</v>
      </c>
      <c r="AE62" s="264" t="e">
        <f aca="false">VLOOKUP(AB62,CE63:CJ168,2,FALSE())</f>
        <v>#VALUE!</v>
      </c>
      <c r="AF62" s="264" t="e">
        <f aca="false">VLOOKUP(AB62,CE63:CJ168,4,FALSE())</f>
        <v>#VALUE!</v>
      </c>
      <c r="AG62" s="264" t="e">
        <f aca="false">VLOOKUP(AB62,CE63:CJ168,5,FALSE())</f>
        <v>#VALUE!</v>
      </c>
      <c r="AH62" s="264" t="e">
        <f aca="false">VLOOKUP(AB62,CE63:CJ168,6,FALSE())</f>
        <v>#VALUE!</v>
      </c>
      <c r="AI62" s="264" t="e">
        <f aca="false">VLOOKUP(AB62,CE63:CM168,8,FALSE())</f>
        <v>#VALUE!</v>
      </c>
      <c r="AJ62" s="266" t="e">
        <f aca="false">VLOOKUP(AB62,CE63:CM168,9,FALSE())</f>
        <v>#VALUE!</v>
      </c>
      <c r="AK62" s="264" t="e">
        <f aca="false">VLOOKUP(AB62,CE63:CN168,10,FALSE())</f>
        <v>#VALUE!</v>
      </c>
      <c r="AM62" s="322" t="e">
        <f aca="false">LongTerm1!D67</f>
        <v>#VALUE!</v>
      </c>
      <c r="AN62" s="323" t="e">
        <f aca="false">(LongTerm1!BM67+LongTerm1!BL67/(1-LongTerm1!AR67))*(LongTerm1!F67*LongTerm1!AF67*LongTerm1!AH67)/10000</f>
        <v>#VALUE!</v>
      </c>
      <c r="AO62" s="323" t="e">
        <f aca="false">LongTerm1!BM67*(LongTerm1!F67*LongTerm1!AF67*LongTerm1!AH67)/10000</f>
        <v>#VALUE!</v>
      </c>
      <c r="AP62" s="323" t="e">
        <f aca="false">(LongTerm1!BL67/(1-LongTerm1!AR67))*(LongTerm1!F67*LongTerm1!AF67*LongTerm1!AH67)/10000</f>
        <v>#VALUE!</v>
      </c>
      <c r="AQ62" s="324"/>
      <c r="AV62" s="319"/>
      <c r="AW62" s="319"/>
      <c r="AX62" s="319"/>
      <c r="AY62" s="319"/>
      <c r="AZ62" s="319"/>
      <c r="BA62" s="319"/>
      <c r="BB62" s="319"/>
      <c r="BC62" s="319"/>
      <c r="BD62" s="319"/>
      <c r="BE62" s="319"/>
      <c r="BF62" s="319"/>
      <c r="BG62" s="322" t="e">
        <f aca="false">LongTerm25!D67</f>
        <v>#VALUE!</v>
      </c>
      <c r="BH62" s="323" t="e">
        <f aca="false">(LongTerm25!BM67+LongTerm25!BL67/(1-LongTerm25!AR67))*(LongTerm25!F67*LongTerm25!AF67*LongTerm25!AH67)/10000</f>
        <v>#VALUE!</v>
      </c>
      <c r="BI62" s="323" t="e">
        <f aca="false">LongTerm25!BM67*(LongTerm25!F67*LongTerm25!AF67*LongTerm25!AH67)/10000</f>
        <v>#VALUE!</v>
      </c>
      <c r="BJ62" s="323" t="e">
        <f aca="false">(LongTerm25!BL67/(1-LongTerm25!AR67))*(LongTerm25!F67*LongTerm25!AF67*LongTerm25!AH67)/10000</f>
        <v>#VALUE!</v>
      </c>
      <c r="BK62" s="319"/>
      <c r="BL62" s="319"/>
      <c r="BM62" s="319"/>
      <c r="BN62" s="319"/>
      <c r="BP62" s="325" t="e">
        <f aca="false">LongTerm62!D67</f>
        <v>#VALUE!</v>
      </c>
      <c r="BQ62" s="323" t="e">
        <f aca="false">(LongTerm62!$BM67+LongTerm62!$BL67/(1-LongTerm62!$AR67))*(LongTerm62!$F67*LongTerm62!$AF67*LongTerm62!$AH67)/10000</f>
        <v>#VALUE!</v>
      </c>
      <c r="BR62" s="323" t="e">
        <f aca="false">LongTerm62!$BM67*(LongTerm62!$F67*LongTerm62!$AF67*LongTerm62!$AH67)/10000</f>
        <v>#VALUE!</v>
      </c>
      <c r="BS62" s="323" t="e">
        <f aca="false">(LongTerm62!$BL67/(1-LongTerm62!$AR67))*(LongTerm62!$F67*LongTerm62!$AF67*LongTerm62!$AH67)/10000</f>
        <v>#VALUE!</v>
      </c>
      <c r="BT62" s="265"/>
      <c r="BU62" s="325" t="e">
        <f aca="false">LongTerm107!D67</f>
        <v>#VALUE!</v>
      </c>
      <c r="BV62" s="323" t="e">
        <f aca="false">(LongTerm107!$BM67+LongTerm107!$BL67/(1-LongTerm107!$AR67))*(LongTerm107!$F67*LongTerm107!$AF67*LongTerm107!$AH67)/10000</f>
        <v>#VALUE!</v>
      </c>
      <c r="BW62" s="323" t="e">
        <f aca="false">LongTerm107!$BM67*(LongTerm107!$F67*LongTerm107!$AF67*LongTerm107!$AH67)/10000</f>
        <v>#VALUE!</v>
      </c>
      <c r="BX62" s="323" t="e">
        <f aca="false">(LongTerm107!$BL67/(1-LongTerm107!$AR67))*(LongTerm107!$F67*LongTerm107!$AF67*LongTerm107!$AH67)/10000</f>
        <v>#VALUE!</v>
      </c>
      <c r="BY62" s="326"/>
      <c r="BZ62" s="325" t="e">
        <f aca="false">LongTerm108!D67</f>
        <v>#VALUE!</v>
      </c>
      <c r="CA62" s="323" t="e">
        <f aca="false">(LongTerm108!$BM67+LongTerm108!$BL67/(1-LongTerm108!$AR67))*(LongTerm108!$F67*LongTerm108!$AF67*LongTerm108!$AH67)/10000</f>
        <v>#VALUE!</v>
      </c>
      <c r="CB62" s="323" t="e">
        <f aca="false">LongTerm108!$BM67*(LongTerm108!$F67*LongTerm108!$AF67*LongTerm108!$AH67)/10000</f>
        <v>#VALUE!</v>
      </c>
      <c r="CC62" s="323" t="e">
        <f aca="false">(LongTerm108!$BL67/(1-LongTerm108!$AR67))*(LongTerm108!$F67*LongTerm108!$AF67*LongTerm108!$AH67)/10000</f>
        <v>#VALUE!</v>
      </c>
      <c r="CD62" s="332"/>
      <c r="CE62" s="333" t="n">
        <f aca="false">EOMONTH(CE61,0)+15</f>
        <v>38398</v>
      </c>
      <c r="CF62" s="337" t="n">
        <v>23.9</v>
      </c>
      <c r="CG62" s="337" t="n">
        <v>89.3</v>
      </c>
      <c r="CH62" s="337" t="n">
        <v>-115.8</v>
      </c>
      <c r="CI62" s="337" t="n">
        <v>0</v>
      </c>
      <c r="CJ62" s="337" t="n">
        <v>0</v>
      </c>
      <c r="CK62" s="337" t="n">
        <v>1.2</v>
      </c>
      <c r="CL62" s="337" t="n">
        <v>-11.5</v>
      </c>
      <c r="CM62" s="337" t="n">
        <v>11.5</v>
      </c>
      <c r="CN62" s="337" t="n">
        <v>0</v>
      </c>
    </row>
    <row r="63" customFormat="false" ht="12.75" hidden="false" customHeight="false" outlineLevel="0" collapsed="false">
      <c r="B63" s="320" t="e">
        <f aca="false">Q63</f>
        <v>#VALUE!</v>
      </c>
      <c r="C63" s="319" t="e">
        <f aca="false">YEAR(B63)</f>
        <v>#VALUE!</v>
      </c>
      <c r="D63" s="266" t="e">
        <f aca="false">R63+AC63</f>
        <v>#VALUE!</v>
      </c>
      <c r="E63" s="266" t="e">
        <f aca="false">S63+AD63</f>
        <v>#VALUE!</v>
      </c>
      <c r="F63" s="266" t="e">
        <f aca="false">+T63+AE63</f>
        <v>#VALUE!</v>
      </c>
      <c r="G63" s="266" t="e">
        <f aca="false">+U63+AF63</f>
        <v>#VALUE!</v>
      </c>
      <c r="H63" s="266" t="e">
        <f aca="false">V63+AG63</f>
        <v>#VALUE!</v>
      </c>
      <c r="I63" s="266" t="e">
        <f aca="false">W63+AH63</f>
        <v>#VALUE!</v>
      </c>
      <c r="J63" s="265"/>
      <c r="K63" s="265"/>
      <c r="L63" s="265"/>
      <c r="M63" s="266" t="e">
        <f aca="false">X63+AI63</f>
        <v>#VALUE!</v>
      </c>
      <c r="N63" s="264" t="e">
        <f aca="false">Y63+AJ63</f>
        <v>#VALUE!</v>
      </c>
      <c r="O63" s="264" t="e">
        <f aca="false">Z63+AK63</f>
        <v>#VALUE!</v>
      </c>
      <c r="Q63" s="320" t="e">
        <f aca="false">EOMONTH(Q62,0)+15</f>
        <v>#VALUE!</v>
      </c>
      <c r="R63" s="266" t="e">
        <f aca="false">SUMIF(AM:AM,$Q63,AN:AN)+SUMIF(AQ:AQ,$Q63,AR:AR)+SUMIF(AU:AU,$Q63,AV:AV)+SUMIF(BU:BU,$Q63,BV:BV)+SUMIF(BZ:BZ,$Q63,CA:CA)+SUMIF(BG:BG,$Q63,BH:BH)+SUMIF(BK:BK,$Q63,BL:BL)+SUMIF(BP:BP,$Q63,BQ:BQ)</f>
        <v>#VALUE!</v>
      </c>
      <c r="S63" s="264" t="e">
        <f aca="false">SUMIF(AM:AM,$Q63,AP:AP)+SUMIF(BU:BU,$Q63,BW:BW)+SUMIF(BZ:BZ,$Q63,CB:CB)</f>
        <v>#VALUE!</v>
      </c>
      <c r="T63" s="264" t="e">
        <f aca="false">SUMIF(AQ:AQ,$Q63,AT:AT)+SUMIF(BG:BG,$Q63,BJ:BJ)+SUMIF(BK:BK,$Q63,BN:BN)</f>
        <v>#VALUE!</v>
      </c>
      <c r="U63" s="264" t="e">
        <f aca="false">SUMIF(AM:AM,$Q63,AO:AO)+SUMIF(AQ:AQ,$Q63,AS:AS)+SUMIF(BG:BG,$Q63,BI:BI)+SUMIF(BK:BK,$Q63,BM:BM)</f>
        <v>#VALUE!</v>
      </c>
      <c r="V63" s="264" t="e">
        <f aca="false">SUMIF(AU:AU,$Q63,AW:AW)</f>
        <v>#VALUE!</v>
      </c>
      <c r="W63" s="264" t="e">
        <f aca="false">SUMIF(AU:AU,$Q63,AX:AX)</f>
        <v>#VALUE!</v>
      </c>
      <c r="X63" s="264" t="e">
        <f aca="false">SUMIF(BP:BP,$Q63,BR:BR)</f>
        <v>#VALUE!</v>
      </c>
      <c r="Y63" s="266" t="e">
        <f aca="false">SUMIF(BP:BP,$Q63,BS:BS)</f>
        <v>#VALUE!</v>
      </c>
      <c r="Z63" s="264" t="e">
        <f aca="false">SUMIF(BU:BU,$Q63,BX:BX)+SUMIF(BZ:BZ,$Q63,CC:CC)</f>
        <v>#VALUE!</v>
      </c>
      <c r="AB63" s="320" t="e">
        <f aca="false">Q63</f>
        <v>#VALUE!</v>
      </c>
      <c r="AC63" s="321" t="e">
        <f aca="false">VLOOKUP(AB63,CE64:CK169,7,FALSE())</f>
        <v>#VALUE!</v>
      </c>
      <c r="AD63" s="264" t="e">
        <f aca="false">VLOOKUP(AB63,CE64:CJ169,3,FALSE())</f>
        <v>#VALUE!</v>
      </c>
      <c r="AE63" s="264" t="e">
        <f aca="false">VLOOKUP(AB63,CE64:CJ169,2,FALSE())</f>
        <v>#VALUE!</v>
      </c>
      <c r="AF63" s="264" t="e">
        <f aca="false">VLOOKUP(AB63,CE64:CJ169,4,FALSE())</f>
        <v>#VALUE!</v>
      </c>
      <c r="AG63" s="264" t="e">
        <f aca="false">VLOOKUP(AB63,CE64:CJ169,5,FALSE())</f>
        <v>#VALUE!</v>
      </c>
      <c r="AH63" s="264" t="e">
        <f aca="false">VLOOKUP(AB63,CE64:CJ169,6,FALSE())</f>
        <v>#VALUE!</v>
      </c>
      <c r="AI63" s="264" t="e">
        <f aca="false">VLOOKUP(AB63,CE64:CM169,8,FALSE())</f>
        <v>#VALUE!</v>
      </c>
      <c r="AJ63" s="266" t="e">
        <f aca="false">VLOOKUP(AB63,CE64:CM169,9,FALSE())</f>
        <v>#VALUE!</v>
      </c>
      <c r="AK63" s="264" t="e">
        <f aca="false">VLOOKUP(AB63,CE64:CN169,10,FALSE())</f>
        <v>#VALUE!</v>
      </c>
      <c r="AM63" s="322" t="e">
        <f aca="false">LongTerm1!D68</f>
        <v>#VALUE!</v>
      </c>
      <c r="AN63" s="323" t="e">
        <f aca="false">(LongTerm1!BM68+LongTerm1!BL68/(1-LongTerm1!AR68))*(LongTerm1!F68*LongTerm1!AF68*LongTerm1!AH68)/10000</f>
        <v>#VALUE!</v>
      </c>
      <c r="AO63" s="323" t="e">
        <f aca="false">LongTerm1!BM68*(LongTerm1!F68*LongTerm1!AF68*LongTerm1!AH68)/10000</f>
        <v>#VALUE!</v>
      </c>
      <c r="AP63" s="323" t="e">
        <f aca="false">(LongTerm1!BL68/(1-LongTerm1!AR68))*(LongTerm1!F68*LongTerm1!AF68*LongTerm1!AH68)/10000</f>
        <v>#VALUE!</v>
      </c>
      <c r="AQ63" s="324"/>
      <c r="AV63" s="319"/>
      <c r="AW63" s="319"/>
      <c r="AX63" s="319"/>
      <c r="AY63" s="319"/>
      <c r="AZ63" s="319"/>
      <c r="BA63" s="319"/>
      <c r="BB63" s="319"/>
      <c r="BC63" s="319"/>
      <c r="BD63" s="319"/>
      <c r="BE63" s="319"/>
      <c r="BF63" s="319"/>
      <c r="BG63" s="322" t="e">
        <f aca="false">LongTerm25!D68</f>
        <v>#VALUE!</v>
      </c>
      <c r="BH63" s="323" t="e">
        <f aca="false">(LongTerm25!BM68+LongTerm25!BL68/(1-LongTerm25!AR68))*(LongTerm25!F68*LongTerm25!AF68*LongTerm25!AH68)/10000</f>
        <v>#VALUE!</v>
      </c>
      <c r="BI63" s="323" t="e">
        <f aca="false">LongTerm25!BM68*(LongTerm25!F68*LongTerm25!AF68*LongTerm25!AH68)/10000</f>
        <v>#VALUE!</v>
      </c>
      <c r="BJ63" s="323" t="e">
        <f aca="false">(LongTerm25!BL68/(1-LongTerm25!AR68))*(LongTerm25!F68*LongTerm25!AF68*LongTerm25!AH68)/10000</f>
        <v>#VALUE!</v>
      </c>
      <c r="BK63" s="319"/>
      <c r="BL63" s="319"/>
      <c r="BM63" s="319"/>
      <c r="BN63" s="319"/>
      <c r="BP63" s="325" t="e">
        <f aca="false">LongTerm62!D68</f>
        <v>#VALUE!</v>
      </c>
      <c r="BQ63" s="323" t="e">
        <f aca="false">(LongTerm62!$BM68+LongTerm62!$BL68/(1-LongTerm62!$AR68))*(LongTerm62!$F68*LongTerm62!$AF68*LongTerm62!$AH68)/10000</f>
        <v>#VALUE!</v>
      </c>
      <c r="BR63" s="323" t="e">
        <f aca="false">LongTerm62!$BM68*(LongTerm62!$F68*LongTerm62!$AF68*LongTerm62!$AH68)/10000</f>
        <v>#VALUE!</v>
      </c>
      <c r="BS63" s="323" t="e">
        <f aca="false">(LongTerm62!$BL68/(1-LongTerm62!$AR68))*(LongTerm62!$F68*LongTerm62!$AF68*LongTerm62!$AH68)/10000</f>
        <v>#VALUE!</v>
      </c>
      <c r="BT63" s="265"/>
      <c r="BU63" s="325" t="e">
        <f aca="false">LongTerm107!D68</f>
        <v>#VALUE!</v>
      </c>
      <c r="BV63" s="323" t="e">
        <f aca="false">(LongTerm107!$BM68+LongTerm107!$BL68/(1-LongTerm107!$AR68))*(LongTerm107!$F68*LongTerm107!$AF68*LongTerm107!$AH68)/10000</f>
        <v>#VALUE!</v>
      </c>
      <c r="BW63" s="323" t="e">
        <f aca="false">LongTerm107!$BM68*(LongTerm107!$F68*LongTerm107!$AF68*LongTerm107!$AH68)/10000</f>
        <v>#VALUE!</v>
      </c>
      <c r="BX63" s="323" t="e">
        <f aca="false">(LongTerm107!$BL68/(1-LongTerm107!$AR68))*(LongTerm107!$F68*LongTerm107!$AF68*LongTerm107!$AH68)/10000</f>
        <v>#VALUE!</v>
      </c>
      <c r="BY63" s="326"/>
      <c r="BZ63" s="325" t="e">
        <f aca="false">LongTerm108!D68</f>
        <v>#VALUE!</v>
      </c>
      <c r="CA63" s="323" t="e">
        <f aca="false">(LongTerm108!$BM68+LongTerm108!$BL68/(1-LongTerm108!$AR68))*(LongTerm108!$F68*LongTerm108!$AF68*LongTerm108!$AH68)/10000</f>
        <v>#VALUE!</v>
      </c>
      <c r="CB63" s="323" t="e">
        <f aca="false">LongTerm108!$BM68*(LongTerm108!$F68*LongTerm108!$AF68*LongTerm108!$AH68)/10000</f>
        <v>#VALUE!</v>
      </c>
      <c r="CC63" s="323" t="e">
        <f aca="false">(LongTerm108!$BL68/(1-LongTerm108!$AR68))*(LongTerm108!$F68*LongTerm108!$AF68*LongTerm108!$AH68)/10000</f>
        <v>#VALUE!</v>
      </c>
      <c r="CD63" s="332"/>
      <c r="CE63" s="333" t="n">
        <f aca="false">EOMONTH(CE62,0)+15</f>
        <v>38426</v>
      </c>
      <c r="CF63" s="337" t="n">
        <v>26.2</v>
      </c>
      <c r="CG63" s="337" t="n">
        <v>111</v>
      </c>
      <c r="CH63" s="337" t="n">
        <v>-138.5</v>
      </c>
      <c r="CI63" s="337" t="n">
        <v>0</v>
      </c>
      <c r="CJ63" s="337" t="n">
        <v>0</v>
      </c>
      <c r="CK63" s="337" t="n">
        <v>1.2</v>
      </c>
      <c r="CL63" s="337" t="n">
        <v>-12.6</v>
      </c>
      <c r="CM63" s="337" t="n">
        <v>12.6</v>
      </c>
      <c r="CN63" s="337" t="n">
        <v>0</v>
      </c>
    </row>
    <row r="64" customFormat="false" ht="12.75" hidden="false" customHeight="false" outlineLevel="0" collapsed="false">
      <c r="B64" s="320" t="e">
        <f aca="false">Q64</f>
        <v>#VALUE!</v>
      </c>
      <c r="C64" s="319" t="e">
        <f aca="false">YEAR(B64)</f>
        <v>#VALUE!</v>
      </c>
      <c r="D64" s="266" t="e">
        <f aca="false">R64+AC64</f>
        <v>#VALUE!</v>
      </c>
      <c r="E64" s="266" t="e">
        <f aca="false">S64+AD64</f>
        <v>#VALUE!</v>
      </c>
      <c r="F64" s="266" t="e">
        <f aca="false">+T64+AE64</f>
        <v>#VALUE!</v>
      </c>
      <c r="G64" s="266" t="e">
        <f aca="false">+U64+AF64</f>
        <v>#VALUE!</v>
      </c>
      <c r="H64" s="266" t="e">
        <f aca="false">V64+AG64</f>
        <v>#VALUE!</v>
      </c>
      <c r="I64" s="266" t="e">
        <f aca="false">W64+AH64</f>
        <v>#VALUE!</v>
      </c>
      <c r="J64" s="265"/>
      <c r="K64" s="265"/>
      <c r="L64" s="265"/>
      <c r="M64" s="266" t="e">
        <f aca="false">X64+AI64</f>
        <v>#VALUE!</v>
      </c>
      <c r="N64" s="264" t="e">
        <f aca="false">Y64+AJ64</f>
        <v>#VALUE!</v>
      </c>
      <c r="O64" s="264" t="e">
        <f aca="false">Z64+AK64</f>
        <v>#VALUE!</v>
      </c>
      <c r="Q64" s="320" t="e">
        <f aca="false">EOMONTH(Q63,0)+15</f>
        <v>#VALUE!</v>
      </c>
      <c r="R64" s="266" t="e">
        <f aca="false">SUMIF(AM:AM,$Q64,AN:AN)+SUMIF(AQ:AQ,$Q64,AR:AR)+SUMIF(AU:AU,$Q64,AV:AV)+SUMIF(BU:BU,$Q64,BV:BV)+SUMIF(BZ:BZ,$Q64,CA:CA)+SUMIF(BG:BG,$Q64,BH:BH)+SUMIF(BK:BK,$Q64,BL:BL)+SUMIF(BP:BP,$Q64,BQ:BQ)</f>
        <v>#VALUE!</v>
      </c>
      <c r="S64" s="264" t="e">
        <f aca="false">SUMIF(AM:AM,$Q64,AP:AP)+SUMIF(BU:BU,$Q64,BW:BW)+SUMIF(BZ:BZ,$Q64,CB:CB)</f>
        <v>#VALUE!</v>
      </c>
      <c r="T64" s="264" t="e">
        <f aca="false">SUMIF(AQ:AQ,$Q64,AT:AT)+SUMIF(BG:BG,$Q64,BJ:BJ)+SUMIF(BK:BK,$Q64,BN:BN)</f>
        <v>#VALUE!</v>
      </c>
      <c r="U64" s="264" t="e">
        <f aca="false">SUMIF(AM:AM,$Q64,AO:AO)+SUMIF(AQ:AQ,$Q64,AS:AS)+SUMIF(BG:BG,$Q64,BI:BI)+SUMIF(BK:BK,$Q64,BM:BM)</f>
        <v>#VALUE!</v>
      </c>
      <c r="V64" s="264" t="e">
        <f aca="false">SUMIF(AU:AU,$Q64,AW:AW)</f>
        <v>#VALUE!</v>
      </c>
      <c r="W64" s="264" t="e">
        <f aca="false">SUMIF(AU:AU,$Q64,AX:AX)</f>
        <v>#VALUE!</v>
      </c>
      <c r="X64" s="264" t="e">
        <f aca="false">SUMIF(BP:BP,$Q64,BR:BR)</f>
        <v>#VALUE!</v>
      </c>
      <c r="Y64" s="266" t="e">
        <f aca="false">SUMIF(BP:BP,$Q64,BS:BS)</f>
        <v>#VALUE!</v>
      </c>
      <c r="Z64" s="264" t="e">
        <f aca="false">SUMIF(BU:BU,$Q64,BX:BX)+SUMIF(BZ:BZ,$Q64,CC:CC)</f>
        <v>#VALUE!</v>
      </c>
      <c r="AB64" s="320" t="e">
        <f aca="false">Q64</f>
        <v>#VALUE!</v>
      </c>
      <c r="AC64" s="321" t="e">
        <f aca="false">VLOOKUP(AB64,CE65:CK170,7,FALSE())</f>
        <v>#VALUE!</v>
      </c>
      <c r="AD64" s="264" t="e">
        <f aca="false">VLOOKUP(AB64,CE65:CJ170,3,FALSE())</f>
        <v>#VALUE!</v>
      </c>
      <c r="AE64" s="264" t="e">
        <f aca="false">VLOOKUP(AB64,CE65:CJ170,2,FALSE())</f>
        <v>#VALUE!</v>
      </c>
      <c r="AF64" s="264" t="e">
        <f aca="false">VLOOKUP(AB64,CE65:CJ170,4,FALSE())</f>
        <v>#VALUE!</v>
      </c>
      <c r="AG64" s="264" t="e">
        <f aca="false">VLOOKUP(AB64,CE65:CJ170,5,FALSE())</f>
        <v>#VALUE!</v>
      </c>
      <c r="AH64" s="264" t="e">
        <f aca="false">VLOOKUP(AB64,CE65:CJ170,6,FALSE())</f>
        <v>#VALUE!</v>
      </c>
      <c r="AI64" s="264" t="e">
        <f aca="false">VLOOKUP(AB64,CE65:CM170,8,FALSE())</f>
        <v>#VALUE!</v>
      </c>
      <c r="AJ64" s="266" t="e">
        <f aca="false">VLOOKUP(AB64,CE65:CM170,9,FALSE())</f>
        <v>#VALUE!</v>
      </c>
      <c r="AK64" s="264" t="e">
        <f aca="false">VLOOKUP(AB64,CE65:CN170,10,FALSE())</f>
        <v>#VALUE!</v>
      </c>
      <c r="AM64" s="322" t="e">
        <f aca="false">LongTerm1!D69</f>
        <v>#VALUE!</v>
      </c>
      <c r="AN64" s="323" t="e">
        <f aca="false">(LongTerm1!BM69+LongTerm1!BL69/(1-LongTerm1!AR69))*(LongTerm1!F69*LongTerm1!AF69*LongTerm1!AH69)/10000</f>
        <v>#VALUE!</v>
      </c>
      <c r="AO64" s="323" t="e">
        <f aca="false">LongTerm1!BM69*(LongTerm1!F69*LongTerm1!AF69*LongTerm1!AH69)/10000</f>
        <v>#VALUE!</v>
      </c>
      <c r="AP64" s="323" t="e">
        <f aca="false">(LongTerm1!BL69/(1-LongTerm1!AR69))*(LongTerm1!F69*LongTerm1!AF69*LongTerm1!AH69)/10000</f>
        <v>#VALUE!</v>
      </c>
      <c r="AQ64" s="324"/>
      <c r="AV64" s="319"/>
      <c r="AW64" s="319"/>
      <c r="AX64" s="319"/>
      <c r="AY64" s="319"/>
      <c r="AZ64" s="319"/>
      <c r="BA64" s="319"/>
      <c r="BB64" s="319"/>
      <c r="BC64" s="319"/>
      <c r="BD64" s="319"/>
      <c r="BE64" s="319"/>
      <c r="BF64" s="319"/>
      <c r="BG64" s="322" t="e">
        <f aca="false">LongTerm25!D69</f>
        <v>#VALUE!</v>
      </c>
      <c r="BH64" s="323" t="e">
        <f aca="false">(LongTerm25!BM69+LongTerm25!BL69/(1-LongTerm25!AR69))*(LongTerm25!F69*LongTerm25!AF69*LongTerm25!AH69)/10000</f>
        <v>#VALUE!</v>
      </c>
      <c r="BI64" s="323" t="e">
        <f aca="false">LongTerm25!BM69*(LongTerm25!F69*LongTerm25!AF69*LongTerm25!AH69)/10000</f>
        <v>#VALUE!</v>
      </c>
      <c r="BJ64" s="323" t="e">
        <f aca="false">(LongTerm25!BL69/(1-LongTerm25!AR69))*(LongTerm25!F69*LongTerm25!AF69*LongTerm25!AH69)/10000</f>
        <v>#VALUE!</v>
      </c>
      <c r="BK64" s="319"/>
      <c r="BL64" s="319"/>
      <c r="BM64" s="319"/>
      <c r="BN64" s="319"/>
      <c r="BP64" s="325" t="e">
        <f aca="false">LongTerm62!D69</f>
        <v>#VALUE!</v>
      </c>
      <c r="BQ64" s="323" t="e">
        <f aca="false">(LongTerm62!$BM69+LongTerm62!$BL69/(1-LongTerm62!$AR69))*(LongTerm62!$F69*LongTerm62!$AF69*LongTerm62!$AH69)/10000</f>
        <v>#VALUE!</v>
      </c>
      <c r="BR64" s="323" t="e">
        <f aca="false">LongTerm62!$BM69*(LongTerm62!$F69*LongTerm62!$AF69*LongTerm62!$AH69)/10000</f>
        <v>#VALUE!</v>
      </c>
      <c r="BS64" s="323" t="e">
        <f aca="false">(LongTerm62!$BL69/(1-LongTerm62!$AR69))*(LongTerm62!$F69*LongTerm62!$AF69*LongTerm62!$AH69)/10000</f>
        <v>#VALUE!</v>
      </c>
      <c r="BT64" s="265"/>
      <c r="BU64" s="325" t="e">
        <f aca="false">LongTerm107!D69</f>
        <v>#VALUE!</v>
      </c>
      <c r="BV64" s="323" t="e">
        <f aca="false">(LongTerm107!$BM69+LongTerm107!$BL69/(1-LongTerm107!$AR69))*(LongTerm107!$F69*LongTerm107!$AF69*LongTerm107!$AH69)/10000</f>
        <v>#VALUE!</v>
      </c>
      <c r="BW64" s="323" t="e">
        <f aca="false">LongTerm107!$BM69*(LongTerm107!$F69*LongTerm107!$AF69*LongTerm107!$AH69)/10000</f>
        <v>#VALUE!</v>
      </c>
      <c r="BX64" s="323" t="e">
        <f aca="false">(LongTerm107!$BL69/(1-LongTerm107!$AR69))*(LongTerm107!$F69*LongTerm107!$AF69*LongTerm107!$AH69)/10000</f>
        <v>#VALUE!</v>
      </c>
      <c r="BY64" s="326"/>
      <c r="BZ64" s="325" t="e">
        <f aca="false">LongTerm108!D69</f>
        <v>#VALUE!</v>
      </c>
      <c r="CA64" s="323" t="e">
        <f aca="false">(LongTerm108!$BM69+LongTerm108!$BL69/(1-LongTerm108!$AR69))*(LongTerm108!$F69*LongTerm108!$AF69*LongTerm108!$AH69)/10000</f>
        <v>#VALUE!</v>
      </c>
      <c r="CB64" s="323" t="e">
        <f aca="false">LongTerm108!$BM69*(LongTerm108!$F69*LongTerm108!$AF69*LongTerm108!$AH69)/10000</f>
        <v>#VALUE!</v>
      </c>
      <c r="CC64" s="323" t="e">
        <f aca="false">(LongTerm108!$BL69/(1-LongTerm108!$AR69))*(LongTerm108!$F69*LongTerm108!$AF69*LongTerm108!$AH69)/10000</f>
        <v>#VALUE!</v>
      </c>
      <c r="CD64" s="332"/>
      <c r="CE64" s="333" t="n">
        <f aca="false">EOMONTH(CE63,0)+15</f>
        <v>38457</v>
      </c>
      <c r="CF64" s="337" t="n">
        <v>24.7</v>
      </c>
      <c r="CG64" s="337" t="n">
        <v>142.9</v>
      </c>
      <c r="CH64" s="337" t="n">
        <v>-172.4</v>
      </c>
      <c r="CI64" s="337" t="n">
        <v>0</v>
      </c>
      <c r="CJ64" s="337" t="n">
        <v>0</v>
      </c>
      <c r="CK64" s="337" t="n">
        <v>1.2</v>
      </c>
      <c r="CL64" s="337" t="n">
        <v>0</v>
      </c>
      <c r="CM64" s="337" t="n">
        <v>0</v>
      </c>
      <c r="CN64" s="337" t="n">
        <v>0</v>
      </c>
    </row>
    <row r="65" customFormat="false" ht="12.75" hidden="false" customHeight="false" outlineLevel="0" collapsed="false">
      <c r="B65" s="320" t="e">
        <f aca="false">Q65</f>
        <v>#VALUE!</v>
      </c>
      <c r="C65" s="319" t="e">
        <f aca="false">YEAR(B65)</f>
        <v>#VALUE!</v>
      </c>
      <c r="D65" s="266" t="e">
        <f aca="false">R65+AC65</f>
        <v>#VALUE!</v>
      </c>
      <c r="E65" s="266" t="e">
        <f aca="false">S65+AD65</f>
        <v>#VALUE!</v>
      </c>
      <c r="F65" s="266" t="e">
        <f aca="false">+T65+AE65</f>
        <v>#VALUE!</v>
      </c>
      <c r="G65" s="266" t="e">
        <f aca="false">+U65+AF65</f>
        <v>#VALUE!</v>
      </c>
      <c r="H65" s="266" t="e">
        <f aca="false">V65+AG65</f>
        <v>#VALUE!</v>
      </c>
      <c r="I65" s="266" t="e">
        <f aca="false">W65+AH65</f>
        <v>#VALUE!</v>
      </c>
      <c r="J65" s="265"/>
      <c r="K65" s="265"/>
      <c r="L65" s="265"/>
      <c r="M65" s="266" t="e">
        <f aca="false">X65+AI65</f>
        <v>#VALUE!</v>
      </c>
      <c r="N65" s="264" t="e">
        <f aca="false">Y65+AJ65</f>
        <v>#VALUE!</v>
      </c>
      <c r="O65" s="264" t="e">
        <f aca="false">Z65+AK65</f>
        <v>#VALUE!</v>
      </c>
      <c r="Q65" s="320" t="e">
        <f aca="false">EOMONTH(Q64,0)+15</f>
        <v>#VALUE!</v>
      </c>
      <c r="R65" s="266" t="e">
        <f aca="false">SUMIF(AM:AM,$Q65,AN:AN)+SUMIF(AQ:AQ,$Q65,AR:AR)+SUMIF(AU:AU,$Q65,AV:AV)+SUMIF(BU:BU,$Q65,BV:BV)+SUMIF(BZ:BZ,$Q65,CA:CA)+SUMIF(BG:BG,$Q65,BH:BH)+SUMIF(BK:BK,$Q65,BL:BL)+SUMIF(BP:BP,$Q65,BQ:BQ)</f>
        <v>#VALUE!</v>
      </c>
      <c r="S65" s="264" t="e">
        <f aca="false">SUMIF(AM:AM,$Q65,AP:AP)+SUMIF(BU:BU,$Q65,BW:BW)+SUMIF(BZ:BZ,$Q65,CB:CB)</f>
        <v>#VALUE!</v>
      </c>
      <c r="T65" s="264" t="e">
        <f aca="false">SUMIF(AQ:AQ,$Q65,AT:AT)+SUMIF(BG:BG,$Q65,BJ:BJ)+SUMIF(BK:BK,$Q65,BN:BN)</f>
        <v>#VALUE!</v>
      </c>
      <c r="U65" s="264" t="e">
        <f aca="false">SUMIF(AM:AM,$Q65,AO:AO)+SUMIF(AQ:AQ,$Q65,AS:AS)+SUMIF(BG:BG,$Q65,BI:BI)+SUMIF(BK:BK,$Q65,BM:BM)</f>
        <v>#VALUE!</v>
      </c>
      <c r="V65" s="264" t="e">
        <f aca="false">SUMIF(AU:AU,$Q65,AW:AW)</f>
        <v>#VALUE!</v>
      </c>
      <c r="W65" s="264" t="e">
        <f aca="false">SUMIF(AU:AU,$Q65,AX:AX)</f>
        <v>#VALUE!</v>
      </c>
      <c r="X65" s="264" t="e">
        <f aca="false">SUMIF(BP:BP,$Q65,BR:BR)</f>
        <v>#VALUE!</v>
      </c>
      <c r="Y65" s="266" t="e">
        <f aca="false">SUMIF(BP:BP,$Q65,BS:BS)</f>
        <v>#VALUE!</v>
      </c>
      <c r="Z65" s="264" t="e">
        <f aca="false">SUMIF(BU:BU,$Q65,BX:BX)+SUMIF(BZ:BZ,$Q65,CC:CC)</f>
        <v>#VALUE!</v>
      </c>
      <c r="AB65" s="320" t="e">
        <f aca="false">Q65</f>
        <v>#VALUE!</v>
      </c>
      <c r="AC65" s="321" t="e">
        <f aca="false">VLOOKUP(AB65,CE66:CK171,7,FALSE())</f>
        <v>#VALUE!</v>
      </c>
      <c r="AD65" s="264" t="e">
        <f aca="false">VLOOKUP(AB65,CE66:CJ171,3,FALSE())</f>
        <v>#VALUE!</v>
      </c>
      <c r="AE65" s="264" t="e">
        <f aca="false">VLOOKUP(AB65,CE66:CJ171,2,FALSE())</f>
        <v>#VALUE!</v>
      </c>
      <c r="AF65" s="264" t="e">
        <f aca="false">VLOOKUP(AB65,CE66:CJ171,4,FALSE())</f>
        <v>#VALUE!</v>
      </c>
      <c r="AG65" s="264" t="e">
        <f aca="false">VLOOKUP(AB65,CE66:CJ171,5,FALSE())</f>
        <v>#VALUE!</v>
      </c>
      <c r="AH65" s="264" t="e">
        <f aca="false">VLOOKUP(AB65,CE66:CJ171,6,FALSE())</f>
        <v>#VALUE!</v>
      </c>
      <c r="AI65" s="264" t="e">
        <f aca="false">VLOOKUP(AB65,CE66:CM171,8,FALSE())</f>
        <v>#VALUE!</v>
      </c>
      <c r="AJ65" s="266" t="e">
        <f aca="false">VLOOKUP(AB65,CE66:CM171,9,FALSE())</f>
        <v>#VALUE!</v>
      </c>
      <c r="AK65" s="264" t="e">
        <f aca="false">VLOOKUP(AB65,CE66:CN171,10,FALSE())</f>
        <v>#VALUE!</v>
      </c>
      <c r="AM65" s="322" t="e">
        <f aca="false">LongTerm1!D70</f>
        <v>#VALUE!</v>
      </c>
      <c r="AN65" s="323" t="e">
        <f aca="false">(LongTerm1!BM70+LongTerm1!BL70/(1-LongTerm1!AR70))*(LongTerm1!F70*LongTerm1!AF70*LongTerm1!AH70)/10000</f>
        <v>#VALUE!</v>
      </c>
      <c r="AO65" s="323" t="e">
        <f aca="false">LongTerm1!BM70*(LongTerm1!F70*LongTerm1!AF70*LongTerm1!AH70)/10000</f>
        <v>#VALUE!</v>
      </c>
      <c r="AP65" s="323" t="e">
        <f aca="false">(LongTerm1!BL70/(1-LongTerm1!AR70))*(LongTerm1!F70*LongTerm1!AF70*LongTerm1!AH70)/10000</f>
        <v>#VALUE!</v>
      </c>
      <c r="AQ65" s="324"/>
      <c r="AV65" s="319"/>
      <c r="AW65" s="319"/>
      <c r="AX65" s="319"/>
      <c r="AY65" s="319"/>
      <c r="AZ65" s="319"/>
      <c r="BA65" s="319"/>
      <c r="BB65" s="319"/>
      <c r="BC65" s="319"/>
      <c r="BD65" s="319"/>
      <c r="BE65" s="319"/>
      <c r="BF65" s="319"/>
      <c r="BG65" s="322" t="e">
        <f aca="false">LongTerm25!D70</f>
        <v>#VALUE!</v>
      </c>
      <c r="BH65" s="323" t="e">
        <f aca="false">(LongTerm25!BM70+LongTerm25!BL70/(1-LongTerm25!AR70))*(LongTerm25!F70*LongTerm25!AF70*LongTerm25!AH70)/10000</f>
        <v>#VALUE!</v>
      </c>
      <c r="BI65" s="323" t="e">
        <f aca="false">LongTerm25!BM70*(LongTerm25!F70*LongTerm25!AF70*LongTerm25!AH70)/10000</f>
        <v>#VALUE!</v>
      </c>
      <c r="BJ65" s="323" t="e">
        <f aca="false">(LongTerm25!BL70/(1-LongTerm25!AR70))*(LongTerm25!F70*LongTerm25!AF70*LongTerm25!AH70)/10000</f>
        <v>#VALUE!</v>
      </c>
      <c r="BK65" s="319"/>
      <c r="BL65" s="319"/>
      <c r="BM65" s="319"/>
      <c r="BN65" s="319"/>
      <c r="BP65" s="325" t="e">
        <f aca="false">LongTerm62!D70</f>
        <v>#VALUE!</v>
      </c>
      <c r="BQ65" s="323" t="e">
        <f aca="false">(LongTerm62!$BM70+LongTerm62!$BL70/(1-LongTerm62!$AR70))*(LongTerm62!$F70*LongTerm62!$AF70*LongTerm62!$AH70)/10000</f>
        <v>#VALUE!</v>
      </c>
      <c r="BR65" s="323" t="e">
        <f aca="false">LongTerm62!$BM70*(LongTerm62!$F70*LongTerm62!$AF70*LongTerm62!$AH70)/10000</f>
        <v>#VALUE!</v>
      </c>
      <c r="BS65" s="323" t="e">
        <f aca="false">(LongTerm62!$BL70/(1-LongTerm62!$AR70))*(LongTerm62!$F70*LongTerm62!$AF70*LongTerm62!$AH70)/10000</f>
        <v>#VALUE!</v>
      </c>
      <c r="BT65" s="265"/>
      <c r="BU65" s="325" t="e">
        <f aca="false">LongTerm107!D70</f>
        <v>#VALUE!</v>
      </c>
      <c r="BV65" s="323" t="e">
        <f aca="false">(LongTerm107!$BM70+LongTerm107!$BL70/(1-LongTerm107!$AR70))*(LongTerm107!$F70*LongTerm107!$AF70*LongTerm107!$AH70)/10000</f>
        <v>#VALUE!</v>
      </c>
      <c r="BW65" s="323" t="e">
        <f aca="false">LongTerm107!$BM70*(LongTerm107!$F70*LongTerm107!$AF70*LongTerm107!$AH70)/10000</f>
        <v>#VALUE!</v>
      </c>
      <c r="BX65" s="323" t="e">
        <f aca="false">(LongTerm107!$BL70/(1-LongTerm107!$AR70))*(LongTerm107!$F70*LongTerm107!$AF70*LongTerm107!$AH70)/10000</f>
        <v>#VALUE!</v>
      </c>
      <c r="BY65" s="326"/>
      <c r="BZ65" s="325" t="e">
        <f aca="false">LongTerm108!D70</f>
        <v>#VALUE!</v>
      </c>
      <c r="CA65" s="323" t="e">
        <f aca="false">(LongTerm108!$BM70+LongTerm108!$BL70/(1-LongTerm108!$AR70))*(LongTerm108!$F70*LongTerm108!$AF70*LongTerm108!$AH70)/10000</f>
        <v>#VALUE!</v>
      </c>
      <c r="CB65" s="323" t="e">
        <f aca="false">LongTerm108!$BM70*(LongTerm108!$F70*LongTerm108!$AF70*LongTerm108!$AH70)/10000</f>
        <v>#VALUE!</v>
      </c>
      <c r="CC65" s="323" t="e">
        <f aca="false">(LongTerm108!$BL70/(1-LongTerm108!$AR70))*(LongTerm108!$F70*LongTerm108!$AF70*LongTerm108!$AH70)/10000</f>
        <v>#VALUE!</v>
      </c>
      <c r="CD65" s="332"/>
      <c r="CE65" s="333" t="n">
        <f aca="false">EOMONTH(CE64,0)+15</f>
        <v>38487</v>
      </c>
      <c r="CF65" s="337" t="n">
        <v>25.6</v>
      </c>
      <c r="CG65" s="337" t="n">
        <v>147.5</v>
      </c>
      <c r="CH65" s="337" t="n">
        <v>-172.7</v>
      </c>
      <c r="CI65" s="337" t="n">
        <v>0</v>
      </c>
      <c r="CJ65" s="337" t="n">
        <v>0</v>
      </c>
      <c r="CK65" s="337" t="n">
        <v>1.2</v>
      </c>
      <c r="CL65" s="337" t="n">
        <v>0</v>
      </c>
      <c r="CM65" s="337" t="n">
        <v>0</v>
      </c>
      <c r="CN65" s="337" t="n">
        <v>0</v>
      </c>
    </row>
    <row r="66" customFormat="false" ht="12.75" hidden="false" customHeight="false" outlineLevel="0" collapsed="false">
      <c r="B66" s="320" t="e">
        <f aca="false">Q66</f>
        <v>#VALUE!</v>
      </c>
      <c r="C66" s="319" t="e">
        <f aca="false">YEAR(B66)</f>
        <v>#VALUE!</v>
      </c>
      <c r="D66" s="266" t="e">
        <f aca="false">R66+AC66</f>
        <v>#VALUE!</v>
      </c>
      <c r="E66" s="266" t="e">
        <f aca="false">S66+AD66</f>
        <v>#VALUE!</v>
      </c>
      <c r="F66" s="266" t="e">
        <f aca="false">+T66+AE66</f>
        <v>#VALUE!</v>
      </c>
      <c r="G66" s="266" t="e">
        <f aca="false">+U66+AF66</f>
        <v>#VALUE!</v>
      </c>
      <c r="H66" s="266" t="e">
        <f aca="false">V66+AG66</f>
        <v>#VALUE!</v>
      </c>
      <c r="I66" s="266" t="e">
        <f aca="false">W66+AH66</f>
        <v>#VALUE!</v>
      </c>
      <c r="J66" s="265"/>
      <c r="K66" s="265"/>
      <c r="L66" s="265"/>
      <c r="M66" s="266" t="e">
        <f aca="false">X66+AI66</f>
        <v>#VALUE!</v>
      </c>
      <c r="N66" s="264" t="e">
        <f aca="false">Y66+AJ66</f>
        <v>#VALUE!</v>
      </c>
      <c r="O66" s="264" t="e">
        <f aca="false">Z66+AK66</f>
        <v>#VALUE!</v>
      </c>
      <c r="Q66" s="320" t="e">
        <f aca="false">EOMONTH(Q65,0)+15</f>
        <v>#VALUE!</v>
      </c>
      <c r="R66" s="266" t="e">
        <f aca="false">SUMIF(AM:AM,$Q66,AN:AN)+SUMIF(AQ:AQ,$Q66,AR:AR)+SUMIF(AU:AU,$Q66,AV:AV)+SUMIF(BU:BU,$Q66,BV:BV)+SUMIF(BZ:BZ,$Q66,CA:CA)+SUMIF(BG:BG,$Q66,BH:BH)+SUMIF(BK:BK,$Q66,BL:BL)+SUMIF(BP:BP,$Q66,BQ:BQ)</f>
        <v>#VALUE!</v>
      </c>
      <c r="S66" s="264" t="e">
        <f aca="false">SUMIF(AM:AM,$Q66,AP:AP)+SUMIF(BU:BU,$Q66,BW:BW)+SUMIF(BZ:BZ,$Q66,CB:CB)</f>
        <v>#VALUE!</v>
      </c>
      <c r="T66" s="264" t="e">
        <f aca="false">SUMIF(AQ:AQ,$Q66,AT:AT)+SUMIF(BG:BG,$Q66,BJ:BJ)+SUMIF(BK:BK,$Q66,BN:BN)</f>
        <v>#VALUE!</v>
      </c>
      <c r="U66" s="264" t="e">
        <f aca="false">SUMIF(AM:AM,$Q66,AO:AO)+SUMIF(AQ:AQ,$Q66,AS:AS)+SUMIF(BG:BG,$Q66,BI:BI)+SUMIF(BK:BK,$Q66,BM:BM)</f>
        <v>#VALUE!</v>
      </c>
      <c r="V66" s="264" t="e">
        <f aca="false">SUMIF(AU:AU,$Q66,AW:AW)</f>
        <v>#VALUE!</v>
      </c>
      <c r="W66" s="264" t="e">
        <f aca="false">SUMIF(AU:AU,$Q66,AX:AX)</f>
        <v>#VALUE!</v>
      </c>
      <c r="X66" s="264" t="e">
        <f aca="false">SUMIF(BP:BP,$Q66,BR:BR)</f>
        <v>#VALUE!</v>
      </c>
      <c r="Y66" s="266" t="e">
        <f aca="false">SUMIF(BP:BP,$Q66,BS:BS)</f>
        <v>#VALUE!</v>
      </c>
      <c r="Z66" s="264" t="e">
        <f aca="false">SUMIF(BU:BU,$Q66,BX:BX)+SUMIF(BZ:BZ,$Q66,CC:CC)</f>
        <v>#VALUE!</v>
      </c>
      <c r="AB66" s="320" t="e">
        <f aca="false">Q66</f>
        <v>#VALUE!</v>
      </c>
      <c r="AC66" s="321" t="e">
        <f aca="false">VLOOKUP(AB66,CE67:CK172,7,FALSE())</f>
        <v>#VALUE!</v>
      </c>
      <c r="AD66" s="264" t="e">
        <f aca="false">VLOOKUP(AB66,CE67:CJ172,3,FALSE())</f>
        <v>#VALUE!</v>
      </c>
      <c r="AE66" s="264" t="e">
        <f aca="false">VLOOKUP(AB66,CE67:CJ172,2,FALSE())</f>
        <v>#VALUE!</v>
      </c>
      <c r="AF66" s="264" t="e">
        <f aca="false">VLOOKUP(AB66,CE67:CJ172,4,FALSE())</f>
        <v>#VALUE!</v>
      </c>
      <c r="AG66" s="264" t="e">
        <f aca="false">VLOOKUP(AB66,CE67:CJ172,5,FALSE())</f>
        <v>#VALUE!</v>
      </c>
      <c r="AH66" s="264" t="e">
        <f aca="false">VLOOKUP(AB66,CE67:CJ172,6,FALSE())</f>
        <v>#VALUE!</v>
      </c>
      <c r="AI66" s="264" t="e">
        <f aca="false">VLOOKUP(AB66,CE67:CM172,8,FALSE())</f>
        <v>#VALUE!</v>
      </c>
      <c r="AJ66" s="266" t="e">
        <f aca="false">VLOOKUP(AB66,CE67:CM172,9,FALSE())</f>
        <v>#VALUE!</v>
      </c>
      <c r="AK66" s="264" t="e">
        <f aca="false">VLOOKUP(AB66,CE67:CN172,10,FALSE())</f>
        <v>#VALUE!</v>
      </c>
      <c r="AM66" s="322" t="e">
        <f aca="false">LongTerm1!D71</f>
        <v>#VALUE!</v>
      </c>
      <c r="AN66" s="323" t="e">
        <f aca="false">(LongTerm1!BM71+LongTerm1!BL71/(1-LongTerm1!AR71))*(LongTerm1!F71*LongTerm1!AF71*LongTerm1!AH71)/10000</f>
        <v>#VALUE!</v>
      </c>
      <c r="AO66" s="323" t="e">
        <f aca="false">LongTerm1!BM71*(LongTerm1!F71*LongTerm1!AF71*LongTerm1!AH71)/10000</f>
        <v>#VALUE!</v>
      </c>
      <c r="AP66" s="323" t="e">
        <f aca="false">(LongTerm1!BL71/(1-LongTerm1!AR71))*(LongTerm1!F71*LongTerm1!AF71*LongTerm1!AH71)/10000</f>
        <v>#VALUE!</v>
      </c>
      <c r="AQ66" s="324"/>
      <c r="AV66" s="319"/>
      <c r="AW66" s="319"/>
      <c r="AX66" s="319"/>
      <c r="AY66" s="319"/>
      <c r="AZ66" s="319"/>
      <c r="BA66" s="319"/>
      <c r="BB66" s="319"/>
      <c r="BC66" s="319"/>
      <c r="BD66" s="319"/>
      <c r="BE66" s="319"/>
      <c r="BF66" s="319"/>
      <c r="BG66" s="322" t="e">
        <f aca="false">LongTerm25!D71</f>
        <v>#VALUE!</v>
      </c>
      <c r="BH66" s="323" t="e">
        <f aca="false">(LongTerm25!BM71+LongTerm25!BL71/(1-LongTerm25!AR71))*(LongTerm25!F71*LongTerm25!AF71*LongTerm25!AH71)/10000</f>
        <v>#VALUE!</v>
      </c>
      <c r="BI66" s="323" t="e">
        <f aca="false">LongTerm25!BM71*(LongTerm25!F71*LongTerm25!AF71*LongTerm25!AH71)/10000</f>
        <v>#VALUE!</v>
      </c>
      <c r="BJ66" s="323" t="e">
        <f aca="false">(LongTerm25!BL71/(1-LongTerm25!AR71))*(LongTerm25!F71*LongTerm25!AF71*LongTerm25!AH71)/10000</f>
        <v>#VALUE!</v>
      </c>
      <c r="BK66" s="319"/>
      <c r="BL66" s="319"/>
      <c r="BM66" s="319"/>
      <c r="BN66" s="319"/>
      <c r="BP66" s="325" t="e">
        <f aca="false">LongTerm62!D71</f>
        <v>#VALUE!</v>
      </c>
      <c r="BQ66" s="323" t="e">
        <f aca="false">(LongTerm62!$BM71+LongTerm62!$BL71/(1-LongTerm62!$AR71))*(LongTerm62!$F71*LongTerm62!$AF71*LongTerm62!$AH71)/10000</f>
        <v>#VALUE!</v>
      </c>
      <c r="BR66" s="323" t="e">
        <f aca="false">LongTerm62!$BM71*(LongTerm62!$F71*LongTerm62!$AF71*LongTerm62!$AH71)/10000</f>
        <v>#VALUE!</v>
      </c>
      <c r="BS66" s="323" t="e">
        <f aca="false">(LongTerm62!$BL71/(1-LongTerm62!$AR71))*(LongTerm62!$F71*LongTerm62!$AF71*LongTerm62!$AH71)/10000</f>
        <v>#VALUE!</v>
      </c>
      <c r="BT66" s="265"/>
      <c r="BU66" s="325" t="e">
        <f aca="false">LongTerm107!D71</f>
        <v>#VALUE!</v>
      </c>
      <c r="BV66" s="323" t="e">
        <f aca="false">(LongTerm107!$BM71+LongTerm107!$BL71/(1-LongTerm107!$AR71))*(LongTerm107!$F71*LongTerm107!$AF71*LongTerm107!$AH71)/10000</f>
        <v>#VALUE!</v>
      </c>
      <c r="BW66" s="323" t="e">
        <f aca="false">LongTerm107!$BM71*(LongTerm107!$F71*LongTerm107!$AF71*LongTerm107!$AH71)/10000</f>
        <v>#VALUE!</v>
      </c>
      <c r="BX66" s="323" t="e">
        <f aca="false">(LongTerm107!$BL71/(1-LongTerm107!$AR71))*(LongTerm107!$F71*LongTerm107!$AF71*LongTerm107!$AH71)/10000</f>
        <v>#VALUE!</v>
      </c>
      <c r="BY66" s="326"/>
      <c r="BZ66" s="325" t="e">
        <f aca="false">LongTerm108!D71</f>
        <v>#VALUE!</v>
      </c>
      <c r="CA66" s="323" t="e">
        <f aca="false">(LongTerm108!$BM71+LongTerm108!$BL71/(1-LongTerm108!$AR71))*(LongTerm108!$F71*LongTerm108!$AF71*LongTerm108!$AH71)/10000</f>
        <v>#VALUE!</v>
      </c>
      <c r="CB66" s="323" t="e">
        <f aca="false">LongTerm108!$BM71*(LongTerm108!$F71*LongTerm108!$AF71*LongTerm108!$AH71)/10000</f>
        <v>#VALUE!</v>
      </c>
      <c r="CC66" s="323" t="e">
        <f aca="false">(LongTerm108!$BL71/(1-LongTerm108!$AR71))*(LongTerm108!$F71*LongTerm108!$AF71*LongTerm108!$AH71)/10000</f>
        <v>#VALUE!</v>
      </c>
      <c r="CD66" s="332"/>
      <c r="CE66" s="333" t="n">
        <f aca="false">EOMONTH(CE65,0)+15</f>
        <v>38518</v>
      </c>
      <c r="CF66" s="337" t="n">
        <v>25</v>
      </c>
      <c r="CG66" s="337" t="n">
        <v>141.6</v>
      </c>
      <c r="CH66" s="337" t="n">
        <v>-166.2</v>
      </c>
      <c r="CI66" s="337" t="n">
        <v>0</v>
      </c>
      <c r="CJ66" s="337" t="n">
        <v>0</v>
      </c>
      <c r="CK66" s="337" t="n">
        <v>1.2</v>
      </c>
      <c r="CL66" s="337" t="n">
        <v>0</v>
      </c>
      <c r="CM66" s="337" t="n">
        <v>0</v>
      </c>
      <c r="CN66" s="337" t="n">
        <v>0</v>
      </c>
    </row>
    <row r="67" customFormat="false" ht="12.75" hidden="false" customHeight="false" outlineLevel="0" collapsed="false">
      <c r="B67" s="320" t="e">
        <f aca="false">Q67</f>
        <v>#VALUE!</v>
      </c>
      <c r="C67" s="319" t="e">
        <f aca="false">YEAR(B67)</f>
        <v>#VALUE!</v>
      </c>
      <c r="D67" s="266" t="e">
        <f aca="false">R67+AC67</f>
        <v>#VALUE!</v>
      </c>
      <c r="E67" s="266" t="e">
        <f aca="false">S67+AD67</f>
        <v>#VALUE!</v>
      </c>
      <c r="F67" s="266" t="e">
        <f aca="false">+T67+AE67</f>
        <v>#VALUE!</v>
      </c>
      <c r="G67" s="266" t="e">
        <f aca="false">+U67+AF67</f>
        <v>#VALUE!</v>
      </c>
      <c r="H67" s="266" t="e">
        <f aca="false">V67+AG67</f>
        <v>#VALUE!</v>
      </c>
      <c r="I67" s="266" t="e">
        <f aca="false">W67+AH67</f>
        <v>#VALUE!</v>
      </c>
      <c r="J67" s="265"/>
      <c r="K67" s="265"/>
      <c r="L67" s="265"/>
      <c r="M67" s="266" t="e">
        <f aca="false">X67+AI67</f>
        <v>#VALUE!</v>
      </c>
      <c r="N67" s="264" t="e">
        <f aca="false">Y67+AJ67</f>
        <v>#VALUE!</v>
      </c>
      <c r="O67" s="264" t="e">
        <f aca="false">Z67+AK67</f>
        <v>#VALUE!</v>
      </c>
      <c r="Q67" s="320" t="e">
        <f aca="false">EOMONTH(Q66,0)+15</f>
        <v>#VALUE!</v>
      </c>
      <c r="R67" s="266" t="e">
        <f aca="false">SUMIF(AM:AM,$Q67,AN:AN)+SUMIF(AQ:AQ,$Q67,AR:AR)+SUMIF(AU:AU,$Q67,AV:AV)+SUMIF(BU:BU,$Q67,BV:BV)+SUMIF(BZ:BZ,$Q67,CA:CA)+SUMIF(BG:BG,$Q67,BH:BH)+SUMIF(BK:BK,$Q67,BL:BL)+SUMIF(BP:BP,$Q67,BQ:BQ)</f>
        <v>#VALUE!</v>
      </c>
      <c r="S67" s="264" t="e">
        <f aca="false">SUMIF(AM:AM,$Q67,AP:AP)+SUMIF(BU:BU,$Q67,BW:BW)+SUMIF(BZ:BZ,$Q67,CB:CB)</f>
        <v>#VALUE!</v>
      </c>
      <c r="T67" s="264" t="e">
        <f aca="false">SUMIF(AQ:AQ,$Q67,AT:AT)+SUMIF(BG:BG,$Q67,BJ:BJ)+SUMIF(BK:BK,$Q67,BN:BN)</f>
        <v>#VALUE!</v>
      </c>
      <c r="U67" s="264" t="e">
        <f aca="false">SUMIF(AM:AM,$Q67,AO:AO)+SUMIF(AQ:AQ,$Q67,AS:AS)+SUMIF(BG:BG,$Q67,BI:BI)+SUMIF(BK:BK,$Q67,BM:BM)</f>
        <v>#VALUE!</v>
      </c>
      <c r="V67" s="264" t="e">
        <f aca="false">SUMIF(AU:AU,$Q67,AW:AW)</f>
        <v>#VALUE!</v>
      </c>
      <c r="W67" s="264" t="e">
        <f aca="false">SUMIF(AU:AU,$Q67,AX:AX)</f>
        <v>#VALUE!</v>
      </c>
      <c r="X67" s="264" t="e">
        <f aca="false">SUMIF(BP:BP,$Q67,BR:BR)</f>
        <v>#VALUE!</v>
      </c>
      <c r="Y67" s="266" t="e">
        <f aca="false">SUMIF(BP:BP,$Q67,BS:BS)</f>
        <v>#VALUE!</v>
      </c>
      <c r="Z67" s="264" t="e">
        <f aca="false">SUMIF(BU:BU,$Q67,BX:BX)+SUMIF(BZ:BZ,$Q67,CC:CC)</f>
        <v>#VALUE!</v>
      </c>
      <c r="AB67" s="320" t="e">
        <f aca="false">Q67</f>
        <v>#VALUE!</v>
      </c>
      <c r="AC67" s="321" t="e">
        <f aca="false">VLOOKUP(AB67,CE68:CK173,7,FALSE())</f>
        <v>#VALUE!</v>
      </c>
      <c r="AD67" s="264" t="e">
        <f aca="false">VLOOKUP(AB67,CE68:CJ173,3,FALSE())</f>
        <v>#VALUE!</v>
      </c>
      <c r="AE67" s="264" t="e">
        <f aca="false">VLOOKUP(AB67,CE68:CJ173,2,FALSE())</f>
        <v>#VALUE!</v>
      </c>
      <c r="AF67" s="264" t="e">
        <f aca="false">VLOOKUP(AB67,CE68:CJ173,4,FALSE())</f>
        <v>#VALUE!</v>
      </c>
      <c r="AG67" s="264" t="e">
        <f aca="false">VLOOKUP(AB67,CE68:CJ173,5,FALSE())</f>
        <v>#VALUE!</v>
      </c>
      <c r="AH67" s="264" t="e">
        <f aca="false">VLOOKUP(AB67,CE68:CJ173,6,FALSE())</f>
        <v>#VALUE!</v>
      </c>
      <c r="AI67" s="264" t="e">
        <f aca="false">VLOOKUP(AB67,CE68:CM173,8,FALSE())</f>
        <v>#VALUE!</v>
      </c>
      <c r="AJ67" s="266" t="e">
        <f aca="false">VLOOKUP(AB67,CE68:CM173,9,FALSE())</f>
        <v>#VALUE!</v>
      </c>
      <c r="AK67" s="264" t="e">
        <f aca="false">VLOOKUP(AB67,CE68:CN173,10,FALSE())</f>
        <v>#VALUE!</v>
      </c>
      <c r="AM67" s="322" t="e">
        <f aca="false">LongTerm1!D72</f>
        <v>#VALUE!</v>
      </c>
      <c r="AN67" s="323" t="e">
        <f aca="false">(LongTerm1!BM72+LongTerm1!BL72/(1-LongTerm1!AR72))*(LongTerm1!F72*LongTerm1!AF72*LongTerm1!AH72)/10000</f>
        <v>#VALUE!</v>
      </c>
      <c r="AO67" s="323" t="e">
        <f aca="false">LongTerm1!BM72*(LongTerm1!F72*LongTerm1!AF72*LongTerm1!AH72)/10000</f>
        <v>#VALUE!</v>
      </c>
      <c r="AP67" s="323" t="e">
        <f aca="false">(LongTerm1!BL72/(1-LongTerm1!AR72))*(LongTerm1!F72*LongTerm1!AF72*LongTerm1!AH72)/10000</f>
        <v>#VALUE!</v>
      </c>
      <c r="AQ67" s="324"/>
      <c r="AV67" s="319"/>
      <c r="AW67" s="319"/>
      <c r="AX67" s="319"/>
      <c r="AY67" s="319"/>
      <c r="AZ67" s="319"/>
      <c r="BA67" s="319"/>
      <c r="BB67" s="319"/>
      <c r="BC67" s="319"/>
      <c r="BD67" s="319"/>
      <c r="BE67" s="319"/>
      <c r="BF67" s="319"/>
      <c r="BG67" s="322" t="e">
        <f aca="false">LongTerm25!D72</f>
        <v>#VALUE!</v>
      </c>
      <c r="BH67" s="323" t="e">
        <f aca="false">(LongTerm25!BM72+LongTerm25!BL72/(1-LongTerm25!AR72))*(LongTerm25!F72*LongTerm25!AF72*LongTerm25!AH72)/10000</f>
        <v>#VALUE!</v>
      </c>
      <c r="BI67" s="323" t="e">
        <f aca="false">LongTerm25!BM72*(LongTerm25!F72*LongTerm25!AF72*LongTerm25!AH72)/10000</f>
        <v>#VALUE!</v>
      </c>
      <c r="BJ67" s="323" t="e">
        <f aca="false">(LongTerm25!BL72/(1-LongTerm25!AR72))*(LongTerm25!F72*LongTerm25!AF72*LongTerm25!AH72)/10000</f>
        <v>#VALUE!</v>
      </c>
      <c r="BK67" s="319"/>
      <c r="BL67" s="319"/>
      <c r="BM67" s="319"/>
      <c r="BN67" s="319"/>
      <c r="BP67" s="325" t="e">
        <f aca="false">LongTerm62!D72</f>
        <v>#VALUE!</v>
      </c>
      <c r="BQ67" s="323" t="e">
        <f aca="false">(LongTerm62!$BM72+LongTerm62!$BL72/(1-LongTerm62!$AR72))*(LongTerm62!$F72*LongTerm62!$AF72*LongTerm62!$AH72)/10000</f>
        <v>#VALUE!</v>
      </c>
      <c r="BR67" s="323" t="e">
        <f aca="false">LongTerm62!$BM72*(LongTerm62!$F72*LongTerm62!$AF72*LongTerm62!$AH72)/10000</f>
        <v>#VALUE!</v>
      </c>
      <c r="BS67" s="323" t="e">
        <f aca="false">(LongTerm62!$BL72/(1-LongTerm62!$AR72))*(LongTerm62!$F72*LongTerm62!$AF72*LongTerm62!$AH72)/10000</f>
        <v>#VALUE!</v>
      </c>
      <c r="BT67" s="265"/>
      <c r="BU67" s="325" t="e">
        <f aca="false">LongTerm107!D72</f>
        <v>#VALUE!</v>
      </c>
      <c r="BV67" s="323" t="e">
        <f aca="false">(LongTerm107!$BM72+LongTerm107!$BL72/(1-LongTerm107!$AR72))*(LongTerm107!$F72*LongTerm107!$AF72*LongTerm107!$AH72)/10000</f>
        <v>#VALUE!</v>
      </c>
      <c r="BW67" s="323" t="e">
        <f aca="false">LongTerm107!$BM72*(LongTerm107!$F72*LongTerm107!$AF72*LongTerm107!$AH72)/10000</f>
        <v>#VALUE!</v>
      </c>
      <c r="BX67" s="323" t="e">
        <f aca="false">(LongTerm107!$BL72/(1-LongTerm107!$AR72))*(LongTerm107!$F72*LongTerm107!$AF72*LongTerm107!$AH72)/10000</f>
        <v>#VALUE!</v>
      </c>
      <c r="BY67" s="326"/>
      <c r="BZ67" s="325" t="e">
        <f aca="false">LongTerm108!D72</f>
        <v>#VALUE!</v>
      </c>
      <c r="CA67" s="323" t="e">
        <f aca="false">(LongTerm108!$BM72+LongTerm108!$BL72/(1-LongTerm108!$AR72))*(LongTerm108!$F72*LongTerm108!$AF72*LongTerm108!$AH72)/10000</f>
        <v>#VALUE!</v>
      </c>
      <c r="CB67" s="323" t="e">
        <f aca="false">LongTerm108!$BM72*(LongTerm108!$F72*LongTerm108!$AF72*LongTerm108!$AH72)/10000</f>
        <v>#VALUE!</v>
      </c>
      <c r="CC67" s="323" t="e">
        <f aca="false">(LongTerm108!$BL72/(1-LongTerm108!$AR72))*(LongTerm108!$F72*LongTerm108!$AF72*LongTerm108!$AH72)/10000</f>
        <v>#VALUE!</v>
      </c>
      <c r="CD67" s="332"/>
      <c r="CE67" s="333" t="n">
        <f aca="false">EOMONTH(CE66,0)+15</f>
        <v>38548</v>
      </c>
      <c r="CF67" s="337" t="n">
        <v>25.1</v>
      </c>
      <c r="CG67" s="337" t="n">
        <v>141.8</v>
      </c>
      <c r="CH67" s="337" t="n">
        <v>-167.4</v>
      </c>
      <c r="CI67" s="337" t="n">
        <v>0</v>
      </c>
      <c r="CJ67" s="337" t="n">
        <v>0</v>
      </c>
      <c r="CK67" s="337" t="n">
        <v>1.2</v>
      </c>
      <c r="CL67" s="337" t="n">
        <v>0</v>
      </c>
      <c r="CM67" s="337" t="n">
        <v>0</v>
      </c>
      <c r="CN67" s="337" t="n">
        <v>0</v>
      </c>
    </row>
    <row r="68" customFormat="false" ht="12.75" hidden="false" customHeight="false" outlineLevel="0" collapsed="false">
      <c r="B68" s="320" t="e">
        <f aca="false">Q68</f>
        <v>#VALUE!</v>
      </c>
      <c r="C68" s="319" t="e">
        <f aca="false">YEAR(B68)</f>
        <v>#VALUE!</v>
      </c>
      <c r="D68" s="266" t="e">
        <f aca="false">R68+AC68</f>
        <v>#VALUE!</v>
      </c>
      <c r="E68" s="266" t="e">
        <f aca="false">S68+AD68</f>
        <v>#VALUE!</v>
      </c>
      <c r="F68" s="266" t="e">
        <f aca="false">+T68+AE68</f>
        <v>#VALUE!</v>
      </c>
      <c r="G68" s="266" t="e">
        <f aca="false">+U68+AF68</f>
        <v>#VALUE!</v>
      </c>
      <c r="H68" s="266" t="e">
        <f aca="false">V68+AG68</f>
        <v>#VALUE!</v>
      </c>
      <c r="I68" s="266" t="e">
        <f aca="false">W68+AH68</f>
        <v>#VALUE!</v>
      </c>
      <c r="J68" s="265"/>
      <c r="K68" s="265"/>
      <c r="L68" s="265"/>
      <c r="M68" s="266" t="e">
        <f aca="false">X68+AI68</f>
        <v>#VALUE!</v>
      </c>
      <c r="N68" s="264" t="e">
        <f aca="false">Y68+AJ68</f>
        <v>#VALUE!</v>
      </c>
      <c r="O68" s="264" t="e">
        <f aca="false">Z68+AK68</f>
        <v>#VALUE!</v>
      </c>
      <c r="Q68" s="320" t="e">
        <f aca="false">EOMONTH(Q67,0)+15</f>
        <v>#VALUE!</v>
      </c>
      <c r="R68" s="266" t="e">
        <f aca="false">SUMIF(AM:AM,$Q68,AN:AN)+SUMIF(AQ:AQ,$Q68,AR:AR)+SUMIF(AU:AU,$Q68,AV:AV)+SUMIF(BU:BU,$Q68,BV:BV)+SUMIF(BZ:BZ,$Q68,CA:CA)+SUMIF(BG:BG,$Q68,BH:BH)+SUMIF(BK:BK,$Q68,BL:BL)+SUMIF(BP:BP,$Q68,BQ:BQ)</f>
        <v>#VALUE!</v>
      </c>
      <c r="S68" s="264" t="e">
        <f aca="false">SUMIF(AM:AM,$Q68,AP:AP)+SUMIF(BU:BU,$Q68,BW:BW)+SUMIF(BZ:BZ,$Q68,CB:CB)</f>
        <v>#VALUE!</v>
      </c>
      <c r="T68" s="264" t="e">
        <f aca="false">SUMIF(AQ:AQ,$Q68,AT:AT)+SUMIF(BG:BG,$Q68,BJ:BJ)+SUMIF(BK:BK,$Q68,BN:BN)</f>
        <v>#VALUE!</v>
      </c>
      <c r="U68" s="264" t="e">
        <f aca="false">SUMIF(AM:AM,$Q68,AO:AO)+SUMIF(AQ:AQ,$Q68,AS:AS)+SUMIF(BG:BG,$Q68,BI:BI)+SUMIF(BK:BK,$Q68,BM:BM)</f>
        <v>#VALUE!</v>
      </c>
      <c r="V68" s="264" t="e">
        <f aca="false">SUMIF(AU:AU,$Q68,AW:AW)</f>
        <v>#VALUE!</v>
      </c>
      <c r="W68" s="264" t="e">
        <f aca="false">SUMIF(AU:AU,$Q68,AX:AX)</f>
        <v>#VALUE!</v>
      </c>
      <c r="X68" s="264" t="e">
        <f aca="false">SUMIF(BP:BP,$Q68,BR:BR)</f>
        <v>#VALUE!</v>
      </c>
      <c r="Y68" s="266" t="e">
        <f aca="false">SUMIF(BP:BP,$Q68,BS:BS)</f>
        <v>#VALUE!</v>
      </c>
      <c r="Z68" s="264" t="e">
        <f aca="false">SUMIF(BU:BU,$Q68,BX:BX)+SUMIF(BZ:BZ,$Q68,CC:CC)</f>
        <v>#VALUE!</v>
      </c>
      <c r="AB68" s="320" t="e">
        <f aca="false">Q68</f>
        <v>#VALUE!</v>
      </c>
      <c r="AC68" s="321" t="e">
        <f aca="false">VLOOKUP(AB68,CE69:CK174,7,FALSE())</f>
        <v>#VALUE!</v>
      </c>
      <c r="AD68" s="264" t="e">
        <f aca="false">VLOOKUP(AB68,CE69:CJ174,3,FALSE())</f>
        <v>#VALUE!</v>
      </c>
      <c r="AE68" s="264" t="e">
        <f aca="false">VLOOKUP(AB68,CE69:CJ174,2,FALSE())</f>
        <v>#VALUE!</v>
      </c>
      <c r="AF68" s="264" t="e">
        <f aca="false">VLOOKUP(AB68,CE69:CJ174,4,FALSE())</f>
        <v>#VALUE!</v>
      </c>
      <c r="AG68" s="264" t="e">
        <f aca="false">VLOOKUP(AB68,CE69:CJ174,5,FALSE())</f>
        <v>#VALUE!</v>
      </c>
      <c r="AH68" s="264" t="e">
        <f aca="false">VLOOKUP(AB68,CE69:CJ174,6,FALSE())</f>
        <v>#VALUE!</v>
      </c>
      <c r="AI68" s="264" t="e">
        <f aca="false">VLOOKUP(AB68,CE69:CM174,8,FALSE())</f>
        <v>#VALUE!</v>
      </c>
      <c r="AJ68" s="266" t="e">
        <f aca="false">VLOOKUP(AB68,CE69:CM174,9,FALSE())</f>
        <v>#VALUE!</v>
      </c>
      <c r="AK68" s="264" t="e">
        <f aca="false">VLOOKUP(AB68,CE69:CN174,10,FALSE())</f>
        <v>#VALUE!</v>
      </c>
      <c r="AM68" s="322" t="e">
        <f aca="false">LongTerm1!D73</f>
        <v>#VALUE!</v>
      </c>
      <c r="AN68" s="323" t="e">
        <f aca="false">(LongTerm1!BM73+LongTerm1!BL73/(1-LongTerm1!AR73))*(LongTerm1!F73*LongTerm1!AF73*LongTerm1!AH73)/10000</f>
        <v>#VALUE!</v>
      </c>
      <c r="AO68" s="323" t="e">
        <f aca="false">LongTerm1!BM73*(LongTerm1!F73*LongTerm1!AF73*LongTerm1!AH73)/10000</f>
        <v>#VALUE!</v>
      </c>
      <c r="AP68" s="323" t="e">
        <f aca="false">(LongTerm1!BL73/(1-LongTerm1!AR73))*(LongTerm1!F73*LongTerm1!AF73*LongTerm1!AH73)/10000</f>
        <v>#VALUE!</v>
      </c>
      <c r="AQ68" s="324"/>
      <c r="AV68" s="319"/>
      <c r="AW68" s="319"/>
      <c r="AX68" s="319"/>
      <c r="AY68" s="319"/>
      <c r="AZ68" s="319"/>
      <c r="BA68" s="319"/>
      <c r="BB68" s="319"/>
      <c r="BC68" s="319"/>
      <c r="BD68" s="319"/>
      <c r="BE68" s="319"/>
      <c r="BF68" s="319"/>
      <c r="BG68" s="322" t="e">
        <f aca="false">LongTerm25!D73</f>
        <v>#VALUE!</v>
      </c>
      <c r="BH68" s="323" t="e">
        <f aca="false">(LongTerm25!BM73+LongTerm25!BL73/(1-LongTerm25!AR73))*(LongTerm25!F73*LongTerm25!AF73*LongTerm25!AH73)/10000</f>
        <v>#VALUE!</v>
      </c>
      <c r="BI68" s="323" t="e">
        <f aca="false">LongTerm25!BM73*(LongTerm25!F73*LongTerm25!AF73*LongTerm25!AH73)/10000</f>
        <v>#VALUE!</v>
      </c>
      <c r="BJ68" s="323" t="e">
        <f aca="false">(LongTerm25!BL73/(1-LongTerm25!AR73))*(LongTerm25!F73*LongTerm25!AF73*LongTerm25!AH73)/10000</f>
        <v>#VALUE!</v>
      </c>
      <c r="BK68" s="319"/>
      <c r="BL68" s="319"/>
      <c r="BM68" s="319"/>
      <c r="BN68" s="319"/>
      <c r="BP68" s="325" t="e">
        <f aca="false">LongTerm62!D73</f>
        <v>#VALUE!</v>
      </c>
      <c r="BQ68" s="323" t="e">
        <f aca="false">(LongTerm62!$BM73+LongTerm62!$BL73/(1-LongTerm62!$AR73))*(LongTerm62!$F73*LongTerm62!$AF73*LongTerm62!$AH73)/10000</f>
        <v>#VALUE!</v>
      </c>
      <c r="BR68" s="323" t="e">
        <f aca="false">LongTerm62!$BM73*(LongTerm62!$F73*LongTerm62!$AF73*LongTerm62!$AH73)/10000</f>
        <v>#VALUE!</v>
      </c>
      <c r="BS68" s="323" t="e">
        <f aca="false">(LongTerm62!$BL73/(1-LongTerm62!$AR73))*(LongTerm62!$F73*LongTerm62!$AF73*LongTerm62!$AH73)/10000</f>
        <v>#VALUE!</v>
      </c>
      <c r="BT68" s="265"/>
      <c r="BU68" s="325" t="e">
        <f aca="false">LongTerm107!D73</f>
        <v>#VALUE!</v>
      </c>
      <c r="BV68" s="323" t="e">
        <f aca="false">(LongTerm107!$BM73+LongTerm107!$BL73/(1-LongTerm107!$AR73))*(LongTerm107!$F73*LongTerm107!$AF73*LongTerm107!$AH73)/10000</f>
        <v>#VALUE!</v>
      </c>
      <c r="BW68" s="323" t="e">
        <f aca="false">LongTerm107!$BM73*(LongTerm107!$F73*LongTerm107!$AF73*LongTerm107!$AH73)/10000</f>
        <v>#VALUE!</v>
      </c>
      <c r="BX68" s="323" t="e">
        <f aca="false">(LongTerm107!$BL73/(1-LongTerm107!$AR73))*(LongTerm107!$F73*LongTerm107!$AF73*LongTerm107!$AH73)/10000</f>
        <v>#VALUE!</v>
      </c>
      <c r="BY68" s="326"/>
      <c r="BZ68" s="325" t="e">
        <f aca="false">LongTerm108!D73</f>
        <v>#VALUE!</v>
      </c>
      <c r="CA68" s="323" t="e">
        <f aca="false">(LongTerm108!$BM73+LongTerm108!$BL73/(1-LongTerm108!$AR73))*(LongTerm108!$F73*LongTerm108!$AF73*LongTerm108!$AH73)/10000</f>
        <v>#VALUE!</v>
      </c>
      <c r="CB68" s="323" t="e">
        <f aca="false">LongTerm108!$BM73*(LongTerm108!$F73*LongTerm108!$AF73*LongTerm108!$AH73)/10000</f>
        <v>#VALUE!</v>
      </c>
      <c r="CC68" s="323" t="e">
        <f aca="false">(LongTerm108!$BL73/(1-LongTerm108!$AR73))*(LongTerm108!$F73*LongTerm108!$AF73*LongTerm108!$AH73)/10000</f>
        <v>#VALUE!</v>
      </c>
      <c r="CD68" s="332"/>
      <c r="CE68" s="333" t="n">
        <f aca="false">EOMONTH(CE67,0)+15</f>
        <v>38579</v>
      </c>
      <c r="CF68" s="337" t="n">
        <v>24.8</v>
      </c>
      <c r="CG68" s="337" t="n">
        <v>137.7</v>
      </c>
      <c r="CH68" s="337" t="n">
        <v>-163</v>
      </c>
      <c r="CI68" s="337" t="n">
        <v>0</v>
      </c>
      <c r="CJ68" s="337" t="n">
        <v>0</v>
      </c>
      <c r="CK68" s="337" t="n">
        <v>1.2</v>
      </c>
      <c r="CL68" s="337" t="n">
        <v>0</v>
      </c>
      <c r="CM68" s="337" t="n">
        <v>0</v>
      </c>
      <c r="CN68" s="337" t="n">
        <v>0</v>
      </c>
    </row>
    <row r="69" customFormat="false" ht="12.75" hidden="false" customHeight="false" outlineLevel="0" collapsed="false">
      <c r="B69" s="320" t="e">
        <f aca="false">Q69</f>
        <v>#VALUE!</v>
      </c>
      <c r="C69" s="319" t="e">
        <f aca="false">YEAR(B69)</f>
        <v>#VALUE!</v>
      </c>
      <c r="D69" s="266" t="e">
        <f aca="false">R69+AC69</f>
        <v>#VALUE!</v>
      </c>
      <c r="E69" s="266" t="e">
        <f aca="false">S69+AD69</f>
        <v>#VALUE!</v>
      </c>
      <c r="F69" s="266" t="e">
        <f aca="false">+T69+AE69</f>
        <v>#VALUE!</v>
      </c>
      <c r="G69" s="266" t="e">
        <f aca="false">+U69+AF69</f>
        <v>#VALUE!</v>
      </c>
      <c r="H69" s="266" t="e">
        <f aca="false">V69+AG69</f>
        <v>#VALUE!</v>
      </c>
      <c r="I69" s="266" t="e">
        <f aca="false">W69+AH69</f>
        <v>#VALUE!</v>
      </c>
      <c r="J69" s="265"/>
      <c r="K69" s="265"/>
      <c r="L69" s="265"/>
      <c r="M69" s="266" t="e">
        <f aca="false">X69+AI69</f>
        <v>#VALUE!</v>
      </c>
      <c r="N69" s="264" t="e">
        <f aca="false">Y69+AJ69</f>
        <v>#VALUE!</v>
      </c>
      <c r="O69" s="264" t="e">
        <f aca="false">Z69+AK69</f>
        <v>#VALUE!</v>
      </c>
      <c r="Q69" s="320" t="e">
        <f aca="false">EOMONTH(Q68,0)+15</f>
        <v>#VALUE!</v>
      </c>
      <c r="R69" s="266" t="e">
        <f aca="false">SUMIF(AM:AM,$Q69,AN:AN)+SUMIF(AQ:AQ,$Q69,AR:AR)+SUMIF(AU:AU,$Q69,AV:AV)+SUMIF(BU:BU,$Q69,BV:BV)+SUMIF(BZ:BZ,$Q69,CA:CA)+SUMIF(BG:BG,$Q69,BH:BH)+SUMIF(BK:BK,$Q69,BL:BL)+SUMIF(BP:BP,$Q69,BQ:BQ)</f>
        <v>#VALUE!</v>
      </c>
      <c r="S69" s="264" t="e">
        <f aca="false">SUMIF(AM:AM,$Q69,AP:AP)+SUMIF(BU:BU,$Q69,BW:BW)+SUMIF(BZ:BZ,$Q69,CB:CB)</f>
        <v>#VALUE!</v>
      </c>
      <c r="T69" s="264" t="e">
        <f aca="false">SUMIF(AQ:AQ,$Q69,AT:AT)+SUMIF(BG:BG,$Q69,BJ:BJ)+SUMIF(BK:BK,$Q69,BN:BN)</f>
        <v>#VALUE!</v>
      </c>
      <c r="U69" s="264" t="e">
        <f aca="false">SUMIF(AM:AM,$Q69,AO:AO)+SUMIF(AQ:AQ,$Q69,AS:AS)+SUMIF(BG:BG,$Q69,BI:BI)+SUMIF(BK:BK,$Q69,BM:BM)</f>
        <v>#VALUE!</v>
      </c>
      <c r="V69" s="264" t="e">
        <f aca="false">SUMIF(AU:AU,$Q69,AW:AW)</f>
        <v>#VALUE!</v>
      </c>
      <c r="W69" s="264" t="e">
        <f aca="false">SUMIF(AU:AU,$Q69,AX:AX)</f>
        <v>#VALUE!</v>
      </c>
      <c r="X69" s="264" t="e">
        <f aca="false">SUMIF(BP:BP,$Q69,BR:BR)</f>
        <v>#VALUE!</v>
      </c>
      <c r="Y69" s="266" t="e">
        <f aca="false">SUMIF(BP:BP,$Q69,BS:BS)</f>
        <v>#VALUE!</v>
      </c>
      <c r="Z69" s="264" t="e">
        <f aca="false">SUMIF(BU:BU,$Q69,BX:BX)+SUMIF(BZ:BZ,$Q69,CC:CC)</f>
        <v>#VALUE!</v>
      </c>
      <c r="AB69" s="320" t="e">
        <f aca="false">Q69</f>
        <v>#VALUE!</v>
      </c>
      <c r="AC69" s="321" t="e">
        <f aca="false">VLOOKUP(AB69,CE70:CK175,7,FALSE())</f>
        <v>#VALUE!</v>
      </c>
      <c r="AD69" s="264" t="e">
        <f aca="false">VLOOKUP(AB69,CE70:CJ175,3,FALSE())</f>
        <v>#VALUE!</v>
      </c>
      <c r="AE69" s="264" t="e">
        <f aca="false">VLOOKUP(AB69,CE70:CJ175,2,FALSE())</f>
        <v>#VALUE!</v>
      </c>
      <c r="AF69" s="264" t="e">
        <f aca="false">VLOOKUP(AB69,CE70:CJ175,4,FALSE())</f>
        <v>#VALUE!</v>
      </c>
      <c r="AG69" s="264" t="e">
        <f aca="false">VLOOKUP(AB69,CE70:CJ175,5,FALSE())</f>
        <v>#VALUE!</v>
      </c>
      <c r="AH69" s="264" t="e">
        <f aca="false">VLOOKUP(AB69,CE70:CJ175,6,FALSE())</f>
        <v>#VALUE!</v>
      </c>
      <c r="AI69" s="264" t="e">
        <f aca="false">VLOOKUP(AB69,CE70:CM175,8,FALSE())</f>
        <v>#VALUE!</v>
      </c>
      <c r="AJ69" s="266" t="e">
        <f aca="false">VLOOKUP(AB69,CE70:CM175,9,FALSE())</f>
        <v>#VALUE!</v>
      </c>
      <c r="AK69" s="264" t="e">
        <f aca="false">VLOOKUP(AB69,CE70:CN175,10,FALSE())</f>
        <v>#VALUE!</v>
      </c>
      <c r="AM69" s="322" t="e">
        <f aca="false">LongTerm1!D74</f>
        <v>#VALUE!</v>
      </c>
      <c r="AN69" s="323" t="e">
        <f aca="false">(LongTerm1!BM74+LongTerm1!BL74/(1-LongTerm1!AR74))*(LongTerm1!F74*LongTerm1!AF74*LongTerm1!AH74)/10000</f>
        <v>#VALUE!</v>
      </c>
      <c r="AO69" s="323" t="e">
        <f aca="false">LongTerm1!BM74*(LongTerm1!F74*LongTerm1!AF74*LongTerm1!AH74)/10000</f>
        <v>#VALUE!</v>
      </c>
      <c r="AP69" s="323" t="e">
        <f aca="false">(LongTerm1!BL74/(1-LongTerm1!AR74))*(LongTerm1!F74*LongTerm1!AF74*LongTerm1!AH74)/10000</f>
        <v>#VALUE!</v>
      </c>
      <c r="AQ69" s="324"/>
      <c r="AV69" s="319"/>
      <c r="AW69" s="319"/>
      <c r="AX69" s="319"/>
      <c r="AY69" s="319"/>
      <c r="AZ69" s="319"/>
      <c r="BA69" s="319"/>
      <c r="BB69" s="319"/>
      <c r="BC69" s="319"/>
      <c r="BD69" s="319"/>
      <c r="BE69" s="319"/>
      <c r="BF69" s="319"/>
      <c r="BG69" s="322" t="e">
        <f aca="false">LongTerm25!D74</f>
        <v>#VALUE!</v>
      </c>
      <c r="BH69" s="323" t="e">
        <f aca="false">(LongTerm25!BM74+LongTerm25!BL74/(1-LongTerm25!AR74))*(LongTerm25!F74*LongTerm25!AF74*LongTerm25!AH74)/10000</f>
        <v>#VALUE!</v>
      </c>
      <c r="BI69" s="323" t="e">
        <f aca="false">LongTerm25!BM74*(LongTerm25!F74*LongTerm25!AF74*LongTerm25!AH74)/10000</f>
        <v>#VALUE!</v>
      </c>
      <c r="BJ69" s="323" t="e">
        <f aca="false">(LongTerm25!BL74/(1-LongTerm25!AR74))*(LongTerm25!F74*LongTerm25!AF74*LongTerm25!AH74)/10000</f>
        <v>#VALUE!</v>
      </c>
      <c r="BK69" s="319"/>
      <c r="BL69" s="319"/>
      <c r="BM69" s="319"/>
      <c r="BN69" s="319"/>
      <c r="BP69" s="325" t="e">
        <f aca="false">LongTerm62!D74</f>
        <v>#VALUE!</v>
      </c>
      <c r="BQ69" s="323" t="e">
        <f aca="false">(LongTerm62!$BM74+LongTerm62!$BL74/(1-LongTerm62!$AR74))*(LongTerm62!$F74*LongTerm62!$AF74*LongTerm62!$AH74)/10000</f>
        <v>#VALUE!</v>
      </c>
      <c r="BR69" s="323" t="e">
        <f aca="false">LongTerm62!$BM74*(LongTerm62!$F74*LongTerm62!$AF74*LongTerm62!$AH74)/10000</f>
        <v>#VALUE!</v>
      </c>
      <c r="BS69" s="323" t="e">
        <f aca="false">(LongTerm62!$BL74/(1-LongTerm62!$AR74))*(LongTerm62!$F74*LongTerm62!$AF74*LongTerm62!$AH74)/10000</f>
        <v>#VALUE!</v>
      </c>
      <c r="BT69" s="265"/>
      <c r="BU69" s="325" t="e">
        <f aca="false">LongTerm107!D74</f>
        <v>#VALUE!</v>
      </c>
      <c r="BV69" s="323" t="e">
        <f aca="false">(LongTerm107!$BM74+LongTerm107!$BL74/(1-LongTerm107!$AR74))*(LongTerm107!$F74*LongTerm107!$AF74*LongTerm107!$AH74)/10000</f>
        <v>#VALUE!</v>
      </c>
      <c r="BW69" s="323" t="e">
        <f aca="false">LongTerm107!$BM74*(LongTerm107!$F74*LongTerm107!$AF74*LongTerm107!$AH74)/10000</f>
        <v>#VALUE!</v>
      </c>
      <c r="BX69" s="323" t="e">
        <f aca="false">(LongTerm107!$BL74/(1-LongTerm107!$AR74))*(LongTerm107!$F74*LongTerm107!$AF74*LongTerm107!$AH74)/10000</f>
        <v>#VALUE!</v>
      </c>
      <c r="BY69" s="326"/>
      <c r="BZ69" s="325" t="e">
        <f aca="false">LongTerm108!D74</f>
        <v>#VALUE!</v>
      </c>
      <c r="CA69" s="323" t="e">
        <f aca="false">(LongTerm108!$BM74+LongTerm108!$BL74/(1-LongTerm108!$AR74))*(LongTerm108!$F74*LongTerm108!$AF74*LongTerm108!$AH74)/10000</f>
        <v>#VALUE!</v>
      </c>
      <c r="CB69" s="323" t="e">
        <f aca="false">LongTerm108!$BM74*(LongTerm108!$F74*LongTerm108!$AF74*LongTerm108!$AH74)/10000</f>
        <v>#VALUE!</v>
      </c>
      <c r="CC69" s="323" t="e">
        <f aca="false">(LongTerm108!$BL74/(1-LongTerm108!$AR74))*(LongTerm108!$F74*LongTerm108!$AF74*LongTerm108!$AH74)/10000</f>
        <v>#VALUE!</v>
      </c>
      <c r="CD69" s="332"/>
      <c r="CE69" s="333" t="n">
        <f aca="false">EOMONTH(CE68,0)+15</f>
        <v>38610</v>
      </c>
      <c r="CF69" s="337" t="n">
        <v>24.2</v>
      </c>
      <c r="CG69" s="337" t="n">
        <v>131.9</v>
      </c>
      <c r="CH69" s="337" t="n">
        <v>-157.4</v>
      </c>
      <c r="CI69" s="337" t="n">
        <v>0</v>
      </c>
      <c r="CJ69" s="337" t="n">
        <v>0</v>
      </c>
      <c r="CK69" s="337" t="n">
        <v>1.2</v>
      </c>
      <c r="CL69" s="337" t="n">
        <v>0</v>
      </c>
      <c r="CM69" s="337" t="n">
        <v>0</v>
      </c>
      <c r="CN69" s="337" t="n">
        <v>0</v>
      </c>
    </row>
    <row r="70" customFormat="false" ht="12.75" hidden="false" customHeight="false" outlineLevel="0" collapsed="false">
      <c r="B70" s="320" t="e">
        <f aca="false">Q70</f>
        <v>#VALUE!</v>
      </c>
      <c r="C70" s="319" t="e">
        <f aca="false">YEAR(B70)</f>
        <v>#VALUE!</v>
      </c>
      <c r="D70" s="266" t="e">
        <f aca="false">R70+AC70</f>
        <v>#VALUE!</v>
      </c>
      <c r="E70" s="266" t="e">
        <f aca="false">S70+AD70</f>
        <v>#VALUE!</v>
      </c>
      <c r="F70" s="266" t="e">
        <f aca="false">+T70+AE70</f>
        <v>#VALUE!</v>
      </c>
      <c r="G70" s="266" t="e">
        <f aca="false">+U70+AF70</f>
        <v>#VALUE!</v>
      </c>
      <c r="H70" s="266" t="e">
        <f aca="false">V70+AG70</f>
        <v>#VALUE!</v>
      </c>
      <c r="I70" s="266" t="e">
        <f aca="false">W70+AH70</f>
        <v>#VALUE!</v>
      </c>
      <c r="J70" s="265"/>
      <c r="K70" s="265"/>
      <c r="L70" s="265"/>
      <c r="M70" s="266" t="e">
        <f aca="false">X70+AI70</f>
        <v>#VALUE!</v>
      </c>
      <c r="N70" s="264" t="e">
        <f aca="false">Y70+AJ70</f>
        <v>#VALUE!</v>
      </c>
      <c r="O70" s="264" t="e">
        <f aca="false">Z70+AK70</f>
        <v>#VALUE!</v>
      </c>
      <c r="Q70" s="320" t="e">
        <f aca="false">EOMONTH(Q69,0)+15</f>
        <v>#VALUE!</v>
      </c>
      <c r="R70" s="266" t="e">
        <f aca="false">SUMIF(AM:AM,$Q70,AN:AN)+SUMIF(AQ:AQ,$Q70,AR:AR)+SUMIF(AU:AU,$Q70,AV:AV)+SUMIF(BU:BU,$Q70,BV:BV)+SUMIF(BZ:BZ,$Q70,CA:CA)+SUMIF(BG:BG,$Q70,BH:BH)+SUMIF(BK:BK,$Q70,BL:BL)+SUMIF(BP:BP,$Q70,BQ:BQ)</f>
        <v>#VALUE!</v>
      </c>
      <c r="S70" s="264" t="e">
        <f aca="false">SUMIF(AM:AM,$Q70,AP:AP)+SUMIF(BU:BU,$Q70,BW:BW)+SUMIF(BZ:BZ,$Q70,CB:CB)</f>
        <v>#VALUE!</v>
      </c>
      <c r="T70" s="264" t="e">
        <f aca="false">SUMIF(AQ:AQ,$Q70,AT:AT)+SUMIF(BG:BG,$Q70,BJ:BJ)+SUMIF(BK:BK,$Q70,BN:BN)</f>
        <v>#VALUE!</v>
      </c>
      <c r="U70" s="264" t="e">
        <f aca="false">SUMIF(AM:AM,$Q70,AO:AO)+SUMIF(AQ:AQ,$Q70,AS:AS)+SUMIF(BG:BG,$Q70,BI:BI)+SUMIF(BK:BK,$Q70,BM:BM)</f>
        <v>#VALUE!</v>
      </c>
      <c r="V70" s="264" t="e">
        <f aca="false">SUMIF(AU:AU,$Q70,AW:AW)</f>
        <v>#VALUE!</v>
      </c>
      <c r="W70" s="264" t="e">
        <f aca="false">SUMIF(AU:AU,$Q70,AX:AX)</f>
        <v>#VALUE!</v>
      </c>
      <c r="X70" s="264" t="e">
        <f aca="false">SUMIF(BP:BP,$Q70,BR:BR)</f>
        <v>#VALUE!</v>
      </c>
      <c r="Y70" s="266" t="e">
        <f aca="false">SUMIF(BP:BP,$Q70,BS:BS)</f>
        <v>#VALUE!</v>
      </c>
      <c r="Z70" s="264" t="e">
        <f aca="false">SUMIF(BU:BU,$Q70,BX:BX)+SUMIF(BZ:BZ,$Q70,CC:CC)</f>
        <v>#VALUE!</v>
      </c>
      <c r="AB70" s="320" t="e">
        <f aca="false">Q70</f>
        <v>#VALUE!</v>
      </c>
      <c r="AC70" s="321" t="e">
        <f aca="false">VLOOKUP(AB70,CE71:CK176,7,FALSE())</f>
        <v>#VALUE!</v>
      </c>
      <c r="AD70" s="264" t="e">
        <f aca="false">VLOOKUP(AB70,CE71:CJ176,3,FALSE())</f>
        <v>#VALUE!</v>
      </c>
      <c r="AE70" s="264" t="e">
        <f aca="false">VLOOKUP(AB70,CE71:CJ176,2,FALSE())</f>
        <v>#VALUE!</v>
      </c>
      <c r="AF70" s="264" t="e">
        <f aca="false">VLOOKUP(AB70,CE71:CJ176,4,FALSE())</f>
        <v>#VALUE!</v>
      </c>
      <c r="AG70" s="264" t="e">
        <f aca="false">VLOOKUP(AB70,CE71:CJ176,5,FALSE())</f>
        <v>#VALUE!</v>
      </c>
      <c r="AH70" s="264" t="e">
        <f aca="false">VLOOKUP(AB70,CE71:CJ176,6,FALSE())</f>
        <v>#VALUE!</v>
      </c>
      <c r="AI70" s="264" t="e">
        <f aca="false">VLOOKUP(AB70,CE71:CM176,8,FALSE())</f>
        <v>#VALUE!</v>
      </c>
      <c r="AJ70" s="266" t="e">
        <f aca="false">VLOOKUP(AB70,CE71:CM176,9,FALSE())</f>
        <v>#VALUE!</v>
      </c>
      <c r="AK70" s="264" t="e">
        <f aca="false">VLOOKUP(AB70,CE71:CN176,10,FALSE())</f>
        <v>#VALUE!</v>
      </c>
      <c r="AM70" s="322" t="e">
        <f aca="false">LongTerm1!D75</f>
        <v>#VALUE!</v>
      </c>
      <c r="AN70" s="323" t="e">
        <f aca="false">(LongTerm1!BM75+LongTerm1!BL75/(1-LongTerm1!AR75))*(LongTerm1!F75*LongTerm1!AF75*LongTerm1!AH75)/10000</f>
        <v>#VALUE!</v>
      </c>
      <c r="AO70" s="323" t="e">
        <f aca="false">LongTerm1!BM75*(LongTerm1!F75*LongTerm1!AF75*LongTerm1!AH75)/10000</f>
        <v>#VALUE!</v>
      </c>
      <c r="AP70" s="323" t="e">
        <f aca="false">(LongTerm1!BL75/(1-LongTerm1!AR75))*(LongTerm1!F75*LongTerm1!AF75*LongTerm1!AH75)/10000</f>
        <v>#VALUE!</v>
      </c>
      <c r="AQ70" s="324"/>
      <c r="AV70" s="319"/>
      <c r="AW70" s="319"/>
      <c r="AX70" s="319"/>
      <c r="AY70" s="319"/>
      <c r="AZ70" s="319"/>
      <c r="BA70" s="319"/>
      <c r="BB70" s="319"/>
      <c r="BC70" s="319"/>
      <c r="BD70" s="319"/>
      <c r="BE70" s="319"/>
      <c r="BF70" s="319"/>
      <c r="BG70" s="322" t="e">
        <f aca="false">LongTerm25!D75</f>
        <v>#VALUE!</v>
      </c>
      <c r="BH70" s="323" t="e">
        <f aca="false">(LongTerm25!BM75+LongTerm25!BL75/(1-LongTerm25!AR75))*(LongTerm25!F75*LongTerm25!AF75*LongTerm25!AH75)/10000</f>
        <v>#VALUE!</v>
      </c>
      <c r="BI70" s="323" t="e">
        <f aca="false">LongTerm25!BM75*(LongTerm25!F75*LongTerm25!AF75*LongTerm25!AH75)/10000</f>
        <v>#VALUE!</v>
      </c>
      <c r="BJ70" s="323" t="e">
        <f aca="false">(LongTerm25!BL75/(1-LongTerm25!AR75))*(LongTerm25!F75*LongTerm25!AF75*LongTerm25!AH75)/10000</f>
        <v>#VALUE!</v>
      </c>
      <c r="BK70" s="319"/>
      <c r="BL70" s="319"/>
      <c r="BM70" s="319"/>
      <c r="BN70" s="319"/>
      <c r="BP70" s="325" t="e">
        <f aca="false">LongTerm62!D75</f>
        <v>#VALUE!</v>
      </c>
      <c r="BQ70" s="323" t="e">
        <f aca="false">(LongTerm62!$BM75+LongTerm62!$BL75/(1-LongTerm62!$AR75))*(LongTerm62!$F75*LongTerm62!$AF75*LongTerm62!$AH75)/10000</f>
        <v>#VALUE!</v>
      </c>
      <c r="BR70" s="323" t="e">
        <f aca="false">LongTerm62!$BM75*(LongTerm62!$F75*LongTerm62!$AF75*LongTerm62!$AH75)/10000</f>
        <v>#VALUE!</v>
      </c>
      <c r="BS70" s="323" t="e">
        <f aca="false">(LongTerm62!$BL75/(1-LongTerm62!$AR75))*(LongTerm62!$F75*LongTerm62!$AF75*LongTerm62!$AH75)/10000</f>
        <v>#VALUE!</v>
      </c>
      <c r="BT70" s="265"/>
      <c r="BU70" s="325" t="e">
        <f aca="false">LongTerm107!D75</f>
        <v>#VALUE!</v>
      </c>
      <c r="BV70" s="323" t="e">
        <f aca="false">(LongTerm107!$BM75+LongTerm107!$BL75/(1-LongTerm107!$AR75))*(LongTerm107!$F75*LongTerm107!$AF75*LongTerm107!$AH75)/10000</f>
        <v>#VALUE!</v>
      </c>
      <c r="BW70" s="323" t="e">
        <f aca="false">LongTerm107!$BM75*(LongTerm107!$F75*LongTerm107!$AF75*LongTerm107!$AH75)/10000</f>
        <v>#VALUE!</v>
      </c>
      <c r="BX70" s="323" t="e">
        <f aca="false">(LongTerm107!$BL75/(1-LongTerm107!$AR75))*(LongTerm107!$F75*LongTerm107!$AF75*LongTerm107!$AH75)/10000</f>
        <v>#VALUE!</v>
      </c>
      <c r="BY70" s="326"/>
      <c r="BZ70" s="325" t="e">
        <f aca="false">LongTerm108!D75</f>
        <v>#VALUE!</v>
      </c>
      <c r="CA70" s="323" t="e">
        <f aca="false">(LongTerm108!$BM75+LongTerm108!$BL75/(1-LongTerm108!$AR75))*(LongTerm108!$F75*LongTerm108!$AF75*LongTerm108!$AH75)/10000</f>
        <v>#VALUE!</v>
      </c>
      <c r="CB70" s="323" t="e">
        <f aca="false">LongTerm108!$BM75*(LongTerm108!$F75*LongTerm108!$AF75*LongTerm108!$AH75)/10000</f>
        <v>#VALUE!</v>
      </c>
      <c r="CC70" s="323" t="e">
        <f aca="false">(LongTerm108!$BL75/(1-LongTerm108!$AR75))*(LongTerm108!$F75*LongTerm108!$AF75*LongTerm108!$AH75)/10000</f>
        <v>#VALUE!</v>
      </c>
      <c r="CD70" s="332"/>
      <c r="CE70" s="333" t="n">
        <f aca="false">EOMONTH(CE69,0)+15</f>
        <v>38640</v>
      </c>
      <c r="CF70" s="337" t="n">
        <v>25.1</v>
      </c>
      <c r="CG70" s="337" t="n">
        <v>133</v>
      </c>
      <c r="CH70" s="337" t="n">
        <v>-158.6</v>
      </c>
      <c r="CI70" s="337" t="n">
        <v>0</v>
      </c>
      <c r="CJ70" s="337" t="n">
        <v>0</v>
      </c>
      <c r="CK70" s="337" t="n">
        <v>1.1</v>
      </c>
      <c r="CL70" s="337" t="n">
        <v>0</v>
      </c>
      <c r="CM70" s="337" t="n">
        <v>0</v>
      </c>
      <c r="CN70" s="337" t="n">
        <v>0</v>
      </c>
    </row>
    <row r="71" customFormat="false" ht="12.75" hidden="false" customHeight="false" outlineLevel="0" collapsed="false">
      <c r="B71" s="320" t="e">
        <f aca="false">Q71</f>
        <v>#VALUE!</v>
      </c>
      <c r="C71" s="319" t="e">
        <f aca="false">YEAR(B71)</f>
        <v>#VALUE!</v>
      </c>
      <c r="D71" s="266" t="e">
        <f aca="false">R71+AC71</f>
        <v>#VALUE!</v>
      </c>
      <c r="E71" s="266" t="e">
        <f aca="false">S71+AD71</f>
        <v>#VALUE!</v>
      </c>
      <c r="F71" s="266" t="e">
        <f aca="false">+T71+AE71</f>
        <v>#VALUE!</v>
      </c>
      <c r="G71" s="266" t="e">
        <f aca="false">+U71+AF71</f>
        <v>#VALUE!</v>
      </c>
      <c r="H71" s="266" t="e">
        <f aca="false">V71+AG71</f>
        <v>#VALUE!</v>
      </c>
      <c r="I71" s="266" t="e">
        <f aca="false">W71+AH71</f>
        <v>#VALUE!</v>
      </c>
      <c r="J71" s="265"/>
      <c r="K71" s="265"/>
      <c r="L71" s="265"/>
      <c r="M71" s="266" t="e">
        <f aca="false">X71+AI71</f>
        <v>#VALUE!</v>
      </c>
      <c r="N71" s="264" t="e">
        <f aca="false">Y71+AJ71</f>
        <v>#VALUE!</v>
      </c>
      <c r="O71" s="264" t="e">
        <f aca="false">Z71+AK71</f>
        <v>#VALUE!</v>
      </c>
      <c r="Q71" s="320" t="e">
        <f aca="false">EOMONTH(Q70,0)+15</f>
        <v>#VALUE!</v>
      </c>
      <c r="R71" s="266" t="e">
        <f aca="false">SUMIF(AM:AM,$Q71,AN:AN)+SUMIF(AQ:AQ,$Q71,AR:AR)+SUMIF(AU:AU,$Q71,AV:AV)+SUMIF(BU:BU,$Q71,BV:BV)+SUMIF(BZ:BZ,$Q71,CA:CA)+SUMIF(BG:BG,$Q71,BH:BH)+SUMIF(BK:BK,$Q71,BL:BL)+SUMIF(BP:BP,$Q71,BQ:BQ)</f>
        <v>#VALUE!</v>
      </c>
      <c r="S71" s="264" t="e">
        <f aca="false">SUMIF(AM:AM,$Q71,AP:AP)+SUMIF(BU:BU,$Q71,BW:BW)+SUMIF(BZ:BZ,$Q71,CB:CB)</f>
        <v>#VALUE!</v>
      </c>
      <c r="T71" s="264" t="e">
        <f aca="false">SUMIF(AQ:AQ,$Q71,AT:AT)+SUMIF(BG:BG,$Q71,BJ:BJ)+SUMIF(BK:BK,$Q71,BN:BN)</f>
        <v>#VALUE!</v>
      </c>
      <c r="U71" s="264" t="e">
        <f aca="false">SUMIF(AM:AM,$Q71,AO:AO)+SUMIF(AQ:AQ,$Q71,AS:AS)+SUMIF(BG:BG,$Q71,BI:BI)+SUMIF(BK:BK,$Q71,BM:BM)</f>
        <v>#VALUE!</v>
      </c>
      <c r="V71" s="264" t="e">
        <f aca="false">SUMIF(AU:AU,$Q71,AW:AW)</f>
        <v>#VALUE!</v>
      </c>
      <c r="W71" s="264" t="e">
        <f aca="false">SUMIF(AU:AU,$Q71,AX:AX)</f>
        <v>#VALUE!</v>
      </c>
      <c r="X71" s="264" t="e">
        <f aca="false">SUMIF(BP:BP,$Q71,BR:BR)</f>
        <v>#VALUE!</v>
      </c>
      <c r="Y71" s="266" t="e">
        <f aca="false">SUMIF(BP:BP,$Q71,BS:BS)</f>
        <v>#VALUE!</v>
      </c>
      <c r="Z71" s="264" t="e">
        <f aca="false">SUMIF(BU:BU,$Q71,BX:BX)+SUMIF(BZ:BZ,$Q71,CC:CC)</f>
        <v>#VALUE!</v>
      </c>
      <c r="AB71" s="320" t="e">
        <f aca="false">Q71</f>
        <v>#VALUE!</v>
      </c>
      <c r="AC71" s="321" t="e">
        <f aca="false">VLOOKUP(AB71,CE72:CK177,7,FALSE())</f>
        <v>#VALUE!</v>
      </c>
      <c r="AD71" s="264" t="e">
        <f aca="false">VLOOKUP(AB71,CE72:CJ177,3,FALSE())</f>
        <v>#VALUE!</v>
      </c>
      <c r="AE71" s="264" t="e">
        <f aca="false">VLOOKUP(AB71,CE72:CJ177,2,FALSE())</f>
        <v>#VALUE!</v>
      </c>
      <c r="AF71" s="264" t="e">
        <f aca="false">VLOOKUP(AB71,CE72:CJ177,4,FALSE())</f>
        <v>#VALUE!</v>
      </c>
      <c r="AG71" s="264" t="e">
        <f aca="false">VLOOKUP(AB71,CE72:CJ177,5,FALSE())</f>
        <v>#VALUE!</v>
      </c>
      <c r="AH71" s="264" t="e">
        <f aca="false">VLOOKUP(AB71,CE72:CJ177,6,FALSE())</f>
        <v>#VALUE!</v>
      </c>
      <c r="AI71" s="264" t="e">
        <f aca="false">VLOOKUP(AB71,CE72:CM177,8,FALSE())</f>
        <v>#VALUE!</v>
      </c>
      <c r="AJ71" s="266" t="e">
        <f aca="false">VLOOKUP(AB71,CE72:CM177,9,FALSE())</f>
        <v>#VALUE!</v>
      </c>
      <c r="AK71" s="264" t="e">
        <f aca="false">VLOOKUP(AB71,CE72:CN177,10,FALSE())</f>
        <v>#VALUE!</v>
      </c>
      <c r="AM71" s="322" t="e">
        <f aca="false">LongTerm1!D76</f>
        <v>#VALUE!</v>
      </c>
      <c r="AN71" s="323" t="e">
        <f aca="false">(LongTerm1!BM76+LongTerm1!BL76/(1-LongTerm1!AR76))*(LongTerm1!F76*LongTerm1!AF76*LongTerm1!AH76)/10000</f>
        <v>#VALUE!</v>
      </c>
      <c r="AO71" s="323" t="e">
        <f aca="false">LongTerm1!BM76*(LongTerm1!F76*LongTerm1!AF76*LongTerm1!AH76)/10000</f>
        <v>#VALUE!</v>
      </c>
      <c r="AP71" s="323" t="e">
        <f aca="false">(LongTerm1!BL76/(1-LongTerm1!AR76))*(LongTerm1!F76*LongTerm1!AF76*LongTerm1!AH76)/10000</f>
        <v>#VALUE!</v>
      </c>
      <c r="AQ71" s="324"/>
      <c r="AV71" s="319"/>
      <c r="AW71" s="319"/>
      <c r="AX71" s="319"/>
      <c r="AY71" s="319"/>
      <c r="AZ71" s="319"/>
      <c r="BA71" s="319"/>
      <c r="BB71" s="319"/>
      <c r="BC71" s="319"/>
      <c r="BD71" s="319"/>
      <c r="BE71" s="319"/>
      <c r="BF71" s="319"/>
      <c r="BG71" s="322" t="e">
        <f aca="false">LongTerm25!D76</f>
        <v>#VALUE!</v>
      </c>
      <c r="BH71" s="323" t="e">
        <f aca="false">(LongTerm25!BM76+LongTerm25!BL76/(1-LongTerm25!AR76))*(LongTerm25!F76*LongTerm25!AF76*LongTerm25!AH76)/10000</f>
        <v>#VALUE!</v>
      </c>
      <c r="BI71" s="323" t="e">
        <f aca="false">LongTerm25!BM76*(LongTerm25!F76*LongTerm25!AF76*LongTerm25!AH76)/10000</f>
        <v>#VALUE!</v>
      </c>
      <c r="BJ71" s="323" t="e">
        <f aca="false">(LongTerm25!BL76/(1-LongTerm25!AR76))*(LongTerm25!F76*LongTerm25!AF76*LongTerm25!AH76)/10000</f>
        <v>#VALUE!</v>
      </c>
      <c r="BK71" s="319"/>
      <c r="BL71" s="319"/>
      <c r="BM71" s="319"/>
      <c r="BN71" s="319"/>
      <c r="BP71" s="325" t="e">
        <f aca="false">LongTerm62!D76</f>
        <v>#VALUE!</v>
      </c>
      <c r="BQ71" s="323" t="e">
        <f aca="false">(LongTerm62!$BM76+LongTerm62!$BL76/(1-LongTerm62!$AR76))*(LongTerm62!$F76*LongTerm62!$AF76*LongTerm62!$AH76)/10000</f>
        <v>#VALUE!</v>
      </c>
      <c r="BR71" s="323" t="e">
        <f aca="false">LongTerm62!$BM76*(LongTerm62!$F76*LongTerm62!$AF76*LongTerm62!$AH76)/10000</f>
        <v>#VALUE!</v>
      </c>
      <c r="BS71" s="323" t="e">
        <f aca="false">(LongTerm62!$BL76/(1-LongTerm62!$AR76))*(LongTerm62!$F76*LongTerm62!$AF76*LongTerm62!$AH76)/10000</f>
        <v>#VALUE!</v>
      </c>
      <c r="BT71" s="265"/>
      <c r="BU71" s="325" t="e">
        <f aca="false">LongTerm107!D76</f>
        <v>#VALUE!</v>
      </c>
      <c r="BV71" s="323" t="e">
        <f aca="false">(LongTerm107!$BM76+LongTerm107!$BL76/(1-LongTerm107!$AR76))*(LongTerm107!$F76*LongTerm107!$AF76*LongTerm107!$AH76)/10000</f>
        <v>#VALUE!</v>
      </c>
      <c r="BW71" s="323" t="e">
        <f aca="false">LongTerm107!$BM76*(LongTerm107!$F76*LongTerm107!$AF76*LongTerm107!$AH76)/10000</f>
        <v>#VALUE!</v>
      </c>
      <c r="BX71" s="323" t="e">
        <f aca="false">(LongTerm107!$BL76/(1-LongTerm107!$AR76))*(LongTerm107!$F76*LongTerm107!$AF76*LongTerm107!$AH76)/10000</f>
        <v>#VALUE!</v>
      </c>
      <c r="BY71" s="326"/>
      <c r="BZ71" s="325" t="e">
        <f aca="false">LongTerm108!D76</f>
        <v>#VALUE!</v>
      </c>
      <c r="CA71" s="323" t="e">
        <f aca="false">(LongTerm108!$BM76+LongTerm108!$BL76/(1-LongTerm108!$AR76))*(LongTerm108!$F76*LongTerm108!$AF76*LongTerm108!$AH76)/10000</f>
        <v>#VALUE!</v>
      </c>
      <c r="CB71" s="323" t="e">
        <f aca="false">LongTerm108!$BM76*(LongTerm108!$F76*LongTerm108!$AF76*LongTerm108!$AH76)/10000</f>
        <v>#VALUE!</v>
      </c>
      <c r="CC71" s="323" t="e">
        <f aca="false">(LongTerm108!$BL76/(1-LongTerm108!$AR76))*(LongTerm108!$F76*LongTerm108!$AF76*LongTerm108!$AH76)/10000</f>
        <v>#VALUE!</v>
      </c>
      <c r="CD71" s="332"/>
      <c r="CE71" s="333" t="n">
        <f aca="false">EOMONTH(CE70,0)+15</f>
        <v>38671</v>
      </c>
      <c r="CF71" s="337" t="n">
        <v>23.9</v>
      </c>
      <c r="CG71" s="337" t="n">
        <v>105.3</v>
      </c>
      <c r="CH71" s="337" t="n">
        <v>-128.3</v>
      </c>
      <c r="CI71" s="337" t="n">
        <v>0</v>
      </c>
      <c r="CJ71" s="337" t="n">
        <v>0</v>
      </c>
      <c r="CK71" s="337" t="n">
        <v>1.2</v>
      </c>
      <c r="CL71" s="337" t="n">
        <v>-18.5</v>
      </c>
      <c r="CM71" s="337" t="n">
        <v>18.5</v>
      </c>
      <c r="CN71" s="337" t="n">
        <v>0</v>
      </c>
    </row>
    <row r="72" customFormat="false" ht="12.75" hidden="false" customHeight="false" outlineLevel="0" collapsed="false">
      <c r="B72" s="320" t="e">
        <f aca="false">Q72</f>
        <v>#VALUE!</v>
      </c>
      <c r="C72" s="319" t="e">
        <f aca="false">YEAR(B72)</f>
        <v>#VALUE!</v>
      </c>
      <c r="D72" s="266" t="e">
        <f aca="false">R72+AC72</f>
        <v>#VALUE!</v>
      </c>
      <c r="E72" s="266" t="e">
        <f aca="false">S72+AD72</f>
        <v>#VALUE!</v>
      </c>
      <c r="F72" s="266" t="e">
        <f aca="false">+T72+AE72</f>
        <v>#VALUE!</v>
      </c>
      <c r="G72" s="266" t="e">
        <f aca="false">+U72+AF72</f>
        <v>#VALUE!</v>
      </c>
      <c r="H72" s="266" t="e">
        <f aca="false">V72+AG72</f>
        <v>#VALUE!</v>
      </c>
      <c r="I72" s="266" t="e">
        <f aca="false">W72+AH72</f>
        <v>#VALUE!</v>
      </c>
      <c r="J72" s="265"/>
      <c r="K72" s="265"/>
      <c r="L72" s="265"/>
      <c r="M72" s="266" t="e">
        <f aca="false">X72+AI72</f>
        <v>#VALUE!</v>
      </c>
      <c r="N72" s="264" t="e">
        <f aca="false">Y72+AJ72</f>
        <v>#VALUE!</v>
      </c>
      <c r="O72" s="264" t="e">
        <f aca="false">Z72+AK72</f>
        <v>#VALUE!</v>
      </c>
      <c r="Q72" s="320" t="e">
        <f aca="false">EOMONTH(Q71,0)+15</f>
        <v>#VALUE!</v>
      </c>
      <c r="R72" s="266" t="e">
        <f aca="false">SUMIF(AM:AM,$Q72,AN:AN)+SUMIF(AQ:AQ,$Q72,AR:AR)+SUMIF(AU:AU,$Q72,AV:AV)+SUMIF(BU:BU,$Q72,BV:BV)+SUMIF(BZ:BZ,$Q72,CA:CA)+SUMIF(BG:BG,$Q72,BH:BH)+SUMIF(BK:BK,$Q72,BL:BL)+SUMIF(BP:BP,$Q72,BQ:BQ)</f>
        <v>#VALUE!</v>
      </c>
      <c r="S72" s="264" t="e">
        <f aca="false">SUMIF(AM:AM,$Q72,AP:AP)+SUMIF(BU:BU,$Q72,BW:BW)+SUMIF(BZ:BZ,$Q72,CB:CB)</f>
        <v>#VALUE!</v>
      </c>
      <c r="T72" s="264" t="e">
        <f aca="false">SUMIF(AQ:AQ,$Q72,AT:AT)+SUMIF(BG:BG,$Q72,BJ:BJ)+SUMIF(BK:BK,$Q72,BN:BN)</f>
        <v>#VALUE!</v>
      </c>
      <c r="U72" s="264" t="e">
        <f aca="false">SUMIF(AM:AM,$Q72,AO:AO)+SUMIF(AQ:AQ,$Q72,AS:AS)+SUMIF(BG:BG,$Q72,BI:BI)+SUMIF(BK:BK,$Q72,BM:BM)</f>
        <v>#VALUE!</v>
      </c>
      <c r="V72" s="264" t="e">
        <f aca="false">SUMIF(AU:AU,$Q72,AW:AW)</f>
        <v>#VALUE!</v>
      </c>
      <c r="W72" s="264" t="e">
        <f aca="false">SUMIF(AU:AU,$Q72,AX:AX)</f>
        <v>#VALUE!</v>
      </c>
      <c r="X72" s="264" t="e">
        <f aca="false">SUMIF(BP:BP,$Q72,BR:BR)</f>
        <v>#VALUE!</v>
      </c>
      <c r="Y72" s="266" t="e">
        <f aca="false">SUMIF(BP:BP,$Q72,BS:BS)</f>
        <v>#VALUE!</v>
      </c>
      <c r="Z72" s="264" t="e">
        <f aca="false">SUMIF(BU:BU,$Q72,BX:BX)+SUMIF(BZ:BZ,$Q72,CC:CC)</f>
        <v>#VALUE!</v>
      </c>
      <c r="AB72" s="320" t="e">
        <f aca="false">Q72</f>
        <v>#VALUE!</v>
      </c>
      <c r="AC72" s="321" t="e">
        <f aca="false">VLOOKUP(AB72,CE73:CK178,7,FALSE())</f>
        <v>#VALUE!</v>
      </c>
      <c r="AD72" s="264" t="e">
        <f aca="false">VLOOKUP(AB72,CE73:CJ178,3,FALSE())</f>
        <v>#VALUE!</v>
      </c>
      <c r="AE72" s="264" t="e">
        <f aca="false">VLOOKUP(AB72,CE73:CJ178,2,FALSE())</f>
        <v>#VALUE!</v>
      </c>
      <c r="AF72" s="264" t="e">
        <f aca="false">VLOOKUP(AB72,CE73:CJ178,4,FALSE())</f>
        <v>#VALUE!</v>
      </c>
      <c r="AG72" s="264" t="e">
        <f aca="false">VLOOKUP(AB72,CE73:CJ178,5,FALSE())</f>
        <v>#VALUE!</v>
      </c>
      <c r="AH72" s="264" t="e">
        <f aca="false">VLOOKUP(AB72,CE73:CJ178,6,FALSE())</f>
        <v>#VALUE!</v>
      </c>
      <c r="AI72" s="264" t="e">
        <f aca="false">VLOOKUP(AB72,CE73:CM178,8,FALSE())</f>
        <v>#VALUE!</v>
      </c>
      <c r="AJ72" s="266" t="e">
        <f aca="false">VLOOKUP(AB72,CE73:CM178,9,FALSE())</f>
        <v>#VALUE!</v>
      </c>
      <c r="AK72" s="264" t="e">
        <f aca="false">VLOOKUP(AB72,CE73:CN178,10,FALSE())</f>
        <v>#VALUE!</v>
      </c>
      <c r="AM72" s="322" t="e">
        <f aca="false">LongTerm1!D77</f>
        <v>#VALUE!</v>
      </c>
      <c r="AN72" s="323" t="e">
        <f aca="false">(LongTerm1!BM77+LongTerm1!BL77/(1-LongTerm1!AR77))*(LongTerm1!F77*LongTerm1!AF77*LongTerm1!AH77)/10000</f>
        <v>#VALUE!</v>
      </c>
      <c r="AO72" s="323" t="e">
        <f aca="false">LongTerm1!BM77*(LongTerm1!F77*LongTerm1!AF77*LongTerm1!AH77)/10000</f>
        <v>#VALUE!</v>
      </c>
      <c r="AP72" s="323" t="e">
        <f aca="false">(LongTerm1!BL77/(1-LongTerm1!AR77))*(LongTerm1!F77*LongTerm1!AF77*LongTerm1!AH77)/10000</f>
        <v>#VALUE!</v>
      </c>
      <c r="AQ72" s="324"/>
      <c r="AV72" s="319"/>
      <c r="AW72" s="319"/>
      <c r="AX72" s="319"/>
      <c r="AY72" s="319"/>
      <c r="AZ72" s="319"/>
      <c r="BA72" s="319"/>
      <c r="BB72" s="319"/>
      <c r="BC72" s="319"/>
      <c r="BD72" s="319"/>
      <c r="BE72" s="319"/>
      <c r="BF72" s="319"/>
      <c r="BG72" s="322" t="e">
        <f aca="false">LongTerm25!D77</f>
        <v>#VALUE!</v>
      </c>
      <c r="BH72" s="323" t="e">
        <f aca="false">(LongTerm25!BM77+LongTerm25!BL77/(1-LongTerm25!AR77))*(LongTerm25!F77*LongTerm25!AF77*LongTerm25!AH77)/10000</f>
        <v>#VALUE!</v>
      </c>
      <c r="BI72" s="323" t="e">
        <f aca="false">LongTerm25!BM77*(LongTerm25!F77*LongTerm25!AF77*LongTerm25!AH77)/10000</f>
        <v>#VALUE!</v>
      </c>
      <c r="BJ72" s="323" t="e">
        <f aca="false">(LongTerm25!BL77/(1-LongTerm25!AR77))*(LongTerm25!F77*LongTerm25!AF77*LongTerm25!AH77)/10000</f>
        <v>#VALUE!</v>
      </c>
      <c r="BK72" s="319"/>
      <c r="BL72" s="319"/>
      <c r="BM72" s="319"/>
      <c r="BN72" s="319"/>
      <c r="BP72" s="325" t="e">
        <f aca="false">LongTerm62!D77</f>
        <v>#VALUE!</v>
      </c>
      <c r="BQ72" s="323" t="e">
        <f aca="false">(LongTerm62!$BM77+LongTerm62!$BL77/(1-LongTerm62!$AR77))*(LongTerm62!$F77*LongTerm62!$AF77*LongTerm62!$AH77)/10000</f>
        <v>#VALUE!</v>
      </c>
      <c r="BR72" s="323" t="e">
        <f aca="false">LongTerm62!$BM77*(LongTerm62!$F77*LongTerm62!$AF77*LongTerm62!$AH77)/10000</f>
        <v>#VALUE!</v>
      </c>
      <c r="BS72" s="323" t="e">
        <f aca="false">(LongTerm62!$BL77/(1-LongTerm62!$AR77))*(LongTerm62!$F77*LongTerm62!$AF77*LongTerm62!$AH77)/10000</f>
        <v>#VALUE!</v>
      </c>
      <c r="BT72" s="265"/>
      <c r="BU72" s="325" t="e">
        <f aca="false">LongTerm107!D77</f>
        <v>#VALUE!</v>
      </c>
      <c r="BV72" s="323" t="e">
        <f aca="false">(LongTerm107!$BM77+LongTerm107!$BL77/(1-LongTerm107!$AR77))*(LongTerm107!$F77*LongTerm107!$AF77*LongTerm107!$AH77)/10000</f>
        <v>#VALUE!</v>
      </c>
      <c r="BW72" s="323" t="e">
        <f aca="false">LongTerm107!$BM77*(LongTerm107!$F77*LongTerm107!$AF77*LongTerm107!$AH77)/10000</f>
        <v>#VALUE!</v>
      </c>
      <c r="BX72" s="323" t="e">
        <f aca="false">(LongTerm107!$BL77/(1-LongTerm107!$AR77))*(LongTerm107!$F77*LongTerm107!$AF77*LongTerm107!$AH77)/10000</f>
        <v>#VALUE!</v>
      </c>
      <c r="BY72" s="326"/>
      <c r="BZ72" s="325" t="e">
        <f aca="false">LongTerm108!D77</f>
        <v>#VALUE!</v>
      </c>
      <c r="CA72" s="323" t="e">
        <f aca="false">(LongTerm108!$BM77+LongTerm108!$BL77/(1-LongTerm108!$AR77))*(LongTerm108!$F77*LongTerm108!$AF77*LongTerm108!$AH77)/10000</f>
        <v>#VALUE!</v>
      </c>
      <c r="CB72" s="323" t="e">
        <f aca="false">LongTerm108!$BM77*(LongTerm108!$F77*LongTerm108!$AF77*LongTerm108!$AH77)/10000</f>
        <v>#VALUE!</v>
      </c>
      <c r="CC72" s="323" t="e">
        <f aca="false">(LongTerm108!$BL77/(1-LongTerm108!$AR77))*(LongTerm108!$F77*LongTerm108!$AF77*LongTerm108!$AH77)/10000</f>
        <v>#VALUE!</v>
      </c>
      <c r="CD72" s="332"/>
      <c r="CE72" s="333" t="n">
        <f aca="false">EOMONTH(CE71,0)+15</f>
        <v>38701</v>
      </c>
      <c r="CF72" s="337" t="n">
        <v>24.5</v>
      </c>
      <c r="CG72" s="337" t="n">
        <v>97.2</v>
      </c>
      <c r="CH72" s="337" t="n">
        <v>-122.9</v>
      </c>
      <c r="CI72" s="337" t="n">
        <v>0</v>
      </c>
      <c r="CJ72" s="337" t="n">
        <v>0</v>
      </c>
      <c r="CK72" s="337" t="n">
        <v>1.1</v>
      </c>
      <c r="CL72" s="337" t="n">
        <v>-12</v>
      </c>
      <c r="CM72" s="337" t="n">
        <v>12</v>
      </c>
      <c r="CN72" s="337" t="n">
        <v>0</v>
      </c>
    </row>
    <row r="73" customFormat="false" ht="12.75" hidden="false" customHeight="false" outlineLevel="0" collapsed="false">
      <c r="B73" s="320" t="e">
        <f aca="false">Q73</f>
        <v>#VALUE!</v>
      </c>
      <c r="C73" s="319" t="e">
        <f aca="false">YEAR(B73)</f>
        <v>#VALUE!</v>
      </c>
      <c r="D73" s="266" t="e">
        <f aca="false">R73+AC73</f>
        <v>#VALUE!</v>
      </c>
      <c r="E73" s="266" t="e">
        <f aca="false">S73+AD73</f>
        <v>#VALUE!</v>
      </c>
      <c r="F73" s="266" t="e">
        <f aca="false">+T73+AE73</f>
        <v>#VALUE!</v>
      </c>
      <c r="G73" s="266" t="e">
        <f aca="false">+U73+AF73</f>
        <v>#VALUE!</v>
      </c>
      <c r="H73" s="266" t="e">
        <f aca="false">V73+AG73</f>
        <v>#VALUE!</v>
      </c>
      <c r="I73" s="266" t="e">
        <f aca="false">W73+AH73</f>
        <v>#VALUE!</v>
      </c>
      <c r="J73" s="265"/>
      <c r="K73" s="265"/>
      <c r="L73" s="265"/>
      <c r="M73" s="266" t="e">
        <f aca="false">X73+AI73</f>
        <v>#VALUE!</v>
      </c>
      <c r="N73" s="264" t="e">
        <f aca="false">Y73+AJ73</f>
        <v>#VALUE!</v>
      </c>
      <c r="O73" s="264" t="e">
        <f aca="false">Z73+AK73</f>
        <v>#VALUE!</v>
      </c>
      <c r="Q73" s="320" t="e">
        <f aca="false">EOMONTH(Q72,0)+15</f>
        <v>#VALUE!</v>
      </c>
      <c r="R73" s="266" t="e">
        <f aca="false">SUMIF(AM:AM,$Q73,AN:AN)+SUMIF(AQ:AQ,$Q73,AR:AR)+SUMIF(AU:AU,$Q73,AV:AV)+SUMIF(BU:BU,$Q73,BV:BV)+SUMIF(BZ:BZ,$Q73,CA:CA)+SUMIF(BG:BG,$Q73,BH:BH)+SUMIF(BK:BK,$Q73,BL:BL)+SUMIF(BP:BP,$Q73,BQ:BQ)</f>
        <v>#VALUE!</v>
      </c>
      <c r="S73" s="264" t="e">
        <f aca="false">SUMIF(AM:AM,$Q73,AP:AP)+SUMIF(BU:BU,$Q73,BW:BW)+SUMIF(BZ:BZ,$Q73,CB:CB)</f>
        <v>#VALUE!</v>
      </c>
      <c r="T73" s="264" t="e">
        <f aca="false">SUMIF(AQ:AQ,$Q73,AT:AT)+SUMIF(BG:BG,$Q73,BJ:BJ)+SUMIF(BK:BK,$Q73,BN:BN)</f>
        <v>#VALUE!</v>
      </c>
      <c r="U73" s="264" t="e">
        <f aca="false">SUMIF(AM:AM,$Q73,AO:AO)+SUMIF(AQ:AQ,$Q73,AS:AS)+SUMIF(BG:BG,$Q73,BI:BI)+SUMIF(BK:BK,$Q73,BM:BM)</f>
        <v>#VALUE!</v>
      </c>
      <c r="V73" s="264" t="e">
        <f aca="false">SUMIF(AU:AU,$Q73,AW:AW)</f>
        <v>#VALUE!</v>
      </c>
      <c r="W73" s="264" t="e">
        <f aca="false">SUMIF(AU:AU,$Q73,AX:AX)</f>
        <v>#VALUE!</v>
      </c>
      <c r="X73" s="264" t="e">
        <f aca="false">SUMIF(BP:BP,$Q73,BR:BR)</f>
        <v>#VALUE!</v>
      </c>
      <c r="Y73" s="266" t="e">
        <f aca="false">SUMIF(BP:BP,$Q73,BS:BS)</f>
        <v>#VALUE!</v>
      </c>
      <c r="Z73" s="264" t="e">
        <f aca="false">SUMIF(BU:BU,$Q73,BX:BX)+SUMIF(BZ:BZ,$Q73,CC:CC)</f>
        <v>#VALUE!</v>
      </c>
      <c r="AB73" s="320" t="e">
        <f aca="false">Q73</f>
        <v>#VALUE!</v>
      </c>
      <c r="AC73" s="321" t="e">
        <f aca="false">VLOOKUP(AB73,CE74:CK179,7,FALSE())</f>
        <v>#VALUE!</v>
      </c>
      <c r="AD73" s="264" t="e">
        <f aca="false">VLOOKUP(AB73,CE74:CJ179,3,FALSE())</f>
        <v>#VALUE!</v>
      </c>
      <c r="AE73" s="264" t="e">
        <f aca="false">VLOOKUP(AB73,CE74:CJ179,2,FALSE())</f>
        <v>#VALUE!</v>
      </c>
      <c r="AF73" s="264" t="e">
        <f aca="false">VLOOKUP(AB73,CE74:CJ179,4,FALSE())</f>
        <v>#VALUE!</v>
      </c>
      <c r="AG73" s="264" t="e">
        <f aca="false">VLOOKUP(AB73,CE74:CJ179,5,FALSE())</f>
        <v>#VALUE!</v>
      </c>
      <c r="AH73" s="264" t="e">
        <f aca="false">VLOOKUP(AB73,CE74:CJ179,6,FALSE())</f>
        <v>#VALUE!</v>
      </c>
      <c r="AI73" s="264" t="e">
        <f aca="false">VLOOKUP(AB73,CE74:CM179,8,FALSE())</f>
        <v>#VALUE!</v>
      </c>
      <c r="AJ73" s="266" t="e">
        <f aca="false">VLOOKUP(AB73,CE74:CM179,9,FALSE())</f>
        <v>#VALUE!</v>
      </c>
      <c r="AK73" s="264" t="e">
        <f aca="false">VLOOKUP(AB73,CE74:CN179,10,FALSE())</f>
        <v>#VALUE!</v>
      </c>
      <c r="AM73" s="322" t="e">
        <f aca="false">LongTerm1!D78</f>
        <v>#VALUE!</v>
      </c>
      <c r="AN73" s="323" t="e">
        <f aca="false">(LongTerm1!BM78+LongTerm1!BL78/(1-LongTerm1!AR78))*(LongTerm1!F78*LongTerm1!AF78*LongTerm1!AH78)/10000</f>
        <v>#VALUE!</v>
      </c>
      <c r="AO73" s="323" t="e">
        <f aca="false">LongTerm1!BM78*(LongTerm1!F78*LongTerm1!AF78*LongTerm1!AH78)/10000</f>
        <v>#VALUE!</v>
      </c>
      <c r="AP73" s="323" t="e">
        <f aca="false">(LongTerm1!BL78/(1-LongTerm1!AR78))*(LongTerm1!F78*LongTerm1!AF78*LongTerm1!AH78)/10000</f>
        <v>#VALUE!</v>
      </c>
      <c r="AQ73" s="324"/>
      <c r="AV73" s="319"/>
      <c r="AW73" s="319"/>
      <c r="AX73" s="319"/>
      <c r="AY73" s="319"/>
      <c r="AZ73" s="319"/>
      <c r="BA73" s="319"/>
      <c r="BB73" s="319"/>
      <c r="BC73" s="319"/>
      <c r="BD73" s="319"/>
      <c r="BE73" s="319"/>
      <c r="BF73" s="319"/>
      <c r="BG73" s="322" t="e">
        <f aca="false">LongTerm25!D78</f>
        <v>#VALUE!</v>
      </c>
      <c r="BH73" s="323" t="e">
        <f aca="false">(LongTerm25!BM78+LongTerm25!BL78/(1-LongTerm25!AR78))*(LongTerm25!F78*LongTerm25!AF78*LongTerm25!AH78)/10000</f>
        <v>#VALUE!</v>
      </c>
      <c r="BI73" s="323" t="e">
        <f aca="false">LongTerm25!BM78*(LongTerm25!F78*LongTerm25!AF78*LongTerm25!AH78)/10000</f>
        <v>#VALUE!</v>
      </c>
      <c r="BJ73" s="323" t="e">
        <f aca="false">(LongTerm25!BL78/(1-LongTerm25!AR78))*(LongTerm25!F78*LongTerm25!AF78*LongTerm25!AH78)/10000</f>
        <v>#VALUE!</v>
      </c>
      <c r="BK73" s="319"/>
      <c r="BL73" s="319"/>
      <c r="BM73" s="319"/>
      <c r="BN73" s="319"/>
      <c r="BP73" s="325" t="e">
        <f aca="false">LongTerm62!D78</f>
        <v>#VALUE!</v>
      </c>
      <c r="BQ73" s="323" t="e">
        <f aca="false">(LongTerm62!$BM78+LongTerm62!$BL78/(1-LongTerm62!$AR78))*(LongTerm62!$F78*LongTerm62!$AF78*LongTerm62!$AH78)/10000</f>
        <v>#VALUE!</v>
      </c>
      <c r="BR73" s="323" t="e">
        <f aca="false">LongTerm62!$BM78*(LongTerm62!$F78*LongTerm62!$AF78*LongTerm62!$AH78)/10000</f>
        <v>#VALUE!</v>
      </c>
      <c r="BS73" s="323" t="e">
        <f aca="false">(LongTerm62!$BL78/(1-LongTerm62!$AR78))*(LongTerm62!$F78*LongTerm62!$AF78*LongTerm62!$AH78)/10000</f>
        <v>#VALUE!</v>
      </c>
      <c r="BT73" s="265"/>
      <c r="BU73" s="325" t="e">
        <f aca="false">LongTerm107!D78</f>
        <v>#VALUE!</v>
      </c>
      <c r="BV73" s="323" t="e">
        <f aca="false">(LongTerm107!$BM78+LongTerm107!$BL78/(1-LongTerm107!$AR78))*(LongTerm107!$F78*LongTerm107!$AF78*LongTerm107!$AH78)/10000</f>
        <v>#VALUE!</v>
      </c>
      <c r="BW73" s="323" t="e">
        <f aca="false">LongTerm107!$BM78*(LongTerm107!$F78*LongTerm107!$AF78*LongTerm107!$AH78)/10000</f>
        <v>#VALUE!</v>
      </c>
      <c r="BX73" s="323" t="e">
        <f aca="false">(LongTerm107!$BL78/(1-LongTerm107!$AR78))*(LongTerm107!$F78*LongTerm107!$AF78*LongTerm107!$AH78)/10000</f>
        <v>#VALUE!</v>
      </c>
      <c r="BY73" s="326"/>
      <c r="BZ73" s="325" t="e">
        <f aca="false">LongTerm108!D78</f>
        <v>#VALUE!</v>
      </c>
      <c r="CA73" s="323" t="e">
        <f aca="false">(LongTerm108!$BM78+LongTerm108!$BL78/(1-LongTerm108!$AR78))*(LongTerm108!$F78*LongTerm108!$AF78*LongTerm108!$AH78)/10000</f>
        <v>#VALUE!</v>
      </c>
      <c r="CB73" s="323" t="e">
        <f aca="false">LongTerm108!$BM78*(LongTerm108!$F78*LongTerm108!$AF78*LongTerm108!$AH78)/10000</f>
        <v>#VALUE!</v>
      </c>
      <c r="CC73" s="323" t="e">
        <f aca="false">(LongTerm108!$BL78/(1-LongTerm108!$AR78))*(LongTerm108!$F78*LongTerm108!$AF78*LongTerm108!$AH78)/10000</f>
        <v>#VALUE!</v>
      </c>
      <c r="CD73" s="332"/>
      <c r="CE73" s="333" t="n">
        <f aca="false">EOMONTH(CE72,0)+15</f>
        <v>38732</v>
      </c>
      <c r="CF73" s="337" t="n">
        <v>24.3</v>
      </c>
      <c r="CG73" s="337" t="n">
        <v>90.8</v>
      </c>
      <c r="CH73" s="337" t="n">
        <v>-116.3</v>
      </c>
      <c r="CI73" s="337" t="n">
        <v>0</v>
      </c>
      <c r="CJ73" s="337" t="n">
        <v>0</v>
      </c>
      <c r="CK73" s="337" t="n">
        <v>1.7</v>
      </c>
      <c r="CL73" s="337" t="n">
        <v>-12</v>
      </c>
      <c r="CM73" s="337" t="n">
        <v>12</v>
      </c>
      <c r="CN73" s="337" t="n">
        <v>0</v>
      </c>
    </row>
    <row r="74" customFormat="false" ht="12.75" hidden="false" customHeight="false" outlineLevel="0" collapsed="false">
      <c r="B74" s="320" t="e">
        <f aca="false">Q74</f>
        <v>#VALUE!</v>
      </c>
      <c r="C74" s="319" t="e">
        <f aca="false">YEAR(B74)</f>
        <v>#VALUE!</v>
      </c>
      <c r="D74" s="266" t="e">
        <f aca="false">R74+AC74</f>
        <v>#VALUE!</v>
      </c>
      <c r="E74" s="266" t="e">
        <f aca="false">S74+AD74</f>
        <v>#VALUE!</v>
      </c>
      <c r="F74" s="266" t="e">
        <f aca="false">+T74+AE74</f>
        <v>#VALUE!</v>
      </c>
      <c r="G74" s="266" t="e">
        <f aca="false">+U74+AF74</f>
        <v>#VALUE!</v>
      </c>
      <c r="H74" s="266" t="e">
        <f aca="false">V74+AG74</f>
        <v>#VALUE!</v>
      </c>
      <c r="I74" s="266" t="e">
        <f aca="false">W74+AH74</f>
        <v>#VALUE!</v>
      </c>
      <c r="J74" s="265"/>
      <c r="K74" s="265"/>
      <c r="L74" s="265"/>
      <c r="M74" s="266" t="e">
        <f aca="false">X74+AI74</f>
        <v>#VALUE!</v>
      </c>
      <c r="N74" s="264" t="e">
        <f aca="false">Y74+AJ74</f>
        <v>#VALUE!</v>
      </c>
      <c r="O74" s="264" t="e">
        <f aca="false">Z74+AK74</f>
        <v>#VALUE!</v>
      </c>
      <c r="Q74" s="320" t="e">
        <f aca="false">EOMONTH(Q73,0)+15</f>
        <v>#VALUE!</v>
      </c>
      <c r="R74" s="266" t="e">
        <f aca="false">SUMIF(AM:AM,$Q74,AN:AN)+SUMIF(AQ:AQ,$Q74,AR:AR)+SUMIF(AU:AU,$Q74,AV:AV)+SUMIF(BU:BU,$Q74,BV:BV)+SUMIF(BZ:BZ,$Q74,CA:CA)+SUMIF(BG:BG,$Q74,BH:BH)+SUMIF(BK:BK,$Q74,BL:BL)+SUMIF(BP:BP,$Q74,BQ:BQ)</f>
        <v>#VALUE!</v>
      </c>
      <c r="S74" s="264" t="e">
        <f aca="false">SUMIF(AM:AM,$Q74,AP:AP)+SUMIF(BU:BU,$Q74,BW:BW)+SUMIF(BZ:BZ,$Q74,CB:CB)</f>
        <v>#VALUE!</v>
      </c>
      <c r="T74" s="264" t="e">
        <f aca="false">SUMIF(AQ:AQ,$Q74,AT:AT)+SUMIF(BG:BG,$Q74,BJ:BJ)+SUMIF(BK:BK,$Q74,BN:BN)</f>
        <v>#VALUE!</v>
      </c>
      <c r="U74" s="264" t="e">
        <f aca="false">SUMIF(AM:AM,$Q74,AO:AO)+SUMIF(AQ:AQ,$Q74,AS:AS)+SUMIF(BG:BG,$Q74,BI:BI)+SUMIF(BK:BK,$Q74,BM:BM)</f>
        <v>#VALUE!</v>
      </c>
      <c r="V74" s="264" t="e">
        <f aca="false">SUMIF(AU:AU,$Q74,AW:AW)</f>
        <v>#VALUE!</v>
      </c>
      <c r="W74" s="264" t="e">
        <f aca="false">SUMIF(AU:AU,$Q74,AX:AX)</f>
        <v>#VALUE!</v>
      </c>
      <c r="X74" s="264" t="e">
        <f aca="false">SUMIF(BP:BP,$Q74,BR:BR)</f>
        <v>#VALUE!</v>
      </c>
      <c r="Y74" s="266" t="e">
        <f aca="false">SUMIF(BP:BP,$Q74,BS:BS)</f>
        <v>#VALUE!</v>
      </c>
      <c r="Z74" s="264" t="e">
        <f aca="false">SUMIF(BU:BU,$Q74,BX:BX)+SUMIF(BZ:BZ,$Q74,CC:CC)</f>
        <v>#VALUE!</v>
      </c>
      <c r="AB74" s="320" t="e">
        <f aca="false">Q74</f>
        <v>#VALUE!</v>
      </c>
      <c r="AC74" s="321" t="e">
        <f aca="false">VLOOKUP(AB74,CE75:CK180,7,FALSE())</f>
        <v>#VALUE!</v>
      </c>
      <c r="AD74" s="264" t="e">
        <f aca="false">VLOOKUP(AB74,CE75:CJ180,3,FALSE())</f>
        <v>#VALUE!</v>
      </c>
      <c r="AE74" s="264" t="e">
        <f aca="false">VLOOKUP(AB74,CE75:CJ180,2,FALSE())</f>
        <v>#VALUE!</v>
      </c>
      <c r="AF74" s="264" t="e">
        <f aca="false">VLOOKUP(AB74,CE75:CJ180,4,FALSE())</f>
        <v>#VALUE!</v>
      </c>
      <c r="AG74" s="264" t="e">
        <f aca="false">VLOOKUP(AB74,CE75:CJ180,5,FALSE())</f>
        <v>#VALUE!</v>
      </c>
      <c r="AH74" s="264" t="e">
        <f aca="false">VLOOKUP(AB74,CE75:CJ180,6,FALSE())</f>
        <v>#VALUE!</v>
      </c>
      <c r="AI74" s="264" t="e">
        <f aca="false">VLOOKUP(AB74,CE75:CM180,8,FALSE())</f>
        <v>#VALUE!</v>
      </c>
      <c r="AJ74" s="266" t="e">
        <f aca="false">VLOOKUP(AB74,CE75:CM180,9,FALSE())</f>
        <v>#VALUE!</v>
      </c>
      <c r="AK74" s="264" t="e">
        <f aca="false">VLOOKUP(AB74,CE75:CN180,10,FALSE())</f>
        <v>#VALUE!</v>
      </c>
      <c r="AM74" s="322" t="e">
        <f aca="false">LongTerm1!D79</f>
        <v>#VALUE!</v>
      </c>
      <c r="AN74" s="323" t="e">
        <f aca="false">(LongTerm1!BM79+LongTerm1!BL79/(1-LongTerm1!AR79))*(LongTerm1!F79*LongTerm1!AF79*LongTerm1!AH79)/10000</f>
        <v>#VALUE!</v>
      </c>
      <c r="AO74" s="323" t="e">
        <f aca="false">LongTerm1!BM79*(LongTerm1!F79*LongTerm1!AF79*LongTerm1!AH79)/10000</f>
        <v>#VALUE!</v>
      </c>
      <c r="AP74" s="323" t="e">
        <f aca="false">(LongTerm1!BL79/(1-LongTerm1!AR79))*(LongTerm1!F79*LongTerm1!AF79*LongTerm1!AH79)/10000</f>
        <v>#VALUE!</v>
      </c>
      <c r="AQ74" s="324"/>
      <c r="AV74" s="319"/>
      <c r="AW74" s="319"/>
      <c r="AX74" s="319"/>
      <c r="AY74" s="319"/>
      <c r="AZ74" s="319"/>
      <c r="BA74" s="319"/>
      <c r="BB74" s="319"/>
      <c r="BC74" s="319"/>
      <c r="BD74" s="319"/>
      <c r="BE74" s="319"/>
      <c r="BF74" s="319"/>
      <c r="BG74" s="322" t="e">
        <f aca="false">LongTerm25!D79</f>
        <v>#VALUE!</v>
      </c>
      <c r="BH74" s="323" t="e">
        <f aca="false">(LongTerm25!BM79+LongTerm25!BL79/(1-LongTerm25!AR79))*(LongTerm25!F79*LongTerm25!AF79*LongTerm25!AH79)/10000</f>
        <v>#VALUE!</v>
      </c>
      <c r="BI74" s="323" t="e">
        <f aca="false">LongTerm25!BM79*(LongTerm25!F79*LongTerm25!AF79*LongTerm25!AH79)/10000</f>
        <v>#VALUE!</v>
      </c>
      <c r="BJ74" s="323" t="e">
        <f aca="false">(LongTerm25!BL79/(1-LongTerm25!AR79))*(LongTerm25!F79*LongTerm25!AF79*LongTerm25!AH79)/10000</f>
        <v>#VALUE!</v>
      </c>
      <c r="BK74" s="319"/>
      <c r="BL74" s="319"/>
      <c r="BM74" s="319"/>
      <c r="BN74" s="319"/>
      <c r="BP74" s="325" t="e">
        <f aca="false">LongTerm62!D79</f>
        <v>#VALUE!</v>
      </c>
      <c r="BQ74" s="323" t="e">
        <f aca="false">(LongTerm62!$BM79+LongTerm62!$BL79/(1-LongTerm62!$AR79))*(LongTerm62!$F79*LongTerm62!$AF79*LongTerm62!$AH79)/10000</f>
        <v>#VALUE!</v>
      </c>
      <c r="BR74" s="323" t="e">
        <f aca="false">LongTerm62!$BM79*(LongTerm62!$F79*LongTerm62!$AF79*LongTerm62!$AH79)/10000</f>
        <v>#VALUE!</v>
      </c>
      <c r="BS74" s="323" t="e">
        <f aca="false">(LongTerm62!$BL79/(1-LongTerm62!$AR79))*(LongTerm62!$F79*LongTerm62!$AF79*LongTerm62!$AH79)/10000</f>
        <v>#VALUE!</v>
      </c>
      <c r="BT74" s="265"/>
      <c r="BU74" s="325" t="e">
        <f aca="false">LongTerm107!D79</f>
        <v>#VALUE!</v>
      </c>
      <c r="BV74" s="323" t="e">
        <f aca="false">(LongTerm107!$BM79+LongTerm107!$BL79/(1-LongTerm107!$AR79))*(LongTerm107!$F79*LongTerm107!$AF79*LongTerm107!$AH79)/10000</f>
        <v>#VALUE!</v>
      </c>
      <c r="BW74" s="323" t="e">
        <f aca="false">LongTerm107!$BM79*(LongTerm107!$F79*LongTerm107!$AF79*LongTerm107!$AH79)/10000</f>
        <v>#VALUE!</v>
      </c>
      <c r="BX74" s="323" t="e">
        <f aca="false">(LongTerm107!$BL79/(1-LongTerm107!$AR79))*(LongTerm107!$F79*LongTerm107!$AF79*LongTerm107!$AH79)/10000</f>
        <v>#VALUE!</v>
      </c>
      <c r="BY74" s="326"/>
      <c r="BZ74" s="325" t="e">
        <f aca="false">LongTerm108!D79</f>
        <v>#VALUE!</v>
      </c>
      <c r="CA74" s="323" t="e">
        <f aca="false">(LongTerm108!$BM79+LongTerm108!$BL79/(1-LongTerm108!$AR79))*(LongTerm108!$F79*LongTerm108!$AF79*LongTerm108!$AH79)/10000</f>
        <v>#VALUE!</v>
      </c>
      <c r="CB74" s="323" t="e">
        <f aca="false">LongTerm108!$BM79*(LongTerm108!$F79*LongTerm108!$AF79*LongTerm108!$AH79)/10000</f>
        <v>#VALUE!</v>
      </c>
      <c r="CC74" s="323" t="e">
        <f aca="false">(LongTerm108!$BL79/(1-LongTerm108!$AR79))*(LongTerm108!$F79*LongTerm108!$AF79*LongTerm108!$AH79)/10000</f>
        <v>#VALUE!</v>
      </c>
      <c r="CD74" s="332"/>
      <c r="CE74" s="333" t="n">
        <f aca="false">EOMONTH(CE73,0)+15</f>
        <v>38763</v>
      </c>
      <c r="CF74" s="337" t="n">
        <v>21.6</v>
      </c>
      <c r="CG74" s="337" t="n">
        <v>82.9</v>
      </c>
      <c r="CH74" s="337" t="n">
        <v>-106.1</v>
      </c>
      <c r="CI74" s="337" t="n">
        <v>0</v>
      </c>
      <c r="CJ74" s="337" t="n">
        <v>0</v>
      </c>
      <c r="CK74" s="337" t="n">
        <v>1.8</v>
      </c>
      <c r="CL74" s="337" t="n">
        <v>-10.9</v>
      </c>
      <c r="CM74" s="337" t="n">
        <v>10.9</v>
      </c>
      <c r="CN74" s="337" t="n">
        <v>0</v>
      </c>
    </row>
    <row r="75" customFormat="false" ht="12.75" hidden="false" customHeight="false" outlineLevel="0" collapsed="false">
      <c r="B75" s="320" t="e">
        <f aca="false">Q75</f>
        <v>#VALUE!</v>
      </c>
      <c r="C75" s="319" t="e">
        <f aca="false">YEAR(B75)</f>
        <v>#VALUE!</v>
      </c>
      <c r="D75" s="266" t="e">
        <f aca="false">R75+AC75</f>
        <v>#VALUE!</v>
      </c>
      <c r="E75" s="266" t="e">
        <f aca="false">S75+AD75</f>
        <v>#VALUE!</v>
      </c>
      <c r="F75" s="266" t="e">
        <f aca="false">+T75+AE75</f>
        <v>#VALUE!</v>
      </c>
      <c r="G75" s="266" t="e">
        <f aca="false">+U75+AF75</f>
        <v>#VALUE!</v>
      </c>
      <c r="H75" s="266" t="e">
        <f aca="false">V75+AG75</f>
        <v>#VALUE!</v>
      </c>
      <c r="I75" s="266" t="e">
        <f aca="false">W75+AH75</f>
        <v>#VALUE!</v>
      </c>
      <c r="J75" s="265"/>
      <c r="K75" s="265"/>
      <c r="L75" s="265"/>
      <c r="M75" s="266" t="e">
        <f aca="false">X75+AI75</f>
        <v>#VALUE!</v>
      </c>
      <c r="N75" s="264" t="e">
        <f aca="false">Y75+AJ75</f>
        <v>#VALUE!</v>
      </c>
      <c r="O75" s="264" t="e">
        <f aca="false">Z75+AK75</f>
        <v>#VALUE!</v>
      </c>
      <c r="Q75" s="320" t="e">
        <f aca="false">EOMONTH(Q74,0)+15</f>
        <v>#VALUE!</v>
      </c>
      <c r="R75" s="266" t="e">
        <f aca="false">SUMIF(AM:AM,$Q75,AN:AN)+SUMIF(AQ:AQ,$Q75,AR:AR)+SUMIF(AU:AU,$Q75,AV:AV)+SUMIF(BU:BU,$Q75,BV:BV)+SUMIF(BZ:BZ,$Q75,CA:CA)+SUMIF(BG:BG,$Q75,BH:BH)+SUMIF(BK:BK,$Q75,BL:BL)+SUMIF(BP:BP,$Q75,BQ:BQ)</f>
        <v>#VALUE!</v>
      </c>
      <c r="S75" s="264" t="e">
        <f aca="false">SUMIF(AM:AM,$Q75,AP:AP)+SUMIF(BU:BU,$Q75,BW:BW)+SUMIF(BZ:BZ,$Q75,CB:CB)</f>
        <v>#VALUE!</v>
      </c>
      <c r="T75" s="264" t="e">
        <f aca="false">SUMIF(AQ:AQ,$Q75,AT:AT)+SUMIF(BG:BG,$Q75,BJ:BJ)+SUMIF(BK:BK,$Q75,BN:BN)</f>
        <v>#VALUE!</v>
      </c>
      <c r="U75" s="264" t="e">
        <f aca="false">SUMIF(AM:AM,$Q75,AO:AO)+SUMIF(AQ:AQ,$Q75,AS:AS)+SUMIF(BG:BG,$Q75,BI:BI)+SUMIF(BK:BK,$Q75,BM:BM)</f>
        <v>#VALUE!</v>
      </c>
      <c r="V75" s="264" t="e">
        <f aca="false">SUMIF(AU:AU,$Q75,AW:AW)</f>
        <v>#VALUE!</v>
      </c>
      <c r="W75" s="264" t="e">
        <f aca="false">SUMIF(AU:AU,$Q75,AX:AX)</f>
        <v>#VALUE!</v>
      </c>
      <c r="X75" s="264" t="e">
        <f aca="false">SUMIF(BP:BP,$Q75,BR:BR)</f>
        <v>#VALUE!</v>
      </c>
      <c r="Y75" s="266" t="e">
        <f aca="false">SUMIF(BP:BP,$Q75,BS:BS)</f>
        <v>#VALUE!</v>
      </c>
      <c r="Z75" s="264" t="e">
        <f aca="false">SUMIF(BU:BU,$Q75,BX:BX)+SUMIF(BZ:BZ,$Q75,CC:CC)</f>
        <v>#VALUE!</v>
      </c>
      <c r="AB75" s="320" t="e">
        <f aca="false">Q75</f>
        <v>#VALUE!</v>
      </c>
      <c r="AC75" s="321" t="e">
        <f aca="false">VLOOKUP(AB75,CE76:CK181,7,FALSE())</f>
        <v>#VALUE!</v>
      </c>
      <c r="AD75" s="264" t="e">
        <f aca="false">VLOOKUP(AB75,CE76:CJ181,3,FALSE())</f>
        <v>#VALUE!</v>
      </c>
      <c r="AE75" s="264" t="e">
        <f aca="false">VLOOKUP(AB75,CE76:CJ181,2,FALSE())</f>
        <v>#VALUE!</v>
      </c>
      <c r="AF75" s="264" t="e">
        <f aca="false">VLOOKUP(AB75,CE76:CJ181,4,FALSE())</f>
        <v>#VALUE!</v>
      </c>
      <c r="AG75" s="264" t="e">
        <f aca="false">VLOOKUP(AB75,CE76:CJ181,5,FALSE())</f>
        <v>#VALUE!</v>
      </c>
      <c r="AH75" s="264" t="e">
        <f aca="false">VLOOKUP(AB75,CE76:CJ181,6,FALSE())</f>
        <v>#VALUE!</v>
      </c>
      <c r="AI75" s="264" t="e">
        <f aca="false">VLOOKUP(AB75,CE76:CM181,8,FALSE())</f>
        <v>#VALUE!</v>
      </c>
      <c r="AJ75" s="266" t="e">
        <f aca="false">VLOOKUP(AB75,CE76:CM181,9,FALSE())</f>
        <v>#VALUE!</v>
      </c>
      <c r="AK75" s="264" t="e">
        <f aca="false">VLOOKUP(AB75,CE76:CN181,10,FALSE())</f>
        <v>#VALUE!</v>
      </c>
      <c r="AM75" s="322" t="e">
        <f aca="false">LongTerm1!D80</f>
        <v>#VALUE!</v>
      </c>
      <c r="AN75" s="323" t="e">
        <f aca="false">(LongTerm1!BM80+LongTerm1!BL80/(1-LongTerm1!AR80))*(LongTerm1!F80*LongTerm1!AF80*LongTerm1!AH80)/10000</f>
        <v>#VALUE!</v>
      </c>
      <c r="AO75" s="323" t="e">
        <f aca="false">LongTerm1!BM80*(LongTerm1!F80*LongTerm1!AF80*LongTerm1!AH80)/10000</f>
        <v>#VALUE!</v>
      </c>
      <c r="AP75" s="323" t="e">
        <f aca="false">(LongTerm1!BL80/(1-LongTerm1!AR80))*(LongTerm1!F80*LongTerm1!AF80*LongTerm1!AH80)/10000</f>
        <v>#VALUE!</v>
      </c>
      <c r="AQ75" s="324"/>
      <c r="AV75" s="319"/>
      <c r="AW75" s="319"/>
      <c r="AX75" s="319"/>
      <c r="AY75" s="319"/>
      <c r="AZ75" s="319"/>
      <c r="BA75" s="319"/>
      <c r="BB75" s="319"/>
      <c r="BC75" s="319"/>
      <c r="BD75" s="319"/>
      <c r="BE75" s="319"/>
      <c r="BF75" s="319"/>
      <c r="BG75" s="322" t="e">
        <f aca="false">LongTerm25!D80</f>
        <v>#VALUE!</v>
      </c>
      <c r="BH75" s="323" t="e">
        <f aca="false">(LongTerm25!BM80+LongTerm25!BL80/(1-LongTerm25!AR80))*(LongTerm25!F80*LongTerm25!AF80*LongTerm25!AH80)/10000</f>
        <v>#VALUE!</v>
      </c>
      <c r="BI75" s="323" t="e">
        <f aca="false">LongTerm25!BM80*(LongTerm25!F80*LongTerm25!AF80*LongTerm25!AH80)/10000</f>
        <v>#VALUE!</v>
      </c>
      <c r="BJ75" s="323" t="e">
        <f aca="false">(LongTerm25!BL80/(1-LongTerm25!AR80))*(LongTerm25!F80*LongTerm25!AF80*LongTerm25!AH80)/10000</f>
        <v>#VALUE!</v>
      </c>
      <c r="BK75" s="319"/>
      <c r="BL75" s="319"/>
      <c r="BM75" s="319"/>
      <c r="BN75" s="319"/>
      <c r="BP75" s="325" t="e">
        <f aca="false">LongTerm62!D80</f>
        <v>#VALUE!</v>
      </c>
      <c r="BQ75" s="323" t="e">
        <f aca="false">(LongTerm62!$BM80+LongTerm62!$BL80/(1-LongTerm62!$AR80))*(LongTerm62!$F80*LongTerm62!$AF80*LongTerm62!$AH80)/10000</f>
        <v>#VALUE!</v>
      </c>
      <c r="BR75" s="323" t="e">
        <f aca="false">LongTerm62!$BM80*(LongTerm62!$F80*LongTerm62!$AF80*LongTerm62!$AH80)/10000</f>
        <v>#VALUE!</v>
      </c>
      <c r="BS75" s="323" t="e">
        <f aca="false">(LongTerm62!$BL80/(1-LongTerm62!$AR80))*(LongTerm62!$F80*LongTerm62!$AF80*LongTerm62!$AH80)/10000</f>
        <v>#VALUE!</v>
      </c>
      <c r="BT75" s="265"/>
      <c r="BU75" s="325" t="e">
        <f aca="false">LongTerm107!D80</f>
        <v>#VALUE!</v>
      </c>
      <c r="BV75" s="323" t="e">
        <f aca="false">(LongTerm107!$BM80+LongTerm107!$BL80/(1-LongTerm107!$AR80))*(LongTerm107!$F80*LongTerm107!$AF80*LongTerm107!$AH80)/10000</f>
        <v>#VALUE!</v>
      </c>
      <c r="BW75" s="323" t="e">
        <f aca="false">LongTerm107!$BM80*(LongTerm107!$F80*LongTerm107!$AF80*LongTerm107!$AH80)/10000</f>
        <v>#VALUE!</v>
      </c>
      <c r="BX75" s="323" t="e">
        <f aca="false">(LongTerm107!$BL80/(1-LongTerm107!$AR80))*(LongTerm107!$F80*LongTerm107!$AF80*LongTerm107!$AH80)/10000</f>
        <v>#VALUE!</v>
      </c>
      <c r="BY75" s="326"/>
      <c r="BZ75" s="325" t="e">
        <f aca="false">LongTerm108!D80</f>
        <v>#VALUE!</v>
      </c>
      <c r="CA75" s="323" t="e">
        <f aca="false">(LongTerm108!$BM80+LongTerm108!$BL80/(1-LongTerm108!$AR80))*(LongTerm108!$F80*LongTerm108!$AF80*LongTerm108!$AH80)/10000</f>
        <v>#VALUE!</v>
      </c>
      <c r="CB75" s="323" t="e">
        <f aca="false">LongTerm108!$BM80*(LongTerm108!$F80*LongTerm108!$AF80*LongTerm108!$AH80)/10000</f>
        <v>#VALUE!</v>
      </c>
      <c r="CC75" s="323" t="e">
        <f aca="false">(LongTerm108!$BL80/(1-LongTerm108!$AR80))*(LongTerm108!$F80*LongTerm108!$AF80*LongTerm108!$AH80)/10000</f>
        <v>#VALUE!</v>
      </c>
      <c r="CD75" s="332"/>
      <c r="CE75" s="333" t="n">
        <f aca="false">EOMONTH(CE74,0)+15</f>
        <v>38791</v>
      </c>
      <c r="CF75" s="337" t="n">
        <v>23.7</v>
      </c>
      <c r="CG75" s="337" t="n">
        <v>101.7</v>
      </c>
      <c r="CH75" s="337" t="n">
        <v>-126.7</v>
      </c>
      <c r="CI75" s="337" t="n">
        <v>0</v>
      </c>
      <c r="CJ75" s="337" t="n">
        <v>0</v>
      </c>
      <c r="CK75" s="337" t="n">
        <v>1.7</v>
      </c>
      <c r="CL75" s="337" t="n">
        <v>-11.9</v>
      </c>
      <c r="CM75" s="337" t="n">
        <v>11.9</v>
      </c>
      <c r="CN75" s="337" t="n">
        <v>0</v>
      </c>
    </row>
    <row r="76" customFormat="false" ht="12.75" hidden="false" customHeight="false" outlineLevel="0" collapsed="false">
      <c r="B76" s="320" t="e">
        <f aca="false">Q76</f>
        <v>#VALUE!</v>
      </c>
      <c r="C76" s="319" t="e">
        <f aca="false">YEAR(B76)</f>
        <v>#VALUE!</v>
      </c>
      <c r="D76" s="266" t="e">
        <f aca="false">R76+AC76</f>
        <v>#VALUE!</v>
      </c>
      <c r="E76" s="266" t="e">
        <f aca="false">S76+AD76</f>
        <v>#VALUE!</v>
      </c>
      <c r="F76" s="266" t="e">
        <f aca="false">+T76+AE76</f>
        <v>#VALUE!</v>
      </c>
      <c r="G76" s="266" t="e">
        <f aca="false">+U76+AF76</f>
        <v>#VALUE!</v>
      </c>
      <c r="H76" s="266" t="e">
        <f aca="false">V76+AG76</f>
        <v>#VALUE!</v>
      </c>
      <c r="I76" s="266" t="e">
        <f aca="false">W76+AH76</f>
        <v>#VALUE!</v>
      </c>
      <c r="J76" s="265"/>
      <c r="K76" s="265"/>
      <c r="L76" s="265"/>
      <c r="M76" s="266" t="e">
        <f aca="false">X76+AI76</f>
        <v>#VALUE!</v>
      </c>
      <c r="N76" s="264" t="e">
        <f aca="false">Y76+AJ76</f>
        <v>#VALUE!</v>
      </c>
      <c r="O76" s="264" t="e">
        <f aca="false">Z76+AK76</f>
        <v>#VALUE!</v>
      </c>
      <c r="Q76" s="320" t="e">
        <f aca="false">EOMONTH(Q75,0)+15</f>
        <v>#VALUE!</v>
      </c>
      <c r="R76" s="266" t="e">
        <f aca="false">SUMIF(AM:AM,$Q76,AN:AN)+SUMIF(AQ:AQ,$Q76,AR:AR)+SUMIF(AU:AU,$Q76,AV:AV)+SUMIF(BU:BU,$Q76,BV:BV)+SUMIF(BZ:BZ,$Q76,CA:CA)+SUMIF(BG:BG,$Q76,BH:BH)+SUMIF(BK:BK,$Q76,BL:BL)+SUMIF(BP:BP,$Q76,BQ:BQ)</f>
        <v>#VALUE!</v>
      </c>
      <c r="S76" s="264" t="e">
        <f aca="false">SUMIF(AM:AM,$Q76,AP:AP)+SUMIF(BU:BU,$Q76,BW:BW)+SUMIF(BZ:BZ,$Q76,CB:CB)</f>
        <v>#VALUE!</v>
      </c>
      <c r="T76" s="264" t="e">
        <f aca="false">SUMIF(AQ:AQ,$Q76,AT:AT)+SUMIF(BG:BG,$Q76,BJ:BJ)+SUMIF(BK:BK,$Q76,BN:BN)</f>
        <v>#VALUE!</v>
      </c>
      <c r="U76" s="264" t="e">
        <f aca="false">SUMIF(AM:AM,$Q76,AO:AO)+SUMIF(AQ:AQ,$Q76,AS:AS)+SUMIF(BG:BG,$Q76,BI:BI)+SUMIF(BK:BK,$Q76,BM:BM)</f>
        <v>#VALUE!</v>
      </c>
      <c r="V76" s="264" t="e">
        <f aca="false">SUMIF(AU:AU,$Q76,AW:AW)</f>
        <v>#VALUE!</v>
      </c>
      <c r="W76" s="264" t="e">
        <f aca="false">SUMIF(AU:AU,$Q76,AX:AX)</f>
        <v>#VALUE!</v>
      </c>
      <c r="X76" s="264" t="e">
        <f aca="false">SUMIF(BP:BP,$Q76,BR:BR)</f>
        <v>#VALUE!</v>
      </c>
      <c r="Y76" s="266" t="e">
        <f aca="false">SUMIF(BP:BP,$Q76,BS:BS)</f>
        <v>#VALUE!</v>
      </c>
      <c r="Z76" s="264" t="e">
        <f aca="false">SUMIF(BU:BU,$Q76,BX:BX)+SUMIF(BZ:BZ,$Q76,CC:CC)</f>
        <v>#VALUE!</v>
      </c>
      <c r="AB76" s="320" t="e">
        <f aca="false">Q76</f>
        <v>#VALUE!</v>
      </c>
      <c r="AC76" s="321" t="e">
        <f aca="false">VLOOKUP(AB76,CE77:CK182,7,FALSE())</f>
        <v>#VALUE!</v>
      </c>
      <c r="AD76" s="264" t="e">
        <f aca="false">VLOOKUP(AB76,CE77:CJ182,3,FALSE())</f>
        <v>#VALUE!</v>
      </c>
      <c r="AE76" s="264" t="e">
        <f aca="false">VLOOKUP(AB76,CE77:CJ182,2,FALSE())</f>
        <v>#VALUE!</v>
      </c>
      <c r="AF76" s="264" t="e">
        <f aca="false">VLOOKUP(AB76,CE77:CJ182,4,FALSE())</f>
        <v>#VALUE!</v>
      </c>
      <c r="AG76" s="264" t="e">
        <f aca="false">VLOOKUP(AB76,CE77:CJ182,5,FALSE())</f>
        <v>#VALUE!</v>
      </c>
      <c r="AH76" s="264" t="e">
        <f aca="false">VLOOKUP(AB76,CE77:CJ182,6,FALSE())</f>
        <v>#VALUE!</v>
      </c>
      <c r="AI76" s="264" t="e">
        <f aca="false">VLOOKUP(AB76,CE77:CM182,8,FALSE())</f>
        <v>#VALUE!</v>
      </c>
      <c r="AJ76" s="266" t="e">
        <f aca="false">VLOOKUP(AB76,CE77:CM182,9,FALSE())</f>
        <v>#VALUE!</v>
      </c>
      <c r="AK76" s="264" t="e">
        <f aca="false">VLOOKUP(AB76,CE77:CN182,10,FALSE())</f>
        <v>#VALUE!</v>
      </c>
      <c r="AM76" s="322" t="e">
        <f aca="false">LongTerm1!D81</f>
        <v>#VALUE!</v>
      </c>
      <c r="AN76" s="323" t="e">
        <f aca="false">(LongTerm1!BM81+LongTerm1!BL81/(1-LongTerm1!AR81))*(LongTerm1!F81*LongTerm1!AF81*LongTerm1!AH81)/10000</f>
        <v>#VALUE!</v>
      </c>
      <c r="AO76" s="323" t="e">
        <f aca="false">LongTerm1!BM81*(LongTerm1!F81*LongTerm1!AF81*LongTerm1!AH81)/10000</f>
        <v>#VALUE!</v>
      </c>
      <c r="AP76" s="323" t="e">
        <f aca="false">(LongTerm1!BL81/(1-LongTerm1!AR81))*(LongTerm1!F81*LongTerm1!AF81*LongTerm1!AH81)/10000</f>
        <v>#VALUE!</v>
      </c>
      <c r="AQ76" s="324"/>
      <c r="AV76" s="319"/>
      <c r="AW76" s="319"/>
      <c r="AX76" s="319"/>
      <c r="AY76" s="319"/>
      <c r="AZ76" s="319"/>
      <c r="BA76" s="319"/>
      <c r="BB76" s="319"/>
      <c r="BC76" s="319"/>
      <c r="BD76" s="319"/>
      <c r="BE76" s="319"/>
      <c r="BF76" s="319"/>
      <c r="BG76" s="322" t="e">
        <f aca="false">LongTerm25!D81</f>
        <v>#VALUE!</v>
      </c>
      <c r="BH76" s="323" t="e">
        <f aca="false">(LongTerm25!BM81+LongTerm25!BL81/(1-LongTerm25!AR81))*(LongTerm25!F81*LongTerm25!AF81*LongTerm25!AH81)/10000</f>
        <v>#VALUE!</v>
      </c>
      <c r="BI76" s="323" t="e">
        <f aca="false">LongTerm25!BM81*(LongTerm25!F81*LongTerm25!AF81*LongTerm25!AH81)/10000</f>
        <v>#VALUE!</v>
      </c>
      <c r="BJ76" s="323" t="e">
        <f aca="false">(LongTerm25!BL81/(1-LongTerm25!AR81))*(LongTerm25!F81*LongTerm25!AF81*LongTerm25!AH81)/10000</f>
        <v>#VALUE!</v>
      </c>
      <c r="BK76" s="319"/>
      <c r="BL76" s="319"/>
      <c r="BM76" s="319"/>
      <c r="BN76" s="319"/>
      <c r="BP76" s="325" t="e">
        <f aca="false">LongTerm62!D81</f>
        <v>#VALUE!</v>
      </c>
      <c r="BQ76" s="323" t="e">
        <f aca="false">(LongTerm62!$BM81+LongTerm62!$BL81/(1-LongTerm62!$AR81))*(LongTerm62!$F81*LongTerm62!$AF81*LongTerm62!$AH81)/10000</f>
        <v>#VALUE!</v>
      </c>
      <c r="BR76" s="323" t="e">
        <f aca="false">LongTerm62!$BM81*(LongTerm62!$F81*LongTerm62!$AF81*LongTerm62!$AH81)/10000</f>
        <v>#VALUE!</v>
      </c>
      <c r="BS76" s="323" t="e">
        <f aca="false">(LongTerm62!$BL81/(1-LongTerm62!$AR81))*(LongTerm62!$F81*LongTerm62!$AF81*LongTerm62!$AH81)/10000</f>
        <v>#VALUE!</v>
      </c>
      <c r="BT76" s="265"/>
      <c r="BU76" s="325" t="e">
        <f aca="false">LongTerm107!D81</f>
        <v>#VALUE!</v>
      </c>
      <c r="BV76" s="323" t="e">
        <f aca="false">(LongTerm107!$BM81+LongTerm107!$BL81/(1-LongTerm107!$AR81))*(LongTerm107!$F81*LongTerm107!$AF81*LongTerm107!$AH81)/10000</f>
        <v>#VALUE!</v>
      </c>
      <c r="BW76" s="323" t="e">
        <f aca="false">LongTerm107!$BM81*(LongTerm107!$F81*LongTerm107!$AF81*LongTerm107!$AH81)/10000</f>
        <v>#VALUE!</v>
      </c>
      <c r="BX76" s="323" t="e">
        <f aca="false">(LongTerm107!$BL81/(1-LongTerm107!$AR81))*(LongTerm107!$F81*LongTerm107!$AF81*LongTerm107!$AH81)/10000</f>
        <v>#VALUE!</v>
      </c>
      <c r="BY76" s="326"/>
      <c r="BZ76" s="325" t="e">
        <f aca="false">LongTerm108!D81</f>
        <v>#VALUE!</v>
      </c>
      <c r="CA76" s="323" t="e">
        <f aca="false">(LongTerm108!$BM81+LongTerm108!$BL81/(1-LongTerm108!$AR81))*(LongTerm108!$F81*LongTerm108!$AF81*LongTerm108!$AH81)/10000</f>
        <v>#VALUE!</v>
      </c>
      <c r="CB76" s="323" t="e">
        <f aca="false">LongTerm108!$BM81*(LongTerm108!$F81*LongTerm108!$AF81*LongTerm108!$AH81)/10000</f>
        <v>#VALUE!</v>
      </c>
      <c r="CC76" s="323" t="e">
        <f aca="false">(LongTerm108!$BL81/(1-LongTerm108!$AR81))*(LongTerm108!$F81*LongTerm108!$AF81*LongTerm108!$AH81)/10000</f>
        <v>#VALUE!</v>
      </c>
      <c r="CD76" s="332"/>
      <c r="CE76" s="333" t="n">
        <f aca="false">EOMONTH(CE75,0)+15</f>
        <v>38822</v>
      </c>
      <c r="CF76" s="337" t="n">
        <v>23.2</v>
      </c>
      <c r="CG76" s="337" t="n">
        <v>131</v>
      </c>
      <c r="CH76" s="337" t="n">
        <v>-152.2</v>
      </c>
      <c r="CI76" s="337" t="n">
        <v>0</v>
      </c>
      <c r="CJ76" s="337" t="n">
        <v>0</v>
      </c>
      <c r="CK76" s="337" t="n">
        <v>1.7</v>
      </c>
      <c r="CL76" s="337" t="n">
        <v>0</v>
      </c>
      <c r="CM76" s="337" t="n">
        <v>0</v>
      </c>
      <c r="CN76" s="337" t="n">
        <v>0</v>
      </c>
    </row>
    <row r="77" customFormat="false" ht="12.75" hidden="false" customHeight="false" outlineLevel="0" collapsed="false">
      <c r="B77" s="320" t="e">
        <f aca="false">Q77</f>
        <v>#VALUE!</v>
      </c>
      <c r="C77" s="319" t="e">
        <f aca="false">YEAR(B77)</f>
        <v>#VALUE!</v>
      </c>
      <c r="D77" s="266" t="e">
        <f aca="false">R77+AC77</f>
        <v>#VALUE!</v>
      </c>
      <c r="E77" s="266" t="e">
        <f aca="false">S77+AD77</f>
        <v>#VALUE!</v>
      </c>
      <c r="F77" s="266" t="e">
        <f aca="false">+T77+AE77</f>
        <v>#VALUE!</v>
      </c>
      <c r="G77" s="266" t="e">
        <f aca="false">+U77+AF77</f>
        <v>#VALUE!</v>
      </c>
      <c r="H77" s="266" t="e">
        <f aca="false">V77+AG77</f>
        <v>#VALUE!</v>
      </c>
      <c r="I77" s="266" t="e">
        <f aca="false">W77+AH77</f>
        <v>#VALUE!</v>
      </c>
      <c r="J77" s="265"/>
      <c r="K77" s="265"/>
      <c r="L77" s="265"/>
      <c r="M77" s="266" t="e">
        <f aca="false">X77+AI77</f>
        <v>#VALUE!</v>
      </c>
      <c r="N77" s="264" t="e">
        <f aca="false">Y77+AJ77</f>
        <v>#VALUE!</v>
      </c>
      <c r="O77" s="264" t="e">
        <f aca="false">Z77+AK77</f>
        <v>#VALUE!</v>
      </c>
      <c r="Q77" s="320" t="e">
        <f aca="false">EOMONTH(Q76,0)+15</f>
        <v>#VALUE!</v>
      </c>
      <c r="R77" s="266" t="e">
        <f aca="false">SUMIF(AM:AM,$Q77,AN:AN)+SUMIF(AQ:AQ,$Q77,AR:AR)+SUMIF(AU:AU,$Q77,AV:AV)+SUMIF(BU:BU,$Q77,BV:BV)+SUMIF(BZ:BZ,$Q77,CA:CA)+SUMIF(BG:BG,$Q77,BH:BH)+SUMIF(BK:BK,$Q77,BL:BL)+SUMIF(BP:BP,$Q77,BQ:BQ)</f>
        <v>#VALUE!</v>
      </c>
      <c r="S77" s="264" t="e">
        <f aca="false">SUMIF(AM:AM,$Q77,AP:AP)+SUMIF(BU:BU,$Q77,BW:BW)+SUMIF(BZ:BZ,$Q77,CB:CB)</f>
        <v>#VALUE!</v>
      </c>
      <c r="T77" s="264" t="e">
        <f aca="false">SUMIF(AQ:AQ,$Q77,AT:AT)+SUMIF(BG:BG,$Q77,BJ:BJ)+SUMIF(BK:BK,$Q77,BN:BN)</f>
        <v>#VALUE!</v>
      </c>
      <c r="U77" s="264" t="e">
        <f aca="false">SUMIF(AM:AM,$Q77,AO:AO)+SUMIF(AQ:AQ,$Q77,AS:AS)+SUMIF(BG:BG,$Q77,BI:BI)+SUMIF(BK:BK,$Q77,BM:BM)</f>
        <v>#VALUE!</v>
      </c>
      <c r="V77" s="264" t="e">
        <f aca="false">SUMIF(AU:AU,$Q77,AW:AW)</f>
        <v>#VALUE!</v>
      </c>
      <c r="W77" s="264" t="e">
        <f aca="false">SUMIF(AU:AU,$Q77,AX:AX)</f>
        <v>#VALUE!</v>
      </c>
      <c r="X77" s="264" t="e">
        <f aca="false">SUMIF(BP:BP,$Q77,BR:BR)</f>
        <v>#VALUE!</v>
      </c>
      <c r="Y77" s="266" t="e">
        <f aca="false">SUMIF(BP:BP,$Q77,BS:BS)</f>
        <v>#VALUE!</v>
      </c>
      <c r="Z77" s="264" t="e">
        <f aca="false">SUMIF(BU:BU,$Q77,BX:BX)+SUMIF(BZ:BZ,$Q77,CC:CC)</f>
        <v>#VALUE!</v>
      </c>
      <c r="AB77" s="320" t="e">
        <f aca="false">Q77</f>
        <v>#VALUE!</v>
      </c>
      <c r="AC77" s="321" t="e">
        <f aca="false">VLOOKUP(AB77,CE78:CK183,7,FALSE())</f>
        <v>#VALUE!</v>
      </c>
      <c r="AD77" s="264" t="e">
        <f aca="false">VLOOKUP(AB77,CE78:CJ183,3,FALSE())</f>
        <v>#VALUE!</v>
      </c>
      <c r="AE77" s="264" t="e">
        <f aca="false">VLOOKUP(AB77,CE78:CJ183,2,FALSE())</f>
        <v>#VALUE!</v>
      </c>
      <c r="AF77" s="264" t="e">
        <f aca="false">VLOOKUP(AB77,CE78:CJ183,4,FALSE())</f>
        <v>#VALUE!</v>
      </c>
      <c r="AG77" s="264" t="e">
        <f aca="false">VLOOKUP(AB77,CE78:CJ183,5,FALSE())</f>
        <v>#VALUE!</v>
      </c>
      <c r="AH77" s="264" t="e">
        <f aca="false">VLOOKUP(AB77,CE78:CJ183,6,FALSE())</f>
        <v>#VALUE!</v>
      </c>
      <c r="AI77" s="264" t="e">
        <f aca="false">VLOOKUP(AB77,CE78:CM183,8,FALSE())</f>
        <v>#VALUE!</v>
      </c>
      <c r="AJ77" s="266" t="e">
        <f aca="false">VLOOKUP(AB77,CE78:CM183,9,FALSE())</f>
        <v>#VALUE!</v>
      </c>
      <c r="AK77" s="264" t="e">
        <f aca="false">VLOOKUP(AB77,CE78:CN183,10,FALSE())</f>
        <v>#VALUE!</v>
      </c>
      <c r="AM77" s="322" t="e">
        <f aca="false">LongTerm1!D82</f>
        <v>#VALUE!</v>
      </c>
      <c r="AN77" s="323" t="e">
        <f aca="false">(LongTerm1!BM82+LongTerm1!BL82/(1-LongTerm1!AR82))*(LongTerm1!F82*LongTerm1!AF82*LongTerm1!AH82)/10000</f>
        <v>#VALUE!</v>
      </c>
      <c r="AO77" s="323" t="e">
        <f aca="false">LongTerm1!BM82*(LongTerm1!F82*LongTerm1!AF82*LongTerm1!AH82)/10000</f>
        <v>#VALUE!</v>
      </c>
      <c r="AP77" s="323" t="e">
        <f aca="false">(LongTerm1!BL82/(1-LongTerm1!AR82))*(LongTerm1!F82*LongTerm1!AF82*LongTerm1!AH82)/10000</f>
        <v>#VALUE!</v>
      </c>
      <c r="AQ77" s="324"/>
      <c r="AV77" s="319"/>
      <c r="AW77" s="319"/>
      <c r="AX77" s="319"/>
      <c r="AY77" s="319"/>
      <c r="AZ77" s="319"/>
      <c r="BA77" s="319"/>
      <c r="BB77" s="319"/>
      <c r="BC77" s="319"/>
      <c r="BD77" s="319"/>
      <c r="BE77" s="319"/>
      <c r="BF77" s="319"/>
      <c r="BG77" s="322" t="e">
        <f aca="false">LongTerm25!D82</f>
        <v>#VALUE!</v>
      </c>
      <c r="BH77" s="323" t="e">
        <f aca="false">(LongTerm25!BM82+LongTerm25!BL82/(1-LongTerm25!AR82))*(LongTerm25!F82*LongTerm25!AF82*LongTerm25!AH82)/10000</f>
        <v>#VALUE!</v>
      </c>
      <c r="BI77" s="323" t="e">
        <f aca="false">LongTerm25!BM82*(LongTerm25!F82*LongTerm25!AF82*LongTerm25!AH82)/10000</f>
        <v>#VALUE!</v>
      </c>
      <c r="BJ77" s="323" t="e">
        <f aca="false">(LongTerm25!BL82/(1-LongTerm25!AR82))*(LongTerm25!F82*LongTerm25!AF82*LongTerm25!AH82)/10000</f>
        <v>#VALUE!</v>
      </c>
      <c r="BK77" s="319"/>
      <c r="BL77" s="319"/>
      <c r="BM77" s="319"/>
      <c r="BN77" s="319"/>
      <c r="BP77" s="325" t="e">
        <f aca="false">LongTerm62!D82</f>
        <v>#VALUE!</v>
      </c>
      <c r="BQ77" s="323" t="e">
        <f aca="false">(LongTerm62!$BM82+LongTerm62!$BL82/(1-LongTerm62!$AR82))*(LongTerm62!$F82*LongTerm62!$AF82*LongTerm62!$AH82)/10000</f>
        <v>#VALUE!</v>
      </c>
      <c r="BR77" s="323" t="e">
        <f aca="false">LongTerm62!$BM82*(LongTerm62!$F82*LongTerm62!$AF82*LongTerm62!$AH82)/10000</f>
        <v>#VALUE!</v>
      </c>
      <c r="BS77" s="323" t="e">
        <f aca="false">(LongTerm62!$BL82/(1-LongTerm62!$AR82))*(LongTerm62!$F82*LongTerm62!$AF82*LongTerm62!$AH82)/10000</f>
        <v>#VALUE!</v>
      </c>
      <c r="BT77" s="265"/>
      <c r="BU77" s="325" t="e">
        <f aca="false">LongTerm107!D82</f>
        <v>#VALUE!</v>
      </c>
      <c r="BV77" s="323" t="e">
        <f aca="false">(LongTerm107!$BM82+LongTerm107!$BL82/(1-LongTerm107!$AR82))*(LongTerm107!$F82*LongTerm107!$AF82*LongTerm107!$AH82)/10000</f>
        <v>#VALUE!</v>
      </c>
      <c r="BW77" s="323" t="e">
        <f aca="false">LongTerm107!$BM82*(LongTerm107!$F82*LongTerm107!$AF82*LongTerm107!$AH82)/10000</f>
        <v>#VALUE!</v>
      </c>
      <c r="BX77" s="323" t="e">
        <f aca="false">(LongTerm107!$BL82/(1-LongTerm107!$AR82))*(LongTerm107!$F82*LongTerm107!$AF82*LongTerm107!$AH82)/10000</f>
        <v>#VALUE!</v>
      </c>
      <c r="BY77" s="326"/>
      <c r="BZ77" s="325" t="e">
        <f aca="false">LongTerm108!D82</f>
        <v>#VALUE!</v>
      </c>
      <c r="CA77" s="323" t="e">
        <f aca="false">(LongTerm108!$BM82+LongTerm108!$BL82/(1-LongTerm108!$AR82))*(LongTerm108!$F82*LongTerm108!$AF82*LongTerm108!$AH82)/10000</f>
        <v>#VALUE!</v>
      </c>
      <c r="CB77" s="323" t="e">
        <f aca="false">LongTerm108!$BM82*(LongTerm108!$F82*LongTerm108!$AF82*LongTerm108!$AH82)/10000</f>
        <v>#VALUE!</v>
      </c>
      <c r="CC77" s="323" t="e">
        <f aca="false">(LongTerm108!$BL82/(1-LongTerm108!$AR82))*(LongTerm108!$F82*LongTerm108!$AF82*LongTerm108!$AH82)/10000</f>
        <v>#VALUE!</v>
      </c>
      <c r="CD77" s="332"/>
      <c r="CE77" s="333" t="n">
        <f aca="false">EOMONTH(CE76,0)+15</f>
        <v>38852</v>
      </c>
      <c r="CF77" s="337" t="n">
        <v>24.1</v>
      </c>
      <c r="CG77" s="337" t="n">
        <v>137</v>
      </c>
      <c r="CH77" s="337" t="n">
        <v>-158.3</v>
      </c>
      <c r="CI77" s="337" t="n">
        <v>0</v>
      </c>
      <c r="CJ77" s="337" t="n">
        <v>0</v>
      </c>
      <c r="CK77" s="337" t="n">
        <v>1.7</v>
      </c>
      <c r="CL77" s="337" t="n">
        <v>0</v>
      </c>
      <c r="CM77" s="337" t="n">
        <v>0</v>
      </c>
      <c r="CN77" s="337" t="n">
        <v>0</v>
      </c>
    </row>
    <row r="78" customFormat="false" ht="12.75" hidden="false" customHeight="false" outlineLevel="0" collapsed="false">
      <c r="B78" s="320" t="e">
        <f aca="false">Q78</f>
        <v>#VALUE!</v>
      </c>
      <c r="C78" s="319" t="e">
        <f aca="false">YEAR(B78)</f>
        <v>#VALUE!</v>
      </c>
      <c r="D78" s="266" t="e">
        <f aca="false">R78+AC78</f>
        <v>#VALUE!</v>
      </c>
      <c r="E78" s="266" t="e">
        <f aca="false">S78+AD78</f>
        <v>#VALUE!</v>
      </c>
      <c r="F78" s="266" t="e">
        <f aca="false">+T78+AE78</f>
        <v>#VALUE!</v>
      </c>
      <c r="G78" s="266" t="e">
        <f aca="false">+U78+AF78</f>
        <v>#VALUE!</v>
      </c>
      <c r="H78" s="266" t="e">
        <f aca="false">V78+AG78</f>
        <v>#VALUE!</v>
      </c>
      <c r="I78" s="266" t="e">
        <f aca="false">W78+AH78</f>
        <v>#VALUE!</v>
      </c>
      <c r="J78" s="265"/>
      <c r="K78" s="265"/>
      <c r="L78" s="265"/>
      <c r="M78" s="266" t="e">
        <f aca="false">X78+AI78</f>
        <v>#VALUE!</v>
      </c>
      <c r="N78" s="264" t="e">
        <f aca="false">Y78+AJ78</f>
        <v>#VALUE!</v>
      </c>
      <c r="O78" s="264" t="e">
        <f aca="false">Z78+AK78</f>
        <v>#VALUE!</v>
      </c>
      <c r="Q78" s="320" t="e">
        <f aca="false">EOMONTH(Q77,0)+15</f>
        <v>#VALUE!</v>
      </c>
      <c r="R78" s="266" t="e">
        <f aca="false">SUMIF(AM:AM,$Q78,AN:AN)+SUMIF(AQ:AQ,$Q78,AR:AR)+SUMIF(AU:AU,$Q78,AV:AV)+SUMIF(BU:BU,$Q78,BV:BV)+SUMIF(BZ:BZ,$Q78,CA:CA)+SUMIF(BG:BG,$Q78,BH:BH)+SUMIF(BK:BK,$Q78,BL:BL)+SUMIF(BP:BP,$Q78,BQ:BQ)</f>
        <v>#VALUE!</v>
      </c>
      <c r="S78" s="264" t="e">
        <f aca="false">SUMIF(AM:AM,$Q78,AP:AP)+SUMIF(BU:BU,$Q78,BW:BW)+SUMIF(BZ:BZ,$Q78,CB:CB)</f>
        <v>#VALUE!</v>
      </c>
      <c r="T78" s="264" t="e">
        <f aca="false">SUMIF(AQ:AQ,$Q78,AT:AT)+SUMIF(BG:BG,$Q78,BJ:BJ)+SUMIF(BK:BK,$Q78,BN:BN)</f>
        <v>#VALUE!</v>
      </c>
      <c r="U78" s="264" t="e">
        <f aca="false">SUMIF(AM:AM,$Q78,AO:AO)+SUMIF(AQ:AQ,$Q78,AS:AS)+SUMIF(BG:BG,$Q78,BI:BI)+SUMIF(BK:BK,$Q78,BM:BM)</f>
        <v>#VALUE!</v>
      </c>
      <c r="V78" s="264" t="e">
        <f aca="false">SUMIF(AU:AU,$Q78,AW:AW)</f>
        <v>#VALUE!</v>
      </c>
      <c r="W78" s="264" t="e">
        <f aca="false">SUMIF(AU:AU,$Q78,AX:AX)</f>
        <v>#VALUE!</v>
      </c>
      <c r="X78" s="264" t="e">
        <f aca="false">SUMIF(BP:BP,$Q78,BR:BR)</f>
        <v>#VALUE!</v>
      </c>
      <c r="Y78" s="266" t="e">
        <f aca="false">SUMIF(BP:BP,$Q78,BS:BS)</f>
        <v>#VALUE!</v>
      </c>
      <c r="Z78" s="264" t="e">
        <f aca="false">SUMIF(BU:BU,$Q78,BX:BX)+SUMIF(BZ:BZ,$Q78,CC:CC)</f>
        <v>#VALUE!</v>
      </c>
      <c r="AB78" s="320" t="e">
        <f aca="false">Q78</f>
        <v>#VALUE!</v>
      </c>
      <c r="AC78" s="321" t="e">
        <f aca="false">VLOOKUP(AB78,CE79:CK184,7,FALSE())</f>
        <v>#VALUE!</v>
      </c>
      <c r="AD78" s="264" t="e">
        <f aca="false">VLOOKUP(AB78,CE79:CJ184,3,FALSE())</f>
        <v>#VALUE!</v>
      </c>
      <c r="AE78" s="264" t="e">
        <f aca="false">VLOOKUP(AB78,CE79:CJ184,2,FALSE())</f>
        <v>#VALUE!</v>
      </c>
      <c r="AF78" s="264" t="e">
        <f aca="false">VLOOKUP(AB78,CE79:CJ184,4,FALSE())</f>
        <v>#VALUE!</v>
      </c>
      <c r="AG78" s="264" t="e">
        <f aca="false">VLOOKUP(AB78,CE79:CJ184,5,FALSE())</f>
        <v>#VALUE!</v>
      </c>
      <c r="AH78" s="264" t="e">
        <f aca="false">VLOOKUP(AB78,CE79:CJ184,6,FALSE())</f>
        <v>#VALUE!</v>
      </c>
      <c r="AI78" s="264" t="e">
        <f aca="false">VLOOKUP(AB78,CE79:CM184,8,FALSE())</f>
        <v>#VALUE!</v>
      </c>
      <c r="AJ78" s="266" t="e">
        <f aca="false">VLOOKUP(AB78,CE79:CM184,9,FALSE())</f>
        <v>#VALUE!</v>
      </c>
      <c r="AK78" s="264" t="e">
        <f aca="false">VLOOKUP(AB78,CE79:CN184,10,FALSE())</f>
        <v>#VALUE!</v>
      </c>
      <c r="AM78" s="322" t="e">
        <f aca="false">LongTerm1!D83</f>
        <v>#VALUE!</v>
      </c>
      <c r="AN78" s="323" t="e">
        <f aca="false">(LongTerm1!BM83+LongTerm1!BL83/(1-LongTerm1!AR83))*(LongTerm1!F83*LongTerm1!AF83*LongTerm1!AH83)/10000</f>
        <v>#VALUE!</v>
      </c>
      <c r="AO78" s="323" t="e">
        <f aca="false">LongTerm1!BM83*(LongTerm1!F83*LongTerm1!AF83*LongTerm1!AH83)/10000</f>
        <v>#VALUE!</v>
      </c>
      <c r="AP78" s="323" t="e">
        <f aca="false">(LongTerm1!BL83/(1-LongTerm1!AR83))*(LongTerm1!F83*LongTerm1!AF83*LongTerm1!AH83)/10000</f>
        <v>#VALUE!</v>
      </c>
      <c r="AQ78" s="324"/>
      <c r="AV78" s="319"/>
      <c r="AW78" s="319"/>
      <c r="AX78" s="319"/>
      <c r="AY78" s="319"/>
      <c r="AZ78" s="319"/>
      <c r="BA78" s="319"/>
      <c r="BB78" s="319"/>
      <c r="BC78" s="319"/>
      <c r="BD78" s="319"/>
      <c r="BE78" s="319"/>
      <c r="BF78" s="319"/>
      <c r="BG78" s="322" t="e">
        <f aca="false">LongTerm25!D83</f>
        <v>#VALUE!</v>
      </c>
      <c r="BH78" s="323" t="e">
        <f aca="false">(LongTerm25!BM83+LongTerm25!BL83/(1-LongTerm25!AR83))*(LongTerm25!F83*LongTerm25!AF83*LongTerm25!AH83)/10000</f>
        <v>#VALUE!</v>
      </c>
      <c r="BI78" s="323" t="e">
        <f aca="false">LongTerm25!BM83*(LongTerm25!F83*LongTerm25!AF83*LongTerm25!AH83)/10000</f>
        <v>#VALUE!</v>
      </c>
      <c r="BJ78" s="323" t="e">
        <f aca="false">(LongTerm25!BL83/(1-LongTerm25!AR83))*(LongTerm25!F83*LongTerm25!AF83*LongTerm25!AH83)/10000</f>
        <v>#VALUE!</v>
      </c>
      <c r="BK78" s="319"/>
      <c r="BL78" s="319"/>
      <c r="BM78" s="319"/>
      <c r="BN78" s="319"/>
      <c r="BP78" s="325" t="e">
        <f aca="false">LongTerm62!D83</f>
        <v>#VALUE!</v>
      </c>
      <c r="BQ78" s="323" t="e">
        <f aca="false">(LongTerm62!$BM83+LongTerm62!$BL83/(1-LongTerm62!$AR83))*(LongTerm62!$F83*LongTerm62!$AF83*LongTerm62!$AH83)/10000</f>
        <v>#VALUE!</v>
      </c>
      <c r="BR78" s="323" t="e">
        <f aca="false">LongTerm62!$BM83*(LongTerm62!$F83*LongTerm62!$AF83*LongTerm62!$AH83)/10000</f>
        <v>#VALUE!</v>
      </c>
      <c r="BS78" s="323" t="e">
        <f aca="false">(LongTerm62!$BL83/(1-LongTerm62!$AR83))*(LongTerm62!$F83*LongTerm62!$AF83*LongTerm62!$AH83)/10000</f>
        <v>#VALUE!</v>
      </c>
      <c r="BT78" s="265"/>
      <c r="BU78" s="325" t="e">
        <f aca="false">LongTerm107!D83</f>
        <v>#VALUE!</v>
      </c>
      <c r="BV78" s="323" t="e">
        <f aca="false">(LongTerm107!$BM83+LongTerm107!$BL83/(1-LongTerm107!$AR83))*(LongTerm107!$F83*LongTerm107!$AF83*LongTerm107!$AH83)/10000</f>
        <v>#VALUE!</v>
      </c>
      <c r="BW78" s="323" t="e">
        <f aca="false">LongTerm107!$BM83*(LongTerm107!$F83*LongTerm107!$AF83*LongTerm107!$AH83)/10000</f>
        <v>#VALUE!</v>
      </c>
      <c r="BX78" s="323" t="e">
        <f aca="false">(LongTerm107!$BL83/(1-LongTerm107!$AR83))*(LongTerm107!$F83*LongTerm107!$AF83*LongTerm107!$AH83)/10000</f>
        <v>#VALUE!</v>
      </c>
      <c r="BY78" s="326"/>
      <c r="BZ78" s="325" t="e">
        <f aca="false">LongTerm108!D83</f>
        <v>#VALUE!</v>
      </c>
      <c r="CA78" s="323" t="e">
        <f aca="false">(LongTerm108!$BM83+LongTerm108!$BL83/(1-LongTerm108!$AR83))*(LongTerm108!$F83*LongTerm108!$AF83*LongTerm108!$AH83)/10000</f>
        <v>#VALUE!</v>
      </c>
      <c r="CB78" s="323" t="e">
        <f aca="false">LongTerm108!$BM83*(LongTerm108!$F83*LongTerm108!$AF83*LongTerm108!$AH83)/10000</f>
        <v>#VALUE!</v>
      </c>
      <c r="CC78" s="323" t="e">
        <f aca="false">(LongTerm108!$BL83/(1-LongTerm108!$AR83))*(LongTerm108!$F83*LongTerm108!$AF83*LongTerm108!$AH83)/10000</f>
        <v>#VALUE!</v>
      </c>
      <c r="CD78" s="332"/>
      <c r="CE78" s="333" t="n">
        <f aca="false">EOMONTH(CE77,0)+15</f>
        <v>38883</v>
      </c>
      <c r="CF78" s="337" t="n">
        <v>22.7</v>
      </c>
      <c r="CG78" s="337" t="n">
        <v>130.6</v>
      </c>
      <c r="CH78" s="337" t="n">
        <v>-152.2</v>
      </c>
      <c r="CI78" s="337" t="n">
        <v>0</v>
      </c>
      <c r="CJ78" s="337" t="n">
        <v>0</v>
      </c>
      <c r="CK78" s="337" t="n">
        <v>1.7</v>
      </c>
      <c r="CL78" s="337" t="n">
        <v>0</v>
      </c>
      <c r="CM78" s="337" t="n">
        <v>0</v>
      </c>
      <c r="CN78" s="337" t="n">
        <v>0</v>
      </c>
    </row>
    <row r="79" customFormat="false" ht="12.75" hidden="false" customHeight="false" outlineLevel="0" collapsed="false">
      <c r="B79" s="320" t="e">
        <f aca="false">Q79</f>
        <v>#VALUE!</v>
      </c>
      <c r="C79" s="319" t="e">
        <f aca="false">YEAR(B79)</f>
        <v>#VALUE!</v>
      </c>
      <c r="D79" s="266" t="e">
        <f aca="false">R79+AC79</f>
        <v>#VALUE!</v>
      </c>
      <c r="E79" s="266" t="e">
        <f aca="false">S79+AD79</f>
        <v>#VALUE!</v>
      </c>
      <c r="F79" s="266" t="e">
        <f aca="false">+T79+AE79</f>
        <v>#VALUE!</v>
      </c>
      <c r="G79" s="266" t="e">
        <f aca="false">+U79+AF79</f>
        <v>#VALUE!</v>
      </c>
      <c r="H79" s="266" t="e">
        <f aca="false">V79+AG79</f>
        <v>#VALUE!</v>
      </c>
      <c r="I79" s="266" t="e">
        <f aca="false">W79+AH79</f>
        <v>#VALUE!</v>
      </c>
      <c r="J79" s="265"/>
      <c r="K79" s="265"/>
      <c r="L79" s="265"/>
      <c r="M79" s="266" t="e">
        <f aca="false">X79+AI79</f>
        <v>#VALUE!</v>
      </c>
      <c r="N79" s="264" t="e">
        <f aca="false">Y79+AJ79</f>
        <v>#VALUE!</v>
      </c>
      <c r="O79" s="264" t="e">
        <f aca="false">Z79+AK79</f>
        <v>#VALUE!</v>
      </c>
      <c r="Q79" s="320" t="e">
        <f aca="false">EOMONTH(Q78,0)+15</f>
        <v>#VALUE!</v>
      </c>
      <c r="R79" s="266" t="e">
        <f aca="false">SUMIF(AM:AM,$Q79,AN:AN)+SUMIF(AQ:AQ,$Q79,AR:AR)+SUMIF(AU:AU,$Q79,AV:AV)+SUMIF(BU:BU,$Q79,BV:BV)+SUMIF(BZ:BZ,$Q79,CA:CA)+SUMIF(BG:BG,$Q79,BH:BH)+SUMIF(BK:BK,$Q79,BL:BL)+SUMIF(BP:BP,$Q79,BQ:BQ)</f>
        <v>#VALUE!</v>
      </c>
      <c r="S79" s="264" t="e">
        <f aca="false">SUMIF(AM:AM,$Q79,AP:AP)+SUMIF(BU:BU,$Q79,BW:BW)+SUMIF(BZ:BZ,$Q79,CB:CB)</f>
        <v>#VALUE!</v>
      </c>
      <c r="T79" s="264" t="e">
        <f aca="false">SUMIF(AQ:AQ,$Q79,AT:AT)+SUMIF(BG:BG,$Q79,BJ:BJ)+SUMIF(BK:BK,$Q79,BN:BN)</f>
        <v>#VALUE!</v>
      </c>
      <c r="U79" s="264" t="e">
        <f aca="false">SUMIF(AM:AM,$Q79,AO:AO)+SUMIF(AQ:AQ,$Q79,AS:AS)+SUMIF(BG:BG,$Q79,BI:BI)+SUMIF(BK:BK,$Q79,BM:BM)</f>
        <v>#VALUE!</v>
      </c>
      <c r="V79" s="264" t="e">
        <f aca="false">SUMIF(AU:AU,$Q79,AW:AW)</f>
        <v>#VALUE!</v>
      </c>
      <c r="W79" s="264" t="e">
        <f aca="false">SUMIF(AU:AU,$Q79,AX:AX)</f>
        <v>#VALUE!</v>
      </c>
      <c r="X79" s="264" t="e">
        <f aca="false">SUMIF(BP:BP,$Q79,BR:BR)</f>
        <v>#VALUE!</v>
      </c>
      <c r="Y79" s="266" t="e">
        <f aca="false">SUMIF(BP:BP,$Q79,BS:BS)</f>
        <v>#VALUE!</v>
      </c>
      <c r="Z79" s="264" t="e">
        <f aca="false">SUMIF(BU:BU,$Q79,BX:BX)+SUMIF(BZ:BZ,$Q79,CC:CC)</f>
        <v>#VALUE!</v>
      </c>
      <c r="AB79" s="320" t="e">
        <f aca="false">Q79</f>
        <v>#VALUE!</v>
      </c>
      <c r="AC79" s="321" t="e">
        <f aca="false">VLOOKUP(AB79,CE80:CK185,7,FALSE())</f>
        <v>#VALUE!</v>
      </c>
      <c r="AD79" s="264" t="e">
        <f aca="false">VLOOKUP(AB79,CE80:CJ185,3,FALSE())</f>
        <v>#VALUE!</v>
      </c>
      <c r="AE79" s="264" t="e">
        <f aca="false">VLOOKUP(AB79,CE80:CJ185,2,FALSE())</f>
        <v>#VALUE!</v>
      </c>
      <c r="AF79" s="264" t="e">
        <f aca="false">VLOOKUP(AB79,CE80:CJ185,4,FALSE())</f>
        <v>#VALUE!</v>
      </c>
      <c r="AG79" s="264" t="e">
        <f aca="false">VLOOKUP(AB79,CE80:CJ185,5,FALSE())</f>
        <v>#VALUE!</v>
      </c>
      <c r="AH79" s="264" t="e">
        <f aca="false">VLOOKUP(AB79,CE80:CJ185,6,FALSE())</f>
        <v>#VALUE!</v>
      </c>
      <c r="AI79" s="264" t="e">
        <f aca="false">VLOOKUP(AB79,CE80:CM185,8,FALSE())</f>
        <v>#VALUE!</v>
      </c>
      <c r="AJ79" s="266" t="e">
        <f aca="false">VLOOKUP(AB79,CE80:CM185,9,FALSE())</f>
        <v>#VALUE!</v>
      </c>
      <c r="AK79" s="264" t="e">
        <f aca="false">VLOOKUP(AB79,CE80:CN185,10,FALSE())</f>
        <v>#VALUE!</v>
      </c>
      <c r="AM79" s="322" t="e">
        <f aca="false">LongTerm1!D84</f>
        <v>#VALUE!</v>
      </c>
      <c r="AN79" s="323" t="e">
        <f aca="false">(LongTerm1!BM84+LongTerm1!BL84/(1-LongTerm1!AR84))*(LongTerm1!F84*LongTerm1!AF84*LongTerm1!AH84)/10000</f>
        <v>#VALUE!</v>
      </c>
      <c r="AO79" s="323" t="e">
        <f aca="false">LongTerm1!BM84*(LongTerm1!F84*LongTerm1!AF84*LongTerm1!AH84)/10000</f>
        <v>#VALUE!</v>
      </c>
      <c r="AP79" s="323" t="e">
        <f aca="false">(LongTerm1!BL84/(1-LongTerm1!AR84))*(LongTerm1!F84*LongTerm1!AF84*LongTerm1!AH84)/10000</f>
        <v>#VALUE!</v>
      </c>
      <c r="AQ79" s="324"/>
      <c r="AV79" s="319"/>
      <c r="AW79" s="319"/>
      <c r="AX79" s="319"/>
      <c r="AY79" s="319"/>
      <c r="AZ79" s="319"/>
      <c r="BA79" s="319"/>
      <c r="BB79" s="319"/>
      <c r="BC79" s="319"/>
      <c r="BD79" s="319"/>
      <c r="BE79" s="319"/>
      <c r="BF79" s="319"/>
      <c r="BG79" s="322" t="e">
        <f aca="false">LongTerm25!D84</f>
        <v>#VALUE!</v>
      </c>
      <c r="BH79" s="323" t="e">
        <f aca="false">(LongTerm25!BM84+LongTerm25!BL84/(1-LongTerm25!AR84))*(LongTerm25!F84*LongTerm25!AF84*LongTerm25!AH84)/10000</f>
        <v>#VALUE!</v>
      </c>
      <c r="BI79" s="323" t="e">
        <f aca="false">LongTerm25!BM84*(LongTerm25!F84*LongTerm25!AF84*LongTerm25!AH84)/10000</f>
        <v>#VALUE!</v>
      </c>
      <c r="BJ79" s="323" t="e">
        <f aca="false">(LongTerm25!BL84/(1-LongTerm25!AR84))*(LongTerm25!F84*LongTerm25!AF84*LongTerm25!AH84)/10000</f>
        <v>#VALUE!</v>
      </c>
      <c r="BK79" s="319"/>
      <c r="BL79" s="319"/>
      <c r="BM79" s="319"/>
      <c r="BN79" s="319"/>
      <c r="BP79" s="325" t="e">
        <f aca="false">LongTerm62!D84</f>
        <v>#VALUE!</v>
      </c>
      <c r="BQ79" s="323" t="e">
        <f aca="false">(LongTerm62!$BM84+LongTerm62!$BL84/(1-LongTerm62!$AR84))*(LongTerm62!$F84*LongTerm62!$AF84*LongTerm62!$AH84)/10000</f>
        <v>#VALUE!</v>
      </c>
      <c r="BR79" s="323" t="e">
        <f aca="false">LongTerm62!$BM84*(LongTerm62!$F84*LongTerm62!$AF84*LongTerm62!$AH84)/10000</f>
        <v>#VALUE!</v>
      </c>
      <c r="BS79" s="323" t="e">
        <f aca="false">(LongTerm62!$BL84/(1-LongTerm62!$AR84))*(LongTerm62!$F84*LongTerm62!$AF84*LongTerm62!$AH84)/10000</f>
        <v>#VALUE!</v>
      </c>
      <c r="BT79" s="265"/>
      <c r="BU79" s="325" t="e">
        <f aca="false">LongTerm107!D84</f>
        <v>#VALUE!</v>
      </c>
      <c r="BV79" s="323" t="e">
        <f aca="false">(LongTerm107!$BM84+LongTerm107!$BL84/(1-LongTerm107!$AR84))*(LongTerm107!$F84*LongTerm107!$AF84*LongTerm107!$AH84)/10000</f>
        <v>#VALUE!</v>
      </c>
      <c r="BW79" s="323" t="e">
        <f aca="false">LongTerm107!$BM84*(LongTerm107!$F84*LongTerm107!$AF84*LongTerm107!$AH84)/10000</f>
        <v>#VALUE!</v>
      </c>
      <c r="BX79" s="323" t="e">
        <f aca="false">(LongTerm107!$BL84/(1-LongTerm107!$AR84))*(LongTerm107!$F84*LongTerm107!$AF84*LongTerm107!$AH84)/10000</f>
        <v>#VALUE!</v>
      </c>
      <c r="BY79" s="326"/>
      <c r="BZ79" s="325" t="e">
        <f aca="false">LongTerm108!D84</f>
        <v>#VALUE!</v>
      </c>
      <c r="CA79" s="323" t="e">
        <f aca="false">(LongTerm108!$BM84+LongTerm108!$BL84/(1-LongTerm108!$AR84))*(LongTerm108!$F84*LongTerm108!$AF84*LongTerm108!$AH84)/10000</f>
        <v>#VALUE!</v>
      </c>
      <c r="CB79" s="323" t="e">
        <f aca="false">LongTerm108!$BM84*(LongTerm108!$F84*LongTerm108!$AF84*LongTerm108!$AH84)/10000</f>
        <v>#VALUE!</v>
      </c>
      <c r="CC79" s="323" t="e">
        <f aca="false">(LongTerm108!$BL84/(1-LongTerm108!$AR84))*(LongTerm108!$F84*LongTerm108!$AF84*LongTerm108!$AH84)/10000</f>
        <v>#VALUE!</v>
      </c>
      <c r="CD79" s="332"/>
      <c r="CE79" s="333" t="n">
        <f aca="false">EOMONTH(CE78,0)+15</f>
        <v>38913</v>
      </c>
      <c r="CF79" s="337" t="n">
        <v>23.5</v>
      </c>
      <c r="CG79" s="337" t="n">
        <v>130.8</v>
      </c>
      <c r="CH79" s="337" t="n">
        <v>-153.2</v>
      </c>
      <c r="CI79" s="337" t="n">
        <v>0</v>
      </c>
      <c r="CJ79" s="337" t="n">
        <v>0</v>
      </c>
      <c r="CK79" s="337" t="n">
        <v>1.7</v>
      </c>
      <c r="CL79" s="337" t="n">
        <v>0</v>
      </c>
      <c r="CM79" s="337" t="n">
        <v>0</v>
      </c>
      <c r="CN79" s="337" t="n">
        <v>0</v>
      </c>
    </row>
    <row r="80" customFormat="false" ht="12.75" hidden="false" customHeight="false" outlineLevel="0" collapsed="false">
      <c r="B80" s="320" t="e">
        <f aca="false">Q80</f>
        <v>#VALUE!</v>
      </c>
      <c r="C80" s="319" t="e">
        <f aca="false">YEAR(B80)</f>
        <v>#VALUE!</v>
      </c>
      <c r="D80" s="266" t="e">
        <f aca="false">R80+AC80</f>
        <v>#VALUE!</v>
      </c>
      <c r="E80" s="266" t="e">
        <f aca="false">S80+AD80</f>
        <v>#VALUE!</v>
      </c>
      <c r="F80" s="266" t="e">
        <f aca="false">+T80+AE80</f>
        <v>#VALUE!</v>
      </c>
      <c r="G80" s="266" t="e">
        <f aca="false">+U80+AF80</f>
        <v>#VALUE!</v>
      </c>
      <c r="H80" s="266" t="e">
        <f aca="false">V80+AG80</f>
        <v>#VALUE!</v>
      </c>
      <c r="I80" s="266" t="e">
        <f aca="false">W80+AH80</f>
        <v>#VALUE!</v>
      </c>
      <c r="J80" s="265"/>
      <c r="K80" s="265"/>
      <c r="L80" s="265"/>
      <c r="M80" s="266" t="e">
        <f aca="false">X80+AI80</f>
        <v>#VALUE!</v>
      </c>
      <c r="N80" s="264" t="e">
        <f aca="false">Y80+AJ80</f>
        <v>#VALUE!</v>
      </c>
      <c r="O80" s="264" t="e">
        <f aca="false">Z80+AK80</f>
        <v>#VALUE!</v>
      </c>
      <c r="Q80" s="320" t="e">
        <f aca="false">EOMONTH(Q79,0)+15</f>
        <v>#VALUE!</v>
      </c>
      <c r="R80" s="266" t="e">
        <f aca="false">SUMIF(AM:AM,$Q80,AN:AN)+SUMIF(AQ:AQ,$Q80,AR:AR)+SUMIF(AU:AU,$Q80,AV:AV)+SUMIF(BU:BU,$Q80,BV:BV)+SUMIF(BZ:BZ,$Q80,CA:CA)+SUMIF(BG:BG,$Q80,BH:BH)+SUMIF(BK:BK,$Q80,BL:BL)+SUMIF(BP:BP,$Q80,BQ:BQ)</f>
        <v>#VALUE!</v>
      </c>
      <c r="S80" s="264" t="e">
        <f aca="false">SUMIF(AM:AM,$Q80,AP:AP)+SUMIF(BU:BU,$Q80,BW:BW)+SUMIF(BZ:BZ,$Q80,CB:CB)</f>
        <v>#VALUE!</v>
      </c>
      <c r="T80" s="264" t="e">
        <f aca="false">SUMIF(AQ:AQ,$Q80,AT:AT)+SUMIF(BG:BG,$Q80,BJ:BJ)+SUMIF(BK:BK,$Q80,BN:BN)</f>
        <v>#VALUE!</v>
      </c>
      <c r="U80" s="264" t="e">
        <f aca="false">SUMIF(AM:AM,$Q80,AO:AO)+SUMIF(AQ:AQ,$Q80,AS:AS)+SUMIF(BG:BG,$Q80,BI:BI)+SUMIF(BK:BK,$Q80,BM:BM)</f>
        <v>#VALUE!</v>
      </c>
      <c r="V80" s="264" t="e">
        <f aca="false">SUMIF(AU:AU,$Q80,AW:AW)</f>
        <v>#VALUE!</v>
      </c>
      <c r="W80" s="264" t="e">
        <f aca="false">SUMIF(AU:AU,$Q80,AX:AX)</f>
        <v>#VALUE!</v>
      </c>
      <c r="X80" s="264" t="e">
        <f aca="false">SUMIF(BP:BP,$Q80,BR:BR)</f>
        <v>#VALUE!</v>
      </c>
      <c r="Y80" s="266" t="e">
        <f aca="false">SUMIF(BP:BP,$Q80,BS:BS)</f>
        <v>#VALUE!</v>
      </c>
      <c r="Z80" s="264" t="e">
        <f aca="false">SUMIF(BU:BU,$Q80,BX:BX)+SUMIF(BZ:BZ,$Q80,CC:CC)</f>
        <v>#VALUE!</v>
      </c>
      <c r="AB80" s="320" t="e">
        <f aca="false">Q80</f>
        <v>#VALUE!</v>
      </c>
      <c r="AC80" s="321" t="e">
        <f aca="false">VLOOKUP(AB80,CE81:CK186,7,FALSE())</f>
        <v>#VALUE!</v>
      </c>
      <c r="AD80" s="264" t="e">
        <f aca="false">VLOOKUP(AB80,CE81:CJ186,3,FALSE())</f>
        <v>#VALUE!</v>
      </c>
      <c r="AE80" s="264" t="e">
        <f aca="false">VLOOKUP(AB80,CE81:CJ186,2,FALSE())</f>
        <v>#VALUE!</v>
      </c>
      <c r="AF80" s="264" t="e">
        <f aca="false">VLOOKUP(AB80,CE81:CJ186,4,FALSE())</f>
        <v>#VALUE!</v>
      </c>
      <c r="AG80" s="264" t="e">
        <f aca="false">VLOOKUP(AB80,CE81:CJ186,5,FALSE())</f>
        <v>#VALUE!</v>
      </c>
      <c r="AH80" s="264" t="e">
        <f aca="false">VLOOKUP(AB80,CE81:CJ186,6,FALSE())</f>
        <v>#VALUE!</v>
      </c>
      <c r="AI80" s="264" t="e">
        <f aca="false">VLOOKUP(AB80,CE81:CM186,8,FALSE())</f>
        <v>#VALUE!</v>
      </c>
      <c r="AJ80" s="266" t="e">
        <f aca="false">VLOOKUP(AB80,CE81:CM186,9,FALSE())</f>
        <v>#VALUE!</v>
      </c>
      <c r="AK80" s="264" t="e">
        <f aca="false">VLOOKUP(AB80,CE81:CN186,10,FALSE())</f>
        <v>#VALUE!</v>
      </c>
      <c r="AM80" s="322" t="e">
        <f aca="false">LongTerm1!D85</f>
        <v>#VALUE!</v>
      </c>
      <c r="AN80" s="323" t="e">
        <f aca="false">(LongTerm1!BM85+LongTerm1!BL85/(1-LongTerm1!AR85))*(LongTerm1!F85*LongTerm1!AF85*LongTerm1!AH85)/10000</f>
        <v>#VALUE!</v>
      </c>
      <c r="AO80" s="323" t="e">
        <f aca="false">LongTerm1!BM85*(LongTerm1!F85*LongTerm1!AF85*LongTerm1!AH85)/10000</f>
        <v>#VALUE!</v>
      </c>
      <c r="AP80" s="323" t="e">
        <f aca="false">(LongTerm1!BL85/(1-LongTerm1!AR85))*(LongTerm1!F85*LongTerm1!AF85*LongTerm1!AH85)/10000</f>
        <v>#VALUE!</v>
      </c>
      <c r="AQ80" s="324"/>
      <c r="AV80" s="319"/>
      <c r="AW80" s="319"/>
      <c r="AX80" s="319"/>
      <c r="AY80" s="319"/>
      <c r="AZ80" s="319"/>
      <c r="BA80" s="319"/>
      <c r="BB80" s="319"/>
      <c r="BC80" s="319"/>
      <c r="BD80" s="319"/>
      <c r="BE80" s="319"/>
      <c r="BF80" s="319"/>
      <c r="BG80" s="322" t="e">
        <f aca="false">LongTerm25!D85</f>
        <v>#VALUE!</v>
      </c>
      <c r="BH80" s="323" t="e">
        <f aca="false">(LongTerm25!BM85+LongTerm25!BL85/(1-LongTerm25!AR85))*(LongTerm25!F85*LongTerm25!AF85*LongTerm25!AH85)/10000</f>
        <v>#VALUE!</v>
      </c>
      <c r="BI80" s="323" t="e">
        <f aca="false">LongTerm25!BM85*(LongTerm25!F85*LongTerm25!AF85*LongTerm25!AH85)/10000</f>
        <v>#VALUE!</v>
      </c>
      <c r="BJ80" s="323" t="e">
        <f aca="false">(LongTerm25!BL85/(1-LongTerm25!AR85))*(LongTerm25!F85*LongTerm25!AF85*LongTerm25!AH85)/10000</f>
        <v>#VALUE!</v>
      </c>
      <c r="BK80" s="319"/>
      <c r="BL80" s="319"/>
      <c r="BM80" s="319"/>
      <c r="BN80" s="319"/>
      <c r="BP80" s="325" t="e">
        <f aca="false">LongTerm62!D85</f>
        <v>#VALUE!</v>
      </c>
      <c r="BQ80" s="323" t="e">
        <f aca="false">(LongTerm62!$BM85+LongTerm62!$BL85/(1-LongTerm62!$AR85))*(LongTerm62!$F85*LongTerm62!$AF85*LongTerm62!$AH85)/10000</f>
        <v>#VALUE!</v>
      </c>
      <c r="BR80" s="323" t="e">
        <f aca="false">LongTerm62!$BM85*(LongTerm62!$F85*LongTerm62!$AF85*LongTerm62!$AH85)/10000</f>
        <v>#VALUE!</v>
      </c>
      <c r="BS80" s="323" t="e">
        <f aca="false">(LongTerm62!$BL85/(1-LongTerm62!$AR85))*(LongTerm62!$F85*LongTerm62!$AF85*LongTerm62!$AH85)/10000</f>
        <v>#VALUE!</v>
      </c>
      <c r="BT80" s="265"/>
      <c r="BU80" s="325" t="e">
        <f aca="false">LongTerm107!D85</f>
        <v>#VALUE!</v>
      </c>
      <c r="BV80" s="323" t="e">
        <f aca="false">(LongTerm107!$BM85+LongTerm107!$BL85/(1-LongTerm107!$AR85))*(LongTerm107!$F85*LongTerm107!$AF85*LongTerm107!$AH85)/10000</f>
        <v>#VALUE!</v>
      </c>
      <c r="BW80" s="323" t="e">
        <f aca="false">LongTerm107!$BM85*(LongTerm107!$F85*LongTerm107!$AF85*LongTerm107!$AH85)/10000</f>
        <v>#VALUE!</v>
      </c>
      <c r="BX80" s="323" t="e">
        <f aca="false">(LongTerm107!$BL85/(1-LongTerm107!$AR85))*(LongTerm107!$F85*LongTerm107!$AF85*LongTerm107!$AH85)/10000</f>
        <v>#VALUE!</v>
      </c>
      <c r="BY80" s="326"/>
      <c r="BZ80" s="325" t="e">
        <f aca="false">LongTerm108!D85</f>
        <v>#VALUE!</v>
      </c>
      <c r="CA80" s="323" t="e">
        <f aca="false">(LongTerm108!$BM85+LongTerm108!$BL85/(1-LongTerm108!$AR85))*(LongTerm108!$F85*LongTerm108!$AF85*LongTerm108!$AH85)/10000</f>
        <v>#VALUE!</v>
      </c>
      <c r="CB80" s="323" t="e">
        <f aca="false">LongTerm108!$BM85*(LongTerm108!$F85*LongTerm108!$AF85*LongTerm108!$AH85)/10000</f>
        <v>#VALUE!</v>
      </c>
      <c r="CC80" s="323" t="e">
        <f aca="false">(LongTerm108!$BL85/(1-LongTerm108!$AR85))*(LongTerm108!$F85*LongTerm108!$AF85*LongTerm108!$AH85)/10000</f>
        <v>#VALUE!</v>
      </c>
      <c r="CD80" s="332"/>
      <c r="CE80" s="333" t="n">
        <f aca="false">EOMONTH(CE79,0)+15</f>
        <v>38944</v>
      </c>
      <c r="CF80" s="337" t="n">
        <v>23.3</v>
      </c>
      <c r="CG80" s="337" t="n">
        <v>126.1</v>
      </c>
      <c r="CH80" s="337" t="n">
        <v>-148.2</v>
      </c>
      <c r="CI80" s="337" t="n">
        <v>0</v>
      </c>
      <c r="CJ80" s="337" t="n">
        <v>0</v>
      </c>
      <c r="CK80" s="337" t="n">
        <v>1.7</v>
      </c>
      <c r="CL80" s="337" t="n">
        <v>0</v>
      </c>
      <c r="CM80" s="337" t="n">
        <v>0</v>
      </c>
      <c r="CN80" s="337" t="n">
        <v>0</v>
      </c>
    </row>
    <row r="81" customFormat="false" ht="12.75" hidden="false" customHeight="false" outlineLevel="0" collapsed="false">
      <c r="B81" s="320" t="e">
        <f aca="false">Q81</f>
        <v>#VALUE!</v>
      </c>
      <c r="C81" s="319" t="e">
        <f aca="false">YEAR(B81)</f>
        <v>#VALUE!</v>
      </c>
      <c r="D81" s="266" t="e">
        <f aca="false">R81+AC81</f>
        <v>#VALUE!</v>
      </c>
      <c r="E81" s="266" t="e">
        <f aca="false">S81+AD81</f>
        <v>#VALUE!</v>
      </c>
      <c r="F81" s="266" t="e">
        <f aca="false">+T81+AE81</f>
        <v>#VALUE!</v>
      </c>
      <c r="G81" s="266" t="e">
        <f aca="false">+U81+AF81</f>
        <v>#VALUE!</v>
      </c>
      <c r="H81" s="266" t="e">
        <f aca="false">V81+AG81</f>
        <v>#VALUE!</v>
      </c>
      <c r="I81" s="266" t="e">
        <f aca="false">W81+AH81</f>
        <v>#VALUE!</v>
      </c>
      <c r="J81" s="265"/>
      <c r="K81" s="265"/>
      <c r="L81" s="265"/>
      <c r="M81" s="266" t="e">
        <f aca="false">X81+AI81</f>
        <v>#VALUE!</v>
      </c>
      <c r="N81" s="264" t="e">
        <f aca="false">Y81+AJ81</f>
        <v>#VALUE!</v>
      </c>
      <c r="O81" s="264" t="e">
        <f aca="false">Z81+AK81</f>
        <v>#VALUE!</v>
      </c>
      <c r="Q81" s="320" t="e">
        <f aca="false">EOMONTH(Q80,0)+15</f>
        <v>#VALUE!</v>
      </c>
      <c r="R81" s="266" t="e">
        <f aca="false">SUMIF(AM:AM,$Q81,AN:AN)+SUMIF(AQ:AQ,$Q81,AR:AR)+SUMIF(AU:AU,$Q81,AV:AV)+SUMIF(BU:BU,$Q81,BV:BV)+SUMIF(BZ:BZ,$Q81,CA:CA)+SUMIF(BG:BG,$Q81,BH:BH)+SUMIF(BK:BK,$Q81,BL:BL)+SUMIF(BP:BP,$Q81,BQ:BQ)</f>
        <v>#VALUE!</v>
      </c>
      <c r="S81" s="264" t="e">
        <f aca="false">SUMIF(AM:AM,$Q81,AP:AP)+SUMIF(BU:BU,$Q81,BW:BW)+SUMIF(BZ:BZ,$Q81,CB:CB)</f>
        <v>#VALUE!</v>
      </c>
      <c r="T81" s="264" t="e">
        <f aca="false">SUMIF(AQ:AQ,$Q81,AT:AT)+SUMIF(BG:BG,$Q81,BJ:BJ)+SUMIF(BK:BK,$Q81,BN:BN)</f>
        <v>#VALUE!</v>
      </c>
      <c r="U81" s="264" t="e">
        <f aca="false">SUMIF(AM:AM,$Q81,AO:AO)+SUMIF(AQ:AQ,$Q81,AS:AS)+SUMIF(BG:BG,$Q81,BI:BI)+SUMIF(BK:BK,$Q81,BM:BM)</f>
        <v>#VALUE!</v>
      </c>
      <c r="V81" s="264" t="e">
        <f aca="false">SUMIF(AU:AU,$Q81,AW:AW)</f>
        <v>#VALUE!</v>
      </c>
      <c r="W81" s="264" t="e">
        <f aca="false">SUMIF(AU:AU,$Q81,AX:AX)</f>
        <v>#VALUE!</v>
      </c>
      <c r="X81" s="264" t="e">
        <f aca="false">SUMIF(BP:BP,$Q81,BR:BR)</f>
        <v>#VALUE!</v>
      </c>
      <c r="Y81" s="266" t="e">
        <f aca="false">SUMIF(BP:BP,$Q81,BS:BS)</f>
        <v>#VALUE!</v>
      </c>
      <c r="Z81" s="264" t="e">
        <f aca="false">SUMIF(BU:BU,$Q81,BX:BX)+SUMIF(BZ:BZ,$Q81,CC:CC)</f>
        <v>#VALUE!</v>
      </c>
      <c r="AB81" s="320" t="e">
        <f aca="false">Q81</f>
        <v>#VALUE!</v>
      </c>
      <c r="AC81" s="321" t="e">
        <f aca="false">VLOOKUP(AB81,CE82:CK187,7,FALSE())</f>
        <v>#VALUE!</v>
      </c>
      <c r="AD81" s="264" t="e">
        <f aca="false">VLOOKUP(AB81,CE82:CJ187,3,FALSE())</f>
        <v>#VALUE!</v>
      </c>
      <c r="AE81" s="264" t="e">
        <f aca="false">VLOOKUP(AB81,CE82:CJ187,2,FALSE())</f>
        <v>#VALUE!</v>
      </c>
      <c r="AF81" s="264" t="e">
        <f aca="false">VLOOKUP(AB81,CE82:CJ187,4,FALSE())</f>
        <v>#VALUE!</v>
      </c>
      <c r="AG81" s="264" t="e">
        <f aca="false">VLOOKUP(AB81,CE82:CJ187,5,FALSE())</f>
        <v>#VALUE!</v>
      </c>
      <c r="AH81" s="264" t="e">
        <f aca="false">VLOOKUP(AB81,CE82:CJ187,6,FALSE())</f>
        <v>#VALUE!</v>
      </c>
      <c r="AI81" s="264" t="e">
        <f aca="false">VLOOKUP(AB81,CE82:CM187,8,FALSE())</f>
        <v>#VALUE!</v>
      </c>
      <c r="AJ81" s="266" t="e">
        <f aca="false">VLOOKUP(AB81,CE82:CM187,9,FALSE())</f>
        <v>#VALUE!</v>
      </c>
      <c r="AK81" s="264" t="e">
        <f aca="false">VLOOKUP(AB81,CE82:CN187,10,FALSE())</f>
        <v>#VALUE!</v>
      </c>
      <c r="AM81" s="322" t="e">
        <f aca="false">LongTerm1!D86</f>
        <v>#VALUE!</v>
      </c>
      <c r="AN81" s="323" t="e">
        <f aca="false">(LongTerm1!BM86+LongTerm1!BL86/(1-LongTerm1!AR86))*(LongTerm1!F86*LongTerm1!AF86*LongTerm1!AH86)/10000</f>
        <v>#VALUE!</v>
      </c>
      <c r="AO81" s="323" t="e">
        <f aca="false">LongTerm1!BM86*(LongTerm1!F86*LongTerm1!AF86*LongTerm1!AH86)/10000</f>
        <v>#VALUE!</v>
      </c>
      <c r="AP81" s="323" t="e">
        <f aca="false">(LongTerm1!BL86/(1-LongTerm1!AR86))*(LongTerm1!F86*LongTerm1!AF86*LongTerm1!AH86)/10000</f>
        <v>#VALUE!</v>
      </c>
      <c r="AQ81" s="324"/>
      <c r="AV81" s="319"/>
      <c r="AW81" s="319"/>
      <c r="AX81" s="319"/>
      <c r="AY81" s="319"/>
      <c r="AZ81" s="319"/>
      <c r="BA81" s="319"/>
      <c r="BB81" s="319"/>
      <c r="BC81" s="319"/>
      <c r="BD81" s="319"/>
      <c r="BE81" s="319"/>
      <c r="BF81" s="319"/>
      <c r="BG81" s="322" t="e">
        <f aca="false">LongTerm25!D86</f>
        <v>#VALUE!</v>
      </c>
      <c r="BH81" s="323" t="e">
        <f aca="false">(LongTerm25!BM86+LongTerm25!BL86/(1-LongTerm25!AR86))*(LongTerm25!F86*LongTerm25!AF86*LongTerm25!AH86)/10000</f>
        <v>#VALUE!</v>
      </c>
      <c r="BI81" s="323" t="e">
        <f aca="false">LongTerm25!BM86*(LongTerm25!F86*LongTerm25!AF86*LongTerm25!AH86)/10000</f>
        <v>#VALUE!</v>
      </c>
      <c r="BJ81" s="323" t="e">
        <f aca="false">(LongTerm25!BL86/(1-LongTerm25!AR86))*(LongTerm25!F86*LongTerm25!AF86*LongTerm25!AH86)/10000</f>
        <v>#VALUE!</v>
      </c>
      <c r="BK81" s="319"/>
      <c r="BL81" s="319"/>
      <c r="BM81" s="319"/>
      <c r="BN81" s="319"/>
      <c r="BP81" s="325" t="e">
        <f aca="false">LongTerm62!D86</f>
        <v>#VALUE!</v>
      </c>
      <c r="BQ81" s="323" t="e">
        <f aca="false">(LongTerm62!$BM86+LongTerm62!$BL86/(1-LongTerm62!$AR86))*(LongTerm62!$F86*LongTerm62!$AF86*LongTerm62!$AH86)/10000</f>
        <v>#VALUE!</v>
      </c>
      <c r="BR81" s="323" t="e">
        <f aca="false">LongTerm62!$BM86*(LongTerm62!$F86*LongTerm62!$AF86*LongTerm62!$AH86)/10000</f>
        <v>#VALUE!</v>
      </c>
      <c r="BS81" s="323" t="e">
        <f aca="false">(LongTerm62!$BL86/(1-LongTerm62!$AR86))*(LongTerm62!$F86*LongTerm62!$AF86*LongTerm62!$AH86)/10000</f>
        <v>#VALUE!</v>
      </c>
      <c r="BT81" s="265"/>
      <c r="BU81" s="325" t="e">
        <f aca="false">LongTerm107!D86</f>
        <v>#VALUE!</v>
      </c>
      <c r="BV81" s="323" t="e">
        <f aca="false">(LongTerm107!$BM86+LongTerm107!$BL86/(1-LongTerm107!$AR86))*(LongTerm107!$F86*LongTerm107!$AF86*LongTerm107!$AH86)/10000</f>
        <v>#VALUE!</v>
      </c>
      <c r="BW81" s="323" t="e">
        <f aca="false">LongTerm107!$BM86*(LongTerm107!$F86*LongTerm107!$AF86*LongTerm107!$AH86)/10000</f>
        <v>#VALUE!</v>
      </c>
      <c r="BX81" s="323" t="e">
        <f aca="false">(LongTerm107!$BL86/(1-LongTerm107!$AR86))*(LongTerm107!$F86*LongTerm107!$AF86*LongTerm107!$AH86)/10000</f>
        <v>#VALUE!</v>
      </c>
      <c r="BY81" s="326"/>
      <c r="BZ81" s="325" t="e">
        <f aca="false">LongTerm108!D86</f>
        <v>#VALUE!</v>
      </c>
      <c r="CA81" s="323" t="e">
        <f aca="false">(LongTerm108!$BM86+LongTerm108!$BL86/(1-LongTerm108!$AR86))*(LongTerm108!$F86*LongTerm108!$AF86*LongTerm108!$AH86)/10000</f>
        <v>#VALUE!</v>
      </c>
      <c r="CB81" s="323" t="e">
        <f aca="false">LongTerm108!$BM86*(LongTerm108!$F86*LongTerm108!$AF86*LongTerm108!$AH86)/10000</f>
        <v>#VALUE!</v>
      </c>
      <c r="CC81" s="323" t="e">
        <f aca="false">(LongTerm108!$BL86/(1-LongTerm108!$AR86))*(LongTerm108!$F86*LongTerm108!$AF86*LongTerm108!$AH86)/10000</f>
        <v>#VALUE!</v>
      </c>
      <c r="CD81" s="332"/>
      <c r="CE81" s="333" t="n">
        <f aca="false">EOMONTH(CE80,0)+15</f>
        <v>38975</v>
      </c>
      <c r="CF81" s="337" t="n">
        <v>22.7</v>
      </c>
      <c r="CG81" s="337" t="n">
        <v>121.4</v>
      </c>
      <c r="CH81" s="337" t="n">
        <v>-142.2</v>
      </c>
      <c r="CI81" s="337" t="n">
        <v>0</v>
      </c>
      <c r="CJ81" s="337" t="n">
        <v>0</v>
      </c>
      <c r="CK81" s="337" t="n">
        <v>1.7</v>
      </c>
      <c r="CL81" s="337" t="n">
        <v>0</v>
      </c>
      <c r="CM81" s="337" t="n">
        <v>0</v>
      </c>
      <c r="CN81" s="337" t="n">
        <v>0</v>
      </c>
    </row>
    <row r="82" customFormat="false" ht="12.75" hidden="false" customHeight="false" outlineLevel="0" collapsed="false">
      <c r="B82" s="320" t="e">
        <f aca="false">Q82</f>
        <v>#VALUE!</v>
      </c>
      <c r="C82" s="319" t="e">
        <f aca="false">YEAR(B82)</f>
        <v>#VALUE!</v>
      </c>
      <c r="D82" s="266" t="e">
        <f aca="false">R82+AC82</f>
        <v>#VALUE!</v>
      </c>
      <c r="E82" s="266" t="e">
        <f aca="false">S82+AD82</f>
        <v>#VALUE!</v>
      </c>
      <c r="F82" s="266" t="e">
        <f aca="false">+T82+AE82</f>
        <v>#VALUE!</v>
      </c>
      <c r="G82" s="266" t="e">
        <f aca="false">+U82+AF82</f>
        <v>#VALUE!</v>
      </c>
      <c r="H82" s="266" t="e">
        <f aca="false">V82+AG82</f>
        <v>#VALUE!</v>
      </c>
      <c r="I82" s="266" t="e">
        <f aca="false">W82+AH82</f>
        <v>#VALUE!</v>
      </c>
      <c r="J82" s="265"/>
      <c r="K82" s="265"/>
      <c r="L82" s="265"/>
      <c r="M82" s="266" t="e">
        <f aca="false">X82+AI82</f>
        <v>#VALUE!</v>
      </c>
      <c r="N82" s="264" t="e">
        <f aca="false">Y82+AJ82</f>
        <v>#VALUE!</v>
      </c>
      <c r="O82" s="264" t="e">
        <f aca="false">Z82+AK82</f>
        <v>#VALUE!</v>
      </c>
      <c r="Q82" s="320" t="e">
        <f aca="false">EOMONTH(Q81,0)+15</f>
        <v>#VALUE!</v>
      </c>
      <c r="R82" s="266" t="e">
        <f aca="false">SUMIF(AM:AM,$Q82,AN:AN)+SUMIF(AQ:AQ,$Q82,AR:AR)+SUMIF(AU:AU,$Q82,AV:AV)+SUMIF(BU:BU,$Q82,BV:BV)+SUMIF(BZ:BZ,$Q82,CA:CA)+SUMIF(BG:BG,$Q82,BH:BH)+SUMIF(BK:BK,$Q82,BL:BL)+SUMIF(BP:BP,$Q82,BQ:BQ)</f>
        <v>#VALUE!</v>
      </c>
      <c r="S82" s="264" t="e">
        <f aca="false">SUMIF(AM:AM,$Q82,AP:AP)+SUMIF(BU:BU,$Q82,BW:BW)+SUMIF(BZ:BZ,$Q82,CB:CB)</f>
        <v>#VALUE!</v>
      </c>
      <c r="T82" s="264" t="e">
        <f aca="false">SUMIF(AQ:AQ,$Q82,AT:AT)+SUMIF(BG:BG,$Q82,BJ:BJ)+SUMIF(BK:BK,$Q82,BN:BN)</f>
        <v>#VALUE!</v>
      </c>
      <c r="U82" s="264" t="e">
        <f aca="false">SUMIF(AM:AM,$Q82,AO:AO)+SUMIF(AQ:AQ,$Q82,AS:AS)+SUMIF(BG:BG,$Q82,BI:BI)+SUMIF(BK:BK,$Q82,BM:BM)</f>
        <v>#VALUE!</v>
      </c>
      <c r="V82" s="264" t="e">
        <f aca="false">SUMIF(AU:AU,$Q82,AW:AW)</f>
        <v>#VALUE!</v>
      </c>
      <c r="W82" s="264" t="e">
        <f aca="false">SUMIF(AU:AU,$Q82,AX:AX)</f>
        <v>#VALUE!</v>
      </c>
      <c r="X82" s="264" t="e">
        <f aca="false">SUMIF(BP:BP,$Q82,BR:BR)</f>
        <v>#VALUE!</v>
      </c>
      <c r="Y82" s="266" t="e">
        <f aca="false">SUMIF(BP:BP,$Q82,BS:BS)</f>
        <v>#VALUE!</v>
      </c>
      <c r="Z82" s="264" t="e">
        <f aca="false">SUMIF(BU:BU,$Q82,BX:BX)+SUMIF(BZ:BZ,$Q82,CC:CC)</f>
        <v>#VALUE!</v>
      </c>
      <c r="AB82" s="320" t="e">
        <f aca="false">Q82</f>
        <v>#VALUE!</v>
      </c>
      <c r="AC82" s="321" t="e">
        <f aca="false">VLOOKUP(AB82,CE83:CK188,7,FALSE())</f>
        <v>#VALUE!</v>
      </c>
      <c r="AD82" s="264" t="e">
        <f aca="false">VLOOKUP(AB82,CE83:CJ188,3,FALSE())</f>
        <v>#VALUE!</v>
      </c>
      <c r="AE82" s="264" t="e">
        <f aca="false">VLOOKUP(AB82,CE83:CJ188,2,FALSE())</f>
        <v>#VALUE!</v>
      </c>
      <c r="AF82" s="264" t="e">
        <f aca="false">VLOOKUP(AB82,CE83:CJ188,4,FALSE())</f>
        <v>#VALUE!</v>
      </c>
      <c r="AG82" s="264" t="e">
        <f aca="false">VLOOKUP(AB82,CE83:CJ188,5,FALSE())</f>
        <v>#VALUE!</v>
      </c>
      <c r="AH82" s="264" t="e">
        <f aca="false">VLOOKUP(AB82,CE83:CJ188,6,FALSE())</f>
        <v>#VALUE!</v>
      </c>
      <c r="AI82" s="264" t="e">
        <f aca="false">VLOOKUP(AB82,CE83:CM188,8,FALSE())</f>
        <v>#VALUE!</v>
      </c>
      <c r="AJ82" s="266" t="e">
        <f aca="false">VLOOKUP(AB82,CE83:CM188,9,FALSE())</f>
        <v>#VALUE!</v>
      </c>
      <c r="AK82" s="264" t="e">
        <f aca="false">VLOOKUP(AB82,CE83:CN188,10,FALSE())</f>
        <v>#VALUE!</v>
      </c>
      <c r="AM82" s="322" t="e">
        <f aca="false">LongTerm1!D87</f>
        <v>#VALUE!</v>
      </c>
      <c r="AN82" s="323" t="e">
        <f aca="false">(LongTerm1!BM87+LongTerm1!BL87/(1-LongTerm1!AR87))*(LongTerm1!F87*LongTerm1!AF87*LongTerm1!AH87)/10000</f>
        <v>#VALUE!</v>
      </c>
      <c r="AO82" s="323" t="e">
        <f aca="false">LongTerm1!BM87*(LongTerm1!F87*LongTerm1!AF87*LongTerm1!AH87)/10000</f>
        <v>#VALUE!</v>
      </c>
      <c r="AP82" s="323" t="e">
        <f aca="false">(LongTerm1!BL87/(1-LongTerm1!AR87))*(LongTerm1!F87*LongTerm1!AF87*LongTerm1!AH87)/10000</f>
        <v>#VALUE!</v>
      </c>
      <c r="AQ82" s="324"/>
      <c r="AV82" s="319"/>
      <c r="AW82" s="319"/>
      <c r="AX82" s="319"/>
      <c r="AY82" s="319"/>
      <c r="AZ82" s="319"/>
      <c r="BA82" s="319"/>
      <c r="BB82" s="319"/>
      <c r="BC82" s="319"/>
      <c r="BD82" s="319"/>
      <c r="BE82" s="319"/>
      <c r="BF82" s="319"/>
      <c r="BG82" s="322" t="e">
        <f aca="false">LongTerm25!D87</f>
        <v>#VALUE!</v>
      </c>
      <c r="BH82" s="323" t="e">
        <f aca="false">(LongTerm25!BM87+LongTerm25!BL87/(1-LongTerm25!AR87))*(LongTerm25!F87*LongTerm25!AF87*LongTerm25!AH87)/10000</f>
        <v>#VALUE!</v>
      </c>
      <c r="BI82" s="323" t="e">
        <f aca="false">LongTerm25!BM87*(LongTerm25!F87*LongTerm25!AF87*LongTerm25!AH87)/10000</f>
        <v>#VALUE!</v>
      </c>
      <c r="BJ82" s="323" t="e">
        <f aca="false">(LongTerm25!BL87/(1-LongTerm25!AR87))*(LongTerm25!F87*LongTerm25!AF87*LongTerm25!AH87)/10000</f>
        <v>#VALUE!</v>
      </c>
      <c r="BK82" s="319"/>
      <c r="BL82" s="319"/>
      <c r="BM82" s="319"/>
      <c r="BN82" s="319"/>
      <c r="BP82" s="325" t="e">
        <f aca="false">LongTerm62!D87</f>
        <v>#VALUE!</v>
      </c>
      <c r="BQ82" s="323" t="e">
        <f aca="false">(LongTerm62!$BM87+LongTerm62!$BL87/(1-LongTerm62!$AR87))*(LongTerm62!$F87*LongTerm62!$AF87*LongTerm62!$AH87)/10000</f>
        <v>#VALUE!</v>
      </c>
      <c r="BR82" s="323" t="e">
        <f aca="false">LongTerm62!$BM87*(LongTerm62!$F87*LongTerm62!$AF87*LongTerm62!$AH87)/10000</f>
        <v>#VALUE!</v>
      </c>
      <c r="BS82" s="323" t="e">
        <f aca="false">(LongTerm62!$BL87/(1-LongTerm62!$AR87))*(LongTerm62!$F87*LongTerm62!$AF87*LongTerm62!$AH87)/10000</f>
        <v>#VALUE!</v>
      </c>
      <c r="BT82" s="265"/>
      <c r="BU82" s="325" t="e">
        <f aca="false">LongTerm107!D87</f>
        <v>#VALUE!</v>
      </c>
      <c r="BV82" s="323" t="e">
        <f aca="false">(LongTerm107!$BM87+LongTerm107!$BL87/(1-LongTerm107!$AR87))*(LongTerm107!$F87*LongTerm107!$AF87*LongTerm107!$AH87)/10000</f>
        <v>#VALUE!</v>
      </c>
      <c r="BW82" s="323" t="e">
        <f aca="false">LongTerm107!$BM87*(LongTerm107!$F87*LongTerm107!$AF87*LongTerm107!$AH87)/10000</f>
        <v>#VALUE!</v>
      </c>
      <c r="BX82" s="323" t="e">
        <f aca="false">(LongTerm107!$BL87/(1-LongTerm107!$AR87))*(LongTerm107!$F87*LongTerm107!$AF87*LongTerm107!$AH87)/10000</f>
        <v>#VALUE!</v>
      </c>
      <c r="BY82" s="326"/>
      <c r="BZ82" s="325" t="e">
        <f aca="false">LongTerm108!D87</f>
        <v>#VALUE!</v>
      </c>
      <c r="CA82" s="323" t="e">
        <f aca="false">(LongTerm108!$BM87+LongTerm108!$BL87/(1-LongTerm108!$AR87))*(LongTerm108!$F87*LongTerm108!$AF87*LongTerm108!$AH87)/10000</f>
        <v>#VALUE!</v>
      </c>
      <c r="CB82" s="323" t="e">
        <f aca="false">LongTerm108!$BM87*(LongTerm108!$F87*LongTerm108!$AF87*LongTerm108!$AH87)/10000</f>
        <v>#VALUE!</v>
      </c>
      <c r="CC82" s="323" t="e">
        <f aca="false">(LongTerm108!$BL87/(1-LongTerm108!$AR87))*(LongTerm108!$F87*LongTerm108!$AF87*LongTerm108!$AH87)/10000</f>
        <v>#VALUE!</v>
      </c>
      <c r="CD82" s="332"/>
      <c r="CE82" s="333" t="n">
        <f aca="false">EOMONTH(CE81,0)+15</f>
        <v>39005</v>
      </c>
      <c r="CF82" s="337" t="n">
        <v>22.7</v>
      </c>
      <c r="CG82" s="337" t="n">
        <v>120</v>
      </c>
      <c r="CH82" s="337" t="n">
        <v>-141.7</v>
      </c>
      <c r="CI82" s="337" t="n">
        <v>0</v>
      </c>
      <c r="CJ82" s="337" t="n">
        <v>0</v>
      </c>
      <c r="CK82" s="337" t="n">
        <v>1.6</v>
      </c>
      <c r="CL82" s="337" t="n">
        <v>0</v>
      </c>
      <c r="CM82" s="337" t="n">
        <v>0</v>
      </c>
      <c r="CN82" s="337" t="n">
        <v>0</v>
      </c>
    </row>
    <row r="83" customFormat="false" ht="12.75" hidden="false" customHeight="false" outlineLevel="0" collapsed="false">
      <c r="B83" s="320" t="e">
        <f aca="false">Q83</f>
        <v>#VALUE!</v>
      </c>
      <c r="C83" s="319" t="e">
        <f aca="false">YEAR(B83)</f>
        <v>#VALUE!</v>
      </c>
      <c r="D83" s="266" t="e">
        <f aca="false">R83+AC83</f>
        <v>#VALUE!</v>
      </c>
      <c r="E83" s="266" t="e">
        <f aca="false">S83+AD83</f>
        <v>#VALUE!</v>
      </c>
      <c r="F83" s="266" t="e">
        <f aca="false">+T83+AE83</f>
        <v>#VALUE!</v>
      </c>
      <c r="G83" s="266" t="e">
        <f aca="false">+U83+AF83</f>
        <v>#VALUE!</v>
      </c>
      <c r="H83" s="266" t="e">
        <f aca="false">V83+AG83</f>
        <v>#VALUE!</v>
      </c>
      <c r="I83" s="266" t="e">
        <f aca="false">W83+AH83</f>
        <v>#VALUE!</v>
      </c>
      <c r="J83" s="265"/>
      <c r="K83" s="265"/>
      <c r="L83" s="265"/>
      <c r="M83" s="266" t="e">
        <f aca="false">X83+AI83</f>
        <v>#VALUE!</v>
      </c>
      <c r="N83" s="264" t="e">
        <f aca="false">Y83+AJ83</f>
        <v>#VALUE!</v>
      </c>
      <c r="O83" s="264" t="e">
        <f aca="false">Z83+AK83</f>
        <v>#VALUE!</v>
      </c>
      <c r="Q83" s="320" t="e">
        <f aca="false">EOMONTH(Q82,0)+15</f>
        <v>#VALUE!</v>
      </c>
      <c r="R83" s="266" t="e">
        <f aca="false">SUMIF(AM:AM,$Q83,AN:AN)+SUMIF(AQ:AQ,$Q83,AR:AR)+SUMIF(AU:AU,$Q83,AV:AV)+SUMIF(BU:BU,$Q83,BV:BV)+SUMIF(BZ:BZ,$Q83,CA:CA)+SUMIF(BG:BG,$Q83,BH:BH)+SUMIF(BK:BK,$Q83,BL:BL)+SUMIF(BP:BP,$Q83,BQ:BQ)</f>
        <v>#VALUE!</v>
      </c>
      <c r="S83" s="264" t="e">
        <f aca="false">SUMIF(AM:AM,$Q83,AP:AP)+SUMIF(BU:BU,$Q83,BW:BW)+SUMIF(BZ:BZ,$Q83,CB:CB)</f>
        <v>#VALUE!</v>
      </c>
      <c r="T83" s="264" t="e">
        <f aca="false">SUMIF(AQ:AQ,$Q83,AT:AT)+SUMIF(BG:BG,$Q83,BJ:BJ)+SUMIF(BK:BK,$Q83,BN:BN)</f>
        <v>#VALUE!</v>
      </c>
      <c r="U83" s="264" t="e">
        <f aca="false">SUMIF(AM:AM,$Q83,AO:AO)+SUMIF(AQ:AQ,$Q83,AS:AS)+SUMIF(BG:BG,$Q83,BI:BI)+SUMIF(BK:BK,$Q83,BM:BM)</f>
        <v>#VALUE!</v>
      </c>
      <c r="V83" s="264" t="e">
        <f aca="false">SUMIF(AU:AU,$Q83,AW:AW)</f>
        <v>#VALUE!</v>
      </c>
      <c r="W83" s="264" t="e">
        <f aca="false">SUMIF(AU:AU,$Q83,AX:AX)</f>
        <v>#VALUE!</v>
      </c>
      <c r="X83" s="264" t="e">
        <f aca="false">SUMIF(BP:BP,$Q83,BR:BR)</f>
        <v>#VALUE!</v>
      </c>
      <c r="Y83" s="266" t="e">
        <f aca="false">SUMIF(BP:BP,$Q83,BS:BS)</f>
        <v>#VALUE!</v>
      </c>
      <c r="Z83" s="264" t="e">
        <f aca="false">SUMIF(BU:BU,$Q83,BX:BX)+SUMIF(BZ:BZ,$Q83,CC:CC)</f>
        <v>#VALUE!</v>
      </c>
      <c r="AB83" s="320" t="e">
        <f aca="false">Q83</f>
        <v>#VALUE!</v>
      </c>
      <c r="AC83" s="321" t="e">
        <f aca="false">VLOOKUP(AB83,CE84:CK189,7,FALSE())</f>
        <v>#VALUE!</v>
      </c>
      <c r="AD83" s="264" t="e">
        <f aca="false">VLOOKUP(AB83,CE84:CJ189,3,FALSE())</f>
        <v>#VALUE!</v>
      </c>
      <c r="AE83" s="264" t="e">
        <f aca="false">VLOOKUP(AB83,CE84:CJ189,2,FALSE())</f>
        <v>#VALUE!</v>
      </c>
      <c r="AF83" s="264" t="e">
        <f aca="false">VLOOKUP(AB83,CE84:CJ189,4,FALSE())</f>
        <v>#VALUE!</v>
      </c>
      <c r="AG83" s="264" t="e">
        <f aca="false">VLOOKUP(AB83,CE84:CJ189,5,FALSE())</f>
        <v>#VALUE!</v>
      </c>
      <c r="AH83" s="264" t="e">
        <f aca="false">VLOOKUP(AB83,CE84:CJ189,6,FALSE())</f>
        <v>#VALUE!</v>
      </c>
      <c r="AI83" s="264" t="e">
        <f aca="false">VLOOKUP(AB83,CE84:CM189,8,FALSE())</f>
        <v>#VALUE!</v>
      </c>
      <c r="AJ83" s="266" t="e">
        <f aca="false">VLOOKUP(AB83,CE84:CM189,9,FALSE())</f>
        <v>#VALUE!</v>
      </c>
      <c r="AK83" s="264" t="e">
        <f aca="false">VLOOKUP(AB83,CE84:CN189,10,FALSE())</f>
        <v>#VALUE!</v>
      </c>
      <c r="AM83" s="322" t="e">
        <f aca="false">LongTerm1!D88</f>
        <v>#VALUE!</v>
      </c>
      <c r="AN83" s="323" t="e">
        <f aca="false">(LongTerm1!BM88+LongTerm1!BL88/(1-LongTerm1!AR88))*(LongTerm1!F88*LongTerm1!AF88*LongTerm1!AH88)/10000</f>
        <v>#VALUE!</v>
      </c>
      <c r="AO83" s="323" t="e">
        <f aca="false">LongTerm1!BM88*(LongTerm1!F88*LongTerm1!AF88*LongTerm1!AH88)/10000</f>
        <v>#VALUE!</v>
      </c>
      <c r="AP83" s="323" t="e">
        <f aca="false">(LongTerm1!BL88/(1-LongTerm1!AR88))*(LongTerm1!F88*LongTerm1!AF88*LongTerm1!AH88)/10000</f>
        <v>#VALUE!</v>
      </c>
      <c r="AQ83" s="324"/>
      <c r="AV83" s="319"/>
      <c r="AW83" s="319"/>
      <c r="AX83" s="319"/>
      <c r="AY83" s="319"/>
      <c r="AZ83" s="319"/>
      <c r="BA83" s="319"/>
      <c r="BB83" s="319"/>
      <c r="BC83" s="319"/>
      <c r="BD83" s="319"/>
      <c r="BE83" s="319"/>
      <c r="BF83" s="319"/>
      <c r="BG83" s="322" t="e">
        <f aca="false">LongTerm25!D88</f>
        <v>#VALUE!</v>
      </c>
      <c r="BH83" s="323" t="e">
        <f aca="false">(LongTerm25!BM88+LongTerm25!BL88/(1-LongTerm25!AR88))*(LongTerm25!F88*LongTerm25!AF88*LongTerm25!AH88)/10000</f>
        <v>#VALUE!</v>
      </c>
      <c r="BI83" s="323" t="e">
        <f aca="false">LongTerm25!BM88*(LongTerm25!F88*LongTerm25!AF88*LongTerm25!AH88)/10000</f>
        <v>#VALUE!</v>
      </c>
      <c r="BJ83" s="323" t="e">
        <f aca="false">(LongTerm25!BL88/(1-LongTerm25!AR88))*(LongTerm25!F88*LongTerm25!AF88*LongTerm25!AH88)/10000</f>
        <v>#VALUE!</v>
      </c>
      <c r="BK83" s="319"/>
      <c r="BL83" s="319"/>
      <c r="BM83" s="319"/>
      <c r="BN83" s="319"/>
      <c r="BP83" s="325" t="e">
        <f aca="false">LongTerm62!D88</f>
        <v>#VALUE!</v>
      </c>
      <c r="BQ83" s="323" t="e">
        <f aca="false">(LongTerm62!$BM88+LongTerm62!$BL88/(1-LongTerm62!$AR88))*(LongTerm62!$F88*LongTerm62!$AF88*LongTerm62!$AH88)/10000</f>
        <v>#VALUE!</v>
      </c>
      <c r="BR83" s="323" t="e">
        <f aca="false">LongTerm62!$BM88*(LongTerm62!$F88*LongTerm62!$AF88*LongTerm62!$AH88)/10000</f>
        <v>#VALUE!</v>
      </c>
      <c r="BS83" s="323" t="e">
        <f aca="false">(LongTerm62!$BL88/(1-LongTerm62!$AR88))*(LongTerm62!$F88*LongTerm62!$AF88*LongTerm62!$AH88)/10000</f>
        <v>#VALUE!</v>
      </c>
      <c r="BT83" s="265"/>
      <c r="BU83" s="325" t="e">
        <f aca="false">LongTerm107!D88</f>
        <v>#VALUE!</v>
      </c>
      <c r="BV83" s="323" t="e">
        <f aca="false">(LongTerm107!$BM88+LongTerm107!$BL88/(1-LongTerm107!$AR88))*(LongTerm107!$F88*LongTerm107!$AF88*LongTerm107!$AH88)/10000</f>
        <v>#VALUE!</v>
      </c>
      <c r="BW83" s="323" t="e">
        <f aca="false">LongTerm107!$BM88*(LongTerm107!$F88*LongTerm107!$AF88*LongTerm107!$AH88)/10000</f>
        <v>#VALUE!</v>
      </c>
      <c r="BX83" s="323" t="e">
        <f aca="false">(LongTerm107!$BL88/(1-LongTerm107!$AR88))*(LongTerm107!$F88*LongTerm107!$AF88*LongTerm107!$AH88)/10000</f>
        <v>#VALUE!</v>
      </c>
      <c r="BY83" s="326"/>
      <c r="BZ83" s="325" t="e">
        <f aca="false">LongTerm108!D88</f>
        <v>#VALUE!</v>
      </c>
      <c r="CA83" s="323" t="e">
        <f aca="false">(LongTerm108!$BM88+LongTerm108!$BL88/(1-LongTerm108!$AR88))*(LongTerm108!$F88*LongTerm108!$AF88*LongTerm108!$AH88)/10000</f>
        <v>#VALUE!</v>
      </c>
      <c r="CB83" s="323" t="e">
        <f aca="false">LongTerm108!$BM88*(LongTerm108!$F88*LongTerm108!$AF88*LongTerm108!$AH88)/10000</f>
        <v>#VALUE!</v>
      </c>
      <c r="CC83" s="323" t="e">
        <f aca="false">(LongTerm108!$BL88/(1-LongTerm108!$AR88))*(LongTerm108!$F88*LongTerm108!$AF88*LongTerm108!$AH88)/10000</f>
        <v>#VALUE!</v>
      </c>
      <c r="CD83" s="332"/>
      <c r="CE83" s="333" t="n">
        <f aca="false">EOMONTH(CE82,0)+15</f>
        <v>39036</v>
      </c>
      <c r="CF83" s="337" t="n">
        <v>22.4</v>
      </c>
      <c r="CG83" s="337" t="n">
        <v>95.4</v>
      </c>
      <c r="CH83" s="337" t="n">
        <v>-118.5</v>
      </c>
      <c r="CI83" s="337" t="n">
        <v>0</v>
      </c>
      <c r="CJ83" s="337" t="n">
        <v>0</v>
      </c>
      <c r="CK83" s="337" t="n">
        <v>1.7</v>
      </c>
      <c r="CL83" s="337" t="n">
        <v>-15.9</v>
      </c>
      <c r="CM83" s="337" t="n">
        <v>15.9</v>
      </c>
      <c r="CN83" s="337" t="n">
        <v>0</v>
      </c>
    </row>
    <row r="84" customFormat="false" ht="12.75" hidden="false" customHeight="false" outlineLevel="0" collapsed="false">
      <c r="B84" s="320" t="e">
        <f aca="false">Q84</f>
        <v>#VALUE!</v>
      </c>
      <c r="C84" s="319" t="e">
        <f aca="false">YEAR(B84)</f>
        <v>#VALUE!</v>
      </c>
      <c r="D84" s="266" t="e">
        <f aca="false">R84+AC84</f>
        <v>#VALUE!</v>
      </c>
      <c r="E84" s="266" t="e">
        <f aca="false">S84+AD84</f>
        <v>#VALUE!</v>
      </c>
      <c r="F84" s="266" t="e">
        <f aca="false">+T84+AE84</f>
        <v>#VALUE!</v>
      </c>
      <c r="G84" s="266" t="e">
        <f aca="false">+U84+AF84</f>
        <v>#VALUE!</v>
      </c>
      <c r="H84" s="266" t="e">
        <f aca="false">V84+AG84</f>
        <v>#VALUE!</v>
      </c>
      <c r="I84" s="266" t="e">
        <f aca="false">W84+AH84</f>
        <v>#VALUE!</v>
      </c>
      <c r="J84" s="265"/>
      <c r="K84" s="265"/>
      <c r="L84" s="265"/>
      <c r="M84" s="266" t="e">
        <f aca="false">X84+AI84</f>
        <v>#VALUE!</v>
      </c>
      <c r="N84" s="264" t="e">
        <f aca="false">Y84+AJ84</f>
        <v>#VALUE!</v>
      </c>
      <c r="O84" s="264" t="e">
        <f aca="false">Z84+AK84</f>
        <v>#VALUE!</v>
      </c>
      <c r="Q84" s="320" t="e">
        <f aca="false">EOMONTH(Q83,0)+15</f>
        <v>#VALUE!</v>
      </c>
      <c r="R84" s="266" t="e">
        <f aca="false">SUMIF(AM:AM,$Q84,AN:AN)+SUMIF(AQ:AQ,$Q84,AR:AR)+SUMIF(AU:AU,$Q84,AV:AV)+SUMIF(BU:BU,$Q84,BV:BV)+SUMIF(BZ:BZ,$Q84,CA:CA)+SUMIF(BG:BG,$Q84,BH:BH)+SUMIF(BK:BK,$Q84,BL:BL)+SUMIF(BP:BP,$Q84,BQ:BQ)</f>
        <v>#VALUE!</v>
      </c>
      <c r="S84" s="264" t="e">
        <f aca="false">SUMIF(AM:AM,$Q84,AP:AP)+SUMIF(BU:BU,$Q84,BW:BW)+SUMIF(BZ:BZ,$Q84,CB:CB)</f>
        <v>#VALUE!</v>
      </c>
      <c r="T84" s="264" t="e">
        <f aca="false">SUMIF(AQ:AQ,$Q84,AT:AT)+SUMIF(BG:BG,$Q84,BJ:BJ)+SUMIF(BK:BK,$Q84,BN:BN)</f>
        <v>#VALUE!</v>
      </c>
      <c r="U84" s="264" t="e">
        <f aca="false">SUMIF(AM:AM,$Q84,AO:AO)+SUMIF(AQ:AQ,$Q84,AS:AS)+SUMIF(BG:BG,$Q84,BI:BI)+SUMIF(BK:BK,$Q84,BM:BM)</f>
        <v>#VALUE!</v>
      </c>
      <c r="V84" s="264" t="e">
        <f aca="false">SUMIF(AU:AU,$Q84,AW:AW)</f>
        <v>#VALUE!</v>
      </c>
      <c r="W84" s="264" t="e">
        <f aca="false">SUMIF(AU:AU,$Q84,AX:AX)</f>
        <v>#VALUE!</v>
      </c>
      <c r="X84" s="264" t="e">
        <f aca="false">SUMIF(BP:BP,$Q84,BR:BR)</f>
        <v>#VALUE!</v>
      </c>
      <c r="Y84" s="266" t="e">
        <f aca="false">SUMIF(BP:BP,$Q84,BS:BS)</f>
        <v>#VALUE!</v>
      </c>
      <c r="Z84" s="264" t="e">
        <f aca="false">SUMIF(BU:BU,$Q84,BX:BX)+SUMIF(BZ:BZ,$Q84,CC:CC)</f>
        <v>#VALUE!</v>
      </c>
      <c r="AB84" s="320" t="e">
        <f aca="false">Q84</f>
        <v>#VALUE!</v>
      </c>
      <c r="AC84" s="321" t="e">
        <f aca="false">VLOOKUP(AB84,CE85:CK190,7,FALSE())</f>
        <v>#VALUE!</v>
      </c>
      <c r="AD84" s="264" t="e">
        <f aca="false">VLOOKUP(AB84,CE85:CJ190,3,FALSE())</f>
        <v>#VALUE!</v>
      </c>
      <c r="AE84" s="264" t="e">
        <f aca="false">VLOOKUP(AB84,CE85:CJ190,2,FALSE())</f>
        <v>#VALUE!</v>
      </c>
      <c r="AF84" s="264" t="e">
        <f aca="false">VLOOKUP(AB84,CE85:CJ190,4,FALSE())</f>
        <v>#VALUE!</v>
      </c>
      <c r="AG84" s="264" t="e">
        <f aca="false">VLOOKUP(AB84,CE85:CJ190,5,FALSE())</f>
        <v>#VALUE!</v>
      </c>
      <c r="AH84" s="264" t="e">
        <f aca="false">VLOOKUP(AB84,CE85:CJ190,6,FALSE())</f>
        <v>#VALUE!</v>
      </c>
      <c r="AI84" s="264" t="e">
        <f aca="false">VLOOKUP(AB84,CE85:CM190,8,FALSE())</f>
        <v>#VALUE!</v>
      </c>
      <c r="AJ84" s="266" t="e">
        <f aca="false">VLOOKUP(AB84,CE85:CM190,9,FALSE())</f>
        <v>#VALUE!</v>
      </c>
      <c r="AK84" s="264" t="e">
        <f aca="false">VLOOKUP(AB84,CE85:CN190,10,FALSE())</f>
        <v>#VALUE!</v>
      </c>
      <c r="AM84" s="322" t="e">
        <f aca="false">LongTerm1!D89</f>
        <v>#VALUE!</v>
      </c>
      <c r="AN84" s="323" t="e">
        <f aca="false">(LongTerm1!BM89+LongTerm1!BL89/(1-LongTerm1!AR89))*(LongTerm1!F89*LongTerm1!AF89*LongTerm1!AH89)/10000</f>
        <v>#VALUE!</v>
      </c>
      <c r="AO84" s="323" t="e">
        <f aca="false">LongTerm1!BM89*(LongTerm1!F89*LongTerm1!AF89*LongTerm1!AH89)/10000</f>
        <v>#VALUE!</v>
      </c>
      <c r="AP84" s="323" t="e">
        <f aca="false">(LongTerm1!BL89/(1-LongTerm1!AR89))*(LongTerm1!F89*LongTerm1!AF89*LongTerm1!AH89)/10000</f>
        <v>#VALUE!</v>
      </c>
      <c r="AQ84" s="324"/>
      <c r="AV84" s="319"/>
      <c r="AW84" s="319"/>
      <c r="AX84" s="319"/>
      <c r="AY84" s="319"/>
      <c r="AZ84" s="319"/>
      <c r="BA84" s="319"/>
      <c r="BB84" s="319"/>
      <c r="BC84" s="319"/>
      <c r="BD84" s="319"/>
      <c r="BE84" s="319"/>
      <c r="BF84" s="319"/>
      <c r="BG84" s="322" t="e">
        <f aca="false">LongTerm25!D89</f>
        <v>#VALUE!</v>
      </c>
      <c r="BH84" s="323" t="e">
        <f aca="false">(LongTerm25!BM89+LongTerm25!BL89/(1-LongTerm25!AR89))*(LongTerm25!F89*LongTerm25!AF89*LongTerm25!AH89)/10000</f>
        <v>#VALUE!</v>
      </c>
      <c r="BI84" s="323" t="e">
        <f aca="false">LongTerm25!BM89*(LongTerm25!F89*LongTerm25!AF89*LongTerm25!AH89)/10000</f>
        <v>#VALUE!</v>
      </c>
      <c r="BJ84" s="323" t="e">
        <f aca="false">(LongTerm25!BL89/(1-LongTerm25!AR89))*(LongTerm25!F89*LongTerm25!AF89*LongTerm25!AH89)/10000</f>
        <v>#VALUE!</v>
      </c>
      <c r="BK84" s="319"/>
      <c r="BL84" s="319"/>
      <c r="BM84" s="319"/>
      <c r="BN84" s="319"/>
      <c r="BP84" s="325" t="e">
        <f aca="false">LongTerm62!D89</f>
        <v>#VALUE!</v>
      </c>
      <c r="BQ84" s="323" t="e">
        <f aca="false">(LongTerm62!$BM89+LongTerm62!$BL89/(1-LongTerm62!$AR89))*(LongTerm62!$F89*LongTerm62!$AF89*LongTerm62!$AH89)/10000</f>
        <v>#VALUE!</v>
      </c>
      <c r="BR84" s="323" t="e">
        <f aca="false">LongTerm62!$BM89*(LongTerm62!$F89*LongTerm62!$AF89*LongTerm62!$AH89)/10000</f>
        <v>#VALUE!</v>
      </c>
      <c r="BS84" s="323" t="e">
        <f aca="false">(LongTerm62!$BL89/(1-LongTerm62!$AR89))*(LongTerm62!$F89*LongTerm62!$AF89*LongTerm62!$AH89)/10000</f>
        <v>#VALUE!</v>
      </c>
      <c r="BT84" s="265"/>
      <c r="BU84" s="325" t="e">
        <f aca="false">LongTerm107!D89</f>
        <v>#VALUE!</v>
      </c>
      <c r="BV84" s="323" t="e">
        <f aca="false">(LongTerm107!$BM89+LongTerm107!$BL89/(1-LongTerm107!$AR89))*(LongTerm107!$F89*LongTerm107!$AF89*LongTerm107!$AH89)/10000</f>
        <v>#VALUE!</v>
      </c>
      <c r="BW84" s="323" t="e">
        <f aca="false">LongTerm107!$BM89*(LongTerm107!$F89*LongTerm107!$AF89*LongTerm107!$AH89)/10000</f>
        <v>#VALUE!</v>
      </c>
      <c r="BX84" s="323" t="e">
        <f aca="false">(LongTerm107!$BL89/(1-LongTerm107!$AR89))*(LongTerm107!$F89*LongTerm107!$AF89*LongTerm107!$AH89)/10000</f>
        <v>#VALUE!</v>
      </c>
      <c r="BY84" s="326"/>
      <c r="BZ84" s="325" t="e">
        <f aca="false">LongTerm108!D89</f>
        <v>#VALUE!</v>
      </c>
      <c r="CA84" s="323" t="e">
        <f aca="false">(LongTerm108!$BM89+LongTerm108!$BL89/(1-LongTerm108!$AR89))*(LongTerm108!$F89*LongTerm108!$AF89*LongTerm108!$AH89)/10000</f>
        <v>#VALUE!</v>
      </c>
      <c r="CB84" s="323" t="e">
        <f aca="false">LongTerm108!$BM89*(LongTerm108!$F89*LongTerm108!$AF89*LongTerm108!$AH89)/10000</f>
        <v>#VALUE!</v>
      </c>
      <c r="CC84" s="323" t="e">
        <f aca="false">(LongTerm108!$BL89/(1-LongTerm108!$AR89))*(LongTerm108!$F89*LongTerm108!$AF89*LongTerm108!$AH89)/10000</f>
        <v>#VALUE!</v>
      </c>
      <c r="CD84" s="332"/>
      <c r="CE84" s="333" t="n">
        <f aca="false">EOMONTH(CE83,0)+15</f>
        <v>39066</v>
      </c>
      <c r="CF84" s="337" t="n">
        <v>22.2</v>
      </c>
      <c r="CG84" s="337" t="n">
        <v>87.8</v>
      </c>
      <c r="CH84" s="337" t="n">
        <v>-112.8</v>
      </c>
      <c r="CI84" s="337" t="n">
        <v>0</v>
      </c>
      <c r="CJ84" s="337" t="n">
        <v>0</v>
      </c>
      <c r="CK84" s="337" t="n">
        <v>1.6</v>
      </c>
      <c r="CL84" s="337" t="n">
        <v>-11.4</v>
      </c>
      <c r="CM84" s="337" t="n">
        <v>11.4</v>
      </c>
      <c r="CN84" s="337" t="n">
        <v>0</v>
      </c>
    </row>
    <row r="85" customFormat="false" ht="12.75" hidden="false" customHeight="false" outlineLevel="0" collapsed="false">
      <c r="B85" s="320" t="e">
        <f aca="false">Q85</f>
        <v>#VALUE!</v>
      </c>
      <c r="C85" s="319" t="e">
        <f aca="false">YEAR(B85)</f>
        <v>#VALUE!</v>
      </c>
      <c r="D85" s="266" t="e">
        <f aca="false">R85+AC85</f>
        <v>#VALUE!</v>
      </c>
      <c r="E85" s="266" t="e">
        <f aca="false">S85+AD85</f>
        <v>#VALUE!</v>
      </c>
      <c r="F85" s="266" t="e">
        <f aca="false">+T85+AE85</f>
        <v>#VALUE!</v>
      </c>
      <c r="G85" s="266" t="e">
        <f aca="false">+U85+AF85</f>
        <v>#VALUE!</v>
      </c>
      <c r="H85" s="266" t="e">
        <f aca="false">V85+AG85</f>
        <v>#VALUE!</v>
      </c>
      <c r="I85" s="266" t="e">
        <f aca="false">W85+AH85</f>
        <v>#VALUE!</v>
      </c>
      <c r="J85" s="265"/>
      <c r="K85" s="265"/>
      <c r="L85" s="265"/>
      <c r="M85" s="266" t="e">
        <f aca="false">X85+AI85</f>
        <v>#VALUE!</v>
      </c>
      <c r="N85" s="264" t="e">
        <f aca="false">Y85+AJ85</f>
        <v>#VALUE!</v>
      </c>
      <c r="O85" s="264" t="e">
        <f aca="false">Z85+AK85</f>
        <v>#VALUE!</v>
      </c>
      <c r="Q85" s="320" t="e">
        <f aca="false">EOMONTH(Q84,0)+15</f>
        <v>#VALUE!</v>
      </c>
      <c r="R85" s="266" t="e">
        <f aca="false">SUMIF(AM:AM,$Q85,AN:AN)+SUMIF(AQ:AQ,$Q85,AR:AR)+SUMIF(AU:AU,$Q85,AV:AV)+SUMIF(BU:BU,$Q85,BV:BV)+SUMIF(BZ:BZ,$Q85,CA:CA)+SUMIF(BG:BG,$Q85,BH:BH)+SUMIF(BK:BK,$Q85,BL:BL)+SUMIF(BP:BP,$Q85,BQ:BQ)</f>
        <v>#VALUE!</v>
      </c>
      <c r="S85" s="264" t="e">
        <f aca="false">SUMIF(AM:AM,$Q85,AP:AP)+SUMIF(BU:BU,$Q85,BW:BW)+SUMIF(BZ:BZ,$Q85,CB:CB)</f>
        <v>#VALUE!</v>
      </c>
      <c r="T85" s="264" t="e">
        <f aca="false">SUMIF(AQ:AQ,$Q85,AT:AT)+SUMIF(BG:BG,$Q85,BJ:BJ)+SUMIF(BK:BK,$Q85,BN:BN)</f>
        <v>#VALUE!</v>
      </c>
      <c r="U85" s="264" t="e">
        <f aca="false">SUMIF(AM:AM,$Q85,AO:AO)+SUMIF(AQ:AQ,$Q85,AS:AS)+SUMIF(BG:BG,$Q85,BI:BI)+SUMIF(BK:BK,$Q85,BM:BM)</f>
        <v>#VALUE!</v>
      </c>
      <c r="V85" s="264" t="e">
        <f aca="false">SUMIF(AU:AU,$Q85,AW:AW)</f>
        <v>#VALUE!</v>
      </c>
      <c r="W85" s="264" t="e">
        <f aca="false">SUMIF(AU:AU,$Q85,AX:AX)</f>
        <v>#VALUE!</v>
      </c>
      <c r="X85" s="264" t="e">
        <f aca="false">SUMIF(BP:BP,$Q85,BR:BR)</f>
        <v>#VALUE!</v>
      </c>
      <c r="Y85" s="266" t="e">
        <f aca="false">SUMIF(BP:BP,$Q85,BS:BS)</f>
        <v>#VALUE!</v>
      </c>
      <c r="Z85" s="264" t="e">
        <f aca="false">SUMIF(BU:BU,$Q85,BX:BX)+SUMIF(BZ:BZ,$Q85,CC:CC)</f>
        <v>#VALUE!</v>
      </c>
      <c r="AB85" s="320" t="e">
        <f aca="false">Q85</f>
        <v>#VALUE!</v>
      </c>
      <c r="AC85" s="321" t="e">
        <f aca="false">VLOOKUP(AB85,CE86:CK191,7,FALSE())</f>
        <v>#VALUE!</v>
      </c>
      <c r="AD85" s="264" t="e">
        <f aca="false">VLOOKUP(AB85,CE86:CJ191,3,FALSE())</f>
        <v>#VALUE!</v>
      </c>
      <c r="AE85" s="264" t="e">
        <f aca="false">VLOOKUP(AB85,CE86:CJ191,2,FALSE())</f>
        <v>#VALUE!</v>
      </c>
      <c r="AF85" s="264" t="e">
        <f aca="false">VLOOKUP(AB85,CE86:CJ191,4,FALSE())</f>
        <v>#VALUE!</v>
      </c>
      <c r="AG85" s="264" t="e">
        <f aca="false">VLOOKUP(AB85,CE86:CJ191,5,FALSE())</f>
        <v>#VALUE!</v>
      </c>
      <c r="AH85" s="264" t="e">
        <f aca="false">VLOOKUP(AB85,CE86:CJ191,6,FALSE())</f>
        <v>#VALUE!</v>
      </c>
      <c r="AI85" s="264" t="e">
        <f aca="false">VLOOKUP(AB85,CE86:CM191,8,FALSE())</f>
        <v>#VALUE!</v>
      </c>
      <c r="AJ85" s="266" t="e">
        <f aca="false">VLOOKUP(AB85,CE86:CM191,9,FALSE())</f>
        <v>#VALUE!</v>
      </c>
      <c r="AK85" s="264" t="e">
        <f aca="false">VLOOKUP(AB85,CE86:CN191,10,FALSE())</f>
        <v>#VALUE!</v>
      </c>
      <c r="AM85" s="322" t="e">
        <f aca="false">LongTerm1!D90</f>
        <v>#VALUE!</v>
      </c>
      <c r="AN85" s="323" t="e">
        <f aca="false">(LongTerm1!BM90+LongTerm1!BL90/(1-LongTerm1!AR90))*(LongTerm1!F90*LongTerm1!AF90*LongTerm1!AH90)/10000</f>
        <v>#VALUE!</v>
      </c>
      <c r="AO85" s="323" t="e">
        <f aca="false">LongTerm1!BM90*(LongTerm1!F90*LongTerm1!AF90*LongTerm1!AH90)/10000</f>
        <v>#VALUE!</v>
      </c>
      <c r="AP85" s="323" t="e">
        <f aca="false">(LongTerm1!BL90/(1-LongTerm1!AR90))*(LongTerm1!F90*LongTerm1!AF90*LongTerm1!AH90)/10000</f>
        <v>#VALUE!</v>
      </c>
      <c r="AQ85" s="324"/>
      <c r="AV85" s="319"/>
      <c r="AW85" s="319"/>
      <c r="AX85" s="319"/>
      <c r="AY85" s="319"/>
      <c r="AZ85" s="319"/>
      <c r="BA85" s="319"/>
      <c r="BB85" s="319"/>
      <c r="BC85" s="319"/>
      <c r="BD85" s="319"/>
      <c r="BE85" s="319"/>
      <c r="BF85" s="319"/>
      <c r="BG85" s="322" t="e">
        <f aca="false">LongTerm25!D90</f>
        <v>#VALUE!</v>
      </c>
      <c r="BH85" s="323" t="e">
        <f aca="false">(LongTerm25!BM90+LongTerm25!BL90/(1-LongTerm25!AR90))*(LongTerm25!F90*LongTerm25!AF90*LongTerm25!AH90)/10000</f>
        <v>#VALUE!</v>
      </c>
      <c r="BI85" s="323" t="e">
        <f aca="false">LongTerm25!BM90*(LongTerm25!F90*LongTerm25!AF90*LongTerm25!AH90)/10000</f>
        <v>#VALUE!</v>
      </c>
      <c r="BJ85" s="323" t="e">
        <f aca="false">(LongTerm25!BL90/(1-LongTerm25!AR90))*(LongTerm25!F90*LongTerm25!AF90*LongTerm25!AH90)/10000</f>
        <v>#VALUE!</v>
      </c>
      <c r="BK85" s="319"/>
      <c r="BL85" s="319"/>
      <c r="BM85" s="319"/>
      <c r="BN85" s="319"/>
      <c r="BP85" s="325" t="e">
        <f aca="false">LongTerm62!D90</f>
        <v>#VALUE!</v>
      </c>
      <c r="BQ85" s="323" t="e">
        <f aca="false">(LongTerm62!$BM90+LongTerm62!$BL90/(1-LongTerm62!$AR90))*(LongTerm62!$F90*LongTerm62!$AF90*LongTerm62!$AH90)/10000</f>
        <v>#VALUE!</v>
      </c>
      <c r="BR85" s="323" t="e">
        <f aca="false">LongTerm62!$BM90*(LongTerm62!$F90*LongTerm62!$AF90*LongTerm62!$AH90)/10000</f>
        <v>#VALUE!</v>
      </c>
      <c r="BS85" s="323" t="e">
        <f aca="false">(LongTerm62!$BL90/(1-LongTerm62!$AR90))*(LongTerm62!$F90*LongTerm62!$AF90*LongTerm62!$AH90)/10000</f>
        <v>#VALUE!</v>
      </c>
      <c r="BT85" s="265"/>
      <c r="BU85" s="325" t="e">
        <f aca="false">LongTerm107!D90</f>
        <v>#VALUE!</v>
      </c>
      <c r="BV85" s="323" t="e">
        <f aca="false">(LongTerm107!$BM90+LongTerm107!$BL90/(1-LongTerm107!$AR90))*(LongTerm107!$F90*LongTerm107!$AF90*LongTerm107!$AH90)/10000</f>
        <v>#VALUE!</v>
      </c>
      <c r="BW85" s="323" t="e">
        <f aca="false">LongTerm107!$BM90*(LongTerm107!$F90*LongTerm107!$AF90*LongTerm107!$AH90)/10000</f>
        <v>#VALUE!</v>
      </c>
      <c r="BX85" s="323" t="e">
        <f aca="false">(LongTerm107!$BL90/(1-LongTerm107!$AR90))*(LongTerm107!$F90*LongTerm107!$AF90*LongTerm107!$AH90)/10000</f>
        <v>#VALUE!</v>
      </c>
      <c r="BY85" s="326"/>
      <c r="BZ85" s="325" t="e">
        <f aca="false">LongTerm108!D90</f>
        <v>#VALUE!</v>
      </c>
      <c r="CA85" s="323" t="e">
        <f aca="false">(LongTerm108!$BM90+LongTerm108!$BL90/(1-LongTerm108!$AR90))*(LongTerm108!$F90*LongTerm108!$AF90*LongTerm108!$AH90)/10000</f>
        <v>#VALUE!</v>
      </c>
      <c r="CB85" s="323" t="e">
        <f aca="false">LongTerm108!$BM90*(LongTerm108!$F90*LongTerm108!$AF90*LongTerm108!$AH90)/10000</f>
        <v>#VALUE!</v>
      </c>
      <c r="CC85" s="323" t="e">
        <f aca="false">(LongTerm108!$BL90/(1-LongTerm108!$AR90))*(LongTerm108!$F90*LongTerm108!$AF90*LongTerm108!$AH90)/10000</f>
        <v>#VALUE!</v>
      </c>
      <c r="CD85" s="332"/>
      <c r="CE85" s="333" t="n">
        <f aca="false">EOMONTH(CE84,0)+15</f>
        <v>39097</v>
      </c>
      <c r="CF85" s="337" t="n">
        <v>22.7</v>
      </c>
      <c r="CG85" s="337" t="n">
        <v>82.6</v>
      </c>
      <c r="CH85" s="337" t="n">
        <v>-107.2</v>
      </c>
      <c r="CI85" s="337" t="n">
        <v>0</v>
      </c>
      <c r="CJ85" s="337" t="n">
        <v>0</v>
      </c>
      <c r="CK85" s="337" t="n">
        <v>1.9</v>
      </c>
      <c r="CL85" s="337" t="n">
        <v>-11.3</v>
      </c>
      <c r="CM85" s="337" t="n">
        <v>11.3</v>
      </c>
      <c r="CN85" s="337" t="n">
        <v>0</v>
      </c>
    </row>
    <row r="86" customFormat="false" ht="12.75" hidden="false" customHeight="false" outlineLevel="0" collapsed="false">
      <c r="B86" s="320" t="e">
        <f aca="false">Q86</f>
        <v>#VALUE!</v>
      </c>
      <c r="C86" s="319" t="e">
        <f aca="false">YEAR(B86)</f>
        <v>#VALUE!</v>
      </c>
      <c r="D86" s="266" t="e">
        <f aca="false">R86+AC86</f>
        <v>#VALUE!</v>
      </c>
      <c r="E86" s="266" t="e">
        <f aca="false">S86+AD86</f>
        <v>#VALUE!</v>
      </c>
      <c r="F86" s="266" t="e">
        <f aca="false">+T86+AE86</f>
        <v>#VALUE!</v>
      </c>
      <c r="G86" s="266" t="e">
        <f aca="false">+U86+AF86</f>
        <v>#VALUE!</v>
      </c>
      <c r="H86" s="266" t="e">
        <f aca="false">V86+AG86</f>
        <v>#VALUE!</v>
      </c>
      <c r="I86" s="266" t="e">
        <f aca="false">W86+AH86</f>
        <v>#VALUE!</v>
      </c>
      <c r="J86" s="265"/>
      <c r="K86" s="265"/>
      <c r="L86" s="265"/>
      <c r="M86" s="266" t="e">
        <f aca="false">X86+AI86</f>
        <v>#VALUE!</v>
      </c>
      <c r="N86" s="264" t="e">
        <f aca="false">Y86+AJ86</f>
        <v>#VALUE!</v>
      </c>
      <c r="O86" s="264" t="e">
        <f aca="false">Z86+AK86</f>
        <v>#VALUE!</v>
      </c>
      <c r="Q86" s="320" t="e">
        <f aca="false">EOMONTH(Q85,0)+15</f>
        <v>#VALUE!</v>
      </c>
      <c r="R86" s="266" t="e">
        <f aca="false">SUMIF(AM:AM,$Q86,AN:AN)+SUMIF(AQ:AQ,$Q86,AR:AR)+SUMIF(AU:AU,$Q86,AV:AV)+SUMIF(BU:BU,$Q86,BV:BV)+SUMIF(BZ:BZ,$Q86,CA:CA)+SUMIF(BG:BG,$Q86,BH:BH)+SUMIF(BK:BK,$Q86,BL:BL)+SUMIF(BP:BP,$Q86,BQ:BQ)</f>
        <v>#VALUE!</v>
      </c>
      <c r="S86" s="264" t="e">
        <f aca="false">SUMIF(AM:AM,$Q86,AP:AP)+SUMIF(BU:BU,$Q86,BW:BW)+SUMIF(BZ:BZ,$Q86,CB:CB)</f>
        <v>#VALUE!</v>
      </c>
      <c r="T86" s="264" t="e">
        <f aca="false">SUMIF(AQ:AQ,$Q86,AT:AT)+SUMIF(BG:BG,$Q86,BJ:BJ)+SUMIF(BK:BK,$Q86,BN:BN)</f>
        <v>#VALUE!</v>
      </c>
      <c r="U86" s="264" t="e">
        <f aca="false">SUMIF(AM:AM,$Q86,AO:AO)+SUMIF(AQ:AQ,$Q86,AS:AS)+SUMIF(BG:BG,$Q86,BI:BI)+SUMIF(BK:BK,$Q86,BM:BM)</f>
        <v>#VALUE!</v>
      </c>
      <c r="V86" s="264" t="e">
        <f aca="false">SUMIF(AU:AU,$Q86,AW:AW)</f>
        <v>#VALUE!</v>
      </c>
      <c r="W86" s="264" t="e">
        <f aca="false">SUMIF(AU:AU,$Q86,AX:AX)</f>
        <v>#VALUE!</v>
      </c>
      <c r="X86" s="264" t="e">
        <f aca="false">SUMIF(BP:BP,$Q86,BR:BR)</f>
        <v>#VALUE!</v>
      </c>
      <c r="Y86" s="266" t="e">
        <f aca="false">SUMIF(BP:BP,$Q86,BS:BS)</f>
        <v>#VALUE!</v>
      </c>
      <c r="Z86" s="264" t="e">
        <f aca="false">SUMIF(BU:BU,$Q86,BX:BX)+SUMIF(BZ:BZ,$Q86,CC:CC)</f>
        <v>#VALUE!</v>
      </c>
      <c r="AB86" s="320" t="e">
        <f aca="false">Q86</f>
        <v>#VALUE!</v>
      </c>
      <c r="AC86" s="321" t="e">
        <f aca="false">VLOOKUP(AB86,CE87:CK192,7,FALSE())</f>
        <v>#VALUE!</v>
      </c>
      <c r="AD86" s="264" t="e">
        <f aca="false">VLOOKUP(AB86,CE87:CJ192,3,FALSE())</f>
        <v>#VALUE!</v>
      </c>
      <c r="AE86" s="264" t="e">
        <f aca="false">VLOOKUP(AB86,CE87:CJ192,2,FALSE())</f>
        <v>#VALUE!</v>
      </c>
      <c r="AF86" s="264" t="e">
        <f aca="false">VLOOKUP(AB86,CE87:CJ192,4,FALSE())</f>
        <v>#VALUE!</v>
      </c>
      <c r="AG86" s="264" t="e">
        <f aca="false">VLOOKUP(AB86,CE87:CJ192,5,FALSE())</f>
        <v>#VALUE!</v>
      </c>
      <c r="AH86" s="264" t="e">
        <f aca="false">VLOOKUP(AB86,CE87:CJ192,6,FALSE())</f>
        <v>#VALUE!</v>
      </c>
      <c r="AI86" s="264" t="e">
        <f aca="false">VLOOKUP(AB86,CE87:CM192,8,FALSE())</f>
        <v>#VALUE!</v>
      </c>
      <c r="AJ86" s="266" t="e">
        <f aca="false">VLOOKUP(AB86,CE87:CM192,9,FALSE())</f>
        <v>#VALUE!</v>
      </c>
      <c r="AK86" s="264" t="e">
        <f aca="false">VLOOKUP(AB86,CE87:CN192,10,FALSE())</f>
        <v>#VALUE!</v>
      </c>
      <c r="AM86" s="322" t="e">
        <f aca="false">LongTerm1!D91</f>
        <v>#VALUE!</v>
      </c>
      <c r="AN86" s="323" t="e">
        <f aca="false">(LongTerm1!BM91+LongTerm1!BL91/(1-LongTerm1!AR91))*(LongTerm1!F91*LongTerm1!AF91*LongTerm1!AH91)/10000</f>
        <v>#VALUE!</v>
      </c>
      <c r="AO86" s="323" t="e">
        <f aca="false">LongTerm1!BM91*(LongTerm1!F91*LongTerm1!AF91*LongTerm1!AH91)/10000</f>
        <v>#VALUE!</v>
      </c>
      <c r="AP86" s="323" t="e">
        <f aca="false">(LongTerm1!BL91/(1-LongTerm1!AR91))*(LongTerm1!F91*LongTerm1!AF91*LongTerm1!AH91)/10000</f>
        <v>#VALUE!</v>
      </c>
      <c r="AQ86" s="324"/>
      <c r="AV86" s="319"/>
      <c r="AW86" s="319"/>
      <c r="AX86" s="319"/>
      <c r="AY86" s="319"/>
      <c r="AZ86" s="319"/>
      <c r="BA86" s="319"/>
      <c r="BB86" s="319"/>
      <c r="BC86" s="319"/>
      <c r="BD86" s="319"/>
      <c r="BE86" s="319"/>
      <c r="BF86" s="319"/>
      <c r="BG86" s="322" t="e">
        <f aca="false">LongTerm25!D91</f>
        <v>#VALUE!</v>
      </c>
      <c r="BH86" s="323" t="e">
        <f aca="false">(LongTerm25!BM91+LongTerm25!BL91/(1-LongTerm25!AR91))*(LongTerm25!F91*LongTerm25!AF91*LongTerm25!AH91)/10000</f>
        <v>#VALUE!</v>
      </c>
      <c r="BI86" s="323" t="e">
        <f aca="false">LongTerm25!BM91*(LongTerm25!F91*LongTerm25!AF91*LongTerm25!AH91)/10000</f>
        <v>#VALUE!</v>
      </c>
      <c r="BJ86" s="323" t="e">
        <f aca="false">(LongTerm25!BL91/(1-LongTerm25!AR91))*(LongTerm25!F91*LongTerm25!AF91*LongTerm25!AH91)/10000</f>
        <v>#VALUE!</v>
      </c>
      <c r="BK86" s="319"/>
      <c r="BL86" s="319"/>
      <c r="BM86" s="319"/>
      <c r="BN86" s="319"/>
      <c r="BP86" s="325" t="e">
        <f aca="false">LongTerm62!D91</f>
        <v>#VALUE!</v>
      </c>
      <c r="BQ86" s="323" t="e">
        <f aca="false">(LongTerm62!$BM91+LongTerm62!$BL91/(1-LongTerm62!$AR91))*(LongTerm62!$F91*LongTerm62!$AF91*LongTerm62!$AH91)/10000</f>
        <v>#VALUE!</v>
      </c>
      <c r="BR86" s="323" t="e">
        <f aca="false">LongTerm62!$BM91*(LongTerm62!$F91*LongTerm62!$AF91*LongTerm62!$AH91)/10000</f>
        <v>#VALUE!</v>
      </c>
      <c r="BS86" s="323" t="e">
        <f aca="false">(LongTerm62!$BL91/(1-LongTerm62!$AR91))*(LongTerm62!$F91*LongTerm62!$AF91*LongTerm62!$AH91)/10000</f>
        <v>#VALUE!</v>
      </c>
      <c r="BT86" s="265"/>
      <c r="BU86" s="325" t="e">
        <f aca="false">LongTerm107!D91</f>
        <v>#VALUE!</v>
      </c>
      <c r="BV86" s="323" t="e">
        <f aca="false">(LongTerm107!$BM91+LongTerm107!$BL91/(1-LongTerm107!$AR91))*(LongTerm107!$F91*LongTerm107!$AF91*LongTerm107!$AH91)/10000</f>
        <v>#VALUE!</v>
      </c>
      <c r="BW86" s="323" t="e">
        <f aca="false">LongTerm107!$BM91*(LongTerm107!$F91*LongTerm107!$AF91*LongTerm107!$AH91)/10000</f>
        <v>#VALUE!</v>
      </c>
      <c r="BX86" s="323" t="e">
        <f aca="false">(LongTerm107!$BL91/(1-LongTerm107!$AR91))*(LongTerm107!$F91*LongTerm107!$AF91*LongTerm107!$AH91)/10000</f>
        <v>#VALUE!</v>
      </c>
      <c r="BY86" s="326"/>
      <c r="BZ86" s="325" t="e">
        <f aca="false">LongTerm108!D91</f>
        <v>#VALUE!</v>
      </c>
      <c r="CA86" s="323" t="e">
        <f aca="false">(LongTerm108!$BM91+LongTerm108!$BL91/(1-LongTerm108!$AR91))*(LongTerm108!$F91*LongTerm108!$AF91*LongTerm108!$AH91)/10000</f>
        <v>#VALUE!</v>
      </c>
      <c r="CB86" s="323" t="e">
        <f aca="false">LongTerm108!$BM91*(LongTerm108!$F91*LongTerm108!$AF91*LongTerm108!$AH91)/10000</f>
        <v>#VALUE!</v>
      </c>
      <c r="CC86" s="323" t="e">
        <f aca="false">(LongTerm108!$BL91/(1-LongTerm108!$AR91))*(LongTerm108!$F91*LongTerm108!$AF91*LongTerm108!$AH91)/10000</f>
        <v>#VALUE!</v>
      </c>
      <c r="CD86" s="332"/>
      <c r="CE86" s="333" t="n">
        <f aca="false">EOMONTH(CE85,0)+15</f>
        <v>39128</v>
      </c>
      <c r="CF86" s="337" t="n">
        <v>20</v>
      </c>
      <c r="CG86" s="337" t="n">
        <v>75.1</v>
      </c>
      <c r="CH86" s="337" t="n">
        <v>-96.6</v>
      </c>
      <c r="CI86" s="337" t="n">
        <v>0</v>
      </c>
      <c r="CJ86" s="337" t="n">
        <v>0</v>
      </c>
      <c r="CK86" s="337" t="n">
        <v>2</v>
      </c>
      <c r="CL86" s="337" t="n">
        <v>-10.3</v>
      </c>
      <c r="CM86" s="337" t="n">
        <v>10.3</v>
      </c>
      <c r="CN86" s="337" t="n">
        <v>0</v>
      </c>
    </row>
    <row r="87" customFormat="false" ht="12.75" hidden="false" customHeight="false" outlineLevel="0" collapsed="false">
      <c r="B87" s="320" t="e">
        <f aca="false">Q87</f>
        <v>#VALUE!</v>
      </c>
      <c r="C87" s="319" t="e">
        <f aca="false">YEAR(B87)</f>
        <v>#VALUE!</v>
      </c>
      <c r="D87" s="266" t="e">
        <f aca="false">R87+AC87</f>
        <v>#VALUE!</v>
      </c>
      <c r="E87" s="266" t="e">
        <f aca="false">S87+AD87</f>
        <v>#VALUE!</v>
      </c>
      <c r="F87" s="266" t="e">
        <f aca="false">+T87+AE87</f>
        <v>#VALUE!</v>
      </c>
      <c r="G87" s="266" t="e">
        <f aca="false">+U87+AF87</f>
        <v>#VALUE!</v>
      </c>
      <c r="H87" s="266" t="e">
        <f aca="false">V87+AG87</f>
        <v>#VALUE!</v>
      </c>
      <c r="I87" s="266" t="e">
        <f aca="false">W87+AH87</f>
        <v>#VALUE!</v>
      </c>
      <c r="J87" s="265"/>
      <c r="K87" s="265"/>
      <c r="L87" s="265"/>
      <c r="M87" s="266" t="e">
        <f aca="false">X87+AI87</f>
        <v>#VALUE!</v>
      </c>
      <c r="N87" s="264" t="e">
        <f aca="false">Y87+AJ87</f>
        <v>#VALUE!</v>
      </c>
      <c r="O87" s="264" t="e">
        <f aca="false">Z87+AK87</f>
        <v>#VALUE!</v>
      </c>
      <c r="Q87" s="320" t="e">
        <f aca="false">EOMONTH(Q86,0)+15</f>
        <v>#VALUE!</v>
      </c>
      <c r="R87" s="266" t="e">
        <f aca="false">SUMIF(AM:AM,$Q87,AN:AN)+SUMIF(AQ:AQ,$Q87,AR:AR)+SUMIF(AU:AU,$Q87,AV:AV)+SUMIF(BU:BU,$Q87,BV:BV)+SUMIF(BZ:BZ,$Q87,CA:CA)+SUMIF(BG:BG,$Q87,BH:BH)+SUMIF(BK:BK,$Q87,BL:BL)+SUMIF(BP:BP,$Q87,BQ:BQ)</f>
        <v>#VALUE!</v>
      </c>
      <c r="S87" s="264" t="e">
        <f aca="false">SUMIF(AM:AM,$Q87,AP:AP)+SUMIF(BU:BU,$Q87,BW:BW)+SUMIF(BZ:BZ,$Q87,CB:CB)</f>
        <v>#VALUE!</v>
      </c>
      <c r="T87" s="264" t="e">
        <f aca="false">SUMIF(AQ:AQ,$Q87,AT:AT)+SUMIF(BG:BG,$Q87,BJ:BJ)+SUMIF(BK:BK,$Q87,BN:BN)</f>
        <v>#VALUE!</v>
      </c>
      <c r="U87" s="264" t="e">
        <f aca="false">SUMIF(AM:AM,$Q87,AO:AO)+SUMIF(AQ:AQ,$Q87,AS:AS)+SUMIF(BG:BG,$Q87,BI:BI)+SUMIF(BK:BK,$Q87,BM:BM)</f>
        <v>#VALUE!</v>
      </c>
      <c r="V87" s="264" t="e">
        <f aca="false">SUMIF(AU:AU,$Q87,AW:AW)</f>
        <v>#VALUE!</v>
      </c>
      <c r="W87" s="264" t="e">
        <f aca="false">SUMIF(AU:AU,$Q87,AX:AX)</f>
        <v>#VALUE!</v>
      </c>
      <c r="X87" s="264" t="e">
        <f aca="false">SUMIF(BP:BP,$Q87,BR:BR)</f>
        <v>#VALUE!</v>
      </c>
      <c r="Y87" s="266" t="e">
        <f aca="false">SUMIF(BP:BP,$Q87,BS:BS)</f>
        <v>#VALUE!</v>
      </c>
      <c r="Z87" s="264" t="e">
        <f aca="false">SUMIF(BU:BU,$Q87,BX:BX)+SUMIF(BZ:BZ,$Q87,CC:CC)</f>
        <v>#VALUE!</v>
      </c>
      <c r="AB87" s="320" t="e">
        <f aca="false">Q87</f>
        <v>#VALUE!</v>
      </c>
      <c r="AC87" s="321" t="e">
        <f aca="false">VLOOKUP(AB87,CE88:CK193,7,FALSE())</f>
        <v>#VALUE!</v>
      </c>
      <c r="AD87" s="264" t="e">
        <f aca="false">VLOOKUP(AB87,CE88:CJ193,3,FALSE())</f>
        <v>#VALUE!</v>
      </c>
      <c r="AE87" s="264" t="e">
        <f aca="false">VLOOKUP(AB87,CE88:CJ193,2,FALSE())</f>
        <v>#VALUE!</v>
      </c>
      <c r="AF87" s="264" t="e">
        <f aca="false">VLOOKUP(AB87,CE88:CJ193,4,FALSE())</f>
        <v>#VALUE!</v>
      </c>
      <c r="AG87" s="264" t="e">
        <f aca="false">VLOOKUP(AB87,CE88:CJ193,5,FALSE())</f>
        <v>#VALUE!</v>
      </c>
      <c r="AH87" s="264" t="e">
        <f aca="false">VLOOKUP(AB87,CE88:CJ193,6,FALSE())</f>
        <v>#VALUE!</v>
      </c>
      <c r="AI87" s="264" t="e">
        <f aca="false">VLOOKUP(AB87,CE88:CM193,8,FALSE())</f>
        <v>#VALUE!</v>
      </c>
      <c r="AJ87" s="266" t="e">
        <f aca="false">VLOOKUP(AB87,CE88:CM193,9,FALSE())</f>
        <v>#VALUE!</v>
      </c>
      <c r="AK87" s="264" t="e">
        <f aca="false">VLOOKUP(AB87,CE88:CN193,10,FALSE())</f>
        <v>#VALUE!</v>
      </c>
      <c r="AM87" s="322" t="e">
        <f aca="false">LongTerm1!D92</f>
        <v>#VALUE!</v>
      </c>
      <c r="AN87" s="323" t="e">
        <f aca="false">(LongTerm1!BM92+LongTerm1!BL92/(1-LongTerm1!AR92))*(LongTerm1!F92*LongTerm1!AF92*LongTerm1!AH92)/10000</f>
        <v>#VALUE!</v>
      </c>
      <c r="AO87" s="323" t="e">
        <f aca="false">LongTerm1!BM92*(LongTerm1!F92*LongTerm1!AF92*LongTerm1!AH92)/10000</f>
        <v>#VALUE!</v>
      </c>
      <c r="AP87" s="323" t="e">
        <f aca="false">(LongTerm1!BL92/(1-LongTerm1!AR92))*(LongTerm1!F92*LongTerm1!AF92*LongTerm1!AH92)/10000</f>
        <v>#VALUE!</v>
      </c>
      <c r="AQ87" s="324"/>
      <c r="AV87" s="319"/>
      <c r="AW87" s="319"/>
      <c r="AX87" s="319"/>
      <c r="AY87" s="319"/>
      <c r="AZ87" s="319"/>
      <c r="BA87" s="319"/>
      <c r="BB87" s="319"/>
      <c r="BC87" s="319"/>
      <c r="BD87" s="319"/>
      <c r="BE87" s="319"/>
      <c r="BF87" s="319"/>
      <c r="BG87" s="322" t="e">
        <f aca="false">LongTerm25!D92</f>
        <v>#VALUE!</v>
      </c>
      <c r="BH87" s="323" t="e">
        <f aca="false">(LongTerm25!BM92+LongTerm25!BL92/(1-LongTerm25!AR92))*(LongTerm25!F92*LongTerm25!AF92*LongTerm25!AH92)/10000</f>
        <v>#VALUE!</v>
      </c>
      <c r="BI87" s="323" t="e">
        <f aca="false">LongTerm25!BM92*(LongTerm25!F92*LongTerm25!AF92*LongTerm25!AH92)/10000</f>
        <v>#VALUE!</v>
      </c>
      <c r="BJ87" s="323" t="e">
        <f aca="false">(LongTerm25!BL92/(1-LongTerm25!AR92))*(LongTerm25!F92*LongTerm25!AF92*LongTerm25!AH92)/10000</f>
        <v>#VALUE!</v>
      </c>
      <c r="BK87" s="319"/>
      <c r="BL87" s="319"/>
      <c r="BM87" s="319"/>
      <c r="BN87" s="319"/>
      <c r="BP87" s="325" t="e">
        <f aca="false">LongTerm62!D92</f>
        <v>#VALUE!</v>
      </c>
      <c r="BQ87" s="323" t="e">
        <f aca="false">(LongTerm62!$BM92+LongTerm62!$BL92/(1-LongTerm62!$AR92))*(LongTerm62!$F92*LongTerm62!$AF92*LongTerm62!$AH92)/10000</f>
        <v>#VALUE!</v>
      </c>
      <c r="BR87" s="323" t="e">
        <f aca="false">LongTerm62!$BM92*(LongTerm62!$F92*LongTerm62!$AF92*LongTerm62!$AH92)/10000</f>
        <v>#VALUE!</v>
      </c>
      <c r="BS87" s="323" t="e">
        <f aca="false">(LongTerm62!$BL92/(1-LongTerm62!$AR92))*(LongTerm62!$F92*LongTerm62!$AF92*LongTerm62!$AH92)/10000</f>
        <v>#VALUE!</v>
      </c>
      <c r="BT87" s="265"/>
      <c r="BU87" s="325" t="e">
        <f aca="false">LongTerm107!D92</f>
        <v>#VALUE!</v>
      </c>
      <c r="BV87" s="323" t="e">
        <f aca="false">(LongTerm107!$BM92+LongTerm107!$BL92/(1-LongTerm107!$AR92))*(LongTerm107!$F92*LongTerm107!$AF92*LongTerm107!$AH92)/10000</f>
        <v>#VALUE!</v>
      </c>
      <c r="BW87" s="323" t="e">
        <f aca="false">LongTerm107!$BM92*(LongTerm107!$F92*LongTerm107!$AF92*LongTerm107!$AH92)/10000</f>
        <v>#VALUE!</v>
      </c>
      <c r="BX87" s="323" t="e">
        <f aca="false">(LongTerm107!$BL92/(1-LongTerm107!$AR92))*(LongTerm107!$F92*LongTerm107!$AF92*LongTerm107!$AH92)/10000</f>
        <v>#VALUE!</v>
      </c>
      <c r="BY87" s="326"/>
      <c r="BZ87" s="325" t="e">
        <f aca="false">LongTerm108!D92</f>
        <v>#VALUE!</v>
      </c>
      <c r="CA87" s="323" t="e">
        <f aca="false">(LongTerm108!$BM92+LongTerm108!$BL92/(1-LongTerm108!$AR92))*(LongTerm108!$F92*LongTerm108!$AF92*LongTerm108!$AH92)/10000</f>
        <v>#VALUE!</v>
      </c>
      <c r="CB87" s="323" t="e">
        <f aca="false">LongTerm108!$BM92*(LongTerm108!$F92*LongTerm108!$AF92*LongTerm108!$AH92)/10000</f>
        <v>#VALUE!</v>
      </c>
      <c r="CC87" s="323" t="e">
        <f aca="false">(LongTerm108!$BL92/(1-LongTerm108!$AR92))*(LongTerm108!$F92*LongTerm108!$AF92*LongTerm108!$AH92)/10000</f>
        <v>#VALUE!</v>
      </c>
      <c r="CD87" s="332"/>
      <c r="CE87" s="333" t="n">
        <f aca="false">EOMONTH(CE86,0)+15</f>
        <v>39156</v>
      </c>
      <c r="CF87" s="337" t="n">
        <v>22.3</v>
      </c>
      <c r="CG87" s="337" t="n">
        <v>91.3</v>
      </c>
      <c r="CH87" s="337" t="n">
        <v>-114.9</v>
      </c>
      <c r="CI87" s="337" t="n">
        <v>0</v>
      </c>
      <c r="CJ87" s="337" t="n">
        <v>0</v>
      </c>
      <c r="CK87" s="337" t="n">
        <v>1.9</v>
      </c>
      <c r="CL87" s="337" t="n">
        <v>-11.2</v>
      </c>
      <c r="CM87" s="337" t="n">
        <v>11.2</v>
      </c>
      <c r="CN87" s="337" t="n">
        <v>0</v>
      </c>
    </row>
    <row r="88" customFormat="false" ht="12.75" hidden="false" customHeight="false" outlineLevel="0" collapsed="false">
      <c r="B88" s="320" t="e">
        <f aca="false">Q88</f>
        <v>#VALUE!</v>
      </c>
      <c r="C88" s="319" t="e">
        <f aca="false">YEAR(B88)</f>
        <v>#VALUE!</v>
      </c>
      <c r="D88" s="266" t="e">
        <f aca="false">R88+AC88</f>
        <v>#VALUE!</v>
      </c>
      <c r="E88" s="266" t="e">
        <f aca="false">S88+AD88</f>
        <v>#VALUE!</v>
      </c>
      <c r="F88" s="266" t="e">
        <f aca="false">+T88+AE88</f>
        <v>#VALUE!</v>
      </c>
      <c r="G88" s="266" t="e">
        <f aca="false">+U88+AF88</f>
        <v>#VALUE!</v>
      </c>
      <c r="H88" s="266" t="e">
        <f aca="false">V88+AG88</f>
        <v>#VALUE!</v>
      </c>
      <c r="I88" s="266" t="e">
        <f aca="false">W88+AH88</f>
        <v>#VALUE!</v>
      </c>
      <c r="J88" s="265"/>
      <c r="K88" s="265"/>
      <c r="L88" s="265"/>
      <c r="M88" s="266" t="e">
        <f aca="false">X88+AI88</f>
        <v>#VALUE!</v>
      </c>
      <c r="N88" s="264" t="e">
        <f aca="false">Y88+AJ88</f>
        <v>#VALUE!</v>
      </c>
      <c r="O88" s="264" t="e">
        <f aca="false">Z88+AK88</f>
        <v>#VALUE!</v>
      </c>
      <c r="Q88" s="320" t="e">
        <f aca="false">EOMONTH(Q87,0)+15</f>
        <v>#VALUE!</v>
      </c>
      <c r="R88" s="266" t="e">
        <f aca="false">SUMIF(AM:AM,$Q88,AN:AN)+SUMIF(AQ:AQ,$Q88,AR:AR)+SUMIF(AU:AU,$Q88,AV:AV)+SUMIF(BU:BU,$Q88,BV:BV)+SUMIF(BZ:BZ,$Q88,CA:CA)+SUMIF(BG:BG,$Q88,BH:BH)+SUMIF(BK:BK,$Q88,BL:BL)+SUMIF(BP:BP,$Q88,BQ:BQ)</f>
        <v>#VALUE!</v>
      </c>
      <c r="S88" s="264" t="e">
        <f aca="false">SUMIF(AM:AM,$Q88,AP:AP)+SUMIF(BU:BU,$Q88,BW:BW)+SUMIF(BZ:BZ,$Q88,CB:CB)</f>
        <v>#VALUE!</v>
      </c>
      <c r="T88" s="264" t="e">
        <f aca="false">SUMIF(AQ:AQ,$Q88,AT:AT)+SUMIF(BG:BG,$Q88,BJ:BJ)+SUMIF(BK:BK,$Q88,BN:BN)</f>
        <v>#VALUE!</v>
      </c>
      <c r="U88" s="264" t="e">
        <f aca="false">SUMIF(AM:AM,$Q88,AO:AO)+SUMIF(AQ:AQ,$Q88,AS:AS)+SUMIF(BG:BG,$Q88,BI:BI)+SUMIF(BK:BK,$Q88,BM:BM)</f>
        <v>#VALUE!</v>
      </c>
      <c r="V88" s="264" t="e">
        <f aca="false">SUMIF(AU:AU,$Q88,AW:AW)</f>
        <v>#VALUE!</v>
      </c>
      <c r="W88" s="264" t="e">
        <f aca="false">SUMIF(AU:AU,$Q88,AX:AX)</f>
        <v>#VALUE!</v>
      </c>
      <c r="X88" s="264" t="e">
        <f aca="false">SUMIF(BP:BP,$Q88,BR:BR)</f>
        <v>#VALUE!</v>
      </c>
      <c r="Y88" s="266" t="e">
        <f aca="false">SUMIF(BP:BP,$Q88,BS:BS)</f>
        <v>#VALUE!</v>
      </c>
      <c r="Z88" s="264" t="e">
        <f aca="false">SUMIF(BU:BU,$Q88,BX:BX)+SUMIF(BZ:BZ,$Q88,CC:CC)</f>
        <v>#VALUE!</v>
      </c>
      <c r="AB88" s="320" t="e">
        <f aca="false">Q88</f>
        <v>#VALUE!</v>
      </c>
      <c r="AC88" s="321" t="e">
        <f aca="false">VLOOKUP(AB88,CE89:CK194,7,FALSE())</f>
        <v>#VALUE!</v>
      </c>
      <c r="AD88" s="264" t="e">
        <f aca="false">VLOOKUP(AB88,CE89:CJ194,3,FALSE())</f>
        <v>#VALUE!</v>
      </c>
      <c r="AE88" s="264" t="e">
        <f aca="false">VLOOKUP(AB88,CE89:CJ194,2,FALSE())</f>
        <v>#VALUE!</v>
      </c>
      <c r="AF88" s="264" t="e">
        <f aca="false">VLOOKUP(AB88,CE89:CJ194,4,FALSE())</f>
        <v>#VALUE!</v>
      </c>
      <c r="AG88" s="264" t="e">
        <f aca="false">VLOOKUP(AB88,CE89:CJ194,5,FALSE())</f>
        <v>#VALUE!</v>
      </c>
      <c r="AH88" s="264" t="e">
        <f aca="false">VLOOKUP(AB88,CE89:CJ194,6,FALSE())</f>
        <v>#VALUE!</v>
      </c>
      <c r="AI88" s="264" t="e">
        <f aca="false">VLOOKUP(AB88,CE89:CM194,8,FALSE())</f>
        <v>#VALUE!</v>
      </c>
      <c r="AJ88" s="266" t="e">
        <f aca="false">VLOOKUP(AB88,CE89:CM194,9,FALSE())</f>
        <v>#VALUE!</v>
      </c>
      <c r="AK88" s="264" t="e">
        <f aca="false">VLOOKUP(AB88,CE89:CN194,10,FALSE())</f>
        <v>#VALUE!</v>
      </c>
      <c r="AM88" s="322" t="e">
        <f aca="false">LongTerm1!D93</f>
        <v>#VALUE!</v>
      </c>
      <c r="AN88" s="323" t="e">
        <f aca="false">(LongTerm1!BM93+LongTerm1!BL93/(1-LongTerm1!AR93))*(LongTerm1!F93*LongTerm1!AF93*LongTerm1!AH93)/10000</f>
        <v>#VALUE!</v>
      </c>
      <c r="AO88" s="323" t="e">
        <f aca="false">LongTerm1!BM93*(LongTerm1!F93*LongTerm1!AF93*LongTerm1!AH93)/10000</f>
        <v>#VALUE!</v>
      </c>
      <c r="AP88" s="323" t="e">
        <f aca="false">(LongTerm1!BL93/(1-LongTerm1!AR93))*(LongTerm1!F93*LongTerm1!AF93*LongTerm1!AH93)/10000</f>
        <v>#VALUE!</v>
      </c>
      <c r="AQ88" s="324"/>
      <c r="AV88" s="319"/>
      <c r="AW88" s="319"/>
      <c r="AX88" s="319"/>
      <c r="AY88" s="319"/>
      <c r="AZ88" s="319"/>
      <c r="BA88" s="319"/>
      <c r="BB88" s="319"/>
      <c r="BC88" s="319"/>
      <c r="BD88" s="319"/>
      <c r="BE88" s="319"/>
      <c r="BF88" s="319"/>
      <c r="BG88" s="322" t="e">
        <f aca="false">LongTerm25!D93</f>
        <v>#VALUE!</v>
      </c>
      <c r="BH88" s="323" t="e">
        <f aca="false">(LongTerm25!BM93+LongTerm25!BL93/(1-LongTerm25!AR93))*(LongTerm25!F93*LongTerm25!AF93*LongTerm25!AH93)/10000</f>
        <v>#VALUE!</v>
      </c>
      <c r="BI88" s="323" t="e">
        <f aca="false">LongTerm25!BM93*(LongTerm25!F93*LongTerm25!AF93*LongTerm25!AH93)/10000</f>
        <v>#VALUE!</v>
      </c>
      <c r="BJ88" s="323" t="e">
        <f aca="false">(LongTerm25!BL93/(1-LongTerm25!AR93))*(LongTerm25!F93*LongTerm25!AF93*LongTerm25!AH93)/10000</f>
        <v>#VALUE!</v>
      </c>
      <c r="BK88" s="319"/>
      <c r="BL88" s="319"/>
      <c r="BM88" s="319"/>
      <c r="BN88" s="319"/>
      <c r="BP88" s="325" t="e">
        <f aca="false">LongTerm62!D93</f>
        <v>#VALUE!</v>
      </c>
      <c r="BQ88" s="323" t="e">
        <f aca="false">(LongTerm62!$BM93+LongTerm62!$BL93/(1-LongTerm62!$AR93))*(LongTerm62!$F93*LongTerm62!$AF93*LongTerm62!$AH93)/10000</f>
        <v>#VALUE!</v>
      </c>
      <c r="BR88" s="323" t="e">
        <f aca="false">LongTerm62!$BM93*(LongTerm62!$F93*LongTerm62!$AF93*LongTerm62!$AH93)/10000</f>
        <v>#VALUE!</v>
      </c>
      <c r="BS88" s="323" t="e">
        <f aca="false">(LongTerm62!$BL93/(1-LongTerm62!$AR93))*(LongTerm62!$F93*LongTerm62!$AF93*LongTerm62!$AH93)/10000</f>
        <v>#VALUE!</v>
      </c>
      <c r="BT88" s="265"/>
      <c r="BU88" s="325" t="e">
        <f aca="false">LongTerm107!D93</f>
        <v>#VALUE!</v>
      </c>
      <c r="BV88" s="323" t="e">
        <f aca="false">(LongTerm107!$BM93+LongTerm107!$BL93/(1-LongTerm107!$AR93))*(LongTerm107!$F93*LongTerm107!$AF93*LongTerm107!$AH93)/10000</f>
        <v>#VALUE!</v>
      </c>
      <c r="BW88" s="323" t="e">
        <f aca="false">LongTerm107!$BM93*(LongTerm107!$F93*LongTerm107!$AF93*LongTerm107!$AH93)/10000</f>
        <v>#VALUE!</v>
      </c>
      <c r="BX88" s="323" t="e">
        <f aca="false">(LongTerm107!$BL93/(1-LongTerm107!$AR93))*(LongTerm107!$F93*LongTerm107!$AF93*LongTerm107!$AH93)/10000</f>
        <v>#VALUE!</v>
      </c>
      <c r="BY88" s="326"/>
      <c r="BZ88" s="325" t="e">
        <f aca="false">LongTerm108!D93</f>
        <v>#VALUE!</v>
      </c>
      <c r="CA88" s="323" t="e">
        <f aca="false">(LongTerm108!$BM93+LongTerm108!$BL93/(1-LongTerm108!$AR93))*(LongTerm108!$F93*LongTerm108!$AF93*LongTerm108!$AH93)/10000</f>
        <v>#VALUE!</v>
      </c>
      <c r="CB88" s="323" t="e">
        <f aca="false">LongTerm108!$BM93*(LongTerm108!$F93*LongTerm108!$AF93*LongTerm108!$AH93)/10000</f>
        <v>#VALUE!</v>
      </c>
      <c r="CC88" s="323" t="e">
        <f aca="false">(LongTerm108!$BL93/(1-LongTerm108!$AR93))*(LongTerm108!$F93*LongTerm108!$AF93*LongTerm108!$AH93)/10000</f>
        <v>#VALUE!</v>
      </c>
      <c r="CD88" s="332"/>
      <c r="CE88" s="333" t="n">
        <f aca="false">EOMONTH(CE87,0)+15</f>
        <v>39187</v>
      </c>
      <c r="CF88" s="337" t="n">
        <v>21.9</v>
      </c>
      <c r="CG88" s="337" t="n">
        <v>117.5</v>
      </c>
      <c r="CH88" s="337" t="n">
        <v>-137.5</v>
      </c>
      <c r="CI88" s="337" t="n">
        <v>0</v>
      </c>
      <c r="CJ88" s="337" t="n">
        <v>0</v>
      </c>
      <c r="CK88" s="337" t="n">
        <v>1.9</v>
      </c>
      <c r="CL88" s="337" t="n">
        <v>0</v>
      </c>
      <c r="CM88" s="337" t="n">
        <v>0</v>
      </c>
      <c r="CN88" s="337" t="n">
        <v>0</v>
      </c>
    </row>
    <row r="89" customFormat="false" ht="12.75" hidden="false" customHeight="false" outlineLevel="0" collapsed="false">
      <c r="B89" s="320" t="e">
        <f aca="false">Q89</f>
        <v>#VALUE!</v>
      </c>
      <c r="C89" s="319" t="e">
        <f aca="false">YEAR(B89)</f>
        <v>#VALUE!</v>
      </c>
      <c r="D89" s="266" t="e">
        <f aca="false">R89+AC89</f>
        <v>#VALUE!</v>
      </c>
      <c r="E89" s="266" t="e">
        <f aca="false">S89+AD89</f>
        <v>#VALUE!</v>
      </c>
      <c r="F89" s="266" t="e">
        <f aca="false">+T89+AE89</f>
        <v>#VALUE!</v>
      </c>
      <c r="G89" s="266" t="e">
        <f aca="false">+U89+AF89</f>
        <v>#VALUE!</v>
      </c>
      <c r="H89" s="266" t="e">
        <f aca="false">V89+AG89</f>
        <v>#VALUE!</v>
      </c>
      <c r="I89" s="266" t="e">
        <f aca="false">W89+AH89</f>
        <v>#VALUE!</v>
      </c>
      <c r="J89" s="265"/>
      <c r="K89" s="265"/>
      <c r="L89" s="265"/>
      <c r="M89" s="266" t="e">
        <f aca="false">X89+AI89</f>
        <v>#VALUE!</v>
      </c>
      <c r="N89" s="264" t="e">
        <f aca="false">Y89+AJ89</f>
        <v>#VALUE!</v>
      </c>
      <c r="O89" s="264" t="e">
        <f aca="false">Z89+AK89</f>
        <v>#VALUE!</v>
      </c>
      <c r="Q89" s="320" t="e">
        <f aca="false">EOMONTH(Q88,0)+15</f>
        <v>#VALUE!</v>
      </c>
      <c r="R89" s="266" t="e">
        <f aca="false">SUMIF(AM:AM,$Q89,AN:AN)+SUMIF(AQ:AQ,$Q89,AR:AR)+SUMIF(AU:AU,$Q89,AV:AV)+SUMIF(BU:BU,$Q89,BV:BV)+SUMIF(BZ:BZ,$Q89,CA:CA)+SUMIF(BG:BG,$Q89,BH:BH)+SUMIF(BK:BK,$Q89,BL:BL)+SUMIF(BP:BP,$Q89,BQ:BQ)</f>
        <v>#VALUE!</v>
      </c>
      <c r="S89" s="264" t="e">
        <f aca="false">SUMIF(AM:AM,$Q89,AP:AP)+SUMIF(BU:BU,$Q89,BW:BW)+SUMIF(BZ:BZ,$Q89,CB:CB)</f>
        <v>#VALUE!</v>
      </c>
      <c r="T89" s="264" t="e">
        <f aca="false">SUMIF(AQ:AQ,$Q89,AT:AT)+SUMIF(BG:BG,$Q89,BJ:BJ)+SUMIF(BK:BK,$Q89,BN:BN)</f>
        <v>#VALUE!</v>
      </c>
      <c r="U89" s="264" t="e">
        <f aca="false">SUMIF(AM:AM,$Q89,AO:AO)+SUMIF(AQ:AQ,$Q89,AS:AS)+SUMIF(BG:BG,$Q89,BI:BI)+SUMIF(BK:BK,$Q89,BM:BM)</f>
        <v>#VALUE!</v>
      </c>
      <c r="V89" s="264" t="e">
        <f aca="false">SUMIF(AU:AU,$Q89,AW:AW)</f>
        <v>#VALUE!</v>
      </c>
      <c r="W89" s="264" t="e">
        <f aca="false">SUMIF(AU:AU,$Q89,AX:AX)</f>
        <v>#VALUE!</v>
      </c>
      <c r="X89" s="264" t="e">
        <f aca="false">SUMIF(BP:BP,$Q89,BR:BR)</f>
        <v>#VALUE!</v>
      </c>
      <c r="Y89" s="266" t="e">
        <f aca="false">SUMIF(BP:BP,$Q89,BS:BS)</f>
        <v>#VALUE!</v>
      </c>
      <c r="Z89" s="264" t="e">
        <f aca="false">SUMIF(BU:BU,$Q89,BX:BX)+SUMIF(BZ:BZ,$Q89,CC:CC)</f>
        <v>#VALUE!</v>
      </c>
      <c r="AB89" s="320" t="e">
        <f aca="false">Q89</f>
        <v>#VALUE!</v>
      </c>
      <c r="AC89" s="321" t="e">
        <f aca="false">VLOOKUP(AB89,CE90:CK195,7,FALSE())</f>
        <v>#VALUE!</v>
      </c>
      <c r="AD89" s="264" t="e">
        <f aca="false">VLOOKUP(AB89,CE90:CJ195,3,FALSE())</f>
        <v>#VALUE!</v>
      </c>
      <c r="AE89" s="264" t="e">
        <f aca="false">VLOOKUP(AB89,CE90:CJ195,2,FALSE())</f>
        <v>#VALUE!</v>
      </c>
      <c r="AF89" s="264" t="e">
        <f aca="false">VLOOKUP(AB89,CE90:CJ195,4,FALSE())</f>
        <v>#VALUE!</v>
      </c>
      <c r="AG89" s="264" t="e">
        <f aca="false">VLOOKUP(AB89,CE90:CJ195,5,FALSE())</f>
        <v>#VALUE!</v>
      </c>
      <c r="AH89" s="264" t="e">
        <f aca="false">VLOOKUP(AB89,CE90:CJ195,6,FALSE())</f>
        <v>#VALUE!</v>
      </c>
      <c r="AI89" s="264" t="e">
        <f aca="false">VLOOKUP(AB89,CE90:CM195,8,FALSE())</f>
        <v>#VALUE!</v>
      </c>
      <c r="AJ89" s="266" t="e">
        <f aca="false">VLOOKUP(AB89,CE90:CM195,9,FALSE())</f>
        <v>#VALUE!</v>
      </c>
      <c r="AK89" s="264" t="e">
        <f aca="false">VLOOKUP(AB89,CE90:CN195,10,FALSE())</f>
        <v>#VALUE!</v>
      </c>
      <c r="AM89" s="322" t="e">
        <f aca="false">LongTerm1!D94</f>
        <v>#VALUE!</v>
      </c>
      <c r="AN89" s="323" t="e">
        <f aca="false">(LongTerm1!BM94+LongTerm1!BL94/(1-LongTerm1!AR94))*(LongTerm1!F94*LongTerm1!AF94*LongTerm1!AH94)/10000</f>
        <v>#VALUE!</v>
      </c>
      <c r="AO89" s="323" t="e">
        <f aca="false">LongTerm1!BM94*(LongTerm1!F94*LongTerm1!AF94*LongTerm1!AH94)/10000</f>
        <v>#VALUE!</v>
      </c>
      <c r="AP89" s="323" t="e">
        <f aca="false">(LongTerm1!BL94/(1-LongTerm1!AR94))*(LongTerm1!F94*LongTerm1!AF94*LongTerm1!AH94)/10000</f>
        <v>#VALUE!</v>
      </c>
      <c r="AQ89" s="324"/>
      <c r="AV89" s="319"/>
      <c r="AW89" s="319"/>
      <c r="AX89" s="319"/>
      <c r="AY89" s="319"/>
      <c r="AZ89" s="319"/>
      <c r="BA89" s="319"/>
      <c r="BB89" s="319"/>
      <c r="BC89" s="319"/>
      <c r="BD89" s="319"/>
      <c r="BE89" s="319"/>
      <c r="BF89" s="319"/>
      <c r="BG89" s="322" t="e">
        <f aca="false">LongTerm25!D94</f>
        <v>#VALUE!</v>
      </c>
      <c r="BH89" s="323" t="e">
        <f aca="false">(LongTerm25!BM94+LongTerm25!BL94/(1-LongTerm25!AR94))*(LongTerm25!F94*LongTerm25!AF94*LongTerm25!AH94)/10000</f>
        <v>#VALUE!</v>
      </c>
      <c r="BI89" s="323" t="e">
        <f aca="false">LongTerm25!BM94*(LongTerm25!F94*LongTerm25!AF94*LongTerm25!AH94)/10000</f>
        <v>#VALUE!</v>
      </c>
      <c r="BJ89" s="323" t="e">
        <f aca="false">(LongTerm25!BL94/(1-LongTerm25!AR94))*(LongTerm25!F94*LongTerm25!AF94*LongTerm25!AH94)/10000</f>
        <v>#VALUE!</v>
      </c>
      <c r="BK89" s="319"/>
      <c r="BL89" s="319"/>
      <c r="BM89" s="319"/>
      <c r="BN89" s="319"/>
      <c r="BP89" s="325" t="e">
        <f aca="false">LongTerm62!D94</f>
        <v>#VALUE!</v>
      </c>
      <c r="BQ89" s="323" t="e">
        <f aca="false">(LongTerm62!$BM94+LongTerm62!$BL94/(1-LongTerm62!$AR94))*(LongTerm62!$F94*LongTerm62!$AF94*LongTerm62!$AH94)/10000</f>
        <v>#VALUE!</v>
      </c>
      <c r="BR89" s="323" t="e">
        <f aca="false">LongTerm62!$BM94*(LongTerm62!$F94*LongTerm62!$AF94*LongTerm62!$AH94)/10000</f>
        <v>#VALUE!</v>
      </c>
      <c r="BS89" s="323" t="e">
        <f aca="false">(LongTerm62!$BL94/(1-LongTerm62!$AR94))*(LongTerm62!$F94*LongTerm62!$AF94*LongTerm62!$AH94)/10000</f>
        <v>#VALUE!</v>
      </c>
      <c r="BT89" s="265"/>
      <c r="BU89" s="325" t="e">
        <f aca="false">LongTerm107!D94</f>
        <v>#VALUE!</v>
      </c>
      <c r="BV89" s="323" t="e">
        <f aca="false">(LongTerm107!$BM94+LongTerm107!$BL94/(1-LongTerm107!$AR94))*(LongTerm107!$F94*LongTerm107!$AF94*LongTerm107!$AH94)/10000</f>
        <v>#VALUE!</v>
      </c>
      <c r="BW89" s="323" t="e">
        <f aca="false">LongTerm107!$BM94*(LongTerm107!$F94*LongTerm107!$AF94*LongTerm107!$AH94)/10000</f>
        <v>#VALUE!</v>
      </c>
      <c r="BX89" s="323" t="e">
        <f aca="false">(LongTerm107!$BL94/(1-LongTerm107!$AR94))*(LongTerm107!$F94*LongTerm107!$AF94*LongTerm107!$AH94)/10000</f>
        <v>#VALUE!</v>
      </c>
      <c r="BY89" s="326"/>
      <c r="BZ89" s="325" t="e">
        <f aca="false">LongTerm108!D94</f>
        <v>#VALUE!</v>
      </c>
      <c r="CA89" s="323" t="e">
        <f aca="false">(LongTerm108!$BM94+LongTerm108!$BL94/(1-LongTerm108!$AR94))*(LongTerm108!$F94*LongTerm108!$AF94*LongTerm108!$AH94)/10000</f>
        <v>#VALUE!</v>
      </c>
      <c r="CB89" s="323" t="e">
        <f aca="false">LongTerm108!$BM94*(LongTerm108!$F94*LongTerm108!$AF94*LongTerm108!$AH94)/10000</f>
        <v>#VALUE!</v>
      </c>
      <c r="CC89" s="323" t="e">
        <f aca="false">(LongTerm108!$BL94/(1-LongTerm108!$AR94))*(LongTerm108!$F94*LongTerm108!$AF94*LongTerm108!$AH94)/10000</f>
        <v>#VALUE!</v>
      </c>
      <c r="CD89" s="332"/>
      <c r="CE89" s="333" t="n">
        <f aca="false">EOMONTH(CE88,0)+15</f>
        <v>39217</v>
      </c>
      <c r="CF89" s="337" t="n">
        <v>21.9</v>
      </c>
      <c r="CG89" s="337" t="n">
        <v>124</v>
      </c>
      <c r="CH89" s="337" t="n">
        <v>-144</v>
      </c>
      <c r="CI89" s="337" t="n">
        <v>0</v>
      </c>
      <c r="CJ89" s="337" t="n">
        <v>0</v>
      </c>
      <c r="CK89" s="337" t="n">
        <v>1.9</v>
      </c>
      <c r="CL89" s="337" t="n">
        <v>0</v>
      </c>
      <c r="CM89" s="337" t="n">
        <v>0</v>
      </c>
      <c r="CN89" s="337" t="n">
        <v>0</v>
      </c>
    </row>
    <row r="90" customFormat="false" ht="12.75" hidden="false" customHeight="false" outlineLevel="0" collapsed="false">
      <c r="B90" s="320" t="e">
        <f aca="false">Q90</f>
        <v>#VALUE!</v>
      </c>
      <c r="C90" s="319" t="e">
        <f aca="false">YEAR(B90)</f>
        <v>#VALUE!</v>
      </c>
      <c r="D90" s="266" t="e">
        <f aca="false">R90+AC90</f>
        <v>#VALUE!</v>
      </c>
      <c r="E90" s="266" t="e">
        <f aca="false">S90+AD90</f>
        <v>#VALUE!</v>
      </c>
      <c r="F90" s="266" t="e">
        <f aca="false">+T90+AE90</f>
        <v>#VALUE!</v>
      </c>
      <c r="G90" s="266" t="e">
        <f aca="false">+U90+AF90</f>
        <v>#VALUE!</v>
      </c>
      <c r="H90" s="266" t="e">
        <f aca="false">V90+AG90</f>
        <v>#VALUE!</v>
      </c>
      <c r="I90" s="266" t="e">
        <f aca="false">W90+AH90</f>
        <v>#VALUE!</v>
      </c>
      <c r="J90" s="265"/>
      <c r="K90" s="265"/>
      <c r="L90" s="265"/>
      <c r="M90" s="266" t="e">
        <f aca="false">X90+AI90</f>
        <v>#VALUE!</v>
      </c>
      <c r="N90" s="264" t="e">
        <f aca="false">Y90+AJ90</f>
        <v>#VALUE!</v>
      </c>
      <c r="O90" s="264" t="e">
        <f aca="false">Z90+AK90</f>
        <v>#VALUE!</v>
      </c>
      <c r="Q90" s="320" t="e">
        <f aca="false">EOMONTH(Q89,0)+15</f>
        <v>#VALUE!</v>
      </c>
      <c r="R90" s="266" t="e">
        <f aca="false">SUMIF(AM:AM,$Q90,AN:AN)+SUMIF(AQ:AQ,$Q90,AR:AR)+SUMIF(AU:AU,$Q90,AV:AV)+SUMIF(BU:BU,$Q90,BV:BV)+SUMIF(BZ:BZ,$Q90,CA:CA)+SUMIF(BG:BG,$Q90,BH:BH)+SUMIF(BK:BK,$Q90,BL:BL)+SUMIF(BP:BP,$Q90,BQ:BQ)</f>
        <v>#VALUE!</v>
      </c>
      <c r="S90" s="264" t="e">
        <f aca="false">SUMIF(AM:AM,$Q90,AP:AP)+SUMIF(BU:BU,$Q90,BW:BW)+SUMIF(BZ:BZ,$Q90,CB:CB)</f>
        <v>#VALUE!</v>
      </c>
      <c r="T90" s="264" t="e">
        <f aca="false">SUMIF(AQ:AQ,$Q90,AT:AT)+SUMIF(BG:BG,$Q90,BJ:BJ)+SUMIF(BK:BK,$Q90,BN:BN)</f>
        <v>#VALUE!</v>
      </c>
      <c r="U90" s="264" t="e">
        <f aca="false">SUMIF(AM:AM,$Q90,AO:AO)+SUMIF(AQ:AQ,$Q90,AS:AS)+SUMIF(BG:BG,$Q90,BI:BI)+SUMIF(BK:BK,$Q90,BM:BM)</f>
        <v>#VALUE!</v>
      </c>
      <c r="V90" s="264" t="e">
        <f aca="false">SUMIF(AU:AU,$Q90,AW:AW)</f>
        <v>#VALUE!</v>
      </c>
      <c r="W90" s="264" t="e">
        <f aca="false">SUMIF(AU:AU,$Q90,AX:AX)</f>
        <v>#VALUE!</v>
      </c>
      <c r="X90" s="264" t="e">
        <f aca="false">SUMIF(BP:BP,$Q90,BR:BR)</f>
        <v>#VALUE!</v>
      </c>
      <c r="Y90" s="266" t="e">
        <f aca="false">SUMIF(BP:BP,$Q90,BS:BS)</f>
        <v>#VALUE!</v>
      </c>
      <c r="Z90" s="264" t="e">
        <f aca="false">SUMIF(BU:BU,$Q90,BX:BX)+SUMIF(BZ:BZ,$Q90,CC:CC)</f>
        <v>#VALUE!</v>
      </c>
      <c r="AB90" s="320" t="e">
        <f aca="false">Q90</f>
        <v>#VALUE!</v>
      </c>
      <c r="AC90" s="321" t="e">
        <f aca="false">VLOOKUP(AB90,CE91:CK196,7,FALSE())</f>
        <v>#VALUE!</v>
      </c>
      <c r="AD90" s="264" t="e">
        <f aca="false">VLOOKUP(AB90,CE91:CJ196,3,FALSE())</f>
        <v>#VALUE!</v>
      </c>
      <c r="AE90" s="264" t="e">
        <f aca="false">VLOOKUP(AB90,CE91:CJ196,2,FALSE())</f>
        <v>#VALUE!</v>
      </c>
      <c r="AF90" s="264" t="e">
        <f aca="false">VLOOKUP(AB90,CE91:CJ196,4,FALSE())</f>
        <v>#VALUE!</v>
      </c>
      <c r="AG90" s="264" t="e">
        <f aca="false">VLOOKUP(AB90,CE91:CJ196,5,FALSE())</f>
        <v>#VALUE!</v>
      </c>
      <c r="AH90" s="264" t="e">
        <f aca="false">VLOOKUP(AB90,CE91:CJ196,6,FALSE())</f>
        <v>#VALUE!</v>
      </c>
      <c r="AI90" s="264" t="e">
        <f aca="false">VLOOKUP(AB90,CE91:CM196,8,FALSE())</f>
        <v>#VALUE!</v>
      </c>
      <c r="AJ90" s="266" t="e">
        <f aca="false">VLOOKUP(AB90,CE91:CM196,9,FALSE())</f>
        <v>#VALUE!</v>
      </c>
      <c r="AK90" s="264" t="e">
        <f aca="false">VLOOKUP(AB90,CE91:CN196,10,FALSE())</f>
        <v>#VALUE!</v>
      </c>
      <c r="AM90" s="322" t="e">
        <f aca="false">LongTerm1!D95</f>
        <v>#VALUE!</v>
      </c>
      <c r="AN90" s="323" t="e">
        <f aca="false">(LongTerm1!BM95+LongTerm1!BL95/(1-LongTerm1!AR95))*(LongTerm1!F95*LongTerm1!AF95*LongTerm1!AH95)/10000</f>
        <v>#VALUE!</v>
      </c>
      <c r="AO90" s="323" t="e">
        <f aca="false">LongTerm1!BM95*(LongTerm1!F95*LongTerm1!AF95*LongTerm1!AH95)/10000</f>
        <v>#VALUE!</v>
      </c>
      <c r="AP90" s="323" t="e">
        <f aca="false">(LongTerm1!BL95/(1-LongTerm1!AR95))*(LongTerm1!F95*LongTerm1!AF95*LongTerm1!AH95)/10000</f>
        <v>#VALUE!</v>
      </c>
      <c r="AQ90" s="324"/>
      <c r="AV90" s="319"/>
      <c r="AW90" s="319"/>
      <c r="AX90" s="319"/>
      <c r="AY90" s="319"/>
      <c r="AZ90" s="319"/>
      <c r="BA90" s="319"/>
      <c r="BB90" s="319"/>
      <c r="BC90" s="319"/>
      <c r="BD90" s="319"/>
      <c r="BE90" s="319"/>
      <c r="BF90" s="319"/>
      <c r="BG90" s="322" t="e">
        <f aca="false">LongTerm25!D95</f>
        <v>#VALUE!</v>
      </c>
      <c r="BH90" s="323" t="e">
        <f aca="false">(LongTerm25!BM95+LongTerm25!BL95/(1-LongTerm25!AR95))*(LongTerm25!F95*LongTerm25!AF95*LongTerm25!AH95)/10000</f>
        <v>#VALUE!</v>
      </c>
      <c r="BI90" s="323" t="e">
        <f aca="false">LongTerm25!BM95*(LongTerm25!F95*LongTerm25!AF95*LongTerm25!AH95)/10000</f>
        <v>#VALUE!</v>
      </c>
      <c r="BJ90" s="323" t="e">
        <f aca="false">(LongTerm25!BL95/(1-LongTerm25!AR95))*(LongTerm25!F95*LongTerm25!AF95*LongTerm25!AH95)/10000</f>
        <v>#VALUE!</v>
      </c>
      <c r="BK90" s="319"/>
      <c r="BL90" s="319"/>
      <c r="BM90" s="319"/>
      <c r="BN90" s="319"/>
      <c r="BP90" s="325" t="e">
        <f aca="false">LongTerm62!D95</f>
        <v>#VALUE!</v>
      </c>
      <c r="BQ90" s="323" t="e">
        <f aca="false">(LongTerm62!$BM95+LongTerm62!$BL95/(1-LongTerm62!$AR95))*(LongTerm62!$F95*LongTerm62!$AF95*LongTerm62!$AH95)/10000</f>
        <v>#VALUE!</v>
      </c>
      <c r="BR90" s="323" t="e">
        <f aca="false">LongTerm62!$BM95*(LongTerm62!$F95*LongTerm62!$AF95*LongTerm62!$AH95)/10000</f>
        <v>#VALUE!</v>
      </c>
      <c r="BS90" s="323" t="e">
        <f aca="false">(LongTerm62!$BL95/(1-LongTerm62!$AR95))*(LongTerm62!$F95*LongTerm62!$AF95*LongTerm62!$AH95)/10000</f>
        <v>#VALUE!</v>
      </c>
      <c r="BT90" s="265"/>
      <c r="BU90" s="325" t="e">
        <f aca="false">LongTerm107!D95</f>
        <v>#VALUE!</v>
      </c>
      <c r="BV90" s="323" t="e">
        <f aca="false">(LongTerm107!$BM95+LongTerm107!$BL95/(1-LongTerm107!$AR95))*(LongTerm107!$F95*LongTerm107!$AF95*LongTerm107!$AH95)/10000</f>
        <v>#VALUE!</v>
      </c>
      <c r="BW90" s="323" t="e">
        <f aca="false">LongTerm107!$BM95*(LongTerm107!$F95*LongTerm107!$AF95*LongTerm107!$AH95)/10000</f>
        <v>#VALUE!</v>
      </c>
      <c r="BX90" s="323" t="e">
        <f aca="false">(LongTerm107!$BL95/(1-LongTerm107!$AR95))*(LongTerm107!$F95*LongTerm107!$AF95*LongTerm107!$AH95)/10000</f>
        <v>#VALUE!</v>
      </c>
      <c r="BY90" s="326"/>
      <c r="BZ90" s="325" t="e">
        <f aca="false">LongTerm108!D95</f>
        <v>#VALUE!</v>
      </c>
      <c r="CA90" s="323" t="e">
        <f aca="false">(LongTerm108!$BM95+LongTerm108!$BL95/(1-LongTerm108!$AR95))*(LongTerm108!$F95*LongTerm108!$AF95*LongTerm108!$AH95)/10000</f>
        <v>#VALUE!</v>
      </c>
      <c r="CB90" s="323" t="e">
        <f aca="false">LongTerm108!$BM95*(LongTerm108!$F95*LongTerm108!$AF95*LongTerm108!$AH95)/10000</f>
        <v>#VALUE!</v>
      </c>
      <c r="CC90" s="323" t="e">
        <f aca="false">(LongTerm108!$BL95/(1-LongTerm108!$AR95))*(LongTerm108!$F95*LongTerm108!$AF95*LongTerm108!$AH95)/10000</f>
        <v>#VALUE!</v>
      </c>
      <c r="CD90" s="332"/>
      <c r="CE90" s="333" t="n">
        <f aca="false">EOMONTH(CE89,0)+15</f>
        <v>39248</v>
      </c>
      <c r="CF90" s="337" t="n">
        <v>21.4</v>
      </c>
      <c r="CG90" s="337" t="n">
        <v>117.9</v>
      </c>
      <c r="CH90" s="337" t="n">
        <v>-138.3</v>
      </c>
      <c r="CI90" s="337" t="n">
        <v>0</v>
      </c>
      <c r="CJ90" s="337" t="n">
        <v>0</v>
      </c>
      <c r="CK90" s="337" t="n">
        <v>1.9</v>
      </c>
      <c r="CL90" s="337" t="n">
        <v>0</v>
      </c>
      <c r="CM90" s="337" t="n">
        <v>0</v>
      </c>
      <c r="CN90" s="337" t="n">
        <v>0</v>
      </c>
    </row>
    <row r="91" customFormat="false" ht="12.75" hidden="false" customHeight="false" outlineLevel="0" collapsed="false">
      <c r="B91" s="320" t="e">
        <f aca="false">Q91</f>
        <v>#VALUE!</v>
      </c>
      <c r="C91" s="319" t="e">
        <f aca="false">YEAR(B91)</f>
        <v>#VALUE!</v>
      </c>
      <c r="D91" s="266" t="e">
        <f aca="false">R91+AC91</f>
        <v>#VALUE!</v>
      </c>
      <c r="E91" s="266" t="e">
        <f aca="false">S91+AD91</f>
        <v>#VALUE!</v>
      </c>
      <c r="F91" s="266" t="e">
        <f aca="false">+T91+AE91</f>
        <v>#VALUE!</v>
      </c>
      <c r="G91" s="266" t="e">
        <f aca="false">+U91+AF91</f>
        <v>#VALUE!</v>
      </c>
      <c r="H91" s="266" t="e">
        <f aca="false">V91+AG91</f>
        <v>#VALUE!</v>
      </c>
      <c r="I91" s="266" t="e">
        <f aca="false">W91+AH91</f>
        <v>#VALUE!</v>
      </c>
      <c r="J91" s="265"/>
      <c r="K91" s="265"/>
      <c r="L91" s="265"/>
      <c r="M91" s="266" t="e">
        <f aca="false">X91+AI91</f>
        <v>#VALUE!</v>
      </c>
      <c r="N91" s="264" t="e">
        <f aca="false">Y91+AJ91</f>
        <v>#VALUE!</v>
      </c>
      <c r="O91" s="264" t="e">
        <f aca="false">Z91+AK91</f>
        <v>#VALUE!</v>
      </c>
      <c r="Q91" s="320" t="e">
        <f aca="false">EOMONTH(Q90,0)+15</f>
        <v>#VALUE!</v>
      </c>
      <c r="R91" s="266" t="e">
        <f aca="false">SUMIF(AM:AM,$Q91,AN:AN)+SUMIF(AQ:AQ,$Q91,AR:AR)+SUMIF(AU:AU,$Q91,AV:AV)+SUMIF(BU:BU,$Q91,BV:BV)+SUMIF(BZ:BZ,$Q91,CA:CA)+SUMIF(BG:BG,$Q91,BH:BH)+SUMIF(BK:BK,$Q91,BL:BL)+SUMIF(BP:BP,$Q91,BQ:BQ)</f>
        <v>#VALUE!</v>
      </c>
      <c r="S91" s="264" t="e">
        <f aca="false">SUMIF(AM:AM,$Q91,AP:AP)+SUMIF(BU:BU,$Q91,BW:BW)+SUMIF(BZ:BZ,$Q91,CB:CB)</f>
        <v>#VALUE!</v>
      </c>
      <c r="T91" s="264" t="e">
        <f aca="false">SUMIF(AQ:AQ,$Q91,AT:AT)+SUMIF(BG:BG,$Q91,BJ:BJ)+SUMIF(BK:BK,$Q91,BN:BN)</f>
        <v>#VALUE!</v>
      </c>
      <c r="U91" s="264" t="e">
        <f aca="false">SUMIF(AM:AM,$Q91,AO:AO)+SUMIF(AQ:AQ,$Q91,AS:AS)+SUMIF(BG:BG,$Q91,BI:BI)+SUMIF(BK:BK,$Q91,BM:BM)</f>
        <v>#VALUE!</v>
      </c>
      <c r="V91" s="264" t="e">
        <f aca="false">SUMIF(AU:AU,$Q91,AW:AW)</f>
        <v>#VALUE!</v>
      </c>
      <c r="W91" s="264" t="e">
        <f aca="false">SUMIF(AU:AU,$Q91,AX:AX)</f>
        <v>#VALUE!</v>
      </c>
      <c r="X91" s="264" t="e">
        <f aca="false">SUMIF(BP:BP,$Q91,BR:BR)</f>
        <v>#VALUE!</v>
      </c>
      <c r="Y91" s="266" t="e">
        <f aca="false">SUMIF(BP:BP,$Q91,BS:BS)</f>
        <v>#VALUE!</v>
      </c>
      <c r="Z91" s="264" t="e">
        <f aca="false">SUMIF(BU:BU,$Q91,BX:BX)+SUMIF(BZ:BZ,$Q91,CC:CC)</f>
        <v>#VALUE!</v>
      </c>
      <c r="AB91" s="320" t="e">
        <f aca="false">Q91</f>
        <v>#VALUE!</v>
      </c>
      <c r="AC91" s="321" t="e">
        <f aca="false">VLOOKUP(AB91,CE92:CK197,7,FALSE())</f>
        <v>#VALUE!</v>
      </c>
      <c r="AD91" s="264" t="e">
        <f aca="false">VLOOKUP(AB91,CE92:CJ197,3,FALSE())</f>
        <v>#VALUE!</v>
      </c>
      <c r="AE91" s="264" t="e">
        <f aca="false">VLOOKUP(AB91,CE92:CJ197,2,FALSE())</f>
        <v>#VALUE!</v>
      </c>
      <c r="AF91" s="264" t="e">
        <f aca="false">VLOOKUP(AB91,CE92:CJ197,4,FALSE())</f>
        <v>#VALUE!</v>
      </c>
      <c r="AG91" s="264" t="e">
        <f aca="false">VLOOKUP(AB91,CE92:CJ197,5,FALSE())</f>
        <v>#VALUE!</v>
      </c>
      <c r="AH91" s="264" t="e">
        <f aca="false">VLOOKUP(AB91,CE92:CJ197,6,FALSE())</f>
        <v>#VALUE!</v>
      </c>
      <c r="AI91" s="264" t="e">
        <f aca="false">VLOOKUP(AB91,CE92:CM197,8,FALSE())</f>
        <v>#VALUE!</v>
      </c>
      <c r="AJ91" s="266" t="e">
        <f aca="false">VLOOKUP(AB91,CE92:CM197,9,FALSE())</f>
        <v>#VALUE!</v>
      </c>
      <c r="AK91" s="264" t="e">
        <f aca="false">VLOOKUP(AB91,CE92:CN197,10,FALSE())</f>
        <v>#VALUE!</v>
      </c>
      <c r="AM91" s="322" t="e">
        <f aca="false">LongTerm1!D96</f>
        <v>#VALUE!</v>
      </c>
      <c r="AN91" s="323" t="e">
        <f aca="false">(LongTerm1!BM96+LongTerm1!BL96/(1-LongTerm1!AR96))*(LongTerm1!F96*LongTerm1!AF96*LongTerm1!AH96)/10000</f>
        <v>#VALUE!</v>
      </c>
      <c r="AO91" s="323" t="e">
        <f aca="false">LongTerm1!BM96*(LongTerm1!F96*LongTerm1!AF96*LongTerm1!AH96)/10000</f>
        <v>#VALUE!</v>
      </c>
      <c r="AP91" s="323" t="e">
        <f aca="false">(LongTerm1!BL96/(1-LongTerm1!AR96))*(LongTerm1!F96*LongTerm1!AF96*LongTerm1!AH96)/10000</f>
        <v>#VALUE!</v>
      </c>
      <c r="AQ91" s="324"/>
      <c r="AV91" s="319"/>
      <c r="AW91" s="319"/>
      <c r="AX91" s="319"/>
      <c r="AY91" s="319"/>
      <c r="AZ91" s="319"/>
      <c r="BA91" s="319"/>
      <c r="BB91" s="319"/>
      <c r="BC91" s="319"/>
      <c r="BD91" s="319"/>
      <c r="BE91" s="319"/>
      <c r="BF91" s="319"/>
      <c r="BG91" s="322" t="e">
        <f aca="false">LongTerm25!D96</f>
        <v>#VALUE!</v>
      </c>
      <c r="BH91" s="323" t="e">
        <f aca="false">(LongTerm25!BM96+LongTerm25!BL96/(1-LongTerm25!AR96))*(LongTerm25!F96*LongTerm25!AF96*LongTerm25!AH96)/10000</f>
        <v>#VALUE!</v>
      </c>
      <c r="BI91" s="323" t="e">
        <f aca="false">LongTerm25!BM96*(LongTerm25!F96*LongTerm25!AF96*LongTerm25!AH96)/10000</f>
        <v>#VALUE!</v>
      </c>
      <c r="BJ91" s="323" t="e">
        <f aca="false">(LongTerm25!BL96/(1-LongTerm25!AR96))*(LongTerm25!F96*LongTerm25!AF96*LongTerm25!AH96)/10000</f>
        <v>#VALUE!</v>
      </c>
      <c r="BK91" s="319"/>
      <c r="BL91" s="319"/>
      <c r="BM91" s="319"/>
      <c r="BN91" s="319"/>
      <c r="BP91" s="325" t="e">
        <f aca="false">LongTerm62!D96</f>
        <v>#VALUE!</v>
      </c>
      <c r="BQ91" s="323" t="e">
        <f aca="false">(LongTerm62!$BM96+LongTerm62!$BL96/(1-LongTerm62!$AR96))*(LongTerm62!$F96*LongTerm62!$AF96*LongTerm62!$AH96)/10000</f>
        <v>#VALUE!</v>
      </c>
      <c r="BR91" s="323" t="e">
        <f aca="false">LongTerm62!$BM96*(LongTerm62!$F96*LongTerm62!$AF96*LongTerm62!$AH96)/10000</f>
        <v>#VALUE!</v>
      </c>
      <c r="BS91" s="323" t="e">
        <f aca="false">(LongTerm62!$BL96/(1-LongTerm62!$AR96))*(LongTerm62!$F96*LongTerm62!$AF96*LongTerm62!$AH96)/10000</f>
        <v>#VALUE!</v>
      </c>
      <c r="BT91" s="265"/>
      <c r="BU91" s="325" t="e">
        <f aca="false">LongTerm107!D96</f>
        <v>#VALUE!</v>
      </c>
      <c r="BV91" s="323" t="e">
        <f aca="false">(LongTerm107!$BM96+LongTerm107!$BL96/(1-LongTerm107!$AR96))*(LongTerm107!$F96*LongTerm107!$AF96*LongTerm107!$AH96)/10000</f>
        <v>#VALUE!</v>
      </c>
      <c r="BW91" s="323" t="e">
        <f aca="false">LongTerm107!$BM96*(LongTerm107!$F96*LongTerm107!$AF96*LongTerm107!$AH96)/10000</f>
        <v>#VALUE!</v>
      </c>
      <c r="BX91" s="323" t="e">
        <f aca="false">(LongTerm107!$BL96/(1-LongTerm107!$AR96))*(LongTerm107!$F96*LongTerm107!$AF96*LongTerm107!$AH96)/10000</f>
        <v>#VALUE!</v>
      </c>
      <c r="BY91" s="326"/>
      <c r="BZ91" s="325" t="e">
        <f aca="false">LongTerm108!D96</f>
        <v>#VALUE!</v>
      </c>
      <c r="CA91" s="323" t="e">
        <f aca="false">(LongTerm108!$BM96+LongTerm108!$BL96/(1-LongTerm108!$AR96))*(LongTerm108!$F96*LongTerm108!$AF96*LongTerm108!$AH96)/10000</f>
        <v>#VALUE!</v>
      </c>
      <c r="CB91" s="323" t="e">
        <f aca="false">LongTerm108!$BM96*(LongTerm108!$F96*LongTerm108!$AF96*LongTerm108!$AH96)/10000</f>
        <v>#VALUE!</v>
      </c>
      <c r="CC91" s="323" t="e">
        <f aca="false">(LongTerm108!$BL96/(1-LongTerm108!$AR96))*(LongTerm108!$F96*LongTerm108!$AF96*LongTerm108!$AH96)/10000</f>
        <v>#VALUE!</v>
      </c>
      <c r="CD91" s="332"/>
      <c r="CE91" s="333" t="n">
        <f aca="false">EOMONTH(CE90,0)+15</f>
        <v>39278</v>
      </c>
      <c r="CF91" s="337" t="n">
        <v>22.2</v>
      </c>
      <c r="CG91" s="337" t="n">
        <v>118.1</v>
      </c>
      <c r="CH91" s="337" t="n">
        <v>-138.5</v>
      </c>
      <c r="CI91" s="337" t="n">
        <v>0</v>
      </c>
      <c r="CJ91" s="337" t="n">
        <v>0</v>
      </c>
      <c r="CK91" s="337" t="n">
        <v>1.9</v>
      </c>
      <c r="CL91" s="337" t="n">
        <v>0</v>
      </c>
      <c r="CM91" s="337" t="n">
        <v>0</v>
      </c>
      <c r="CN91" s="337" t="n">
        <v>0</v>
      </c>
    </row>
    <row r="92" customFormat="false" ht="12.75" hidden="false" customHeight="false" outlineLevel="0" collapsed="false">
      <c r="B92" s="320" t="e">
        <f aca="false">Q92</f>
        <v>#VALUE!</v>
      </c>
      <c r="C92" s="319" t="e">
        <f aca="false">YEAR(B92)</f>
        <v>#VALUE!</v>
      </c>
      <c r="D92" s="266" t="e">
        <f aca="false">R92+AC92</f>
        <v>#VALUE!</v>
      </c>
      <c r="E92" s="266" t="e">
        <f aca="false">S92+AD92</f>
        <v>#VALUE!</v>
      </c>
      <c r="F92" s="266" t="e">
        <f aca="false">+T92+AE92</f>
        <v>#VALUE!</v>
      </c>
      <c r="G92" s="266" t="e">
        <f aca="false">+U92+AF92</f>
        <v>#VALUE!</v>
      </c>
      <c r="H92" s="266" t="e">
        <f aca="false">V92+AG92</f>
        <v>#VALUE!</v>
      </c>
      <c r="I92" s="266" t="e">
        <f aca="false">W92+AH92</f>
        <v>#VALUE!</v>
      </c>
      <c r="J92" s="265"/>
      <c r="K92" s="265"/>
      <c r="L92" s="265"/>
      <c r="M92" s="266" t="e">
        <f aca="false">X92+AI92</f>
        <v>#VALUE!</v>
      </c>
      <c r="N92" s="264" t="e">
        <f aca="false">Y92+AJ92</f>
        <v>#VALUE!</v>
      </c>
      <c r="O92" s="264" t="e">
        <f aca="false">Z92+AK92</f>
        <v>#VALUE!</v>
      </c>
      <c r="Q92" s="320" t="e">
        <f aca="false">EOMONTH(Q91,0)+15</f>
        <v>#VALUE!</v>
      </c>
      <c r="R92" s="266" t="e">
        <f aca="false">SUMIF(AM:AM,$Q92,AN:AN)+SUMIF(AQ:AQ,$Q92,AR:AR)+SUMIF(AU:AU,$Q92,AV:AV)+SUMIF(BU:BU,$Q92,BV:BV)+SUMIF(BZ:BZ,$Q92,CA:CA)+SUMIF(BG:BG,$Q92,BH:BH)+SUMIF(BK:BK,$Q92,BL:BL)+SUMIF(BP:BP,$Q92,BQ:BQ)</f>
        <v>#VALUE!</v>
      </c>
      <c r="S92" s="264" t="e">
        <f aca="false">SUMIF(AM:AM,$Q92,AP:AP)+SUMIF(BU:BU,$Q92,BW:BW)+SUMIF(BZ:BZ,$Q92,CB:CB)</f>
        <v>#VALUE!</v>
      </c>
      <c r="T92" s="264" t="e">
        <f aca="false">SUMIF(AQ:AQ,$Q92,AT:AT)+SUMIF(BG:BG,$Q92,BJ:BJ)+SUMIF(BK:BK,$Q92,BN:BN)</f>
        <v>#VALUE!</v>
      </c>
      <c r="U92" s="264" t="e">
        <f aca="false">SUMIF(AM:AM,$Q92,AO:AO)+SUMIF(AQ:AQ,$Q92,AS:AS)+SUMIF(BG:BG,$Q92,BI:BI)+SUMIF(BK:BK,$Q92,BM:BM)</f>
        <v>#VALUE!</v>
      </c>
      <c r="V92" s="264" t="e">
        <f aca="false">SUMIF(AU:AU,$Q92,AW:AW)</f>
        <v>#VALUE!</v>
      </c>
      <c r="W92" s="264" t="e">
        <f aca="false">SUMIF(AU:AU,$Q92,AX:AX)</f>
        <v>#VALUE!</v>
      </c>
      <c r="X92" s="264" t="e">
        <f aca="false">SUMIF(BP:BP,$Q92,BR:BR)</f>
        <v>#VALUE!</v>
      </c>
      <c r="Y92" s="266" t="e">
        <f aca="false">SUMIF(BP:BP,$Q92,BS:BS)</f>
        <v>#VALUE!</v>
      </c>
      <c r="Z92" s="264" t="e">
        <f aca="false">SUMIF(BU:BU,$Q92,BX:BX)+SUMIF(BZ:BZ,$Q92,CC:CC)</f>
        <v>#VALUE!</v>
      </c>
      <c r="AB92" s="320" t="e">
        <f aca="false">Q92</f>
        <v>#VALUE!</v>
      </c>
      <c r="AC92" s="321" t="e">
        <f aca="false">VLOOKUP(AB92,CE93:CK198,7,FALSE())</f>
        <v>#VALUE!</v>
      </c>
      <c r="AD92" s="264" t="e">
        <f aca="false">VLOOKUP(AB92,CE93:CJ198,3,FALSE())</f>
        <v>#VALUE!</v>
      </c>
      <c r="AE92" s="264" t="e">
        <f aca="false">VLOOKUP(AB92,CE93:CJ198,2,FALSE())</f>
        <v>#VALUE!</v>
      </c>
      <c r="AF92" s="264" t="e">
        <f aca="false">VLOOKUP(AB92,CE93:CJ198,4,FALSE())</f>
        <v>#VALUE!</v>
      </c>
      <c r="AG92" s="264" t="e">
        <f aca="false">VLOOKUP(AB92,CE93:CJ198,5,FALSE())</f>
        <v>#VALUE!</v>
      </c>
      <c r="AH92" s="264" t="e">
        <f aca="false">VLOOKUP(AB92,CE93:CJ198,6,FALSE())</f>
        <v>#VALUE!</v>
      </c>
      <c r="AI92" s="264" t="e">
        <f aca="false">VLOOKUP(AB92,CE93:CM198,8,FALSE())</f>
        <v>#VALUE!</v>
      </c>
      <c r="AJ92" s="266" t="e">
        <f aca="false">VLOOKUP(AB92,CE93:CM198,9,FALSE())</f>
        <v>#VALUE!</v>
      </c>
      <c r="AK92" s="264" t="e">
        <f aca="false">VLOOKUP(AB92,CE93:CN198,10,FALSE())</f>
        <v>#VALUE!</v>
      </c>
      <c r="AM92" s="322" t="e">
        <f aca="false">LongTerm1!D97</f>
        <v>#VALUE!</v>
      </c>
      <c r="AN92" s="323" t="e">
        <f aca="false">(LongTerm1!BM97+LongTerm1!BL97/(1-LongTerm1!AR97))*(LongTerm1!F97*LongTerm1!AF97*LongTerm1!AH97)/10000</f>
        <v>#VALUE!</v>
      </c>
      <c r="AO92" s="323" t="e">
        <f aca="false">LongTerm1!BM97*(LongTerm1!F97*LongTerm1!AF97*LongTerm1!AH97)/10000</f>
        <v>#VALUE!</v>
      </c>
      <c r="AP92" s="323" t="e">
        <f aca="false">(LongTerm1!BL97/(1-LongTerm1!AR97))*(LongTerm1!F97*LongTerm1!AF97*LongTerm1!AH97)/10000</f>
        <v>#VALUE!</v>
      </c>
      <c r="AQ92" s="324"/>
      <c r="AV92" s="319"/>
      <c r="AW92" s="319"/>
      <c r="AX92" s="319"/>
      <c r="AY92" s="319"/>
      <c r="AZ92" s="319"/>
      <c r="BA92" s="319"/>
      <c r="BB92" s="319"/>
      <c r="BC92" s="319"/>
      <c r="BD92" s="319"/>
      <c r="BE92" s="319"/>
      <c r="BF92" s="319"/>
      <c r="BG92" s="322" t="e">
        <f aca="false">LongTerm25!D97</f>
        <v>#VALUE!</v>
      </c>
      <c r="BH92" s="323" t="e">
        <f aca="false">(LongTerm25!BM97+LongTerm25!BL97/(1-LongTerm25!AR97))*(LongTerm25!F97*LongTerm25!AF97*LongTerm25!AH97)/10000</f>
        <v>#VALUE!</v>
      </c>
      <c r="BI92" s="323" t="e">
        <f aca="false">LongTerm25!BM97*(LongTerm25!F97*LongTerm25!AF97*LongTerm25!AH97)/10000</f>
        <v>#VALUE!</v>
      </c>
      <c r="BJ92" s="323" t="e">
        <f aca="false">(LongTerm25!BL97/(1-LongTerm25!AR97))*(LongTerm25!F97*LongTerm25!AF97*LongTerm25!AH97)/10000</f>
        <v>#VALUE!</v>
      </c>
      <c r="BK92" s="319"/>
      <c r="BL92" s="319"/>
      <c r="BM92" s="319"/>
      <c r="BN92" s="319"/>
      <c r="BP92" s="325" t="e">
        <f aca="false">LongTerm62!D97</f>
        <v>#VALUE!</v>
      </c>
      <c r="BQ92" s="323" t="e">
        <f aca="false">(LongTerm62!$BM97+LongTerm62!$BL97/(1-LongTerm62!$AR97))*(LongTerm62!$F97*LongTerm62!$AF97*LongTerm62!$AH97)/10000</f>
        <v>#VALUE!</v>
      </c>
      <c r="BR92" s="323" t="e">
        <f aca="false">LongTerm62!$BM97*(LongTerm62!$F97*LongTerm62!$AF97*LongTerm62!$AH97)/10000</f>
        <v>#VALUE!</v>
      </c>
      <c r="BS92" s="323" t="e">
        <f aca="false">(LongTerm62!$BL97/(1-LongTerm62!$AR97))*(LongTerm62!$F97*LongTerm62!$AF97*LongTerm62!$AH97)/10000</f>
        <v>#VALUE!</v>
      </c>
      <c r="BT92" s="265"/>
      <c r="BU92" s="325" t="e">
        <f aca="false">LongTerm107!D97</f>
        <v>#VALUE!</v>
      </c>
      <c r="BV92" s="323" t="e">
        <f aca="false">(LongTerm107!$BM97+LongTerm107!$BL97/(1-LongTerm107!$AR97))*(LongTerm107!$F97*LongTerm107!$AF97*LongTerm107!$AH97)/10000</f>
        <v>#VALUE!</v>
      </c>
      <c r="BW92" s="323" t="e">
        <f aca="false">LongTerm107!$BM97*(LongTerm107!$F97*LongTerm107!$AF97*LongTerm107!$AH97)/10000</f>
        <v>#VALUE!</v>
      </c>
      <c r="BX92" s="323" t="e">
        <f aca="false">(LongTerm107!$BL97/(1-LongTerm107!$AR97))*(LongTerm107!$F97*LongTerm107!$AF97*LongTerm107!$AH97)/10000</f>
        <v>#VALUE!</v>
      </c>
      <c r="BY92" s="326"/>
      <c r="BZ92" s="325" t="e">
        <f aca="false">LongTerm108!D97</f>
        <v>#VALUE!</v>
      </c>
      <c r="CA92" s="323" t="e">
        <f aca="false">(LongTerm108!$BM97+LongTerm108!$BL97/(1-LongTerm108!$AR97))*(LongTerm108!$F97*LongTerm108!$AF97*LongTerm108!$AH97)/10000</f>
        <v>#VALUE!</v>
      </c>
      <c r="CB92" s="323" t="e">
        <f aca="false">LongTerm108!$BM97*(LongTerm108!$F97*LongTerm108!$AF97*LongTerm108!$AH97)/10000</f>
        <v>#VALUE!</v>
      </c>
      <c r="CC92" s="323" t="e">
        <f aca="false">(LongTerm108!$BL97/(1-LongTerm108!$AR97))*(LongTerm108!$F97*LongTerm108!$AF97*LongTerm108!$AH97)/10000</f>
        <v>#VALUE!</v>
      </c>
      <c r="CD92" s="332"/>
      <c r="CE92" s="333" t="n">
        <f aca="false">EOMONTH(CE91,0)+15</f>
        <v>39309</v>
      </c>
      <c r="CF92" s="337" t="n">
        <v>21.9</v>
      </c>
      <c r="CG92" s="337" t="n">
        <v>113.7</v>
      </c>
      <c r="CH92" s="337" t="n">
        <v>-134.6</v>
      </c>
      <c r="CI92" s="337" t="n">
        <v>0</v>
      </c>
      <c r="CJ92" s="337" t="n">
        <v>0</v>
      </c>
      <c r="CK92" s="337" t="n">
        <v>1.9</v>
      </c>
      <c r="CL92" s="337" t="n">
        <v>0</v>
      </c>
      <c r="CM92" s="337" t="n">
        <v>0</v>
      </c>
      <c r="CN92" s="337" t="n">
        <v>0</v>
      </c>
    </row>
    <row r="93" customFormat="false" ht="12.75" hidden="false" customHeight="false" outlineLevel="0" collapsed="false">
      <c r="B93" s="320" t="e">
        <f aca="false">Q93</f>
        <v>#VALUE!</v>
      </c>
      <c r="C93" s="319" t="e">
        <f aca="false">YEAR(B93)</f>
        <v>#VALUE!</v>
      </c>
      <c r="D93" s="266" t="e">
        <f aca="false">R93+AC93</f>
        <v>#VALUE!</v>
      </c>
      <c r="E93" s="266" t="e">
        <f aca="false">S93+AD93</f>
        <v>#VALUE!</v>
      </c>
      <c r="F93" s="266" t="e">
        <f aca="false">+T93+AE93</f>
        <v>#VALUE!</v>
      </c>
      <c r="G93" s="266" t="e">
        <f aca="false">+U93+AF93</f>
        <v>#VALUE!</v>
      </c>
      <c r="H93" s="266" t="e">
        <f aca="false">V93+AG93</f>
        <v>#VALUE!</v>
      </c>
      <c r="I93" s="266" t="e">
        <f aca="false">W93+AH93</f>
        <v>#VALUE!</v>
      </c>
      <c r="J93" s="265"/>
      <c r="K93" s="265"/>
      <c r="L93" s="265"/>
      <c r="M93" s="266" t="e">
        <f aca="false">X93+AI93</f>
        <v>#VALUE!</v>
      </c>
      <c r="N93" s="264" t="e">
        <f aca="false">Y93+AJ93</f>
        <v>#VALUE!</v>
      </c>
      <c r="O93" s="264" t="e">
        <f aca="false">Z93+AK93</f>
        <v>#VALUE!</v>
      </c>
      <c r="Q93" s="320" t="e">
        <f aca="false">EOMONTH(Q92,0)+15</f>
        <v>#VALUE!</v>
      </c>
      <c r="R93" s="266" t="e">
        <f aca="false">SUMIF(AM:AM,$Q93,AN:AN)+SUMIF(AQ:AQ,$Q93,AR:AR)+SUMIF(AU:AU,$Q93,AV:AV)+SUMIF(BU:BU,$Q93,BV:BV)+SUMIF(BZ:BZ,$Q93,CA:CA)+SUMIF(BG:BG,$Q93,BH:BH)+SUMIF(BK:BK,$Q93,BL:BL)+SUMIF(BP:BP,$Q93,BQ:BQ)</f>
        <v>#VALUE!</v>
      </c>
      <c r="S93" s="264" t="e">
        <f aca="false">SUMIF(AM:AM,$Q93,AP:AP)+SUMIF(BU:BU,$Q93,BW:BW)+SUMIF(BZ:BZ,$Q93,CB:CB)</f>
        <v>#VALUE!</v>
      </c>
      <c r="T93" s="264" t="e">
        <f aca="false">SUMIF(AQ:AQ,$Q93,AT:AT)+SUMIF(BG:BG,$Q93,BJ:BJ)+SUMIF(BK:BK,$Q93,BN:BN)</f>
        <v>#VALUE!</v>
      </c>
      <c r="U93" s="264" t="e">
        <f aca="false">SUMIF(AM:AM,$Q93,AO:AO)+SUMIF(AQ:AQ,$Q93,AS:AS)+SUMIF(BG:BG,$Q93,BI:BI)+SUMIF(BK:BK,$Q93,BM:BM)</f>
        <v>#VALUE!</v>
      </c>
      <c r="V93" s="264" t="e">
        <f aca="false">SUMIF(AU:AU,$Q93,AW:AW)</f>
        <v>#VALUE!</v>
      </c>
      <c r="W93" s="264" t="e">
        <f aca="false">SUMIF(AU:AU,$Q93,AX:AX)</f>
        <v>#VALUE!</v>
      </c>
      <c r="X93" s="264" t="e">
        <f aca="false">SUMIF(BP:BP,$Q93,BR:BR)</f>
        <v>#VALUE!</v>
      </c>
      <c r="Y93" s="266" t="e">
        <f aca="false">SUMIF(BP:BP,$Q93,BS:BS)</f>
        <v>#VALUE!</v>
      </c>
      <c r="Z93" s="264" t="e">
        <f aca="false">SUMIF(BU:BU,$Q93,BX:BX)+SUMIF(BZ:BZ,$Q93,CC:CC)</f>
        <v>#VALUE!</v>
      </c>
      <c r="AB93" s="320" t="e">
        <f aca="false">Q93</f>
        <v>#VALUE!</v>
      </c>
      <c r="AC93" s="321" t="e">
        <f aca="false">VLOOKUP(AB93,CE94:CK199,7,FALSE())</f>
        <v>#VALUE!</v>
      </c>
      <c r="AD93" s="264" t="e">
        <f aca="false">VLOOKUP(AB93,CE94:CJ199,3,FALSE())</f>
        <v>#VALUE!</v>
      </c>
      <c r="AE93" s="264" t="e">
        <f aca="false">VLOOKUP(AB93,CE94:CJ199,2,FALSE())</f>
        <v>#VALUE!</v>
      </c>
      <c r="AF93" s="264" t="e">
        <f aca="false">VLOOKUP(AB93,CE94:CJ199,4,FALSE())</f>
        <v>#VALUE!</v>
      </c>
      <c r="AG93" s="264" t="e">
        <f aca="false">VLOOKUP(AB93,CE94:CJ199,5,FALSE())</f>
        <v>#VALUE!</v>
      </c>
      <c r="AH93" s="264" t="e">
        <f aca="false">VLOOKUP(AB93,CE94:CJ199,6,FALSE())</f>
        <v>#VALUE!</v>
      </c>
      <c r="AI93" s="264" t="e">
        <f aca="false">VLOOKUP(AB93,CE94:CM199,8,FALSE())</f>
        <v>#VALUE!</v>
      </c>
      <c r="AJ93" s="266" t="e">
        <f aca="false">VLOOKUP(AB93,CE94:CM199,9,FALSE())</f>
        <v>#VALUE!</v>
      </c>
      <c r="AK93" s="264" t="e">
        <f aca="false">VLOOKUP(AB93,CE94:CN199,10,FALSE())</f>
        <v>#VALUE!</v>
      </c>
      <c r="AM93" s="322" t="e">
        <f aca="false">LongTerm1!D98</f>
        <v>#VALUE!</v>
      </c>
      <c r="AN93" s="323" t="e">
        <f aca="false">(LongTerm1!BM98+LongTerm1!BL98/(1-LongTerm1!AR98))*(LongTerm1!F98*LongTerm1!AF98*LongTerm1!AH98)/10000</f>
        <v>#VALUE!</v>
      </c>
      <c r="AO93" s="323" t="e">
        <f aca="false">LongTerm1!BM98*(LongTerm1!F98*LongTerm1!AF98*LongTerm1!AH98)/10000</f>
        <v>#VALUE!</v>
      </c>
      <c r="AP93" s="323" t="e">
        <f aca="false">(LongTerm1!BL98/(1-LongTerm1!AR98))*(LongTerm1!F98*LongTerm1!AF98*LongTerm1!AH98)/10000</f>
        <v>#VALUE!</v>
      </c>
      <c r="AQ93" s="324"/>
      <c r="AV93" s="319"/>
      <c r="AW93" s="319"/>
      <c r="AX93" s="319"/>
      <c r="AY93" s="319"/>
      <c r="AZ93" s="319"/>
      <c r="BA93" s="319"/>
      <c r="BB93" s="319"/>
      <c r="BC93" s="319"/>
      <c r="BD93" s="319"/>
      <c r="BE93" s="319"/>
      <c r="BF93" s="319"/>
      <c r="BG93" s="322" t="e">
        <f aca="false">LongTerm25!D98</f>
        <v>#VALUE!</v>
      </c>
      <c r="BH93" s="323" t="e">
        <f aca="false">(LongTerm25!BM98+LongTerm25!BL98/(1-LongTerm25!AR98))*(LongTerm25!F98*LongTerm25!AF98*LongTerm25!AH98)/10000</f>
        <v>#VALUE!</v>
      </c>
      <c r="BI93" s="323" t="e">
        <f aca="false">LongTerm25!BM98*(LongTerm25!F98*LongTerm25!AF98*LongTerm25!AH98)/10000</f>
        <v>#VALUE!</v>
      </c>
      <c r="BJ93" s="323" t="e">
        <f aca="false">(LongTerm25!BL98/(1-LongTerm25!AR98))*(LongTerm25!F98*LongTerm25!AF98*LongTerm25!AH98)/10000</f>
        <v>#VALUE!</v>
      </c>
      <c r="BK93" s="319"/>
      <c r="BL93" s="319"/>
      <c r="BM93" s="319"/>
      <c r="BN93" s="319"/>
      <c r="BP93" s="325" t="e">
        <f aca="false">LongTerm62!D98</f>
        <v>#VALUE!</v>
      </c>
      <c r="BQ93" s="323" t="e">
        <f aca="false">(LongTerm62!$BM98+LongTerm62!$BL98/(1-LongTerm62!$AR98))*(LongTerm62!$F98*LongTerm62!$AF98*LongTerm62!$AH98)/10000</f>
        <v>#VALUE!</v>
      </c>
      <c r="BR93" s="323" t="e">
        <f aca="false">LongTerm62!$BM98*(LongTerm62!$F98*LongTerm62!$AF98*LongTerm62!$AH98)/10000</f>
        <v>#VALUE!</v>
      </c>
      <c r="BS93" s="323" t="e">
        <f aca="false">(LongTerm62!$BL98/(1-LongTerm62!$AR98))*(LongTerm62!$F98*LongTerm62!$AF98*LongTerm62!$AH98)/10000</f>
        <v>#VALUE!</v>
      </c>
      <c r="BT93" s="265"/>
      <c r="BU93" s="325" t="e">
        <f aca="false">LongTerm107!D98</f>
        <v>#VALUE!</v>
      </c>
      <c r="BV93" s="323" t="e">
        <f aca="false">(LongTerm107!$BM98+LongTerm107!$BL98/(1-LongTerm107!$AR98))*(LongTerm107!$F98*LongTerm107!$AF98*LongTerm107!$AH98)/10000</f>
        <v>#VALUE!</v>
      </c>
      <c r="BW93" s="323" t="e">
        <f aca="false">LongTerm107!$BM98*(LongTerm107!$F98*LongTerm107!$AF98*LongTerm107!$AH98)/10000</f>
        <v>#VALUE!</v>
      </c>
      <c r="BX93" s="323" t="e">
        <f aca="false">(LongTerm107!$BL98/(1-LongTerm107!$AR98))*(LongTerm107!$F98*LongTerm107!$AF98*LongTerm107!$AH98)/10000</f>
        <v>#VALUE!</v>
      </c>
      <c r="BY93" s="326"/>
      <c r="BZ93" s="325" t="e">
        <f aca="false">LongTerm108!D98</f>
        <v>#VALUE!</v>
      </c>
      <c r="CA93" s="323" t="e">
        <f aca="false">(LongTerm108!$BM98+LongTerm108!$BL98/(1-LongTerm108!$AR98))*(LongTerm108!$F98*LongTerm108!$AF98*LongTerm108!$AH98)/10000</f>
        <v>#VALUE!</v>
      </c>
      <c r="CB93" s="323" t="e">
        <f aca="false">LongTerm108!$BM98*(LongTerm108!$F98*LongTerm108!$AF98*LongTerm108!$AH98)/10000</f>
        <v>#VALUE!</v>
      </c>
      <c r="CC93" s="323" t="e">
        <f aca="false">(LongTerm108!$BL98/(1-LongTerm108!$AR98))*(LongTerm108!$F98*LongTerm108!$AF98*LongTerm108!$AH98)/10000</f>
        <v>#VALUE!</v>
      </c>
      <c r="CD93" s="332"/>
      <c r="CE93" s="333" t="n">
        <f aca="false">EOMONTH(CE92,0)+15</f>
        <v>39340</v>
      </c>
      <c r="CF93" s="337" t="n">
        <v>20.7</v>
      </c>
      <c r="CG93" s="337" t="n">
        <v>109.3</v>
      </c>
      <c r="CH93" s="337" t="n">
        <v>-129</v>
      </c>
      <c r="CI93" s="337" t="n">
        <v>0</v>
      </c>
      <c r="CJ93" s="337" t="n">
        <v>0</v>
      </c>
      <c r="CK93" s="337" t="n">
        <v>1.9</v>
      </c>
      <c r="CL93" s="337" t="n">
        <v>0</v>
      </c>
      <c r="CM93" s="337" t="n">
        <v>0</v>
      </c>
      <c r="CN93" s="337" t="n">
        <v>0</v>
      </c>
    </row>
    <row r="94" customFormat="false" ht="12.75" hidden="false" customHeight="false" outlineLevel="0" collapsed="false">
      <c r="B94" s="320" t="e">
        <f aca="false">Q94</f>
        <v>#VALUE!</v>
      </c>
      <c r="C94" s="319" t="e">
        <f aca="false">YEAR(B94)</f>
        <v>#VALUE!</v>
      </c>
      <c r="D94" s="266" t="e">
        <f aca="false">R94+AC94</f>
        <v>#VALUE!</v>
      </c>
      <c r="E94" s="266" t="e">
        <f aca="false">S94+AD94</f>
        <v>#VALUE!</v>
      </c>
      <c r="F94" s="266" t="e">
        <f aca="false">+T94+AE94</f>
        <v>#VALUE!</v>
      </c>
      <c r="G94" s="266" t="e">
        <f aca="false">+U94+AF94</f>
        <v>#VALUE!</v>
      </c>
      <c r="H94" s="266" t="e">
        <f aca="false">V94+AG94</f>
        <v>#VALUE!</v>
      </c>
      <c r="I94" s="266" t="e">
        <f aca="false">W94+AH94</f>
        <v>#VALUE!</v>
      </c>
      <c r="J94" s="265"/>
      <c r="K94" s="265"/>
      <c r="L94" s="265"/>
      <c r="M94" s="266" t="e">
        <f aca="false">X94+AI94</f>
        <v>#VALUE!</v>
      </c>
      <c r="N94" s="264" t="e">
        <f aca="false">Y94+AJ94</f>
        <v>#VALUE!</v>
      </c>
      <c r="O94" s="264" t="e">
        <f aca="false">Z94+AK94</f>
        <v>#VALUE!</v>
      </c>
      <c r="Q94" s="320" t="e">
        <f aca="false">EOMONTH(Q93,0)+15</f>
        <v>#VALUE!</v>
      </c>
      <c r="R94" s="266" t="e">
        <f aca="false">SUMIF(AM:AM,$Q94,AN:AN)+SUMIF(AQ:AQ,$Q94,AR:AR)+SUMIF(AU:AU,$Q94,AV:AV)+SUMIF(BU:BU,$Q94,BV:BV)+SUMIF(BZ:BZ,$Q94,CA:CA)+SUMIF(BG:BG,$Q94,BH:BH)+SUMIF(BK:BK,$Q94,BL:BL)+SUMIF(BP:BP,$Q94,BQ:BQ)</f>
        <v>#VALUE!</v>
      </c>
      <c r="S94" s="264" t="e">
        <f aca="false">SUMIF(AM:AM,$Q94,AP:AP)+SUMIF(BU:BU,$Q94,BW:BW)+SUMIF(BZ:BZ,$Q94,CB:CB)</f>
        <v>#VALUE!</v>
      </c>
      <c r="T94" s="264" t="e">
        <f aca="false">SUMIF(AQ:AQ,$Q94,AT:AT)+SUMIF(BG:BG,$Q94,BJ:BJ)+SUMIF(BK:BK,$Q94,BN:BN)</f>
        <v>#VALUE!</v>
      </c>
      <c r="U94" s="264" t="e">
        <f aca="false">SUMIF(AM:AM,$Q94,AO:AO)+SUMIF(AQ:AQ,$Q94,AS:AS)+SUMIF(BG:BG,$Q94,BI:BI)+SUMIF(BK:BK,$Q94,BM:BM)</f>
        <v>#VALUE!</v>
      </c>
      <c r="V94" s="264" t="e">
        <f aca="false">SUMIF(AU:AU,$Q94,AW:AW)</f>
        <v>#VALUE!</v>
      </c>
      <c r="W94" s="264" t="e">
        <f aca="false">SUMIF(AU:AU,$Q94,AX:AX)</f>
        <v>#VALUE!</v>
      </c>
      <c r="X94" s="264" t="e">
        <f aca="false">SUMIF(BP:BP,$Q94,BR:BR)</f>
        <v>#VALUE!</v>
      </c>
      <c r="Y94" s="266" t="e">
        <f aca="false">SUMIF(BP:BP,$Q94,BS:BS)</f>
        <v>#VALUE!</v>
      </c>
      <c r="Z94" s="264" t="e">
        <f aca="false">SUMIF(BU:BU,$Q94,BX:BX)+SUMIF(BZ:BZ,$Q94,CC:CC)</f>
        <v>#VALUE!</v>
      </c>
      <c r="AB94" s="320" t="e">
        <f aca="false">Q94</f>
        <v>#VALUE!</v>
      </c>
      <c r="AC94" s="321" t="e">
        <f aca="false">VLOOKUP(AB94,CE95:CK200,7,FALSE())</f>
        <v>#VALUE!</v>
      </c>
      <c r="AD94" s="264" t="e">
        <f aca="false">VLOOKUP(AB94,CE95:CJ200,3,FALSE())</f>
        <v>#VALUE!</v>
      </c>
      <c r="AE94" s="264" t="e">
        <f aca="false">VLOOKUP(AB94,CE95:CJ200,2,FALSE())</f>
        <v>#VALUE!</v>
      </c>
      <c r="AF94" s="264" t="e">
        <f aca="false">VLOOKUP(AB94,CE95:CJ200,4,FALSE())</f>
        <v>#VALUE!</v>
      </c>
      <c r="AG94" s="264" t="e">
        <f aca="false">VLOOKUP(AB94,CE95:CJ200,5,FALSE())</f>
        <v>#VALUE!</v>
      </c>
      <c r="AH94" s="264" t="e">
        <f aca="false">VLOOKUP(AB94,CE95:CJ200,6,FALSE())</f>
        <v>#VALUE!</v>
      </c>
      <c r="AI94" s="264" t="e">
        <f aca="false">VLOOKUP(AB94,CE95:CM200,8,FALSE())</f>
        <v>#VALUE!</v>
      </c>
      <c r="AJ94" s="266" t="e">
        <f aca="false">VLOOKUP(AB94,CE95:CM200,9,FALSE())</f>
        <v>#VALUE!</v>
      </c>
      <c r="AK94" s="264" t="e">
        <f aca="false">VLOOKUP(AB94,CE95:CN200,10,FALSE())</f>
        <v>#VALUE!</v>
      </c>
      <c r="AM94" s="322" t="e">
        <f aca="false">LongTerm1!D99</f>
        <v>#VALUE!</v>
      </c>
      <c r="AN94" s="323" t="e">
        <f aca="false">(LongTerm1!BM99+LongTerm1!BL99/(1-LongTerm1!AR99))*(LongTerm1!F99*LongTerm1!AF99*LongTerm1!AH99)/10000</f>
        <v>#VALUE!</v>
      </c>
      <c r="AO94" s="323" t="e">
        <f aca="false">LongTerm1!BM99*(LongTerm1!F99*LongTerm1!AF99*LongTerm1!AH99)/10000</f>
        <v>#VALUE!</v>
      </c>
      <c r="AP94" s="323" t="e">
        <f aca="false">(LongTerm1!BL99/(1-LongTerm1!AR99))*(LongTerm1!F99*LongTerm1!AF99*LongTerm1!AH99)/10000</f>
        <v>#VALUE!</v>
      </c>
      <c r="AQ94" s="324"/>
      <c r="AV94" s="319"/>
      <c r="AW94" s="319"/>
      <c r="AX94" s="319"/>
      <c r="AY94" s="319"/>
      <c r="AZ94" s="319"/>
      <c r="BA94" s="319"/>
      <c r="BB94" s="319"/>
      <c r="BC94" s="319"/>
      <c r="BD94" s="319"/>
      <c r="BE94" s="319"/>
      <c r="BF94" s="319"/>
      <c r="BG94" s="322" t="e">
        <f aca="false">LongTerm25!D99</f>
        <v>#VALUE!</v>
      </c>
      <c r="BH94" s="323" t="e">
        <f aca="false">(LongTerm25!BM99+LongTerm25!BL99/(1-LongTerm25!AR99))*(LongTerm25!F99*LongTerm25!AF99*LongTerm25!AH99)/10000</f>
        <v>#VALUE!</v>
      </c>
      <c r="BI94" s="323" t="e">
        <f aca="false">LongTerm25!BM99*(LongTerm25!F99*LongTerm25!AF99*LongTerm25!AH99)/10000</f>
        <v>#VALUE!</v>
      </c>
      <c r="BJ94" s="323" t="e">
        <f aca="false">(LongTerm25!BL99/(1-LongTerm25!AR99))*(LongTerm25!F99*LongTerm25!AF99*LongTerm25!AH99)/10000</f>
        <v>#VALUE!</v>
      </c>
      <c r="BK94" s="319"/>
      <c r="BL94" s="319"/>
      <c r="BM94" s="319"/>
      <c r="BN94" s="319"/>
      <c r="BP94" s="325" t="e">
        <f aca="false">LongTerm62!D99</f>
        <v>#VALUE!</v>
      </c>
      <c r="BQ94" s="323" t="e">
        <f aca="false">(LongTerm62!$BM99+LongTerm62!$BL99/(1-LongTerm62!$AR99))*(LongTerm62!$F99*LongTerm62!$AF99*LongTerm62!$AH99)/10000</f>
        <v>#VALUE!</v>
      </c>
      <c r="BR94" s="323" t="e">
        <f aca="false">LongTerm62!$BM99*(LongTerm62!$F99*LongTerm62!$AF99*LongTerm62!$AH99)/10000</f>
        <v>#VALUE!</v>
      </c>
      <c r="BS94" s="323" t="e">
        <f aca="false">(LongTerm62!$BL99/(1-LongTerm62!$AR99))*(LongTerm62!$F99*LongTerm62!$AF99*LongTerm62!$AH99)/10000</f>
        <v>#VALUE!</v>
      </c>
      <c r="BT94" s="265"/>
      <c r="BU94" s="325" t="e">
        <f aca="false">LongTerm107!D99</f>
        <v>#VALUE!</v>
      </c>
      <c r="BV94" s="323" t="e">
        <f aca="false">(LongTerm107!$BM99+LongTerm107!$BL99/(1-LongTerm107!$AR99))*(LongTerm107!$F99*LongTerm107!$AF99*LongTerm107!$AH99)/10000</f>
        <v>#VALUE!</v>
      </c>
      <c r="BW94" s="323" t="e">
        <f aca="false">LongTerm107!$BM99*(LongTerm107!$F99*LongTerm107!$AF99*LongTerm107!$AH99)/10000</f>
        <v>#VALUE!</v>
      </c>
      <c r="BX94" s="323" t="e">
        <f aca="false">(LongTerm107!$BL99/(1-LongTerm107!$AR99))*(LongTerm107!$F99*LongTerm107!$AF99*LongTerm107!$AH99)/10000</f>
        <v>#VALUE!</v>
      </c>
      <c r="BY94" s="326"/>
      <c r="BZ94" s="325" t="e">
        <f aca="false">LongTerm108!D99</f>
        <v>#VALUE!</v>
      </c>
      <c r="CA94" s="323" t="e">
        <f aca="false">(LongTerm108!$BM99+LongTerm108!$BL99/(1-LongTerm108!$AR99))*(LongTerm108!$F99*LongTerm108!$AF99*LongTerm108!$AH99)/10000</f>
        <v>#VALUE!</v>
      </c>
      <c r="CB94" s="323" t="e">
        <f aca="false">LongTerm108!$BM99*(LongTerm108!$F99*LongTerm108!$AF99*LongTerm108!$AH99)/10000</f>
        <v>#VALUE!</v>
      </c>
      <c r="CC94" s="323" t="e">
        <f aca="false">(LongTerm108!$BL99/(1-LongTerm108!$AR99))*(LongTerm108!$F99*LongTerm108!$AF99*LongTerm108!$AH99)/10000</f>
        <v>#VALUE!</v>
      </c>
      <c r="CD94" s="332"/>
      <c r="CE94" s="333" t="n">
        <f aca="false">EOMONTH(CE93,0)+15</f>
        <v>39370</v>
      </c>
      <c r="CF94" s="337" t="n">
        <v>21.4</v>
      </c>
      <c r="CG94" s="337" t="n">
        <v>109.6</v>
      </c>
      <c r="CH94" s="337" t="n">
        <v>-130</v>
      </c>
      <c r="CI94" s="337" t="n">
        <v>0</v>
      </c>
      <c r="CJ94" s="337" t="n">
        <v>0</v>
      </c>
      <c r="CK94" s="337" t="n">
        <v>1.9</v>
      </c>
      <c r="CL94" s="337" t="n">
        <v>0</v>
      </c>
      <c r="CM94" s="337" t="n">
        <v>0</v>
      </c>
      <c r="CN94" s="337" t="n">
        <v>0</v>
      </c>
    </row>
    <row r="95" customFormat="false" ht="12.75" hidden="false" customHeight="false" outlineLevel="0" collapsed="false">
      <c r="B95" s="320" t="e">
        <f aca="false">Q95</f>
        <v>#VALUE!</v>
      </c>
      <c r="C95" s="319" t="e">
        <f aca="false">YEAR(B95)</f>
        <v>#VALUE!</v>
      </c>
      <c r="D95" s="266" t="e">
        <f aca="false">R95+AC95</f>
        <v>#VALUE!</v>
      </c>
      <c r="E95" s="266" t="e">
        <f aca="false">S95+AD95</f>
        <v>#VALUE!</v>
      </c>
      <c r="F95" s="266" t="e">
        <f aca="false">+T95+AE95</f>
        <v>#VALUE!</v>
      </c>
      <c r="G95" s="266" t="e">
        <f aca="false">+U95+AF95</f>
        <v>#VALUE!</v>
      </c>
      <c r="H95" s="266" t="e">
        <f aca="false">V95+AG95</f>
        <v>#VALUE!</v>
      </c>
      <c r="I95" s="266" t="e">
        <f aca="false">W95+AH95</f>
        <v>#VALUE!</v>
      </c>
      <c r="J95" s="265"/>
      <c r="K95" s="265"/>
      <c r="L95" s="265"/>
      <c r="M95" s="266" t="e">
        <f aca="false">X95+AI95</f>
        <v>#VALUE!</v>
      </c>
      <c r="N95" s="264" t="e">
        <f aca="false">Y95+AJ95</f>
        <v>#VALUE!</v>
      </c>
      <c r="O95" s="264" t="e">
        <f aca="false">Z95+AK95</f>
        <v>#VALUE!</v>
      </c>
      <c r="Q95" s="320" t="e">
        <f aca="false">EOMONTH(Q94,0)+15</f>
        <v>#VALUE!</v>
      </c>
      <c r="R95" s="266" t="e">
        <f aca="false">SUMIF(AM:AM,$Q95,AN:AN)+SUMIF(AQ:AQ,$Q95,AR:AR)+SUMIF(AU:AU,$Q95,AV:AV)+SUMIF(BU:BU,$Q95,BV:BV)+SUMIF(BZ:BZ,$Q95,CA:CA)+SUMIF(BG:BG,$Q95,BH:BH)+SUMIF(BK:BK,$Q95,BL:BL)+SUMIF(BP:BP,$Q95,BQ:BQ)</f>
        <v>#VALUE!</v>
      </c>
      <c r="S95" s="264" t="e">
        <f aca="false">SUMIF(AM:AM,$Q95,AP:AP)+SUMIF(BU:BU,$Q95,BW:BW)+SUMIF(BZ:BZ,$Q95,CB:CB)</f>
        <v>#VALUE!</v>
      </c>
      <c r="T95" s="264" t="e">
        <f aca="false">SUMIF(AQ:AQ,$Q95,AT:AT)+SUMIF(BG:BG,$Q95,BJ:BJ)+SUMIF(BK:BK,$Q95,BN:BN)</f>
        <v>#VALUE!</v>
      </c>
      <c r="U95" s="264" t="e">
        <f aca="false">SUMIF(AM:AM,$Q95,AO:AO)+SUMIF(AQ:AQ,$Q95,AS:AS)+SUMIF(BG:BG,$Q95,BI:BI)+SUMIF(BK:BK,$Q95,BM:BM)</f>
        <v>#VALUE!</v>
      </c>
      <c r="V95" s="264" t="e">
        <f aca="false">SUMIF(AU:AU,$Q95,AW:AW)</f>
        <v>#VALUE!</v>
      </c>
      <c r="W95" s="264" t="e">
        <f aca="false">SUMIF(AU:AU,$Q95,AX:AX)</f>
        <v>#VALUE!</v>
      </c>
      <c r="X95" s="264" t="e">
        <f aca="false">SUMIF(BP:BP,$Q95,BR:BR)</f>
        <v>#VALUE!</v>
      </c>
      <c r="Y95" s="266" t="e">
        <f aca="false">SUMIF(BP:BP,$Q95,BS:BS)</f>
        <v>#VALUE!</v>
      </c>
      <c r="Z95" s="264" t="e">
        <f aca="false">SUMIF(BU:BU,$Q95,BX:BX)+SUMIF(BZ:BZ,$Q95,CC:CC)</f>
        <v>#VALUE!</v>
      </c>
      <c r="AB95" s="320" t="e">
        <f aca="false">Q95</f>
        <v>#VALUE!</v>
      </c>
      <c r="AC95" s="321" t="e">
        <f aca="false">VLOOKUP(AB95,CE96:CK201,7,FALSE())</f>
        <v>#VALUE!</v>
      </c>
      <c r="AD95" s="264" t="e">
        <f aca="false">VLOOKUP(AB95,CE96:CJ201,3,FALSE())</f>
        <v>#VALUE!</v>
      </c>
      <c r="AE95" s="264" t="e">
        <f aca="false">VLOOKUP(AB95,CE96:CJ201,2,FALSE())</f>
        <v>#VALUE!</v>
      </c>
      <c r="AF95" s="264" t="e">
        <f aca="false">VLOOKUP(AB95,CE96:CJ201,4,FALSE())</f>
        <v>#VALUE!</v>
      </c>
      <c r="AG95" s="264" t="e">
        <f aca="false">VLOOKUP(AB95,CE96:CJ201,5,FALSE())</f>
        <v>#VALUE!</v>
      </c>
      <c r="AH95" s="264" t="e">
        <f aca="false">VLOOKUP(AB95,CE96:CJ201,6,FALSE())</f>
        <v>#VALUE!</v>
      </c>
      <c r="AI95" s="264" t="e">
        <f aca="false">VLOOKUP(AB95,CE96:CM201,8,FALSE())</f>
        <v>#VALUE!</v>
      </c>
      <c r="AJ95" s="266" t="e">
        <f aca="false">VLOOKUP(AB95,CE96:CM201,9,FALSE())</f>
        <v>#VALUE!</v>
      </c>
      <c r="AK95" s="264" t="e">
        <f aca="false">VLOOKUP(AB95,CE96:CN201,10,FALSE())</f>
        <v>#VALUE!</v>
      </c>
      <c r="AM95" s="322" t="e">
        <f aca="false">LongTerm1!D100</f>
        <v>#VALUE!</v>
      </c>
      <c r="AN95" s="323" t="e">
        <f aca="false">(LongTerm1!BM100+LongTerm1!BL100/(1-LongTerm1!AR100))*(LongTerm1!F100*LongTerm1!AF100*LongTerm1!AH100)/10000</f>
        <v>#VALUE!</v>
      </c>
      <c r="AO95" s="323" t="e">
        <f aca="false">LongTerm1!BM100*(LongTerm1!F100*LongTerm1!AF100*LongTerm1!AH100)/10000</f>
        <v>#VALUE!</v>
      </c>
      <c r="AP95" s="323" t="e">
        <f aca="false">(LongTerm1!BL100/(1-LongTerm1!AR100))*(LongTerm1!F100*LongTerm1!AF100*LongTerm1!AH100)/10000</f>
        <v>#VALUE!</v>
      </c>
      <c r="AQ95" s="324"/>
      <c r="AV95" s="319"/>
      <c r="AW95" s="319"/>
      <c r="AX95" s="319"/>
      <c r="AY95" s="319"/>
      <c r="AZ95" s="319"/>
      <c r="BA95" s="319"/>
      <c r="BB95" s="319"/>
      <c r="BC95" s="319"/>
      <c r="BD95" s="319"/>
      <c r="BE95" s="319"/>
      <c r="BF95" s="319"/>
      <c r="BG95" s="322" t="e">
        <f aca="false">LongTerm25!D100</f>
        <v>#VALUE!</v>
      </c>
      <c r="BH95" s="323" t="e">
        <f aca="false">(LongTerm25!BM100+LongTerm25!BL100/(1-LongTerm25!AR100))*(LongTerm25!F100*LongTerm25!AF100*LongTerm25!AH100)/10000</f>
        <v>#VALUE!</v>
      </c>
      <c r="BI95" s="323" t="e">
        <f aca="false">LongTerm25!BM100*(LongTerm25!F100*LongTerm25!AF100*LongTerm25!AH100)/10000</f>
        <v>#VALUE!</v>
      </c>
      <c r="BJ95" s="323" t="e">
        <f aca="false">(LongTerm25!BL100/(1-LongTerm25!AR100))*(LongTerm25!F100*LongTerm25!AF100*LongTerm25!AH100)/10000</f>
        <v>#VALUE!</v>
      </c>
      <c r="BK95" s="319"/>
      <c r="BL95" s="319"/>
      <c r="BM95" s="319"/>
      <c r="BN95" s="319"/>
      <c r="BP95" s="324"/>
      <c r="BQ95" s="319"/>
      <c r="BR95" s="319"/>
      <c r="BS95" s="319"/>
      <c r="BT95" s="319"/>
      <c r="BU95" s="324"/>
      <c r="BV95" s="319"/>
      <c r="BW95" s="319"/>
      <c r="BX95" s="319"/>
      <c r="BY95" s="338"/>
      <c r="BZ95" s="324"/>
      <c r="CA95" s="319"/>
      <c r="CB95" s="319"/>
      <c r="CC95" s="319"/>
      <c r="CD95" s="332"/>
      <c r="CE95" s="333" t="n">
        <f aca="false">EOMONTH(CE94,0)+15</f>
        <v>39401</v>
      </c>
      <c r="CF95" s="337" t="n">
        <v>20.3</v>
      </c>
      <c r="CG95" s="337" t="n">
        <v>87.8</v>
      </c>
      <c r="CH95" s="337" t="n">
        <v>-109.5</v>
      </c>
      <c r="CI95" s="337" t="n">
        <v>0</v>
      </c>
      <c r="CJ95" s="337" t="n">
        <v>0</v>
      </c>
      <c r="CK95" s="337" t="n">
        <v>1.9</v>
      </c>
      <c r="CL95" s="337" t="n">
        <v>-15</v>
      </c>
      <c r="CM95" s="337" t="n">
        <v>15</v>
      </c>
      <c r="CN95" s="337" t="n">
        <v>0</v>
      </c>
    </row>
    <row r="96" customFormat="false" ht="12.75" hidden="false" customHeight="false" outlineLevel="0" collapsed="false">
      <c r="B96" s="320" t="e">
        <f aca="false">Q96</f>
        <v>#VALUE!</v>
      </c>
      <c r="C96" s="319" t="e">
        <f aca="false">YEAR(B96)</f>
        <v>#VALUE!</v>
      </c>
      <c r="D96" s="266" t="e">
        <f aca="false">R96+AC96</f>
        <v>#VALUE!</v>
      </c>
      <c r="E96" s="266" t="e">
        <f aca="false">S96+AD96</f>
        <v>#VALUE!</v>
      </c>
      <c r="F96" s="266" t="e">
        <f aca="false">+T96+AE96</f>
        <v>#VALUE!</v>
      </c>
      <c r="G96" s="266" t="e">
        <f aca="false">+U96+AF96</f>
        <v>#VALUE!</v>
      </c>
      <c r="H96" s="266" t="e">
        <f aca="false">V96+AG96</f>
        <v>#VALUE!</v>
      </c>
      <c r="I96" s="266" t="e">
        <f aca="false">W96+AH96</f>
        <v>#VALUE!</v>
      </c>
      <c r="J96" s="265"/>
      <c r="K96" s="265"/>
      <c r="L96" s="265"/>
      <c r="M96" s="266" t="e">
        <f aca="false">X96+AI96</f>
        <v>#VALUE!</v>
      </c>
      <c r="N96" s="264" t="e">
        <f aca="false">Y96+AJ96</f>
        <v>#VALUE!</v>
      </c>
      <c r="O96" s="264" t="e">
        <f aca="false">Z96+AK96</f>
        <v>#VALUE!</v>
      </c>
      <c r="Q96" s="320" t="e">
        <f aca="false">EOMONTH(Q95,0)+15</f>
        <v>#VALUE!</v>
      </c>
      <c r="R96" s="266" t="e">
        <f aca="false">SUMIF(AM:AM,$Q96,AN:AN)+SUMIF(AQ:AQ,$Q96,AR:AR)+SUMIF(AU:AU,$Q96,AV:AV)+SUMIF(BU:BU,$Q96,BV:BV)+SUMIF(BZ:BZ,$Q96,CA:CA)+SUMIF(BG:BG,$Q96,BH:BH)+SUMIF(BK:BK,$Q96,BL:BL)+SUMIF(BP:BP,$Q96,BQ:BQ)</f>
        <v>#VALUE!</v>
      </c>
      <c r="S96" s="264" t="e">
        <f aca="false">SUMIF(AM:AM,$Q96,AP:AP)+SUMIF(BU:BU,$Q96,BW:BW)+SUMIF(BZ:BZ,$Q96,CB:CB)</f>
        <v>#VALUE!</v>
      </c>
      <c r="T96" s="264" t="e">
        <f aca="false">SUMIF(AQ:AQ,$Q96,AT:AT)+SUMIF(BG:BG,$Q96,BJ:BJ)+SUMIF(BK:BK,$Q96,BN:BN)</f>
        <v>#VALUE!</v>
      </c>
      <c r="U96" s="264" t="e">
        <f aca="false">SUMIF(AM:AM,$Q96,AO:AO)+SUMIF(AQ:AQ,$Q96,AS:AS)+SUMIF(BG:BG,$Q96,BI:BI)+SUMIF(BK:BK,$Q96,BM:BM)</f>
        <v>#VALUE!</v>
      </c>
      <c r="V96" s="264" t="e">
        <f aca="false">SUMIF(AU:AU,$Q96,AW:AW)</f>
        <v>#VALUE!</v>
      </c>
      <c r="W96" s="264" t="e">
        <f aca="false">SUMIF(AU:AU,$Q96,AX:AX)</f>
        <v>#VALUE!</v>
      </c>
      <c r="X96" s="264" t="e">
        <f aca="false">SUMIF(BP:BP,$Q96,BR:BR)</f>
        <v>#VALUE!</v>
      </c>
      <c r="Y96" s="266" t="e">
        <f aca="false">SUMIF(BP:BP,$Q96,BS:BS)</f>
        <v>#VALUE!</v>
      </c>
      <c r="Z96" s="264" t="e">
        <f aca="false">SUMIF(BU:BU,$Q96,BX:BX)+SUMIF(BZ:BZ,$Q96,CC:CC)</f>
        <v>#VALUE!</v>
      </c>
      <c r="AB96" s="320" t="e">
        <f aca="false">Q96</f>
        <v>#VALUE!</v>
      </c>
      <c r="AC96" s="321" t="e">
        <f aca="false">VLOOKUP(AB96,CE97:CK202,7,FALSE())</f>
        <v>#VALUE!</v>
      </c>
      <c r="AD96" s="264" t="e">
        <f aca="false">VLOOKUP(AB96,CE97:CJ202,3,FALSE())</f>
        <v>#VALUE!</v>
      </c>
      <c r="AE96" s="264" t="e">
        <f aca="false">VLOOKUP(AB96,CE97:CJ202,2,FALSE())</f>
        <v>#VALUE!</v>
      </c>
      <c r="AF96" s="264" t="e">
        <f aca="false">VLOOKUP(AB96,CE97:CJ202,4,FALSE())</f>
        <v>#VALUE!</v>
      </c>
      <c r="AG96" s="264" t="e">
        <f aca="false">VLOOKUP(AB96,CE97:CJ202,5,FALSE())</f>
        <v>#VALUE!</v>
      </c>
      <c r="AH96" s="264" t="e">
        <f aca="false">VLOOKUP(AB96,CE97:CJ202,6,FALSE())</f>
        <v>#VALUE!</v>
      </c>
      <c r="AI96" s="264" t="e">
        <f aca="false">VLOOKUP(AB96,CE97:CM202,8,FALSE())</f>
        <v>#VALUE!</v>
      </c>
      <c r="AJ96" s="266" t="e">
        <f aca="false">VLOOKUP(AB96,CE97:CM202,9,FALSE())</f>
        <v>#VALUE!</v>
      </c>
      <c r="AK96" s="264" t="e">
        <f aca="false">VLOOKUP(AB96,CE97:CN202,10,FALSE())</f>
        <v>#VALUE!</v>
      </c>
      <c r="AM96" s="322" t="e">
        <f aca="false">LongTerm1!D101</f>
        <v>#VALUE!</v>
      </c>
      <c r="AN96" s="323" t="e">
        <f aca="false">(LongTerm1!BM101+LongTerm1!BL101/(1-LongTerm1!AR101))*(LongTerm1!F101*LongTerm1!AF101*LongTerm1!AH101)/10000</f>
        <v>#VALUE!</v>
      </c>
      <c r="AO96" s="323" t="e">
        <f aca="false">LongTerm1!BM101*(LongTerm1!F101*LongTerm1!AF101*LongTerm1!AH101)/10000</f>
        <v>#VALUE!</v>
      </c>
      <c r="AP96" s="323" t="e">
        <f aca="false">(LongTerm1!BL101/(1-LongTerm1!AR101))*(LongTerm1!F101*LongTerm1!AF101*LongTerm1!AH101)/10000</f>
        <v>#VALUE!</v>
      </c>
      <c r="AQ96" s="324"/>
      <c r="AV96" s="319"/>
      <c r="AW96" s="319"/>
      <c r="AX96" s="319"/>
      <c r="AY96" s="319"/>
      <c r="AZ96" s="319"/>
      <c r="BA96" s="319"/>
      <c r="BB96" s="319"/>
      <c r="BC96" s="319"/>
      <c r="BD96" s="319"/>
      <c r="BE96" s="319"/>
      <c r="BF96" s="319"/>
      <c r="BG96" s="322" t="e">
        <f aca="false">LongTerm25!D101</f>
        <v>#VALUE!</v>
      </c>
      <c r="BH96" s="323" t="e">
        <f aca="false">(LongTerm25!BM101+LongTerm25!BL101/(1-LongTerm25!AR101))*(LongTerm25!F101*LongTerm25!AF101*LongTerm25!AH101)/10000</f>
        <v>#VALUE!</v>
      </c>
      <c r="BI96" s="323" t="e">
        <f aca="false">LongTerm25!BM101*(LongTerm25!F101*LongTerm25!AF101*LongTerm25!AH101)/10000</f>
        <v>#VALUE!</v>
      </c>
      <c r="BJ96" s="323" t="e">
        <f aca="false">(LongTerm25!BL101/(1-LongTerm25!AR101))*(LongTerm25!F101*LongTerm25!AF101*LongTerm25!AH101)/10000</f>
        <v>#VALUE!</v>
      </c>
      <c r="BK96" s="319"/>
      <c r="BL96" s="319"/>
      <c r="BM96" s="319"/>
      <c r="BN96" s="319"/>
      <c r="BP96" s="324"/>
      <c r="BQ96" s="319"/>
      <c r="BR96" s="319"/>
      <c r="BS96" s="319"/>
      <c r="BT96" s="319"/>
      <c r="BU96" s="324"/>
      <c r="BV96" s="319"/>
      <c r="BW96" s="319"/>
      <c r="BX96" s="319"/>
      <c r="BY96" s="338"/>
      <c r="BZ96" s="324"/>
      <c r="CA96" s="319"/>
      <c r="CB96" s="319"/>
      <c r="CC96" s="319"/>
      <c r="CD96" s="332"/>
      <c r="CE96" s="333" t="n">
        <f aca="false">EOMONTH(CE95,0)+15</f>
        <v>39431</v>
      </c>
      <c r="CF96" s="337" t="n">
        <v>20.5</v>
      </c>
      <c r="CG96" s="337" t="n">
        <v>81.4</v>
      </c>
      <c r="CH96" s="337" t="n">
        <v>-103.6</v>
      </c>
      <c r="CI96" s="337" t="n">
        <v>0</v>
      </c>
      <c r="CJ96" s="337" t="n">
        <v>0</v>
      </c>
      <c r="CK96" s="337" t="n">
        <v>1.8</v>
      </c>
      <c r="CL96" s="337" t="n">
        <v>-10.7</v>
      </c>
      <c r="CM96" s="337" t="n">
        <v>10.7</v>
      </c>
      <c r="CN96" s="337" t="n">
        <v>0</v>
      </c>
    </row>
    <row r="97" customFormat="false" ht="12.75" hidden="false" customHeight="false" outlineLevel="0" collapsed="false">
      <c r="B97" s="320" t="e">
        <f aca="false">Q97</f>
        <v>#VALUE!</v>
      </c>
      <c r="C97" s="319" t="e">
        <f aca="false">YEAR(B97)</f>
        <v>#VALUE!</v>
      </c>
      <c r="D97" s="266" t="e">
        <f aca="false">R97+AC97</f>
        <v>#VALUE!</v>
      </c>
      <c r="E97" s="266" t="e">
        <f aca="false">S97+AD97</f>
        <v>#VALUE!</v>
      </c>
      <c r="F97" s="266" t="e">
        <f aca="false">+T97+AE97</f>
        <v>#VALUE!</v>
      </c>
      <c r="G97" s="266" t="e">
        <f aca="false">+U97+AF97</f>
        <v>#VALUE!</v>
      </c>
      <c r="H97" s="266" t="e">
        <f aca="false">V97+AG97</f>
        <v>#VALUE!</v>
      </c>
      <c r="I97" s="266" t="e">
        <f aca="false">W97+AH97</f>
        <v>#VALUE!</v>
      </c>
      <c r="J97" s="265"/>
      <c r="K97" s="265"/>
      <c r="L97" s="265"/>
      <c r="M97" s="266" t="e">
        <f aca="false">X97+AI97</f>
        <v>#VALUE!</v>
      </c>
      <c r="N97" s="264" t="e">
        <f aca="false">Y97+AJ97</f>
        <v>#VALUE!</v>
      </c>
      <c r="O97" s="264" t="e">
        <f aca="false">Z97+AK97</f>
        <v>#VALUE!</v>
      </c>
      <c r="Q97" s="320" t="e">
        <f aca="false">EOMONTH(Q96,0)+15</f>
        <v>#VALUE!</v>
      </c>
      <c r="R97" s="266" t="e">
        <f aca="false">SUMIF(AM:AM,$Q97,AN:AN)+SUMIF(AQ:AQ,$Q97,AR:AR)+SUMIF(AU:AU,$Q97,AV:AV)+SUMIF(BU:BU,$Q97,BV:BV)+SUMIF(BZ:BZ,$Q97,CA:CA)+SUMIF(BG:BG,$Q97,BH:BH)+SUMIF(BK:BK,$Q97,BL:BL)+SUMIF(BP:BP,$Q97,BQ:BQ)</f>
        <v>#VALUE!</v>
      </c>
      <c r="S97" s="264" t="e">
        <f aca="false">SUMIF(AM:AM,$Q97,AP:AP)+SUMIF(BU:BU,$Q97,BW:BW)+SUMIF(BZ:BZ,$Q97,CB:CB)</f>
        <v>#VALUE!</v>
      </c>
      <c r="T97" s="264" t="e">
        <f aca="false">SUMIF(AQ:AQ,$Q97,AT:AT)+SUMIF(BG:BG,$Q97,BJ:BJ)+SUMIF(BK:BK,$Q97,BN:BN)</f>
        <v>#VALUE!</v>
      </c>
      <c r="U97" s="264" t="e">
        <f aca="false">SUMIF(AM:AM,$Q97,AO:AO)+SUMIF(AQ:AQ,$Q97,AS:AS)+SUMIF(BG:BG,$Q97,BI:BI)+SUMIF(BK:BK,$Q97,BM:BM)</f>
        <v>#VALUE!</v>
      </c>
      <c r="V97" s="264" t="e">
        <f aca="false">SUMIF(AU:AU,$Q97,AW:AW)</f>
        <v>#VALUE!</v>
      </c>
      <c r="W97" s="264" t="e">
        <f aca="false">SUMIF(AU:AU,$Q97,AX:AX)</f>
        <v>#VALUE!</v>
      </c>
      <c r="X97" s="264" t="e">
        <f aca="false">SUMIF(BP:BP,$Q97,BR:BR)</f>
        <v>#VALUE!</v>
      </c>
      <c r="Y97" s="266" t="e">
        <f aca="false">SUMIF(BP:BP,$Q97,BS:BS)</f>
        <v>#VALUE!</v>
      </c>
      <c r="Z97" s="264" t="e">
        <f aca="false">SUMIF(BU:BU,$Q97,BX:BX)+SUMIF(BZ:BZ,$Q97,CC:CC)</f>
        <v>#VALUE!</v>
      </c>
      <c r="AB97" s="320" t="e">
        <f aca="false">Q97</f>
        <v>#VALUE!</v>
      </c>
      <c r="AC97" s="321" t="e">
        <f aca="false">VLOOKUP(AB97,CE98:CK203,7,FALSE())</f>
        <v>#VALUE!</v>
      </c>
      <c r="AD97" s="264" t="e">
        <f aca="false">VLOOKUP(AB97,CE98:CJ203,3,FALSE())</f>
        <v>#VALUE!</v>
      </c>
      <c r="AE97" s="264" t="e">
        <f aca="false">VLOOKUP(AB97,CE98:CJ203,2,FALSE())</f>
        <v>#VALUE!</v>
      </c>
      <c r="AF97" s="264" t="e">
        <f aca="false">VLOOKUP(AB97,CE98:CJ203,4,FALSE())</f>
        <v>#VALUE!</v>
      </c>
      <c r="AG97" s="264" t="e">
        <f aca="false">VLOOKUP(AB97,CE98:CJ203,5,FALSE())</f>
        <v>#VALUE!</v>
      </c>
      <c r="AH97" s="264" t="e">
        <f aca="false">VLOOKUP(AB97,CE98:CJ203,6,FALSE())</f>
        <v>#VALUE!</v>
      </c>
      <c r="AI97" s="264" t="e">
        <f aca="false">VLOOKUP(AB97,CE98:CM203,8,FALSE())</f>
        <v>#VALUE!</v>
      </c>
      <c r="AJ97" s="266" t="e">
        <f aca="false">VLOOKUP(AB97,CE98:CM203,9,FALSE())</f>
        <v>#VALUE!</v>
      </c>
      <c r="AK97" s="264" t="e">
        <f aca="false">VLOOKUP(AB97,CE98:CN203,10,FALSE())</f>
        <v>#VALUE!</v>
      </c>
      <c r="AM97" s="322" t="e">
        <f aca="false">LongTerm1!D102</f>
        <v>#VALUE!</v>
      </c>
      <c r="AN97" s="323" t="e">
        <f aca="false">(LongTerm1!BM102+LongTerm1!BL102/(1-LongTerm1!AR102))*(LongTerm1!F102*LongTerm1!AF102*LongTerm1!AH102)/10000</f>
        <v>#VALUE!</v>
      </c>
      <c r="AO97" s="323" t="e">
        <f aca="false">LongTerm1!BM102*(LongTerm1!F102*LongTerm1!AF102*LongTerm1!AH102)/10000</f>
        <v>#VALUE!</v>
      </c>
      <c r="AP97" s="323" t="e">
        <f aca="false">(LongTerm1!BL102/(1-LongTerm1!AR102))*(LongTerm1!F102*LongTerm1!AF102*LongTerm1!AH102)/10000</f>
        <v>#VALUE!</v>
      </c>
      <c r="AQ97" s="324"/>
      <c r="AV97" s="319"/>
      <c r="AW97" s="319"/>
      <c r="AX97" s="319"/>
      <c r="AY97" s="319"/>
      <c r="AZ97" s="319"/>
      <c r="BA97" s="319"/>
      <c r="BB97" s="319"/>
      <c r="BC97" s="319"/>
      <c r="BD97" s="319"/>
      <c r="BE97" s="319"/>
      <c r="BF97" s="319"/>
      <c r="BG97" s="322" t="e">
        <f aca="false">LongTerm25!D102</f>
        <v>#VALUE!</v>
      </c>
      <c r="BH97" s="323" t="e">
        <f aca="false">(LongTerm25!BM102+LongTerm25!BL102/(1-LongTerm25!AR102))*(LongTerm25!F102*LongTerm25!AF102*LongTerm25!AH102)/10000</f>
        <v>#VALUE!</v>
      </c>
      <c r="BI97" s="323" t="e">
        <f aca="false">LongTerm25!BM102*(LongTerm25!F102*LongTerm25!AF102*LongTerm25!AH102)/10000</f>
        <v>#VALUE!</v>
      </c>
      <c r="BJ97" s="323" t="e">
        <f aca="false">(LongTerm25!BL102/(1-LongTerm25!AR102))*(LongTerm25!F102*LongTerm25!AF102*LongTerm25!AH102)/10000</f>
        <v>#VALUE!</v>
      </c>
      <c r="BK97" s="319"/>
      <c r="BL97" s="319"/>
      <c r="BM97" s="319"/>
      <c r="BN97" s="319"/>
      <c r="BP97" s="324"/>
      <c r="BQ97" s="319"/>
      <c r="BR97" s="319"/>
      <c r="BS97" s="319"/>
      <c r="BT97" s="319"/>
      <c r="BU97" s="324"/>
      <c r="BV97" s="319"/>
      <c r="BW97" s="319"/>
      <c r="BX97" s="319"/>
      <c r="BY97" s="338"/>
      <c r="BZ97" s="324"/>
      <c r="CA97" s="319"/>
      <c r="CB97" s="319"/>
      <c r="CC97" s="319"/>
      <c r="CD97" s="332"/>
      <c r="CE97" s="333" t="n">
        <f aca="false">EOMONTH(CE96,0)+15</f>
        <v>39462</v>
      </c>
      <c r="CF97" s="337" t="n">
        <v>20.8</v>
      </c>
      <c r="CG97" s="337" t="n">
        <v>75.7</v>
      </c>
      <c r="CH97" s="337" t="n">
        <v>-98.3</v>
      </c>
      <c r="CI97" s="337" t="n">
        <v>0</v>
      </c>
      <c r="CJ97" s="337" t="n">
        <v>0</v>
      </c>
      <c r="CK97" s="337" t="n">
        <v>2.1</v>
      </c>
      <c r="CL97" s="337" t="n">
        <v>-10.7</v>
      </c>
      <c r="CM97" s="337" t="n">
        <v>10.7</v>
      </c>
      <c r="CN97" s="337" t="n">
        <v>0</v>
      </c>
    </row>
    <row r="98" customFormat="false" ht="12.75" hidden="false" customHeight="false" outlineLevel="0" collapsed="false">
      <c r="B98" s="320" t="e">
        <f aca="false">Q98</f>
        <v>#VALUE!</v>
      </c>
      <c r="C98" s="319" t="e">
        <f aca="false">YEAR(B98)</f>
        <v>#VALUE!</v>
      </c>
      <c r="D98" s="266" t="e">
        <f aca="false">R98+AC98</f>
        <v>#VALUE!</v>
      </c>
      <c r="E98" s="266" t="e">
        <f aca="false">S98+AD98</f>
        <v>#VALUE!</v>
      </c>
      <c r="F98" s="266" t="e">
        <f aca="false">+T98+AE98</f>
        <v>#VALUE!</v>
      </c>
      <c r="G98" s="266" t="e">
        <f aca="false">+U98+AF98</f>
        <v>#VALUE!</v>
      </c>
      <c r="H98" s="266" t="e">
        <f aca="false">V98+AG98</f>
        <v>#VALUE!</v>
      </c>
      <c r="I98" s="266" t="e">
        <f aca="false">W98+AH98</f>
        <v>#VALUE!</v>
      </c>
      <c r="J98" s="265"/>
      <c r="K98" s="265"/>
      <c r="L98" s="265"/>
      <c r="M98" s="266" t="e">
        <f aca="false">X98+AI98</f>
        <v>#VALUE!</v>
      </c>
      <c r="N98" s="264" t="e">
        <f aca="false">Y98+AJ98</f>
        <v>#VALUE!</v>
      </c>
      <c r="O98" s="264" t="e">
        <f aca="false">Z98+AK98</f>
        <v>#VALUE!</v>
      </c>
      <c r="Q98" s="320" t="e">
        <f aca="false">EOMONTH(Q97,0)+15</f>
        <v>#VALUE!</v>
      </c>
      <c r="R98" s="266" t="e">
        <f aca="false">SUMIF(AM:AM,$Q98,AN:AN)+SUMIF(AQ:AQ,$Q98,AR:AR)+SUMIF(AU:AU,$Q98,AV:AV)+SUMIF(BU:BU,$Q98,BV:BV)+SUMIF(BZ:BZ,$Q98,CA:CA)+SUMIF(BG:BG,$Q98,BH:BH)+SUMIF(BK:BK,$Q98,BL:BL)+SUMIF(BP:BP,$Q98,BQ:BQ)</f>
        <v>#VALUE!</v>
      </c>
      <c r="S98" s="264" t="e">
        <f aca="false">SUMIF(AM:AM,$Q98,AP:AP)+SUMIF(BU:BU,$Q98,BW:BW)+SUMIF(BZ:BZ,$Q98,CB:CB)</f>
        <v>#VALUE!</v>
      </c>
      <c r="T98" s="264" t="e">
        <f aca="false">SUMIF(AQ:AQ,$Q98,AT:AT)+SUMIF(BG:BG,$Q98,BJ:BJ)+SUMIF(BK:BK,$Q98,BN:BN)</f>
        <v>#VALUE!</v>
      </c>
      <c r="U98" s="264" t="e">
        <f aca="false">SUMIF(AM:AM,$Q98,AO:AO)+SUMIF(AQ:AQ,$Q98,AS:AS)+SUMIF(BG:BG,$Q98,BI:BI)+SUMIF(BK:BK,$Q98,BM:BM)</f>
        <v>#VALUE!</v>
      </c>
      <c r="V98" s="264" t="e">
        <f aca="false">SUMIF(AU:AU,$Q98,AW:AW)</f>
        <v>#VALUE!</v>
      </c>
      <c r="W98" s="264" t="e">
        <f aca="false">SUMIF(AU:AU,$Q98,AX:AX)</f>
        <v>#VALUE!</v>
      </c>
      <c r="X98" s="264" t="e">
        <f aca="false">SUMIF(BP:BP,$Q98,BR:BR)</f>
        <v>#VALUE!</v>
      </c>
      <c r="Y98" s="266" t="e">
        <f aca="false">SUMIF(BP:BP,$Q98,BS:BS)</f>
        <v>#VALUE!</v>
      </c>
      <c r="Z98" s="264" t="e">
        <f aca="false">SUMIF(BU:BU,$Q98,BX:BX)+SUMIF(BZ:BZ,$Q98,CC:CC)</f>
        <v>#VALUE!</v>
      </c>
      <c r="AB98" s="320" t="e">
        <f aca="false">Q98</f>
        <v>#VALUE!</v>
      </c>
      <c r="AC98" s="321" t="e">
        <f aca="false">VLOOKUP(AB98,CE99:CK204,7,FALSE())</f>
        <v>#VALUE!</v>
      </c>
      <c r="AD98" s="264" t="e">
        <f aca="false">VLOOKUP(AB98,CE99:CJ204,3,FALSE())</f>
        <v>#VALUE!</v>
      </c>
      <c r="AE98" s="264" t="e">
        <f aca="false">VLOOKUP(AB98,CE99:CJ204,2,FALSE())</f>
        <v>#VALUE!</v>
      </c>
      <c r="AF98" s="264" t="e">
        <f aca="false">VLOOKUP(AB98,CE99:CJ204,4,FALSE())</f>
        <v>#VALUE!</v>
      </c>
      <c r="AG98" s="264" t="e">
        <f aca="false">VLOOKUP(AB98,CE99:CJ204,5,FALSE())</f>
        <v>#VALUE!</v>
      </c>
      <c r="AH98" s="264" t="e">
        <f aca="false">VLOOKUP(AB98,CE99:CJ204,6,FALSE())</f>
        <v>#VALUE!</v>
      </c>
      <c r="AI98" s="264" t="e">
        <f aca="false">VLOOKUP(AB98,CE99:CM204,8,FALSE())</f>
        <v>#VALUE!</v>
      </c>
      <c r="AJ98" s="266" t="e">
        <f aca="false">VLOOKUP(AB98,CE99:CM204,9,FALSE())</f>
        <v>#VALUE!</v>
      </c>
      <c r="AK98" s="264" t="e">
        <f aca="false">VLOOKUP(AB98,CE99:CN204,10,FALSE())</f>
        <v>#VALUE!</v>
      </c>
      <c r="AM98" s="322" t="e">
        <f aca="false">LongTerm1!D103</f>
        <v>#VALUE!</v>
      </c>
      <c r="AN98" s="323" t="e">
        <f aca="false">(LongTerm1!BM103+LongTerm1!BL103/(1-LongTerm1!AR103))*(LongTerm1!F103*LongTerm1!AF103*LongTerm1!AH103)/10000</f>
        <v>#VALUE!</v>
      </c>
      <c r="AO98" s="323" t="e">
        <f aca="false">LongTerm1!BM103*(LongTerm1!F103*LongTerm1!AF103*LongTerm1!AH103)/10000</f>
        <v>#VALUE!</v>
      </c>
      <c r="AP98" s="323" t="e">
        <f aca="false">(LongTerm1!BL103/(1-LongTerm1!AR103))*(LongTerm1!F103*LongTerm1!AF103*LongTerm1!AH103)/10000</f>
        <v>#VALUE!</v>
      </c>
      <c r="AQ98" s="324"/>
      <c r="AV98" s="319"/>
      <c r="AW98" s="319"/>
      <c r="AX98" s="319"/>
      <c r="AY98" s="319"/>
      <c r="AZ98" s="319"/>
      <c r="BA98" s="319"/>
      <c r="BB98" s="319"/>
      <c r="BC98" s="319"/>
      <c r="BD98" s="319"/>
      <c r="BE98" s="319"/>
      <c r="BF98" s="319"/>
      <c r="BG98" s="322" t="e">
        <f aca="false">LongTerm25!D103</f>
        <v>#VALUE!</v>
      </c>
      <c r="BH98" s="323" t="e">
        <f aca="false">(LongTerm25!BM103+LongTerm25!BL103/(1-LongTerm25!AR103))*(LongTerm25!F103*LongTerm25!AF103*LongTerm25!AH103)/10000</f>
        <v>#VALUE!</v>
      </c>
      <c r="BI98" s="323" t="e">
        <f aca="false">LongTerm25!BM103*(LongTerm25!F103*LongTerm25!AF103*LongTerm25!AH103)/10000</f>
        <v>#VALUE!</v>
      </c>
      <c r="BJ98" s="323" t="e">
        <f aca="false">(LongTerm25!BL103/(1-LongTerm25!AR103))*(LongTerm25!F103*LongTerm25!AF103*LongTerm25!AH103)/10000</f>
        <v>#VALUE!</v>
      </c>
      <c r="BK98" s="319"/>
      <c r="BL98" s="319"/>
      <c r="BM98" s="319"/>
      <c r="BN98" s="319"/>
      <c r="BP98" s="324"/>
      <c r="BQ98" s="319"/>
      <c r="BR98" s="319"/>
      <c r="BS98" s="319"/>
      <c r="BT98" s="319"/>
      <c r="BU98" s="324"/>
      <c r="BV98" s="319"/>
      <c r="BW98" s="319"/>
      <c r="BX98" s="319"/>
      <c r="BY98" s="338"/>
      <c r="BZ98" s="324"/>
      <c r="CA98" s="319"/>
      <c r="CB98" s="319"/>
      <c r="CC98" s="319"/>
      <c r="CD98" s="332"/>
      <c r="CE98" s="333" t="n">
        <f aca="false">EOMONTH(CE97,0)+15</f>
        <v>39493</v>
      </c>
      <c r="CF98" s="337" t="n">
        <v>19.6</v>
      </c>
      <c r="CG98" s="337" t="n">
        <v>70.8</v>
      </c>
      <c r="CH98" s="337" t="n">
        <v>-91.8</v>
      </c>
      <c r="CI98" s="337" t="n">
        <v>0</v>
      </c>
      <c r="CJ98" s="337" t="n">
        <v>0</v>
      </c>
      <c r="CK98" s="337" t="n">
        <v>2.2</v>
      </c>
      <c r="CL98" s="337" t="n">
        <v>-10</v>
      </c>
      <c r="CM98" s="337" t="n">
        <v>10</v>
      </c>
      <c r="CN98" s="337" t="n">
        <v>0</v>
      </c>
    </row>
    <row r="99" customFormat="false" ht="12.75" hidden="false" customHeight="false" outlineLevel="0" collapsed="false">
      <c r="B99" s="320" t="e">
        <f aca="false">Q99</f>
        <v>#VALUE!</v>
      </c>
      <c r="C99" s="319" t="e">
        <f aca="false">YEAR(B99)</f>
        <v>#VALUE!</v>
      </c>
      <c r="D99" s="266" t="e">
        <f aca="false">R99+AC99</f>
        <v>#VALUE!</v>
      </c>
      <c r="E99" s="266" t="e">
        <f aca="false">S99+AD99</f>
        <v>#VALUE!</v>
      </c>
      <c r="F99" s="266" t="e">
        <f aca="false">+T99+AE99</f>
        <v>#VALUE!</v>
      </c>
      <c r="G99" s="266" t="e">
        <f aca="false">+U99+AF99</f>
        <v>#VALUE!</v>
      </c>
      <c r="H99" s="266" t="e">
        <f aca="false">V99+AG99</f>
        <v>#VALUE!</v>
      </c>
      <c r="I99" s="266" t="e">
        <f aca="false">W99+AH99</f>
        <v>#VALUE!</v>
      </c>
      <c r="J99" s="265"/>
      <c r="K99" s="265"/>
      <c r="L99" s="265"/>
      <c r="M99" s="266" t="e">
        <f aca="false">X99+AI99</f>
        <v>#VALUE!</v>
      </c>
      <c r="N99" s="264" t="e">
        <f aca="false">Y99+AJ99</f>
        <v>#VALUE!</v>
      </c>
      <c r="O99" s="264" t="e">
        <f aca="false">Z99+AK99</f>
        <v>#VALUE!</v>
      </c>
      <c r="Q99" s="320" t="e">
        <f aca="false">EOMONTH(Q98,0)+15</f>
        <v>#VALUE!</v>
      </c>
      <c r="R99" s="266" t="e">
        <f aca="false">SUMIF(AM:AM,$Q99,AN:AN)+SUMIF(AQ:AQ,$Q99,AR:AR)+SUMIF(AU:AU,$Q99,AV:AV)+SUMIF(BU:BU,$Q99,BV:BV)+SUMIF(BZ:BZ,$Q99,CA:CA)+SUMIF(BG:BG,$Q99,BH:BH)+SUMIF(BK:BK,$Q99,BL:BL)+SUMIF(BP:BP,$Q99,BQ:BQ)</f>
        <v>#VALUE!</v>
      </c>
      <c r="S99" s="264" t="e">
        <f aca="false">SUMIF(AM:AM,$Q99,AP:AP)+SUMIF(BU:BU,$Q99,BW:BW)+SUMIF(BZ:BZ,$Q99,CB:CB)</f>
        <v>#VALUE!</v>
      </c>
      <c r="T99" s="264" t="e">
        <f aca="false">SUMIF(AQ:AQ,$Q99,AT:AT)+SUMIF(BG:BG,$Q99,BJ:BJ)+SUMIF(BK:BK,$Q99,BN:BN)</f>
        <v>#VALUE!</v>
      </c>
      <c r="U99" s="264" t="e">
        <f aca="false">SUMIF(AM:AM,$Q99,AO:AO)+SUMIF(AQ:AQ,$Q99,AS:AS)+SUMIF(BG:BG,$Q99,BI:BI)+SUMIF(BK:BK,$Q99,BM:BM)</f>
        <v>#VALUE!</v>
      </c>
      <c r="V99" s="264" t="e">
        <f aca="false">SUMIF(AU:AU,$Q99,AW:AW)</f>
        <v>#VALUE!</v>
      </c>
      <c r="W99" s="264" t="e">
        <f aca="false">SUMIF(AU:AU,$Q99,AX:AX)</f>
        <v>#VALUE!</v>
      </c>
      <c r="X99" s="264" t="e">
        <f aca="false">SUMIF(BP:BP,$Q99,BR:BR)</f>
        <v>#VALUE!</v>
      </c>
      <c r="Y99" s="266" t="e">
        <f aca="false">SUMIF(BP:BP,$Q99,BS:BS)</f>
        <v>#VALUE!</v>
      </c>
      <c r="Z99" s="264" t="e">
        <f aca="false">SUMIF(BU:BU,$Q99,BX:BX)+SUMIF(BZ:BZ,$Q99,CC:CC)</f>
        <v>#VALUE!</v>
      </c>
      <c r="AB99" s="320" t="e">
        <f aca="false">Q99</f>
        <v>#VALUE!</v>
      </c>
      <c r="AC99" s="321" t="e">
        <f aca="false">VLOOKUP(AB99,CE100:CK205,7,FALSE())</f>
        <v>#VALUE!</v>
      </c>
      <c r="AD99" s="264" t="e">
        <f aca="false">VLOOKUP(AB99,CE100:CJ205,3,FALSE())</f>
        <v>#VALUE!</v>
      </c>
      <c r="AE99" s="264" t="e">
        <f aca="false">VLOOKUP(AB99,CE100:CJ205,2,FALSE())</f>
        <v>#VALUE!</v>
      </c>
      <c r="AF99" s="264" t="e">
        <f aca="false">VLOOKUP(AB99,CE100:CJ205,4,FALSE())</f>
        <v>#VALUE!</v>
      </c>
      <c r="AG99" s="264" t="e">
        <f aca="false">VLOOKUP(AB99,CE100:CJ205,5,FALSE())</f>
        <v>#VALUE!</v>
      </c>
      <c r="AH99" s="264" t="e">
        <f aca="false">VLOOKUP(AB99,CE100:CJ205,6,FALSE())</f>
        <v>#VALUE!</v>
      </c>
      <c r="AI99" s="264" t="e">
        <f aca="false">VLOOKUP(AB99,CE100:CM205,8,FALSE())</f>
        <v>#VALUE!</v>
      </c>
      <c r="AJ99" s="266" t="e">
        <f aca="false">VLOOKUP(AB99,CE100:CM205,9,FALSE())</f>
        <v>#VALUE!</v>
      </c>
      <c r="AK99" s="264" t="e">
        <f aca="false">VLOOKUP(AB99,CE100:CN205,10,FALSE())</f>
        <v>#VALUE!</v>
      </c>
      <c r="AM99" s="322" t="e">
        <f aca="false">LongTerm1!D104</f>
        <v>#VALUE!</v>
      </c>
      <c r="AN99" s="323" t="e">
        <f aca="false">(LongTerm1!BM104+LongTerm1!BL104/(1-LongTerm1!AR104))*(LongTerm1!F104*LongTerm1!AF104*LongTerm1!AH104)/10000</f>
        <v>#VALUE!</v>
      </c>
      <c r="AO99" s="323" t="e">
        <f aca="false">LongTerm1!BM104*(LongTerm1!F104*LongTerm1!AF104*LongTerm1!AH104)/10000</f>
        <v>#VALUE!</v>
      </c>
      <c r="AP99" s="323" t="e">
        <f aca="false">(LongTerm1!BL104/(1-LongTerm1!AR104))*(LongTerm1!F104*LongTerm1!AF104*LongTerm1!AH104)/10000</f>
        <v>#VALUE!</v>
      </c>
      <c r="AQ99" s="324"/>
      <c r="AV99" s="319"/>
      <c r="AW99" s="319"/>
      <c r="AX99" s="319"/>
      <c r="AY99" s="319"/>
      <c r="AZ99" s="319"/>
      <c r="BA99" s="319"/>
      <c r="BB99" s="319"/>
      <c r="BC99" s="319"/>
      <c r="BD99" s="319"/>
      <c r="BE99" s="319"/>
      <c r="BF99" s="319"/>
      <c r="BG99" s="322" t="e">
        <f aca="false">LongTerm25!D104</f>
        <v>#VALUE!</v>
      </c>
      <c r="BH99" s="323" t="e">
        <f aca="false">(LongTerm25!BM104+LongTerm25!BL104/(1-LongTerm25!AR104))*(LongTerm25!F104*LongTerm25!AF104*LongTerm25!AH104)/10000</f>
        <v>#VALUE!</v>
      </c>
      <c r="BI99" s="323" t="e">
        <f aca="false">LongTerm25!BM104*(LongTerm25!F104*LongTerm25!AF104*LongTerm25!AH104)/10000</f>
        <v>#VALUE!</v>
      </c>
      <c r="BJ99" s="323" t="e">
        <f aca="false">(LongTerm25!BL104/(1-LongTerm25!AR104))*(LongTerm25!F104*LongTerm25!AF104*LongTerm25!AH104)/10000</f>
        <v>#VALUE!</v>
      </c>
      <c r="BK99" s="319"/>
      <c r="BL99" s="319"/>
      <c r="BM99" s="319"/>
      <c r="BN99" s="319"/>
      <c r="BP99" s="324"/>
      <c r="BQ99" s="319"/>
      <c r="BR99" s="319"/>
      <c r="BS99" s="319"/>
      <c r="BT99" s="319"/>
      <c r="BU99" s="324"/>
      <c r="BV99" s="319"/>
      <c r="BW99" s="319"/>
      <c r="BX99" s="319"/>
      <c r="BY99" s="338"/>
      <c r="BZ99" s="324"/>
      <c r="CA99" s="319"/>
      <c r="CB99" s="319"/>
      <c r="CC99" s="319"/>
      <c r="CD99" s="332"/>
      <c r="CE99" s="333" t="n">
        <f aca="false">EOMONTH(CE98,0)+15</f>
        <v>39522</v>
      </c>
      <c r="CF99" s="337" t="n">
        <v>20.3</v>
      </c>
      <c r="CG99" s="337" t="n">
        <v>83.1</v>
      </c>
      <c r="CH99" s="337" t="n">
        <v>-104.7</v>
      </c>
      <c r="CI99" s="337" t="n">
        <v>0</v>
      </c>
      <c r="CJ99" s="337" t="n">
        <v>0</v>
      </c>
      <c r="CK99" s="337" t="n">
        <v>2.1</v>
      </c>
      <c r="CL99" s="337" t="n">
        <v>-10.6</v>
      </c>
      <c r="CM99" s="337" t="n">
        <v>10.6</v>
      </c>
      <c r="CN99" s="337" t="n">
        <v>0</v>
      </c>
    </row>
    <row r="100" customFormat="false" ht="12.75" hidden="false" customHeight="false" outlineLevel="0" collapsed="false">
      <c r="B100" s="320" t="e">
        <f aca="false">Q100</f>
        <v>#VALUE!</v>
      </c>
      <c r="C100" s="319" t="e">
        <f aca="false">YEAR(B100)</f>
        <v>#VALUE!</v>
      </c>
      <c r="D100" s="266" t="e">
        <f aca="false">R100+AC100</f>
        <v>#VALUE!</v>
      </c>
      <c r="E100" s="266" t="e">
        <f aca="false">S100+AD100</f>
        <v>#VALUE!</v>
      </c>
      <c r="F100" s="266" t="e">
        <f aca="false">+T100+AE100</f>
        <v>#VALUE!</v>
      </c>
      <c r="G100" s="266" t="e">
        <f aca="false">+U100+AF100</f>
        <v>#VALUE!</v>
      </c>
      <c r="H100" s="266" t="e">
        <f aca="false">V100+AG100</f>
        <v>#VALUE!</v>
      </c>
      <c r="I100" s="266" t="e">
        <f aca="false">W100+AH100</f>
        <v>#VALUE!</v>
      </c>
      <c r="J100" s="265"/>
      <c r="K100" s="265"/>
      <c r="L100" s="265"/>
      <c r="M100" s="266" t="e">
        <f aca="false">X100+AI100</f>
        <v>#VALUE!</v>
      </c>
      <c r="N100" s="264" t="e">
        <f aca="false">Y100+AJ100</f>
        <v>#VALUE!</v>
      </c>
      <c r="O100" s="264" t="e">
        <f aca="false">Z100+AK100</f>
        <v>#VALUE!</v>
      </c>
      <c r="Q100" s="320" t="e">
        <f aca="false">EOMONTH(Q99,0)+15</f>
        <v>#VALUE!</v>
      </c>
      <c r="R100" s="266" t="e">
        <f aca="false">SUMIF(AM:AM,$Q100,AN:AN)+SUMIF(AQ:AQ,$Q100,AR:AR)+SUMIF(AU:AU,$Q100,AV:AV)+SUMIF(BU:BU,$Q100,BV:BV)+SUMIF(BZ:BZ,$Q100,CA:CA)+SUMIF(BG:BG,$Q100,BH:BH)+SUMIF(BK:BK,$Q100,BL:BL)+SUMIF(BP:BP,$Q100,BQ:BQ)</f>
        <v>#VALUE!</v>
      </c>
      <c r="S100" s="264" t="e">
        <f aca="false">SUMIF(AM:AM,$Q100,AP:AP)+SUMIF(BU:BU,$Q100,BW:BW)+SUMIF(BZ:BZ,$Q100,CB:CB)</f>
        <v>#VALUE!</v>
      </c>
      <c r="T100" s="264" t="e">
        <f aca="false">SUMIF(AQ:AQ,$Q100,AT:AT)+SUMIF(BG:BG,$Q100,BJ:BJ)+SUMIF(BK:BK,$Q100,BN:BN)</f>
        <v>#VALUE!</v>
      </c>
      <c r="U100" s="264" t="e">
        <f aca="false">SUMIF(AM:AM,$Q100,AO:AO)+SUMIF(AQ:AQ,$Q100,AS:AS)+SUMIF(BG:BG,$Q100,BI:BI)+SUMIF(BK:BK,$Q100,BM:BM)</f>
        <v>#VALUE!</v>
      </c>
      <c r="V100" s="264" t="e">
        <f aca="false">SUMIF(AU:AU,$Q100,AW:AW)</f>
        <v>#VALUE!</v>
      </c>
      <c r="W100" s="264" t="e">
        <f aca="false">SUMIF(AU:AU,$Q100,AX:AX)</f>
        <v>#VALUE!</v>
      </c>
      <c r="X100" s="264" t="e">
        <f aca="false">SUMIF(BP:BP,$Q100,BR:BR)</f>
        <v>#VALUE!</v>
      </c>
      <c r="Y100" s="266" t="e">
        <f aca="false">SUMIF(BP:BP,$Q100,BS:BS)</f>
        <v>#VALUE!</v>
      </c>
      <c r="Z100" s="264" t="e">
        <f aca="false">SUMIF(BU:BU,$Q100,BX:BX)+SUMIF(BZ:BZ,$Q100,CC:CC)</f>
        <v>#VALUE!</v>
      </c>
      <c r="AB100" s="320" t="e">
        <f aca="false">Q100</f>
        <v>#VALUE!</v>
      </c>
      <c r="AC100" s="321" t="e">
        <f aca="false">VLOOKUP(AB100,CE101:CK206,7,FALSE())</f>
        <v>#VALUE!</v>
      </c>
      <c r="AD100" s="264" t="e">
        <f aca="false">VLOOKUP(AB100,CE101:CJ206,3,FALSE())</f>
        <v>#VALUE!</v>
      </c>
      <c r="AE100" s="264" t="e">
        <f aca="false">VLOOKUP(AB100,CE101:CJ206,2,FALSE())</f>
        <v>#VALUE!</v>
      </c>
      <c r="AF100" s="264" t="e">
        <f aca="false">VLOOKUP(AB100,CE101:CJ206,4,FALSE())</f>
        <v>#VALUE!</v>
      </c>
      <c r="AG100" s="264" t="e">
        <f aca="false">VLOOKUP(AB100,CE101:CJ206,5,FALSE())</f>
        <v>#VALUE!</v>
      </c>
      <c r="AH100" s="264" t="e">
        <f aca="false">VLOOKUP(AB100,CE101:CJ206,6,FALSE())</f>
        <v>#VALUE!</v>
      </c>
      <c r="AI100" s="264" t="e">
        <f aca="false">VLOOKUP(AB100,CE101:CM206,8,FALSE())</f>
        <v>#VALUE!</v>
      </c>
      <c r="AJ100" s="266" t="e">
        <f aca="false">VLOOKUP(AB100,CE101:CM206,9,FALSE())</f>
        <v>#VALUE!</v>
      </c>
      <c r="AK100" s="264" t="e">
        <f aca="false">VLOOKUP(AB100,CE101:CN206,10,FALSE())</f>
        <v>#VALUE!</v>
      </c>
      <c r="AM100" s="322" t="e">
        <f aca="false">LongTerm1!D105</f>
        <v>#VALUE!</v>
      </c>
      <c r="AN100" s="323" t="e">
        <f aca="false">(LongTerm1!BM105+LongTerm1!BL105/(1-LongTerm1!AR105))*(LongTerm1!F105*LongTerm1!AF105*LongTerm1!AH105)/10000</f>
        <v>#VALUE!</v>
      </c>
      <c r="AO100" s="323" t="e">
        <f aca="false">LongTerm1!BM105*(LongTerm1!F105*LongTerm1!AF105*LongTerm1!AH105)/10000</f>
        <v>#VALUE!</v>
      </c>
      <c r="AP100" s="323" t="e">
        <f aca="false">(LongTerm1!BL105/(1-LongTerm1!AR105))*(LongTerm1!F105*LongTerm1!AF105*LongTerm1!AH105)/10000</f>
        <v>#VALUE!</v>
      </c>
      <c r="AQ100" s="324"/>
      <c r="AV100" s="319"/>
      <c r="AW100" s="319"/>
      <c r="AX100" s="319"/>
      <c r="AY100" s="319"/>
      <c r="AZ100" s="319"/>
      <c r="BA100" s="319"/>
      <c r="BB100" s="319"/>
      <c r="BC100" s="319"/>
      <c r="BD100" s="319"/>
      <c r="BE100" s="319"/>
      <c r="BF100" s="319"/>
      <c r="BG100" s="322" t="e">
        <f aca="false">LongTerm25!D105</f>
        <v>#VALUE!</v>
      </c>
      <c r="BH100" s="323" t="e">
        <f aca="false">(LongTerm25!BM105+LongTerm25!BL105/(1-LongTerm25!AR105))*(LongTerm25!F105*LongTerm25!AF105*LongTerm25!AH105)/10000</f>
        <v>#VALUE!</v>
      </c>
      <c r="BI100" s="323" t="e">
        <f aca="false">LongTerm25!BM105*(LongTerm25!F105*LongTerm25!AF105*LongTerm25!AH105)/10000</f>
        <v>#VALUE!</v>
      </c>
      <c r="BJ100" s="323" t="e">
        <f aca="false">(LongTerm25!BL105/(1-LongTerm25!AR105))*(LongTerm25!F105*LongTerm25!AF105*LongTerm25!AH105)/10000</f>
        <v>#VALUE!</v>
      </c>
      <c r="BK100" s="319"/>
      <c r="BL100" s="319"/>
      <c r="BM100" s="319"/>
      <c r="BN100" s="319"/>
      <c r="BP100" s="324"/>
      <c r="BQ100" s="319"/>
      <c r="BR100" s="319"/>
      <c r="BS100" s="319"/>
      <c r="BT100" s="319"/>
      <c r="BU100" s="324"/>
      <c r="BV100" s="319"/>
      <c r="BW100" s="319"/>
      <c r="BX100" s="319"/>
      <c r="BY100" s="338"/>
      <c r="BZ100" s="324"/>
      <c r="CA100" s="319"/>
      <c r="CB100" s="319"/>
      <c r="CC100" s="319"/>
      <c r="CD100" s="332"/>
      <c r="CE100" s="333" t="n">
        <f aca="false">EOMONTH(CE99,0)+15</f>
        <v>39553</v>
      </c>
      <c r="CF100" s="337" t="n">
        <v>19.9</v>
      </c>
      <c r="CG100" s="337" t="n">
        <v>106.3</v>
      </c>
      <c r="CH100" s="337" t="n">
        <v>-124.6</v>
      </c>
      <c r="CI100" s="337" t="n">
        <v>0</v>
      </c>
      <c r="CJ100" s="337" t="n">
        <v>0</v>
      </c>
      <c r="CK100" s="337" t="n">
        <v>2.1</v>
      </c>
      <c r="CL100" s="337" t="n">
        <v>0</v>
      </c>
      <c r="CM100" s="337" t="n">
        <v>0</v>
      </c>
      <c r="CN100" s="337" t="n">
        <v>0</v>
      </c>
    </row>
    <row r="101" customFormat="false" ht="12.75" hidden="false" customHeight="false" outlineLevel="0" collapsed="false">
      <c r="B101" s="320" t="e">
        <f aca="false">Q101</f>
        <v>#VALUE!</v>
      </c>
      <c r="C101" s="319" t="e">
        <f aca="false">YEAR(B101)</f>
        <v>#VALUE!</v>
      </c>
      <c r="D101" s="266" t="e">
        <f aca="false">R101+AC101</f>
        <v>#VALUE!</v>
      </c>
      <c r="E101" s="266" t="e">
        <f aca="false">S101+AD101</f>
        <v>#VALUE!</v>
      </c>
      <c r="F101" s="266" t="e">
        <f aca="false">+T101+AE101</f>
        <v>#VALUE!</v>
      </c>
      <c r="G101" s="266" t="e">
        <f aca="false">+U101+AF101</f>
        <v>#VALUE!</v>
      </c>
      <c r="H101" s="266" t="e">
        <f aca="false">V101+AG101</f>
        <v>#VALUE!</v>
      </c>
      <c r="I101" s="266" t="e">
        <f aca="false">W101+AH101</f>
        <v>#VALUE!</v>
      </c>
      <c r="J101" s="265"/>
      <c r="K101" s="265"/>
      <c r="L101" s="265"/>
      <c r="M101" s="266" t="e">
        <f aca="false">X101+AI101</f>
        <v>#VALUE!</v>
      </c>
      <c r="N101" s="264" t="e">
        <f aca="false">Y101+AJ101</f>
        <v>#VALUE!</v>
      </c>
      <c r="O101" s="264" t="e">
        <f aca="false">Z101+AK101</f>
        <v>#VALUE!</v>
      </c>
      <c r="Q101" s="320" t="e">
        <f aca="false">EOMONTH(Q100,0)+15</f>
        <v>#VALUE!</v>
      </c>
      <c r="R101" s="266" t="e">
        <f aca="false">SUMIF(AM:AM,$Q101,AN:AN)+SUMIF(AQ:AQ,$Q101,AR:AR)+SUMIF(AU:AU,$Q101,AV:AV)+SUMIF(BU:BU,$Q101,BV:BV)+SUMIF(BZ:BZ,$Q101,CA:CA)+SUMIF(BG:BG,$Q101,BH:BH)+SUMIF(BK:BK,$Q101,BL:BL)+SUMIF(BP:BP,$Q101,BQ:BQ)</f>
        <v>#VALUE!</v>
      </c>
      <c r="S101" s="264" t="e">
        <f aca="false">SUMIF(AM:AM,$Q101,AP:AP)+SUMIF(BU:BU,$Q101,BW:BW)+SUMIF(BZ:BZ,$Q101,CB:CB)</f>
        <v>#VALUE!</v>
      </c>
      <c r="T101" s="264" t="e">
        <f aca="false">SUMIF(AQ:AQ,$Q101,AT:AT)+SUMIF(BG:BG,$Q101,BJ:BJ)+SUMIF(BK:BK,$Q101,BN:BN)</f>
        <v>#VALUE!</v>
      </c>
      <c r="U101" s="264" t="e">
        <f aca="false">SUMIF(AM:AM,$Q101,AO:AO)+SUMIF(AQ:AQ,$Q101,AS:AS)+SUMIF(BG:BG,$Q101,BI:BI)+SUMIF(BK:BK,$Q101,BM:BM)</f>
        <v>#VALUE!</v>
      </c>
      <c r="V101" s="264" t="e">
        <f aca="false">SUMIF(AU:AU,$Q101,AW:AW)</f>
        <v>#VALUE!</v>
      </c>
      <c r="W101" s="264" t="e">
        <f aca="false">SUMIF(AU:AU,$Q101,AX:AX)</f>
        <v>#VALUE!</v>
      </c>
      <c r="X101" s="264" t="e">
        <f aca="false">SUMIF(BP:BP,$Q101,BR:BR)</f>
        <v>#VALUE!</v>
      </c>
      <c r="Y101" s="266" t="e">
        <f aca="false">SUMIF(BP:BP,$Q101,BS:BS)</f>
        <v>#VALUE!</v>
      </c>
      <c r="Z101" s="264" t="e">
        <f aca="false">SUMIF(BU:BU,$Q101,BX:BX)+SUMIF(BZ:BZ,$Q101,CC:CC)</f>
        <v>#VALUE!</v>
      </c>
      <c r="AB101" s="320" t="e">
        <f aca="false">Q101</f>
        <v>#VALUE!</v>
      </c>
      <c r="AC101" s="321" t="e">
        <f aca="false">VLOOKUP(AB101,CE102:CK207,7,FALSE())</f>
        <v>#VALUE!</v>
      </c>
      <c r="AD101" s="264" t="e">
        <f aca="false">VLOOKUP(AB101,CE102:CJ207,3,FALSE())</f>
        <v>#VALUE!</v>
      </c>
      <c r="AE101" s="264" t="e">
        <f aca="false">VLOOKUP(AB101,CE102:CJ207,2,FALSE())</f>
        <v>#VALUE!</v>
      </c>
      <c r="AF101" s="264" t="e">
        <f aca="false">VLOOKUP(AB101,CE102:CJ207,4,FALSE())</f>
        <v>#VALUE!</v>
      </c>
      <c r="AG101" s="264" t="e">
        <f aca="false">VLOOKUP(AB101,CE102:CJ207,5,FALSE())</f>
        <v>#VALUE!</v>
      </c>
      <c r="AH101" s="264" t="e">
        <f aca="false">VLOOKUP(AB101,CE102:CJ207,6,FALSE())</f>
        <v>#VALUE!</v>
      </c>
      <c r="AI101" s="264" t="e">
        <f aca="false">VLOOKUP(AB101,CE102:CM207,8,FALSE())</f>
        <v>#VALUE!</v>
      </c>
      <c r="AJ101" s="266" t="e">
        <f aca="false">VLOOKUP(AB101,CE102:CM207,9,FALSE())</f>
        <v>#VALUE!</v>
      </c>
      <c r="AK101" s="264" t="e">
        <f aca="false">VLOOKUP(AB101,CE102:CN207,10,FALSE())</f>
        <v>#VALUE!</v>
      </c>
      <c r="AM101" s="322" t="e">
        <f aca="false">LongTerm1!D106</f>
        <v>#VALUE!</v>
      </c>
      <c r="AN101" s="323" t="e">
        <f aca="false">(LongTerm1!BM106+LongTerm1!BL106/(1-LongTerm1!AR106))*(LongTerm1!F106*LongTerm1!AF106*LongTerm1!AH106)/10000</f>
        <v>#VALUE!</v>
      </c>
      <c r="AO101" s="323" t="e">
        <f aca="false">LongTerm1!BM106*(LongTerm1!F106*LongTerm1!AF106*LongTerm1!AH106)/10000</f>
        <v>#VALUE!</v>
      </c>
      <c r="AP101" s="323" t="e">
        <f aca="false">(LongTerm1!BL106/(1-LongTerm1!AR106))*(LongTerm1!F106*LongTerm1!AF106*LongTerm1!AH106)/10000</f>
        <v>#VALUE!</v>
      </c>
      <c r="AQ101" s="324"/>
      <c r="AV101" s="319"/>
      <c r="AW101" s="319"/>
      <c r="AX101" s="319"/>
      <c r="AY101" s="319"/>
      <c r="AZ101" s="319"/>
      <c r="BA101" s="319"/>
      <c r="BB101" s="319"/>
      <c r="BC101" s="319"/>
      <c r="BD101" s="319"/>
      <c r="BE101" s="319"/>
      <c r="BF101" s="319"/>
      <c r="BG101" s="324"/>
      <c r="BH101" s="319"/>
      <c r="BI101" s="319"/>
      <c r="BJ101" s="319"/>
      <c r="BK101" s="319"/>
      <c r="BL101" s="319"/>
      <c r="BM101" s="319"/>
      <c r="BN101" s="319"/>
      <c r="BZ101" s="253"/>
      <c r="CA101" s="253"/>
      <c r="CD101" s="332"/>
      <c r="CE101" s="333" t="n">
        <f aca="false">EOMONTH(CE100,0)+15</f>
        <v>39583</v>
      </c>
      <c r="CF101" s="337" t="n">
        <v>20.6</v>
      </c>
      <c r="CG101" s="337" t="n">
        <v>112.4</v>
      </c>
      <c r="CH101" s="337" t="n">
        <v>-131.3</v>
      </c>
      <c r="CI101" s="337" t="n">
        <v>0</v>
      </c>
      <c r="CJ101" s="337" t="n">
        <v>0</v>
      </c>
      <c r="CK101" s="337" t="n">
        <v>2.1</v>
      </c>
      <c r="CL101" s="337" t="n">
        <v>0</v>
      </c>
      <c r="CM101" s="337" t="n">
        <v>0</v>
      </c>
      <c r="CN101" s="337" t="n">
        <v>0</v>
      </c>
    </row>
    <row r="102" customFormat="false" ht="12.75" hidden="false" customHeight="false" outlineLevel="0" collapsed="false">
      <c r="B102" s="320" t="e">
        <f aca="false">Q102</f>
        <v>#VALUE!</v>
      </c>
      <c r="C102" s="319" t="e">
        <f aca="false">YEAR(B102)</f>
        <v>#VALUE!</v>
      </c>
      <c r="D102" s="266" t="e">
        <f aca="false">R102+AC102</f>
        <v>#VALUE!</v>
      </c>
      <c r="E102" s="266" t="e">
        <f aca="false">S102+AD102</f>
        <v>#VALUE!</v>
      </c>
      <c r="F102" s="266" t="e">
        <f aca="false">+T102+AE102</f>
        <v>#VALUE!</v>
      </c>
      <c r="G102" s="266" t="e">
        <f aca="false">+U102+AF102</f>
        <v>#VALUE!</v>
      </c>
      <c r="H102" s="266" t="e">
        <f aca="false">V102+AG102</f>
        <v>#VALUE!</v>
      </c>
      <c r="I102" s="266" t="e">
        <f aca="false">W102+AH102</f>
        <v>#VALUE!</v>
      </c>
      <c r="J102" s="265"/>
      <c r="K102" s="265"/>
      <c r="L102" s="265"/>
      <c r="M102" s="266" t="e">
        <f aca="false">X102+AI102</f>
        <v>#VALUE!</v>
      </c>
      <c r="N102" s="264" t="e">
        <f aca="false">Y102+AJ102</f>
        <v>#VALUE!</v>
      </c>
      <c r="O102" s="264" t="e">
        <f aca="false">Z102+AK102</f>
        <v>#VALUE!</v>
      </c>
      <c r="Q102" s="320" t="e">
        <f aca="false">EOMONTH(Q101,0)+15</f>
        <v>#VALUE!</v>
      </c>
      <c r="R102" s="266" t="e">
        <f aca="false">SUMIF(AM:AM,$Q102,AN:AN)+SUMIF(AQ:AQ,$Q102,AR:AR)+SUMIF(AU:AU,$Q102,AV:AV)+SUMIF(BU:BU,$Q102,BV:BV)+SUMIF(BZ:BZ,$Q102,CA:CA)+SUMIF(BG:BG,$Q102,BH:BH)+SUMIF(BK:BK,$Q102,BL:BL)+SUMIF(BP:BP,$Q102,BQ:BQ)</f>
        <v>#VALUE!</v>
      </c>
      <c r="S102" s="264" t="e">
        <f aca="false">SUMIF(AM:AM,$Q102,AP:AP)+SUMIF(BU:BU,$Q102,BW:BW)+SUMIF(BZ:BZ,$Q102,CB:CB)</f>
        <v>#VALUE!</v>
      </c>
      <c r="T102" s="264" t="e">
        <f aca="false">SUMIF(AQ:AQ,$Q102,AT:AT)+SUMIF(BG:BG,$Q102,BJ:BJ)+SUMIF(BK:BK,$Q102,BN:BN)</f>
        <v>#VALUE!</v>
      </c>
      <c r="U102" s="264" t="e">
        <f aca="false">SUMIF(AM:AM,$Q102,AO:AO)+SUMIF(AQ:AQ,$Q102,AS:AS)+SUMIF(BG:BG,$Q102,BI:BI)+SUMIF(BK:BK,$Q102,BM:BM)</f>
        <v>#VALUE!</v>
      </c>
      <c r="V102" s="264" t="e">
        <f aca="false">SUMIF(AU:AU,$Q102,AW:AW)</f>
        <v>#VALUE!</v>
      </c>
      <c r="W102" s="264" t="e">
        <f aca="false">SUMIF(AU:AU,$Q102,AX:AX)</f>
        <v>#VALUE!</v>
      </c>
      <c r="X102" s="264" t="e">
        <f aca="false">SUMIF(BP:BP,$Q102,BR:BR)</f>
        <v>#VALUE!</v>
      </c>
      <c r="Y102" s="266" t="e">
        <f aca="false">SUMIF(BP:BP,$Q102,BS:BS)</f>
        <v>#VALUE!</v>
      </c>
      <c r="Z102" s="264" t="e">
        <f aca="false">SUMIF(BU:BU,$Q102,BX:BX)+SUMIF(BZ:BZ,$Q102,CC:CC)</f>
        <v>#VALUE!</v>
      </c>
      <c r="AB102" s="320" t="e">
        <f aca="false">Q102</f>
        <v>#VALUE!</v>
      </c>
      <c r="AC102" s="321" t="e">
        <f aca="false">VLOOKUP(AB102,CE103:CK208,7,FALSE())</f>
        <v>#VALUE!</v>
      </c>
      <c r="AD102" s="264" t="e">
        <f aca="false">VLOOKUP(AB102,CE103:CJ208,3,FALSE())</f>
        <v>#VALUE!</v>
      </c>
      <c r="AE102" s="264" t="e">
        <f aca="false">VLOOKUP(AB102,CE103:CJ208,2,FALSE())</f>
        <v>#VALUE!</v>
      </c>
      <c r="AF102" s="264" t="e">
        <f aca="false">VLOOKUP(AB102,CE103:CJ208,4,FALSE())</f>
        <v>#VALUE!</v>
      </c>
      <c r="AG102" s="264" t="e">
        <f aca="false">VLOOKUP(AB102,CE103:CJ208,5,FALSE())</f>
        <v>#VALUE!</v>
      </c>
      <c r="AH102" s="264" t="e">
        <f aca="false">VLOOKUP(AB102,CE103:CJ208,6,FALSE())</f>
        <v>#VALUE!</v>
      </c>
      <c r="AI102" s="264" t="e">
        <f aca="false">VLOOKUP(AB102,CE103:CM208,8,FALSE())</f>
        <v>#VALUE!</v>
      </c>
      <c r="AJ102" s="266" t="e">
        <f aca="false">VLOOKUP(AB102,CE103:CM208,9,FALSE())</f>
        <v>#VALUE!</v>
      </c>
      <c r="AK102" s="264" t="e">
        <f aca="false">VLOOKUP(AB102,CE103:CN208,10,FALSE())</f>
        <v>#VALUE!</v>
      </c>
      <c r="AM102" s="322" t="e">
        <f aca="false">LongTerm1!D107</f>
        <v>#VALUE!</v>
      </c>
      <c r="AN102" s="323" t="e">
        <f aca="false">(LongTerm1!BM107+LongTerm1!BL107/(1-LongTerm1!AR107))*(LongTerm1!F107*LongTerm1!AF107*LongTerm1!AH107)/10000</f>
        <v>#VALUE!</v>
      </c>
      <c r="AO102" s="323" t="e">
        <f aca="false">LongTerm1!BM107*(LongTerm1!F107*LongTerm1!AF107*LongTerm1!AH107)/10000</f>
        <v>#VALUE!</v>
      </c>
      <c r="AP102" s="323" t="e">
        <f aca="false">(LongTerm1!BL107/(1-LongTerm1!AR107))*(LongTerm1!F107*LongTerm1!AF107*LongTerm1!AH107)/10000</f>
        <v>#VALUE!</v>
      </c>
      <c r="AQ102" s="324"/>
      <c r="AV102" s="319"/>
      <c r="AW102" s="319"/>
      <c r="AX102" s="319"/>
      <c r="AY102" s="319"/>
      <c r="AZ102" s="319"/>
      <c r="BA102" s="319"/>
      <c r="BB102" s="319"/>
      <c r="BC102" s="319"/>
      <c r="BD102" s="319"/>
      <c r="BE102" s="319"/>
      <c r="BF102" s="319"/>
      <c r="BG102" s="324"/>
      <c r="BH102" s="319"/>
      <c r="BI102" s="319"/>
      <c r="BJ102" s="319"/>
      <c r="BK102" s="319"/>
      <c r="BL102" s="319"/>
      <c r="BM102" s="319"/>
      <c r="BN102" s="319"/>
      <c r="BZ102" s="253"/>
      <c r="CA102" s="253"/>
      <c r="CD102" s="332"/>
      <c r="CE102" s="333" t="n">
        <f aca="false">EOMONTH(CE101,0)+15</f>
        <v>39614</v>
      </c>
      <c r="CF102" s="337" t="n">
        <v>19.5</v>
      </c>
      <c r="CG102" s="337" t="n">
        <v>107.4</v>
      </c>
      <c r="CH102" s="337" t="n">
        <v>-126</v>
      </c>
      <c r="CI102" s="337" t="n">
        <v>0</v>
      </c>
      <c r="CJ102" s="337" t="n">
        <v>0</v>
      </c>
      <c r="CK102" s="337" t="n">
        <v>2.1</v>
      </c>
      <c r="CL102" s="337" t="n">
        <v>0</v>
      </c>
      <c r="CM102" s="337" t="n">
        <v>0</v>
      </c>
      <c r="CN102" s="337" t="n">
        <v>0</v>
      </c>
    </row>
    <row r="103" customFormat="false" ht="12.75" hidden="false" customHeight="false" outlineLevel="0" collapsed="false">
      <c r="B103" s="320" t="e">
        <f aca="false">Q103</f>
        <v>#VALUE!</v>
      </c>
      <c r="C103" s="319" t="e">
        <f aca="false">YEAR(B103)</f>
        <v>#VALUE!</v>
      </c>
      <c r="D103" s="266" t="e">
        <f aca="false">R103+AC103</f>
        <v>#VALUE!</v>
      </c>
      <c r="E103" s="266" t="e">
        <f aca="false">S103+AD103</f>
        <v>#VALUE!</v>
      </c>
      <c r="F103" s="266" t="e">
        <f aca="false">+T103+AE103</f>
        <v>#VALUE!</v>
      </c>
      <c r="G103" s="266" t="e">
        <f aca="false">+U103+AF103</f>
        <v>#VALUE!</v>
      </c>
      <c r="H103" s="266" t="e">
        <f aca="false">V103+AG103</f>
        <v>#VALUE!</v>
      </c>
      <c r="I103" s="266" t="e">
        <f aca="false">W103+AH103</f>
        <v>#VALUE!</v>
      </c>
      <c r="J103" s="265"/>
      <c r="K103" s="265"/>
      <c r="L103" s="265"/>
      <c r="M103" s="266" t="e">
        <f aca="false">X103+AI103</f>
        <v>#VALUE!</v>
      </c>
      <c r="N103" s="264" t="e">
        <f aca="false">Y103+AJ103</f>
        <v>#VALUE!</v>
      </c>
      <c r="O103" s="264" t="e">
        <f aca="false">Z103+AK103</f>
        <v>#VALUE!</v>
      </c>
      <c r="Q103" s="320" t="e">
        <f aca="false">EOMONTH(Q102,0)+15</f>
        <v>#VALUE!</v>
      </c>
      <c r="R103" s="266" t="e">
        <f aca="false">SUMIF(AM:AM,$Q103,AN:AN)+SUMIF(AQ:AQ,$Q103,AR:AR)+SUMIF(AU:AU,$Q103,AV:AV)+SUMIF(BU:BU,$Q103,BV:BV)+SUMIF(BZ:BZ,$Q103,CA:CA)+SUMIF(BG:BG,$Q103,BH:BH)+SUMIF(BK:BK,$Q103,BL:BL)+SUMIF(BP:BP,$Q103,BQ:BQ)</f>
        <v>#VALUE!</v>
      </c>
      <c r="S103" s="264" t="e">
        <f aca="false">SUMIF(AM:AM,$Q103,AP:AP)+SUMIF(BU:BU,$Q103,BW:BW)+SUMIF(BZ:BZ,$Q103,CB:CB)</f>
        <v>#VALUE!</v>
      </c>
      <c r="T103" s="264" t="e">
        <f aca="false">SUMIF(AQ:AQ,$Q103,AT:AT)+SUMIF(BG:BG,$Q103,BJ:BJ)+SUMIF(BK:BK,$Q103,BN:BN)</f>
        <v>#VALUE!</v>
      </c>
      <c r="U103" s="264" t="e">
        <f aca="false">SUMIF(AM:AM,$Q103,AO:AO)+SUMIF(AQ:AQ,$Q103,AS:AS)+SUMIF(BG:BG,$Q103,BI:BI)+SUMIF(BK:BK,$Q103,BM:BM)</f>
        <v>#VALUE!</v>
      </c>
      <c r="V103" s="264" t="e">
        <f aca="false">SUMIF(AU:AU,$Q103,AW:AW)</f>
        <v>#VALUE!</v>
      </c>
      <c r="W103" s="264" t="e">
        <f aca="false">SUMIF(AU:AU,$Q103,AX:AX)</f>
        <v>#VALUE!</v>
      </c>
      <c r="X103" s="264" t="e">
        <f aca="false">SUMIF(BP:BP,$Q103,BR:BR)</f>
        <v>#VALUE!</v>
      </c>
      <c r="Y103" s="266" t="e">
        <f aca="false">SUMIF(BP:BP,$Q103,BS:BS)</f>
        <v>#VALUE!</v>
      </c>
      <c r="Z103" s="264" t="e">
        <f aca="false">SUMIF(BU:BU,$Q103,BX:BX)+SUMIF(BZ:BZ,$Q103,CC:CC)</f>
        <v>#VALUE!</v>
      </c>
      <c r="AB103" s="320" t="e">
        <f aca="false">Q103</f>
        <v>#VALUE!</v>
      </c>
      <c r="AC103" s="321" t="e">
        <f aca="false">VLOOKUP(AB103,CE104:CK209,7,FALSE())</f>
        <v>#VALUE!</v>
      </c>
      <c r="AD103" s="264" t="e">
        <f aca="false">VLOOKUP(AB103,CE104:CJ209,3,FALSE())</f>
        <v>#VALUE!</v>
      </c>
      <c r="AE103" s="264" t="e">
        <f aca="false">VLOOKUP(AB103,CE104:CJ209,2,FALSE())</f>
        <v>#VALUE!</v>
      </c>
      <c r="AF103" s="264" t="e">
        <f aca="false">VLOOKUP(AB103,CE104:CJ209,4,FALSE())</f>
        <v>#VALUE!</v>
      </c>
      <c r="AG103" s="264" t="e">
        <f aca="false">VLOOKUP(AB103,CE104:CJ209,5,FALSE())</f>
        <v>#VALUE!</v>
      </c>
      <c r="AH103" s="264" t="e">
        <f aca="false">VLOOKUP(AB103,CE104:CJ209,6,FALSE())</f>
        <v>#VALUE!</v>
      </c>
      <c r="AI103" s="264" t="e">
        <f aca="false">VLOOKUP(AB103,CE104:CM209,8,FALSE())</f>
        <v>#VALUE!</v>
      </c>
      <c r="AJ103" s="266" t="e">
        <f aca="false">VLOOKUP(AB103,CE104:CM209,9,FALSE())</f>
        <v>#VALUE!</v>
      </c>
      <c r="AK103" s="264" t="e">
        <f aca="false">VLOOKUP(AB103,CE104:CN209,10,FALSE())</f>
        <v>#VALUE!</v>
      </c>
      <c r="AM103" s="322" t="e">
        <f aca="false">LongTerm1!D108</f>
        <v>#VALUE!</v>
      </c>
      <c r="AN103" s="323" t="e">
        <f aca="false">(LongTerm1!BM108+LongTerm1!BL108/(1-LongTerm1!AR108))*(LongTerm1!F108*LongTerm1!AF108*LongTerm1!AH108)/10000</f>
        <v>#VALUE!</v>
      </c>
      <c r="AO103" s="323" t="e">
        <f aca="false">LongTerm1!BM108*(LongTerm1!F108*LongTerm1!AF108*LongTerm1!AH108)/10000</f>
        <v>#VALUE!</v>
      </c>
      <c r="AP103" s="323" t="e">
        <f aca="false">(LongTerm1!BL108/(1-LongTerm1!AR108))*(LongTerm1!F108*LongTerm1!AF108*LongTerm1!AH108)/10000</f>
        <v>#VALUE!</v>
      </c>
      <c r="AQ103" s="324"/>
      <c r="AV103" s="319"/>
      <c r="AW103" s="319"/>
      <c r="AX103" s="319"/>
      <c r="AY103" s="319"/>
      <c r="AZ103" s="319"/>
      <c r="BA103" s="319"/>
      <c r="BB103" s="319"/>
      <c r="BC103" s="319"/>
      <c r="BD103" s="319"/>
      <c r="BE103" s="319"/>
      <c r="BF103" s="319"/>
      <c r="BG103" s="324"/>
      <c r="BH103" s="319"/>
      <c r="BI103" s="319"/>
      <c r="BJ103" s="319"/>
      <c r="BK103" s="319"/>
      <c r="BL103" s="319"/>
      <c r="BM103" s="319"/>
      <c r="BN103" s="319"/>
      <c r="BZ103" s="253"/>
      <c r="CA103" s="253"/>
      <c r="CD103" s="332"/>
      <c r="CE103" s="333" t="n">
        <f aca="false">EOMONTH(CE102,0)+15</f>
        <v>39644</v>
      </c>
      <c r="CF103" s="337" t="n">
        <v>20.2</v>
      </c>
      <c r="CG103" s="337" t="n">
        <v>107.6</v>
      </c>
      <c r="CH103" s="337" t="n">
        <v>-126.1</v>
      </c>
      <c r="CI103" s="337" t="n">
        <v>0</v>
      </c>
      <c r="CJ103" s="337" t="n">
        <v>0</v>
      </c>
      <c r="CK103" s="337" t="n">
        <v>2.1</v>
      </c>
      <c r="CL103" s="337" t="n">
        <v>0</v>
      </c>
      <c r="CM103" s="337" t="n">
        <v>0</v>
      </c>
      <c r="CN103" s="337" t="n">
        <v>0</v>
      </c>
    </row>
    <row r="104" customFormat="false" ht="12.75" hidden="false" customHeight="false" outlineLevel="0" collapsed="false">
      <c r="B104" s="320" t="e">
        <f aca="false">Q104</f>
        <v>#VALUE!</v>
      </c>
      <c r="C104" s="319" t="e">
        <f aca="false">YEAR(B104)</f>
        <v>#VALUE!</v>
      </c>
      <c r="D104" s="266" t="e">
        <f aca="false">R104+AC104</f>
        <v>#VALUE!</v>
      </c>
      <c r="E104" s="266" t="e">
        <f aca="false">S104+AD104</f>
        <v>#VALUE!</v>
      </c>
      <c r="F104" s="266" t="e">
        <f aca="false">+T104+AE104</f>
        <v>#VALUE!</v>
      </c>
      <c r="G104" s="266" t="e">
        <f aca="false">+U104+AF104</f>
        <v>#VALUE!</v>
      </c>
      <c r="H104" s="266" t="e">
        <f aca="false">V104+AG104</f>
        <v>#VALUE!</v>
      </c>
      <c r="I104" s="266" t="e">
        <f aca="false">W104+AH104</f>
        <v>#VALUE!</v>
      </c>
      <c r="J104" s="265"/>
      <c r="K104" s="265"/>
      <c r="L104" s="265"/>
      <c r="M104" s="266" t="e">
        <f aca="false">X104+AI104</f>
        <v>#VALUE!</v>
      </c>
      <c r="N104" s="264" t="e">
        <f aca="false">Y104+AJ104</f>
        <v>#VALUE!</v>
      </c>
      <c r="O104" s="264" t="e">
        <f aca="false">Z104+AK104</f>
        <v>#VALUE!</v>
      </c>
      <c r="Q104" s="320" t="e">
        <f aca="false">EOMONTH(Q103,0)+15</f>
        <v>#VALUE!</v>
      </c>
      <c r="R104" s="266" t="e">
        <f aca="false">SUMIF(AM:AM,$Q104,AN:AN)+SUMIF(AQ:AQ,$Q104,AR:AR)+SUMIF(AU:AU,$Q104,AV:AV)+SUMIF(BU:BU,$Q104,BV:BV)+SUMIF(BZ:BZ,$Q104,CA:CA)+SUMIF(BG:BG,$Q104,BH:BH)+SUMIF(BK:BK,$Q104,BL:BL)+SUMIF(BP:BP,$Q104,BQ:BQ)</f>
        <v>#VALUE!</v>
      </c>
      <c r="S104" s="264" t="e">
        <f aca="false">SUMIF(AM:AM,$Q104,AP:AP)+SUMIF(BU:BU,$Q104,BW:BW)+SUMIF(BZ:BZ,$Q104,CB:CB)</f>
        <v>#VALUE!</v>
      </c>
      <c r="T104" s="264" t="e">
        <f aca="false">SUMIF(AQ:AQ,$Q104,AT:AT)+SUMIF(BG:BG,$Q104,BJ:BJ)+SUMIF(BK:BK,$Q104,BN:BN)</f>
        <v>#VALUE!</v>
      </c>
      <c r="U104" s="264" t="e">
        <f aca="false">SUMIF(AM:AM,$Q104,AO:AO)+SUMIF(AQ:AQ,$Q104,AS:AS)+SUMIF(BG:BG,$Q104,BI:BI)+SUMIF(BK:BK,$Q104,BM:BM)</f>
        <v>#VALUE!</v>
      </c>
      <c r="V104" s="264" t="e">
        <f aca="false">SUMIF(AU:AU,$Q104,AW:AW)</f>
        <v>#VALUE!</v>
      </c>
      <c r="W104" s="264" t="e">
        <f aca="false">SUMIF(AU:AU,$Q104,AX:AX)</f>
        <v>#VALUE!</v>
      </c>
      <c r="X104" s="264" t="e">
        <f aca="false">SUMIF(BP:BP,$Q104,BR:BR)</f>
        <v>#VALUE!</v>
      </c>
      <c r="Y104" s="266" t="e">
        <f aca="false">SUMIF(BP:BP,$Q104,BS:BS)</f>
        <v>#VALUE!</v>
      </c>
      <c r="Z104" s="264" t="e">
        <f aca="false">SUMIF(BU:BU,$Q104,BX:BX)+SUMIF(BZ:BZ,$Q104,CC:CC)</f>
        <v>#VALUE!</v>
      </c>
      <c r="AB104" s="320" t="e">
        <f aca="false">Q104</f>
        <v>#VALUE!</v>
      </c>
      <c r="AC104" s="321" t="e">
        <f aca="false">VLOOKUP(AB104,CE105:CK210,7,FALSE())</f>
        <v>#VALUE!</v>
      </c>
      <c r="AD104" s="264" t="e">
        <f aca="false">VLOOKUP(AB104,CE105:CJ210,3,FALSE())</f>
        <v>#VALUE!</v>
      </c>
      <c r="AE104" s="264" t="e">
        <f aca="false">VLOOKUP(AB104,CE105:CJ210,2,FALSE())</f>
        <v>#VALUE!</v>
      </c>
      <c r="AF104" s="264" t="e">
        <f aca="false">VLOOKUP(AB104,CE105:CJ210,4,FALSE())</f>
        <v>#VALUE!</v>
      </c>
      <c r="AG104" s="264" t="e">
        <f aca="false">VLOOKUP(AB104,CE105:CJ210,5,FALSE())</f>
        <v>#VALUE!</v>
      </c>
      <c r="AH104" s="264" t="e">
        <f aca="false">VLOOKUP(AB104,CE105:CJ210,6,FALSE())</f>
        <v>#VALUE!</v>
      </c>
      <c r="AI104" s="264" t="e">
        <f aca="false">VLOOKUP(AB104,CE105:CM210,8,FALSE())</f>
        <v>#VALUE!</v>
      </c>
      <c r="AJ104" s="266" t="e">
        <f aca="false">VLOOKUP(AB104,CE105:CM210,9,FALSE())</f>
        <v>#VALUE!</v>
      </c>
      <c r="AK104" s="264" t="e">
        <f aca="false">VLOOKUP(AB104,CE105:CN210,10,FALSE())</f>
        <v>#VALUE!</v>
      </c>
      <c r="AM104" s="322" t="e">
        <f aca="false">LongTerm1!D109</f>
        <v>#VALUE!</v>
      </c>
      <c r="AN104" s="323" t="e">
        <f aca="false">(LongTerm1!BM109+LongTerm1!BL109/(1-LongTerm1!AR109))*(LongTerm1!F109*LongTerm1!AF109*LongTerm1!AH109)/10000</f>
        <v>#VALUE!</v>
      </c>
      <c r="AO104" s="323" t="e">
        <f aca="false">LongTerm1!BM109*(LongTerm1!F109*LongTerm1!AF109*LongTerm1!AH109)/10000</f>
        <v>#VALUE!</v>
      </c>
      <c r="AP104" s="323" t="e">
        <f aca="false">(LongTerm1!BL109/(1-LongTerm1!AR109))*(LongTerm1!F109*LongTerm1!AF109*LongTerm1!AH109)/10000</f>
        <v>#VALUE!</v>
      </c>
      <c r="AQ104" s="324"/>
      <c r="AV104" s="319"/>
      <c r="AW104" s="319"/>
      <c r="AX104" s="319"/>
      <c r="AY104" s="319"/>
      <c r="AZ104" s="319"/>
      <c r="BA104" s="319"/>
      <c r="BB104" s="319"/>
      <c r="BC104" s="319"/>
      <c r="BD104" s="319"/>
      <c r="BE104" s="319"/>
      <c r="BF104" s="319"/>
      <c r="BG104" s="324"/>
      <c r="BH104" s="319"/>
      <c r="BI104" s="319"/>
      <c r="BJ104" s="319"/>
      <c r="BK104" s="319"/>
      <c r="BL104" s="319"/>
      <c r="BM104" s="319"/>
      <c r="BN104" s="319"/>
      <c r="BZ104" s="253"/>
      <c r="CA104" s="253"/>
      <c r="CD104" s="332"/>
      <c r="CE104" s="333" t="n">
        <f aca="false">EOMONTH(CE103,0)+15</f>
        <v>39675</v>
      </c>
      <c r="CF104" s="337" t="n">
        <v>19.9</v>
      </c>
      <c r="CG104" s="337" t="n">
        <v>103.4</v>
      </c>
      <c r="CH104" s="337" t="n">
        <v>-122.5</v>
      </c>
      <c r="CI104" s="337" t="n">
        <v>0</v>
      </c>
      <c r="CJ104" s="337" t="n">
        <v>0</v>
      </c>
      <c r="CK104" s="337" t="n">
        <v>2.1</v>
      </c>
      <c r="CL104" s="337" t="n">
        <v>0</v>
      </c>
      <c r="CM104" s="337" t="n">
        <v>0</v>
      </c>
      <c r="CN104" s="337" t="n">
        <v>0</v>
      </c>
    </row>
    <row r="105" customFormat="false" ht="12.75" hidden="false" customHeight="false" outlineLevel="0" collapsed="false">
      <c r="B105" s="320" t="e">
        <f aca="false">Q105</f>
        <v>#VALUE!</v>
      </c>
      <c r="C105" s="319" t="e">
        <f aca="false">YEAR(B105)</f>
        <v>#VALUE!</v>
      </c>
      <c r="D105" s="266" t="e">
        <f aca="false">R105+AC105</f>
        <v>#VALUE!</v>
      </c>
      <c r="E105" s="266" t="e">
        <f aca="false">S105+AD105</f>
        <v>#VALUE!</v>
      </c>
      <c r="F105" s="266" t="e">
        <f aca="false">+T105+AE105</f>
        <v>#VALUE!</v>
      </c>
      <c r="G105" s="266" t="e">
        <f aca="false">+U105+AF105</f>
        <v>#VALUE!</v>
      </c>
      <c r="H105" s="266" t="e">
        <f aca="false">V105+AG105</f>
        <v>#VALUE!</v>
      </c>
      <c r="I105" s="266" t="e">
        <f aca="false">W105+AH105</f>
        <v>#VALUE!</v>
      </c>
      <c r="J105" s="265"/>
      <c r="K105" s="265"/>
      <c r="L105" s="265"/>
      <c r="M105" s="266" t="e">
        <f aca="false">X105+AI105</f>
        <v>#VALUE!</v>
      </c>
      <c r="N105" s="264" t="e">
        <f aca="false">Y105+AJ105</f>
        <v>#VALUE!</v>
      </c>
      <c r="O105" s="264" t="e">
        <f aca="false">Z105+AK105</f>
        <v>#VALUE!</v>
      </c>
      <c r="Q105" s="320" t="e">
        <f aca="false">EOMONTH(Q104,0)+15</f>
        <v>#VALUE!</v>
      </c>
      <c r="R105" s="266" t="e">
        <f aca="false">SUMIF(AM:AM,$Q105,AN:AN)+SUMIF(AQ:AQ,$Q105,AR:AR)+SUMIF(AU:AU,$Q105,AV:AV)+SUMIF(BU:BU,$Q105,BV:BV)+SUMIF(BZ:BZ,$Q105,CA:CA)+SUMIF(BG:BG,$Q105,BH:BH)+SUMIF(BK:BK,$Q105,BL:BL)+SUMIF(BP:BP,$Q105,BQ:BQ)</f>
        <v>#VALUE!</v>
      </c>
      <c r="S105" s="264" t="e">
        <f aca="false">SUMIF(AM:AM,$Q105,AP:AP)+SUMIF(BU:BU,$Q105,BW:BW)+SUMIF(BZ:BZ,$Q105,CB:CB)</f>
        <v>#VALUE!</v>
      </c>
      <c r="T105" s="264" t="e">
        <f aca="false">SUMIF(AQ:AQ,$Q105,AT:AT)+SUMIF(BG:BG,$Q105,BJ:BJ)+SUMIF(BK:BK,$Q105,BN:BN)</f>
        <v>#VALUE!</v>
      </c>
      <c r="U105" s="264" t="e">
        <f aca="false">SUMIF(AM:AM,$Q105,AO:AO)+SUMIF(AQ:AQ,$Q105,AS:AS)+SUMIF(BG:BG,$Q105,BI:BI)+SUMIF(BK:BK,$Q105,BM:BM)</f>
        <v>#VALUE!</v>
      </c>
      <c r="V105" s="264" t="e">
        <f aca="false">SUMIF(AU:AU,$Q105,AW:AW)</f>
        <v>#VALUE!</v>
      </c>
      <c r="W105" s="264" t="e">
        <f aca="false">SUMIF(AU:AU,$Q105,AX:AX)</f>
        <v>#VALUE!</v>
      </c>
      <c r="X105" s="264" t="e">
        <f aca="false">SUMIF(BP:BP,$Q105,BR:BR)</f>
        <v>#VALUE!</v>
      </c>
      <c r="Y105" s="266" t="e">
        <f aca="false">SUMIF(BP:BP,$Q105,BS:BS)</f>
        <v>#VALUE!</v>
      </c>
      <c r="Z105" s="264" t="e">
        <f aca="false">SUMIF(BU:BU,$Q105,BX:BX)+SUMIF(BZ:BZ,$Q105,CC:CC)</f>
        <v>#VALUE!</v>
      </c>
      <c r="AB105" s="320" t="e">
        <f aca="false">Q105</f>
        <v>#VALUE!</v>
      </c>
      <c r="AC105" s="321" t="e">
        <f aca="false">VLOOKUP(AB105,CE106:CK211,7,FALSE())</f>
        <v>#VALUE!</v>
      </c>
      <c r="AD105" s="264" t="e">
        <f aca="false">VLOOKUP(AB105,CE106:CJ211,3,FALSE())</f>
        <v>#VALUE!</v>
      </c>
      <c r="AE105" s="264" t="e">
        <f aca="false">VLOOKUP(AB105,CE106:CJ211,2,FALSE())</f>
        <v>#VALUE!</v>
      </c>
      <c r="AF105" s="264" t="e">
        <f aca="false">VLOOKUP(AB105,CE106:CJ211,4,FALSE())</f>
        <v>#VALUE!</v>
      </c>
      <c r="AG105" s="264" t="e">
        <f aca="false">VLOOKUP(AB105,CE106:CJ211,5,FALSE())</f>
        <v>#VALUE!</v>
      </c>
      <c r="AH105" s="264" t="e">
        <f aca="false">VLOOKUP(AB105,CE106:CJ211,6,FALSE())</f>
        <v>#VALUE!</v>
      </c>
      <c r="AI105" s="264" t="e">
        <f aca="false">VLOOKUP(AB105,CE106:CM211,8,FALSE())</f>
        <v>#VALUE!</v>
      </c>
      <c r="AJ105" s="266" t="e">
        <f aca="false">VLOOKUP(AB105,CE106:CM211,9,FALSE())</f>
        <v>#VALUE!</v>
      </c>
      <c r="AK105" s="264" t="e">
        <f aca="false">VLOOKUP(AB105,CE106:CN211,10,FALSE())</f>
        <v>#VALUE!</v>
      </c>
      <c r="AM105" s="322" t="e">
        <f aca="false">LongTerm1!D110</f>
        <v>#VALUE!</v>
      </c>
      <c r="AN105" s="323" t="e">
        <f aca="false">(LongTerm1!BM110+LongTerm1!BL110/(1-LongTerm1!AR110))*(LongTerm1!F110*LongTerm1!AF110*LongTerm1!AH110)/10000</f>
        <v>#VALUE!</v>
      </c>
      <c r="AO105" s="323" t="e">
        <f aca="false">LongTerm1!BM110*(LongTerm1!F110*LongTerm1!AF110*LongTerm1!AH110)/10000</f>
        <v>#VALUE!</v>
      </c>
      <c r="AP105" s="323" t="e">
        <f aca="false">(LongTerm1!BL110/(1-LongTerm1!AR110))*(LongTerm1!F110*LongTerm1!AF110*LongTerm1!AH110)/10000</f>
        <v>#VALUE!</v>
      </c>
      <c r="AQ105" s="324"/>
      <c r="AV105" s="319"/>
      <c r="AW105" s="319"/>
      <c r="AX105" s="319"/>
      <c r="AY105" s="319"/>
      <c r="AZ105" s="319"/>
      <c r="BA105" s="319"/>
      <c r="BB105" s="319"/>
      <c r="BC105" s="319"/>
      <c r="BD105" s="319"/>
      <c r="BE105" s="319"/>
      <c r="BF105" s="319"/>
      <c r="BG105" s="324"/>
      <c r="BH105" s="319"/>
      <c r="BI105" s="319"/>
      <c r="BJ105" s="319"/>
      <c r="BK105" s="319"/>
      <c r="BL105" s="319"/>
      <c r="BM105" s="319"/>
      <c r="BN105" s="319"/>
      <c r="BZ105" s="253"/>
      <c r="CA105" s="253"/>
      <c r="CD105" s="332"/>
      <c r="CE105" s="333" t="n">
        <f aca="false">EOMONTH(CE104,0)+15</f>
        <v>39706</v>
      </c>
      <c r="CF105" s="337" t="n">
        <v>18.9</v>
      </c>
      <c r="CG105" s="337" t="n">
        <v>99.3</v>
      </c>
      <c r="CH105" s="337" t="n">
        <v>-117.2</v>
      </c>
      <c r="CI105" s="337" t="n">
        <v>0</v>
      </c>
      <c r="CJ105" s="337" t="n">
        <v>0</v>
      </c>
      <c r="CK105" s="337" t="n">
        <v>2.1</v>
      </c>
      <c r="CL105" s="337" t="n">
        <v>0</v>
      </c>
      <c r="CM105" s="337" t="n">
        <v>0</v>
      </c>
      <c r="CN105" s="337" t="n">
        <v>0</v>
      </c>
    </row>
    <row r="106" customFormat="false" ht="12.75" hidden="false" customHeight="false" outlineLevel="0" collapsed="false">
      <c r="B106" s="320" t="e">
        <f aca="false">Q106</f>
        <v>#VALUE!</v>
      </c>
      <c r="C106" s="319" t="e">
        <f aca="false">YEAR(B106)</f>
        <v>#VALUE!</v>
      </c>
      <c r="D106" s="266" t="e">
        <f aca="false">R106+AC106</f>
        <v>#VALUE!</v>
      </c>
      <c r="E106" s="266" t="e">
        <f aca="false">S106+AD106</f>
        <v>#VALUE!</v>
      </c>
      <c r="F106" s="266" t="e">
        <f aca="false">+T106+AE106</f>
        <v>#VALUE!</v>
      </c>
      <c r="G106" s="266" t="e">
        <f aca="false">+U106+AF106</f>
        <v>#VALUE!</v>
      </c>
      <c r="H106" s="266" t="e">
        <f aca="false">V106+AG106</f>
        <v>#VALUE!</v>
      </c>
      <c r="I106" s="266" t="e">
        <f aca="false">W106+AH106</f>
        <v>#VALUE!</v>
      </c>
      <c r="J106" s="265"/>
      <c r="K106" s="265"/>
      <c r="L106" s="265"/>
      <c r="M106" s="266" t="e">
        <f aca="false">X106+AI106</f>
        <v>#VALUE!</v>
      </c>
      <c r="N106" s="264" t="e">
        <f aca="false">Y106+AJ106</f>
        <v>#VALUE!</v>
      </c>
      <c r="O106" s="264" t="e">
        <f aca="false">Z106+AK106</f>
        <v>#VALUE!</v>
      </c>
      <c r="Q106" s="320" t="e">
        <f aca="false">EOMONTH(Q105,0)+15</f>
        <v>#VALUE!</v>
      </c>
      <c r="R106" s="266" t="e">
        <f aca="false">SUMIF(AM:AM,$Q106,AN:AN)+SUMIF(AQ:AQ,$Q106,AR:AR)+SUMIF(AU:AU,$Q106,AV:AV)+SUMIF(BU:BU,$Q106,BV:BV)+SUMIF(BZ:BZ,$Q106,CA:CA)+SUMIF(BG:BG,$Q106,BH:BH)+SUMIF(BK:BK,$Q106,BL:BL)+SUMIF(BP:BP,$Q106,BQ:BQ)</f>
        <v>#VALUE!</v>
      </c>
      <c r="S106" s="264" t="e">
        <f aca="false">SUMIF(AM:AM,$Q106,AP:AP)+SUMIF(BU:BU,$Q106,BW:BW)+SUMIF(BZ:BZ,$Q106,CB:CB)</f>
        <v>#VALUE!</v>
      </c>
      <c r="T106" s="264" t="e">
        <f aca="false">SUMIF(AQ:AQ,$Q106,AT:AT)+SUMIF(BG:BG,$Q106,BJ:BJ)+SUMIF(BK:BK,$Q106,BN:BN)</f>
        <v>#VALUE!</v>
      </c>
      <c r="U106" s="264" t="e">
        <f aca="false">SUMIF(AM:AM,$Q106,AO:AO)+SUMIF(AQ:AQ,$Q106,AS:AS)+SUMIF(BG:BG,$Q106,BI:BI)+SUMIF(BK:BK,$Q106,BM:BM)</f>
        <v>#VALUE!</v>
      </c>
      <c r="V106" s="264" t="e">
        <f aca="false">SUMIF(AU:AU,$Q106,AW:AW)</f>
        <v>#VALUE!</v>
      </c>
      <c r="W106" s="264" t="e">
        <f aca="false">SUMIF(AU:AU,$Q106,AX:AX)</f>
        <v>#VALUE!</v>
      </c>
      <c r="X106" s="264" t="e">
        <f aca="false">SUMIF(BP:BP,$Q106,BR:BR)</f>
        <v>#VALUE!</v>
      </c>
      <c r="Y106" s="266" t="e">
        <f aca="false">SUMIF(BP:BP,$Q106,BS:BS)</f>
        <v>#VALUE!</v>
      </c>
      <c r="Z106" s="264" t="e">
        <f aca="false">SUMIF(BU:BU,$Q106,BX:BX)+SUMIF(BZ:BZ,$Q106,CC:CC)</f>
        <v>#VALUE!</v>
      </c>
      <c r="AB106" s="320" t="e">
        <f aca="false">Q106</f>
        <v>#VALUE!</v>
      </c>
      <c r="AC106" s="321" t="e">
        <f aca="false">VLOOKUP(AB106,CE107:CK212,7,FALSE())</f>
        <v>#VALUE!</v>
      </c>
      <c r="AD106" s="264" t="e">
        <f aca="false">VLOOKUP(AB106,CE107:CJ212,3,FALSE())</f>
        <v>#VALUE!</v>
      </c>
      <c r="AE106" s="264" t="e">
        <f aca="false">VLOOKUP(AB106,CE107:CJ212,2,FALSE())</f>
        <v>#VALUE!</v>
      </c>
      <c r="AF106" s="264" t="e">
        <f aca="false">VLOOKUP(AB106,CE107:CJ212,4,FALSE())</f>
        <v>#VALUE!</v>
      </c>
      <c r="AG106" s="264" t="e">
        <f aca="false">VLOOKUP(AB106,CE107:CJ212,5,FALSE())</f>
        <v>#VALUE!</v>
      </c>
      <c r="AH106" s="264" t="e">
        <f aca="false">VLOOKUP(AB106,CE107:CJ212,6,FALSE())</f>
        <v>#VALUE!</v>
      </c>
      <c r="AI106" s="264" t="e">
        <f aca="false">VLOOKUP(AB106,CE107:CM212,8,FALSE())</f>
        <v>#VALUE!</v>
      </c>
      <c r="AJ106" s="266" t="e">
        <f aca="false">VLOOKUP(AB106,CE107:CM212,9,FALSE())</f>
        <v>#VALUE!</v>
      </c>
      <c r="AK106" s="264" t="e">
        <f aca="false">VLOOKUP(AB106,CE107:CN212,10,FALSE())</f>
        <v>#VALUE!</v>
      </c>
      <c r="AM106" s="322" t="e">
        <f aca="false">LongTerm1!D111</f>
        <v>#VALUE!</v>
      </c>
      <c r="AN106" s="323" t="e">
        <f aca="false">(LongTerm1!BM111+LongTerm1!BL111/(1-LongTerm1!AR111))*(LongTerm1!F111*LongTerm1!AF111*LongTerm1!AH111)/10000</f>
        <v>#VALUE!</v>
      </c>
      <c r="AO106" s="323" t="e">
        <f aca="false">LongTerm1!BM111*(LongTerm1!F111*LongTerm1!AF111*LongTerm1!AH111)/10000</f>
        <v>#VALUE!</v>
      </c>
      <c r="AP106" s="323" t="e">
        <f aca="false">(LongTerm1!BL111/(1-LongTerm1!AR111))*(LongTerm1!F111*LongTerm1!AF111*LongTerm1!AH111)/10000</f>
        <v>#VALUE!</v>
      </c>
      <c r="AQ106" s="324"/>
      <c r="AV106" s="319"/>
      <c r="AW106" s="319"/>
      <c r="AX106" s="319"/>
      <c r="AY106" s="319"/>
      <c r="AZ106" s="319"/>
      <c r="BA106" s="319"/>
      <c r="BB106" s="319"/>
      <c r="BC106" s="319"/>
      <c r="BD106" s="319"/>
      <c r="BE106" s="319"/>
      <c r="BF106" s="319"/>
      <c r="BG106" s="319"/>
      <c r="BH106" s="319"/>
      <c r="BI106" s="319"/>
      <c r="BJ106" s="319"/>
      <c r="BK106" s="319"/>
      <c r="BL106" s="319"/>
      <c r="BM106" s="319"/>
      <c r="BN106" s="319"/>
      <c r="BZ106" s="253"/>
      <c r="CA106" s="253"/>
      <c r="CD106" s="332"/>
      <c r="CE106" s="333" t="n">
        <f aca="false">EOMONTH(CE105,0)+15</f>
        <v>39736</v>
      </c>
      <c r="CF106" s="337" t="n">
        <v>19.5</v>
      </c>
      <c r="CG106" s="337" t="n">
        <v>99.5</v>
      </c>
      <c r="CH106" s="337" t="n">
        <v>-118.1</v>
      </c>
      <c r="CI106" s="337" t="n">
        <v>0</v>
      </c>
      <c r="CJ106" s="337" t="n">
        <v>0</v>
      </c>
      <c r="CK106" s="337" t="n">
        <v>2</v>
      </c>
      <c r="CL106" s="337" t="n">
        <v>0</v>
      </c>
      <c r="CM106" s="337" t="n">
        <v>0</v>
      </c>
      <c r="CN106" s="337" t="n">
        <v>0</v>
      </c>
    </row>
    <row r="107" customFormat="false" ht="12.75" hidden="false" customHeight="false" outlineLevel="0" collapsed="false">
      <c r="B107" s="320" t="e">
        <f aca="false">Q107</f>
        <v>#VALUE!</v>
      </c>
      <c r="C107" s="319" t="e">
        <f aca="false">YEAR(B107)</f>
        <v>#VALUE!</v>
      </c>
      <c r="D107" s="266" t="e">
        <f aca="false">R107+AC107</f>
        <v>#VALUE!</v>
      </c>
      <c r="E107" s="266" t="e">
        <f aca="false">S107+AD107</f>
        <v>#VALUE!</v>
      </c>
      <c r="F107" s="266" t="e">
        <f aca="false">+T107+AE107</f>
        <v>#VALUE!</v>
      </c>
      <c r="G107" s="266" t="e">
        <f aca="false">+U107+AF107</f>
        <v>#VALUE!</v>
      </c>
      <c r="H107" s="266" t="e">
        <f aca="false">V107+AG107</f>
        <v>#VALUE!</v>
      </c>
      <c r="I107" s="266" t="e">
        <f aca="false">W107+AH107</f>
        <v>#VALUE!</v>
      </c>
      <c r="J107" s="265"/>
      <c r="K107" s="265"/>
      <c r="L107" s="265"/>
      <c r="M107" s="266" t="e">
        <f aca="false">X107+AI107</f>
        <v>#VALUE!</v>
      </c>
      <c r="N107" s="264" t="e">
        <f aca="false">Y107+AJ107</f>
        <v>#VALUE!</v>
      </c>
      <c r="O107" s="264" t="e">
        <f aca="false">Z107+AK107</f>
        <v>#VALUE!</v>
      </c>
      <c r="Q107" s="320" t="e">
        <f aca="false">EOMONTH(Q106,0)+15</f>
        <v>#VALUE!</v>
      </c>
      <c r="R107" s="266" t="e">
        <f aca="false">SUMIF(AM:AM,$Q107,AN:AN)+SUMIF(AQ:AQ,$Q107,AR:AR)+SUMIF(AU:AU,$Q107,AV:AV)+SUMIF(BU:BU,$Q107,BV:BV)+SUMIF(BZ:BZ,$Q107,CA:CA)+SUMIF(BG:BG,$Q107,BH:BH)+SUMIF(BK:BK,$Q107,BL:BL)+SUMIF(BP:BP,$Q107,BQ:BQ)</f>
        <v>#VALUE!</v>
      </c>
      <c r="S107" s="264" t="e">
        <f aca="false">SUMIF(AM:AM,$Q107,AP:AP)+SUMIF(BU:BU,$Q107,BW:BW)+SUMIF(BZ:BZ,$Q107,CB:CB)</f>
        <v>#VALUE!</v>
      </c>
      <c r="T107" s="264" t="e">
        <f aca="false">SUMIF(AQ:AQ,$Q107,AT:AT)+SUMIF(BG:BG,$Q107,BJ:BJ)+SUMIF(BK:BK,$Q107,BN:BN)</f>
        <v>#VALUE!</v>
      </c>
      <c r="U107" s="264" t="e">
        <f aca="false">SUMIF(AM:AM,$Q107,AO:AO)+SUMIF(AQ:AQ,$Q107,AS:AS)+SUMIF(BG:BG,$Q107,BI:BI)+SUMIF(BK:BK,$Q107,BM:BM)</f>
        <v>#VALUE!</v>
      </c>
      <c r="V107" s="264" t="e">
        <f aca="false">SUMIF(AU:AU,$Q107,AW:AW)</f>
        <v>#VALUE!</v>
      </c>
      <c r="W107" s="264" t="e">
        <f aca="false">SUMIF(AU:AU,$Q107,AX:AX)</f>
        <v>#VALUE!</v>
      </c>
      <c r="X107" s="264" t="e">
        <f aca="false">SUMIF(BP:BP,$Q107,BR:BR)</f>
        <v>#VALUE!</v>
      </c>
      <c r="Y107" s="266" t="e">
        <f aca="false">SUMIF(BP:BP,$Q107,BS:BS)</f>
        <v>#VALUE!</v>
      </c>
      <c r="Z107" s="264" t="e">
        <f aca="false">SUMIF(BU:BU,$Q107,BX:BX)+SUMIF(BZ:BZ,$Q107,CC:CC)</f>
        <v>#VALUE!</v>
      </c>
      <c r="AB107" s="320" t="e">
        <f aca="false">Q107</f>
        <v>#VALUE!</v>
      </c>
      <c r="AC107" s="321"/>
      <c r="AD107" s="264"/>
      <c r="AE107" s="264"/>
      <c r="AF107" s="264"/>
      <c r="AG107" s="264"/>
      <c r="AH107" s="264"/>
      <c r="AI107" s="264"/>
      <c r="AJ107" s="266"/>
      <c r="AK107" s="264"/>
      <c r="AM107" s="322" t="e">
        <f aca="false">LongTerm1!D112</f>
        <v>#VALUE!</v>
      </c>
      <c r="AN107" s="323" t="e">
        <f aca="false">(LongTerm1!BM112+LongTerm1!BL112/(1-LongTerm1!AR112))*(LongTerm1!F112*LongTerm1!AF112*LongTerm1!AH112)/10000</f>
        <v>#VALUE!</v>
      </c>
      <c r="AO107" s="323" t="e">
        <f aca="false">LongTerm1!BM112*(LongTerm1!F112*LongTerm1!AF112*LongTerm1!AH112)/10000</f>
        <v>#VALUE!</v>
      </c>
      <c r="AP107" s="323" t="e">
        <f aca="false">(LongTerm1!BL112/(1-LongTerm1!AR112))*(LongTerm1!F112*LongTerm1!AF112*LongTerm1!AH112)/10000</f>
        <v>#VALUE!</v>
      </c>
      <c r="AQ107" s="324"/>
      <c r="AV107" s="319"/>
      <c r="AW107" s="319"/>
      <c r="AX107" s="319"/>
      <c r="AY107" s="319"/>
      <c r="AZ107" s="319"/>
      <c r="BA107" s="319"/>
      <c r="BB107" s="319"/>
      <c r="BC107" s="319"/>
      <c r="BD107" s="319"/>
      <c r="BE107" s="319"/>
      <c r="BF107" s="319"/>
      <c r="BG107" s="319"/>
      <c r="BH107" s="319"/>
      <c r="BI107" s="319"/>
      <c r="BJ107" s="319"/>
      <c r="BK107" s="319"/>
      <c r="BL107" s="319"/>
      <c r="BM107" s="319"/>
      <c r="BN107" s="319"/>
      <c r="BZ107" s="253"/>
      <c r="CA107" s="253"/>
      <c r="CD107" s="332"/>
      <c r="CE107" s="333" t="n">
        <f aca="false">EOMONTH(CE106,0)+15</f>
        <v>39767</v>
      </c>
      <c r="CF107" s="337" t="n">
        <v>18.9</v>
      </c>
      <c r="CG107" s="337" t="n">
        <v>80.4</v>
      </c>
      <c r="CH107" s="337" t="n">
        <v>-99.9</v>
      </c>
      <c r="CI107" s="337" t="n">
        <v>0</v>
      </c>
      <c r="CJ107" s="337" t="n">
        <v>0</v>
      </c>
      <c r="CK107" s="337" t="n">
        <v>2</v>
      </c>
      <c r="CL107" s="337" t="n">
        <v>0</v>
      </c>
      <c r="CM107" s="337" t="n">
        <v>0</v>
      </c>
      <c r="CN107" s="337" t="n">
        <v>0</v>
      </c>
    </row>
    <row r="108" customFormat="false" ht="12.75" hidden="false" customHeight="false" outlineLevel="0" collapsed="false">
      <c r="B108" s="320" t="e">
        <f aca="false">Q108</f>
        <v>#VALUE!</v>
      </c>
      <c r="C108" s="319" t="e">
        <f aca="false">YEAR(B108)</f>
        <v>#VALUE!</v>
      </c>
      <c r="D108" s="266" t="e">
        <f aca="false">R108+AC108</f>
        <v>#VALUE!</v>
      </c>
      <c r="E108" s="266" t="e">
        <f aca="false">S108+AD108</f>
        <v>#VALUE!</v>
      </c>
      <c r="F108" s="266" t="e">
        <f aca="false">+T108+AE108</f>
        <v>#VALUE!</v>
      </c>
      <c r="G108" s="266" t="e">
        <f aca="false">+U108+AF108</f>
        <v>#VALUE!</v>
      </c>
      <c r="H108" s="266" t="e">
        <f aca="false">V108+AG108</f>
        <v>#VALUE!</v>
      </c>
      <c r="I108" s="266" t="e">
        <f aca="false">W108+AH108</f>
        <v>#VALUE!</v>
      </c>
      <c r="J108" s="265"/>
      <c r="K108" s="265"/>
      <c r="L108" s="265"/>
      <c r="M108" s="266" t="e">
        <f aca="false">X108+AI108</f>
        <v>#VALUE!</v>
      </c>
      <c r="N108" s="264" t="e">
        <f aca="false">Y108+AJ108</f>
        <v>#VALUE!</v>
      </c>
      <c r="O108" s="264" t="e">
        <f aca="false">Z108+AK108</f>
        <v>#VALUE!</v>
      </c>
      <c r="Q108" s="320" t="e">
        <f aca="false">EOMONTH(Q107,0)+15</f>
        <v>#VALUE!</v>
      </c>
      <c r="R108" s="266" t="e">
        <f aca="false">SUMIF(AM:AM,$Q108,AN:AN)+SUMIF(AQ:AQ,$Q108,AR:AR)+SUMIF(AU:AU,$Q108,AV:AV)+SUMIF(BU:BU,$Q108,BV:BV)+SUMIF(BZ:BZ,$Q108,CA:CA)+SUMIF(BG:BG,$Q108,BH:BH)+SUMIF(BK:BK,$Q108,BL:BL)+SUMIF(BP:BP,$Q108,BQ:BQ)</f>
        <v>#VALUE!</v>
      </c>
      <c r="S108" s="264" t="e">
        <f aca="false">SUMIF(AM:AM,$Q108,AP:AP)+SUMIF(BU:BU,$Q108,BW:BW)+SUMIF(BZ:BZ,$Q108,CB:CB)</f>
        <v>#VALUE!</v>
      </c>
      <c r="T108" s="264" t="e">
        <f aca="false">SUMIF(AQ:AQ,$Q108,AT:AT)+SUMIF(BG:BG,$Q108,BJ:BJ)+SUMIF(BK:BK,$Q108,BN:BN)</f>
        <v>#VALUE!</v>
      </c>
      <c r="U108" s="264" t="e">
        <f aca="false">SUMIF(AM:AM,$Q108,AO:AO)+SUMIF(AQ:AQ,$Q108,AS:AS)+SUMIF(BG:BG,$Q108,BI:BI)+SUMIF(BK:BK,$Q108,BM:BM)</f>
        <v>#VALUE!</v>
      </c>
      <c r="V108" s="264" t="e">
        <f aca="false">SUMIF(AU:AU,$Q108,AW:AW)</f>
        <v>#VALUE!</v>
      </c>
      <c r="W108" s="264" t="e">
        <f aca="false">SUMIF(AU:AU,$Q108,AX:AX)</f>
        <v>#VALUE!</v>
      </c>
      <c r="X108" s="264" t="e">
        <f aca="false">SUMIF(BP:BP,$Q108,BR:BR)</f>
        <v>#VALUE!</v>
      </c>
      <c r="Y108" s="266" t="e">
        <f aca="false">SUMIF(BP:BP,$Q108,BS:BS)</f>
        <v>#VALUE!</v>
      </c>
      <c r="Z108" s="264" t="e">
        <f aca="false">SUMIF(BU:BU,$Q108,BX:BX)+SUMIF(BZ:BZ,$Q108,CC:CC)</f>
        <v>#VALUE!</v>
      </c>
      <c r="AB108" s="320" t="e">
        <f aca="false">Q108</f>
        <v>#VALUE!</v>
      </c>
      <c r="AC108" s="321"/>
      <c r="AD108" s="264"/>
      <c r="AE108" s="264"/>
      <c r="AF108" s="264"/>
      <c r="AG108" s="264"/>
      <c r="AH108" s="264"/>
      <c r="AI108" s="264"/>
      <c r="AJ108" s="266"/>
      <c r="AK108" s="264"/>
      <c r="AM108" s="322" t="e">
        <f aca="false">LongTerm1!D113</f>
        <v>#VALUE!</v>
      </c>
      <c r="AN108" s="323" t="e">
        <f aca="false">(LongTerm1!BM113+LongTerm1!BL113/(1-LongTerm1!AR113))*(LongTerm1!F113*LongTerm1!AF113*LongTerm1!AH113)/10000</f>
        <v>#VALUE!</v>
      </c>
      <c r="AO108" s="323" t="e">
        <f aca="false">LongTerm1!BM113*(LongTerm1!F113*LongTerm1!AF113*LongTerm1!AH113)/10000</f>
        <v>#VALUE!</v>
      </c>
      <c r="AP108" s="323" t="e">
        <f aca="false">(LongTerm1!BL113/(1-LongTerm1!AR113))*(LongTerm1!F113*LongTerm1!AF113*LongTerm1!AH113)/10000</f>
        <v>#VALUE!</v>
      </c>
      <c r="AQ108" s="324"/>
      <c r="AV108" s="319"/>
      <c r="AW108" s="319"/>
      <c r="AX108" s="319"/>
      <c r="AY108" s="319"/>
      <c r="AZ108" s="319"/>
      <c r="BA108" s="319"/>
      <c r="BB108" s="319"/>
      <c r="BC108" s="319"/>
      <c r="BD108" s="319"/>
      <c r="BE108" s="319"/>
      <c r="BF108" s="319"/>
      <c r="BG108" s="319"/>
      <c r="BH108" s="319"/>
      <c r="BI108" s="319"/>
      <c r="BJ108" s="319"/>
      <c r="BK108" s="319"/>
      <c r="BL108" s="319"/>
      <c r="BM108" s="319"/>
      <c r="BN108" s="319"/>
      <c r="BZ108" s="253"/>
      <c r="CA108" s="253"/>
      <c r="CD108" s="332"/>
      <c r="CE108" s="333" t="n">
        <f aca="false">EOMONTH(CE107,0)+15</f>
        <v>39797</v>
      </c>
      <c r="CF108" s="337" t="n">
        <v>19.4</v>
      </c>
      <c r="CG108" s="337" t="n">
        <v>73.7</v>
      </c>
      <c r="CH108" s="337" t="n">
        <v>-94.7</v>
      </c>
      <c r="CI108" s="337" t="n">
        <v>0</v>
      </c>
      <c r="CJ108" s="337" t="n">
        <v>0</v>
      </c>
      <c r="CK108" s="337" t="n">
        <v>2</v>
      </c>
      <c r="CL108" s="337" t="n">
        <v>0</v>
      </c>
      <c r="CM108" s="337" t="n">
        <v>0</v>
      </c>
      <c r="CN108" s="337" t="n">
        <v>0</v>
      </c>
    </row>
    <row r="109" customFormat="false" ht="12.75" hidden="false" customHeight="false" outlineLevel="0" collapsed="false">
      <c r="B109" s="320" t="e">
        <f aca="false">Q109</f>
        <v>#VALUE!</v>
      </c>
      <c r="C109" s="319" t="e">
        <f aca="false">YEAR(B109)</f>
        <v>#VALUE!</v>
      </c>
      <c r="D109" s="266" t="e">
        <f aca="false">R109+AC109</f>
        <v>#VALUE!</v>
      </c>
      <c r="E109" s="266" t="e">
        <f aca="false">S109+AD109</f>
        <v>#VALUE!</v>
      </c>
      <c r="F109" s="266" t="e">
        <f aca="false">+T109+AE109</f>
        <v>#VALUE!</v>
      </c>
      <c r="G109" s="266" t="e">
        <f aca="false">+U109+AF109</f>
        <v>#VALUE!</v>
      </c>
      <c r="H109" s="266" t="e">
        <f aca="false">V109+AG109</f>
        <v>#VALUE!</v>
      </c>
      <c r="I109" s="266" t="e">
        <f aca="false">W109+AH109</f>
        <v>#VALUE!</v>
      </c>
      <c r="J109" s="265"/>
      <c r="K109" s="265"/>
      <c r="L109" s="265"/>
      <c r="M109" s="266" t="e">
        <f aca="false">X109+AI109</f>
        <v>#VALUE!</v>
      </c>
      <c r="N109" s="264" t="e">
        <f aca="false">Y109+AJ109</f>
        <v>#VALUE!</v>
      </c>
      <c r="O109" s="264" t="e">
        <f aca="false">Z109+AK109</f>
        <v>#VALUE!</v>
      </c>
      <c r="Q109" s="320" t="e">
        <f aca="false">EOMONTH(Q108,0)+15</f>
        <v>#VALUE!</v>
      </c>
      <c r="R109" s="266" t="e">
        <f aca="false">SUMIF(AM:AM,$Q109,AN:AN)+SUMIF(AQ:AQ,$Q109,AR:AR)+SUMIF(AU:AU,$Q109,AV:AV)+SUMIF(BU:BU,$Q109,BV:BV)+SUMIF(BZ:BZ,$Q109,CA:CA)+SUMIF(BG:BG,$Q109,BH:BH)+SUMIF(BK:BK,$Q109,BL:BL)+SUMIF(BP:BP,$Q109,BQ:BQ)</f>
        <v>#VALUE!</v>
      </c>
      <c r="S109" s="264" t="e">
        <f aca="false">SUMIF(AM:AM,$Q109,AP:AP)+SUMIF(BU:BU,$Q109,BW:BW)+SUMIF(BZ:BZ,$Q109,CB:CB)</f>
        <v>#VALUE!</v>
      </c>
      <c r="T109" s="264" t="e">
        <f aca="false">SUMIF(AQ:AQ,$Q109,AT:AT)+SUMIF(BG:BG,$Q109,BJ:BJ)+SUMIF(BK:BK,$Q109,BN:BN)</f>
        <v>#VALUE!</v>
      </c>
      <c r="U109" s="264" t="e">
        <f aca="false">SUMIF(AM:AM,$Q109,AO:AO)+SUMIF(AQ:AQ,$Q109,AS:AS)+SUMIF(BG:BG,$Q109,BI:BI)+SUMIF(BK:BK,$Q109,BM:BM)</f>
        <v>#VALUE!</v>
      </c>
      <c r="V109" s="264" t="e">
        <f aca="false">SUMIF(AU:AU,$Q109,AW:AW)</f>
        <v>#VALUE!</v>
      </c>
      <c r="W109" s="264" t="e">
        <f aca="false">SUMIF(AU:AU,$Q109,AX:AX)</f>
        <v>#VALUE!</v>
      </c>
      <c r="X109" s="264" t="e">
        <f aca="false">SUMIF(BP:BP,$Q109,BR:BR)</f>
        <v>#VALUE!</v>
      </c>
      <c r="Y109" s="266" t="e">
        <f aca="false">SUMIF(BP:BP,$Q109,BS:BS)</f>
        <v>#VALUE!</v>
      </c>
      <c r="Z109" s="264" t="e">
        <f aca="false">SUMIF(BU:BU,$Q109,BX:BX)+SUMIF(BZ:BZ,$Q109,CC:CC)</f>
        <v>#VALUE!</v>
      </c>
      <c r="AB109" s="320" t="e">
        <f aca="false">Q109</f>
        <v>#VALUE!</v>
      </c>
      <c r="AC109" s="321"/>
      <c r="AD109" s="264"/>
      <c r="AE109" s="264"/>
      <c r="AF109" s="264"/>
      <c r="AG109" s="264"/>
      <c r="AH109" s="264"/>
      <c r="AI109" s="264"/>
      <c r="AJ109" s="266"/>
      <c r="AK109" s="264"/>
      <c r="AM109" s="322" t="e">
        <f aca="false">LongTerm1!D114</f>
        <v>#VALUE!</v>
      </c>
      <c r="AN109" s="323" t="e">
        <f aca="false">(LongTerm1!BM114+LongTerm1!BL114/(1-LongTerm1!AR114))*(LongTerm1!F114*LongTerm1!AF114*LongTerm1!AH114)/10000</f>
        <v>#VALUE!</v>
      </c>
      <c r="AO109" s="323" t="e">
        <f aca="false">LongTerm1!BM114*(LongTerm1!F114*LongTerm1!AF114*LongTerm1!AH114)/10000</f>
        <v>#VALUE!</v>
      </c>
      <c r="AP109" s="323" t="e">
        <f aca="false">(LongTerm1!BL114/(1-LongTerm1!AR114))*(LongTerm1!F114*LongTerm1!AF114*LongTerm1!AH114)/10000</f>
        <v>#VALUE!</v>
      </c>
      <c r="AQ109" s="324"/>
      <c r="AV109" s="319"/>
      <c r="AW109" s="319"/>
      <c r="AX109" s="319"/>
      <c r="AY109" s="319"/>
      <c r="AZ109" s="319"/>
      <c r="BA109" s="319"/>
      <c r="BB109" s="319"/>
      <c r="BC109" s="319"/>
      <c r="BD109" s="319"/>
      <c r="BE109" s="319"/>
      <c r="BF109" s="319"/>
      <c r="BG109" s="319"/>
      <c r="BH109" s="319"/>
      <c r="BI109" s="319"/>
      <c r="BJ109" s="319"/>
      <c r="BK109" s="319"/>
      <c r="BL109" s="319"/>
      <c r="BM109" s="319"/>
      <c r="BN109" s="319"/>
      <c r="BZ109" s="253"/>
      <c r="CA109" s="253"/>
      <c r="CD109" s="332"/>
      <c r="CE109" s="333" t="n">
        <f aca="false">EOMONTH(CE108,0)+15</f>
        <v>39828</v>
      </c>
      <c r="CF109" s="337" t="n">
        <v>19</v>
      </c>
      <c r="CG109" s="337" t="n">
        <v>69.1</v>
      </c>
      <c r="CH109" s="337" t="n">
        <v>-89.4</v>
      </c>
      <c r="CI109" s="337" t="n">
        <v>0</v>
      </c>
      <c r="CJ109" s="337" t="n">
        <v>0</v>
      </c>
      <c r="CK109" s="337" t="n">
        <v>2.8</v>
      </c>
      <c r="CL109" s="337" t="n">
        <v>0</v>
      </c>
      <c r="CM109" s="337" t="n">
        <v>0</v>
      </c>
      <c r="CN109" s="337" t="n">
        <v>0</v>
      </c>
    </row>
    <row r="110" customFormat="false" ht="12.75" hidden="false" customHeight="false" outlineLevel="0" collapsed="false">
      <c r="B110" s="320" t="e">
        <f aca="false">Q110</f>
        <v>#VALUE!</v>
      </c>
      <c r="C110" s="319" t="e">
        <f aca="false">YEAR(B110)</f>
        <v>#VALUE!</v>
      </c>
      <c r="D110" s="266" t="e">
        <f aca="false">R110+AC110</f>
        <v>#VALUE!</v>
      </c>
      <c r="E110" s="266" t="e">
        <f aca="false">S110+AD110</f>
        <v>#VALUE!</v>
      </c>
      <c r="F110" s="266" t="e">
        <f aca="false">+T110+AE110</f>
        <v>#VALUE!</v>
      </c>
      <c r="G110" s="266" t="e">
        <f aca="false">+U110+AF110</f>
        <v>#VALUE!</v>
      </c>
      <c r="H110" s="266" t="e">
        <f aca="false">V110+AG110</f>
        <v>#VALUE!</v>
      </c>
      <c r="I110" s="266" t="e">
        <f aca="false">W110+AH110</f>
        <v>#VALUE!</v>
      </c>
      <c r="J110" s="265"/>
      <c r="K110" s="265"/>
      <c r="L110" s="265"/>
      <c r="M110" s="266" t="e">
        <f aca="false">X110+AI110</f>
        <v>#VALUE!</v>
      </c>
      <c r="N110" s="264" t="e">
        <f aca="false">Y110+AJ110</f>
        <v>#VALUE!</v>
      </c>
      <c r="O110" s="264" t="e">
        <f aca="false">Z110+AK110</f>
        <v>#VALUE!</v>
      </c>
      <c r="Q110" s="320" t="e">
        <f aca="false">EOMONTH(Q109,0)+15</f>
        <v>#VALUE!</v>
      </c>
      <c r="R110" s="266" t="e">
        <f aca="false">SUMIF(AM:AM,$Q110,AN:AN)+SUMIF(AQ:AQ,$Q110,AR:AR)+SUMIF(AU:AU,$Q110,AV:AV)+SUMIF(BU:BU,$Q110,BV:BV)+SUMIF(BZ:BZ,$Q110,CA:CA)+SUMIF(BG:BG,$Q110,BH:BH)+SUMIF(BK:BK,$Q110,BL:BL)+SUMIF(BP:BP,$Q110,BQ:BQ)</f>
        <v>#VALUE!</v>
      </c>
      <c r="S110" s="264" t="e">
        <f aca="false">SUMIF(AM:AM,$Q110,AP:AP)+SUMIF(BU:BU,$Q110,BW:BW)+SUMIF(BZ:BZ,$Q110,CB:CB)</f>
        <v>#VALUE!</v>
      </c>
      <c r="T110" s="264" t="e">
        <f aca="false">SUMIF(AQ:AQ,$Q110,AT:AT)+SUMIF(BG:BG,$Q110,BJ:BJ)+SUMIF(BK:BK,$Q110,BN:BN)</f>
        <v>#VALUE!</v>
      </c>
      <c r="U110" s="264" t="e">
        <f aca="false">SUMIF(AM:AM,$Q110,AO:AO)+SUMIF(AQ:AQ,$Q110,AS:AS)+SUMIF(BG:BG,$Q110,BI:BI)+SUMIF(BK:BK,$Q110,BM:BM)</f>
        <v>#VALUE!</v>
      </c>
      <c r="V110" s="264" t="e">
        <f aca="false">SUMIF(AU:AU,$Q110,AW:AW)</f>
        <v>#VALUE!</v>
      </c>
      <c r="W110" s="264" t="e">
        <f aca="false">SUMIF(AU:AU,$Q110,AX:AX)</f>
        <v>#VALUE!</v>
      </c>
      <c r="X110" s="264" t="e">
        <f aca="false">SUMIF(BP:BP,$Q110,BR:BR)</f>
        <v>#VALUE!</v>
      </c>
      <c r="Y110" s="266" t="e">
        <f aca="false">SUMIF(BP:BP,$Q110,BS:BS)</f>
        <v>#VALUE!</v>
      </c>
      <c r="Z110" s="264" t="e">
        <f aca="false">SUMIF(BU:BU,$Q110,BX:BX)+SUMIF(BZ:BZ,$Q110,CC:CC)</f>
        <v>#VALUE!</v>
      </c>
      <c r="AB110" s="320" t="e">
        <f aca="false">Q110</f>
        <v>#VALUE!</v>
      </c>
      <c r="AC110" s="321"/>
      <c r="AD110" s="264"/>
      <c r="AE110" s="264"/>
      <c r="AF110" s="264"/>
      <c r="AG110" s="264"/>
      <c r="AH110" s="264"/>
      <c r="AI110" s="264"/>
      <c r="AJ110" s="266"/>
      <c r="AK110" s="264"/>
      <c r="AM110" s="322" t="e">
        <f aca="false">LongTerm1!D115</f>
        <v>#VALUE!</v>
      </c>
      <c r="AN110" s="323" t="e">
        <f aca="false">(LongTerm1!BM115+LongTerm1!BL115/(1-LongTerm1!AR115))*(LongTerm1!F115*LongTerm1!AF115*LongTerm1!AH115)/10000</f>
        <v>#VALUE!</v>
      </c>
      <c r="AO110" s="323" t="e">
        <f aca="false">LongTerm1!BM115*(LongTerm1!F115*LongTerm1!AF115*LongTerm1!AH115)/10000</f>
        <v>#VALUE!</v>
      </c>
      <c r="AP110" s="323" t="e">
        <f aca="false">(LongTerm1!BL115/(1-LongTerm1!AR115))*(LongTerm1!F115*LongTerm1!AF115*LongTerm1!AH115)/10000</f>
        <v>#VALUE!</v>
      </c>
      <c r="AQ110" s="324"/>
      <c r="AV110" s="319"/>
      <c r="AW110" s="319"/>
      <c r="AX110" s="319"/>
      <c r="AY110" s="319"/>
      <c r="AZ110" s="319"/>
      <c r="BA110" s="319"/>
      <c r="BB110" s="319"/>
      <c r="BC110" s="319"/>
      <c r="BD110" s="319"/>
      <c r="BE110" s="319"/>
      <c r="BF110" s="319"/>
      <c r="BG110" s="319"/>
      <c r="BH110" s="319"/>
      <c r="BI110" s="319"/>
      <c r="BJ110" s="319"/>
      <c r="BK110" s="319"/>
      <c r="BL110" s="319"/>
      <c r="BM110" s="319"/>
      <c r="BN110" s="319"/>
      <c r="BZ110" s="253"/>
      <c r="CA110" s="253"/>
      <c r="CD110" s="332"/>
      <c r="CE110" s="333" t="n">
        <f aca="false">EOMONTH(CE109,0)+15</f>
        <v>39859</v>
      </c>
      <c r="CF110" s="337" t="n">
        <v>17.5</v>
      </c>
      <c r="CG110" s="337" t="n">
        <v>62.4</v>
      </c>
      <c r="CH110" s="337" t="n">
        <v>-81.1</v>
      </c>
      <c r="CI110" s="337" t="n">
        <v>0</v>
      </c>
      <c r="CJ110" s="337" t="n">
        <v>0</v>
      </c>
      <c r="CK110" s="337" t="n">
        <v>2.8</v>
      </c>
      <c r="CL110" s="337" t="n">
        <v>0</v>
      </c>
      <c r="CM110" s="337" t="n">
        <v>0</v>
      </c>
      <c r="CN110" s="337" t="n">
        <v>0</v>
      </c>
    </row>
    <row r="111" customFormat="false" ht="12.75" hidden="false" customHeight="false" outlineLevel="0" collapsed="false">
      <c r="B111" s="320" t="e">
        <f aca="false">Q111</f>
        <v>#VALUE!</v>
      </c>
      <c r="C111" s="319" t="e">
        <f aca="false">YEAR(B111)</f>
        <v>#VALUE!</v>
      </c>
      <c r="D111" s="266" t="e">
        <f aca="false">R111+AC111</f>
        <v>#VALUE!</v>
      </c>
      <c r="E111" s="266" t="e">
        <f aca="false">S111+AD111</f>
        <v>#VALUE!</v>
      </c>
      <c r="F111" s="266" t="e">
        <f aca="false">+T111+AE111</f>
        <v>#VALUE!</v>
      </c>
      <c r="G111" s="266" t="e">
        <f aca="false">+U111+AF111</f>
        <v>#VALUE!</v>
      </c>
      <c r="H111" s="266" t="e">
        <f aca="false">V111+AG111</f>
        <v>#VALUE!</v>
      </c>
      <c r="I111" s="266" t="e">
        <f aca="false">W111+AH111</f>
        <v>#VALUE!</v>
      </c>
      <c r="J111" s="265"/>
      <c r="K111" s="265"/>
      <c r="L111" s="265"/>
      <c r="M111" s="266" t="e">
        <f aca="false">X111+AI111</f>
        <v>#VALUE!</v>
      </c>
      <c r="N111" s="264" t="e">
        <f aca="false">Y111+AJ111</f>
        <v>#VALUE!</v>
      </c>
      <c r="O111" s="264" t="e">
        <f aca="false">Z111+AK111</f>
        <v>#VALUE!</v>
      </c>
      <c r="Q111" s="320" t="e">
        <f aca="false">EOMONTH(Q110,0)+15</f>
        <v>#VALUE!</v>
      </c>
      <c r="R111" s="266" t="e">
        <f aca="false">SUMIF(AM:AM,$Q111,AN:AN)+SUMIF(AQ:AQ,$Q111,AR:AR)+SUMIF(AU:AU,$Q111,AV:AV)+SUMIF(BU:BU,$Q111,BV:BV)+SUMIF(BZ:BZ,$Q111,CA:CA)+SUMIF(BG:BG,$Q111,BH:BH)+SUMIF(BK:BK,$Q111,BL:BL)+SUMIF(BP:BP,$Q111,BQ:BQ)</f>
        <v>#VALUE!</v>
      </c>
      <c r="S111" s="264" t="e">
        <f aca="false">SUMIF(AM:AM,$Q111,AP:AP)+SUMIF(BU:BU,$Q111,BW:BW)+SUMIF(BZ:BZ,$Q111,CB:CB)</f>
        <v>#VALUE!</v>
      </c>
      <c r="T111" s="264" t="e">
        <f aca="false">SUMIF(AQ:AQ,$Q111,AT:AT)+SUMIF(BG:BG,$Q111,BJ:BJ)+SUMIF(BK:BK,$Q111,BN:BN)</f>
        <v>#VALUE!</v>
      </c>
      <c r="U111" s="264" t="e">
        <f aca="false">SUMIF(AM:AM,$Q111,AO:AO)+SUMIF(AQ:AQ,$Q111,AS:AS)+SUMIF(BG:BG,$Q111,BI:BI)+SUMIF(BK:BK,$Q111,BM:BM)</f>
        <v>#VALUE!</v>
      </c>
      <c r="V111" s="264" t="e">
        <f aca="false">SUMIF(AU:AU,$Q111,AW:AW)</f>
        <v>#VALUE!</v>
      </c>
      <c r="W111" s="264" t="e">
        <f aca="false">SUMIF(AU:AU,$Q111,AX:AX)</f>
        <v>#VALUE!</v>
      </c>
      <c r="X111" s="264" t="e">
        <f aca="false">SUMIF(BP:BP,$Q111,BR:BR)</f>
        <v>#VALUE!</v>
      </c>
      <c r="Y111" s="266" t="e">
        <f aca="false">SUMIF(BP:BP,$Q111,BS:BS)</f>
        <v>#VALUE!</v>
      </c>
      <c r="Z111" s="264" t="e">
        <f aca="false">SUMIF(BU:BU,$Q111,BX:BX)+SUMIF(BZ:BZ,$Q111,CC:CC)</f>
        <v>#VALUE!</v>
      </c>
      <c r="AB111" s="320" t="e">
        <f aca="false">Q111</f>
        <v>#VALUE!</v>
      </c>
      <c r="AC111" s="321"/>
      <c r="AD111" s="264"/>
      <c r="AE111" s="264"/>
      <c r="AF111" s="264"/>
      <c r="AG111" s="264"/>
      <c r="AH111" s="264"/>
      <c r="AI111" s="264"/>
      <c r="AJ111" s="266"/>
      <c r="AK111" s="264"/>
      <c r="AM111" s="322" t="e">
        <f aca="false">LongTerm1!D116</f>
        <v>#VALUE!</v>
      </c>
      <c r="AN111" s="323" t="e">
        <f aca="false">(LongTerm1!BM116+LongTerm1!BL116/(1-LongTerm1!AR116))*(LongTerm1!F116*LongTerm1!AF116*LongTerm1!AH116)/10000</f>
        <v>#VALUE!</v>
      </c>
      <c r="AO111" s="323" t="e">
        <f aca="false">LongTerm1!BM116*(LongTerm1!F116*LongTerm1!AF116*LongTerm1!AH116)/10000</f>
        <v>#VALUE!</v>
      </c>
      <c r="AP111" s="323" t="e">
        <f aca="false">(LongTerm1!BL116/(1-LongTerm1!AR116))*(LongTerm1!F116*LongTerm1!AF116*LongTerm1!AH116)/10000</f>
        <v>#VALUE!</v>
      </c>
      <c r="AQ111" s="324"/>
      <c r="AV111" s="319"/>
      <c r="AW111" s="319"/>
      <c r="AX111" s="319"/>
      <c r="AY111" s="319"/>
      <c r="AZ111" s="319"/>
      <c r="BA111" s="319"/>
      <c r="BB111" s="319"/>
      <c r="BC111" s="319"/>
      <c r="BD111" s="319"/>
      <c r="BE111" s="319"/>
      <c r="BF111" s="319"/>
      <c r="BG111" s="319"/>
      <c r="BH111" s="319"/>
      <c r="BI111" s="319"/>
      <c r="BJ111" s="319"/>
      <c r="BK111" s="319"/>
      <c r="BL111" s="319"/>
      <c r="BM111" s="319"/>
      <c r="BN111" s="319"/>
      <c r="BZ111" s="253"/>
      <c r="CA111" s="253"/>
      <c r="CD111" s="332"/>
      <c r="CE111" s="333" t="n">
        <f aca="false">EOMONTH(CE110,0)+15</f>
        <v>39887</v>
      </c>
      <c r="CF111" s="337" t="n">
        <v>30</v>
      </c>
      <c r="CG111" s="337" t="n">
        <v>75.4</v>
      </c>
      <c r="CH111" s="337" t="n">
        <v>-106.1</v>
      </c>
      <c r="CI111" s="337" t="n">
        <v>0</v>
      </c>
      <c r="CJ111" s="337" t="n">
        <v>0</v>
      </c>
      <c r="CK111" s="337" t="n">
        <v>2.8</v>
      </c>
      <c r="CL111" s="337" t="n">
        <v>0</v>
      </c>
      <c r="CM111" s="337" t="n">
        <v>0</v>
      </c>
      <c r="CN111" s="337" t="n">
        <v>0</v>
      </c>
    </row>
    <row r="112" customFormat="false" ht="13.5" hidden="false" customHeight="false" outlineLevel="0" collapsed="false">
      <c r="B112" s="339" t="e">
        <f aca="false">Q112</f>
        <v>#VALUE!</v>
      </c>
      <c r="C112" s="319" t="e">
        <f aca="false">YEAR(B112)</f>
        <v>#VALUE!</v>
      </c>
      <c r="D112" s="340" t="e">
        <f aca="false">R112+AC112</f>
        <v>#VALUE!</v>
      </c>
      <c r="E112" s="340" t="e">
        <f aca="false">S112+AD112</f>
        <v>#VALUE!</v>
      </c>
      <c r="F112" s="340" t="e">
        <f aca="false">+T112+AE112</f>
        <v>#VALUE!</v>
      </c>
      <c r="G112" s="340" t="e">
        <f aca="false">+U112+AF112</f>
        <v>#VALUE!</v>
      </c>
      <c r="H112" s="340" t="e">
        <f aca="false">V112+AG112</f>
        <v>#VALUE!</v>
      </c>
      <c r="I112" s="340" t="e">
        <f aca="false">W112+AH112</f>
        <v>#VALUE!</v>
      </c>
      <c r="J112" s="341"/>
      <c r="K112" s="341"/>
      <c r="L112" s="341"/>
      <c r="M112" s="340" t="e">
        <f aca="false">X112+AI112</f>
        <v>#VALUE!</v>
      </c>
      <c r="N112" s="270" t="e">
        <f aca="false">Y112+AJ112</f>
        <v>#VALUE!</v>
      </c>
      <c r="O112" s="264" t="e">
        <f aca="false">Z112+AK112</f>
        <v>#VALUE!</v>
      </c>
      <c r="Q112" s="339" t="e">
        <f aca="false">EOMONTH(Q111,0)+15</f>
        <v>#VALUE!</v>
      </c>
      <c r="R112" s="266" t="e">
        <f aca="false">SUMIF(AM:AM,$Q112,AN:AN)+SUMIF(AQ:AQ,$Q112,AR:AR)+SUMIF(AU:AU,$Q112,AV:AV)+SUMIF(BU:BU,$Q112,BV:BV)+SUMIF(BZ:BZ,$Q112,CA:CA)+SUMIF(BG:BG,$Q112,BH:BH)+SUMIF(BK:BK,$Q112,BL:BL)+SUMIF(BP:BP,$Q112,BQ:BQ)</f>
        <v>#VALUE!</v>
      </c>
      <c r="S112" s="264" t="e">
        <f aca="false">SUMIF(AM:AM,$Q112,AP:AP)+SUMIF(BU:BU,$Q112,BW:BW)+SUMIF(BZ:BZ,$Q112,CB:CB)</f>
        <v>#VALUE!</v>
      </c>
      <c r="T112" s="270" t="e">
        <f aca="false">SUMIF(AQ:AQ,$Q112,AT:AT)+SUMIF(BG:BG,$Q112,BJ:BJ)+SUMIF(BK:BK,$Q112,BN:BN)</f>
        <v>#VALUE!</v>
      </c>
      <c r="U112" s="270" t="e">
        <f aca="false">SUMIF(AM:AM,$Q112,AO:AO)+SUMIF(AQ:AQ,$Q112,AS:AS)+SUMIF(BG:BG,$Q112,BI:BI)+SUMIF(BK:BK,$Q112,BM:BM)</f>
        <v>#VALUE!</v>
      </c>
      <c r="V112" s="270" t="e">
        <f aca="false">SUMIF(AU:AU,$Q112,AW:AW)</f>
        <v>#VALUE!</v>
      </c>
      <c r="W112" s="270" t="e">
        <f aca="false">SUMIF(AU:AU,$Q112,AX:AX)</f>
        <v>#VALUE!</v>
      </c>
      <c r="X112" s="270" t="e">
        <f aca="false">SUMIF(BP:BP,$Q112,BR:BR)</f>
        <v>#VALUE!</v>
      </c>
      <c r="Y112" s="340" t="e">
        <f aca="false">SUMIF(BP:BP,$Q112,BS:BS)</f>
        <v>#VALUE!</v>
      </c>
      <c r="Z112" s="264" t="e">
        <f aca="false">SUMIF(BU:BU,$Q112,BX:BX)+SUMIF(BZ:BZ,$Q112,CC:CC)</f>
        <v>#VALUE!</v>
      </c>
      <c r="AB112" s="342" t="e">
        <f aca="false">Q112</f>
        <v>#VALUE!</v>
      </c>
      <c r="AC112" s="343"/>
      <c r="AD112" s="264"/>
      <c r="AE112" s="264"/>
      <c r="AF112" s="264"/>
      <c r="AG112" s="264"/>
      <c r="AH112" s="264"/>
      <c r="AI112" s="264"/>
      <c r="AJ112" s="266"/>
      <c r="AK112" s="264"/>
      <c r="AM112" s="322" t="e">
        <f aca="false">LongTerm1!D117</f>
        <v>#VALUE!</v>
      </c>
      <c r="AN112" s="323" t="e">
        <f aca="false">(LongTerm1!BM117+LongTerm1!BL117/(1-LongTerm1!AR117))*(LongTerm1!F117*LongTerm1!AF117*LongTerm1!AH117)/10000</f>
        <v>#VALUE!</v>
      </c>
      <c r="AO112" s="323" t="e">
        <f aca="false">LongTerm1!BM117*(LongTerm1!F117*LongTerm1!AF117*LongTerm1!AH117)/10000</f>
        <v>#VALUE!</v>
      </c>
      <c r="AP112" s="323" t="e">
        <f aca="false">(LongTerm1!BL117/(1-LongTerm1!AR117))*(LongTerm1!F117*LongTerm1!AF117*LongTerm1!AH117)/10000</f>
        <v>#VALUE!</v>
      </c>
      <c r="AQ112" s="324"/>
      <c r="AV112" s="319"/>
      <c r="AW112" s="319"/>
      <c r="AX112" s="319"/>
      <c r="AY112" s="319"/>
      <c r="AZ112" s="319"/>
      <c r="BA112" s="319"/>
      <c r="BB112" s="319"/>
      <c r="BC112" s="319"/>
      <c r="BD112" s="319"/>
      <c r="BE112" s="319"/>
      <c r="BF112" s="319"/>
      <c r="BG112" s="319"/>
      <c r="BH112" s="319"/>
      <c r="BI112" s="319"/>
      <c r="BJ112" s="319"/>
      <c r="BK112" s="319"/>
      <c r="BL112" s="319"/>
      <c r="BM112" s="319"/>
      <c r="BN112" s="319"/>
      <c r="BZ112" s="253"/>
      <c r="CA112" s="253"/>
      <c r="CD112" s="332"/>
      <c r="CE112" s="333" t="n">
        <f aca="false">EOMONTH(CE111,0)+15</f>
        <v>39918</v>
      </c>
      <c r="CF112" s="337" t="n">
        <v>29.2</v>
      </c>
      <c r="CG112" s="337" t="n">
        <v>95.9</v>
      </c>
      <c r="CH112" s="337" t="n">
        <v>-123.7</v>
      </c>
      <c r="CI112" s="337" t="n">
        <v>0</v>
      </c>
      <c r="CJ112" s="337" t="n">
        <v>0</v>
      </c>
      <c r="CK112" s="337" t="n">
        <v>0</v>
      </c>
      <c r="CL112" s="337" t="n">
        <v>0</v>
      </c>
      <c r="CM112" s="337" t="n">
        <v>0</v>
      </c>
      <c r="CN112" s="337" t="n">
        <v>0</v>
      </c>
    </row>
    <row r="113" customFormat="false" ht="13.5" hidden="false" customHeight="false" outlineLevel="0" collapsed="false">
      <c r="B113" s="324"/>
      <c r="C113" s="319"/>
      <c r="D113" s="344" t="e">
        <f aca="false">SUM(D17:D112)</f>
        <v>#VALUE!</v>
      </c>
      <c r="E113" s="345" t="e">
        <f aca="false">SUM(E17:E112)</f>
        <v>#VALUE!</v>
      </c>
      <c r="F113" s="345" t="e">
        <f aca="false">SUM(F17:F112)</f>
        <v>#VALUE!</v>
      </c>
      <c r="G113" s="345" t="e">
        <f aca="false">SUM(G17:G112)</f>
        <v>#VALUE!</v>
      </c>
      <c r="H113" s="345" t="e">
        <f aca="false">SUM(H17:H112)</f>
        <v>#VALUE!</v>
      </c>
      <c r="I113" s="345" t="e">
        <f aca="false">SUM(I17:I112)</f>
        <v>#VALUE!</v>
      </c>
      <c r="J113" s="346"/>
      <c r="K113" s="346"/>
      <c r="L113" s="346"/>
      <c r="M113" s="345" t="e">
        <f aca="false">SUM(M17:M112)</f>
        <v>#VALUE!</v>
      </c>
      <c r="N113" s="347" t="e">
        <f aca="false">SUM(N17:N112)</f>
        <v>#VALUE!</v>
      </c>
      <c r="O113" s="348" t="e">
        <f aca="false">SUM(O17:O112)</f>
        <v>#VALUE!</v>
      </c>
      <c r="Q113" s="349"/>
      <c r="R113" s="348" t="e">
        <f aca="false">SUM(R17:R112)</f>
        <v>#VALUE!</v>
      </c>
      <c r="S113" s="350" t="e">
        <f aca="false">SUM(S17:S112)</f>
        <v>#VALUE!</v>
      </c>
      <c r="T113" s="345" t="e">
        <f aca="false">SUM(T17:T112)</f>
        <v>#VALUE!</v>
      </c>
      <c r="U113" s="351" t="e">
        <f aca="false">SUM(U17:U112)</f>
        <v>#VALUE!</v>
      </c>
      <c r="V113" s="351" t="e">
        <f aca="false">SUM(V17:V112)</f>
        <v>#VALUE!</v>
      </c>
      <c r="W113" s="351" t="e">
        <f aca="false">SUM(W17:W112)</f>
        <v>#VALUE!</v>
      </c>
      <c r="X113" s="351" t="e">
        <f aca="false">SUM(X17:X112)</f>
        <v>#VALUE!</v>
      </c>
      <c r="Y113" s="350" t="e">
        <f aca="false">SUM(Y17:Y112)</f>
        <v>#VALUE!</v>
      </c>
      <c r="Z113" s="348" t="e">
        <f aca="false">SUM(Z17:Z112)</f>
        <v>#VALUE!</v>
      </c>
      <c r="AB113" s="349"/>
      <c r="AC113" s="352" t="e">
        <f aca="false">SUM(AC17:AC112)</f>
        <v>#VALUE!</v>
      </c>
      <c r="AD113" s="351" t="e">
        <f aca="false">SUM(AD17:AD112)</f>
        <v>#VALUE!</v>
      </c>
      <c r="AE113" s="351" t="e">
        <f aca="false">SUM(AE17:AE112)</f>
        <v>#VALUE!</v>
      </c>
      <c r="AF113" s="351" t="e">
        <f aca="false">SUM(AF17:AF112)</f>
        <v>#VALUE!</v>
      </c>
      <c r="AG113" s="351" t="e">
        <f aca="false">SUM(AG17:AG112)</f>
        <v>#VALUE!</v>
      </c>
      <c r="AH113" s="351" t="e">
        <f aca="false">SUM(AH17:AH112)</f>
        <v>#VALUE!</v>
      </c>
      <c r="AI113" s="351" t="e">
        <f aca="false">SUM(AI17:AI112)</f>
        <v>#VALUE!</v>
      </c>
      <c r="AJ113" s="350" t="e">
        <f aca="false">SUM(AJ17:AJ112)</f>
        <v>#VALUE!</v>
      </c>
      <c r="AK113" s="350" t="e">
        <f aca="false">SUM(AK17:AK112)</f>
        <v>#VALUE!</v>
      </c>
      <c r="AM113" s="324" t="e">
        <f aca="false">#REF!</f>
        <v>#REF!</v>
      </c>
      <c r="AN113" s="319" t="e">
        <f aca="false">(#REF!+#REF!/(1-#REF!))*(#REF!*#REF!*#REF!)/10000</f>
        <v>#REF!</v>
      </c>
      <c r="AO113" s="319" t="e">
        <f aca="false">#REF!*(#REF!*#REF!*#REF!)/10000</f>
        <v>#REF!</v>
      </c>
      <c r="AP113" s="319" t="e">
        <f aca="false">(#REF!/(1-#REF!))*(#REF!*#REF!*#REF!)/10000</f>
        <v>#REF!</v>
      </c>
      <c r="AQ113" s="324"/>
      <c r="AV113" s="319"/>
      <c r="AW113" s="319"/>
      <c r="AX113" s="319"/>
      <c r="AY113" s="319"/>
      <c r="AZ113" s="319"/>
      <c r="BA113" s="319"/>
      <c r="BB113" s="319"/>
      <c r="BC113" s="319"/>
      <c r="BD113" s="319"/>
      <c r="BE113" s="319"/>
      <c r="BF113" s="319"/>
      <c r="BG113" s="319"/>
      <c r="BH113" s="319"/>
      <c r="BI113" s="319"/>
      <c r="BJ113" s="319"/>
      <c r="BK113" s="319"/>
      <c r="BL113" s="319"/>
      <c r="BM113" s="319"/>
      <c r="BN113" s="319"/>
      <c r="BZ113" s="253"/>
      <c r="CA113" s="253"/>
      <c r="CD113" s="332"/>
      <c r="CE113" s="333" t="n">
        <f aca="false">EOMONTH(CE112,0)+15</f>
        <v>39948</v>
      </c>
      <c r="CF113" s="337" t="n">
        <v>29.7</v>
      </c>
      <c r="CG113" s="337" t="n">
        <v>102.3</v>
      </c>
      <c r="CH113" s="337" t="n">
        <v>-130.7</v>
      </c>
      <c r="CI113" s="337" t="n">
        <v>0</v>
      </c>
      <c r="CJ113" s="337" t="n">
        <v>0</v>
      </c>
      <c r="CK113" s="337" t="n">
        <v>0</v>
      </c>
      <c r="CL113" s="337" t="n">
        <v>0</v>
      </c>
      <c r="CM113" s="337" t="n">
        <v>0</v>
      </c>
      <c r="CN113" s="335" t="n">
        <v>0</v>
      </c>
    </row>
    <row r="114" customFormat="false" ht="12.75" hidden="false" customHeight="false" outlineLevel="0" collapsed="false">
      <c r="B114" s="324"/>
      <c r="C114" s="319"/>
      <c r="D114" s="319"/>
      <c r="E114" s="319"/>
      <c r="F114" s="319"/>
      <c r="G114" s="319"/>
      <c r="H114" s="319"/>
      <c r="I114" s="319"/>
      <c r="J114" s="319"/>
      <c r="K114" s="319"/>
      <c r="L114" s="319"/>
      <c r="M114" s="319"/>
      <c r="N114" s="319"/>
      <c r="O114" s="319"/>
      <c r="Q114" s="349"/>
      <c r="R114" s="265"/>
      <c r="S114" s="265"/>
      <c r="T114" s="265"/>
      <c r="U114" s="265"/>
      <c r="AB114" s="349"/>
      <c r="AC114" s="353"/>
      <c r="AD114" s="265"/>
      <c r="AE114" s="265"/>
      <c r="AF114" s="265"/>
      <c r="AG114" s="265"/>
      <c r="AH114" s="265"/>
      <c r="AI114" s="265"/>
      <c r="AJ114" s="265"/>
      <c r="AK114" s="265"/>
      <c r="AM114" s="324" t="e">
        <f aca="false">#REF!</f>
        <v>#REF!</v>
      </c>
      <c r="AN114" s="319" t="e">
        <f aca="false">(#REF!+#REF!/(1-#REF!))*(#REF!*#REF!*#REF!)/10000</f>
        <v>#REF!</v>
      </c>
      <c r="AO114" s="319" t="e">
        <f aca="false">#REF!*(#REF!*#REF!*#REF!)/10000</f>
        <v>#REF!</v>
      </c>
      <c r="AP114" s="319" t="e">
        <f aca="false">(#REF!/(1-#REF!))*(#REF!*#REF!*#REF!)/10000</f>
        <v>#REF!</v>
      </c>
      <c r="AQ114" s="324"/>
      <c r="AV114" s="319"/>
      <c r="AW114" s="319"/>
      <c r="AX114" s="319"/>
      <c r="AY114" s="319"/>
      <c r="AZ114" s="319"/>
      <c r="BA114" s="319"/>
      <c r="BB114" s="319"/>
      <c r="BC114" s="319"/>
      <c r="BD114" s="319"/>
      <c r="BE114" s="319"/>
      <c r="BF114" s="319"/>
      <c r="BG114" s="319"/>
      <c r="BH114" s="319"/>
      <c r="BI114" s="319"/>
      <c r="BJ114" s="319"/>
      <c r="BK114" s="319"/>
      <c r="BL114" s="319"/>
      <c r="BM114" s="319"/>
      <c r="BN114" s="319"/>
      <c r="BZ114" s="253"/>
      <c r="CA114" s="253"/>
      <c r="CD114" s="332"/>
      <c r="CE114" s="332"/>
      <c r="CF114" s="354"/>
      <c r="CG114" s="355"/>
      <c r="CH114" s="355"/>
      <c r="CI114" s="355"/>
      <c r="CJ114" s="355"/>
      <c r="CK114" s="356"/>
    </row>
    <row r="115" customFormat="false" ht="12.75" hidden="false" customHeight="false" outlineLevel="0" collapsed="false">
      <c r="B115" s="324"/>
      <c r="C115" s="319"/>
      <c r="D115" s="319"/>
      <c r="E115" s="319"/>
      <c r="F115" s="319"/>
      <c r="G115" s="319"/>
      <c r="H115" s="319"/>
      <c r="I115" s="319"/>
      <c r="J115" s="319"/>
      <c r="K115" s="319"/>
      <c r="L115" s="319"/>
      <c r="M115" s="319"/>
      <c r="N115" s="319"/>
      <c r="O115" s="319"/>
      <c r="Q115" s="349"/>
      <c r="R115" s="265"/>
      <c r="S115" s="265"/>
      <c r="T115" s="265"/>
      <c r="U115" s="265"/>
      <c r="AB115" s="349"/>
      <c r="AC115" s="353"/>
      <c r="AD115" s="265"/>
      <c r="AE115" s="265"/>
      <c r="AF115" s="265"/>
      <c r="AG115" s="265"/>
      <c r="AH115" s="265"/>
      <c r="AI115" s="265"/>
      <c r="AJ115" s="265"/>
      <c r="AK115" s="265"/>
      <c r="AM115" s="324" t="e">
        <f aca="false">#REF!</f>
        <v>#REF!</v>
      </c>
      <c r="AN115" s="319" t="e">
        <f aca="false">(#REF!+#REF!/(1-#REF!))*(#REF!*#REF!*#REF!)/10000</f>
        <v>#REF!</v>
      </c>
      <c r="AO115" s="319" t="e">
        <f aca="false">#REF!*(#REF!*#REF!*#REF!)/10000</f>
        <v>#REF!</v>
      </c>
      <c r="AP115" s="319" t="e">
        <f aca="false">(#REF!/(1-#REF!))*(#REF!*#REF!*#REF!)/10000</f>
        <v>#REF!</v>
      </c>
      <c r="AQ115" s="324"/>
      <c r="AV115" s="319"/>
      <c r="AW115" s="319"/>
      <c r="AX115" s="319"/>
      <c r="AY115" s="319"/>
      <c r="AZ115" s="319"/>
      <c r="BA115" s="319"/>
      <c r="BB115" s="319"/>
      <c r="BC115" s="319"/>
      <c r="BD115" s="319"/>
      <c r="BE115" s="319"/>
      <c r="BF115" s="319"/>
      <c r="BG115" s="319"/>
      <c r="BH115" s="319"/>
      <c r="BI115" s="319"/>
      <c r="BJ115" s="319"/>
      <c r="BK115" s="319"/>
      <c r="BL115" s="319"/>
      <c r="BM115" s="319"/>
      <c r="BN115" s="319"/>
      <c r="BZ115" s="253"/>
      <c r="CA115" s="253"/>
      <c r="CD115" s="332"/>
      <c r="CE115" s="332"/>
      <c r="CF115" s="354"/>
      <c r="CG115" s="355"/>
      <c r="CH115" s="355"/>
      <c r="CI115" s="355"/>
      <c r="CJ115" s="355"/>
      <c r="CK115" s="356"/>
    </row>
    <row r="116" customFormat="false" ht="12.75" hidden="false" customHeight="false" outlineLevel="0" collapsed="false">
      <c r="B116" s="324"/>
      <c r="C116" s="319"/>
      <c r="D116" s="319"/>
      <c r="E116" s="319"/>
      <c r="F116" s="319"/>
      <c r="G116" s="319"/>
      <c r="H116" s="319"/>
      <c r="I116" s="319"/>
      <c r="J116" s="319"/>
      <c r="K116" s="319"/>
      <c r="L116" s="319"/>
      <c r="M116" s="319"/>
      <c r="N116" s="319"/>
      <c r="O116" s="319"/>
      <c r="Q116" s="349"/>
      <c r="R116" s="265"/>
      <c r="S116" s="265"/>
      <c r="T116" s="265"/>
      <c r="U116" s="265"/>
      <c r="AB116" s="349"/>
      <c r="AC116" s="353"/>
      <c r="AD116" s="265"/>
      <c r="AE116" s="265"/>
      <c r="AF116" s="265"/>
      <c r="AG116" s="265"/>
      <c r="AH116" s="265"/>
      <c r="AI116" s="265"/>
      <c r="AJ116" s="265"/>
      <c r="AK116" s="265"/>
      <c r="AM116" s="324" t="e">
        <f aca="false">#REF!</f>
        <v>#REF!</v>
      </c>
      <c r="AN116" s="319" t="e">
        <f aca="false">(#REF!+#REF!/(1-#REF!))*(#REF!*#REF!*#REF!)/10000</f>
        <v>#REF!</v>
      </c>
      <c r="AO116" s="319" t="e">
        <f aca="false">#REF!*(#REF!*#REF!*#REF!)/10000</f>
        <v>#REF!</v>
      </c>
      <c r="AP116" s="319" t="e">
        <f aca="false">(#REF!/(1-#REF!))*(#REF!*#REF!*#REF!)/10000</f>
        <v>#REF!</v>
      </c>
      <c r="AQ116" s="324"/>
      <c r="AV116" s="319"/>
      <c r="AW116" s="319"/>
      <c r="AX116" s="319"/>
      <c r="AY116" s="319"/>
      <c r="AZ116" s="319"/>
      <c r="BA116" s="319"/>
      <c r="BB116" s="319"/>
      <c r="BC116" s="319"/>
      <c r="BD116" s="319"/>
      <c r="BE116" s="319"/>
      <c r="BF116" s="319"/>
      <c r="BG116" s="319"/>
      <c r="BH116" s="319"/>
      <c r="BI116" s="319"/>
      <c r="BJ116" s="319"/>
      <c r="BK116" s="319"/>
      <c r="BL116" s="319"/>
      <c r="BM116" s="319"/>
      <c r="BN116" s="319"/>
      <c r="BZ116" s="253"/>
      <c r="CA116" s="253"/>
      <c r="CD116" s="332"/>
      <c r="CE116" s="332"/>
      <c r="CF116" s="354"/>
      <c r="CG116" s="355"/>
      <c r="CH116" s="355"/>
      <c r="CI116" s="355"/>
      <c r="CJ116" s="355"/>
      <c r="CK116" s="356"/>
    </row>
    <row r="117" customFormat="false" ht="12.75" hidden="false" customHeight="false" outlineLevel="0" collapsed="false">
      <c r="B117" s="324"/>
      <c r="C117" s="319"/>
      <c r="D117" s="319"/>
      <c r="E117" s="319"/>
      <c r="F117" s="319"/>
      <c r="G117" s="319"/>
      <c r="H117" s="319"/>
      <c r="I117" s="319"/>
      <c r="J117" s="319"/>
      <c r="K117" s="319"/>
      <c r="L117" s="319"/>
      <c r="M117" s="319"/>
      <c r="N117" s="319"/>
      <c r="O117" s="319"/>
      <c r="Q117" s="349"/>
      <c r="R117" s="265"/>
      <c r="S117" s="265"/>
      <c r="T117" s="265"/>
      <c r="U117" s="265"/>
      <c r="AB117" s="349"/>
      <c r="AC117" s="353"/>
      <c r="AD117" s="265"/>
      <c r="AE117" s="265"/>
      <c r="AF117" s="265"/>
      <c r="AG117" s="265"/>
      <c r="AH117" s="265"/>
      <c r="AI117" s="265"/>
      <c r="AJ117" s="265"/>
      <c r="AK117" s="265"/>
      <c r="AM117" s="324" t="e">
        <f aca="false">#REF!</f>
        <v>#REF!</v>
      </c>
      <c r="AN117" s="319" t="e">
        <f aca="false">(#REF!+#REF!/(1-#REF!))*(#REF!*#REF!*#REF!)/10000</f>
        <v>#REF!</v>
      </c>
      <c r="AO117" s="319" t="e">
        <f aca="false">#REF!*(#REF!*#REF!*#REF!)/10000</f>
        <v>#REF!</v>
      </c>
      <c r="AP117" s="319" t="e">
        <f aca="false">(#REF!/(1-#REF!))*(#REF!*#REF!*#REF!)/10000</f>
        <v>#REF!</v>
      </c>
      <c r="AQ117" s="324"/>
      <c r="AV117" s="319"/>
      <c r="AW117" s="319"/>
      <c r="AX117" s="319"/>
      <c r="AY117" s="319"/>
      <c r="AZ117" s="319"/>
      <c r="BA117" s="319"/>
      <c r="BB117" s="319"/>
      <c r="BC117" s="319"/>
      <c r="BD117" s="319"/>
      <c r="BE117" s="319"/>
      <c r="BF117" s="319"/>
      <c r="BG117" s="319"/>
      <c r="BH117" s="319"/>
      <c r="BI117" s="319"/>
      <c r="BJ117" s="319"/>
      <c r="BK117" s="319"/>
      <c r="BL117" s="319"/>
      <c r="BM117" s="319"/>
      <c r="BN117" s="319"/>
      <c r="BZ117" s="253"/>
      <c r="CA117" s="253"/>
      <c r="CD117" s="332"/>
      <c r="CE117" s="332"/>
      <c r="CF117" s="354"/>
      <c r="CG117" s="355"/>
      <c r="CH117" s="355"/>
      <c r="CI117" s="355"/>
      <c r="CJ117" s="355"/>
      <c r="CK117" s="356"/>
    </row>
    <row r="118" customFormat="false" ht="12.75" hidden="false" customHeight="false" outlineLevel="0" collapsed="false">
      <c r="B118" s="324"/>
      <c r="C118" s="319"/>
      <c r="D118" s="319"/>
      <c r="E118" s="319"/>
      <c r="F118" s="319"/>
      <c r="G118" s="319"/>
      <c r="H118" s="319"/>
      <c r="I118" s="319"/>
      <c r="J118" s="319"/>
      <c r="K118" s="319"/>
      <c r="L118" s="319"/>
      <c r="M118" s="319"/>
      <c r="N118" s="319"/>
      <c r="O118" s="319"/>
      <c r="Q118" s="349"/>
      <c r="R118" s="265"/>
      <c r="S118" s="265"/>
      <c r="T118" s="265"/>
      <c r="U118" s="265"/>
      <c r="AD118" s="265"/>
      <c r="AE118" s="265"/>
      <c r="AF118" s="265"/>
      <c r="AG118" s="265"/>
      <c r="AH118" s="265"/>
      <c r="AI118" s="265"/>
      <c r="AJ118" s="265"/>
      <c r="AK118" s="265"/>
      <c r="AM118" s="324" t="e">
        <f aca="false">#REF!</f>
        <v>#REF!</v>
      </c>
      <c r="AN118" s="319" t="e">
        <f aca="false">(#REF!+#REF!/(1-#REF!))*(#REF!*#REF!*#REF!)/10000</f>
        <v>#REF!</v>
      </c>
      <c r="AO118" s="319" t="e">
        <f aca="false">#REF!*(#REF!*#REF!*#REF!)/10000</f>
        <v>#REF!</v>
      </c>
      <c r="AP118" s="319" t="e">
        <f aca="false">(#REF!/(1-#REF!))*(#REF!*#REF!*#REF!)/10000</f>
        <v>#REF!</v>
      </c>
      <c r="AQ118" s="324"/>
      <c r="AV118" s="319"/>
      <c r="AW118" s="319"/>
      <c r="AX118" s="319"/>
      <c r="AY118" s="319"/>
      <c r="AZ118" s="319"/>
      <c r="BA118" s="319"/>
      <c r="BB118" s="319"/>
      <c r="BC118" s="319"/>
      <c r="BD118" s="319"/>
      <c r="BE118" s="319"/>
      <c r="BF118" s="319"/>
      <c r="BG118" s="319"/>
      <c r="BH118" s="319"/>
      <c r="BI118" s="319"/>
      <c r="BJ118" s="319"/>
      <c r="BK118" s="319"/>
      <c r="BL118" s="319"/>
      <c r="BM118" s="319"/>
      <c r="BN118" s="319"/>
      <c r="BZ118" s="253"/>
      <c r="CA118" s="253"/>
      <c r="CD118" s="332"/>
      <c r="CE118" s="332"/>
      <c r="CF118" s="354"/>
      <c r="CG118" s="355"/>
      <c r="CH118" s="355"/>
      <c r="CI118" s="355"/>
      <c r="CJ118" s="355"/>
      <c r="CK118" s="356"/>
    </row>
    <row r="119" customFormat="false" ht="12.75" hidden="false" customHeight="false" outlineLevel="0" collapsed="false">
      <c r="B119" s="324"/>
      <c r="C119" s="319"/>
      <c r="D119" s="319"/>
      <c r="E119" s="319"/>
      <c r="F119" s="319"/>
      <c r="G119" s="319"/>
      <c r="H119" s="319"/>
      <c r="I119" s="319"/>
      <c r="J119" s="319"/>
      <c r="K119" s="319"/>
      <c r="L119" s="319"/>
      <c r="M119" s="319"/>
      <c r="N119" s="319"/>
      <c r="O119" s="319"/>
      <c r="Q119" s="349"/>
      <c r="R119" s="265"/>
      <c r="S119" s="265"/>
      <c r="T119" s="265"/>
      <c r="U119" s="265"/>
      <c r="AM119" s="324" t="e">
        <f aca="false">#REF!</f>
        <v>#REF!</v>
      </c>
      <c r="AN119" s="319" t="e">
        <f aca="false">(#REF!+#REF!/(1-#REF!))*(#REF!*#REF!*#REF!)/10000</f>
        <v>#REF!</v>
      </c>
      <c r="AO119" s="319" t="e">
        <f aca="false">#REF!*(#REF!*#REF!*#REF!)/10000</f>
        <v>#REF!</v>
      </c>
      <c r="AP119" s="319" t="e">
        <f aca="false">(#REF!/(1-#REF!))*(#REF!*#REF!*#REF!)/10000</f>
        <v>#REF!</v>
      </c>
      <c r="AQ119" s="324"/>
      <c r="AV119" s="319"/>
      <c r="AW119" s="319"/>
      <c r="AX119" s="319"/>
      <c r="AY119" s="319"/>
      <c r="AZ119" s="319"/>
      <c r="BA119" s="319"/>
      <c r="BB119" s="319"/>
      <c r="BC119" s="319"/>
      <c r="BD119" s="319"/>
      <c r="BE119" s="319"/>
      <c r="BF119" s="319"/>
      <c r="BG119" s="319"/>
      <c r="BH119" s="319"/>
      <c r="BI119" s="319"/>
      <c r="BJ119" s="319"/>
      <c r="BK119" s="319"/>
      <c r="BL119" s="319"/>
      <c r="BM119" s="319"/>
      <c r="BN119" s="319"/>
      <c r="BZ119" s="253"/>
      <c r="CA119" s="253"/>
      <c r="CD119" s="332"/>
      <c r="CE119" s="332"/>
      <c r="CF119" s="354"/>
      <c r="CG119" s="355"/>
      <c r="CH119" s="355"/>
      <c r="CI119" s="355"/>
      <c r="CJ119" s="355"/>
      <c r="CK119" s="356"/>
    </row>
    <row r="120" customFormat="false" ht="12.75" hidden="false" customHeight="false" outlineLevel="0" collapsed="false">
      <c r="AM120" s="324"/>
      <c r="AN120" s="319"/>
      <c r="AO120" s="319"/>
      <c r="AP120" s="319"/>
      <c r="AQ120" s="319"/>
      <c r="BZ120" s="253"/>
      <c r="CA120" s="253"/>
      <c r="CD120" s="332"/>
      <c r="CE120" s="332"/>
      <c r="CF120" s="354"/>
      <c r="CG120" s="355"/>
      <c r="CH120" s="355"/>
      <c r="CI120" s="355"/>
      <c r="CJ120" s="355"/>
      <c r="CK120" s="356"/>
    </row>
    <row r="121" customFormat="false" ht="12.75" hidden="false" customHeight="false" outlineLevel="0" collapsed="false">
      <c r="AM121" s="324"/>
      <c r="AN121" s="319"/>
      <c r="AO121" s="319"/>
      <c r="AP121" s="319"/>
      <c r="AQ121" s="319"/>
      <c r="BZ121" s="253"/>
      <c r="CA121" s="253"/>
      <c r="CD121" s="332"/>
      <c r="CE121" s="332"/>
      <c r="CF121" s="354"/>
      <c r="CG121" s="355"/>
      <c r="CH121" s="355"/>
      <c r="CI121" s="355"/>
      <c r="CJ121" s="355"/>
      <c r="CK121" s="356"/>
    </row>
    <row r="122" customFormat="false" ht="12.75" hidden="false" customHeight="false" outlineLevel="0" collapsed="false">
      <c r="AM122" s="324"/>
      <c r="AN122" s="319"/>
      <c r="AO122" s="319"/>
      <c r="AP122" s="319"/>
      <c r="AQ122" s="319"/>
      <c r="BZ122" s="253"/>
      <c r="CA122" s="253"/>
      <c r="CD122" s="332"/>
      <c r="CE122" s="332"/>
      <c r="CF122" s="354"/>
      <c r="CG122" s="355"/>
      <c r="CH122" s="355"/>
      <c r="CI122" s="355"/>
      <c r="CJ122" s="355"/>
      <c r="CK122" s="356"/>
    </row>
    <row r="123" customFormat="false" ht="12.75" hidden="false" customHeight="false" outlineLevel="0" collapsed="false">
      <c r="AM123" s="324"/>
      <c r="AN123" s="319"/>
      <c r="AO123" s="319"/>
      <c r="AP123" s="319"/>
      <c r="AQ123" s="319"/>
      <c r="BZ123" s="253"/>
      <c r="CA123" s="253"/>
      <c r="CD123" s="332"/>
      <c r="CE123" s="332"/>
      <c r="CF123" s="357"/>
      <c r="CG123" s="358"/>
      <c r="CH123" s="358"/>
      <c r="CI123" s="358"/>
      <c r="CJ123" s="358"/>
      <c r="CK123" s="359"/>
    </row>
    <row r="124" customFormat="false" ht="12.75" hidden="false" customHeight="false" outlineLevel="0" collapsed="false">
      <c r="AM124" s="324"/>
      <c r="AN124" s="319"/>
      <c r="AO124" s="319"/>
      <c r="AP124" s="319"/>
      <c r="AQ124" s="319"/>
      <c r="BZ124" s="253"/>
      <c r="CA124" s="253"/>
      <c r="CK124" s="360"/>
    </row>
    <row r="125" customFormat="false" ht="12.75" hidden="false" customHeight="false" outlineLevel="0" collapsed="false">
      <c r="AM125" s="324"/>
      <c r="AN125" s="319"/>
      <c r="AO125" s="319"/>
      <c r="AP125" s="319"/>
      <c r="AQ125" s="319"/>
      <c r="BZ125" s="253"/>
      <c r="CA125" s="253"/>
      <c r="CK125" s="360"/>
    </row>
    <row r="126" customFormat="false" ht="12.75" hidden="false" customHeight="false" outlineLevel="0" collapsed="false">
      <c r="AM126" s="324"/>
      <c r="AN126" s="319"/>
      <c r="AO126" s="319"/>
      <c r="AP126" s="319"/>
      <c r="AQ126" s="319"/>
      <c r="BZ126" s="253"/>
      <c r="CA126" s="253"/>
      <c r="CK126" s="360"/>
    </row>
    <row r="127" customFormat="false" ht="12.75" hidden="false" customHeight="false" outlineLevel="0" collapsed="false">
      <c r="AM127" s="324"/>
      <c r="AN127" s="319"/>
      <c r="AO127" s="319"/>
      <c r="AP127" s="319"/>
      <c r="AQ127" s="319"/>
      <c r="BZ127" s="253"/>
      <c r="CA127" s="253"/>
      <c r="CK127" s="360"/>
    </row>
    <row r="128" customFormat="false" ht="12.75" hidden="false" customHeight="false" outlineLevel="0" collapsed="false">
      <c r="AM128" s="324"/>
      <c r="AN128" s="319"/>
      <c r="AO128" s="319"/>
      <c r="AP128" s="319"/>
      <c r="AQ128" s="319"/>
      <c r="BZ128" s="253"/>
      <c r="CA128" s="253"/>
      <c r="CK128" s="360"/>
    </row>
    <row r="129" customFormat="false" ht="12.75" hidden="false" customHeight="false" outlineLevel="0" collapsed="false">
      <c r="AM129" s="324"/>
      <c r="AN129" s="319"/>
      <c r="AO129" s="319"/>
      <c r="AP129" s="319"/>
      <c r="AQ129" s="319"/>
      <c r="BZ129" s="253"/>
      <c r="CA129" s="253"/>
      <c r="CK129" s="360"/>
    </row>
    <row r="130" customFormat="false" ht="12.75" hidden="false" customHeight="false" outlineLevel="0" collapsed="false">
      <c r="AM130" s="324"/>
      <c r="AN130" s="319"/>
      <c r="AO130" s="319"/>
      <c r="AP130" s="319"/>
      <c r="AQ130" s="319"/>
      <c r="BZ130" s="253"/>
      <c r="CA130" s="253"/>
      <c r="CK130" s="360"/>
    </row>
    <row r="131" customFormat="false" ht="12.75" hidden="false" customHeight="false" outlineLevel="0" collapsed="false">
      <c r="AM131" s="324"/>
      <c r="AN131" s="319"/>
      <c r="AO131" s="319"/>
      <c r="AP131" s="319"/>
      <c r="AQ131" s="319"/>
      <c r="BZ131" s="253"/>
      <c r="CA131" s="253"/>
      <c r="CK131" s="360"/>
    </row>
    <row r="132" customFormat="false" ht="12.75" hidden="false" customHeight="false" outlineLevel="0" collapsed="false">
      <c r="AM132" s="324"/>
      <c r="AN132" s="319"/>
      <c r="AO132" s="319"/>
      <c r="AP132" s="319"/>
      <c r="AQ132" s="319"/>
      <c r="BZ132" s="253"/>
      <c r="CA132" s="253"/>
      <c r="CK132" s="360"/>
    </row>
    <row r="133" customFormat="false" ht="12.75" hidden="false" customHeight="false" outlineLevel="0" collapsed="false">
      <c r="AM133" s="324"/>
      <c r="AN133" s="319"/>
      <c r="AO133" s="319"/>
      <c r="AP133" s="319"/>
      <c r="AQ133" s="319"/>
      <c r="BZ133" s="253"/>
      <c r="CA133" s="253"/>
      <c r="CK133" s="360"/>
    </row>
    <row r="134" customFormat="false" ht="12.75" hidden="false" customHeight="false" outlineLevel="0" collapsed="false">
      <c r="AM134" s="324"/>
      <c r="AN134" s="319"/>
      <c r="AO134" s="319"/>
      <c r="AP134" s="319"/>
      <c r="AQ134" s="319"/>
      <c r="BZ134" s="253"/>
      <c r="CA134" s="253"/>
      <c r="CK134" s="360"/>
    </row>
    <row r="135" customFormat="false" ht="12.75" hidden="false" customHeight="false" outlineLevel="0" collapsed="false">
      <c r="AM135" s="324"/>
      <c r="AN135" s="319"/>
      <c r="AO135" s="319"/>
      <c r="AP135" s="319"/>
      <c r="AQ135" s="319"/>
      <c r="BZ135" s="253"/>
      <c r="CA135" s="253"/>
      <c r="CK135" s="360"/>
    </row>
    <row r="136" customFormat="false" ht="12.75" hidden="false" customHeight="false" outlineLevel="0" collapsed="false">
      <c r="AM136" s="324"/>
      <c r="AN136" s="319"/>
      <c r="AO136" s="319"/>
      <c r="AP136" s="319"/>
      <c r="AQ136" s="319"/>
      <c r="BZ136" s="253"/>
      <c r="CA136" s="253"/>
      <c r="CK136" s="360"/>
    </row>
    <row r="137" customFormat="false" ht="12.75" hidden="false" customHeight="false" outlineLevel="0" collapsed="false">
      <c r="AM137" s="324"/>
      <c r="AN137" s="319"/>
      <c r="AO137" s="319"/>
      <c r="AP137" s="319"/>
      <c r="AQ137" s="319"/>
      <c r="BZ137" s="253"/>
      <c r="CA137" s="253"/>
      <c r="CK137" s="360"/>
    </row>
    <row r="138" customFormat="false" ht="12.75" hidden="false" customHeight="false" outlineLevel="0" collapsed="false">
      <c r="AM138" s="324"/>
      <c r="AN138" s="319"/>
      <c r="AO138" s="319"/>
      <c r="AP138" s="319"/>
      <c r="AQ138" s="319"/>
      <c r="BZ138" s="253"/>
      <c r="CA138" s="253"/>
      <c r="CK138" s="360"/>
    </row>
    <row r="139" customFormat="false" ht="12.75" hidden="false" customHeight="false" outlineLevel="0" collapsed="false">
      <c r="AM139" s="324"/>
      <c r="AN139" s="319"/>
      <c r="AO139" s="319"/>
      <c r="AP139" s="319"/>
      <c r="AQ139" s="319"/>
      <c r="BZ139" s="253"/>
      <c r="CA139" s="253"/>
      <c r="CK139" s="360"/>
    </row>
    <row r="140" customFormat="false" ht="12.75" hidden="false" customHeight="false" outlineLevel="0" collapsed="false">
      <c r="AM140" s="324"/>
      <c r="AN140" s="319"/>
      <c r="AO140" s="319"/>
      <c r="AP140" s="319"/>
      <c r="AQ140" s="319"/>
      <c r="BZ140" s="253"/>
      <c r="CA140" s="253"/>
      <c r="CK140" s="360"/>
    </row>
    <row r="141" customFormat="false" ht="12.75" hidden="false" customHeight="false" outlineLevel="0" collapsed="false">
      <c r="AM141" s="324"/>
      <c r="AN141" s="319"/>
      <c r="AO141" s="319"/>
      <c r="AP141" s="319"/>
      <c r="AQ141" s="319"/>
      <c r="BZ141" s="253"/>
      <c r="CA141" s="253"/>
      <c r="CK141" s="360"/>
    </row>
    <row r="142" customFormat="false" ht="12.75" hidden="false" customHeight="false" outlineLevel="0" collapsed="false">
      <c r="AM142" s="324"/>
      <c r="AN142" s="319"/>
      <c r="AO142" s="319"/>
      <c r="AP142" s="319"/>
      <c r="AQ142" s="319"/>
      <c r="BZ142" s="253"/>
      <c r="CA142" s="253"/>
      <c r="CK142" s="360"/>
    </row>
    <row r="143" customFormat="false" ht="12.75" hidden="false" customHeight="false" outlineLevel="0" collapsed="false">
      <c r="AM143" s="324"/>
      <c r="AN143" s="319"/>
      <c r="AO143" s="319"/>
      <c r="AP143" s="319"/>
      <c r="AQ143" s="319"/>
      <c r="BZ143" s="253"/>
      <c r="CA143" s="253"/>
      <c r="CK143" s="360"/>
    </row>
    <row r="144" customFormat="false" ht="12.75" hidden="false" customHeight="false" outlineLevel="0" collapsed="false">
      <c r="AM144" s="324"/>
      <c r="AN144" s="319"/>
      <c r="AO144" s="319"/>
      <c r="AP144" s="319"/>
      <c r="AQ144" s="319"/>
      <c r="BZ144" s="253"/>
      <c r="CA144" s="253"/>
      <c r="CK144" s="360"/>
    </row>
    <row r="145" customFormat="false" ht="12.75" hidden="false" customHeight="false" outlineLevel="0" collapsed="false">
      <c r="AM145" s="324"/>
      <c r="AN145" s="319"/>
      <c r="AO145" s="319"/>
      <c r="AP145" s="319"/>
      <c r="AQ145" s="319"/>
      <c r="BZ145" s="253"/>
      <c r="CA145" s="253"/>
      <c r="CK145" s="360"/>
    </row>
    <row r="146" customFormat="false" ht="12.75" hidden="false" customHeight="false" outlineLevel="0" collapsed="false">
      <c r="AM146" s="324"/>
      <c r="AN146" s="319"/>
      <c r="AO146" s="319"/>
      <c r="AP146" s="319"/>
      <c r="AQ146" s="319"/>
      <c r="BZ146" s="253"/>
      <c r="CA146" s="253"/>
      <c r="CK146" s="360"/>
    </row>
    <row r="147" customFormat="false" ht="12.75" hidden="false" customHeight="false" outlineLevel="0" collapsed="false">
      <c r="AM147" s="324"/>
      <c r="AN147" s="319"/>
      <c r="AO147" s="319"/>
      <c r="AP147" s="319"/>
      <c r="AQ147" s="319"/>
      <c r="BZ147" s="253"/>
      <c r="CA147" s="253"/>
      <c r="CK147" s="360"/>
    </row>
    <row r="148" customFormat="false" ht="12.75" hidden="false" customHeight="false" outlineLevel="0" collapsed="false">
      <c r="AM148" s="324"/>
      <c r="AN148" s="319"/>
      <c r="AO148" s="319"/>
      <c r="AP148" s="319"/>
      <c r="AQ148" s="319"/>
      <c r="BZ148" s="253"/>
      <c r="CA148" s="253"/>
      <c r="CK148" s="360"/>
    </row>
    <row r="149" customFormat="false" ht="12.75" hidden="false" customHeight="false" outlineLevel="0" collapsed="false">
      <c r="AM149" s="324"/>
      <c r="AN149" s="319"/>
      <c r="AO149" s="319"/>
      <c r="AP149" s="319"/>
      <c r="AQ149" s="319"/>
      <c r="BZ149" s="253"/>
      <c r="CA149" s="253"/>
      <c r="CK149" s="360"/>
    </row>
    <row r="150" customFormat="false" ht="12.75" hidden="false" customHeight="false" outlineLevel="0" collapsed="false">
      <c r="AM150" s="324"/>
      <c r="AN150" s="319"/>
      <c r="AO150" s="319"/>
      <c r="AP150" s="319"/>
      <c r="AQ150" s="319"/>
      <c r="BZ150" s="253"/>
      <c r="CA150" s="253"/>
      <c r="CK150" s="360"/>
    </row>
    <row r="151" customFormat="false" ht="12.75" hidden="false" customHeight="false" outlineLevel="0" collapsed="false">
      <c r="AM151" s="324"/>
      <c r="AN151" s="319"/>
      <c r="AO151" s="319"/>
      <c r="AP151" s="319"/>
      <c r="AQ151" s="319"/>
      <c r="BZ151" s="253"/>
      <c r="CA151" s="253"/>
      <c r="CK151" s="360"/>
    </row>
    <row r="152" customFormat="false" ht="12.75" hidden="false" customHeight="false" outlineLevel="0" collapsed="false">
      <c r="BZ152" s="253"/>
      <c r="CA152" s="253"/>
      <c r="CK152" s="360"/>
    </row>
    <row r="153" customFormat="false" ht="12.75" hidden="false" customHeight="false" outlineLevel="0" collapsed="false">
      <c r="BZ153" s="253"/>
      <c r="CA153" s="253"/>
    </row>
    <row r="154" customFormat="false" ht="12.75" hidden="false" customHeight="false" outlineLevel="0" collapsed="false">
      <c r="BZ154" s="253"/>
      <c r="CA154" s="253"/>
    </row>
    <row r="155" customFormat="false" ht="12.75" hidden="false" customHeight="false" outlineLevel="0" collapsed="false">
      <c r="BZ155" s="253"/>
      <c r="CA155" s="253"/>
    </row>
    <row r="156" customFormat="false" ht="12.75" hidden="false" customHeight="false" outlineLevel="0" collapsed="false">
      <c r="BZ156" s="253"/>
      <c r="CA156" s="253"/>
    </row>
    <row r="157" customFormat="false" ht="12.75" hidden="false" customHeight="false" outlineLevel="0" collapsed="false">
      <c r="BZ157" s="253"/>
      <c r="CA157" s="253"/>
    </row>
    <row r="158" customFormat="false" ht="12.75" hidden="false" customHeight="false" outlineLevel="0" collapsed="false">
      <c r="BZ158" s="253"/>
      <c r="CA158" s="253"/>
    </row>
    <row r="159" customFormat="false" ht="12.75" hidden="false" customHeight="false" outlineLevel="0" collapsed="false">
      <c r="BZ159" s="253"/>
      <c r="CA159" s="253"/>
    </row>
    <row r="160" customFormat="false" ht="12.75" hidden="false" customHeight="false" outlineLevel="0" collapsed="false">
      <c r="BZ160" s="253"/>
      <c r="CA160" s="253"/>
    </row>
    <row r="161" customFormat="false" ht="12.75" hidden="false" customHeight="false" outlineLevel="0" collapsed="false">
      <c r="BZ161" s="253"/>
      <c r="CA161" s="253"/>
    </row>
    <row r="162" customFormat="false" ht="12.75" hidden="false" customHeight="false" outlineLevel="0" collapsed="false">
      <c r="BZ162" s="253"/>
      <c r="CA162" s="253"/>
    </row>
    <row r="163" customFormat="false" ht="12.75" hidden="false" customHeight="false" outlineLevel="0" collapsed="false">
      <c r="BZ163" s="253"/>
      <c r="CA163" s="253"/>
    </row>
    <row r="164" customFormat="false" ht="12.75" hidden="false" customHeight="false" outlineLevel="0" collapsed="false">
      <c r="BZ164" s="253"/>
      <c r="CA164" s="253"/>
    </row>
  </sheetData>
  <mergeCells count="11">
    <mergeCell ref="D2:O2"/>
    <mergeCell ref="AN14:AP14"/>
    <mergeCell ref="AR14:AT14"/>
    <mergeCell ref="AV14:AX14"/>
    <mergeCell ref="BH14:BJ14"/>
    <mergeCell ref="BL14:BN14"/>
    <mergeCell ref="BQ14:BT14"/>
    <mergeCell ref="BV14:BW14"/>
    <mergeCell ref="CA14:CB14"/>
    <mergeCell ref="Q15:AA15"/>
    <mergeCell ref="AC15:AE1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5" scale="100" fitToWidth="1" fitToHeight="5" pageOrder="downThenOver" orientation="portrait" blackAndWhite="false" draft="false" cellComments="none" horizontalDpi="300" verticalDpi="300" copies="1"/>
  <headerFooter differentFirst="false" differentOddEven="false">
    <oddHeader/>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29"/>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5" ySplit="21" topLeftCell="O22" activePane="bottomRight" state="frozen"/>
      <selection pane="topLeft" activeCell="A1" activeCellId="0" sqref="A1"/>
      <selection pane="topRight" activeCell="O1" activeCellId="0" sqref="O1"/>
      <selection pane="bottomLeft" activeCell="A22" activeCellId="0" sqref="A22"/>
      <selection pane="bottomRight" activeCell="CI21" activeCellId="0" sqref="CI21:CI117"/>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9.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17986906.47</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19406731.72</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-1419825.25</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58799.48</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-5323408.41</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14192.53</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371.43</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-3787.91</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20530.18</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3945.57</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2083.04</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14717627.25</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3269279.22</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2.87910976226606</v>
      </c>
      <c r="BW22" s="369" t="n">
        <v>2.981</v>
      </c>
      <c r="BX22" s="370" t="n">
        <v>1.03048677093625</v>
      </c>
      <c r="BY22" s="370" t="n">
        <v>1.00399203184089</v>
      </c>
      <c r="BZ22" s="370" t="n">
        <v>0.980682096351606</v>
      </c>
      <c r="CA22" s="370" t="n">
        <v>0.0187659081571607</v>
      </c>
      <c r="CB22" s="370" t="n">
        <v>0.998364899395796</v>
      </c>
      <c r="CC22" s="505" t="n">
        <v>-0.015</v>
      </c>
      <c r="CD22" s="505" t="n">
        <v>0.015</v>
      </c>
      <c r="CE22" s="505" t="n">
        <v>0.12</v>
      </c>
      <c r="CF22" s="505" t="n">
        <v>0.015</v>
      </c>
      <c r="CG22" s="505" t="n">
        <v>0</v>
      </c>
      <c r="CH22" s="505" t="n">
        <v>4.42884653020969</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2.95194739504299</v>
      </c>
      <c r="BW23" s="369" t="n">
        <v>3.018</v>
      </c>
      <c r="BX23" s="370" t="n">
        <v>0.946911646705577</v>
      </c>
      <c r="BY23" s="370" t="n">
        <v>0.933141349302333</v>
      </c>
      <c r="BZ23" s="370" t="n">
        <v>0.987970383910707</v>
      </c>
      <c r="CA23" s="370" t="n">
        <v>0.0193261872820063</v>
      </c>
      <c r="CB23" s="370" t="n">
        <v>0.996688029844541</v>
      </c>
      <c r="CC23" s="505" t="n">
        <v>-0.005</v>
      </c>
      <c r="CD23" s="505" t="n">
        <v>0.015</v>
      </c>
      <c r="CE23" s="505" t="n">
        <v>0.095</v>
      </c>
      <c r="CF23" s="505" t="n">
        <v>0.015</v>
      </c>
      <c r="CG23" s="505" t="n">
        <v>0</v>
      </c>
      <c r="CH23" s="505" t="n">
        <v>3.99352959798111</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2.94587759231158</v>
      </c>
      <c r="BW24" s="369" t="n">
        <v>3.002</v>
      </c>
      <c r="BX24" s="370" t="n">
        <v>0.807620796755106</v>
      </c>
      <c r="BY24" s="370" t="n">
        <v>0.79</v>
      </c>
      <c r="BZ24" s="370" t="n">
        <v>0.992277969492814</v>
      </c>
      <c r="CA24" s="370" t="n">
        <v>0.0192731753639035</v>
      </c>
      <c r="CB24" s="370" t="n">
        <v>0.99523258517239</v>
      </c>
      <c r="CC24" s="505" t="n">
        <v>-0.005</v>
      </c>
      <c r="CD24" s="505" t="n">
        <v>0.015</v>
      </c>
      <c r="CE24" s="505" t="n">
        <v>0.085</v>
      </c>
      <c r="CF24" s="505" t="n">
        <v>0.015</v>
      </c>
      <c r="CG24" s="505" t="n">
        <v>0</v>
      </c>
      <c r="CH24" s="505" t="n">
        <v>4.41495127108324</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2.79008598887203</v>
      </c>
      <c r="BW25" s="369" t="n">
        <v>2.9105</v>
      </c>
      <c r="BX25" s="370" t="n">
        <v>0.606420927626525</v>
      </c>
      <c r="BY25" s="370" t="n">
        <v>0.606420927626525</v>
      </c>
      <c r="BZ25" s="370" t="n">
        <v>0.997211094603916</v>
      </c>
      <c r="CA25" s="370" t="n">
        <v>0.0194226401196236</v>
      </c>
      <c r="CB25" s="370" t="n">
        <v>0.993564587749983</v>
      </c>
      <c r="CC25" s="505" t="n">
        <v>-0.09</v>
      </c>
      <c r="CD25" s="505" t="n">
        <v>0</v>
      </c>
      <c r="CE25" s="505" t="n">
        <v>0.0275</v>
      </c>
      <c r="CF25" s="505" t="n">
        <v>0.035</v>
      </c>
      <c r="CG25" s="505" t="n">
        <v>0</v>
      </c>
      <c r="CH25" s="505" t="n">
        <v>4.26537277521068</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2.83864441072332</v>
      </c>
      <c r="BW26" s="369" t="n">
        <v>2.9585</v>
      </c>
      <c r="BX26" s="370" t="n">
        <v>0.57775293402001</v>
      </c>
      <c r="BY26" s="370" t="n">
        <v>0.583015928847491</v>
      </c>
      <c r="BZ26" s="370" t="n">
        <v>0.996927914674394</v>
      </c>
      <c r="CA26" s="370" t="n">
        <v>0.019712159578257</v>
      </c>
      <c r="CB26" s="370" t="n">
        <v>0.991870109542169</v>
      </c>
      <c r="CC26" s="505" t="n">
        <v>-0.09</v>
      </c>
      <c r="CD26" s="505" t="n">
        <v>0</v>
      </c>
      <c r="CE26" s="505" t="n">
        <v>0.0275</v>
      </c>
      <c r="CF26" s="505" t="n">
        <v>0.035</v>
      </c>
      <c r="CG26" s="505" t="n">
        <v>0</v>
      </c>
      <c r="CH26" s="505" t="n">
        <v>4.40003499294001</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2.88922610015175</v>
      </c>
      <c r="BW27" s="369" t="n">
        <v>3.0135</v>
      </c>
      <c r="BX27" s="370" t="n">
        <v>0.550221330219268</v>
      </c>
      <c r="BY27" s="370" t="n">
        <v>0.554685115579688</v>
      </c>
      <c r="BZ27" s="370" t="n">
        <v>0.997258709972301</v>
      </c>
      <c r="CA27" s="370" t="n">
        <v>0.0200113297153544</v>
      </c>
      <c r="CB27" s="370" t="n">
        <v>0.990073216017117</v>
      </c>
      <c r="CC27" s="505" t="n">
        <v>-0.09</v>
      </c>
      <c r="CD27" s="505" t="n">
        <v>0</v>
      </c>
      <c r="CE27" s="505" t="n">
        <v>0.0275</v>
      </c>
      <c r="CF27" s="505" t="n">
        <v>0.04</v>
      </c>
      <c r="CG27" s="505" t="n">
        <v>0</v>
      </c>
      <c r="CH27" s="505" t="n">
        <v>4.25038431636148</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2.92766818411735</v>
      </c>
      <c r="BW28" s="369" t="n">
        <v>3.0515</v>
      </c>
      <c r="BX28" s="370" t="n">
        <v>0.549290255131369</v>
      </c>
      <c r="BY28" s="370" t="n">
        <v>0.553581868033433</v>
      </c>
      <c r="BZ28" s="370" t="n">
        <v>0.997188103340208</v>
      </c>
      <c r="CA28" s="370" t="n">
        <v>0.0204286298094831</v>
      </c>
      <c r="CB28" s="370" t="n">
        <v>0.988217193800728</v>
      </c>
      <c r="CC28" s="505" t="n">
        <v>-0.09</v>
      </c>
      <c r="CD28" s="505" t="n">
        <v>0</v>
      </c>
      <c r="CE28" s="505" t="n">
        <v>0.0275</v>
      </c>
      <c r="CF28" s="505" t="n">
        <v>0.04</v>
      </c>
      <c r="CG28" s="505" t="n">
        <v>0</v>
      </c>
      <c r="CH28" s="505" t="n">
        <v>4.38383029341941</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2.97015680323723</v>
      </c>
      <c r="BW29" s="369" t="n">
        <v>3.0935</v>
      </c>
      <c r="BX29" s="370" t="n">
        <v>0.549894268674422</v>
      </c>
      <c r="BY29" s="370" t="n">
        <v>0.553926734220249</v>
      </c>
      <c r="BZ29" s="370" t="n">
        <v>0.997195303954792</v>
      </c>
      <c r="CA29" s="370" t="n">
        <v>0.021065008234304</v>
      </c>
      <c r="CB29" s="370" t="n">
        <v>0.986098940667972</v>
      </c>
      <c r="CC29" s="505" t="n">
        <v>-0.09</v>
      </c>
      <c r="CD29" s="505" t="n">
        <v>0</v>
      </c>
      <c r="CE29" s="505" t="n">
        <v>0.0275</v>
      </c>
      <c r="CF29" s="505" t="n">
        <v>0.04</v>
      </c>
      <c r="CG29" s="505" t="n">
        <v>0</v>
      </c>
      <c r="CH29" s="505" t="n">
        <v>4.37443351069719</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2.96206373292868</v>
      </c>
      <c r="BW30" s="369" t="n">
        <v>3.0855</v>
      </c>
      <c r="BX30" s="370" t="n">
        <v>0.548527673591454</v>
      </c>
      <c r="BY30" s="370" t="n">
        <v>0.552009176042195</v>
      </c>
      <c r="BZ30" s="370" t="n">
        <v>0.997568198225402</v>
      </c>
      <c r="CA30" s="370" t="n">
        <v>0.0217013867962765</v>
      </c>
      <c r="CB30" s="370" t="n">
        <v>0.983880178541275</v>
      </c>
      <c r="CC30" s="505" t="n">
        <v>-0.09</v>
      </c>
      <c r="CD30" s="505" t="n">
        <v>0</v>
      </c>
      <c r="CE30" s="505" t="n">
        <v>0.0275</v>
      </c>
      <c r="CF30" s="505" t="n">
        <v>0.04</v>
      </c>
      <c r="CG30" s="505" t="n">
        <v>0</v>
      </c>
      <c r="CH30" s="505" t="n">
        <v>4.22379760647769</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2.97521497218007</v>
      </c>
      <c r="BW31" s="369" t="n">
        <v>3.0985</v>
      </c>
      <c r="BX31" s="370" t="n">
        <v>0.5511830669082</v>
      </c>
      <c r="BY31" s="370" t="n">
        <v>0.554635809260041</v>
      </c>
      <c r="BZ31" s="370" t="n">
        <v>0.997457913881853</v>
      </c>
      <c r="CA31" s="370" t="n">
        <v>0.022410164045374</v>
      </c>
      <c r="CB31" s="370" t="n">
        <v>0.981562668478235</v>
      </c>
      <c r="CC31" s="505" t="n">
        <v>-0.09</v>
      </c>
      <c r="CD31" s="505" t="n">
        <v>0</v>
      </c>
      <c r="CE31" s="505" t="n">
        <v>0.0275</v>
      </c>
      <c r="CF31" s="505" t="n">
        <v>0.04</v>
      </c>
      <c r="CG31" s="505" t="n">
        <v>0</v>
      </c>
      <c r="CH31" s="505" t="n">
        <v>4.3543101536363</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3.27870510875063</v>
      </c>
      <c r="BW32" s="369" t="n">
        <v>3.346</v>
      </c>
      <c r="BX32" s="370" t="n">
        <v>0.564616148067653</v>
      </c>
      <c r="BY32" s="370" t="n">
        <v>0.557476031074478</v>
      </c>
      <c r="BZ32" s="370" t="n">
        <v>0.996519205703552</v>
      </c>
      <c r="CA32" s="370" t="n">
        <v>0.0232740649677528</v>
      </c>
      <c r="CB32" s="370" t="n">
        <v>0.97893835036076</v>
      </c>
      <c r="CC32" s="505" t="n">
        <v>0</v>
      </c>
      <c r="CD32" s="505" t="n">
        <v>0.03</v>
      </c>
      <c r="CE32" s="505" t="n">
        <v>0.095</v>
      </c>
      <c r="CF32" s="505" t="n">
        <v>0.04</v>
      </c>
      <c r="CG32" s="505" t="n">
        <v>0</v>
      </c>
      <c r="CH32" s="505" t="n">
        <v>4.20258233809874</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3.44562468386444</v>
      </c>
      <c r="BW33" s="369" t="n">
        <v>3.536</v>
      </c>
      <c r="BX33" s="370" t="n">
        <v>0.583125988417037</v>
      </c>
      <c r="BY33" s="370" t="n">
        <v>0.578861068007188</v>
      </c>
      <c r="BZ33" s="370" t="n">
        <v>0.995559967127206</v>
      </c>
      <c r="CA33" s="370" t="n">
        <v>0.024110098358836</v>
      </c>
      <c r="CB33" s="370" t="n">
        <v>0.976270925999808</v>
      </c>
      <c r="CC33" s="505" t="n">
        <v>0.005</v>
      </c>
      <c r="CD33" s="505" t="n">
        <v>0.03</v>
      </c>
      <c r="CE33" s="505" t="n">
        <v>0.125</v>
      </c>
      <c r="CF33" s="505" t="n">
        <v>0.04</v>
      </c>
      <c r="CG33" s="505" t="n">
        <v>0</v>
      </c>
      <c r="CH33" s="505" t="n">
        <v>4.33083545482775</v>
      </c>
      <c r="CI33" s="505" t="n">
        <v>3.371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3.54172989377845</v>
      </c>
      <c r="BW34" s="369" t="n">
        <v>3.631</v>
      </c>
      <c r="BX34" s="370" t="n">
        <v>0.580098732024006</v>
      </c>
      <c r="BY34" s="370" t="n">
        <v>0.576044779361258</v>
      </c>
      <c r="BZ34" s="370" t="n">
        <v>0.99565559476111</v>
      </c>
      <c r="CA34" s="370" t="n">
        <v>0.0250384261928196</v>
      </c>
      <c r="CB34" s="370" t="n">
        <v>0.97331647833328</v>
      </c>
      <c r="CC34" s="505" t="n">
        <v>0.025</v>
      </c>
      <c r="CD34" s="505" t="n">
        <v>0.03</v>
      </c>
      <c r="CE34" s="505" t="n">
        <v>0.145</v>
      </c>
      <c r="CF34" s="505" t="n">
        <v>0.04</v>
      </c>
      <c r="CG34" s="505" t="n">
        <v>0</v>
      </c>
      <c r="CH34" s="505" t="n">
        <v>4.31772922953426</v>
      </c>
      <c r="CI34" s="505" t="n">
        <v>3.446</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3.46079919069297</v>
      </c>
      <c r="BW35" s="369" t="n">
        <v>3.546</v>
      </c>
      <c r="BX35" s="370" t="n">
        <v>0.564483651866287</v>
      </c>
      <c r="BY35" s="370" t="n">
        <v>0.560981465325952</v>
      </c>
      <c r="BZ35" s="370" t="n">
        <v>0.996142143164473</v>
      </c>
      <c r="CA35" s="370" t="n">
        <v>0.0260449864197474</v>
      </c>
      <c r="CB35" s="370" t="n">
        <v>0.970132608451962</v>
      </c>
      <c r="CC35" s="505" t="n">
        <v>0.02</v>
      </c>
      <c r="CD35" s="505" t="n">
        <v>0.03</v>
      </c>
      <c r="CE35" s="505" t="n">
        <v>0.135</v>
      </c>
      <c r="CF35" s="505" t="n">
        <v>0.04</v>
      </c>
      <c r="CG35" s="505" t="n">
        <v>0</v>
      </c>
      <c r="CH35" s="505" t="n">
        <v>3.88712733554532</v>
      </c>
      <c r="CI35" s="505" t="n">
        <v>3.371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3.34951947395043</v>
      </c>
      <c r="BW36" s="369" t="n">
        <v>3.451</v>
      </c>
      <c r="BX36" s="370" t="n">
        <v>0.508829176784843</v>
      </c>
      <c r="BY36" s="370" t="n">
        <v>0.50293567145062</v>
      </c>
      <c r="BZ36" s="370" t="n">
        <v>0.996851109757029</v>
      </c>
      <c r="CA36" s="370" t="n">
        <v>0.0269541378866576</v>
      </c>
      <c r="CB36" s="370" t="n">
        <v>0.967126070368611</v>
      </c>
      <c r="CC36" s="505" t="n">
        <v>0</v>
      </c>
      <c r="CD36" s="505" t="n">
        <v>0.03</v>
      </c>
      <c r="CE36" s="505" t="n">
        <v>0.13</v>
      </c>
      <c r="CF36" s="505" t="n">
        <v>0.04</v>
      </c>
      <c r="CG36" s="505" t="n">
        <v>0</v>
      </c>
      <c r="CH36" s="505" t="n">
        <v>4.29026796076219</v>
      </c>
      <c r="CI36" s="505" t="n">
        <v>3.281</v>
      </c>
      <c r="CJ36" s="505"/>
      <c r="CK36" s="505"/>
      <c r="CL36" s="505"/>
      <c r="CM36" s="505"/>
    </row>
    <row r="37" customFormat="false" ht="12.75" hidden="false" customHeight="false" outlineLevel="0" collapsed="false">
      <c r="A37" s="509"/>
      <c r="B37" s="509"/>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3.07132018209408</v>
      </c>
      <c r="BW37" s="369" t="n">
        <v>3.201</v>
      </c>
      <c r="BX37" s="370" t="n">
        <v>0.39066962859815</v>
      </c>
      <c r="BY37" s="370" t="n">
        <v>0.39066962859815</v>
      </c>
      <c r="BZ37" s="370" t="n">
        <v>0.998839955575266</v>
      </c>
      <c r="CA37" s="370" t="n">
        <v>0.0279745964320606</v>
      </c>
      <c r="CB37" s="370" t="n">
        <v>0.963636615990319</v>
      </c>
      <c r="CC37" s="505" t="n">
        <v>-0.09</v>
      </c>
      <c r="CD37" s="505" t="n">
        <v>0</v>
      </c>
      <c r="CE37" s="505" t="n">
        <v>0.035</v>
      </c>
      <c r="CF37" s="505" t="n">
        <v>0.04</v>
      </c>
      <c r="CG37" s="505" t="n">
        <v>0</v>
      </c>
      <c r="CH37" s="505" t="n">
        <v>4.13689199244644</v>
      </c>
      <c r="CI37" s="505" t="n">
        <v>3.126</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3.07233181588265</v>
      </c>
      <c r="BW38" s="369" t="n">
        <v>3.202</v>
      </c>
      <c r="BX38" s="370" t="n">
        <v>0.376159329765107</v>
      </c>
      <c r="BY38" s="370" t="n">
        <v>0.37816065973456</v>
      </c>
      <c r="BZ38" s="370" t="n">
        <v>0.998414817360774</v>
      </c>
      <c r="CA38" s="370" t="n">
        <v>0.0289631800763801</v>
      </c>
      <c r="CB38" s="370" t="n">
        <v>0.960114752892753</v>
      </c>
      <c r="CC38" s="505" t="n">
        <v>-0.09</v>
      </c>
      <c r="CD38" s="505" t="n">
        <v>0</v>
      </c>
      <c r="CE38" s="505" t="n">
        <v>0.035</v>
      </c>
      <c r="CF38" s="505" t="n">
        <v>0.04</v>
      </c>
      <c r="CG38" s="505" t="n">
        <v>0</v>
      </c>
      <c r="CH38" s="505" t="n">
        <v>4.25916505530754</v>
      </c>
      <c r="CI38" s="505" t="n">
        <v>3.127</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3.10773899848255</v>
      </c>
      <c r="BW39" s="369" t="n">
        <v>3.237</v>
      </c>
      <c r="BX39" s="370" t="n">
        <v>0.375845949287242</v>
      </c>
      <c r="BY39" s="370" t="n">
        <v>0.377677056513092</v>
      </c>
      <c r="BZ39" s="370" t="n">
        <v>0.998547028129211</v>
      </c>
      <c r="CA39" s="370" t="n">
        <v>0.0299847168551968</v>
      </c>
      <c r="CB39" s="370" t="n">
        <v>0.956328852591432</v>
      </c>
      <c r="CC39" s="505" t="n">
        <v>-0.09</v>
      </c>
      <c r="CD39" s="505" t="n">
        <v>0</v>
      </c>
      <c r="CE39" s="505" t="n">
        <v>0.035</v>
      </c>
      <c r="CF39" s="505" t="n">
        <v>0.04</v>
      </c>
      <c r="CG39" s="505" t="n">
        <v>0</v>
      </c>
      <c r="CH39" s="505" t="n">
        <v>4.10551976417502</v>
      </c>
      <c r="CI39" s="505" t="n">
        <v>3.162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3.15022761760243</v>
      </c>
      <c r="BW40" s="369" t="n">
        <v>3.279</v>
      </c>
      <c r="BX40" s="370" t="n">
        <v>0.377568797335415</v>
      </c>
      <c r="BY40" s="370" t="n">
        <v>0.379529532568229</v>
      </c>
      <c r="BZ40" s="370" t="n">
        <v>0.998345663503058</v>
      </c>
      <c r="CA40" s="370" t="n">
        <v>0.0309652793004798</v>
      </c>
      <c r="CB40" s="370" t="n">
        <v>0.95253693379797</v>
      </c>
      <c r="CC40" s="505" t="n">
        <v>-0.09</v>
      </c>
      <c r="CD40" s="505" t="n">
        <v>0</v>
      </c>
      <c r="CE40" s="505" t="n">
        <v>0.035</v>
      </c>
      <c r="CF40" s="505" t="n">
        <v>0.04</v>
      </c>
      <c r="CG40" s="505" t="n">
        <v>0</v>
      </c>
      <c r="CH40" s="505" t="n">
        <v>4.22554909202118</v>
      </c>
      <c r="CI40" s="505" t="n">
        <v>3.204</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3.19271623672231</v>
      </c>
      <c r="BW41" s="369" t="n">
        <v>3.321</v>
      </c>
      <c r="BX41" s="370" t="n">
        <v>0.37917572731747</v>
      </c>
      <c r="BY41" s="370" t="n">
        <v>0.381195839723846</v>
      </c>
      <c r="BZ41" s="370" t="n">
        <v>0.998189952802751</v>
      </c>
      <c r="CA41" s="370" t="n">
        <v>0.0319670833322725</v>
      </c>
      <c r="CB41" s="370" t="n">
        <v>0.948494893378275</v>
      </c>
      <c r="CC41" s="505" t="n">
        <v>-0.09</v>
      </c>
      <c r="CD41" s="505" t="n">
        <v>0</v>
      </c>
      <c r="CE41" s="505" t="n">
        <v>0.035</v>
      </c>
      <c r="CF41" s="505" t="n">
        <v>0.04</v>
      </c>
      <c r="CG41" s="505" t="n">
        <v>0</v>
      </c>
      <c r="CH41" s="505" t="n">
        <v>4.20761819651537</v>
      </c>
      <c r="CI41" s="505" t="n">
        <v>3.246</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3.18765806777946</v>
      </c>
      <c r="BW42" s="369" t="n">
        <v>3.316</v>
      </c>
      <c r="BX42" s="370" t="n">
        <v>0.376255879342064</v>
      </c>
      <c r="BY42" s="370" t="n">
        <v>0.378132573801484</v>
      </c>
      <c r="BZ42" s="370" t="n">
        <v>0.998304281137946</v>
      </c>
      <c r="CA42" s="370" t="n">
        <v>0.032968887702129</v>
      </c>
      <c r="CB42" s="370" t="n">
        <v>0.944312700032904</v>
      </c>
      <c r="CC42" s="505" t="n">
        <v>-0.09</v>
      </c>
      <c r="CD42" s="505" t="n">
        <v>0</v>
      </c>
      <c r="CE42" s="505" t="n">
        <v>0.035</v>
      </c>
      <c r="CF42" s="505" t="n">
        <v>0.04</v>
      </c>
      <c r="CG42" s="505" t="n">
        <v>0</v>
      </c>
      <c r="CH42" s="505" t="n">
        <v>4.05393442124126</v>
      </c>
      <c r="CI42" s="505" t="n">
        <v>3.241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3.21396054628225</v>
      </c>
      <c r="BW43" s="369" t="n">
        <v>3.342</v>
      </c>
      <c r="BX43" s="370" t="n">
        <v>0.38041410598552</v>
      </c>
      <c r="BY43" s="370" t="n">
        <v>0.382396137086886</v>
      </c>
      <c r="BZ43" s="370" t="n">
        <v>0.998115718832799</v>
      </c>
      <c r="CA43" s="370" t="n">
        <v>0.0339067018220711</v>
      </c>
      <c r="CB43" s="370" t="n">
        <v>0.940187685777986</v>
      </c>
      <c r="CC43" s="505" t="n">
        <v>-0.09</v>
      </c>
      <c r="CD43" s="505" t="n">
        <v>0</v>
      </c>
      <c r="CE43" s="505" t="n">
        <v>0.035</v>
      </c>
      <c r="CF43" s="505" t="n">
        <v>0.04</v>
      </c>
      <c r="CG43" s="505" t="n">
        <v>0</v>
      </c>
      <c r="CH43" s="505" t="n">
        <v>4.17076659287972</v>
      </c>
      <c r="CI43" s="505" t="n">
        <v>3.267</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3.47192716236722</v>
      </c>
      <c r="BW44" s="369" t="n">
        <v>3.562</v>
      </c>
      <c r="BX44" s="370" t="n">
        <v>0.390455574368654</v>
      </c>
      <c r="BY44" s="370" t="n">
        <v>0.385609740274895</v>
      </c>
      <c r="BZ44" s="370" t="n">
        <v>0.99553429406133</v>
      </c>
      <c r="CA44" s="370" t="n">
        <v>0.0348361539671314</v>
      </c>
      <c r="CB44" s="370" t="n">
        <v>0.93586587426758</v>
      </c>
      <c r="CC44" s="505" t="n">
        <v>0</v>
      </c>
      <c r="CD44" s="505" t="n">
        <v>0.03</v>
      </c>
      <c r="CE44" s="505" t="n">
        <v>0.125</v>
      </c>
      <c r="CF44" s="505" t="n">
        <v>0.035</v>
      </c>
      <c r="CG44" s="505" t="n">
        <v>0</v>
      </c>
      <c r="CH44" s="505" t="n">
        <v>4.01767219823072</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3.61355589276682</v>
      </c>
      <c r="BW45" s="369" t="n">
        <v>3.697</v>
      </c>
      <c r="BX45" s="370" t="n">
        <v>0.404310393383539</v>
      </c>
      <c r="BY45" s="370" t="n">
        <v>0.401276546653549</v>
      </c>
      <c r="BZ45" s="370" t="n">
        <v>0.993778465111826</v>
      </c>
      <c r="CA45" s="370" t="n">
        <v>0.0357356240616102</v>
      </c>
      <c r="CB45" s="370" t="n">
        <v>0.931565547567078</v>
      </c>
      <c r="CC45" s="505" t="n">
        <v>0.005</v>
      </c>
      <c r="CD45" s="505" t="n">
        <v>0.03</v>
      </c>
      <c r="CE45" s="505" t="n">
        <v>0.125</v>
      </c>
      <c r="CF45" s="505" t="n">
        <v>0.035</v>
      </c>
      <c r="CG45" s="505" t="n">
        <v>0</v>
      </c>
      <c r="CH45" s="505" t="n">
        <v>4.13251792556232</v>
      </c>
      <c r="CI45" s="505" t="n">
        <v>3.537</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3.6944865958523</v>
      </c>
      <c r="BW46" s="369" t="n">
        <v>3.757</v>
      </c>
      <c r="BX46" s="370" t="n">
        <v>0.401209615047156</v>
      </c>
      <c r="BY46" s="370" t="n">
        <v>0.398353191559868</v>
      </c>
      <c r="BZ46" s="370" t="n">
        <v>0.994242794743555</v>
      </c>
      <c r="CA46" s="370" t="n">
        <v>0.0366293995889575</v>
      </c>
      <c r="CB46" s="370" t="n">
        <v>0.927069774742957</v>
      </c>
      <c r="CC46" s="505" t="n">
        <v>0.025</v>
      </c>
      <c r="CD46" s="505" t="n">
        <v>0.03</v>
      </c>
      <c r="CE46" s="505" t="n">
        <v>0.125</v>
      </c>
      <c r="CF46" s="505" t="n">
        <v>0.035</v>
      </c>
      <c r="CG46" s="505" t="n">
        <v>0</v>
      </c>
      <c r="CH46" s="505" t="n">
        <v>4.11257422773723</v>
      </c>
      <c r="CI46" s="505" t="n">
        <v>3.597</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3.60343955488113</v>
      </c>
      <c r="BW47" s="369" t="n">
        <v>3.672</v>
      </c>
      <c r="BX47" s="370" t="n">
        <v>0.398202245542874</v>
      </c>
      <c r="BY47" s="370" t="n">
        <v>0.395612515929317</v>
      </c>
      <c r="BZ47" s="370" t="n">
        <v>0.994740515989516</v>
      </c>
      <c r="CA47" s="370" t="n">
        <v>0.0374851197051385</v>
      </c>
      <c r="CB47" s="370" t="n">
        <v>0.922533811762705</v>
      </c>
      <c r="CC47" s="505" t="n">
        <v>0.02</v>
      </c>
      <c r="CD47" s="505" t="n">
        <v>0.03</v>
      </c>
      <c r="CE47" s="505" t="n">
        <v>0.125</v>
      </c>
      <c r="CF47" s="505" t="n">
        <v>0.035</v>
      </c>
      <c r="CG47" s="505" t="n">
        <v>0</v>
      </c>
      <c r="CH47" s="505" t="n">
        <v>3.82842306543405</v>
      </c>
      <c r="CI47" s="505" t="n">
        <v>3.512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3.45169448659585</v>
      </c>
      <c r="BW48" s="369" t="n">
        <v>3.542</v>
      </c>
      <c r="BX48" s="370" t="n">
        <v>0.370475252302102</v>
      </c>
      <c r="BY48" s="370" t="n">
        <v>0.366388286442151</v>
      </c>
      <c r="BZ48" s="370" t="n">
        <v>0.996274235994401</v>
      </c>
      <c r="CA48" s="370" t="n">
        <v>0.0382856322945879</v>
      </c>
      <c r="CB48" s="370" t="n">
        <v>0.918192690834127</v>
      </c>
      <c r="CC48" s="505" t="n">
        <v>0</v>
      </c>
      <c r="CD48" s="505" t="n">
        <v>0.03</v>
      </c>
      <c r="CE48" s="505" t="n">
        <v>0.125</v>
      </c>
      <c r="CF48" s="505" t="n">
        <v>0.035</v>
      </c>
      <c r="CG48" s="505" t="n">
        <v>0</v>
      </c>
      <c r="CH48" s="505" t="n">
        <v>4.07319459580927</v>
      </c>
      <c r="CI48" s="505" t="n">
        <v>3.382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3.14314618108245</v>
      </c>
      <c r="BW49" s="369" t="n">
        <v>3.277</v>
      </c>
      <c r="BX49" s="370" t="n">
        <v>0.332481620699618</v>
      </c>
      <c r="BY49" s="370" t="n">
        <v>0.332481620699618</v>
      </c>
      <c r="BZ49" s="370" t="n">
        <v>0.998873863138025</v>
      </c>
      <c r="CA49" s="370" t="n">
        <v>0.0390847146165725</v>
      </c>
      <c r="CB49" s="370" t="n">
        <v>0.913567985593808</v>
      </c>
      <c r="CC49" s="505" t="n">
        <v>-0.09</v>
      </c>
      <c r="CD49" s="505" t="n">
        <v>0</v>
      </c>
      <c r="CE49" s="505" t="n">
        <v>0.04</v>
      </c>
      <c r="CF49" s="505" t="n">
        <v>0.04</v>
      </c>
      <c r="CG49" s="505" t="n">
        <v>0</v>
      </c>
      <c r="CH49" s="505" t="n">
        <v>3.92194736215422</v>
      </c>
      <c r="CI49" s="505" t="n">
        <v>3.197</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3.13808801213961</v>
      </c>
      <c r="BW50" s="369" t="n">
        <v>3.272</v>
      </c>
      <c r="BX50" s="370" t="n">
        <v>0.327601342960546</v>
      </c>
      <c r="BY50" s="370" t="n">
        <v>0.328869322210224</v>
      </c>
      <c r="BZ50" s="370" t="n">
        <v>0.99852324347409</v>
      </c>
      <c r="CA50" s="370" t="n">
        <v>0.0397995549683068</v>
      </c>
      <c r="CB50" s="370" t="n">
        <v>0.909126089677525</v>
      </c>
      <c r="CC50" s="505" t="n">
        <v>-0.09</v>
      </c>
      <c r="CD50" s="505" t="n">
        <v>0</v>
      </c>
      <c r="CE50" s="505" t="n">
        <v>0.04</v>
      </c>
      <c r="CF50" s="505" t="n">
        <v>0.04</v>
      </c>
      <c r="CG50" s="505" t="n">
        <v>0</v>
      </c>
      <c r="CH50" s="505" t="n">
        <v>4.03297424641847</v>
      </c>
      <c r="CI50" s="505" t="n">
        <v>3.192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3.1734951947395</v>
      </c>
      <c r="BW51" s="369" t="n">
        <v>3.307</v>
      </c>
      <c r="BX51" s="370" t="n">
        <v>0.322553846057612</v>
      </c>
      <c r="BY51" s="370" t="n">
        <v>0.323758663407093</v>
      </c>
      <c r="BZ51" s="370" t="n">
        <v>0.99857450025135</v>
      </c>
      <c r="CA51" s="370" t="n">
        <v>0.0405382235118998</v>
      </c>
      <c r="CB51" s="370" t="n">
        <v>0.904449976505324</v>
      </c>
      <c r="CC51" s="505" t="n">
        <v>-0.09</v>
      </c>
      <c r="CD51" s="505" t="n">
        <v>0</v>
      </c>
      <c r="CE51" s="505" t="n">
        <v>0.04</v>
      </c>
      <c r="CF51" s="505" t="n">
        <v>0.04</v>
      </c>
      <c r="CG51" s="505" t="n">
        <v>0</v>
      </c>
      <c r="CH51" s="505" t="n">
        <v>3.88280374913736</v>
      </c>
      <c r="CI51" s="505" t="n">
        <v>3.227</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3.21396054628225</v>
      </c>
      <c r="BW52" s="369" t="n">
        <v>3.347</v>
      </c>
      <c r="BX52" s="370" t="n">
        <v>0.323758663407093</v>
      </c>
      <c r="BY52" s="370" t="n">
        <v>0.325085108654415</v>
      </c>
      <c r="BZ52" s="370" t="n">
        <v>0.998314485103819</v>
      </c>
      <c r="CA52" s="370" t="n">
        <v>0.0412152492802473</v>
      </c>
      <c r="CB52" s="370" t="n">
        <v>0.899929041596613</v>
      </c>
      <c r="CC52" s="505" t="n">
        <v>-0.09</v>
      </c>
      <c r="CD52" s="505" t="n">
        <v>0</v>
      </c>
      <c r="CE52" s="505" t="n">
        <v>0.04</v>
      </c>
      <c r="CF52" s="505" t="n">
        <v>0.04</v>
      </c>
      <c r="CG52" s="505" t="n">
        <v>0</v>
      </c>
      <c r="CH52" s="505" t="n">
        <v>3.99217522142674</v>
      </c>
      <c r="CI52" s="505" t="n">
        <v>3.267</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3.25442589782499</v>
      </c>
      <c r="BW53" s="369" t="n">
        <v>3.387</v>
      </c>
      <c r="BX53" s="370" t="n">
        <v>0.324924899747912</v>
      </c>
      <c r="BY53" s="370" t="n">
        <v>0.326326353347211</v>
      </c>
      <c r="BZ53" s="370" t="n">
        <v>0.998093090665014</v>
      </c>
      <c r="CA53" s="370" t="n">
        <v>0.0418733656308259</v>
      </c>
      <c r="CB53" s="370" t="n">
        <v>0.895276283112479</v>
      </c>
      <c r="CC53" s="505" t="n">
        <v>-0.09</v>
      </c>
      <c r="CD53" s="505" t="n">
        <v>0</v>
      </c>
      <c r="CE53" s="505" t="n">
        <v>0.04</v>
      </c>
      <c r="CF53" s="505" t="n">
        <v>0.04</v>
      </c>
      <c r="CG53" s="505" t="n">
        <v>0</v>
      </c>
      <c r="CH53" s="505" t="n">
        <v>3.97153511951527</v>
      </c>
      <c r="CI53" s="505" t="n">
        <v>3.307</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3.24936772888214</v>
      </c>
      <c r="BW54" s="369" t="n">
        <v>3.382</v>
      </c>
      <c r="BX54" s="370" t="n">
        <v>0.324623837003911</v>
      </c>
      <c r="BY54" s="370" t="n">
        <v>0.325940393354155</v>
      </c>
      <c r="BZ54" s="370" t="n">
        <v>0.998206197599466</v>
      </c>
      <c r="CA54" s="370" t="n">
        <v>0.0425314821265914</v>
      </c>
      <c r="CB54" s="370" t="n">
        <v>0.890550622336601</v>
      </c>
      <c r="CC54" s="505" t="n">
        <v>-0.09</v>
      </c>
      <c r="CD54" s="505" t="n">
        <v>0</v>
      </c>
      <c r="CE54" s="505" t="n">
        <v>0.04</v>
      </c>
      <c r="CF54" s="505" t="n">
        <v>0.04</v>
      </c>
      <c r="CG54" s="505" t="n">
        <v>0</v>
      </c>
      <c r="CH54" s="505" t="n">
        <v>3.82313382169103</v>
      </c>
      <c r="CI54" s="505" t="n">
        <v>3.302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3.27465857359636</v>
      </c>
      <c r="BW55" s="369" t="n">
        <v>3.407</v>
      </c>
      <c r="BX55" s="370" t="n">
        <v>0.325957791635222</v>
      </c>
      <c r="BY55" s="370" t="n">
        <v>0.327386952805804</v>
      </c>
      <c r="BZ55" s="370" t="n">
        <v>0.99792360442444</v>
      </c>
      <c r="CA55" s="370" t="n">
        <v>0.0431331290786572</v>
      </c>
      <c r="CB55" s="370" t="n">
        <v>0.885996047822783</v>
      </c>
      <c r="CC55" s="505" t="n">
        <v>-0.09</v>
      </c>
      <c r="CD55" s="505" t="n">
        <v>0</v>
      </c>
      <c r="CE55" s="505" t="n">
        <v>0.04</v>
      </c>
      <c r="CF55" s="505" t="n">
        <v>0.04</v>
      </c>
      <c r="CG55" s="505" t="n">
        <v>0</v>
      </c>
      <c r="CH55" s="505" t="n">
        <v>3.93036706774665</v>
      </c>
      <c r="CI55" s="505" t="n">
        <v>3.327</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3.549822964087</v>
      </c>
      <c r="BW56" s="369" t="n">
        <v>3.639</v>
      </c>
      <c r="BX56" s="370" t="n">
        <v>0.335168915991909</v>
      </c>
      <c r="BY56" s="370" t="n">
        <v>0.331587939765235</v>
      </c>
      <c r="BZ56" s="370" t="n">
        <v>0.996241198154211</v>
      </c>
      <c r="CA56" s="370" t="n">
        <v>0.0437209690349563</v>
      </c>
      <c r="CB56" s="370" t="n">
        <v>0.881310319234489</v>
      </c>
      <c r="CC56" s="505" t="n">
        <v>0</v>
      </c>
      <c r="CD56" s="505" t="n">
        <v>0.03</v>
      </c>
      <c r="CE56" s="505" t="n">
        <v>0.125</v>
      </c>
      <c r="CF56" s="505" t="n">
        <v>0.035</v>
      </c>
      <c r="CG56" s="505" t="n">
        <v>0</v>
      </c>
      <c r="CH56" s="505" t="n">
        <v>3.78346520047366</v>
      </c>
      <c r="CI56" s="505" t="n">
        <v>3.479</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3.69954476479514</v>
      </c>
      <c r="BW57" s="369" t="n">
        <v>3.782</v>
      </c>
      <c r="BX57" s="370" t="n">
        <v>0.345855163710052</v>
      </c>
      <c r="BY57" s="370" t="n">
        <v>0.343552619502259</v>
      </c>
      <c r="BZ57" s="370" t="n">
        <v>0.994616085608626</v>
      </c>
      <c r="CA57" s="370" t="n">
        <v>0.044289846522211</v>
      </c>
      <c r="CB57" s="370" t="n">
        <v>0.876718225648428</v>
      </c>
      <c r="CC57" s="505" t="n">
        <v>0.005</v>
      </c>
      <c r="CD57" s="505" t="n">
        <v>0.03</v>
      </c>
      <c r="CE57" s="505" t="n">
        <v>0.125</v>
      </c>
      <c r="CF57" s="505" t="n">
        <v>0.035</v>
      </c>
      <c r="CG57" s="505" t="n">
        <v>0</v>
      </c>
      <c r="CH57" s="505" t="n">
        <v>3.88920972079899</v>
      </c>
      <c r="CI57" s="505" t="n">
        <v>3.622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3.78047546788063</v>
      </c>
      <c r="BW58" s="369" t="n">
        <v>3.842</v>
      </c>
      <c r="BX58" s="370" t="n">
        <v>0.34517139726909</v>
      </c>
      <c r="BY58" s="370" t="n">
        <v>0.34292778947105</v>
      </c>
      <c r="BZ58" s="370" t="n">
        <v>0.994743402230853</v>
      </c>
      <c r="CA58" s="370" t="n">
        <v>0.0448548874957364</v>
      </c>
      <c r="CB58" s="370" t="n">
        <v>0.871974921810256</v>
      </c>
      <c r="CC58" s="505" t="n">
        <v>0.025</v>
      </c>
      <c r="CD58" s="505" t="n">
        <v>0.03</v>
      </c>
      <c r="CE58" s="505" t="n">
        <v>0.125</v>
      </c>
      <c r="CF58" s="505" t="n">
        <v>0.035</v>
      </c>
      <c r="CG58" s="505" t="n">
        <v>0</v>
      </c>
      <c r="CH58" s="505" t="n">
        <v>3.86816795064248</v>
      </c>
      <c r="CI58" s="505" t="n">
        <v>3.682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3.68942842690946</v>
      </c>
      <c r="BW59" s="369" t="n">
        <v>3.757</v>
      </c>
      <c r="BX59" s="370" t="n">
        <v>0.339946395117029</v>
      </c>
      <c r="BY59" s="370" t="n">
        <v>0.337941742673049</v>
      </c>
      <c r="BZ59" s="370" t="n">
        <v>0.995230723395191</v>
      </c>
      <c r="CA59" s="370" t="n">
        <v>0.0454011527523237</v>
      </c>
      <c r="CB59" s="370" t="n">
        <v>0.867226855595254</v>
      </c>
      <c r="CC59" s="505" t="n">
        <v>0.02</v>
      </c>
      <c r="CD59" s="505" t="n">
        <v>0.03</v>
      </c>
      <c r="CE59" s="505" t="n">
        <v>0.125</v>
      </c>
      <c r="CF59" s="505" t="n">
        <v>0.035</v>
      </c>
      <c r="CG59" s="505" t="n">
        <v>0</v>
      </c>
      <c r="CH59" s="505" t="n">
        <v>3.47480456499906</v>
      </c>
      <c r="CI59" s="505" t="n">
        <v>3.597</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3.53768335862418</v>
      </c>
      <c r="BW60" s="369" t="n">
        <v>3.627</v>
      </c>
      <c r="BX60" s="370" t="n">
        <v>0.320539657555238</v>
      </c>
      <c r="BY60" s="370" t="n">
        <v>0.317268038421172</v>
      </c>
      <c r="BZ60" s="370" t="n">
        <v>0.996550062083948</v>
      </c>
      <c r="CA60" s="370" t="n">
        <v>0.0458945537150708</v>
      </c>
      <c r="CB60" s="370" t="n">
        <v>0.862893591140207</v>
      </c>
      <c r="CC60" s="505" t="n">
        <v>0</v>
      </c>
      <c r="CD60" s="505" t="n">
        <v>0.03</v>
      </c>
      <c r="CE60" s="505" t="n">
        <v>0.125</v>
      </c>
      <c r="CF60" s="505" t="n">
        <v>0.035</v>
      </c>
      <c r="CG60" s="505" t="n">
        <v>0</v>
      </c>
      <c r="CH60" s="505" t="n">
        <v>3.82788225965707</v>
      </c>
      <c r="CI60" s="505" t="n">
        <v>3.467</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3.22913505311077</v>
      </c>
      <c r="BW61" s="369" t="n">
        <v>3.362</v>
      </c>
      <c r="BX61" s="370" t="n">
        <v>0.299848232051068</v>
      </c>
      <c r="BY61" s="370" t="n">
        <v>0.299848232051068</v>
      </c>
      <c r="BZ61" s="370" t="n">
        <v>0.999029986808733</v>
      </c>
      <c r="CA61" s="370" t="n">
        <v>0.0464010564150716</v>
      </c>
      <c r="CB61" s="370" t="n">
        <v>0.85815886093194</v>
      </c>
      <c r="CC61" s="505" t="n">
        <v>-0.09</v>
      </c>
      <c r="CD61" s="505" t="n">
        <v>0</v>
      </c>
      <c r="CE61" s="505" t="n">
        <v>0.04</v>
      </c>
      <c r="CF61" s="505" t="n">
        <v>0.04</v>
      </c>
      <c r="CG61" s="505" t="n">
        <v>0</v>
      </c>
      <c r="CH61" s="505" t="n">
        <v>3.68407598998082</v>
      </c>
      <c r="CI61" s="505" t="n">
        <v>3.282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3.22407688416793</v>
      </c>
      <c r="BW62" s="369" t="n">
        <v>3.357</v>
      </c>
      <c r="BX62" s="370" t="n">
        <v>0.292521362466059</v>
      </c>
      <c r="BY62" s="370" t="n">
        <v>0.293526801490558</v>
      </c>
      <c r="BZ62" s="370" t="n">
        <v>0.998687560320765</v>
      </c>
      <c r="CA62" s="370" t="n">
        <v>0.0468566770502532</v>
      </c>
      <c r="CB62" s="370" t="n">
        <v>0.853632083295416</v>
      </c>
      <c r="CC62" s="505" t="n">
        <v>-0.09</v>
      </c>
      <c r="CD62" s="505" t="n">
        <v>0</v>
      </c>
      <c r="CE62" s="505" t="n">
        <v>0.04</v>
      </c>
      <c r="CF62" s="505" t="n">
        <v>0.04</v>
      </c>
      <c r="CG62" s="505" t="n">
        <v>0</v>
      </c>
      <c r="CH62" s="505" t="n">
        <v>3.7867972847068</v>
      </c>
      <c r="CI62" s="505" t="n">
        <v>3.277</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3.25948406676783</v>
      </c>
      <c r="BW63" s="369" t="n">
        <v>3.392</v>
      </c>
      <c r="BX63" s="370" t="n">
        <v>0.292382455013977</v>
      </c>
      <c r="BY63" s="370" t="n">
        <v>0.293332815458823</v>
      </c>
      <c r="BZ63" s="370" t="n">
        <v>0.998758449909892</v>
      </c>
      <c r="CA63" s="370" t="n">
        <v>0.0473274851128664</v>
      </c>
      <c r="CB63" s="370" t="n">
        <v>0.848914575635623</v>
      </c>
      <c r="CC63" s="505" t="n">
        <v>-0.09</v>
      </c>
      <c r="CD63" s="505" t="n">
        <v>0</v>
      </c>
      <c r="CE63" s="505" t="n">
        <v>0.04</v>
      </c>
      <c r="CF63" s="505" t="n">
        <v>0.04</v>
      </c>
      <c r="CG63" s="505" t="n">
        <v>0</v>
      </c>
      <c r="CH63" s="505" t="n">
        <v>3.64439027320373</v>
      </c>
      <c r="CI63" s="505" t="n">
        <v>3.312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3.29994941831057</v>
      </c>
      <c r="BW64" s="369" t="n">
        <v>3.432</v>
      </c>
      <c r="BX64" s="370" t="n">
        <v>0.288480838532972</v>
      </c>
      <c r="BY64" s="370" t="n">
        <v>0.28955507318026</v>
      </c>
      <c r="BZ64" s="370" t="n">
        <v>0.998467066810014</v>
      </c>
      <c r="CA64" s="370" t="n">
        <v>0.047760481058801</v>
      </c>
      <c r="CB64" s="370" t="n">
        <v>0.844378469838596</v>
      </c>
      <c r="CC64" s="505" t="n">
        <v>-0.09</v>
      </c>
      <c r="CD64" s="505" t="n">
        <v>0</v>
      </c>
      <c r="CE64" s="505" t="n">
        <v>0.04</v>
      </c>
      <c r="CF64" s="505" t="n">
        <v>0.04</v>
      </c>
      <c r="CG64" s="505" t="n">
        <v>0</v>
      </c>
      <c r="CH64" s="505" t="n">
        <v>3.745747330051</v>
      </c>
      <c r="CI64" s="505" t="n">
        <v>3.352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3.34041476985331</v>
      </c>
      <c r="BW65" s="369" t="n">
        <v>3.472</v>
      </c>
      <c r="BX65" s="370" t="n">
        <v>0.289450621554524</v>
      </c>
      <c r="BY65" s="370" t="n">
        <v>0.2905959919937</v>
      </c>
      <c r="BZ65" s="370" t="n">
        <v>0.998249522925739</v>
      </c>
      <c r="CA65" s="370" t="n">
        <v>0.0481861434694211</v>
      </c>
      <c r="CB65" s="370" t="n">
        <v>0.839721100096823</v>
      </c>
      <c r="CC65" s="505" t="n">
        <v>-0.09</v>
      </c>
      <c r="CD65" s="505" t="n">
        <v>0</v>
      </c>
      <c r="CE65" s="505" t="n">
        <v>0.04</v>
      </c>
      <c r="CF65" s="505" t="n">
        <v>0.04</v>
      </c>
      <c r="CG65" s="505" t="n">
        <v>0</v>
      </c>
      <c r="CH65" s="505" t="n">
        <v>3.72508677213951</v>
      </c>
      <c r="CI65" s="505" t="n">
        <v>3.392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3.33535660091047</v>
      </c>
      <c r="BW66" s="369" t="n">
        <v>3.467</v>
      </c>
      <c r="BX66" s="370" t="n">
        <v>0.289213048318682</v>
      </c>
      <c r="BY66" s="370" t="n">
        <v>0.290297832635128</v>
      </c>
      <c r="BZ66" s="370" t="n">
        <v>0.998340200535755</v>
      </c>
      <c r="CA66" s="370" t="n">
        <v>0.0486118059405909</v>
      </c>
      <c r="CB66" s="370" t="n">
        <v>0.835030766033085</v>
      </c>
      <c r="CC66" s="505" t="n">
        <v>-0.09</v>
      </c>
      <c r="CD66" s="505" t="n">
        <v>0</v>
      </c>
      <c r="CE66" s="505" t="n">
        <v>0.04</v>
      </c>
      <c r="CF66" s="505" t="n">
        <v>0.04</v>
      </c>
      <c r="CG66" s="505" t="n">
        <v>0</v>
      </c>
      <c r="CH66" s="505" t="n">
        <v>3.58478707858003</v>
      </c>
      <c r="CI66" s="505" t="n">
        <v>3.387</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3.36064744562468</v>
      </c>
      <c r="BW67" s="369" t="n">
        <v>3.492</v>
      </c>
      <c r="BX67" s="370" t="n">
        <v>0.290354844679535</v>
      </c>
      <c r="BY67" s="370" t="n">
        <v>0.291541878066714</v>
      </c>
      <c r="BZ67" s="370" t="n">
        <v>0.99806302951256</v>
      </c>
      <c r="CA67" s="370" t="n">
        <v>0.0490091513549218</v>
      </c>
      <c r="CB67" s="370" t="n">
        <v>0.830506508545646</v>
      </c>
      <c r="CC67" s="505" t="n">
        <v>-0.09</v>
      </c>
      <c r="CD67" s="505" t="n">
        <v>0</v>
      </c>
      <c r="CE67" s="505" t="n">
        <v>0.04</v>
      </c>
      <c r="CF67" s="505" t="n">
        <v>0.04</v>
      </c>
      <c r="CG67" s="505" t="n">
        <v>0</v>
      </c>
      <c r="CH67" s="505" t="n">
        <v>3.68420992255934</v>
      </c>
      <c r="CI67" s="505" t="n">
        <v>3.412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3.63581183611533</v>
      </c>
      <c r="BW68" s="369" t="n">
        <v>3.724</v>
      </c>
      <c r="BX68" s="370" t="n">
        <v>0.298083023977433</v>
      </c>
      <c r="BY68" s="370" t="n">
        <v>0.295083048619696</v>
      </c>
      <c r="BZ68" s="370" t="n">
        <v>0.996457221828868</v>
      </c>
      <c r="CA68" s="370" t="n">
        <v>0.0493920179871608</v>
      </c>
      <c r="CB68" s="370" t="n">
        <v>0.825889768863549</v>
      </c>
      <c r="CC68" s="505" t="n">
        <v>0</v>
      </c>
      <c r="CD68" s="505" t="n">
        <v>0.03</v>
      </c>
      <c r="CE68" s="505" t="n">
        <v>0.125</v>
      </c>
      <c r="CF68" s="505" t="n">
        <v>0.035</v>
      </c>
      <c r="CG68" s="505" t="n">
        <v>0</v>
      </c>
      <c r="CH68" s="505" t="n">
        <v>3.54554477773122</v>
      </c>
      <c r="CI68" s="505" t="n">
        <v>3.564</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3.78553363682347</v>
      </c>
      <c r="BW69" s="369" t="n">
        <v>3.867</v>
      </c>
      <c r="BX69" s="370" t="n">
        <v>0.307199290637349</v>
      </c>
      <c r="BY69" s="370" t="n">
        <v>0.305253847104092</v>
      </c>
      <c r="BZ69" s="370" t="n">
        <v>0.994878470301731</v>
      </c>
      <c r="CA69" s="370" t="n">
        <v>0.0497625341294907</v>
      </c>
      <c r="CB69" s="370" t="n">
        <v>0.821397003079716</v>
      </c>
      <c r="CC69" s="505" t="n">
        <v>0.005</v>
      </c>
      <c r="CD69" s="505" t="n">
        <v>0.03</v>
      </c>
      <c r="CE69" s="505" t="n">
        <v>0.125</v>
      </c>
      <c r="CF69" s="505" t="n">
        <v>0.035</v>
      </c>
      <c r="CG69" s="505" t="n">
        <v>0</v>
      </c>
      <c r="CH69" s="505" t="n">
        <v>3.64379924536193</v>
      </c>
      <c r="CI69" s="505" t="n">
        <v>3.707</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3.86140617096611</v>
      </c>
      <c r="BW70" s="369" t="n">
        <v>3.922</v>
      </c>
      <c r="BX70" s="370" t="n">
        <v>0.306755133524761</v>
      </c>
      <c r="BY70" s="370" t="n">
        <v>0.304847394210791</v>
      </c>
      <c r="BZ70" s="370" t="n">
        <v>0.994970389417264</v>
      </c>
      <c r="CA70" s="370" t="n">
        <v>0.0501238670100874</v>
      </c>
      <c r="CB70" s="370" t="n">
        <v>0.816799555121222</v>
      </c>
      <c r="CC70" s="505" t="n">
        <v>0.025</v>
      </c>
      <c r="CD70" s="505" t="n">
        <v>0.03</v>
      </c>
      <c r="CE70" s="505" t="n">
        <v>0.125</v>
      </c>
      <c r="CF70" s="505" t="n">
        <v>0.035</v>
      </c>
      <c r="CG70" s="505" t="n">
        <v>0</v>
      </c>
      <c r="CH70" s="505" t="n">
        <v>3.62340450647325</v>
      </c>
      <c r="CI70" s="505" t="n">
        <v>3.762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3.77035912999494</v>
      </c>
      <c r="BW71" s="369" t="n">
        <v>3.837</v>
      </c>
      <c r="BX71" s="370" t="n">
        <v>0.299714431013057</v>
      </c>
      <c r="BY71" s="370" t="n">
        <v>0.297985361369567</v>
      </c>
      <c r="BZ71" s="370" t="n">
        <v>0.995334101144992</v>
      </c>
      <c r="CA71" s="370" t="n">
        <v>0.0504460474790935</v>
      </c>
      <c r="CB71" s="370" t="n">
        <v>0.812308871993658</v>
      </c>
      <c r="CC71" s="505" t="n">
        <v>0.02</v>
      </c>
      <c r="CD71" s="505" t="n">
        <v>0.03</v>
      </c>
      <c r="CE71" s="505" t="n">
        <v>0.125</v>
      </c>
      <c r="CF71" s="505" t="n">
        <v>0.035</v>
      </c>
      <c r="CG71" s="505" t="n">
        <v>0</v>
      </c>
      <c r="CH71" s="505" t="n">
        <v>3.25475918830419</v>
      </c>
      <c r="CI71" s="505" t="n">
        <v>3.677</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3.61861406170966</v>
      </c>
      <c r="BW72" s="369" t="n">
        <v>3.707</v>
      </c>
      <c r="BX72" s="370" t="n">
        <v>0.281746986958945</v>
      </c>
      <c r="BY72" s="370" t="n">
        <v>0.278899568705084</v>
      </c>
      <c r="BZ72" s="370" t="n">
        <v>0.996583624458085</v>
      </c>
      <c r="CA72" s="370" t="n">
        <v>0.0507370492228172</v>
      </c>
      <c r="CB72" s="370" t="n">
        <v>0.808237080144648</v>
      </c>
      <c r="CC72" s="505" t="n">
        <v>0</v>
      </c>
      <c r="CD72" s="505" t="n">
        <v>0.03</v>
      </c>
      <c r="CE72" s="505" t="n">
        <v>0.125</v>
      </c>
      <c r="CF72" s="505" t="n">
        <v>0.035</v>
      </c>
      <c r="CG72" s="505" t="n">
        <v>0</v>
      </c>
      <c r="CH72" s="505" t="n">
        <v>3.58542051122967</v>
      </c>
      <c r="CI72" s="505" t="n">
        <v>3.547</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3.31006575619626</v>
      </c>
      <c r="BW73" s="369" t="n">
        <v>3.442</v>
      </c>
      <c r="BX73" s="370" t="n">
        <v>0.25263760127059</v>
      </c>
      <c r="BY73" s="370" t="n">
        <v>0.25263760127059</v>
      </c>
      <c r="BZ73" s="370" t="n">
        <v>0.998948442136498</v>
      </c>
      <c r="CA73" s="370" t="n">
        <v>0.0510592297577648</v>
      </c>
      <c r="CB73" s="370" t="n">
        <v>0.803712195296429</v>
      </c>
      <c r="CC73" s="505" t="n">
        <v>-0.09</v>
      </c>
      <c r="CD73" s="505" t="n">
        <v>0</v>
      </c>
      <c r="CE73" s="505" t="n">
        <v>0.04</v>
      </c>
      <c r="CF73" s="505" t="n">
        <v>0.04</v>
      </c>
      <c r="CG73" s="505" t="n">
        <v>0</v>
      </c>
      <c r="CH73" s="505" t="n">
        <v>3.45033645440757</v>
      </c>
      <c r="CI73" s="505" t="n">
        <v>3.362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3.30500758725341</v>
      </c>
      <c r="BW74" s="369" t="n">
        <v>3.437</v>
      </c>
      <c r="BX74" s="370" t="n">
        <v>0.24777576676848</v>
      </c>
      <c r="BY74" s="370" t="n">
        <v>0.248694298556294</v>
      </c>
      <c r="BZ74" s="370" t="n">
        <v>0.998585165916243</v>
      </c>
      <c r="CA74" s="370" t="n">
        <v>0.051371017405212</v>
      </c>
      <c r="CB74" s="370" t="n">
        <v>0.799316971929618</v>
      </c>
      <c r="CC74" s="505" t="n">
        <v>-0.09</v>
      </c>
      <c r="CD74" s="505" t="n">
        <v>0</v>
      </c>
      <c r="CE74" s="505" t="n">
        <v>0.04</v>
      </c>
      <c r="CF74" s="505" t="n">
        <v>0.04</v>
      </c>
      <c r="CG74" s="505" t="n">
        <v>0</v>
      </c>
      <c r="CH74" s="505" t="n">
        <v>3.54585001917698</v>
      </c>
      <c r="CI74" s="505" t="n">
        <v>3.357</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3.34041476985331</v>
      </c>
      <c r="BW75" s="369" t="n">
        <v>3.472</v>
      </c>
      <c r="BX75" s="370" t="n">
        <v>0.250088358245823</v>
      </c>
      <c r="BY75" s="370" t="n">
        <v>0.250952819528252</v>
      </c>
      <c r="BZ75" s="370" t="n">
        <v>0.998680169844735</v>
      </c>
      <c r="CA75" s="370" t="n">
        <v>0.0516931980083157</v>
      </c>
      <c r="CB75" s="370" t="n">
        <v>0.794758967227619</v>
      </c>
      <c r="CC75" s="505" t="n">
        <v>-0.09</v>
      </c>
      <c r="CD75" s="505" t="n">
        <v>0</v>
      </c>
      <c r="CE75" s="505" t="n">
        <v>0.04</v>
      </c>
      <c r="CF75" s="505" t="n">
        <v>0.04</v>
      </c>
      <c r="CG75" s="505" t="n">
        <v>0</v>
      </c>
      <c r="CH75" s="505" t="n">
        <v>3.41190024630817</v>
      </c>
      <c r="CI75" s="505" t="n">
        <v>3.392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3.38088012139605</v>
      </c>
      <c r="BW76" s="369" t="n">
        <v>3.512</v>
      </c>
      <c r="BX76" s="370" t="n">
        <v>0.251002615011208</v>
      </c>
      <c r="BY76" s="370" t="n">
        <v>0.251968229465743</v>
      </c>
      <c r="BZ76" s="370" t="n">
        <v>0.998416656002226</v>
      </c>
      <c r="CA76" s="370" t="n">
        <v>0.0520049857217106</v>
      </c>
      <c r="CB76" s="370" t="n">
        <v>0.790332792803782</v>
      </c>
      <c r="CC76" s="505" t="n">
        <v>-0.09</v>
      </c>
      <c r="CD76" s="505" t="n">
        <v>0</v>
      </c>
      <c r="CE76" s="505" t="n">
        <v>0.04</v>
      </c>
      <c r="CF76" s="505" t="n">
        <v>0.04</v>
      </c>
      <c r="CG76" s="505" t="n">
        <v>0</v>
      </c>
      <c r="CH76" s="505" t="n">
        <v>3.50599530215686</v>
      </c>
      <c r="CI76" s="505" t="n">
        <v>3.432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3.4213454729388</v>
      </c>
      <c r="BW77" s="369" t="n">
        <v>3.552</v>
      </c>
      <c r="BX77" s="370" t="n">
        <v>0.251887767191014</v>
      </c>
      <c r="BY77" s="370" t="n">
        <v>0.252922349862689</v>
      </c>
      <c r="BZ77" s="370" t="n">
        <v>0.998183492034388</v>
      </c>
      <c r="CA77" s="370" t="n">
        <v>0.0523271663929492</v>
      </c>
      <c r="CB77" s="370" t="n">
        <v>0.785743940633574</v>
      </c>
      <c r="CC77" s="505" t="n">
        <v>-0.09</v>
      </c>
      <c r="CD77" s="505" t="n">
        <v>0</v>
      </c>
      <c r="CE77" s="505" t="n">
        <v>0.04</v>
      </c>
      <c r="CF77" s="505" t="n">
        <v>0.04</v>
      </c>
      <c r="CG77" s="505" t="n">
        <v>0</v>
      </c>
      <c r="CH77" s="505" t="n">
        <v>3.4856386950446</v>
      </c>
      <c r="CI77" s="505" t="n">
        <v>3.472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3.41628730399595</v>
      </c>
      <c r="BW78" s="369" t="n">
        <v>3.547</v>
      </c>
      <c r="BX78" s="370" t="n">
        <v>0.251673457799918</v>
      </c>
      <c r="BY78" s="370" t="n">
        <v>0.252658020117181</v>
      </c>
      <c r="BZ78" s="370" t="n">
        <v>0.998269297579922</v>
      </c>
      <c r="CA78" s="370" t="n">
        <v>0.0526493470988063</v>
      </c>
      <c r="CB78" s="370" t="n">
        <v>0.781140280211496</v>
      </c>
      <c r="CC78" s="505" t="n">
        <v>-0.09</v>
      </c>
      <c r="CD78" s="505" t="n">
        <v>0</v>
      </c>
      <c r="CE78" s="505" t="n">
        <v>0.04</v>
      </c>
      <c r="CF78" s="505" t="n">
        <v>0.04</v>
      </c>
      <c r="CG78" s="505" t="n">
        <v>0</v>
      </c>
      <c r="CH78" s="505" t="n">
        <v>3.35343522294795</v>
      </c>
      <c r="CI78" s="505" t="n">
        <v>3.467</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3.44157814871017</v>
      </c>
      <c r="BW79" s="369" t="n">
        <v>3.572</v>
      </c>
      <c r="BX79" s="370" t="n">
        <v>0.252737151785216</v>
      </c>
      <c r="BY79" s="370" t="n">
        <v>0.253819145093197</v>
      </c>
      <c r="BZ79" s="370" t="n">
        <v>0.997705675234386</v>
      </c>
      <c r="CA79" s="370" t="n">
        <v>0.0529611349116244</v>
      </c>
      <c r="CB79" s="370" t="n">
        <v>0.776671575219578</v>
      </c>
      <c r="CC79" s="505" t="n">
        <v>-0.09</v>
      </c>
      <c r="CD79" s="505" t="n">
        <v>0</v>
      </c>
      <c r="CE79" s="505" t="n">
        <v>0.04</v>
      </c>
      <c r="CF79" s="505" t="n">
        <v>0.04</v>
      </c>
      <c r="CG79" s="505" t="n">
        <v>0</v>
      </c>
      <c r="CH79" s="505" t="n">
        <v>3.44539277483157</v>
      </c>
      <c r="CI79" s="505" t="n">
        <v>3.492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3.71674253920081</v>
      </c>
      <c r="BW80" s="369" t="n">
        <v>3.809</v>
      </c>
      <c r="BX80" s="370" t="n">
        <v>0.259812859139407</v>
      </c>
      <c r="BY80" s="370" t="n">
        <v>0.257069016574414</v>
      </c>
      <c r="BZ80" s="370" t="n">
        <v>0.995834461385097</v>
      </c>
      <c r="CA80" s="370" t="n">
        <v>0.0532833156855848</v>
      </c>
      <c r="CB80" s="370" t="n">
        <v>0.772040478692847</v>
      </c>
      <c r="CC80" s="505" t="n">
        <v>0</v>
      </c>
      <c r="CD80" s="505" t="n">
        <v>0.03</v>
      </c>
      <c r="CE80" s="505" t="n">
        <v>0.13</v>
      </c>
      <c r="CF80" s="505" t="n">
        <v>0.035</v>
      </c>
      <c r="CG80" s="505" t="n">
        <v>0</v>
      </c>
      <c r="CH80" s="505" t="n">
        <v>3.31436977502839</v>
      </c>
      <c r="CI80" s="505" t="n">
        <v>3.644</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3.86646433990895</v>
      </c>
      <c r="BW81" s="369" t="n">
        <v>3.952</v>
      </c>
      <c r="BX81" s="370" t="n">
        <v>0.268230645356863</v>
      </c>
      <c r="BY81" s="370" t="n">
        <v>0.266447046475158</v>
      </c>
      <c r="BZ81" s="370" t="n">
        <v>0.993872382302943</v>
      </c>
      <c r="CA81" s="370" t="n">
        <v>0.0535951035642985</v>
      </c>
      <c r="CB81" s="370" t="n">
        <v>0.767546312167612</v>
      </c>
      <c r="CC81" s="505" t="n">
        <v>0.005</v>
      </c>
      <c r="CD81" s="505" t="n">
        <v>0.03</v>
      </c>
      <c r="CE81" s="505" t="n">
        <v>0.13</v>
      </c>
      <c r="CF81" s="505" t="n">
        <v>0.035</v>
      </c>
      <c r="CG81" s="505" t="n">
        <v>0</v>
      </c>
      <c r="CH81" s="505" t="n">
        <v>3.40491219540675</v>
      </c>
      <c r="CI81" s="505" t="n">
        <v>3.787</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3.93980778958017</v>
      </c>
      <c r="BW82" s="369" t="n">
        <v>4.0045</v>
      </c>
      <c r="BX82" s="370" t="n">
        <v>0.267898190941761</v>
      </c>
      <c r="BY82" s="370" t="n">
        <v>0.266142233826153</v>
      </c>
      <c r="BZ82" s="370" t="n">
        <v>0.993959835558299</v>
      </c>
      <c r="CA82" s="370" t="n">
        <v>0.0538548873933569</v>
      </c>
      <c r="CB82" s="370" t="n">
        <v>0.76312585991901</v>
      </c>
      <c r="CC82" s="505" t="n">
        <v>0.025</v>
      </c>
      <c r="CD82" s="505" t="n">
        <v>0.03</v>
      </c>
      <c r="CE82" s="505" t="n">
        <v>0.13</v>
      </c>
      <c r="CF82" s="505" t="n">
        <v>0.035</v>
      </c>
      <c r="CG82" s="505" t="n">
        <v>0</v>
      </c>
      <c r="CH82" s="505" t="n">
        <v>3.38530262718672</v>
      </c>
      <c r="CI82" s="505" t="n">
        <v>3.8395</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3.848760748609</v>
      </c>
      <c r="BW83" s="369" t="n">
        <v>3.9195</v>
      </c>
      <c r="BX83" s="370" t="n">
        <v>0.261097491015745</v>
      </c>
      <c r="BY83" s="370" t="n">
        <v>0.259495906192878</v>
      </c>
      <c r="BZ83" s="370" t="n">
        <v>0.994347250575394</v>
      </c>
      <c r="CA83" s="370" t="n">
        <v>0.0540389034386073</v>
      </c>
      <c r="CB83" s="370" t="n">
        <v>0.758987938070646</v>
      </c>
      <c r="CC83" s="505" t="n">
        <v>0.02</v>
      </c>
      <c r="CD83" s="505" t="n">
        <v>0.03</v>
      </c>
      <c r="CE83" s="505" t="n">
        <v>0.13</v>
      </c>
      <c r="CF83" s="505" t="n">
        <v>0.035</v>
      </c>
      <c r="CG83" s="505" t="n">
        <v>0</v>
      </c>
      <c r="CH83" s="505" t="n">
        <v>3.04111287026147</v>
      </c>
      <c r="CI83" s="505" t="n">
        <v>3.7545</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3.69701568032372</v>
      </c>
      <c r="BW84" s="369" t="n">
        <v>3.7895</v>
      </c>
      <c r="BX84" s="370" t="n">
        <v>0.250941983478636</v>
      </c>
      <c r="BY84" s="370" t="n">
        <v>0.248352979651855</v>
      </c>
      <c r="BZ84" s="370" t="n">
        <v>0.996099864214351</v>
      </c>
      <c r="CA84" s="370" t="n">
        <v>0.054205111489178</v>
      </c>
      <c r="CB84" s="370" t="n">
        <v>0.755250058821463</v>
      </c>
      <c r="CC84" s="505" t="n">
        <v>0</v>
      </c>
      <c r="CD84" s="505" t="n">
        <v>0.03</v>
      </c>
      <c r="CE84" s="505" t="n">
        <v>0.13</v>
      </c>
      <c r="CF84" s="505" t="n">
        <v>0.035</v>
      </c>
      <c r="CG84" s="505" t="n">
        <v>0</v>
      </c>
      <c r="CH84" s="505" t="n">
        <v>3.35036478593789</v>
      </c>
      <c r="CI84" s="505" t="n">
        <v>3.6245</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3.38846737481032</v>
      </c>
      <c r="BW85" s="369" t="n">
        <v>3.5195</v>
      </c>
      <c r="BX85" s="370" t="n">
        <v>0.242312169061989</v>
      </c>
      <c r="BY85" s="370" t="n">
        <v>0.242312169061989</v>
      </c>
      <c r="BZ85" s="370" t="n">
        <v>0.998938270245614</v>
      </c>
      <c r="CA85" s="370" t="n">
        <v>0.0543891275559032</v>
      </c>
      <c r="CB85" s="370" t="n">
        <v>0.751111483785009</v>
      </c>
      <c r="CC85" s="505" t="n">
        <v>-0.09</v>
      </c>
      <c r="CD85" s="505" t="n">
        <v>0</v>
      </c>
      <c r="CE85" s="505" t="n">
        <v>0.04</v>
      </c>
      <c r="CF85" s="505" t="n">
        <v>0.04</v>
      </c>
      <c r="CG85" s="505" t="n">
        <v>0</v>
      </c>
      <c r="CH85" s="505" t="n">
        <v>3.22452159988904</v>
      </c>
      <c r="CI85" s="505" t="n">
        <v>3.4395</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3.38340920586748</v>
      </c>
      <c r="BW86" s="369" t="n">
        <v>3.5145</v>
      </c>
      <c r="BX86" s="370" t="n">
        <v>0.242352232707182</v>
      </c>
      <c r="BY86" s="370" t="n">
        <v>0.243118370461952</v>
      </c>
      <c r="BZ86" s="370" t="n">
        <v>0.998642798653986</v>
      </c>
      <c r="CA86" s="370" t="n">
        <v>0.054567207631218</v>
      </c>
      <c r="CB86" s="370" t="n">
        <v>0.747106434315284</v>
      </c>
      <c r="CC86" s="505" t="n">
        <v>-0.09</v>
      </c>
      <c r="CD86" s="505" t="n">
        <v>0</v>
      </c>
      <c r="CE86" s="505" t="n">
        <v>0.04</v>
      </c>
      <c r="CF86" s="505" t="n">
        <v>0.04</v>
      </c>
      <c r="CG86" s="505" t="n">
        <v>0</v>
      </c>
      <c r="CH86" s="505" t="n">
        <v>3.31423885326603</v>
      </c>
      <c r="CI86" s="505" t="n">
        <v>3.4345</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3.41881638846738</v>
      </c>
      <c r="BW87" s="369" t="n">
        <v>3.5495</v>
      </c>
      <c r="BX87" s="370" t="n">
        <v>0.242242323477096</v>
      </c>
      <c r="BY87" s="370" t="n">
        <v>0.242972880987822</v>
      </c>
      <c r="BZ87" s="370" t="n">
        <v>0.998704929288679</v>
      </c>
      <c r="CA87" s="370" t="n">
        <v>0.0547512237201424</v>
      </c>
      <c r="CB87" s="370" t="n">
        <v>0.742968153544342</v>
      </c>
      <c r="CC87" s="505" t="n">
        <v>-0.09</v>
      </c>
      <c r="CD87" s="505" t="n">
        <v>0</v>
      </c>
      <c r="CE87" s="505" t="n">
        <v>0.04</v>
      </c>
      <c r="CF87" s="505" t="n">
        <v>0.04</v>
      </c>
      <c r="CG87" s="505" t="n">
        <v>0</v>
      </c>
      <c r="CH87" s="505" t="n">
        <v>3.18956228316586</v>
      </c>
      <c r="CI87" s="505" t="n">
        <v>3.4695</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3.45928174001012</v>
      </c>
      <c r="BW88" s="369" t="n">
        <v>3.5895</v>
      </c>
      <c r="BX88" s="370" t="n">
        <v>0.243025728130177</v>
      </c>
      <c r="BY88" s="370" t="n">
        <v>0.243844835596525</v>
      </c>
      <c r="BZ88" s="370" t="n">
        <v>0.99843542330556</v>
      </c>
      <c r="CA88" s="370" t="n">
        <v>0.0549293038169378</v>
      </c>
      <c r="CB88" s="370" t="n">
        <v>0.738963861865164</v>
      </c>
      <c r="CC88" s="505" t="n">
        <v>-0.09</v>
      </c>
      <c r="CD88" s="505" t="n">
        <v>0</v>
      </c>
      <c r="CE88" s="505" t="n">
        <v>0.04</v>
      </c>
      <c r="CF88" s="505" t="n">
        <v>0.04</v>
      </c>
      <c r="CG88" s="505" t="n">
        <v>0</v>
      </c>
      <c r="CH88" s="505" t="n">
        <v>3.27811758762005</v>
      </c>
      <c r="CI88" s="505" t="n">
        <v>3.5095</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3.49974709155286</v>
      </c>
      <c r="BW89" s="369" t="n">
        <v>3.6295</v>
      </c>
      <c r="BX89" s="370" t="n">
        <v>0.243787744560262</v>
      </c>
      <c r="BY89" s="370" t="n">
        <v>0.244668568031279</v>
      </c>
      <c r="BZ89" s="370" t="n">
        <v>0.998193809404652</v>
      </c>
      <c r="CA89" s="370" t="n">
        <v>0.0551133199280565</v>
      </c>
      <c r="CB89" s="370" t="n">
        <v>0.734826850083913</v>
      </c>
      <c r="CC89" s="505" t="n">
        <v>-0.09</v>
      </c>
      <c r="CD89" s="505" t="n">
        <v>0</v>
      </c>
      <c r="CE89" s="505" t="n">
        <v>0.04</v>
      </c>
      <c r="CF89" s="505" t="n">
        <v>0.04</v>
      </c>
      <c r="CG89" s="505" t="n">
        <v>0</v>
      </c>
      <c r="CH89" s="505" t="n">
        <v>3.25976538965725</v>
      </c>
      <c r="CI89" s="505" t="n">
        <v>3.5495</v>
      </c>
      <c r="CJ89" s="505"/>
      <c r="CK89" s="505"/>
      <c r="CL89" s="505"/>
      <c r="CM89" s="505"/>
    </row>
    <row r="90" customFormat="false" ht="12.75" hidden="false" customHeight="false" outlineLevel="0" collapsed="false">
      <c r="A90" s="500"/>
      <c r="B90" s="500"/>
      <c r="D90" s="361" t="e">
        <f aca="false">D89+AH89</f>
        <v>#VALUE!</v>
      </c>
      <c r="F90" s="362" t="e">
        <f aca="false">VLOOKUP(AG90,$AL$4:$AS$15,2)</f>
        <v>#VALUE!</v>
      </c>
      <c r="G90" s="362" t="e">
        <f aca="false">F90*$AU90</f>
        <v>#VALUE!</v>
      </c>
      <c r="H90" s="363" t="e">
        <f aca="false">(AL90+AM90+AN90)/(1-(AR90))</f>
        <v>#VALUE!</v>
      </c>
      <c r="I90" s="363" t="e">
        <f aca="false">(AL90+AO90+AP90)</f>
        <v>#VALUE!</v>
      </c>
      <c r="K90" s="363" t="e">
        <f aca="false">MAX(((I90-H90)-AQ90)*AU90*AH90,0)</f>
        <v>#VALUE!</v>
      </c>
      <c r="L90" s="501" t="e">
        <f aca="false">MAX(Q90-K90,0)</f>
        <v>#VALUE!</v>
      </c>
      <c r="N90" s="502" t="e">
        <f aca="false">SQRT(($AX90^2*($AH90/2)+$AW90^2*$AI90)/(($AH90/2)+$AI90))</f>
        <v>#VALUE!</v>
      </c>
      <c r="O90" s="502" t="e">
        <f aca="false">SQRT(($AY90^2*($AH90/2)+$AW90^2*$AI90)/(($AH90/2)+$AI90))</f>
        <v>#VALUE!</v>
      </c>
      <c r="P90" s="371" t="e">
        <f aca="false">(VLOOKUP(AI90,CorrelationTwo,2)*(AW90^2)*AI90+VLOOKUP(D90,CorrelationOne,$AK$9)*AX90*AY90*(AH90/2))/((AI90+(AH90/2))*O90*N90)*AF90</f>
        <v>#VALUE!</v>
      </c>
      <c r="Q90" s="501" t="e">
        <f aca="false">xSPRDOPT(I90,H90,AQ90,0,O90,N90,P90,D90-$G$5,1,0)*AH90*AU90</f>
        <v>#VALUE!</v>
      </c>
      <c r="R90" s="501"/>
      <c r="S90" s="365" t="e">
        <f aca="false">xSPRDOPT(I90,H90,AQ90,AT90,O90,N90,P90,D90-$G$5,1,2)*AF90*(F90/(1-AR90))*AH90</f>
        <v>#VALUE!</v>
      </c>
      <c r="T90" s="365" t="e">
        <f aca="false">xSPRDOPT(I90,H90,AQ90,AT90,O90,N90,P90,D90-$G$5,1,1)*AF90*F90*AH90</f>
        <v>#VALUE!</v>
      </c>
      <c r="U90" s="501"/>
      <c r="V90" s="503" t="e">
        <f aca="false">VLOOKUP($AG90,$AL$4:$AS$15,8)*AH90*AU90</f>
        <v>#VALUE!</v>
      </c>
      <c r="W90" s="503"/>
      <c r="X90" s="504" t="e">
        <f aca="false">((BM90*BC90)+(BL90*BB90))*AH90*F90</f>
        <v>#VALUE!</v>
      </c>
      <c r="Y90" s="504" t="e">
        <f aca="false">($F90*$AH90)*((($BG90/2)*($BC90)^2)+(($BF90/2)*($BB90)^2)+($BH90*$BC90*$BB90))</f>
        <v>#VALUE!</v>
      </c>
      <c r="Z90" s="504" t="e">
        <f aca="false">($BI90*$F90*$AH90*($G$5-$BV$5))/365.25</f>
        <v>#VALUE!</v>
      </c>
      <c r="AA90" s="504" t="e">
        <f aca="false">(($BK90*$BE90)+($BJ90*$BD90))*$F90*$AH90*$AF90</f>
        <v>#VALUE!</v>
      </c>
      <c r="AB90" s="504" t="e">
        <f aca="false">BN90*(AT90-CA90)*F90*AH90</f>
        <v>#VALUE!</v>
      </c>
      <c r="AC90" s="504" t="e">
        <f aca="false">BO90*CB90*F90*AH90*CA90*($G$5-$BV$5)/365.25</f>
        <v>#NAME?</v>
      </c>
      <c r="AF90" s="378" t="e">
        <f aca="false">IF(AND(D90&gt;=$G$7,D90&lt;=$G$8),1,0)</f>
        <v>#VALUE!</v>
      </c>
      <c r="AG90" s="378" t="e">
        <f aca="false">MONTH(D90)</f>
        <v>#VALUE!</v>
      </c>
      <c r="AH90" s="378" t="e">
        <f aca="false">(EOMONTH(D90,0)-EOMONTH(D90-DAY(D90),0))*AF90</f>
        <v>#VALUE!</v>
      </c>
      <c r="AI90" s="378" t="e">
        <f aca="false">AI89+AH89</f>
        <v>#VALUE!</v>
      </c>
      <c r="AJ90" s="378" t="e">
        <f aca="false">D90-$BV$5</f>
        <v>#VALUE!</v>
      </c>
      <c r="AL90" s="369" t="e">
        <f aca="false">VLOOKUP($D90,CurveTbl,$AK$4)</f>
        <v>#VALUE!</v>
      </c>
      <c r="AM90" s="505" t="e">
        <f aca="false">VLOOKUP($D90,CurveTbl,$AH$3)</f>
        <v>#VALUE!</v>
      </c>
      <c r="AN90" s="505" t="e">
        <f aca="false">VLOOKUP($D90,CurveTbl,$AH$4)+VLOOKUP($AG90,$AL$3:$AS$15,6)</f>
        <v>#VALUE!</v>
      </c>
      <c r="AO90" s="505" t="e">
        <f aca="false">VLOOKUP($D90,CurveTbl,$AH$5)</f>
        <v>#VALUE!</v>
      </c>
      <c r="AP90" s="505" t="e">
        <f aca="false">VLOOKUP($D90,CurveTbl,$AH$6)+VLOOKUP($AG90,$AL$3:$AS$15,7)</f>
        <v>#VALUE!</v>
      </c>
      <c r="AQ90" s="369" t="e">
        <f aca="false">VLOOKUP($AG90,$AL$4:$AS$15,3)+VLOOKUP($AG90,$AL$4:$AS$15,5)+($AH$10*VLOOKUP(D90,GRITable,2))</f>
        <v>#VALUE!</v>
      </c>
      <c r="AR90" s="370" t="e">
        <f aca="false">VLOOKUP($AG90,$AL$4:$AS$15,4)</f>
        <v>#VALUE!</v>
      </c>
      <c r="AS90" s="369" t="e">
        <f aca="false">(AL90+AM90+AN90)</f>
        <v>#VALUE!</v>
      </c>
      <c r="AT90" s="370" t="e">
        <f aca="false">VLOOKUP(D90,CurveTbl,$AK$6)</f>
        <v>#VALUE!</v>
      </c>
      <c r="AU90" s="370" t="e">
        <f aca="false">(1+$AT90/2)^(-2*($D90-$G$5)/365.25)*$AF90</f>
        <v>#VALUE!</v>
      </c>
      <c r="AV90" s="506" t="e">
        <f aca="false">ROUND((F90/(1-AR90))-F90,0)*AF90*AH90*AU90</f>
        <v>#VALUE!</v>
      </c>
      <c r="AW90" s="370" t="e">
        <f aca="false">VLOOKUP($D90,CurveTbl,$AK$8)</f>
        <v>#VALUE!</v>
      </c>
      <c r="AX90" s="370" t="e">
        <f aca="false">VLOOKUP($D90,CurveTbl,$AH$7)</f>
        <v>#VALUE!</v>
      </c>
      <c r="AY90" s="370" t="e">
        <f aca="false">VLOOKUP($D90,CurveTbl,$AH$8)</f>
        <v>#VALUE!</v>
      </c>
      <c r="AZ90" s="370"/>
      <c r="BA90" s="507"/>
      <c r="BB90" s="505" t="e">
        <f aca="false">$H90-$BV90</f>
        <v>#VALUE!</v>
      </c>
      <c r="BC90" s="505" t="e">
        <f aca="false">I90-BW90</f>
        <v>#VALUE!</v>
      </c>
      <c r="BD90" s="370" t="e">
        <f aca="false">N90-BX90</f>
        <v>#VALUE!</v>
      </c>
      <c r="BE90" s="370" t="e">
        <f aca="false">O90-BY90</f>
        <v>#VALUE!</v>
      </c>
      <c r="BF90" s="370" t="e">
        <f aca="false">xSPRDOPT($BW90,$BV90,$CG90,0,$BY90,$BX90,$BZ90,$AJ90,1,4)*$CB90</f>
        <v>#NAME?</v>
      </c>
      <c r="BG90" s="370" t="e">
        <f aca="false">xSPRDOPT($BW90,$BV90,$CG90,0,$BY90,$BX90,$BZ90,$AJ90,1,3)*$CB90</f>
        <v>#NAME?</v>
      </c>
      <c r="BH90" s="370" t="e">
        <f aca="false">IF(OR(BF90&lt;&gt;0,BG90&lt;&gt;0),xSPRDOPT($BW90,$BV90,$CG90,0,$BY90,$BX90,$BZ90,$AJ90,1,12)*$CB90,0)</f>
        <v>#NAME?</v>
      </c>
      <c r="BI90" s="370" t="e">
        <f aca="false">xSPRDOPT($BW90,$BV90,$CG90,2*LN(1+CA90/2),$BY90,$BX90,$BZ90,$AJ90,1,9)</f>
        <v>#NAME?</v>
      </c>
      <c r="BJ90" s="370" t="e">
        <f aca="false">xSPRDOPT($BW90,$BV90,$CG90,0,$BY90,$BX90,$BZ90,$AJ90,1,6)*$CB90</f>
        <v>#NAME?</v>
      </c>
      <c r="BK90" s="370" t="e">
        <f aca="false">xSPRDOPT($BW90,$BV90,$CG90,0,$BY90,$BX90,$BZ90,$AJ90,1,5)*$CB90</f>
        <v>#NAME?</v>
      </c>
      <c r="BL90" s="370" t="e">
        <f aca="false">xSPRDOPT(BW90,BV90,CG90,0,BY90,BX90,BZ90,AJ90,1,2)*CB90</f>
        <v>#NAME?</v>
      </c>
      <c r="BM90" s="370" t="e">
        <f aca="false">xSPRDOPT(BW90,BV90,CG90,0,BY90,BX90,BZ90,AJ90,1,1)*CB90</f>
        <v>#NAME?</v>
      </c>
      <c r="BN90" s="370" t="e">
        <f aca="false">IF(AH90&lt;&gt;0,xSPRDOPT($BW90,$BV90,$CG90,2*LN(1+CA90/2),$BY90,$BX90,$BZ90,$AJ90,1,8)+(AJ90/365.25)*CH90/AH90,0)</f>
        <v>#VALUE!</v>
      </c>
      <c r="BO90" s="370" t="e">
        <f aca="false">xSPRDOPT($BW90,$BV90,$CG90,0,$BY90,$BX90,$BZ90,$AJ90,1,0)</f>
        <v>#NAME?</v>
      </c>
      <c r="BP90" s="370"/>
      <c r="BQ90" s="370"/>
      <c r="BR90" s="370"/>
      <c r="BS90" s="370"/>
      <c r="BV90" s="508" t="n">
        <v>3.49468892261002</v>
      </c>
      <c r="BW90" s="369" t="n">
        <v>3.6245</v>
      </c>
      <c r="BX90" s="370" t="n">
        <v>0.243613672262119</v>
      </c>
      <c r="BY90" s="370" t="n">
        <v>0.244454381867993</v>
      </c>
      <c r="BZ90" s="370" t="n">
        <v>0.998274416607734</v>
      </c>
      <c r="CA90" s="370" t="n">
        <v>0.0552973360504536</v>
      </c>
      <c r="CB90" s="370" t="n">
        <v>0.730690853076224</v>
      </c>
      <c r="CC90" s="505" t="n">
        <v>-0.09</v>
      </c>
      <c r="CD90" s="505" t="n">
        <v>0</v>
      </c>
      <c r="CE90" s="505" t="n">
        <v>0.04</v>
      </c>
      <c r="CF90" s="505" t="n">
        <v>0.04</v>
      </c>
      <c r="CG90" s="505" t="n">
        <v>0</v>
      </c>
      <c r="CH90" s="505" t="n">
        <v>3.13685583225623</v>
      </c>
      <c r="CI90" s="505" t="n">
        <v>3.5445</v>
      </c>
      <c r="CJ90" s="505"/>
      <c r="CK90" s="505"/>
      <c r="CL90" s="505"/>
      <c r="CM90" s="505"/>
    </row>
    <row r="91" customFormat="false" ht="12.75" hidden="false" customHeight="false" outlineLevel="0" collapsed="false">
      <c r="A91" s="500"/>
      <c r="B91" s="500"/>
      <c r="D91" s="361" t="e">
        <f aca="false">D90+AH90</f>
        <v>#VALUE!</v>
      </c>
      <c r="F91" s="362" t="e">
        <f aca="false">VLOOKUP(AG91,$AL$4:$AS$15,2)</f>
        <v>#VALUE!</v>
      </c>
      <c r="G91" s="362" t="e">
        <f aca="false">F91*$AU91</f>
        <v>#VALUE!</v>
      </c>
      <c r="H91" s="363" t="e">
        <f aca="false">(AL91+AM91+AN91)/(1-(AR91))</f>
        <v>#VALUE!</v>
      </c>
      <c r="I91" s="363" t="e">
        <f aca="false">(AL91+AO91+AP91)</f>
        <v>#VALUE!</v>
      </c>
      <c r="K91" s="363" t="e">
        <f aca="false">MAX(((I91-H91)-AQ91)*AU91*AH91,0)</f>
        <v>#VALUE!</v>
      </c>
      <c r="L91" s="501" t="e">
        <f aca="false">MAX(Q91-K91,0)</f>
        <v>#VALUE!</v>
      </c>
      <c r="N91" s="502" t="e">
        <f aca="false">SQRT(($AX91^2*($AH91/2)+$AW91^2*$AI91)/(($AH91/2)+$AI91))</f>
        <v>#VALUE!</v>
      </c>
      <c r="O91" s="502" t="e">
        <f aca="false">SQRT(($AY91^2*($AH91/2)+$AW91^2*$AI91)/(($AH91/2)+$AI91))</f>
        <v>#VALUE!</v>
      </c>
      <c r="P91" s="371" t="e">
        <f aca="false">(VLOOKUP(AI91,CorrelationTwo,2)*(AW91^2)*AI91+VLOOKUP(D91,CorrelationOne,$AK$9)*AX91*AY91*(AH91/2))/((AI91+(AH91/2))*O91*N91)*AF91</f>
        <v>#VALUE!</v>
      </c>
      <c r="Q91" s="501" t="e">
        <f aca="false">xSPRDOPT(I91,H91,AQ91,0,O91,N91,P91,D91-$G$5,1,0)*AH91*AU91</f>
        <v>#VALUE!</v>
      </c>
      <c r="R91" s="501"/>
      <c r="S91" s="365" t="e">
        <f aca="false">xSPRDOPT(I91,H91,AQ91,AT91,O91,N91,P91,D91-$G$5,1,2)*AF91*(F91/(1-AR91))*AH91</f>
        <v>#VALUE!</v>
      </c>
      <c r="T91" s="365" t="e">
        <f aca="false">xSPRDOPT(I91,H91,AQ91,AT91,O91,N91,P91,D91-$G$5,1,1)*AF91*F91*AH91</f>
        <v>#VALUE!</v>
      </c>
      <c r="U91" s="501"/>
      <c r="V91" s="503" t="e">
        <f aca="false">VLOOKUP($AG91,$AL$4:$AS$15,8)*AH91*AU91</f>
        <v>#VALUE!</v>
      </c>
      <c r="W91" s="503"/>
      <c r="X91" s="504" t="e">
        <f aca="false">((BM91*BC91)+(BL91*BB91))*AH91*F91</f>
        <v>#VALUE!</v>
      </c>
      <c r="Y91" s="504" t="e">
        <f aca="false">($F91*$AH91)*((($BG91/2)*($BC91)^2)+(($BF91/2)*($BB91)^2)+($BH91*$BC91*$BB91))</f>
        <v>#VALUE!</v>
      </c>
      <c r="Z91" s="504" t="e">
        <f aca="false">($BI91*$F91*$AH91*($G$5-$BV$5))/365.25</f>
        <v>#VALUE!</v>
      </c>
      <c r="AA91" s="504" t="e">
        <f aca="false">(($BK91*$BE91)+($BJ91*$BD91))*$F91*$AH91*$AF91</f>
        <v>#VALUE!</v>
      </c>
      <c r="AB91" s="504" t="e">
        <f aca="false">BN91*(AT91-CA91)*F91*AH91</f>
        <v>#VALUE!</v>
      </c>
      <c r="AC91" s="504" t="e">
        <f aca="false">BO91*CB91*F91*AH91*CA91*($G$5-$BV$5)/365.25</f>
        <v>#NAME?</v>
      </c>
      <c r="AF91" s="378" t="e">
        <f aca="false">IF(AND(D91&gt;=$G$7,D91&lt;=$G$8),1,0)</f>
        <v>#VALUE!</v>
      </c>
      <c r="AG91" s="378" t="e">
        <f aca="false">MONTH(D91)</f>
        <v>#VALUE!</v>
      </c>
      <c r="AH91" s="378" t="e">
        <f aca="false">(EOMONTH(D91,0)-EOMONTH(D91-DAY(D91),0))*AF91</f>
        <v>#VALUE!</v>
      </c>
      <c r="AI91" s="378" t="e">
        <f aca="false">AI90+AH90</f>
        <v>#VALUE!</v>
      </c>
      <c r="AJ91" s="378" t="e">
        <f aca="false">D91-$BV$5</f>
        <v>#VALUE!</v>
      </c>
      <c r="AL91" s="369" t="e">
        <f aca="false">VLOOKUP($D91,CurveTbl,$AK$4)</f>
        <v>#VALUE!</v>
      </c>
      <c r="AM91" s="505" t="e">
        <f aca="false">VLOOKUP($D91,CurveTbl,$AH$3)</f>
        <v>#VALUE!</v>
      </c>
      <c r="AN91" s="505" t="e">
        <f aca="false">VLOOKUP($D91,CurveTbl,$AH$4)+VLOOKUP($AG91,$AL$3:$AS$15,6)</f>
        <v>#VALUE!</v>
      </c>
      <c r="AO91" s="505" t="e">
        <f aca="false">VLOOKUP($D91,CurveTbl,$AH$5)</f>
        <v>#VALUE!</v>
      </c>
      <c r="AP91" s="505" t="e">
        <f aca="false">VLOOKUP($D91,CurveTbl,$AH$6)+VLOOKUP($AG91,$AL$3:$AS$15,7)</f>
        <v>#VALUE!</v>
      </c>
      <c r="AQ91" s="369" t="e">
        <f aca="false">VLOOKUP($AG91,$AL$4:$AS$15,3)+VLOOKUP($AG91,$AL$4:$AS$15,5)+($AH$10*VLOOKUP(D91,GRITable,2))</f>
        <v>#VALUE!</v>
      </c>
      <c r="AR91" s="370" t="e">
        <f aca="false">VLOOKUP($AG91,$AL$4:$AS$15,4)</f>
        <v>#VALUE!</v>
      </c>
      <c r="AS91" s="369" t="e">
        <f aca="false">(AL91+AM91+AN91)</f>
        <v>#VALUE!</v>
      </c>
      <c r="AT91" s="370" t="e">
        <f aca="false">VLOOKUP(D91,CurveTbl,$AK$6)</f>
        <v>#VALUE!</v>
      </c>
      <c r="AU91" s="370" t="e">
        <f aca="false">(1+$AT91/2)^(-2*($D91-$G$5)/365.25)*$AF91</f>
        <v>#VALUE!</v>
      </c>
      <c r="AV91" s="506" t="e">
        <f aca="false">ROUND((F91/(1-AR91))-F91,0)*AF91*AH91*AU91</f>
        <v>#VALUE!</v>
      </c>
      <c r="AW91" s="370" t="e">
        <f aca="false">VLOOKUP($D91,CurveTbl,$AK$8)</f>
        <v>#VALUE!</v>
      </c>
      <c r="AX91" s="370" t="e">
        <f aca="false">VLOOKUP($D91,CurveTbl,$AH$7)</f>
        <v>#VALUE!</v>
      </c>
      <c r="AY91" s="370" t="e">
        <f aca="false">VLOOKUP($D91,CurveTbl,$AH$8)</f>
        <v>#VALUE!</v>
      </c>
      <c r="AZ91" s="370"/>
      <c r="BA91" s="507"/>
      <c r="BB91" s="505" t="e">
        <f aca="false">$H91-$BV91</f>
        <v>#VALUE!</v>
      </c>
      <c r="BC91" s="505" t="e">
        <f aca="false">I91-BW91</f>
        <v>#VALUE!</v>
      </c>
      <c r="BD91" s="370" t="e">
        <f aca="false">N91-BX91</f>
        <v>#VALUE!</v>
      </c>
      <c r="BE91" s="370" t="e">
        <f aca="false">O91-BY91</f>
        <v>#VALUE!</v>
      </c>
      <c r="BF91" s="370" t="e">
        <f aca="false">xSPRDOPT($BW91,$BV91,$CG91,0,$BY91,$BX91,$BZ91,$AJ91,1,4)*$CB91</f>
        <v>#NAME?</v>
      </c>
      <c r="BG91" s="370" t="e">
        <f aca="false">xSPRDOPT($BW91,$BV91,$CG91,0,$BY91,$BX91,$BZ91,$AJ91,1,3)*$CB91</f>
        <v>#NAME?</v>
      </c>
      <c r="BH91" s="370" t="e">
        <f aca="false">IF(OR(BF91&lt;&gt;0,BG91&lt;&gt;0),xSPRDOPT($BW91,$BV91,$CG91,0,$BY91,$BX91,$BZ91,$AJ91,1,12)*$CB91,0)</f>
        <v>#NAME?</v>
      </c>
      <c r="BI91" s="370" t="e">
        <f aca="false">xSPRDOPT($BW91,$BV91,$CG91,2*LN(1+CA91/2),$BY91,$BX91,$BZ91,$AJ91,1,9)</f>
        <v>#NAME?</v>
      </c>
      <c r="BJ91" s="370" t="e">
        <f aca="false">xSPRDOPT($BW91,$BV91,$CG91,0,$BY91,$BX91,$BZ91,$AJ91,1,6)*$CB91</f>
        <v>#NAME?</v>
      </c>
      <c r="BK91" s="370" t="e">
        <f aca="false">xSPRDOPT($BW91,$BV91,$CG91,0,$BY91,$BX91,$BZ91,$AJ91,1,5)*$CB91</f>
        <v>#NAME?</v>
      </c>
      <c r="BL91" s="370" t="e">
        <f aca="false">xSPRDOPT(BW91,BV91,CG91,0,BY91,BX91,BZ91,AJ91,1,2)*CB91</f>
        <v>#NAME?</v>
      </c>
      <c r="BM91" s="370" t="e">
        <f aca="false">xSPRDOPT(BW91,BV91,CG91,0,BY91,BX91,BZ91,AJ91,1,1)*CB91</f>
        <v>#NAME?</v>
      </c>
      <c r="BN91" s="370" t="e">
        <f aca="false">IF(AH91&lt;&gt;0,xSPRDOPT($BW91,$BV91,$CG91,2*LN(1+CA91/2),$BY91,$BX91,$BZ91,$AJ91,1,8)+(AJ91/365.25)*CH91/AH91,0)</f>
        <v>#VALUE!</v>
      </c>
      <c r="BO91" s="370" t="e">
        <f aca="false">xSPRDOPT($BW91,$BV91,$CG91,0,$BY91,$BX91,$BZ91,$AJ91,1,0)</f>
        <v>#NAME?</v>
      </c>
      <c r="BP91" s="370"/>
      <c r="BQ91" s="370"/>
      <c r="BR91" s="370"/>
      <c r="BS91" s="370"/>
      <c r="BV91" s="508" t="n">
        <v>3.51997976732423</v>
      </c>
      <c r="BW91" s="369" t="n">
        <v>3.6495</v>
      </c>
      <c r="BX91" s="370" t="n">
        <v>0.244536262315712</v>
      </c>
      <c r="BY91" s="370" t="n">
        <v>0.245463363055628</v>
      </c>
      <c r="BZ91" s="370" t="n">
        <v>0.997966772375954</v>
      </c>
      <c r="CA91" s="370" t="n">
        <v>0.0554754161796391</v>
      </c>
      <c r="CB91" s="370" t="n">
        <v>0.726689474408526</v>
      </c>
      <c r="CC91" s="505" t="n">
        <v>-0.09</v>
      </c>
      <c r="CD91" s="505" t="n">
        <v>0</v>
      </c>
      <c r="CE91" s="505" t="n">
        <v>0.04</v>
      </c>
      <c r="CF91" s="505" t="n">
        <v>0.04</v>
      </c>
      <c r="CG91" s="505" t="n">
        <v>0</v>
      </c>
      <c r="CH91" s="505" t="n">
        <v>3.22366717742366</v>
      </c>
      <c r="CI91" s="505" t="n">
        <v>3.5695</v>
      </c>
      <c r="CJ91" s="505"/>
      <c r="CK91" s="505"/>
      <c r="CL91" s="505"/>
      <c r="CM91" s="505"/>
    </row>
    <row r="92" customFormat="false" ht="12.75" hidden="false" customHeight="false" outlineLevel="0" collapsed="false">
      <c r="A92" s="500"/>
      <c r="B92" s="500"/>
      <c r="D92" s="361" t="e">
        <f aca="false">D91+AH91</f>
        <v>#VALUE!</v>
      </c>
      <c r="F92" s="362" t="e">
        <f aca="false">VLOOKUP(AG92,$AL$4:$AS$15,2)</f>
        <v>#VALUE!</v>
      </c>
      <c r="G92" s="362" t="e">
        <f aca="false">F92*$AU92</f>
        <v>#VALUE!</v>
      </c>
      <c r="H92" s="363" t="e">
        <f aca="false">(AL92+AM92+AN92)/(1-(AR92))</f>
        <v>#VALUE!</v>
      </c>
      <c r="I92" s="363" t="e">
        <f aca="false">(AL92+AO92+AP92)</f>
        <v>#VALUE!</v>
      </c>
      <c r="K92" s="363" t="e">
        <f aca="false">MAX(((I92-H92)-AQ92)*AU92*AH92,0)</f>
        <v>#VALUE!</v>
      </c>
      <c r="L92" s="501" t="e">
        <f aca="false">MAX(Q92-K92,0)</f>
        <v>#VALUE!</v>
      </c>
      <c r="N92" s="502" t="e">
        <f aca="false">SQRT(($AX92^2*($AH92/2)+$AW92^2*$AI92)/(($AH92/2)+$AI92))</f>
        <v>#VALUE!</v>
      </c>
      <c r="O92" s="502" t="e">
        <f aca="false">SQRT(($AY92^2*($AH92/2)+$AW92^2*$AI92)/(($AH92/2)+$AI92))</f>
        <v>#VALUE!</v>
      </c>
      <c r="P92" s="371" t="e">
        <f aca="false">(VLOOKUP(AI92,CorrelationTwo,2)*(AW92^2)*AI92+VLOOKUP(D92,CorrelationOne,$AK$9)*AX92*AY92*(AH92/2))/((AI92+(AH92/2))*O92*N92)*AF92</f>
        <v>#VALUE!</v>
      </c>
      <c r="Q92" s="501" t="e">
        <f aca="false">xSPRDOPT(I92,H92,AQ92,0,O92,N92,P92,D92-$G$5,1,0)*AH92*AU92</f>
        <v>#VALUE!</v>
      </c>
      <c r="R92" s="501"/>
      <c r="S92" s="365" t="e">
        <f aca="false">xSPRDOPT(I92,H92,AQ92,AT92,O92,N92,P92,D92-$G$5,1,2)*AF92*(F92/(1-AR92))*AH92</f>
        <v>#VALUE!</v>
      </c>
      <c r="T92" s="365" t="e">
        <f aca="false">xSPRDOPT(I92,H92,AQ92,AT92,O92,N92,P92,D92-$G$5,1,1)*AF92*F92*AH92</f>
        <v>#VALUE!</v>
      </c>
      <c r="U92" s="501"/>
      <c r="V92" s="503" t="e">
        <f aca="false">VLOOKUP($AG92,$AL$4:$AS$15,8)*AH92*AU92</f>
        <v>#VALUE!</v>
      </c>
      <c r="W92" s="503"/>
      <c r="X92" s="504" t="e">
        <f aca="false">((BM92*BC92)+(BL92*BB92))*AH92*F92</f>
        <v>#VALUE!</v>
      </c>
      <c r="Y92" s="504" t="e">
        <f aca="false">($F92*$AH92)*((($BG92/2)*($BC92)^2)+(($BF92/2)*($BB92)^2)+($BH92*$BC92*$BB92))</f>
        <v>#VALUE!</v>
      </c>
      <c r="Z92" s="504" t="e">
        <f aca="false">($BI92*$F92*$AH92*($G$5-$BV$5))/365.25</f>
        <v>#VALUE!</v>
      </c>
      <c r="AA92" s="504" t="e">
        <f aca="false">(($BK92*$BE92)+($BJ92*$BD92))*$F92*$AH92*$AF92</f>
        <v>#VALUE!</v>
      </c>
      <c r="AB92" s="504" t="e">
        <f aca="false">BN92*(AT92-CA92)*F92*AH92</f>
        <v>#VALUE!</v>
      </c>
      <c r="AC92" s="504" t="e">
        <f aca="false">BO92*CB92*F92*AH92*CA92*($G$5-$BV$5)/365.25</f>
        <v>#NAME?</v>
      </c>
      <c r="AF92" s="378" t="e">
        <f aca="false">IF(AND(D92&gt;=$G$7,D92&lt;=$G$8),1,0)</f>
        <v>#VALUE!</v>
      </c>
      <c r="AG92" s="378" t="e">
        <f aca="false">MONTH(D92)</f>
        <v>#VALUE!</v>
      </c>
      <c r="AH92" s="378" t="e">
        <f aca="false">(EOMONTH(D92,0)-EOMONTH(D92-DAY(D92),0))*AF92</f>
        <v>#VALUE!</v>
      </c>
      <c r="AI92" s="378" t="e">
        <f aca="false">AI91+AH91</f>
        <v>#VALUE!</v>
      </c>
      <c r="AJ92" s="378" t="e">
        <f aca="false">D92-$BV$5</f>
        <v>#VALUE!</v>
      </c>
      <c r="AL92" s="369" t="e">
        <f aca="false">VLOOKUP($D92,CurveTbl,$AK$4)</f>
        <v>#VALUE!</v>
      </c>
      <c r="AM92" s="505" t="e">
        <f aca="false">VLOOKUP($D92,CurveTbl,$AH$3)</f>
        <v>#VALUE!</v>
      </c>
      <c r="AN92" s="505" t="e">
        <f aca="false">VLOOKUP($D92,CurveTbl,$AH$4)+VLOOKUP($AG92,$AL$3:$AS$15,6)</f>
        <v>#VALUE!</v>
      </c>
      <c r="AO92" s="505" t="e">
        <f aca="false">VLOOKUP($D92,CurveTbl,$AH$5)</f>
        <v>#VALUE!</v>
      </c>
      <c r="AP92" s="505" t="e">
        <f aca="false">VLOOKUP($D92,CurveTbl,$AH$6)+VLOOKUP($AG92,$AL$3:$AS$15,7)</f>
        <v>#VALUE!</v>
      </c>
      <c r="AQ92" s="369" t="e">
        <f aca="false">VLOOKUP($AG92,$AL$4:$AS$15,3)+VLOOKUP($AG92,$AL$4:$AS$15,5)+($AH$10*VLOOKUP(D92,GRITable,2))</f>
        <v>#VALUE!</v>
      </c>
      <c r="AR92" s="370" t="e">
        <f aca="false">VLOOKUP($AG92,$AL$4:$AS$15,4)</f>
        <v>#VALUE!</v>
      </c>
      <c r="AS92" s="369" t="e">
        <f aca="false">(AL92+AM92+AN92)</f>
        <v>#VALUE!</v>
      </c>
      <c r="AT92" s="370" t="e">
        <f aca="false">VLOOKUP(D92,CurveTbl,$AK$6)</f>
        <v>#VALUE!</v>
      </c>
      <c r="AU92" s="370" t="e">
        <f aca="false">(1+$AT92/2)^(-2*($D92-$G$5)/365.25)*$AF92</f>
        <v>#VALUE!</v>
      </c>
      <c r="AV92" s="506" t="e">
        <f aca="false">ROUND((F92/(1-AR92))-F92,0)*AF92*AH92*AU92</f>
        <v>#VALUE!</v>
      </c>
      <c r="AW92" s="370" t="e">
        <f aca="false">VLOOKUP($D92,CurveTbl,$AK$8)</f>
        <v>#VALUE!</v>
      </c>
      <c r="AX92" s="370" t="e">
        <f aca="false">VLOOKUP($D92,CurveTbl,$AH$7)</f>
        <v>#VALUE!</v>
      </c>
      <c r="AY92" s="370" t="e">
        <f aca="false">VLOOKUP($D92,CurveTbl,$AH$8)</f>
        <v>#VALUE!</v>
      </c>
      <c r="AZ92" s="370"/>
      <c r="BA92" s="507"/>
      <c r="BB92" s="505" t="e">
        <f aca="false">$H92-$BV92</f>
        <v>#VALUE!</v>
      </c>
      <c r="BC92" s="505" t="e">
        <f aca="false">I92-BW92</f>
        <v>#VALUE!</v>
      </c>
      <c r="BD92" s="370" t="e">
        <f aca="false">N92-BX92</f>
        <v>#VALUE!</v>
      </c>
      <c r="BE92" s="370" t="e">
        <f aca="false">O92-BY92</f>
        <v>#VALUE!</v>
      </c>
      <c r="BF92" s="370" t="e">
        <f aca="false">xSPRDOPT($BW92,$BV92,$CG92,0,$BY92,$BX92,$BZ92,$AJ92,1,4)*$CB92</f>
        <v>#NAME?</v>
      </c>
      <c r="BG92" s="370" t="e">
        <f aca="false">xSPRDOPT($BW92,$BV92,$CG92,0,$BY92,$BX92,$BZ92,$AJ92,1,3)*$CB92</f>
        <v>#NAME?</v>
      </c>
      <c r="BH92" s="370" t="e">
        <f aca="false">IF(OR(BF92&lt;&gt;0,BG92&lt;&gt;0),xSPRDOPT($BW92,$BV92,$CG92,0,$BY92,$BX92,$BZ92,$AJ92,1,12)*$CB92,0)</f>
        <v>#NAME?</v>
      </c>
      <c r="BI92" s="370" t="e">
        <f aca="false">xSPRDOPT($BW92,$BV92,$CG92,2*LN(1+CA92/2),$BY92,$BX92,$BZ92,$AJ92,1,9)</f>
        <v>#NAME?</v>
      </c>
      <c r="BJ92" s="370" t="e">
        <f aca="false">xSPRDOPT($BW92,$BV92,$CG92,0,$BY92,$BX92,$BZ92,$AJ92,1,6)*$CB92</f>
        <v>#NAME?</v>
      </c>
      <c r="BK92" s="370" t="e">
        <f aca="false">xSPRDOPT($BW92,$BV92,$CG92,0,$BY92,$BX92,$BZ92,$AJ92,1,5)*$CB92</f>
        <v>#NAME?</v>
      </c>
      <c r="BL92" s="370" t="e">
        <f aca="false">xSPRDOPT(BW92,BV92,CG92,0,BY92,BX92,BZ92,AJ92,1,2)*CB92</f>
        <v>#NAME?</v>
      </c>
      <c r="BM92" s="370" t="e">
        <f aca="false">xSPRDOPT(BW92,BV92,CG92,0,BY92,BX92,BZ92,AJ92,1,1)*CB92</f>
        <v>#NAME?</v>
      </c>
      <c r="BN92" s="370" t="e">
        <f aca="false">IF(AH92&lt;&gt;0,xSPRDOPT($BW92,$BV92,$CG92,2*LN(1+CA92/2),$BY92,$BX92,$BZ92,$AJ92,1,8)+(AJ92/365.25)*CH92/AH92,0)</f>
        <v>#VALUE!</v>
      </c>
      <c r="BO92" s="370" t="e">
        <f aca="false">xSPRDOPT($BW92,$BV92,$CG92,0,$BY92,$BX92,$BZ92,$AJ92,1,0)</f>
        <v>#NAME?</v>
      </c>
      <c r="BP92" s="370"/>
      <c r="BQ92" s="370"/>
      <c r="BR92" s="370"/>
      <c r="BS92" s="370"/>
      <c r="BV92" s="508" t="n">
        <v>3.79514415781487</v>
      </c>
      <c r="BW92" s="369" t="n">
        <v>3.8865</v>
      </c>
      <c r="BX92" s="370" t="n">
        <v>0.250634700551751</v>
      </c>
      <c r="BY92" s="370" t="n">
        <v>0.248271695832321</v>
      </c>
      <c r="BZ92" s="370" t="n">
        <v>0.996277976590446</v>
      </c>
      <c r="CA92" s="370" t="n">
        <v>0.0556594323242252</v>
      </c>
      <c r="CB92" s="370" t="n">
        <v>0.722556194641321</v>
      </c>
      <c r="CC92" s="505" t="n">
        <v>0</v>
      </c>
      <c r="CD92" s="505" t="n">
        <v>0.03</v>
      </c>
      <c r="CE92" s="505" t="n">
        <v>0.13</v>
      </c>
      <c r="CF92" s="505" t="n">
        <v>0.035</v>
      </c>
      <c r="CG92" s="505" t="n">
        <v>0</v>
      </c>
      <c r="CH92" s="505" t="n">
        <v>3.10193374359519</v>
      </c>
      <c r="CI92" s="505" t="n">
        <v>3.7215</v>
      </c>
      <c r="CJ92" s="505"/>
      <c r="CK92" s="505"/>
      <c r="CL92" s="505"/>
      <c r="CM92" s="505"/>
    </row>
    <row r="93" customFormat="false" ht="12.75" hidden="false" customHeight="false" outlineLevel="0" collapsed="false">
      <c r="A93" s="500"/>
      <c r="B93" s="500"/>
      <c r="D93" s="361" t="e">
        <f aca="false">D92+AH92</f>
        <v>#VALUE!</v>
      </c>
      <c r="F93" s="362" t="e">
        <f aca="false">VLOOKUP(AG93,$AL$4:$AS$15,2)</f>
        <v>#VALUE!</v>
      </c>
      <c r="G93" s="362" t="e">
        <f aca="false">F93*$AU93</f>
        <v>#VALUE!</v>
      </c>
      <c r="H93" s="363" t="e">
        <f aca="false">(AL93+AM93+AN93)/(1-(AR93))</f>
        <v>#VALUE!</v>
      </c>
      <c r="I93" s="363" t="e">
        <f aca="false">(AL93+AO93+AP93)</f>
        <v>#VALUE!</v>
      </c>
      <c r="K93" s="363" t="e">
        <f aca="false">MAX(((I93-H93)-AQ93)*AU93*AH93,0)</f>
        <v>#VALUE!</v>
      </c>
      <c r="L93" s="501" t="e">
        <f aca="false">MAX(Q93-K93,0)</f>
        <v>#VALUE!</v>
      </c>
      <c r="N93" s="502" t="e">
        <f aca="false">SQRT(($AX93^2*($AH93/2)+$AW93^2*$AI93)/(($AH93/2)+$AI93))</f>
        <v>#VALUE!</v>
      </c>
      <c r="O93" s="502" t="e">
        <f aca="false">SQRT(($AY93^2*($AH93/2)+$AW93^2*$AI93)/(($AH93/2)+$AI93))</f>
        <v>#VALUE!</v>
      </c>
      <c r="P93" s="371" t="e">
        <f aca="false">(VLOOKUP(AI93,CorrelationTwo,2)*(AW93^2)*AI93+VLOOKUP(D93,CorrelationOne,$AK$9)*AX93*AY93*(AH93/2))/((AI93+(AH93/2))*O93*N93)*AF93</f>
        <v>#VALUE!</v>
      </c>
      <c r="Q93" s="501" t="e">
        <f aca="false">xSPRDOPT(I93,H93,AQ93,0,O93,N93,P93,D93-$G$5,1,0)*AH93*AU93</f>
        <v>#VALUE!</v>
      </c>
      <c r="R93" s="501"/>
      <c r="S93" s="365" t="e">
        <f aca="false">xSPRDOPT(I93,H93,AQ93,AT93,O93,N93,P93,D93-$G$5,1,2)*AF93*(F93/(1-AR93))*AH93</f>
        <v>#VALUE!</v>
      </c>
      <c r="T93" s="365" t="e">
        <f aca="false">xSPRDOPT(I93,H93,AQ93,AT93,O93,N93,P93,D93-$G$5,1,1)*AF93*F93*AH93</f>
        <v>#VALUE!</v>
      </c>
      <c r="U93" s="501"/>
      <c r="V93" s="503" t="e">
        <f aca="false">VLOOKUP($AG93,$AL$4:$AS$15,8)*AH93*AU93</f>
        <v>#VALUE!</v>
      </c>
      <c r="W93" s="503"/>
      <c r="X93" s="504" t="e">
        <f aca="false">((BM93*BC93)+(BL93*BB93))*AH93*F93</f>
        <v>#VALUE!</v>
      </c>
      <c r="Y93" s="504" t="e">
        <f aca="false">($F93*$AH93)*((($BG93/2)*($BC93)^2)+(($BF93/2)*($BB93)^2)+($BH93*$BC93*$BB93))</f>
        <v>#VALUE!</v>
      </c>
      <c r="Z93" s="504" t="e">
        <f aca="false">($BI93*$F93*$AH93*($G$5-$BV$5))/365.25</f>
        <v>#VALUE!</v>
      </c>
      <c r="AA93" s="504" t="e">
        <f aca="false">(($BK93*$BE93)+($BJ93*$BD93))*$F93*$AH93*$AF93</f>
        <v>#VALUE!</v>
      </c>
      <c r="AB93" s="504" t="e">
        <f aca="false">BN93*(AT93-CA93)*F93*AH93</f>
        <v>#VALUE!</v>
      </c>
      <c r="AC93" s="504" t="e">
        <f aca="false">BO93*CB93*F93*AH93*CA93*($G$5-$BV$5)/365.25</f>
        <v>#NAME?</v>
      </c>
      <c r="AF93" s="378" t="e">
        <f aca="false">IF(AND(D93&gt;=$G$7,D93&lt;=$G$8),1,0)</f>
        <v>#VALUE!</v>
      </c>
      <c r="AG93" s="378" t="e">
        <f aca="false">MONTH(D93)</f>
        <v>#VALUE!</v>
      </c>
      <c r="AH93" s="378" t="e">
        <f aca="false">(EOMONTH(D93,0)-EOMONTH(D93-DAY(D93),0))*AF93</f>
        <v>#VALUE!</v>
      </c>
      <c r="AI93" s="378" t="e">
        <f aca="false">AI92+AH92</f>
        <v>#VALUE!</v>
      </c>
      <c r="AJ93" s="378" t="e">
        <f aca="false">D93-$BV$5</f>
        <v>#VALUE!</v>
      </c>
      <c r="AL93" s="369" t="e">
        <f aca="false">VLOOKUP($D93,CurveTbl,$AK$4)</f>
        <v>#VALUE!</v>
      </c>
      <c r="AM93" s="505" t="e">
        <f aca="false">VLOOKUP($D93,CurveTbl,$AH$3)</f>
        <v>#VALUE!</v>
      </c>
      <c r="AN93" s="505" t="e">
        <f aca="false">VLOOKUP($D93,CurveTbl,$AH$4)+VLOOKUP($AG93,$AL$3:$AS$15,6)</f>
        <v>#VALUE!</v>
      </c>
      <c r="AO93" s="505" t="e">
        <f aca="false">VLOOKUP($D93,CurveTbl,$AH$5)</f>
        <v>#VALUE!</v>
      </c>
      <c r="AP93" s="505" t="e">
        <f aca="false">VLOOKUP($D93,CurveTbl,$AH$6)+VLOOKUP($AG93,$AL$3:$AS$15,7)</f>
        <v>#VALUE!</v>
      </c>
      <c r="AQ93" s="369" t="e">
        <f aca="false">VLOOKUP($AG93,$AL$4:$AS$15,3)+VLOOKUP($AG93,$AL$4:$AS$15,5)+($AH$10*VLOOKUP(D93,GRITable,2))</f>
        <v>#VALUE!</v>
      </c>
      <c r="AR93" s="370" t="e">
        <f aca="false">VLOOKUP($AG93,$AL$4:$AS$15,4)</f>
        <v>#VALUE!</v>
      </c>
      <c r="AS93" s="369" t="e">
        <f aca="false">(AL93+AM93+AN93)</f>
        <v>#VALUE!</v>
      </c>
      <c r="AT93" s="370" t="e">
        <f aca="false">VLOOKUP(D93,CurveTbl,$AK$6)</f>
        <v>#VALUE!</v>
      </c>
      <c r="AU93" s="370" t="e">
        <f aca="false">(1+$AT93/2)^(-2*($D93-$G$5)/365.25)*$AF93</f>
        <v>#VALUE!</v>
      </c>
      <c r="AV93" s="506" t="e">
        <f aca="false">ROUND((F93/(1-AR93))-F93,0)*AF93*AH93*AU93</f>
        <v>#VALUE!</v>
      </c>
      <c r="AW93" s="370" t="e">
        <f aca="false">VLOOKUP($D93,CurveTbl,$AK$8)</f>
        <v>#VALUE!</v>
      </c>
      <c r="AX93" s="370" t="e">
        <f aca="false">VLOOKUP($D93,CurveTbl,$AH$7)</f>
        <v>#VALUE!</v>
      </c>
      <c r="AY93" s="370" t="e">
        <f aca="false">VLOOKUP($D93,CurveTbl,$AH$8)</f>
        <v>#VALUE!</v>
      </c>
      <c r="AZ93" s="370"/>
      <c r="BA93" s="507"/>
      <c r="BB93" s="505" t="e">
        <f aca="false">$H93-$BV93</f>
        <v>#VALUE!</v>
      </c>
      <c r="BC93" s="505" t="e">
        <f aca="false">I93-BW93</f>
        <v>#VALUE!</v>
      </c>
      <c r="BD93" s="370" t="e">
        <f aca="false">N93-BX93</f>
        <v>#VALUE!</v>
      </c>
      <c r="BE93" s="370" t="e">
        <f aca="false">O93-BY93</f>
        <v>#VALUE!</v>
      </c>
      <c r="BF93" s="370" t="e">
        <f aca="false">xSPRDOPT($BW93,$BV93,$CG93,0,$BY93,$BX93,$BZ93,$AJ93,1,4)*$CB93</f>
        <v>#NAME?</v>
      </c>
      <c r="BG93" s="370" t="e">
        <f aca="false">xSPRDOPT($BW93,$BV93,$CG93,0,$BY93,$BX93,$BZ93,$AJ93,1,3)*$CB93</f>
        <v>#NAME?</v>
      </c>
      <c r="BH93" s="370" t="e">
        <f aca="false">IF(OR(BF93&lt;&gt;0,BG93&lt;&gt;0),xSPRDOPT($BW93,$BV93,$CG93,0,$BY93,$BX93,$BZ93,$AJ93,1,12)*$CB93,0)</f>
        <v>#NAME?</v>
      </c>
      <c r="BI93" s="370" t="e">
        <f aca="false">xSPRDOPT($BW93,$BV93,$CG93,2*LN(1+CA93/2),$BY93,$BX93,$BZ93,$AJ93,1,9)</f>
        <v>#NAME?</v>
      </c>
      <c r="BJ93" s="370" t="e">
        <f aca="false">xSPRDOPT($BW93,$BV93,$CG93,0,$BY93,$BX93,$BZ93,$AJ93,1,6)*$CB93</f>
        <v>#NAME?</v>
      </c>
      <c r="BK93" s="370" t="e">
        <f aca="false">xSPRDOPT($BW93,$BV93,$CG93,0,$BY93,$BX93,$BZ93,$AJ93,1,5)*$CB93</f>
        <v>#NAME?</v>
      </c>
      <c r="BL93" s="370" t="e">
        <f aca="false">xSPRDOPT(BW93,BV93,CG93,0,BY93,BX93,BZ93,AJ93,1,2)*CB93</f>
        <v>#NAME?</v>
      </c>
      <c r="BM93" s="370" t="e">
        <f aca="false">xSPRDOPT(BW93,BV93,CG93,0,BY93,BX93,BZ93,AJ93,1,1)*CB93</f>
        <v>#NAME?</v>
      </c>
      <c r="BN93" s="370" t="e">
        <f aca="false">IF(AH93&lt;&gt;0,xSPRDOPT($BW93,$BV93,$CG93,2*LN(1+CA93/2),$BY93,$BX93,$BZ93,$AJ93,1,8)+(AJ93/365.25)*CH93/AH93,0)</f>
        <v>#VALUE!</v>
      </c>
      <c r="BO93" s="370" t="e">
        <f aca="false">xSPRDOPT($BW93,$BV93,$CG93,0,$BY93,$BX93,$BZ93,$AJ93,1,0)</f>
        <v>#NAME?</v>
      </c>
      <c r="BP93" s="370"/>
      <c r="BQ93" s="370"/>
      <c r="BR93" s="370"/>
      <c r="BS93" s="370"/>
      <c r="BV93" s="508" t="n">
        <v>3.94486595852301</v>
      </c>
      <c r="BW93" s="369" t="n">
        <v>4.0295</v>
      </c>
      <c r="BX93" s="370" t="n">
        <v>0.257950002488674</v>
      </c>
      <c r="BY93" s="370" t="n">
        <v>0.256404448859669</v>
      </c>
      <c r="BZ93" s="370" t="n">
        <v>0.994478415949918</v>
      </c>
      <c r="CA93" s="370" t="n">
        <v>0.0558375124748816</v>
      </c>
      <c r="CB93" s="370" t="n">
        <v>0.718557904444993</v>
      </c>
      <c r="CC93" s="505" t="n">
        <v>0.005</v>
      </c>
      <c r="CD93" s="505" t="n">
        <v>0.03</v>
      </c>
      <c r="CE93" s="505" t="n">
        <v>0.13</v>
      </c>
      <c r="CF93" s="505" t="n">
        <v>0.035</v>
      </c>
      <c r="CG93" s="505" t="n">
        <v>0</v>
      </c>
      <c r="CH93" s="505" t="n">
        <v>3.18759471990843</v>
      </c>
      <c r="CI93" s="505" t="n">
        <v>3.8645</v>
      </c>
      <c r="CJ93" s="505"/>
      <c r="CK93" s="505"/>
      <c r="CL93" s="505"/>
      <c r="CM93" s="505"/>
    </row>
    <row r="94" customFormat="false" ht="12.75" hidden="false" customHeight="false" outlineLevel="0" collapsed="false">
      <c r="A94" s="500"/>
      <c r="B94" s="500"/>
      <c r="D94" s="361" t="e">
        <f aca="false">D93+AH93</f>
        <v>#VALUE!</v>
      </c>
      <c r="F94" s="362" t="e">
        <f aca="false">VLOOKUP(AG94,$AL$4:$AS$15,2)</f>
        <v>#VALUE!</v>
      </c>
      <c r="G94" s="362" t="e">
        <f aca="false">F94*$AU94</f>
        <v>#VALUE!</v>
      </c>
      <c r="H94" s="363" t="e">
        <f aca="false">(AL94+AM94+AN94)/(1-(AR94))</f>
        <v>#VALUE!</v>
      </c>
      <c r="I94" s="363" t="e">
        <f aca="false">(AL94+AO94+AP94)</f>
        <v>#VALUE!</v>
      </c>
      <c r="K94" s="363" t="e">
        <f aca="false">MAX(((I94-H94)-AQ94)*AU94*AH94,0)</f>
        <v>#VALUE!</v>
      </c>
      <c r="L94" s="501" t="e">
        <f aca="false">MAX(Q94-K94,0)</f>
        <v>#VALUE!</v>
      </c>
      <c r="N94" s="502" t="e">
        <f aca="false">SQRT(($AX94^2*($AH94/2)+$AW94^2*$AI94)/(($AH94/2)+$AI94))</f>
        <v>#VALUE!</v>
      </c>
      <c r="O94" s="502" t="e">
        <f aca="false">SQRT(($AY94^2*($AH94/2)+$AW94^2*$AI94)/(($AH94/2)+$AI94))</f>
        <v>#VALUE!</v>
      </c>
      <c r="P94" s="371" t="e">
        <f aca="false">(VLOOKUP(AI94,CorrelationTwo,2)*(AW94^2)*AI94+VLOOKUP(D94,CorrelationOne,$AK$9)*AX94*AY94*(AH94/2))/((AI94+(AH94/2))*O94*N94)*AF94</f>
        <v>#VALUE!</v>
      </c>
      <c r="Q94" s="501" t="e">
        <f aca="false">xSPRDOPT(I94,H94,AQ94,0,O94,N94,P94,D94-$G$5,1,0)*AH94*AU94</f>
        <v>#VALUE!</v>
      </c>
      <c r="R94" s="501"/>
      <c r="S94" s="365" t="e">
        <f aca="false">xSPRDOPT(I94,H94,AQ94,AT94,O94,N94,P94,D94-$G$5,1,2)*AF94*(F94/(1-AR94))*AH94</f>
        <v>#VALUE!</v>
      </c>
      <c r="T94" s="365" t="e">
        <f aca="false">xSPRDOPT(I94,H94,AQ94,AT94,O94,N94,P94,D94-$G$5,1,1)*AF94*F94*AH94</f>
        <v>#VALUE!</v>
      </c>
      <c r="U94" s="501"/>
      <c r="V94" s="503" t="e">
        <f aca="false">VLOOKUP($AG94,$AL$4:$AS$15,8)*AH94*AU94</f>
        <v>#VALUE!</v>
      </c>
      <c r="W94" s="503"/>
      <c r="X94" s="504" t="e">
        <f aca="false">((BM94*BC94)+(BL94*BB94))*AH94*F94</f>
        <v>#VALUE!</v>
      </c>
      <c r="Y94" s="504" t="e">
        <f aca="false">($F94*$AH94)*((($BG94/2)*($BC94)^2)+(($BF94/2)*($BB94)^2)+($BH94*$BC94*$BB94))</f>
        <v>#VALUE!</v>
      </c>
      <c r="Z94" s="504" t="e">
        <f aca="false">($BI94*$F94*$AH94*($G$5-$BV$5))/365.25</f>
        <v>#VALUE!</v>
      </c>
      <c r="AA94" s="504" t="e">
        <f aca="false">(($BK94*$BE94)+($BJ94*$BD94))*$F94*$AH94*$AF94</f>
        <v>#VALUE!</v>
      </c>
      <c r="AB94" s="504" t="e">
        <f aca="false">BN94*(AT94-CA94)*F94*AH94</f>
        <v>#VALUE!</v>
      </c>
      <c r="AC94" s="504" t="e">
        <f aca="false">BO94*CB94*F94*AH94*CA94*($G$5-$BV$5)/365.25</f>
        <v>#NAME?</v>
      </c>
      <c r="AF94" s="378" t="e">
        <f aca="false">IF(AND(D94&gt;=$G$7,D94&lt;=$G$8),1,0)</f>
        <v>#VALUE!</v>
      </c>
      <c r="AG94" s="378" t="e">
        <f aca="false">MONTH(D94)</f>
        <v>#VALUE!</v>
      </c>
      <c r="AH94" s="378" t="e">
        <f aca="false">(EOMONTH(D94,0)-EOMONTH(D94-DAY(D94),0))*AF94</f>
        <v>#VALUE!</v>
      </c>
      <c r="AI94" s="378" t="e">
        <f aca="false">AI93+AH93</f>
        <v>#VALUE!</v>
      </c>
      <c r="AJ94" s="378" t="e">
        <f aca="false">D94-$BV$5</f>
        <v>#VALUE!</v>
      </c>
      <c r="AL94" s="369" t="e">
        <f aca="false">VLOOKUP($D94,CurveTbl,$AK$4)</f>
        <v>#VALUE!</v>
      </c>
      <c r="AM94" s="505" t="e">
        <f aca="false">VLOOKUP($D94,CurveTbl,$AH$3)</f>
        <v>#VALUE!</v>
      </c>
      <c r="AN94" s="505" t="e">
        <f aca="false">VLOOKUP($D94,CurveTbl,$AH$4)+VLOOKUP($AG94,$AL$3:$AS$15,6)</f>
        <v>#VALUE!</v>
      </c>
      <c r="AO94" s="505" t="e">
        <f aca="false">VLOOKUP($D94,CurveTbl,$AH$5)</f>
        <v>#VALUE!</v>
      </c>
      <c r="AP94" s="505" t="e">
        <f aca="false">VLOOKUP($D94,CurveTbl,$AH$6)+VLOOKUP($AG94,$AL$3:$AS$15,7)</f>
        <v>#VALUE!</v>
      </c>
      <c r="AQ94" s="369" t="e">
        <f aca="false">VLOOKUP($AG94,$AL$4:$AS$15,3)+VLOOKUP($AG94,$AL$4:$AS$15,5)+($AH$10*VLOOKUP(D94,GRITable,2))</f>
        <v>#VALUE!</v>
      </c>
      <c r="AR94" s="370" t="e">
        <f aca="false">VLOOKUP($AG94,$AL$4:$AS$15,4)</f>
        <v>#VALUE!</v>
      </c>
      <c r="AS94" s="369" t="e">
        <f aca="false">(AL94+AM94+AN94)</f>
        <v>#VALUE!</v>
      </c>
      <c r="AT94" s="370" t="e">
        <f aca="false">VLOOKUP(D94,CurveTbl,$AK$6)</f>
        <v>#VALUE!</v>
      </c>
      <c r="AU94" s="370" t="e">
        <f aca="false">(1+$AT94/2)^(-2*($D94-$G$5)/365.25)*$AF94</f>
        <v>#VALUE!</v>
      </c>
      <c r="AV94" s="506" t="e">
        <f aca="false">ROUND((F94/(1-AR94))-F94,0)*AF94*AH94*AU94</f>
        <v>#VALUE!</v>
      </c>
      <c r="AW94" s="370" t="e">
        <f aca="false">VLOOKUP($D94,CurveTbl,$AK$8)</f>
        <v>#VALUE!</v>
      </c>
      <c r="AX94" s="370" t="e">
        <f aca="false">VLOOKUP($D94,CurveTbl,$AH$7)</f>
        <v>#VALUE!</v>
      </c>
      <c r="AY94" s="370" t="e">
        <f aca="false">VLOOKUP($D94,CurveTbl,$AH$8)</f>
        <v>#VALUE!</v>
      </c>
      <c r="AZ94" s="370"/>
      <c r="BA94" s="507"/>
      <c r="BB94" s="505" t="e">
        <f aca="false">$H94-$BV94</f>
        <v>#VALUE!</v>
      </c>
      <c r="BC94" s="505" t="e">
        <f aca="false">I94-BW94</f>
        <v>#VALUE!</v>
      </c>
      <c r="BD94" s="370" t="e">
        <f aca="false">N94-BX94</f>
        <v>#VALUE!</v>
      </c>
      <c r="BE94" s="370" t="e">
        <f aca="false">O94-BY94</f>
        <v>#VALUE!</v>
      </c>
      <c r="BF94" s="370" t="e">
        <f aca="false">xSPRDOPT($BW94,$BV94,$CG94,0,$BY94,$BX94,$BZ94,$AJ94,1,4)*$CB94</f>
        <v>#NAME?</v>
      </c>
      <c r="BG94" s="370" t="e">
        <f aca="false">xSPRDOPT($BW94,$BV94,$CG94,0,$BY94,$BX94,$BZ94,$AJ94,1,3)*$CB94</f>
        <v>#NAME?</v>
      </c>
      <c r="BH94" s="370" t="e">
        <f aca="false">IF(OR(BF94&lt;&gt;0,BG94&lt;&gt;0),xSPRDOPT($BW94,$BV94,$CG94,0,$BY94,$BX94,$BZ94,$AJ94,1,12)*$CB94,0)</f>
        <v>#NAME?</v>
      </c>
      <c r="BI94" s="370" t="e">
        <f aca="false">xSPRDOPT($BW94,$BV94,$CG94,2*LN(1+CA94/2),$BY94,$BX94,$BZ94,$AJ94,1,9)</f>
        <v>#NAME?</v>
      </c>
      <c r="BJ94" s="370" t="e">
        <f aca="false">xSPRDOPT($BW94,$BV94,$CG94,0,$BY94,$BX94,$BZ94,$AJ94,1,6)*$CB94</f>
        <v>#NAME?</v>
      </c>
      <c r="BK94" s="370" t="e">
        <f aca="false">xSPRDOPT($BW94,$BV94,$CG94,0,$BY94,$BX94,$BZ94,$AJ94,1,5)*$CB94</f>
        <v>#NAME?</v>
      </c>
      <c r="BL94" s="370" t="e">
        <f aca="false">xSPRDOPT(BW94,BV94,CG94,0,BY94,BX94,BZ94,AJ94,1,2)*CB94</f>
        <v>#NAME?</v>
      </c>
      <c r="BM94" s="370" t="e">
        <f aca="false">xSPRDOPT(BW94,BV94,CG94,0,BY94,BX94,BZ94,AJ94,1,1)*CB94</f>
        <v>#NAME?</v>
      </c>
      <c r="BN94" s="370" t="e">
        <f aca="false">IF(AH94&lt;&gt;0,xSPRDOPT($BW94,$BV94,$CG94,2*LN(1+CA94/2),$BY94,$BX94,$BZ94,$AJ94,1,8)+(AJ94/365.25)*CH94/AH94,0)</f>
        <v>#VALUE!</v>
      </c>
      <c r="BO94" s="370" t="e">
        <f aca="false">xSPRDOPT($BW94,$BV94,$CG94,0,$BY94,$BX94,$BZ94,$AJ94,1,0)</f>
        <v>#NAME?</v>
      </c>
      <c r="BP94" s="370"/>
      <c r="BQ94" s="370"/>
      <c r="BR94" s="370"/>
      <c r="BS94" s="370"/>
      <c r="BV94" s="508" t="n">
        <v>4.01568032372281</v>
      </c>
      <c r="BW94" s="369" t="n">
        <v>4.0795</v>
      </c>
      <c r="BX94" s="370" t="n">
        <v>0.25770844672885</v>
      </c>
      <c r="BY94" s="370" t="n">
        <v>0.256183058566557</v>
      </c>
      <c r="BZ94" s="370" t="n">
        <v>0.994545333311226</v>
      </c>
      <c r="CA94" s="370" t="n">
        <v>0.0560215286416526</v>
      </c>
      <c r="CB94" s="370" t="n">
        <v>0.714428287231</v>
      </c>
      <c r="CC94" s="505" t="n">
        <v>0.025</v>
      </c>
      <c r="CD94" s="505" t="n">
        <v>0.03</v>
      </c>
      <c r="CE94" s="505" t="n">
        <v>0.13</v>
      </c>
      <c r="CF94" s="505" t="n">
        <v>0.035</v>
      </c>
      <c r="CG94" s="505" t="n">
        <v>0</v>
      </c>
      <c r="CH94" s="505" t="n">
        <v>3.16927532498544</v>
      </c>
      <c r="CI94" s="505" t="n">
        <v>3.9145</v>
      </c>
      <c r="CJ94" s="505"/>
      <c r="CK94" s="505"/>
      <c r="CL94" s="505"/>
      <c r="CM94" s="505"/>
    </row>
    <row r="95" customFormat="false" ht="12.75" hidden="false" customHeight="false" outlineLevel="0" collapsed="false">
      <c r="A95" s="500"/>
      <c r="B95" s="500"/>
      <c r="D95" s="361" t="e">
        <f aca="false">D94+AH94</f>
        <v>#VALUE!</v>
      </c>
      <c r="F95" s="362" t="e">
        <f aca="false">VLOOKUP(AG95,$AL$4:$AS$15,2)</f>
        <v>#VALUE!</v>
      </c>
      <c r="G95" s="362" t="e">
        <f aca="false">F95*$AU95</f>
        <v>#VALUE!</v>
      </c>
      <c r="H95" s="363" t="e">
        <f aca="false">(AL95+AM95+AN95)/(1-(AR95))</f>
        <v>#VALUE!</v>
      </c>
      <c r="I95" s="363" t="e">
        <f aca="false">(AL95+AO95+AP95)</f>
        <v>#VALUE!</v>
      </c>
      <c r="K95" s="363" t="e">
        <f aca="false">MAX(((I95-H95)-AQ95)*AU95*AH95,0)</f>
        <v>#VALUE!</v>
      </c>
      <c r="L95" s="501" t="e">
        <f aca="false">MAX(Q95-K95,0)</f>
        <v>#VALUE!</v>
      </c>
      <c r="N95" s="502" t="e">
        <f aca="false">SQRT(($AX95^2*($AH95/2)+$AW95^2*$AI95)/(($AH95/2)+$AI95))</f>
        <v>#VALUE!</v>
      </c>
      <c r="O95" s="502" t="e">
        <f aca="false">SQRT(($AY95^2*($AH95/2)+$AW95^2*$AI95)/(($AH95/2)+$AI95))</f>
        <v>#VALUE!</v>
      </c>
      <c r="P95" s="371" t="e">
        <f aca="false">(VLOOKUP(AI95,CorrelationTwo,2)*(AW95^2)*AI95+VLOOKUP(D95,CorrelationOne,$AK$9)*AX95*AY95*(AH95/2))/((AI95+(AH95/2))*O95*N95)*AF95</f>
        <v>#VALUE!</v>
      </c>
      <c r="Q95" s="501" t="e">
        <f aca="false">xSPRDOPT(I95,H95,AQ95,0,O95,N95,P95,D95-$G$5,1,0)*AH95*AU95</f>
        <v>#VALUE!</v>
      </c>
      <c r="R95" s="501"/>
      <c r="S95" s="365" t="e">
        <f aca="false">xSPRDOPT(I95,H95,AQ95,AT95,O95,N95,P95,D95-$G$5,1,2)*AF95*(F95/(1-AR95))*AH95</f>
        <v>#VALUE!</v>
      </c>
      <c r="T95" s="365" t="e">
        <f aca="false">xSPRDOPT(I95,H95,AQ95,AT95,O95,N95,P95,D95-$G$5,1,1)*AF95*F95*AH95</f>
        <v>#VALUE!</v>
      </c>
      <c r="U95" s="501"/>
      <c r="V95" s="503" t="e">
        <f aca="false">VLOOKUP($AG95,$AL$4:$AS$15,8)*AH95*AU95</f>
        <v>#VALUE!</v>
      </c>
      <c r="W95" s="503"/>
      <c r="X95" s="504" t="e">
        <f aca="false">((BM95*BC95)+(BL95*BB95))*AH95*F95</f>
        <v>#VALUE!</v>
      </c>
      <c r="Y95" s="504" t="e">
        <f aca="false">($F95*$AH95)*((($BG95/2)*($BC95)^2)+(($BF95/2)*($BB95)^2)+($BH95*$BC95*$BB95))</f>
        <v>#VALUE!</v>
      </c>
      <c r="Z95" s="504" t="e">
        <f aca="false">($BI95*$F95*$AH95*($G$5-$BV$5))/365.25</f>
        <v>#VALUE!</v>
      </c>
      <c r="AA95" s="504" t="e">
        <f aca="false">(($BK95*$BE95)+($BJ95*$BD95))*$F95*$AH95*$AF95</f>
        <v>#VALUE!</v>
      </c>
      <c r="AB95" s="504" t="e">
        <f aca="false">BN95*(AT95-CA95)*F95*AH95</f>
        <v>#VALUE!</v>
      </c>
      <c r="AC95" s="504" t="e">
        <f aca="false">BO95*CB95*F95*AH95*CA95*($G$5-$BV$5)/365.25</f>
        <v>#NAME?</v>
      </c>
      <c r="AF95" s="378" t="e">
        <f aca="false">IF(AND(D95&gt;=$G$7,D95&lt;=$G$8),1,0)</f>
        <v>#VALUE!</v>
      </c>
      <c r="AG95" s="378" t="e">
        <f aca="false">MONTH(D95)</f>
        <v>#VALUE!</v>
      </c>
      <c r="AH95" s="378" t="e">
        <f aca="false">(EOMONTH(D95,0)-EOMONTH(D95-DAY(D95),0))*AF95</f>
        <v>#VALUE!</v>
      </c>
      <c r="AI95" s="378" t="e">
        <f aca="false">AI94+AH94</f>
        <v>#VALUE!</v>
      </c>
      <c r="AJ95" s="378" t="e">
        <f aca="false">D95-$BV$5</f>
        <v>#VALUE!</v>
      </c>
      <c r="AL95" s="369" t="e">
        <f aca="false">VLOOKUP($D95,CurveTbl,$AK$4)</f>
        <v>#VALUE!</v>
      </c>
      <c r="AM95" s="505" t="e">
        <f aca="false">VLOOKUP($D95,CurveTbl,$AH$3)</f>
        <v>#VALUE!</v>
      </c>
      <c r="AN95" s="505" t="e">
        <f aca="false">VLOOKUP($D95,CurveTbl,$AH$4)+VLOOKUP($AG95,$AL$3:$AS$15,6)</f>
        <v>#VALUE!</v>
      </c>
      <c r="AO95" s="505" t="e">
        <f aca="false">VLOOKUP($D95,CurveTbl,$AH$5)</f>
        <v>#VALUE!</v>
      </c>
      <c r="AP95" s="505" t="e">
        <f aca="false">VLOOKUP($D95,CurveTbl,$AH$6)+VLOOKUP($AG95,$AL$3:$AS$15,7)</f>
        <v>#VALUE!</v>
      </c>
      <c r="AQ95" s="369" t="e">
        <f aca="false">VLOOKUP($AG95,$AL$4:$AS$15,3)+VLOOKUP($AG95,$AL$4:$AS$15,5)+($AH$10*VLOOKUP(D95,GRITable,2))</f>
        <v>#VALUE!</v>
      </c>
      <c r="AR95" s="370" t="e">
        <f aca="false">VLOOKUP($AG95,$AL$4:$AS$15,4)</f>
        <v>#VALUE!</v>
      </c>
      <c r="AS95" s="369" t="e">
        <f aca="false">(AL95+AM95+AN95)</f>
        <v>#VALUE!</v>
      </c>
      <c r="AT95" s="370" t="e">
        <f aca="false">VLOOKUP(D95,CurveTbl,$AK$6)</f>
        <v>#VALUE!</v>
      </c>
      <c r="AU95" s="370" t="e">
        <f aca="false">(1+$AT95/2)^(-2*($D95-$G$5)/365.25)*$AF95</f>
        <v>#VALUE!</v>
      </c>
      <c r="AV95" s="506" t="e">
        <f aca="false">ROUND((F95/(1-AR95))-F95,0)*AF95*AH95*AU95</f>
        <v>#VALUE!</v>
      </c>
      <c r="AW95" s="370" t="e">
        <f aca="false">VLOOKUP($D95,CurveTbl,$AK$8)</f>
        <v>#VALUE!</v>
      </c>
      <c r="AX95" s="370" t="e">
        <f aca="false">VLOOKUP($D95,CurveTbl,$AH$7)</f>
        <v>#VALUE!</v>
      </c>
      <c r="AY95" s="370" t="e">
        <f aca="false">VLOOKUP($D95,CurveTbl,$AH$8)</f>
        <v>#VALUE!</v>
      </c>
      <c r="AZ95" s="370"/>
      <c r="BA95" s="507"/>
      <c r="BB95" s="505" t="e">
        <f aca="false">$H95-$BV95</f>
        <v>#VALUE!</v>
      </c>
      <c r="BC95" s="505" t="e">
        <f aca="false">I95-BW95</f>
        <v>#VALUE!</v>
      </c>
      <c r="BD95" s="370" t="e">
        <f aca="false">N95-BX95</f>
        <v>#VALUE!</v>
      </c>
      <c r="BE95" s="370" t="e">
        <f aca="false">O95-BY95</f>
        <v>#VALUE!</v>
      </c>
      <c r="BF95" s="370" t="e">
        <f aca="false">xSPRDOPT($BW95,$BV95,$CG95,0,$BY95,$BX95,$BZ95,$AJ95,1,4)*$CB95</f>
        <v>#NAME?</v>
      </c>
      <c r="BG95" s="370" t="e">
        <f aca="false">xSPRDOPT($BW95,$BV95,$CG95,0,$BY95,$BX95,$BZ95,$AJ95,1,3)*$CB95</f>
        <v>#NAME?</v>
      </c>
      <c r="BH95" s="370" t="e">
        <f aca="false">IF(OR(BF95&lt;&gt;0,BG95&lt;&gt;0),xSPRDOPT($BW95,$BV95,$CG95,0,$BY95,$BX95,$BZ95,$AJ95,1,12)*$CB95,0)</f>
        <v>#NAME?</v>
      </c>
      <c r="BI95" s="370" t="e">
        <f aca="false">xSPRDOPT($BW95,$BV95,$CG95,2*LN(1+CA95/2),$BY95,$BX95,$BZ95,$AJ95,1,9)</f>
        <v>#NAME?</v>
      </c>
      <c r="BJ95" s="370" t="e">
        <f aca="false">xSPRDOPT($BW95,$BV95,$CG95,0,$BY95,$BX95,$BZ95,$AJ95,1,6)*$CB95</f>
        <v>#NAME?</v>
      </c>
      <c r="BK95" s="370" t="e">
        <f aca="false">xSPRDOPT($BW95,$BV95,$CG95,0,$BY95,$BX95,$BZ95,$AJ95,1,5)*$CB95</f>
        <v>#NAME?</v>
      </c>
      <c r="BL95" s="370" t="e">
        <f aca="false">xSPRDOPT(BW95,BV95,CG95,0,BY95,BX95,BZ95,AJ95,1,2)*CB95</f>
        <v>#NAME?</v>
      </c>
      <c r="BM95" s="370" t="e">
        <f aca="false">xSPRDOPT(BW95,BV95,CG95,0,BY95,BX95,BZ95,AJ95,1,1)*CB95</f>
        <v>#NAME?</v>
      </c>
      <c r="BN95" s="370" t="e">
        <f aca="false">IF(AH95&lt;&gt;0,xSPRDOPT($BW95,$BV95,$CG95,2*LN(1+CA95/2),$BY95,$BX95,$BZ95,$AJ95,1,8)+(AJ95/365.25)*CH95/AH95,0)</f>
        <v>#VALUE!</v>
      </c>
      <c r="BO95" s="370" t="e">
        <f aca="false">xSPRDOPT($BW95,$BV95,$CG95,0,$BY95,$BX95,$BZ95,$AJ95,1,0)</f>
        <v>#NAME?</v>
      </c>
      <c r="BP95" s="370"/>
      <c r="BQ95" s="370"/>
      <c r="BR95" s="370"/>
      <c r="BS95" s="370"/>
      <c r="BV95" s="508" t="n">
        <v>3.92463328275164</v>
      </c>
      <c r="BW95" s="369" t="n">
        <v>3.9945</v>
      </c>
      <c r="BX95" s="370" t="n">
        <v>0.256388976290813</v>
      </c>
      <c r="BY95" s="370" t="n">
        <v>0.254974026656127</v>
      </c>
      <c r="BZ95" s="370" t="n">
        <v>0.994914126011591</v>
      </c>
      <c r="CA95" s="370" t="n">
        <v>0.0562055448196963</v>
      </c>
      <c r="CB95" s="370" t="n">
        <v>0.710300889666288</v>
      </c>
      <c r="CC95" s="505" t="n">
        <v>0.02</v>
      </c>
      <c r="CD95" s="505" t="n">
        <v>0.03</v>
      </c>
      <c r="CE95" s="505" t="n">
        <v>0.13</v>
      </c>
      <c r="CF95" s="505" t="n">
        <v>0.035</v>
      </c>
      <c r="CG95" s="505" t="n">
        <v>0</v>
      </c>
      <c r="CH95" s="505" t="n">
        <v>2.94767766202613</v>
      </c>
      <c r="CI95" s="505" t="n">
        <v>3.8295</v>
      </c>
      <c r="CJ95" s="505"/>
      <c r="CK95" s="505"/>
      <c r="CL95" s="505"/>
      <c r="CM95" s="505"/>
    </row>
    <row r="96" customFormat="false" ht="12.75" hidden="false" customHeight="false" outlineLevel="0" collapsed="false">
      <c r="A96" s="500"/>
      <c r="B96" s="500"/>
      <c r="D96" s="361" t="e">
        <f aca="false">D95+AH95</f>
        <v>#VALUE!</v>
      </c>
      <c r="F96" s="362" t="e">
        <f aca="false">VLOOKUP(AG96,$AL$4:$AS$15,2)</f>
        <v>#VALUE!</v>
      </c>
      <c r="G96" s="362" t="e">
        <f aca="false">F96*$AU96</f>
        <v>#VALUE!</v>
      </c>
      <c r="H96" s="363" t="e">
        <f aca="false">(AL96+AM96+AN96)/(1-(AR96))</f>
        <v>#VALUE!</v>
      </c>
      <c r="I96" s="363" t="e">
        <f aca="false">(AL96+AO96+AP96)</f>
        <v>#VALUE!</v>
      </c>
      <c r="K96" s="363" t="e">
        <f aca="false">MAX(((I96-H96)-AQ96)*AU96*AH96,0)</f>
        <v>#VALUE!</v>
      </c>
      <c r="L96" s="501" t="e">
        <f aca="false">MAX(Q96-K96,0)</f>
        <v>#VALUE!</v>
      </c>
      <c r="N96" s="502" t="e">
        <f aca="false">SQRT(($AX96^2*($AH96/2)+$AW96^2*$AI96)/(($AH96/2)+$AI96))</f>
        <v>#VALUE!</v>
      </c>
      <c r="O96" s="502" t="e">
        <f aca="false">SQRT(($AY96^2*($AH96/2)+$AW96^2*$AI96)/(($AH96/2)+$AI96))</f>
        <v>#VALUE!</v>
      </c>
      <c r="P96" s="371" t="e">
        <f aca="false">(VLOOKUP(AI96,CorrelationTwo,2)*(AW96^2)*AI96+VLOOKUP(D96,CorrelationOne,$AK$9)*AX96*AY96*(AH96/2))/((AI96+(AH96/2))*O96*N96)*AF96</f>
        <v>#VALUE!</v>
      </c>
      <c r="Q96" s="501" t="e">
        <f aca="false">xSPRDOPT(I96,H96,AQ96,0,O96,N96,P96,D96-$G$5,1,0)*AH96*AU96</f>
        <v>#VALUE!</v>
      </c>
      <c r="R96" s="501"/>
      <c r="S96" s="365" t="e">
        <f aca="false">xSPRDOPT(I96,H96,AQ96,AT96,O96,N96,P96,D96-$G$5,1,2)*AF96*(F96/(1-AR96))*AH96</f>
        <v>#VALUE!</v>
      </c>
      <c r="T96" s="365" t="e">
        <f aca="false">xSPRDOPT(I96,H96,AQ96,AT96,O96,N96,P96,D96-$G$5,1,1)*AF96*F96*AH96</f>
        <v>#VALUE!</v>
      </c>
      <c r="U96" s="501"/>
      <c r="V96" s="503" t="e">
        <f aca="false">VLOOKUP($AG96,$AL$4:$AS$15,8)*AH96*AU96</f>
        <v>#VALUE!</v>
      </c>
      <c r="W96" s="503"/>
      <c r="X96" s="504" t="e">
        <f aca="false">((BM96*BC96)+(BL96*BB96))*AH96*F96</f>
        <v>#VALUE!</v>
      </c>
      <c r="Y96" s="504" t="e">
        <f aca="false">($F96*$AH96)*((($BG96/2)*($BC96)^2)+(($BF96/2)*($BB96)^2)+($BH96*$BC96*$BB96))</f>
        <v>#VALUE!</v>
      </c>
      <c r="Z96" s="504" t="e">
        <f aca="false">($BI96*$F96*$AH96*($G$5-$BV$5))/365.25</f>
        <v>#VALUE!</v>
      </c>
      <c r="AA96" s="504" t="e">
        <f aca="false">(($BK96*$BE96)+($BJ96*$BD96))*$F96*$AH96*$AF96</f>
        <v>#VALUE!</v>
      </c>
      <c r="AB96" s="504" t="e">
        <f aca="false">BN96*(AT96-CA96)*F96*AH96</f>
        <v>#VALUE!</v>
      </c>
      <c r="AC96" s="504" t="e">
        <f aca="false">BO96*CB96*F96*AH96*CA96*($G$5-$BV$5)/365.25</f>
        <v>#NAME?</v>
      </c>
      <c r="AF96" s="378" t="e">
        <f aca="false">IF(AND(D96&gt;=$G$7,D96&lt;=$G$8),1,0)</f>
        <v>#VALUE!</v>
      </c>
      <c r="AG96" s="378" t="e">
        <f aca="false">MONTH(D96)</f>
        <v>#VALUE!</v>
      </c>
      <c r="AH96" s="378" t="e">
        <f aca="false">(EOMONTH(D96,0)-EOMONTH(D96-DAY(D96),0))*AF96</f>
        <v>#VALUE!</v>
      </c>
      <c r="AI96" s="378" t="e">
        <f aca="false">AI95+AH95</f>
        <v>#VALUE!</v>
      </c>
      <c r="AJ96" s="378" t="e">
        <f aca="false">D96-$BV$5</f>
        <v>#VALUE!</v>
      </c>
      <c r="AL96" s="369" t="e">
        <f aca="false">VLOOKUP($D96,CurveTbl,$AK$4)</f>
        <v>#VALUE!</v>
      </c>
      <c r="AM96" s="505" t="e">
        <f aca="false">VLOOKUP($D96,CurveTbl,$AH$3)</f>
        <v>#VALUE!</v>
      </c>
      <c r="AN96" s="505" t="e">
        <f aca="false">VLOOKUP($D96,CurveTbl,$AH$4)+VLOOKUP($AG96,$AL$3:$AS$15,6)</f>
        <v>#VALUE!</v>
      </c>
      <c r="AO96" s="505" t="e">
        <f aca="false">VLOOKUP($D96,CurveTbl,$AH$5)</f>
        <v>#VALUE!</v>
      </c>
      <c r="AP96" s="505" t="e">
        <f aca="false">VLOOKUP($D96,CurveTbl,$AH$6)+VLOOKUP($AG96,$AL$3:$AS$15,7)</f>
        <v>#VALUE!</v>
      </c>
      <c r="AQ96" s="369" t="e">
        <f aca="false">VLOOKUP($AG96,$AL$4:$AS$15,3)+VLOOKUP($AG96,$AL$4:$AS$15,5)+($AH$10*VLOOKUP(D96,GRITable,2))</f>
        <v>#VALUE!</v>
      </c>
      <c r="AR96" s="370" t="e">
        <f aca="false">VLOOKUP($AG96,$AL$4:$AS$15,4)</f>
        <v>#VALUE!</v>
      </c>
      <c r="AS96" s="369" t="e">
        <f aca="false">(AL96+AM96+AN96)</f>
        <v>#VALUE!</v>
      </c>
      <c r="AT96" s="370" t="e">
        <f aca="false">VLOOKUP(D96,CurveTbl,$AK$6)</f>
        <v>#VALUE!</v>
      </c>
      <c r="AU96" s="370" t="e">
        <f aca="false">(1+$AT96/2)^(-2*($D96-$G$5)/365.25)*$AF96</f>
        <v>#VALUE!</v>
      </c>
      <c r="AV96" s="506" t="e">
        <f aca="false">ROUND((F96/(1-AR96))-F96,0)*AF96*AH96*AU96</f>
        <v>#VALUE!</v>
      </c>
      <c r="AW96" s="370" t="e">
        <f aca="false">VLOOKUP($D96,CurveTbl,$AK$8)</f>
        <v>#VALUE!</v>
      </c>
      <c r="AX96" s="370" t="e">
        <f aca="false">VLOOKUP($D96,CurveTbl,$AH$7)</f>
        <v>#VALUE!</v>
      </c>
      <c r="AY96" s="370" t="e">
        <f aca="false">VLOOKUP($D96,CurveTbl,$AH$8)</f>
        <v>#VALUE!</v>
      </c>
      <c r="AZ96" s="370"/>
      <c r="BA96" s="507"/>
      <c r="BB96" s="505" t="e">
        <f aca="false">$H96-$BV96</f>
        <v>#VALUE!</v>
      </c>
      <c r="BC96" s="505" t="e">
        <f aca="false">I96-BW96</f>
        <v>#VALUE!</v>
      </c>
      <c r="BD96" s="370" t="e">
        <f aca="false">N96-BX96</f>
        <v>#VALUE!</v>
      </c>
      <c r="BE96" s="370" t="e">
        <f aca="false">O96-BY96</f>
        <v>#VALUE!</v>
      </c>
      <c r="BF96" s="370" t="e">
        <f aca="false">xSPRDOPT($BW96,$BV96,$CG96,0,$BY96,$BX96,$BZ96,$AJ96,1,4)*$CB96</f>
        <v>#NAME?</v>
      </c>
      <c r="BG96" s="370" t="e">
        <f aca="false">xSPRDOPT($BW96,$BV96,$CG96,0,$BY96,$BX96,$BZ96,$AJ96,1,3)*$CB96</f>
        <v>#NAME?</v>
      </c>
      <c r="BH96" s="370" t="e">
        <f aca="false">IF(OR(BF96&lt;&gt;0,BG96&lt;&gt;0),xSPRDOPT($BW96,$BV96,$CG96,0,$BY96,$BX96,$BZ96,$AJ96,1,12)*$CB96,0)</f>
        <v>#NAME?</v>
      </c>
      <c r="BI96" s="370" t="e">
        <f aca="false">xSPRDOPT($BW96,$BV96,$CG96,2*LN(1+CA96/2),$BY96,$BX96,$BZ96,$AJ96,1,9)</f>
        <v>#NAME?</v>
      </c>
      <c r="BJ96" s="370" t="e">
        <f aca="false">xSPRDOPT($BW96,$BV96,$CG96,0,$BY96,$BX96,$BZ96,$AJ96,1,6)*$CB96</f>
        <v>#NAME?</v>
      </c>
      <c r="BK96" s="370" t="e">
        <f aca="false">xSPRDOPT($BW96,$BV96,$CG96,0,$BY96,$BX96,$BZ96,$AJ96,1,5)*$CB96</f>
        <v>#NAME?</v>
      </c>
      <c r="BL96" s="370" t="e">
        <f aca="false">xSPRDOPT(BW96,BV96,CG96,0,BY96,BX96,BZ96,AJ96,1,2)*CB96</f>
        <v>#NAME?</v>
      </c>
      <c r="BM96" s="370" t="e">
        <f aca="false">xSPRDOPT(BW96,BV96,CG96,0,BY96,BX96,BZ96,AJ96,1,1)*CB96</f>
        <v>#NAME?</v>
      </c>
      <c r="BN96" s="370" t="e">
        <f aca="false">IF(AH96&lt;&gt;0,xSPRDOPT($BW96,$BV96,$CG96,2*LN(1+CA96/2),$BY96,$BX96,$BZ96,$AJ96,1,8)+(AJ96/365.25)*CH96/AH96,0)</f>
        <v>#VALUE!</v>
      </c>
      <c r="BO96" s="370" t="e">
        <f aca="false">xSPRDOPT($BW96,$BV96,$CG96,0,$BY96,$BX96,$BZ96,$AJ96,1,0)</f>
        <v>#NAME?</v>
      </c>
      <c r="BP96" s="370"/>
      <c r="BQ96" s="370"/>
      <c r="BR96" s="370"/>
      <c r="BS96" s="370"/>
      <c r="BV96" s="508" t="n">
        <v>3.77288821446636</v>
      </c>
      <c r="BW96" s="369" t="n">
        <v>3.8645</v>
      </c>
      <c r="BX96" s="370" t="n">
        <v>0.244442966263595</v>
      </c>
      <c r="BY96" s="370" t="n">
        <v>0.242212276821627</v>
      </c>
      <c r="BZ96" s="370" t="n">
        <v>0.996546864875656</v>
      </c>
      <c r="CA96" s="370" t="n">
        <v>0.056377688996458</v>
      </c>
      <c r="CB96" s="370" t="n">
        <v>0.706441997314755</v>
      </c>
      <c r="CC96" s="505" t="n">
        <v>0</v>
      </c>
      <c r="CD96" s="505" t="n">
        <v>0.03</v>
      </c>
      <c r="CE96" s="505" t="n">
        <v>0.13</v>
      </c>
      <c r="CF96" s="505" t="n">
        <v>0.035</v>
      </c>
      <c r="CG96" s="505" t="n">
        <v>0</v>
      </c>
      <c r="CH96" s="505" t="n">
        <v>3.13384734428798</v>
      </c>
      <c r="CI96" s="505" t="n">
        <v>3.6995</v>
      </c>
      <c r="CJ96" s="505"/>
      <c r="CK96" s="505"/>
      <c r="CL96" s="505"/>
      <c r="CM96" s="505"/>
    </row>
    <row r="97" customFormat="false" ht="12.75" hidden="false" customHeight="false" outlineLevel="0" collapsed="false">
      <c r="A97" s="500"/>
      <c r="B97" s="500"/>
      <c r="D97" s="361" t="e">
        <f aca="false">D96+AH96</f>
        <v>#VALUE!</v>
      </c>
      <c r="F97" s="362" t="e">
        <f aca="false">VLOOKUP(AG97,$AL$4:$AS$15,2)</f>
        <v>#VALUE!</v>
      </c>
      <c r="G97" s="362" t="e">
        <f aca="false">F97*$AU97</f>
        <v>#VALUE!</v>
      </c>
      <c r="H97" s="363" t="e">
        <f aca="false">(AL97+AM97+AN97)/(1-(AR97))</f>
        <v>#VALUE!</v>
      </c>
      <c r="I97" s="363" t="e">
        <f aca="false">(AL97+AO97+AP97)</f>
        <v>#VALUE!</v>
      </c>
      <c r="K97" s="363" t="e">
        <f aca="false">MAX(((I97-H97)-AQ97)*AU97*AH97,0)</f>
        <v>#VALUE!</v>
      </c>
      <c r="L97" s="501" t="e">
        <f aca="false">MAX(Q97-K97,0)</f>
        <v>#VALUE!</v>
      </c>
      <c r="N97" s="502" t="e">
        <f aca="false">SQRT(($AX97^2*($AH97/2)+$AW97^2*$AI97)/(($AH97/2)+$AI97))</f>
        <v>#VALUE!</v>
      </c>
      <c r="O97" s="502" t="e">
        <f aca="false">SQRT(($AY97^2*($AH97/2)+$AW97^2*$AI97)/(($AH97/2)+$AI97))</f>
        <v>#VALUE!</v>
      </c>
      <c r="P97" s="371" t="e">
        <f aca="false">(VLOOKUP(AI97,CorrelationTwo,2)*(AW97^2)*AI97+VLOOKUP(D97,CorrelationOne,$AK$9)*AX97*AY97*(AH97/2))/((AI97+(AH97/2))*O97*N97)*AF97</f>
        <v>#VALUE!</v>
      </c>
      <c r="Q97" s="501" t="e">
        <f aca="false">xSPRDOPT(I97,H97,AQ97,0,O97,N97,P97,D97-$G$5,1,0)*AH97*AU97</f>
        <v>#VALUE!</v>
      </c>
      <c r="R97" s="501"/>
      <c r="S97" s="365" t="e">
        <f aca="false">xSPRDOPT(I97,H97,AQ97,AT97,O97,N97,P97,D97-$G$5,1,2)*AF97*(F97/(1-AR97))*AH97</f>
        <v>#VALUE!</v>
      </c>
      <c r="T97" s="365" t="e">
        <f aca="false">xSPRDOPT(I97,H97,AQ97,AT97,O97,N97,P97,D97-$G$5,1,1)*AF97*F97*AH97</f>
        <v>#VALUE!</v>
      </c>
      <c r="U97" s="501"/>
      <c r="V97" s="503" t="e">
        <f aca="false">VLOOKUP($AG97,$AL$4:$AS$15,8)*AH97*AU97</f>
        <v>#VALUE!</v>
      </c>
      <c r="W97" s="503"/>
      <c r="X97" s="504" t="e">
        <f aca="false">((BM97*BC97)+(BL97*BB97))*AH97*F97</f>
        <v>#VALUE!</v>
      </c>
      <c r="Y97" s="504" t="e">
        <f aca="false">($F97*$AH97)*((($BG97/2)*($BC97)^2)+(($BF97/2)*($BB97)^2)+($BH97*$BC97*$BB97))</f>
        <v>#VALUE!</v>
      </c>
      <c r="Z97" s="504" t="e">
        <f aca="false">($BI97*$F97*$AH97*($G$5-$BV$5))/365.25</f>
        <v>#VALUE!</v>
      </c>
      <c r="AA97" s="504" t="e">
        <f aca="false">(($BK97*$BE97)+($BJ97*$BD97))*$F97*$AH97*$AF97</f>
        <v>#VALUE!</v>
      </c>
      <c r="AB97" s="504" t="e">
        <f aca="false">BN97*(AT97-CA97)*F97*AH97</f>
        <v>#VALUE!</v>
      </c>
      <c r="AC97" s="504" t="e">
        <f aca="false">BO97*CB97*F97*AH97*CA97*($G$5-$BV$5)/365.25</f>
        <v>#NAME?</v>
      </c>
      <c r="AF97" s="378" t="e">
        <f aca="false">IF(AND(D97&gt;=$G$7,D97&lt;=$G$8),1,0)</f>
        <v>#VALUE!</v>
      </c>
      <c r="AG97" s="378" t="e">
        <f aca="false">MONTH(D97)</f>
        <v>#VALUE!</v>
      </c>
      <c r="AH97" s="378" t="e">
        <f aca="false">(EOMONTH(D97,0)-EOMONTH(D97-DAY(D97),0))*AF97</f>
        <v>#VALUE!</v>
      </c>
      <c r="AI97" s="378" t="e">
        <f aca="false">AI96+AH96</f>
        <v>#VALUE!</v>
      </c>
      <c r="AJ97" s="378" t="e">
        <f aca="false">D97-$BV$5</f>
        <v>#VALUE!</v>
      </c>
      <c r="AL97" s="369" t="e">
        <f aca="false">VLOOKUP($D97,CurveTbl,$AK$4)</f>
        <v>#VALUE!</v>
      </c>
      <c r="AM97" s="505" t="e">
        <f aca="false">VLOOKUP($D97,CurveTbl,$AH$3)</f>
        <v>#VALUE!</v>
      </c>
      <c r="AN97" s="505" t="e">
        <f aca="false">VLOOKUP($D97,CurveTbl,$AH$4)+VLOOKUP($AG97,$AL$3:$AS$15,6)</f>
        <v>#VALUE!</v>
      </c>
      <c r="AO97" s="505" t="e">
        <f aca="false">VLOOKUP($D97,CurveTbl,$AH$5)</f>
        <v>#VALUE!</v>
      </c>
      <c r="AP97" s="505" t="e">
        <f aca="false">VLOOKUP($D97,CurveTbl,$AH$6)+VLOOKUP($AG97,$AL$3:$AS$15,7)</f>
        <v>#VALUE!</v>
      </c>
      <c r="AQ97" s="369" t="e">
        <f aca="false">VLOOKUP($AG97,$AL$4:$AS$15,3)+VLOOKUP($AG97,$AL$4:$AS$15,5)+($AH$10*VLOOKUP(D97,GRITable,2))</f>
        <v>#VALUE!</v>
      </c>
      <c r="AR97" s="370" t="e">
        <f aca="false">VLOOKUP($AG97,$AL$4:$AS$15,4)</f>
        <v>#VALUE!</v>
      </c>
      <c r="AS97" s="369" t="e">
        <f aca="false">(AL97+AM97+AN97)</f>
        <v>#VALUE!</v>
      </c>
      <c r="AT97" s="370" t="e">
        <f aca="false">VLOOKUP(D97,CurveTbl,$AK$6)</f>
        <v>#VALUE!</v>
      </c>
      <c r="AU97" s="370" t="e">
        <f aca="false">(1+$AT97/2)^(-2*($D97-$G$5)/365.25)*$AF97</f>
        <v>#VALUE!</v>
      </c>
      <c r="AV97" s="506" t="e">
        <f aca="false">ROUND((F97/(1-AR97))-F97,0)*AF97*AH97*AU97</f>
        <v>#VALUE!</v>
      </c>
      <c r="AW97" s="370" t="e">
        <f aca="false">VLOOKUP($D97,CurveTbl,$AK$8)</f>
        <v>#VALUE!</v>
      </c>
      <c r="AX97" s="370" t="e">
        <f aca="false">VLOOKUP($D97,CurveTbl,$AH$7)</f>
        <v>#VALUE!</v>
      </c>
      <c r="AY97" s="370" t="e">
        <f aca="false">VLOOKUP($D97,CurveTbl,$AH$8)</f>
        <v>#VALUE!</v>
      </c>
      <c r="AZ97" s="370"/>
      <c r="BA97" s="507"/>
      <c r="BB97" s="505" t="e">
        <f aca="false">$H97-$BV97</f>
        <v>#VALUE!</v>
      </c>
      <c r="BC97" s="505" t="e">
        <f aca="false">I97-BW97</f>
        <v>#VALUE!</v>
      </c>
      <c r="BD97" s="370" t="e">
        <f aca="false">N97-BX97</f>
        <v>#VALUE!</v>
      </c>
      <c r="BE97" s="370" t="e">
        <f aca="false">O97-BY97</f>
        <v>#VALUE!</v>
      </c>
      <c r="BF97" s="370" t="e">
        <f aca="false">xSPRDOPT($BW97,$BV97,$CG97,0,$BY97,$BX97,$BZ97,$AJ97,1,4)*$CB97</f>
        <v>#NAME?</v>
      </c>
      <c r="BG97" s="370" t="e">
        <f aca="false">xSPRDOPT($BW97,$BV97,$CG97,0,$BY97,$BX97,$BZ97,$AJ97,1,3)*$CB97</f>
        <v>#NAME?</v>
      </c>
      <c r="BH97" s="370" t="e">
        <f aca="false">IF(OR(BF97&lt;&gt;0,BG97&lt;&gt;0),xSPRDOPT($BW97,$BV97,$CG97,0,$BY97,$BX97,$BZ97,$AJ97,1,12)*$CB97,0)</f>
        <v>#NAME?</v>
      </c>
      <c r="BI97" s="370" t="e">
        <f aca="false">xSPRDOPT($BW97,$BV97,$CG97,2*LN(1+CA97/2),$BY97,$BX97,$BZ97,$AJ97,1,9)</f>
        <v>#NAME?</v>
      </c>
      <c r="BJ97" s="370" t="e">
        <f aca="false">xSPRDOPT($BW97,$BV97,$CG97,0,$BY97,$BX97,$BZ97,$AJ97,1,6)*$CB97</f>
        <v>#NAME?</v>
      </c>
      <c r="BK97" s="370" t="e">
        <f aca="false">xSPRDOPT($BW97,$BV97,$CG97,0,$BY97,$BX97,$BZ97,$AJ97,1,5)*$CB97</f>
        <v>#NAME?</v>
      </c>
      <c r="BL97" s="370" t="e">
        <f aca="false">xSPRDOPT(BW97,BV97,CG97,0,BY97,BX97,BZ97,AJ97,1,2)*CB97</f>
        <v>#NAME?</v>
      </c>
      <c r="BM97" s="370" t="e">
        <f aca="false">xSPRDOPT(BW97,BV97,CG97,0,BY97,BX97,BZ97,AJ97,1,1)*CB97</f>
        <v>#NAME?</v>
      </c>
      <c r="BN97" s="370" t="e">
        <f aca="false">IF(AH97&lt;&gt;0,xSPRDOPT($BW97,$BV97,$CG97,2*LN(1+CA97/2),$BY97,$BX97,$BZ97,$AJ97,1,8)+(AJ97/365.25)*CH97/AH97,0)</f>
        <v>#VALUE!</v>
      </c>
      <c r="BO97" s="370" t="e">
        <f aca="false">xSPRDOPT($BW97,$BV97,$CG97,0,$BY97,$BX97,$BZ97,$AJ97,1,0)</f>
        <v>#NAME?</v>
      </c>
      <c r="BP97" s="370"/>
      <c r="BQ97" s="370"/>
      <c r="BR97" s="370"/>
      <c r="BS97" s="370"/>
      <c r="BV97" s="508" t="n">
        <v>3.46433990895296</v>
      </c>
      <c r="BW97" s="369" t="n">
        <v>3.5945</v>
      </c>
      <c r="BX97" s="370" t="n">
        <v>0.232097674382066</v>
      </c>
      <c r="BY97" s="370" t="n">
        <v>0.232097674382066</v>
      </c>
      <c r="BZ97" s="370" t="n">
        <v>0.999025720185233</v>
      </c>
      <c r="CA97" s="370" t="n">
        <v>0.0565617051963172</v>
      </c>
      <c r="CB97" s="370" t="n">
        <v>0.702319574274981</v>
      </c>
      <c r="CC97" s="505" t="n">
        <v>-0.09</v>
      </c>
      <c r="CD97" s="505" t="n">
        <v>0</v>
      </c>
      <c r="CE97" s="505" t="n">
        <v>0.04</v>
      </c>
      <c r="CF97" s="505" t="n">
        <v>0.04</v>
      </c>
      <c r="CG97" s="505" t="n">
        <v>0</v>
      </c>
      <c r="CH97" s="505" t="n">
        <v>3.0150579323625</v>
      </c>
      <c r="CI97" s="505" t="n">
        <v>3.5145</v>
      </c>
      <c r="CJ97" s="505"/>
      <c r="CK97" s="505"/>
      <c r="CL97" s="505"/>
      <c r="CM97" s="505"/>
    </row>
    <row r="98" customFormat="false" ht="12.75" hidden="false" customHeight="false" outlineLevel="0" collapsed="false">
      <c r="A98" s="500"/>
      <c r="B98" s="500"/>
      <c r="D98" s="361" t="e">
        <f aca="false">D97+AH97</f>
        <v>#VALUE!</v>
      </c>
      <c r="F98" s="362" t="e">
        <f aca="false">VLOOKUP(AG98,$AL$4:$AS$15,2)</f>
        <v>#VALUE!</v>
      </c>
      <c r="G98" s="362" t="e">
        <f aca="false">F98*$AU98</f>
        <v>#VALUE!</v>
      </c>
      <c r="H98" s="363" t="e">
        <f aca="false">(AL98+AM98+AN98)/(1-(AR98))</f>
        <v>#VALUE!</v>
      </c>
      <c r="I98" s="363" t="e">
        <f aca="false">(AL98+AO98+AP98)</f>
        <v>#VALUE!</v>
      </c>
      <c r="K98" s="363" t="e">
        <f aca="false">MAX(((I98-H98)-AQ98)*AU98*AH98,0)</f>
        <v>#VALUE!</v>
      </c>
      <c r="L98" s="501" t="e">
        <f aca="false">MAX(Q98-K98,0)</f>
        <v>#VALUE!</v>
      </c>
      <c r="N98" s="502" t="e">
        <f aca="false">SQRT(($AX98^2*($AH98/2)+$AW98^2*$AI98)/(($AH98/2)+$AI98))</f>
        <v>#VALUE!</v>
      </c>
      <c r="O98" s="502" t="e">
        <f aca="false">SQRT(($AY98^2*($AH98/2)+$AW98^2*$AI98)/(($AH98/2)+$AI98))</f>
        <v>#VALUE!</v>
      </c>
      <c r="P98" s="371" t="e">
        <f aca="false">(VLOOKUP(AI98,CorrelationTwo,2)*(AW98^2)*AI98+VLOOKUP(D98,CorrelationOne,$AK$9)*AX98*AY98*(AH98/2))/((AI98+(AH98/2))*O98*N98)*AF98</f>
        <v>#VALUE!</v>
      </c>
      <c r="Q98" s="501" t="e">
        <f aca="false">xSPRDOPT(I98,H98,AQ98,0,O98,N98,P98,D98-$G$5,1,0)*AH98*AU98</f>
        <v>#VALUE!</v>
      </c>
      <c r="R98" s="501"/>
      <c r="S98" s="365" t="e">
        <f aca="false">xSPRDOPT(I98,H98,AQ98,AT98,O98,N98,P98,D98-$G$5,1,2)*AF98*(F98/(1-AR98))*AH98</f>
        <v>#VALUE!</v>
      </c>
      <c r="T98" s="365" t="e">
        <f aca="false">xSPRDOPT(I98,H98,AQ98,AT98,O98,N98,P98,D98-$G$5,1,1)*AF98*F98*AH98</f>
        <v>#VALUE!</v>
      </c>
      <c r="U98" s="501"/>
      <c r="V98" s="503" t="e">
        <f aca="false">VLOOKUP($AG98,$AL$4:$AS$15,8)*AH98*AU98</f>
        <v>#VALUE!</v>
      </c>
      <c r="W98" s="503"/>
      <c r="X98" s="504" t="e">
        <f aca="false">((BM98*BC98)+(BL98*BB98))*AH98*F98</f>
        <v>#VALUE!</v>
      </c>
      <c r="Y98" s="504" t="e">
        <f aca="false">($F98*$AH98)*((($BG98/2)*($BC98)^2)+(($BF98/2)*($BB98)^2)+($BH98*$BC98*$BB98))</f>
        <v>#VALUE!</v>
      </c>
      <c r="Z98" s="504" t="e">
        <f aca="false">($BI98*$F98*$AH98*($G$5-$BV$5))/365.25</f>
        <v>#VALUE!</v>
      </c>
      <c r="AA98" s="504" t="e">
        <f aca="false">(($BK98*$BE98)+($BJ98*$BD98))*$F98*$AH98*$AF98</f>
        <v>#VALUE!</v>
      </c>
      <c r="AB98" s="504" t="e">
        <f aca="false">BN98*(AT98-CA98)*F98*AH98</f>
        <v>#VALUE!</v>
      </c>
      <c r="AC98" s="504" t="e">
        <f aca="false">BO98*CB98*F98*AH98*CA98*($G$5-$BV$5)/365.25</f>
        <v>#NAME?</v>
      </c>
      <c r="AF98" s="378" t="e">
        <f aca="false">IF(AND(D98&gt;=$G$7,D98&lt;=$G$8),1,0)</f>
        <v>#VALUE!</v>
      </c>
      <c r="AG98" s="378" t="e">
        <f aca="false">MONTH(D98)</f>
        <v>#VALUE!</v>
      </c>
      <c r="AH98" s="378" t="e">
        <f aca="false">(EOMONTH(D98,0)-EOMONTH(D98-DAY(D98),0))*AF98</f>
        <v>#VALUE!</v>
      </c>
      <c r="AI98" s="378" t="e">
        <f aca="false">AI97+AH97</f>
        <v>#VALUE!</v>
      </c>
      <c r="AJ98" s="378" t="e">
        <f aca="false">D98-$BV$5</f>
        <v>#VALUE!</v>
      </c>
      <c r="AL98" s="369" t="e">
        <f aca="false">VLOOKUP($D98,CurveTbl,$AK$4)</f>
        <v>#VALUE!</v>
      </c>
      <c r="AM98" s="505" t="e">
        <f aca="false">VLOOKUP($D98,CurveTbl,$AH$3)</f>
        <v>#VALUE!</v>
      </c>
      <c r="AN98" s="505" t="e">
        <f aca="false">VLOOKUP($D98,CurveTbl,$AH$4)+VLOOKUP($AG98,$AL$3:$AS$15,6)</f>
        <v>#VALUE!</v>
      </c>
      <c r="AO98" s="505" t="e">
        <f aca="false">VLOOKUP($D98,CurveTbl,$AH$5)</f>
        <v>#VALUE!</v>
      </c>
      <c r="AP98" s="505" t="e">
        <f aca="false">VLOOKUP($D98,CurveTbl,$AH$6)+VLOOKUP($AG98,$AL$3:$AS$15,7)</f>
        <v>#VALUE!</v>
      </c>
      <c r="AQ98" s="369" t="e">
        <f aca="false">VLOOKUP($AG98,$AL$4:$AS$15,3)+VLOOKUP($AG98,$AL$4:$AS$15,5)+($AH$10*VLOOKUP(D98,GRITable,2))</f>
        <v>#VALUE!</v>
      </c>
      <c r="AR98" s="370" t="e">
        <f aca="false">VLOOKUP($AG98,$AL$4:$AS$15,4)</f>
        <v>#VALUE!</v>
      </c>
      <c r="AS98" s="369" t="e">
        <f aca="false">(AL98+AM98+AN98)</f>
        <v>#VALUE!</v>
      </c>
      <c r="AT98" s="370" t="e">
        <f aca="false">VLOOKUP(D98,CurveTbl,$AK$6)</f>
        <v>#VALUE!</v>
      </c>
      <c r="AU98" s="370" t="e">
        <f aca="false">(1+$AT98/2)^(-2*($D98-$G$5)/365.25)*$AF98</f>
        <v>#VALUE!</v>
      </c>
      <c r="AV98" s="506" t="e">
        <f aca="false">ROUND((F98/(1-AR98))-F98,0)*AF98*AH98*AU98</f>
        <v>#VALUE!</v>
      </c>
      <c r="AW98" s="370" t="e">
        <f aca="false">VLOOKUP($D98,CurveTbl,$AK$8)</f>
        <v>#VALUE!</v>
      </c>
      <c r="AX98" s="370" t="e">
        <f aca="false">VLOOKUP($D98,CurveTbl,$AH$7)</f>
        <v>#VALUE!</v>
      </c>
      <c r="AY98" s="370" t="e">
        <f aca="false">VLOOKUP($D98,CurveTbl,$AH$8)</f>
        <v>#VALUE!</v>
      </c>
      <c r="AZ98" s="370"/>
      <c r="BA98" s="507"/>
      <c r="BB98" s="505" t="e">
        <f aca="false">$H98-$BV98</f>
        <v>#VALUE!</v>
      </c>
      <c r="BC98" s="505" t="e">
        <f aca="false">I98-BW98</f>
        <v>#VALUE!</v>
      </c>
      <c r="BD98" s="370" t="e">
        <f aca="false">N98-BX98</f>
        <v>#VALUE!</v>
      </c>
      <c r="BE98" s="370" t="e">
        <f aca="false">O98-BY98</f>
        <v>#VALUE!</v>
      </c>
      <c r="BF98" s="370" t="e">
        <f aca="false">xSPRDOPT($BW98,$BV98,$CG98,0,$BY98,$BX98,$BZ98,$AJ98,1,4)*$CB98</f>
        <v>#NAME?</v>
      </c>
      <c r="BG98" s="370" t="e">
        <f aca="false">xSPRDOPT($BW98,$BV98,$CG98,0,$BY98,$BX98,$BZ98,$AJ98,1,3)*$CB98</f>
        <v>#NAME?</v>
      </c>
      <c r="BH98" s="370" t="e">
        <f aca="false">IF(OR(BF98&lt;&gt;0,BG98&lt;&gt;0),xSPRDOPT($BW98,$BV98,$CG98,0,$BY98,$BX98,$BZ98,$AJ98,1,12)*$CB98,0)</f>
        <v>#NAME?</v>
      </c>
      <c r="BI98" s="370" t="e">
        <f aca="false">xSPRDOPT($BW98,$BV98,$CG98,2*LN(1+CA98/2),$BY98,$BX98,$BZ98,$AJ98,1,9)</f>
        <v>#NAME?</v>
      </c>
      <c r="BJ98" s="370" t="e">
        <f aca="false">xSPRDOPT($BW98,$BV98,$CG98,0,$BY98,$BX98,$BZ98,$AJ98,1,6)*$CB98</f>
        <v>#NAME?</v>
      </c>
      <c r="BK98" s="370" t="e">
        <f aca="false">xSPRDOPT($BW98,$BV98,$CG98,0,$BY98,$BX98,$BZ98,$AJ98,1,5)*$CB98</f>
        <v>#NAME?</v>
      </c>
      <c r="BL98" s="370" t="e">
        <f aca="false">xSPRDOPT(BW98,BV98,CG98,0,BY98,BX98,BZ98,AJ98,1,2)*CB98</f>
        <v>#NAME?</v>
      </c>
      <c r="BM98" s="370" t="e">
        <f aca="false">xSPRDOPT(BW98,BV98,CG98,0,BY98,BX98,BZ98,AJ98,1,1)*CB98</f>
        <v>#NAME?</v>
      </c>
      <c r="BN98" s="370" t="e">
        <f aca="false">IF(AH98&lt;&gt;0,xSPRDOPT($BW98,$BV98,$CG98,2*LN(1+CA98/2),$BY98,$BX98,$BZ98,$AJ98,1,8)+(AJ98/365.25)*CH98/AH98,0)</f>
        <v>#VALUE!</v>
      </c>
      <c r="BO98" s="370" t="e">
        <f aca="false">xSPRDOPT($BW98,$BV98,$CG98,0,$BY98,$BX98,$BZ98,$AJ98,1,0)</f>
        <v>#NAME?</v>
      </c>
      <c r="BP98" s="370"/>
      <c r="BQ98" s="370"/>
      <c r="BR98" s="370"/>
      <c r="BS98" s="370"/>
      <c r="BV98" s="508" t="n">
        <v>3.45928174001012</v>
      </c>
      <c r="BW98" s="369" t="n">
        <v>3.5895</v>
      </c>
      <c r="BX98" s="370" t="n">
        <v>0.23213921792683</v>
      </c>
      <c r="BY98" s="370" t="n">
        <v>0.232814336876247</v>
      </c>
      <c r="BZ98" s="370" t="n">
        <v>0.998750896932456</v>
      </c>
      <c r="CA98" s="370" t="n">
        <v>0.0567397854004592</v>
      </c>
      <c r="CB98" s="370" t="n">
        <v>0.698332908048983</v>
      </c>
      <c r="CC98" s="505" t="n">
        <v>-0.09</v>
      </c>
      <c r="CD98" s="505" t="n">
        <v>0</v>
      </c>
      <c r="CE98" s="505" t="n">
        <v>0.04</v>
      </c>
      <c r="CF98" s="505" t="n">
        <v>0.04</v>
      </c>
      <c r="CG98" s="505" t="n">
        <v>0</v>
      </c>
      <c r="CH98" s="505" t="n">
        <v>3.09787461339609</v>
      </c>
      <c r="CI98" s="505" t="n">
        <v>3.5095</v>
      </c>
      <c r="CJ98" s="505"/>
      <c r="CK98" s="505"/>
      <c r="CL98" s="505"/>
      <c r="CM98" s="505"/>
    </row>
    <row r="99" customFormat="false" ht="12.75" hidden="false" customHeight="false" outlineLevel="0" collapsed="false">
      <c r="A99" s="500"/>
      <c r="B99" s="500"/>
      <c r="D99" s="361" t="e">
        <f aca="false">D98+AH98</f>
        <v>#VALUE!</v>
      </c>
      <c r="F99" s="362" t="e">
        <f aca="false">VLOOKUP(AG99,$AL$4:$AS$15,2)</f>
        <v>#VALUE!</v>
      </c>
      <c r="G99" s="362" t="e">
        <f aca="false">F99*$AU99</f>
        <v>#VALUE!</v>
      </c>
      <c r="H99" s="363" t="e">
        <f aca="false">(AL99+AM99+AN99)/(1-(AR99))</f>
        <v>#VALUE!</v>
      </c>
      <c r="I99" s="363" t="e">
        <f aca="false">(AL99+AO99+AP99)</f>
        <v>#VALUE!</v>
      </c>
      <c r="K99" s="363" t="e">
        <f aca="false">MAX(((I99-H99)-AQ99)*AU99*AH99,0)</f>
        <v>#VALUE!</v>
      </c>
      <c r="L99" s="501" t="e">
        <f aca="false">MAX(Q99-K99,0)</f>
        <v>#VALUE!</v>
      </c>
      <c r="N99" s="502" t="e">
        <f aca="false">SQRT(($AX99^2*($AH99/2)+$AW99^2*$AI99)/(($AH99/2)+$AI99))</f>
        <v>#VALUE!</v>
      </c>
      <c r="O99" s="502" t="e">
        <f aca="false">SQRT(($AY99^2*($AH99/2)+$AW99^2*$AI99)/(($AH99/2)+$AI99))</f>
        <v>#VALUE!</v>
      </c>
      <c r="P99" s="371" t="e">
        <f aca="false">(VLOOKUP(AI99,CorrelationTwo,2)*(AW99^2)*AI99+VLOOKUP(D99,CorrelationOne,$AK$9)*AX99*AY99*(AH99/2))/((AI99+(AH99/2))*O99*N99)*AF99</f>
        <v>#VALUE!</v>
      </c>
      <c r="Q99" s="501" t="e">
        <f aca="false">xSPRDOPT(I99,H99,AQ99,0,O99,N99,P99,D99-$G$5,1,0)*AH99*AU99</f>
        <v>#VALUE!</v>
      </c>
      <c r="R99" s="501"/>
      <c r="S99" s="365" t="e">
        <f aca="false">xSPRDOPT(I99,H99,AQ99,AT99,O99,N99,P99,D99-$G$5,1,2)*AF99*(F99/(1-AR99))*AH99</f>
        <v>#VALUE!</v>
      </c>
      <c r="T99" s="365" t="e">
        <f aca="false">xSPRDOPT(I99,H99,AQ99,AT99,O99,N99,P99,D99-$G$5,1,1)*AF99*F99*AH99</f>
        <v>#VALUE!</v>
      </c>
      <c r="U99" s="501"/>
      <c r="V99" s="503" t="e">
        <f aca="false">VLOOKUP($AG99,$AL$4:$AS$15,8)*AH99*AU99</f>
        <v>#VALUE!</v>
      </c>
      <c r="W99" s="503"/>
      <c r="X99" s="504" t="e">
        <f aca="false">((BM99*BC99)+(BL99*BB99))*AH99*F99</f>
        <v>#VALUE!</v>
      </c>
      <c r="Y99" s="504" t="e">
        <f aca="false">($F99*$AH99)*((($BG99/2)*($BC99)^2)+(($BF99/2)*($BB99)^2)+($BH99*$BC99*$BB99))</f>
        <v>#VALUE!</v>
      </c>
      <c r="Z99" s="504" t="e">
        <f aca="false">($BI99*$F99*$AH99*($G$5-$BV$5))/365.25</f>
        <v>#VALUE!</v>
      </c>
      <c r="AA99" s="504" t="e">
        <f aca="false">(($BK99*$BE99)+($BJ99*$BD99))*$F99*$AH99*$AF99</f>
        <v>#VALUE!</v>
      </c>
      <c r="AB99" s="504" t="e">
        <f aca="false">BN99*(AT99-CA99)*F99*AH99</f>
        <v>#VALUE!</v>
      </c>
      <c r="AC99" s="504" t="e">
        <f aca="false">BO99*CB99*F99*AH99*CA99*($G$5-$BV$5)/365.25</f>
        <v>#NAME?</v>
      </c>
      <c r="AF99" s="378" t="e">
        <f aca="false">IF(AND(D99&gt;=$G$7,D99&lt;=$G$8),1,0)</f>
        <v>#VALUE!</v>
      </c>
      <c r="AG99" s="378" t="e">
        <f aca="false">MONTH(D99)</f>
        <v>#VALUE!</v>
      </c>
      <c r="AH99" s="378" t="e">
        <f aca="false">(EOMONTH(D99,0)-EOMONTH(D99-DAY(D99),0))*AF99</f>
        <v>#VALUE!</v>
      </c>
      <c r="AI99" s="378" t="e">
        <f aca="false">AI98+AH98</f>
        <v>#VALUE!</v>
      </c>
      <c r="AJ99" s="378" t="e">
        <f aca="false">D99-$BV$5</f>
        <v>#VALUE!</v>
      </c>
      <c r="AL99" s="369" t="e">
        <f aca="false">VLOOKUP($D99,CurveTbl,$AK$4)</f>
        <v>#VALUE!</v>
      </c>
      <c r="AM99" s="505" t="e">
        <f aca="false">VLOOKUP($D99,CurveTbl,$AH$3)</f>
        <v>#VALUE!</v>
      </c>
      <c r="AN99" s="505" t="e">
        <f aca="false">VLOOKUP($D99,CurveTbl,$AH$4)+VLOOKUP($AG99,$AL$3:$AS$15,6)</f>
        <v>#VALUE!</v>
      </c>
      <c r="AO99" s="505" t="e">
        <f aca="false">VLOOKUP($D99,CurveTbl,$AH$5)</f>
        <v>#VALUE!</v>
      </c>
      <c r="AP99" s="505" t="e">
        <f aca="false">VLOOKUP($D99,CurveTbl,$AH$6)+VLOOKUP($AG99,$AL$3:$AS$15,7)</f>
        <v>#VALUE!</v>
      </c>
      <c r="AQ99" s="369" t="e">
        <f aca="false">VLOOKUP($AG99,$AL$4:$AS$15,3)+VLOOKUP($AG99,$AL$4:$AS$15,5)+($AH$10*VLOOKUP(D99,GRITable,2))</f>
        <v>#VALUE!</v>
      </c>
      <c r="AR99" s="370" t="e">
        <f aca="false">VLOOKUP($AG99,$AL$4:$AS$15,4)</f>
        <v>#VALUE!</v>
      </c>
      <c r="AS99" s="369" t="e">
        <f aca="false">(AL99+AM99+AN99)</f>
        <v>#VALUE!</v>
      </c>
      <c r="AT99" s="370" t="e">
        <f aca="false">VLOOKUP(D99,CurveTbl,$AK$6)</f>
        <v>#VALUE!</v>
      </c>
      <c r="AU99" s="370" t="e">
        <f aca="false">(1+$AT99/2)^(-2*($D99-$G$5)/365.25)*$AF99</f>
        <v>#VALUE!</v>
      </c>
      <c r="AV99" s="506" t="e">
        <f aca="false">ROUND((F99/(1-AR99))-F99,0)*AF99*AH99*AU99</f>
        <v>#VALUE!</v>
      </c>
      <c r="AW99" s="370" t="e">
        <f aca="false">VLOOKUP($D99,CurveTbl,$AK$8)</f>
        <v>#VALUE!</v>
      </c>
      <c r="AX99" s="370" t="e">
        <f aca="false">VLOOKUP($D99,CurveTbl,$AH$7)</f>
        <v>#VALUE!</v>
      </c>
      <c r="AY99" s="370" t="e">
        <f aca="false">VLOOKUP($D99,CurveTbl,$AH$8)</f>
        <v>#VALUE!</v>
      </c>
      <c r="AZ99" s="370"/>
      <c r="BA99" s="507"/>
      <c r="BB99" s="505" t="e">
        <f aca="false">$H99-$BV99</f>
        <v>#VALUE!</v>
      </c>
      <c r="BC99" s="505" t="e">
        <f aca="false">I99-BW99</f>
        <v>#VALUE!</v>
      </c>
      <c r="BD99" s="370" t="e">
        <f aca="false">N99-BX99</f>
        <v>#VALUE!</v>
      </c>
      <c r="BE99" s="370" t="e">
        <f aca="false">O99-BY99</f>
        <v>#VALUE!</v>
      </c>
      <c r="BF99" s="370" t="e">
        <f aca="false">xSPRDOPT($BW99,$BV99,$CG99,0,$BY99,$BX99,$BZ99,$AJ99,1,4)*$CB99</f>
        <v>#NAME?</v>
      </c>
      <c r="BG99" s="370" t="e">
        <f aca="false">xSPRDOPT($BW99,$BV99,$CG99,0,$BY99,$BX99,$BZ99,$AJ99,1,3)*$CB99</f>
        <v>#NAME?</v>
      </c>
      <c r="BH99" s="370" t="e">
        <f aca="false">IF(OR(BF99&lt;&gt;0,BG99&lt;&gt;0),xSPRDOPT($BW99,$BV99,$CG99,0,$BY99,$BX99,$BZ99,$AJ99,1,12)*$CB99,0)</f>
        <v>#NAME?</v>
      </c>
      <c r="BI99" s="370" t="e">
        <f aca="false">xSPRDOPT($BW99,$BV99,$CG99,2*LN(1+CA99/2),$BY99,$BX99,$BZ99,$AJ99,1,9)</f>
        <v>#NAME?</v>
      </c>
      <c r="BJ99" s="370" t="e">
        <f aca="false">xSPRDOPT($BW99,$BV99,$CG99,0,$BY99,$BX99,$BZ99,$AJ99,1,6)*$CB99</f>
        <v>#NAME?</v>
      </c>
      <c r="BK99" s="370" t="e">
        <f aca="false">xSPRDOPT($BW99,$BV99,$CG99,0,$BY99,$BX99,$BZ99,$AJ99,1,5)*$CB99</f>
        <v>#NAME?</v>
      </c>
      <c r="BL99" s="370" t="e">
        <f aca="false">xSPRDOPT(BW99,BV99,CG99,0,BY99,BX99,BZ99,AJ99,1,2)*CB99</f>
        <v>#NAME?</v>
      </c>
      <c r="BM99" s="370" t="e">
        <f aca="false">xSPRDOPT(BW99,BV99,CG99,0,BY99,BX99,BZ99,AJ99,1,1)*CB99</f>
        <v>#NAME?</v>
      </c>
      <c r="BN99" s="370" t="e">
        <f aca="false">IF(AH99&lt;&gt;0,xSPRDOPT($BW99,$BV99,$CG99,2*LN(1+CA99/2),$BY99,$BX99,$BZ99,$AJ99,1,8)+(AJ99/365.25)*CH99/AH99,0)</f>
        <v>#VALUE!</v>
      </c>
      <c r="BO99" s="370" t="e">
        <f aca="false">xSPRDOPT($BW99,$BV99,$CG99,0,$BY99,$BX99,$BZ99,$AJ99,1,0)</f>
        <v>#NAME?</v>
      </c>
      <c r="BP99" s="370"/>
      <c r="BQ99" s="370"/>
      <c r="BR99" s="370"/>
      <c r="BS99" s="370"/>
      <c r="BV99" s="508" t="n">
        <v>3.49468892261002</v>
      </c>
      <c r="BW99" s="369" t="n">
        <v>3.6245</v>
      </c>
      <c r="BX99" s="370" t="n">
        <v>0.232044057119428</v>
      </c>
      <c r="BY99" s="370" t="n">
        <v>0.232689316862245</v>
      </c>
      <c r="BZ99" s="370" t="n">
        <v>0.998805400432139</v>
      </c>
      <c r="CA99" s="370" t="n">
        <v>0.056923801622494</v>
      </c>
      <c r="CB99" s="370" t="n">
        <v>0.694216449063231</v>
      </c>
      <c r="CC99" s="505" t="n">
        <v>-0.09</v>
      </c>
      <c r="CD99" s="505" t="n">
        <v>0</v>
      </c>
      <c r="CE99" s="505" t="n">
        <v>0.04</v>
      </c>
      <c r="CF99" s="505" t="n">
        <v>0.04</v>
      </c>
      <c r="CG99" s="505" t="n">
        <v>0</v>
      </c>
      <c r="CH99" s="505" t="n">
        <v>2.98027121582845</v>
      </c>
      <c r="CI99" s="505" t="n">
        <v>3.5445</v>
      </c>
      <c r="CJ99" s="505"/>
      <c r="CK99" s="505"/>
      <c r="CL99" s="505"/>
      <c r="CM99" s="505"/>
    </row>
    <row r="100" customFormat="false" ht="12.75" hidden="false" customHeight="false" outlineLevel="0" collapsed="false">
      <c r="A100" s="500"/>
      <c r="B100" s="500"/>
      <c r="D100" s="361" t="e">
        <f aca="false">D99+AH99</f>
        <v>#VALUE!</v>
      </c>
      <c r="F100" s="362" t="e">
        <f aca="false">VLOOKUP(AG100,$AL$4:$AS$15,2)</f>
        <v>#VALUE!</v>
      </c>
      <c r="G100" s="362" t="e">
        <f aca="false">F100*$AU100</f>
        <v>#VALUE!</v>
      </c>
      <c r="H100" s="363" t="e">
        <f aca="false">(AL100+AM100+AN100)/(1-(AR100))</f>
        <v>#VALUE!</v>
      </c>
      <c r="I100" s="363" t="e">
        <f aca="false">(AL100+AO100+AP100)</f>
        <v>#VALUE!</v>
      </c>
      <c r="K100" s="363" t="e">
        <f aca="false">MAX(((I100-H100)-AQ100)*AU100*AH100,0)</f>
        <v>#VALUE!</v>
      </c>
      <c r="L100" s="501" t="e">
        <f aca="false">MAX(Q100-K100,0)</f>
        <v>#VALUE!</v>
      </c>
      <c r="N100" s="502" t="e">
        <f aca="false">SQRT(($AX100^2*($AH100/2)+$AW100^2*$AI100)/(($AH100/2)+$AI100))</f>
        <v>#VALUE!</v>
      </c>
      <c r="O100" s="502" t="e">
        <f aca="false">SQRT(($AY100^2*($AH100/2)+$AW100^2*$AI100)/(($AH100/2)+$AI100))</f>
        <v>#VALUE!</v>
      </c>
      <c r="P100" s="371" t="e">
        <f aca="false">(VLOOKUP(AI100,CorrelationTwo,2)*(AW100^2)*AI100+VLOOKUP(D100,CorrelationOne,$AK$9)*AX100*AY100*(AH100/2))/((AI100+(AH100/2))*O100*N100)*AF100</f>
        <v>#VALUE!</v>
      </c>
      <c r="Q100" s="501" t="e">
        <f aca="false">xSPRDOPT(I100,H100,AQ100,0,O100,N100,P100,D100-$G$5,1,0)*AH100*AU100</f>
        <v>#VALUE!</v>
      </c>
      <c r="R100" s="501"/>
      <c r="S100" s="365" t="e">
        <f aca="false">xSPRDOPT(I100,H100,AQ100,AT100,O100,N100,P100,D100-$G$5,1,2)*AF100*(F100/(1-AR100))*AH100</f>
        <v>#VALUE!</v>
      </c>
      <c r="T100" s="365" t="e">
        <f aca="false">xSPRDOPT(I100,H100,AQ100,AT100,O100,N100,P100,D100-$G$5,1,1)*AF100*F100*AH100</f>
        <v>#VALUE!</v>
      </c>
      <c r="U100" s="501"/>
      <c r="V100" s="503" t="e">
        <f aca="false">VLOOKUP($AG100,$AL$4:$AS$15,8)*AH100*AU100</f>
        <v>#VALUE!</v>
      </c>
      <c r="W100" s="503"/>
      <c r="X100" s="504" t="e">
        <f aca="false">((BM100*BC100)+(BL100*BB100))*AH100*F100</f>
        <v>#VALUE!</v>
      </c>
      <c r="Y100" s="504" t="e">
        <f aca="false">($F100*$AH100)*((($BG100/2)*($BC100)^2)+(($BF100/2)*($BB100)^2)+($BH100*$BC100*$BB100))</f>
        <v>#VALUE!</v>
      </c>
      <c r="Z100" s="504" t="e">
        <f aca="false">($BI100*$F100*$AH100*($G$5-$BV$5))/365.25</f>
        <v>#VALUE!</v>
      </c>
      <c r="AA100" s="504" t="e">
        <f aca="false">(($BK100*$BE100)+($BJ100*$BD100))*$F100*$AH100*$AF100</f>
        <v>#VALUE!</v>
      </c>
      <c r="AB100" s="504" t="e">
        <f aca="false">BN100*(AT100-CA100)*F100*AH100</f>
        <v>#VALUE!</v>
      </c>
      <c r="AC100" s="504" t="e">
        <f aca="false">BO100*CB100*F100*AH100*CA100*($G$5-$BV$5)/365.25</f>
        <v>#NAME?</v>
      </c>
      <c r="AF100" s="378" t="e">
        <f aca="false">IF(AND(D100&gt;=$G$7,D100&lt;=$G$8),1,0)</f>
        <v>#VALUE!</v>
      </c>
      <c r="AG100" s="378" t="e">
        <f aca="false">MONTH(D100)</f>
        <v>#VALUE!</v>
      </c>
      <c r="AH100" s="378" t="e">
        <f aca="false">(EOMONTH(D100,0)-EOMONTH(D100-DAY(D100),0))*AF100</f>
        <v>#VALUE!</v>
      </c>
      <c r="AI100" s="378" t="e">
        <f aca="false">AI99+AH99</f>
        <v>#VALUE!</v>
      </c>
      <c r="AJ100" s="378" t="e">
        <f aca="false">D100-$BV$5</f>
        <v>#VALUE!</v>
      </c>
      <c r="AL100" s="369" t="e">
        <f aca="false">VLOOKUP($D100,CurveTbl,$AK$4)</f>
        <v>#VALUE!</v>
      </c>
      <c r="AM100" s="505" t="e">
        <f aca="false">VLOOKUP($D100,CurveTbl,$AH$3)</f>
        <v>#VALUE!</v>
      </c>
      <c r="AN100" s="505" t="e">
        <f aca="false">VLOOKUP($D100,CurveTbl,$AH$4)+VLOOKUP($AG100,$AL$3:$AS$15,6)</f>
        <v>#VALUE!</v>
      </c>
      <c r="AO100" s="505" t="e">
        <f aca="false">VLOOKUP($D100,CurveTbl,$AH$5)</f>
        <v>#VALUE!</v>
      </c>
      <c r="AP100" s="505" t="e">
        <f aca="false">VLOOKUP($D100,CurveTbl,$AH$6)+VLOOKUP($AG100,$AL$3:$AS$15,7)</f>
        <v>#VALUE!</v>
      </c>
      <c r="AQ100" s="369" t="e">
        <f aca="false">VLOOKUP($AG100,$AL$4:$AS$15,3)+VLOOKUP($AG100,$AL$4:$AS$15,5)+($AH$10*VLOOKUP(D100,GRITable,2))</f>
        <v>#VALUE!</v>
      </c>
      <c r="AR100" s="370" t="e">
        <f aca="false">VLOOKUP($AG100,$AL$4:$AS$15,4)</f>
        <v>#VALUE!</v>
      </c>
      <c r="AS100" s="369" t="e">
        <f aca="false">(AL100+AM100+AN100)</f>
        <v>#VALUE!</v>
      </c>
      <c r="AT100" s="370" t="e">
        <f aca="false">VLOOKUP(D100,CurveTbl,$AK$6)</f>
        <v>#VALUE!</v>
      </c>
      <c r="AU100" s="370" t="e">
        <f aca="false">(1+$AT100/2)^(-2*($D100-$G$5)/365.25)*$AF100</f>
        <v>#VALUE!</v>
      </c>
      <c r="AV100" s="506" t="e">
        <f aca="false">ROUND((F100/(1-AR100))-F100,0)*AF100*AH100*AU100</f>
        <v>#VALUE!</v>
      </c>
      <c r="AW100" s="370" t="e">
        <f aca="false">VLOOKUP($D100,CurveTbl,$AK$8)</f>
        <v>#VALUE!</v>
      </c>
      <c r="AX100" s="370" t="e">
        <f aca="false">VLOOKUP($D100,CurveTbl,$AH$7)</f>
        <v>#VALUE!</v>
      </c>
      <c r="AY100" s="370" t="e">
        <f aca="false">VLOOKUP($D100,CurveTbl,$AH$8)</f>
        <v>#VALUE!</v>
      </c>
      <c r="AZ100" s="370"/>
      <c r="BA100" s="507"/>
      <c r="BB100" s="505" t="e">
        <f aca="false">$H100-$BV100</f>
        <v>#VALUE!</v>
      </c>
      <c r="BC100" s="505" t="e">
        <f aca="false">I100-BW100</f>
        <v>#VALUE!</v>
      </c>
      <c r="BD100" s="370" t="e">
        <f aca="false">N100-BX100</f>
        <v>#VALUE!</v>
      </c>
      <c r="BE100" s="370" t="e">
        <f aca="false">O100-BY100</f>
        <v>#VALUE!</v>
      </c>
      <c r="BF100" s="370" t="e">
        <f aca="false">xSPRDOPT($BW100,$BV100,$CG100,0,$BY100,$BX100,$BZ100,$AJ100,1,4)*$CB100</f>
        <v>#NAME?</v>
      </c>
      <c r="BG100" s="370" t="e">
        <f aca="false">xSPRDOPT($BW100,$BV100,$CG100,0,$BY100,$BX100,$BZ100,$AJ100,1,3)*$CB100</f>
        <v>#NAME?</v>
      </c>
      <c r="BH100" s="370" t="e">
        <f aca="false">IF(OR(BF100&lt;&gt;0,BG100&lt;&gt;0),xSPRDOPT($BW100,$BV100,$CG100,0,$BY100,$BX100,$BZ100,$AJ100,1,12)*$CB100,0)</f>
        <v>#NAME?</v>
      </c>
      <c r="BI100" s="370" t="e">
        <f aca="false">xSPRDOPT($BW100,$BV100,$CG100,2*LN(1+CA100/2),$BY100,$BX100,$BZ100,$AJ100,1,9)</f>
        <v>#NAME?</v>
      </c>
      <c r="BJ100" s="370" t="e">
        <f aca="false">xSPRDOPT($BW100,$BV100,$CG100,0,$BY100,$BX100,$BZ100,$AJ100,1,6)*$CB100</f>
        <v>#NAME?</v>
      </c>
      <c r="BK100" s="370" t="e">
        <f aca="false">xSPRDOPT($BW100,$BV100,$CG100,0,$BY100,$BX100,$BZ100,$AJ100,1,5)*$CB100</f>
        <v>#NAME?</v>
      </c>
      <c r="BL100" s="370" t="e">
        <f aca="false">xSPRDOPT(BW100,BV100,CG100,0,BY100,BX100,BZ100,AJ100,1,2)*CB100</f>
        <v>#NAME?</v>
      </c>
      <c r="BM100" s="370" t="e">
        <f aca="false">xSPRDOPT(BW100,BV100,CG100,0,BY100,BX100,BZ100,AJ100,1,1)*CB100</f>
        <v>#NAME?</v>
      </c>
      <c r="BN100" s="370" t="e">
        <f aca="false">IF(AH100&lt;&gt;0,xSPRDOPT($BW100,$BV100,$CG100,2*LN(1+CA100/2),$BY100,$BX100,$BZ100,$AJ100,1,8)+(AJ100/365.25)*CH100/AH100,0)</f>
        <v>#VALUE!</v>
      </c>
      <c r="BO100" s="370" t="e">
        <f aca="false">xSPRDOPT($BW100,$BV100,$CG100,0,$BY100,$BX100,$BZ100,$AJ100,1,0)</f>
        <v>#NAME?</v>
      </c>
      <c r="BP100" s="370"/>
      <c r="BQ100" s="370"/>
      <c r="BR100" s="370"/>
      <c r="BS100" s="370"/>
      <c r="BV100" s="508" t="n">
        <v>3.53515427415276</v>
      </c>
      <c r="BW100" s="369" t="n">
        <v>3.6645</v>
      </c>
      <c r="BX100" s="370" t="n">
        <v>0.232743419397419</v>
      </c>
      <c r="BY100" s="370" t="n">
        <v>0.23346872586893</v>
      </c>
      <c r="BZ100" s="370" t="n">
        <v>0.998552809992046</v>
      </c>
      <c r="CA100" s="370" t="n">
        <v>0.0571018818480948</v>
      </c>
      <c r="CB100" s="370" t="n">
        <v>0.690235992159944</v>
      </c>
      <c r="CC100" s="505" t="n">
        <v>-0.09</v>
      </c>
      <c r="CD100" s="505" t="n">
        <v>0</v>
      </c>
      <c r="CE100" s="505" t="n">
        <v>0.04</v>
      </c>
      <c r="CF100" s="505" t="n">
        <v>0.04</v>
      </c>
      <c r="CG100" s="505" t="n">
        <v>0</v>
      </c>
      <c r="CH100" s="505" t="n">
        <v>3.06195588482073</v>
      </c>
      <c r="CI100" s="505" t="n">
        <v>3.5845</v>
      </c>
      <c r="CJ100" s="505"/>
      <c r="CK100" s="505"/>
      <c r="CL100" s="505"/>
      <c r="CM100" s="505"/>
    </row>
    <row r="101" customFormat="false" ht="12.75" hidden="false" customHeight="false" outlineLevel="0" collapsed="false">
      <c r="A101" s="500"/>
      <c r="B101" s="500"/>
      <c r="D101" s="361" t="e">
        <f aca="false">D100+AH100</f>
        <v>#VALUE!</v>
      </c>
      <c r="F101" s="362" t="e">
        <f aca="false">VLOOKUP(AG101,$AL$4:$AS$15,2)</f>
        <v>#VALUE!</v>
      </c>
      <c r="G101" s="362" t="e">
        <f aca="false">F101*$AU101</f>
        <v>#VALUE!</v>
      </c>
      <c r="H101" s="363" t="e">
        <f aca="false">(AL101+AM101+AN101)/(1-(AR101))</f>
        <v>#VALUE!</v>
      </c>
      <c r="I101" s="363" t="e">
        <f aca="false">(AL101+AO101+AP101)</f>
        <v>#VALUE!</v>
      </c>
      <c r="K101" s="363" t="e">
        <f aca="false">MAX(((I101-H101)-AQ101)*AU101*AH101,0)</f>
        <v>#VALUE!</v>
      </c>
      <c r="L101" s="501" t="e">
        <f aca="false">MAX(Q101-K101,0)</f>
        <v>#VALUE!</v>
      </c>
      <c r="N101" s="502" t="e">
        <f aca="false">SQRT(($AX101^2*($AH101/2)+$AW101^2*$AI101)/(($AH101/2)+$AI101))</f>
        <v>#VALUE!</v>
      </c>
      <c r="O101" s="502" t="e">
        <f aca="false">SQRT(($AY101^2*($AH101/2)+$AW101^2*$AI101)/(($AH101/2)+$AI101))</f>
        <v>#VALUE!</v>
      </c>
      <c r="P101" s="371" t="e">
        <f aca="false">(VLOOKUP(AI101,CorrelationTwo,2)*(AW101^2)*AI101+VLOOKUP(D101,CorrelationOne,$AK$9)*AX101*AY101*(AH101/2))/((AI101+(AH101/2))*O101*N101)*AF101</f>
        <v>#VALUE!</v>
      </c>
      <c r="Q101" s="501" t="e">
        <f aca="false">xSPRDOPT(I101,H101,AQ101,0,O101,N101,P101,D101-$G$5,1,0)*AH101*AU101</f>
        <v>#VALUE!</v>
      </c>
      <c r="R101" s="501"/>
      <c r="S101" s="365" t="e">
        <f aca="false">xSPRDOPT(I101,H101,AQ101,AT101,O101,N101,P101,D101-$G$5,1,2)*AF101*(F101/(1-AR101))*AH101</f>
        <v>#VALUE!</v>
      </c>
      <c r="T101" s="365" t="e">
        <f aca="false">xSPRDOPT(I101,H101,AQ101,AT101,O101,N101,P101,D101-$G$5,1,1)*AF101*F101*AH101</f>
        <v>#VALUE!</v>
      </c>
      <c r="U101" s="501"/>
      <c r="V101" s="503" t="e">
        <f aca="false">VLOOKUP($AG101,$AL$4:$AS$15,8)*AH101*AU101</f>
        <v>#VALUE!</v>
      </c>
      <c r="W101" s="503"/>
      <c r="X101" s="504" t="e">
        <f aca="false">((BM101*BC101)+(BL101*BB101))*AH101*F101</f>
        <v>#VALUE!</v>
      </c>
      <c r="Y101" s="504" t="e">
        <f aca="false">($F101*$AH101)*((($BG101/2)*($BC101)^2)+(($BF101/2)*($BB101)^2)+($BH101*$BC101*$BB101))</f>
        <v>#VALUE!</v>
      </c>
      <c r="Z101" s="504" t="e">
        <f aca="false">($BI101*$F101*$AH101*($G$5-$BV$5))/365.25</f>
        <v>#VALUE!</v>
      </c>
      <c r="AA101" s="504" t="e">
        <f aca="false">(($BK101*$BE101)+($BJ101*$BD101))*$F101*$AH101*$AF101</f>
        <v>#VALUE!</v>
      </c>
      <c r="AB101" s="504" t="e">
        <f aca="false">BN101*(AT101-CA101)*F101*AH101</f>
        <v>#VALUE!</v>
      </c>
      <c r="AC101" s="504" t="e">
        <f aca="false">BO101*CB101*F101*AH101*CA101*($G$5-$BV$5)/365.25</f>
        <v>#NAME?</v>
      </c>
      <c r="AF101" s="378" t="e">
        <f aca="false">IF(AND(D101&gt;=$G$7,D101&lt;=$G$8),1,0)</f>
        <v>#VALUE!</v>
      </c>
      <c r="AG101" s="378" t="e">
        <f aca="false">MONTH(D101)</f>
        <v>#VALUE!</v>
      </c>
      <c r="AH101" s="378" t="e">
        <f aca="false">(EOMONTH(D101,0)-EOMONTH(D101-DAY(D101),0))*AF101</f>
        <v>#VALUE!</v>
      </c>
      <c r="AI101" s="378" t="e">
        <f aca="false">AI100+AH100</f>
        <v>#VALUE!</v>
      </c>
      <c r="AJ101" s="378" t="e">
        <f aca="false">D101-$BV$5</f>
        <v>#VALUE!</v>
      </c>
      <c r="AL101" s="369" t="e">
        <f aca="false">VLOOKUP($D101,CurveTbl,$AK$4)</f>
        <v>#VALUE!</v>
      </c>
      <c r="AM101" s="505" t="e">
        <f aca="false">VLOOKUP($D101,CurveTbl,$AH$3)</f>
        <v>#VALUE!</v>
      </c>
      <c r="AN101" s="505" t="e">
        <f aca="false">VLOOKUP($D101,CurveTbl,$AH$4)+VLOOKUP($AG101,$AL$3:$AS$15,6)</f>
        <v>#VALUE!</v>
      </c>
      <c r="AO101" s="505" t="e">
        <f aca="false">VLOOKUP($D101,CurveTbl,$AH$5)</f>
        <v>#VALUE!</v>
      </c>
      <c r="AP101" s="505" t="e">
        <f aca="false">VLOOKUP($D101,CurveTbl,$AH$6)+VLOOKUP($AG101,$AL$3:$AS$15,7)</f>
        <v>#VALUE!</v>
      </c>
      <c r="AQ101" s="369" t="e">
        <f aca="false">VLOOKUP($AG101,$AL$4:$AS$15,3)+VLOOKUP($AG101,$AL$4:$AS$15,5)+($AH$10*VLOOKUP(D101,GRITable,2))</f>
        <v>#VALUE!</v>
      </c>
      <c r="AR101" s="370" t="e">
        <f aca="false">VLOOKUP($AG101,$AL$4:$AS$15,4)</f>
        <v>#VALUE!</v>
      </c>
      <c r="AS101" s="369" t="e">
        <f aca="false">(AL101+AM101+AN101)</f>
        <v>#VALUE!</v>
      </c>
      <c r="AT101" s="370" t="e">
        <f aca="false">VLOOKUP(D101,CurveTbl,$AK$6)</f>
        <v>#VALUE!</v>
      </c>
      <c r="AU101" s="370" t="e">
        <f aca="false">(1+$AT101/2)^(-2*($D101-$G$5)/365.25)*$AF101</f>
        <v>#VALUE!</v>
      </c>
      <c r="AV101" s="506" t="e">
        <f aca="false">ROUND((F101/(1-AR101))-F101,0)*AF101*AH101*AU101</f>
        <v>#VALUE!</v>
      </c>
      <c r="AW101" s="370" t="e">
        <f aca="false">VLOOKUP($D101,CurveTbl,$AK$8)</f>
        <v>#VALUE!</v>
      </c>
      <c r="AX101" s="370" t="e">
        <f aca="false">VLOOKUP($D101,CurveTbl,$AH$7)</f>
        <v>#VALUE!</v>
      </c>
      <c r="AY101" s="370" t="e">
        <f aca="false">VLOOKUP($D101,CurveTbl,$AH$8)</f>
        <v>#VALUE!</v>
      </c>
      <c r="AZ101" s="370"/>
      <c r="BA101" s="507"/>
      <c r="BB101" s="505" t="e">
        <f aca="false">$H101-$BV101</f>
        <v>#VALUE!</v>
      </c>
      <c r="BC101" s="505" t="e">
        <f aca="false">I101-BW101</f>
        <v>#VALUE!</v>
      </c>
      <c r="BD101" s="370" t="e">
        <f aca="false">N101-BX101</f>
        <v>#VALUE!</v>
      </c>
      <c r="BE101" s="370" t="e">
        <f aca="false">O101-BY101</f>
        <v>#VALUE!</v>
      </c>
      <c r="BF101" s="370" t="e">
        <f aca="false">xSPRDOPT($BW101,$BV101,$CG101,0,$BY101,$BX101,$BZ101,$AJ101,1,4)*$CB101</f>
        <v>#NAME?</v>
      </c>
      <c r="BG101" s="370" t="e">
        <f aca="false">xSPRDOPT($BW101,$BV101,$CG101,0,$BY101,$BX101,$BZ101,$AJ101,1,3)*$CB101</f>
        <v>#NAME?</v>
      </c>
      <c r="BH101" s="370" t="e">
        <f aca="false">IF(OR(BF101&lt;&gt;0,BG101&lt;&gt;0),xSPRDOPT($BW101,$BV101,$CG101,0,$BY101,$BX101,$BZ101,$AJ101,1,12)*$CB101,0)</f>
        <v>#NAME?</v>
      </c>
      <c r="BI101" s="370" t="e">
        <f aca="false">xSPRDOPT($BW101,$BV101,$CG101,2*LN(1+CA101/2),$BY101,$BX101,$BZ101,$AJ101,1,9)</f>
        <v>#NAME?</v>
      </c>
      <c r="BJ101" s="370" t="e">
        <f aca="false">xSPRDOPT($BW101,$BV101,$CG101,0,$BY101,$BX101,$BZ101,$AJ101,1,6)*$CB101</f>
        <v>#NAME?</v>
      </c>
      <c r="BK101" s="370" t="e">
        <f aca="false">xSPRDOPT($BW101,$BV101,$CG101,0,$BY101,$BX101,$BZ101,$AJ101,1,5)*$CB101</f>
        <v>#NAME?</v>
      </c>
      <c r="BL101" s="370" t="e">
        <f aca="false">xSPRDOPT(BW101,BV101,CG101,0,BY101,BX101,BZ101,AJ101,1,2)*CB101</f>
        <v>#NAME?</v>
      </c>
      <c r="BM101" s="370" t="e">
        <f aca="false">xSPRDOPT(BW101,BV101,CG101,0,BY101,BX101,BZ101,AJ101,1,1)*CB101</f>
        <v>#NAME?</v>
      </c>
      <c r="BN101" s="370" t="e">
        <f aca="false">IF(AH101&lt;&gt;0,xSPRDOPT($BW101,$BV101,$CG101,2*LN(1+CA101/2),$BY101,$BX101,$BZ101,$AJ101,1,8)+(AJ101/365.25)*CH101/AH101,0)</f>
        <v>#VALUE!</v>
      </c>
      <c r="BO101" s="370" t="e">
        <f aca="false">xSPRDOPT($BW101,$BV101,$CG101,0,$BY101,$BX101,$BZ101,$AJ101,1,0)</f>
        <v>#NAME?</v>
      </c>
      <c r="BP101" s="370"/>
      <c r="BQ101" s="370"/>
      <c r="BR101" s="370"/>
      <c r="BS101" s="370"/>
      <c r="BV101" s="508" t="n">
        <v>3.5756196256955</v>
      </c>
      <c r="BW101" s="369" t="n">
        <v>3.7045</v>
      </c>
      <c r="BX101" s="370" t="n">
        <v>0.233424934400762</v>
      </c>
      <c r="BY101" s="370" t="n">
        <v>0.234206833857685</v>
      </c>
      <c r="BZ101" s="370" t="n">
        <v>0.998324822136122</v>
      </c>
      <c r="CA101" s="370" t="n">
        <v>0.0572858980923008</v>
      </c>
      <c r="CB101" s="370" t="n">
        <v>0.686126398420888</v>
      </c>
      <c r="CC101" s="505" t="n">
        <v>-0.09</v>
      </c>
      <c r="CD101" s="505" t="n">
        <v>0</v>
      </c>
      <c r="CE101" s="505" t="n">
        <v>0.04</v>
      </c>
      <c r="CF101" s="505" t="n">
        <v>0.04</v>
      </c>
      <c r="CG101" s="505" t="n">
        <v>0</v>
      </c>
      <c r="CH101" s="505" t="n">
        <v>3.0437253160349</v>
      </c>
      <c r="CI101" s="505" t="n">
        <v>3.6245</v>
      </c>
      <c r="CJ101" s="505"/>
      <c r="CK101" s="505"/>
      <c r="CL101" s="505"/>
      <c r="CM101" s="505"/>
    </row>
    <row r="102" customFormat="false" ht="12.75" hidden="false" customHeight="false" outlineLevel="0" collapsed="false">
      <c r="A102" s="500"/>
      <c r="B102" s="500"/>
      <c r="D102" s="361" t="e">
        <f aca="false">D101+AH101</f>
        <v>#VALUE!</v>
      </c>
      <c r="F102" s="362" t="e">
        <f aca="false">VLOOKUP(AG102,$AL$4:$AS$15,2)</f>
        <v>#VALUE!</v>
      </c>
      <c r="G102" s="362" t="e">
        <f aca="false">F102*$AU102</f>
        <v>#VALUE!</v>
      </c>
      <c r="H102" s="363" t="e">
        <f aca="false">(AL102+AM102+AN102)/(1-(AR102))</f>
        <v>#VALUE!</v>
      </c>
      <c r="I102" s="363" t="e">
        <f aca="false">(AL102+AO102+AP102)</f>
        <v>#VALUE!</v>
      </c>
      <c r="K102" s="363" t="e">
        <f aca="false">MAX(((I102-H102)-AQ102)*AU102*AH102,0)</f>
        <v>#VALUE!</v>
      </c>
      <c r="L102" s="501" t="e">
        <f aca="false">MAX(Q102-K102,0)</f>
        <v>#VALUE!</v>
      </c>
      <c r="N102" s="502" t="e">
        <f aca="false">SQRT(($AX102^2*($AH102/2)+$AW102^2*$AI102)/(($AH102/2)+$AI102))</f>
        <v>#VALUE!</v>
      </c>
      <c r="O102" s="502" t="e">
        <f aca="false">SQRT(($AY102^2*($AH102/2)+$AW102^2*$AI102)/(($AH102/2)+$AI102))</f>
        <v>#VALUE!</v>
      </c>
      <c r="P102" s="371" t="e">
        <f aca="false">(VLOOKUP(AI102,CorrelationTwo,2)*(AW102^2)*AI102+VLOOKUP(D102,CorrelationOne,$AK$9)*AX102*AY102*(AH102/2))/((AI102+(AH102/2))*O102*N102)*AF102</f>
        <v>#VALUE!</v>
      </c>
      <c r="Q102" s="501" t="e">
        <f aca="false">xSPRDOPT(I102,H102,AQ102,0,O102,N102,P102,D102-$G$5,1,0)*AH102*AU102</f>
        <v>#VALUE!</v>
      </c>
      <c r="R102" s="501"/>
      <c r="S102" s="365" t="e">
        <f aca="false">xSPRDOPT(I102,H102,AQ102,AT102,O102,N102,P102,D102-$G$5,1,2)*AF102*(F102/(1-AR102))*AH102</f>
        <v>#VALUE!</v>
      </c>
      <c r="T102" s="365" t="e">
        <f aca="false">xSPRDOPT(I102,H102,AQ102,AT102,O102,N102,P102,D102-$G$5,1,1)*AF102*F102*AH102</f>
        <v>#VALUE!</v>
      </c>
      <c r="U102" s="501"/>
      <c r="V102" s="503" t="e">
        <f aca="false">VLOOKUP($AG102,$AL$4:$AS$15,8)*AH102*AU102</f>
        <v>#VALUE!</v>
      </c>
      <c r="W102" s="503"/>
      <c r="X102" s="504" t="e">
        <f aca="false">((BM102*BC102)+(BL102*BB102))*AH102*F102</f>
        <v>#VALUE!</v>
      </c>
      <c r="Y102" s="504" t="e">
        <f aca="false">($F102*$AH102)*((($BG102/2)*($BC102)^2)+(($BF102/2)*($BB102)^2)+($BH102*$BC102*$BB102))</f>
        <v>#VALUE!</v>
      </c>
      <c r="Z102" s="504" t="e">
        <f aca="false">($BI102*$F102*$AH102*($G$5-$BV$5))/365.25</f>
        <v>#VALUE!</v>
      </c>
      <c r="AA102" s="504" t="e">
        <f aca="false">(($BK102*$BE102)+($BJ102*$BD102))*$F102*$AH102*$AF102</f>
        <v>#VALUE!</v>
      </c>
      <c r="AB102" s="504" t="e">
        <f aca="false">BN102*(AT102-CA102)*F102*AH102</f>
        <v>#VALUE!</v>
      </c>
      <c r="AC102" s="504" t="e">
        <f aca="false">BO102*CB102*F102*AH102*CA102*($G$5-$BV$5)/365.25</f>
        <v>#NAME?</v>
      </c>
      <c r="AF102" s="378" t="e">
        <f aca="false">IF(AND(D102&gt;=$G$7,D102&lt;=$G$8),1,0)</f>
        <v>#VALUE!</v>
      </c>
      <c r="AG102" s="378" t="e">
        <f aca="false">MONTH(D102)</f>
        <v>#VALUE!</v>
      </c>
      <c r="AH102" s="378" t="e">
        <f aca="false">(EOMONTH(D102,0)-EOMONTH(D102-DAY(D102),0))*AF102</f>
        <v>#VALUE!</v>
      </c>
      <c r="AI102" s="378" t="e">
        <f aca="false">AI101+AH101</f>
        <v>#VALUE!</v>
      </c>
      <c r="AJ102" s="378" t="e">
        <f aca="false">D102-$BV$5</f>
        <v>#VALUE!</v>
      </c>
      <c r="AL102" s="369" t="e">
        <f aca="false">VLOOKUP($D102,CurveTbl,$AK$4)</f>
        <v>#VALUE!</v>
      </c>
      <c r="AM102" s="505" t="e">
        <f aca="false">VLOOKUP($D102,CurveTbl,$AH$3)</f>
        <v>#VALUE!</v>
      </c>
      <c r="AN102" s="505" t="e">
        <f aca="false">VLOOKUP($D102,CurveTbl,$AH$4)+VLOOKUP($AG102,$AL$3:$AS$15,6)</f>
        <v>#VALUE!</v>
      </c>
      <c r="AO102" s="505" t="e">
        <f aca="false">VLOOKUP($D102,CurveTbl,$AH$5)</f>
        <v>#VALUE!</v>
      </c>
      <c r="AP102" s="505" t="e">
        <f aca="false">VLOOKUP($D102,CurveTbl,$AH$6)+VLOOKUP($AG102,$AL$3:$AS$15,7)</f>
        <v>#VALUE!</v>
      </c>
      <c r="AQ102" s="369" t="e">
        <f aca="false">VLOOKUP($AG102,$AL$4:$AS$15,3)+VLOOKUP($AG102,$AL$4:$AS$15,5)+($AH$10*VLOOKUP(D102,GRITable,2))</f>
        <v>#VALUE!</v>
      </c>
      <c r="AR102" s="370" t="e">
        <f aca="false">VLOOKUP($AG102,$AL$4:$AS$15,4)</f>
        <v>#VALUE!</v>
      </c>
      <c r="AS102" s="369" t="e">
        <f aca="false">(AL102+AM102+AN102)</f>
        <v>#VALUE!</v>
      </c>
      <c r="AT102" s="370" t="e">
        <f aca="false">VLOOKUP(D102,CurveTbl,$AK$6)</f>
        <v>#VALUE!</v>
      </c>
      <c r="AU102" s="370" t="e">
        <f aca="false">(1+$AT102/2)^(-2*($D102-$G$5)/365.25)*$AF102</f>
        <v>#VALUE!</v>
      </c>
      <c r="AV102" s="506" t="e">
        <f aca="false">ROUND((F102/(1-AR102))-F102,0)*AF102*AH102*AU102</f>
        <v>#VALUE!</v>
      </c>
      <c r="AW102" s="370" t="e">
        <f aca="false">VLOOKUP($D102,CurveTbl,$AK$8)</f>
        <v>#VALUE!</v>
      </c>
      <c r="AX102" s="370" t="e">
        <f aca="false">VLOOKUP($D102,CurveTbl,$AH$7)</f>
        <v>#VALUE!</v>
      </c>
      <c r="AY102" s="370" t="e">
        <f aca="false">VLOOKUP($D102,CurveTbl,$AH$8)</f>
        <v>#VALUE!</v>
      </c>
      <c r="AZ102" s="370"/>
      <c r="BA102" s="507"/>
      <c r="BB102" s="505" t="e">
        <f aca="false">$H102-$BV102</f>
        <v>#VALUE!</v>
      </c>
      <c r="BC102" s="505" t="e">
        <f aca="false">I102-BW102</f>
        <v>#VALUE!</v>
      </c>
      <c r="BD102" s="370" t="e">
        <f aca="false">N102-BX102</f>
        <v>#VALUE!</v>
      </c>
      <c r="BE102" s="370" t="e">
        <f aca="false">O102-BY102</f>
        <v>#VALUE!</v>
      </c>
      <c r="BF102" s="370" t="e">
        <f aca="false">xSPRDOPT($BW102,$BV102,$CG102,0,$BY102,$BX102,$BZ102,$AJ102,1,4)*$CB102</f>
        <v>#NAME?</v>
      </c>
      <c r="BG102" s="370" t="e">
        <f aca="false">xSPRDOPT($BW102,$BV102,$CG102,0,$BY102,$BX102,$BZ102,$AJ102,1,3)*$CB102</f>
        <v>#NAME?</v>
      </c>
      <c r="BH102" s="370" t="e">
        <f aca="false">IF(OR(BF102&lt;&gt;0,BG102&lt;&gt;0),xSPRDOPT($BW102,$BV102,$CG102,0,$BY102,$BX102,$BZ102,$AJ102,1,12)*$CB102,0)</f>
        <v>#NAME?</v>
      </c>
      <c r="BI102" s="370" t="e">
        <f aca="false">xSPRDOPT($BW102,$BV102,$CG102,2*LN(1+CA102/2),$BY102,$BX102,$BZ102,$AJ102,1,9)</f>
        <v>#NAME?</v>
      </c>
      <c r="BJ102" s="370" t="e">
        <f aca="false">xSPRDOPT($BW102,$BV102,$CG102,0,$BY102,$BX102,$BZ102,$AJ102,1,6)*$CB102</f>
        <v>#NAME?</v>
      </c>
      <c r="BK102" s="370" t="e">
        <f aca="false">xSPRDOPT($BW102,$BV102,$CG102,0,$BY102,$BX102,$BZ102,$AJ102,1,5)*$CB102</f>
        <v>#NAME?</v>
      </c>
      <c r="BL102" s="370" t="e">
        <f aca="false">xSPRDOPT(BW102,BV102,CG102,0,BY102,BX102,BZ102,AJ102,1,2)*CB102</f>
        <v>#NAME?</v>
      </c>
      <c r="BM102" s="370" t="e">
        <f aca="false">xSPRDOPT(BW102,BV102,CG102,0,BY102,BX102,BZ102,AJ102,1,1)*CB102</f>
        <v>#NAME?</v>
      </c>
      <c r="BN102" s="370" t="e">
        <f aca="false">IF(AH102&lt;&gt;0,xSPRDOPT($BW102,$BV102,$CG102,2*LN(1+CA102/2),$BY102,$BX102,$BZ102,$AJ102,1,8)+(AJ102/365.25)*CH102/AH102,0)</f>
        <v>#VALUE!</v>
      </c>
      <c r="BO102" s="370" t="e">
        <f aca="false">xSPRDOPT($BW102,$BV102,$CG102,0,$BY102,$BX102,$BZ102,$AJ102,1,0)</f>
        <v>#NAME?</v>
      </c>
      <c r="BP102" s="370"/>
      <c r="BQ102" s="370"/>
      <c r="BR102" s="370"/>
      <c r="BS102" s="370"/>
      <c r="BV102" s="508" t="n">
        <v>3.57056145675266</v>
      </c>
      <c r="BW102" s="369" t="n">
        <v>3.6995</v>
      </c>
      <c r="BX102" s="370" t="n">
        <v>0.233274554609372</v>
      </c>
      <c r="BY102" s="370" t="n">
        <v>0.234022415776565</v>
      </c>
      <c r="BZ102" s="370" t="n">
        <v>0.998396370472636</v>
      </c>
      <c r="CA102" s="370" t="n">
        <v>0.0574699143477724</v>
      </c>
      <c r="CB102" s="370" t="n">
        <v>0.682020634704181</v>
      </c>
      <c r="CC102" s="505" t="n">
        <v>-0.09</v>
      </c>
      <c r="CD102" s="505" t="n">
        <v>0</v>
      </c>
      <c r="CE102" s="505" t="n">
        <v>0.04</v>
      </c>
      <c r="CF102" s="505" t="n">
        <v>0.04</v>
      </c>
      <c r="CG102" s="505" t="n">
        <v>0</v>
      </c>
      <c r="CH102" s="505" t="n">
        <v>2.92791458478505</v>
      </c>
      <c r="CI102" s="505" t="n">
        <v>3.6195</v>
      </c>
      <c r="CJ102" s="505"/>
      <c r="CK102" s="505"/>
      <c r="CL102" s="505"/>
      <c r="CM102" s="505"/>
    </row>
    <row r="103" customFormat="false" ht="12.75" hidden="false" customHeight="false" outlineLevel="0" collapsed="false">
      <c r="A103" s="500"/>
      <c r="B103" s="500"/>
      <c r="D103" s="361" t="e">
        <f aca="false">D102+AH102</f>
        <v>#VALUE!</v>
      </c>
      <c r="F103" s="362" t="e">
        <f aca="false">VLOOKUP(AG103,$AL$4:$AS$15,2)</f>
        <v>#VALUE!</v>
      </c>
      <c r="G103" s="362" t="e">
        <f aca="false">F103*$AU103</f>
        <v>#VALUE!</v>
      </c>
      <c r="H103" s="363" t="e">
        <f aca="false">(AL103+AM103+AN103)/(1-(AR103))</f>
        <v>#VALUE!</v>
      </c>
      <c r="I103" s="363" t="e">
        <f aca="false">(AL103+AO103+AP103)</f>
        <v>#VALUE!</v>
      </c>
      <c r="K103" s="363" t="e">
        <f aca="false">MAX(((I103-H103)-AQ103)*AU103*AH103,0)</f>
        <v>#VALUE!</v>
      </c>
      <c r="L103" s="501" t="e">
        <f aca="false">MAX(Q103-K103,0)</f>
        <v>#VALUE!</v>
      </c>
      <c r="N103" s="502" t="e">
        <f aca="false">SQRT(($AX103^2*($AH103/2)+$AW103^2*$AI103)/(($AH103/2)+$AI103))</f>
        <v>#VALUE!</v>
      </c>
      <c r="O103" s="502" t="e">
        <f aca="false">SQRT(($AY103^2*($AH103/2)+$AW103^2*$AI103)/(($AH103/2)+$AI103))</f>
        <v>#VALUE!</v>
      </c>
      <c r="P103" s="371" t="e">
        <f aca="false">(VLOOKUP(AI103,CorrelationTwo,2)*(AW103^2)*AI103+VLOOKUP(D103,CorrelationOne,$AK$9)*AX103*AY103*(AH103/2))/((AI103+(AH103/2))*O103*N103)*AF103</f>
        <v>#VALUE!</v>
      </c>
      <c r="Q103" s="501" t="e">
        <f aca="false">xSPRDOPT(I103,H103,AQ103,0,O103,N103,P103,D103-$G$5,1,0)*AH103*AU103</f>
        <v>#VALUE!</v>
      </c>
      <c r="R103" s="501"/>
      <c r="S103" s="365" t="e">
        <f aca="false">xSPRDOPT(I103,H103,AQ103,AT103,O103,N103,P103,D103-$G$5,1,2)*AF103*(F103/(1-AR103))*AH103</f>
        <v>#VALUE!</v>
      </c>
      <c r="T103" s="365" t="e">
        <f aca="false">xSPRDOPT(I103,H103,AQ103,AT103,O103,N103,P103,D103-$G$5,1,1)*AF103*F103*AH103</f>
        <v>#VALUE!</v>
      </c>
      <c r="U103" s="501"/>
      <c r="V103" s="503" t="e">
        <f aca="false">VLOOKUP($AG103,$AL$4:$AS$15,8)*AH103*AU103</f>
        <v>#VALUE!</v>
      </c>
      <c r="W103" s="503"/>
      <c r="X103" s="504" t="e">
        <f aca="false">((BM103*BC103)+(BL103*BB103))*AH103*F103</f>
        <v>#VALUE!</v>
      </c>
      <c r="Y103" s="504" t="e">
        <f aca="false">($F103*$AH103)*((($BG103/2)*($BC103)^2)+(($BF103/2)*($BB103)^2)+($BH103*$BC103*$BB103))</f>
        <v>#VALUE!</v>
      </c>
      <c r="Z103" s="504" t="e">
        <f aca="false">($BI103*$F103*$AH103*($G$5-$BV$5))/365.25</f>
        <v>#VALUE!</v>
      </c>
      <c r="AA103" s="504" t="e">
        <f aca="false">(($BK103*$BE103)+($BJ103*$BD103))*$F103*$AH103*$AF103</f>
        <v>#VALUE!</v>
      </c>
      <c r="AB103" s="504" t="e">
        <f aca="false">BN103*(AT103-CA103)*F103*AH103</f>
        <v>#VALUE!</v>
      </c>
      <c r="AC103" s="504" t="e">
        <f aca="false">BO103*CB103*F103*AH103*CA103*($G$5-$BV$5)/365.25</f>
        <v>#NAME?</v>
      </c>
      <c r="AF103" s="378" t="e">
        <f aca="false">IF(AND(D103&gt;=$G$7,D103&lt;=$G$8),1,0)</f>
        <v>#VALUE!</v>
      </c>
      <c r="AG103" s="378" t="e">
        <f aca="false">MONTH(D103)</f>
        <v>#VALUE!</v>
      </c>
      <c r="AH103" s="378" t="e">
        <f aca="false">(EOMONTH(D103,0)-EOMONTH(D103-DAY(D103),0))*AF103</f>
        <v>#VALUE!</v>
      </c>
      <c r="AI103" s="378" t="e">
        <f aca="false">AI102+AH102</f>
        <v>#VALUE!</v>
      </c>
      <c r="AJ103" s="378" t="e">
        <f aca="false">D103-$BV$5</f>
        <v>#VALUE!</v>
      </c>
      <c r="AL103" s="369" t="e">
        <f aca="false">VLOOKUP($D103,CurveTbl,$AK$4)</f>
        <v>#VALUE!</v>
      </c>
      <c r="AM103" s="505" t="e">
        <f aca="false">VLOOKUP($D103,CurveTbl,$AH$3)</f>
        <v>#VALUE!</v>
      </c>
      <c r="AN103" s="505" t="e">
        <f aca="false">VLOOKUP($D103,CurveTbl,$AH$4)+VLOOKUP($AG103,$AL$3:$AS$15,6)</f>
        <v>#VALUE!</v>
      </c>
      <c r="AO103" s="505" t="e">
        <f aca="false">VLOOKUP($D103,CurveTbl,$AH$5)</f>
        <v>#VALUE!</v>
      </c>
      <c r="AP103" s="505" t="e">
        <f aca="false">VLOOKUP($D103,CurveTbl,$AH$6)+VLOOKUP($AG103,$AL$3:$AS$15,7)</f>
        <v>#VALUE!</v>
      </c>
      <c r="AQ103" s="369" t="e">
        <f aca="false">VLOOKUP($AG103,$AL$4:$AS$15,3)+VLOOKUP($AG103,$AL$4:$AS$15,5)+($AH$10*VLOOKUP(D103,GRITable,2))</f>
        <v>#VALUE!</v>
      </c>
      <c r="AR103" s="370" t="e">
        <f aca="false">VLOOKUP($AG103,$AL$4:$AS$15,4)</f>
        <v>#VALUE!</v>
      </c>
      <c r="AS103" s="369" t="e">
        <f aca="false">(AL103+AM103+AN103)</f>
        <v>#VALUE!</v>
      </c>
      <c r="AT103" s="370" t="e">
        <f aca="false">VLOOKUP(D103,CurveTbl,$AK$6)</f>
        <v>#VALUE!</v>
      </c>
      <c r="AU103" s="370" t="e">
        <f aca="false">(1+$AT103/2)^(-2*($D103-$G$5)/365.25)*$AF103</f>
        <v>#VALUE!</v>
      </c>
      <c r="AV103" s="506" t="e">
        <f aca="false">ROUND((F103/(1-AR103))-F103,0)*AF103*AH103*AU103</f>
        <v>#VALUE!</v>
      </c>
      <c r="AW103" s="370" t="e">
        <f aca="false">VLOOKUP($D103,CurveTbl,$AK$8)</f>
        <v>#VALUE!</v>
      </c>
      <c r="AX103" s="370" t="e">
        <f aca="false">VLOOKUP($D103,CurveTbl,$AH$7)</f>
        <v>#VALUE!</v>
      </c>
      <c r="AY103" s="370" t="e">
        <f aca="false">VLOOKUP($D103,CurveTbl,$AH$8)</f>
        <v>#VALUE!</v>
      </c>
      <c r="AZ103" s="370"/>
      <c r="BA103" s="507"/>
      <c r="BB103" s="505" t="e">
        <f aca="false">$H103-$BV103</f>
        <v>#VALUE!</v>
      </c>
      <c r="BC103" s="505" t="e">
        <f aca="false">I103-BW103</f>
        <v>#VALUE!</v>
      </c>
      <c r="BD103" s="370" t="e">
        <f aca="false">N103-BX103</f>
        <v>#VALUE!</v>
      </c>
      <c r="BE103" s="370" t="e">
        <f aca="false">O103-BY103</f>
        <v>#VALUE!</v>
      </c>
      <c r="BF103" s="370" t="e">
        <f aca="false">xSPRDOPT($BW103,$BV103,$CG103,0,$BY103,$BX103,$BZ103,$AJ103,1,4)*$CB103</f>
        <v>#NAME?</v>
      </c>
      <c r="BG103" s="370" t="e">
        <f aca="false">xSPRDOPT($BW103,$BV103,$CG103,0,$BY103,$BX103,$BZ103,$AJ103,1,3)*$CB103</f>
        <v>#NAME?</v>
      </c>
      <c r="BH103" s="370" t="e">
        <f aca="false">IF(OR(BF103&lt;&gt;0,BG103&lt;&gt;0),xSPRDOPT($BW103,$BV103,$CG103,0,$BY103,$BX103,$BZ103,$AJ103,1,12)*$CB103,0)</f>
        <v>#NAME?</v>
      </c>
      <c r="BI103" s="370" t="e">
        <f aca="false">xSPRDOPT($BW103,$BV103,$CG103,2*LN(1+CA103/2),$BY103,$BX103,$BZ103,$AJ103,1,9)</f>
        <v>#NAME?</v>
      </c>
      <c r="BJ103" s="370" t="e">
        <f aca="false">xSPRDOPT($BW103,$BV103,$CG103,0,$BY103,$BX103,$BZ103,$AJ103,1,6)*$CB103</f>
        <v>#NAME?</v>
      </c>
      <c r="BK103" s="370" t="e">
        <f aca="false">xSPRDOPT($BW103,$BV103,$CG103,0,$BY103,$BX103,$BZ103,$AJ103,1,5)*$CB103</f>
        <v>#NAME?</v>
      </c>
      <c r="BL103" s="370" t="e">
        <f aca="false">xSPRDOPT(BW103,BV103,CG103,0,BY103,BX103,BZ103,AJ103,1,2)*CB103</f>
        <v>#NAME?</v>
      </c>
      <c r="BM103" s="370" t="e">
        <f aca="false">xSPRDOPT(BW103,BV103,CG103,0,BY103,BX103,BZ103,AJ103,1,1)*CB103</f>
        <v>#NAME?</v>
      </c>
      <c r="BN103" s="370" t="e">
        <f aca="false">IF(AH103&lt;&gt;0,xSPRDOPT($BW103,$BV103,$CG103,2*LN(1+CA103/2),$BY103,$BX103,$BZ103,$AJ103,1,8)+(AJ103/365.25)*CH103/AH103,0)</f>
        <v>#VALUE!</v>
      </c>
      <c r="BO103" s="370" t="e">
        <f aca="false">xSPRDOPT($BW103,$BV103,$CG103,0,$BY103,$BX103,$BZ103,$AJ103,1,0)</f>
        <v>#NAME?</v>
      </c>
      <c r="BP103" s="370"/>
      <c r="BQ103" s="370"/>
      <c r="BR103" s="370"/>
      <c r="BS103" s="370"/>
      <c r="BV103" s="508" t="n">
        <v>3.59585230146687</v>
      </c>
      <c r="BW103" s="369" t="n">
        <v>3.7245</v>
      </c>
      <c r="BX103" s="370" t="n">
        <v>0.234105025785135</v>
      </c>
      <c r="BY103" s="370" t="n">
        <v>0.234931683128186</v>
      </c>
      <c r="BZ103" s="370" t="n">
        <v>0.998105572282931</v>
      </c>
      <c r="CA103" s="370" t="n">
        <v>0.0576479946057291</v>
      </c>
      <c r="CB103" s="370" t="n">
        <v>0.678051176020484</v>
      </c>
      <c r="CC103" s="505" t="n">
        <v>-0.09</v>
      </c>
      <c r="CD103" s="505" t="n">
        <v>0</v>
      </c>
      <c r="CE103" s="505" t="n">
        <v>0.04</v>
      </c>
      <c r="CF103" s="505" t="n">
        <v>0.04</v>
      </c>
      <c r="CG103" s="505" t="n">
        <v>0</v>
      </c>
      <c r="CH103" s="505" t="n">
        <v>3.00790282194447</v>
      </c>
      <c r="CI103" s="505" t="n">
        <v>3.6445</v>
      </c>
      <c r="CJ103" s="505"/>
      <c r="CK103" s="505"/>
      <c r="CL103" s="505"/>
      <c r="CM103" s="505"/>
    </row>
    <row r="104" customFormat="false" ht="12.75" hidden="false" customHeight="false" outlineLevel="0" collapsed="false">
      <c r="A104" s="500"/>
      <c r="B104" s="500"/>
      <c r="D104" s="361" t="e">
        <f aca="false">D103+AH103</f>
        <v>#VALUE!</v>
      </c>
      <c r="F104" s="362" t="e">
        <f aca="false">VLOOKUP(AG104,$AL$4:$AS$15,2)</f>
        <v>#VALUE!</v>
      </c>
      <c r="G104" s="362" t="e">
        <f aca="false">F104*$AU104</f>
        <v>#VALUE!</v>
      </c>
      <c r="H104" s="363" t="e">
        <f aca="false">(AL104+AM104+AN104)/(1-(AR104))</f>
        <v>#VALUE!</v>
      </c>
      <c r="I104" s="363" t="e">
        <f aca="false">(AL104+AO104+AP104)</f>
        <v>#VALUE!</v>
      </c>
      <c r="K104" s="363" t="e">
        <f aca="false">MAX(((I104-H104)-AQ104)*AU104*AH104,0)</f>
        <v>#VALUE!</v>
      </c>
      <c r="L104" s="501" t="e">
        <f aca="false">MAX(Q104-K104,0)</f>
        <v>#VALUE!</v>
      </c>
      <c r="N104" s="502" t="e">
        <f aca="false">SQRT(($AX104^2*($AH104/2)+$AW104^2*$AI104)/(($AH104/2)+$AI104))</f>
        <v>#VALUE!</v>
      </c>
      <c r="O104" s="502" t="e">
        <f aca="false">SQRT(($AY104^2*($AH104/2)+$AW104^2*$AI104)/(($AH104/2)+$AI104))</f>
        <v>#VALUE!</v>
      </c>
      <c r="P104" s="371" t="e">
        <f aca="false">(VLOOKUP(AI104,CorrelationTwo,2)*(AW104^2)*AI104+VLOOKUP(D104,CorrelationOne,$AK$9)*AX104*AY104*(AH104/2))/((AI104+(AH104/2))*O104*N104)*AF104</f>
        <v>#VALUE!</v>
      </c>
      <c r="Q104" s="501" t="e">
        <f aca="false">xSPRDOPT(I104,H104,AQ104,0,O104,N104,P104,D104-$G$5,1,0)*AH104*AU104</f>
        <v>#VALUE!</v>
      </c>
      <c r="R104" s="501"/>
      <c r="S104" s="365" t="e">
        <f aca="false">xSPRDOPT(I104,H104,AQ104,AT104,O104,N104,P104,D104-$G$5,1,2)*AF104*(F104/(1-AR104))*AH104</f>
        <v>#VALUE!</v>
      </c>
      <c r="T104" s="365" t="e">
        <f aca="false">xSPRDOPT(I104,H104,AQ104,AT104,O104,N104,P104,D104-$G$5,1,1)*AF104*F104*AH104</f>
        <v>#VALUE!</v>
      </c>
      <c r="U104" s="501"/>
      <c r="V104" s="503" t="e">
        <f aca="false">VLOOKUP($AG104,$AL$4:$AS$15,8)*AH104*AU104</f>
        <v>#VALUE!</v>
      </c>
      <c r="W104" s="503"/>
      <c r="X104" s="504" t="e">
        <f aca="false">((BM104*BC104)+(BL104*BB104))*AH104*F104</f>
        <v>#VALUE!</v>
      </c>
      <c r="Y104" s="504" t="e">
        <f aca="false">($F104*$AH104)*((($BG104/2)*($BC104)^2)+(($BF104/2)*($BB104)^2)+($BH104*$BC104*$BB104))</f>
        <v>#VALUE!</v>
      </c>
      <c r="Z104" s="504" t="e">
        <f aca="false">($BI104*$F104*$AH104*($G$5-$BV$5))/365.25</f>
        <v>#VALUE!</v>
      </c>
      <c r="AA104" s="504" t="e">
        <f aca="false">(($BK104*$BE104)+($BJ104*$BD104))*$F104*$AH104*$AF104</f>
        <v>#VALUE!</v>
      </c>
      <c r="AB104" s="504" t="e">
        <f aca="false">BN104*(AT104-CA104)*F104*AH104</f>
        <v>#VALUE!</v>
      </c>
      <c r="AC104" s="504" t="e">
        <f aca="false">BO104*CB104*F104*AH104*CA104*($G$5-$BV$5)/365.25</f>
        <v>#NAME?</v>
      </c>
      <c r="AF104" s="378" t="e">
        <f aca="false">IF(AND(D104&gt;=$G$7,D104&lt;=$G$8),1,0)</f>
        <v>#VALUE!</v>
      </c>
      <c r="AG104" s="378" t="e">
        <f aca="false">MONTH(D104)</f>
        <v>#VALUE!</v>
      </c>
      <c r="AH104" s="378" t="e">
        <f aca="false">(EOMONTH(D104,0)-EOMONTH(D104-DAY(D104),0))*AF104</f>
        <v>#VALUE!</v>
      </c>
      <c r="AI104" s="378" t="e">
        <f aca="false">AI103+AH103</f>
        <v>#VALUE!</v>
      </c>
      <c r="AJ104" s="378" t="e">
        <f aca="false">D104-$BV$5</f>
        <v>#VALUE!</v>
      </c>
      <c r="AL104" s="369" t="e">
        <f aca="false">VLOOKUP($D104,CurveTbl,$AK$4)</f>
        <v>#VALUE!</v>
      </c>
      <c r="AM104" s="505" t="e">
        <f aca="false">VLOOKUP($D104,CurveTbl,$AH$3)</f>
        <v>#VALUE!</v>
      </c>
      <c r="AN104" s="505" t="e">
        <f aca="false">VLOOKUP($D104,CurveTbl,$AH$4)+VLOOKUP($AG104,$AL$3:$AS$15,6)</f>
        <v>#VALUE!</v>
      </c>
      <c r="AO104" s="505" t="e">
        <f aca="false">VLOOKUP($D104,CurveTbl,$AH$5)</f>
        <v>#VALUE!</v>
      </c>
      <c r="AP104" s="505" t="e">
        <f aca="false">VLOOKUP($D104,CurveTbl,$AH$6)+VLOOKUP($AG104,$AL$3:$AS$15,7)</f>
        <v>#VALUE!</v>
      </c>
      <c r="AQ104" s="369" t="e">
        <f aca="false">VLOOKUP($AG104,$AL$4:$AS$15,3)+VLOOKUP($AG104,$AL$4:$AS$15,5)+($AH$10*VLOOKUP(D104,GRITable,2))</f>
        <v>#VALUE!</v>
      </c>
      <c r="AR104" s="370" t="e">
        <f aca="false">VLOOKUP($AG104,$AL$4:$AS$15,4)</f>
        <v>#VALUE!</v>
      </c>
      <c r="AS104" s="369" t="e">
        <f aca="false">(AL104+AM104+AN104)</f>
        <v>#VALUE!</v>
      </c>
      <c r="AT104" s="370" t="e">
        <f aca="false">VLOOKUP(D104,CurveTbl,$AK$6)</f>
        <v>#VALUE!</v>
      </c>
      <c r="AU104" s="370" t="e">
        <f aca="false">(1+$AT104/2)^(-2*($D104-$G$5)/365.25)*$AF104</f>
        <v>#VALUE!</v>
      </c>
      <c r="AV104" s="506" t="e">
        <f aca="false">ROUND((F104/(1-AR104))-F104,0)*AF104*AH104*AU104</f>
        <v>#VALUE!</v>
      </c>
      <c r="AW104" s="370" t="e">
        <f aca="false">VLOOKUP($D104,CurveTbl,$AK$8)</f>
        <v>#VALUE!</v>
      </c>
      <c r="AX104" s="370" t="e">
        <f aca="false">VLOOKUP($D104,CurveTbl,$AH$7)</f>
        <v>#VALUE!</v>
      </c>
      <c r="AY104" s="370" t="e">
        <f aca="false">VLOOKUP($D104,CurveTbl,$AH$8)</f>
        <v>#VALUE!</v>
      </c>
      <c r="AZ104" s="370"/>
      <c r="BA104" s="507"/>
      <c r="BB104" s="505" t="e">
        <f aca="false">$H104-$BV104</f>
        <v>#VALUE!</v>
      </c>
      <c r="BC104" s="505" t="e">
        <f aca="false">I104-BW104</f>
        <v>#VALUE!</v>
      </c>
      <c r="BD104" s="370" t="e">
        <f aca="false">N104-BX104</f>
        <v>#VALUE!</v>
      </c>
      <c r="BE104" s="370" t="e">
        <f aca="false">O104-BY104</f>
        <v>#VALUE!</v>
      </c>
      <c r="BF104" s="370" t="e">
        <f aca="false">xSPRDOPT($BW104,$BV104,$CG104,0,$BY104,$BX104,$BZ104,$AJ104,1,4)*$CB104</f>
        <v>#NAME?</v>
      </c>
      <c r="BG104" s="370" t="e">
        <f aca="false">xSPRDOPT($BW104,$BV104,$CG104,0,$BY104,$BX104,$BZ104,$AJ104,1,3)*$CB104</f>
        <v>#NAME?</v>
      </c>
      <c r="BH104" s="370" t="e">
        <f aca="false">IF(OR(BF104&lt;&gt;0,BG104&lt;&gt;0),xSPRDOPT($BW104,$BV104,$CG104,0,$BY104,$BX104,$BZ104,$AJ104,1,12)*$CB104,0)</f>
        <v>#NAME?</v>
      </c>
      <c r="BI104" s="370" t="e">
        <f aca="false">xSPRDOPT($BW104,$BV104,$CG104,2*LN(1+CA104/2),$BY104,$BX104,$BZ104,$AJ104,1,9)</f>
        <v>#NAME?</v>
      </c>
      <c r="BJ104" s="370" t="e">
        <f aca="false">xSPRDOPT($BW104,$BV104,$CG104,0,$BY104,$BX104,$BZ104,$AJ104,1,6)*$CB104</f>
        <v>#NAME?</v>
      </c>
      <c r="BK104" s="370" t="e">
        <f aca="false">xSPRDOPT($BW104,$BV104,$CG104,0,$BY104,$BX104,$BZ104,$AJ104,1,5)*$CB104</f>
        <v>#NAME?</v>
      </c>
      <c r="BL104" s="370" t="e">
        <f aca="false">xSPRDOPT(BW104,BV104,CG104,0,BY104,BX104,BZ104,AJ104,1,2)*CB104</f>
        <v>#NAME?</v>
      </c>
      <c r="BM104" s="370" t="e">
        <f aca="false">xSPRDOPT(BW104,BV104,CG104,0,BY104,BX104,BZ104,AJ104,1,1)*CB104</f>
        <v>#NAME?</v>
      </c>
      <c r="BN104" s="370" t="e">
        <f aca="false">IF(AH104&lt;&gt;0,xSPRDOPT($BW104,$BV104,$CG104,2*LN(1+CA104/2),$BY104,$BX104,$BZ104,$AJ104,1,8)+(AJ104/365.25)*CH104/AH104,0)</f>
        <v>#VALUE!</v>
      </c>
      <c r="BO104" s="370" t="e">
        <f aca="false">xSPRDOPT($BW104,$BV104,$CG104,0,$BY104,$BX104,$BZ104,$AJ104,1,0)</f>
        <v>#NAME?</v>
      </c>
      <c r="BP104" s="370"/>
      <c r="BQ104" s="370"/>
      <c r="BR104" s="370"/>
      <c r="BS104" s="370"/>
      <c r="BV104" s="508" t="n">
        <v>3.87101669195751</v>
      </c>
      <c r="BW104" s="369" t="n">
        <v>3.9615</v>
      </c>
      <c r="BX104" s="370" t="n">
        <v>0.239563165121512</v>
      </c>
      <c r="BY104" s="370" t="n">
        <v>0.237449376511487</v>
      </c>
      <c r="BZ104" s="370" t="n">
        <v>0.996515012799866</v>
      </c>
      <c r="CA104" s="370" t="n">
        <v>0.0578320108833665</v>
      </c>
      <c r="CB104" s="370" t="n">
        <v>0.673953611565774</v>
      </c>
      <c r="CC104" s="505" t="n">
        <v>0</v>
      </c>
      <c r="CD104" s="505" t="n">
        <v>0.03</v>
      </c>
      <c r="CE104" s="505" t="n">
        <v>0.13</v>
      </c>
      <c r="CF104" s="505" t="n">
        <v>0.035</v>
      </c>
      <c r="CG104" s="505" t="n">
        <v>0</v>
      </c>
      <c r="CH104" s="505" t="n">
        <v>2.89328285445187</v>
      </c>
      <c r="CI104" s="505" t="n">
        <v>3.7965</v>
      </c>
      <c r="CJ104" s="505"/>
      <c r="CK104" s="505"/>
      <c r="CL104" s="505"/>
      <c r="CM104" s="505"/>
    </row>
    <row r="105" customFormat="false" ht="12.75" hidden="false" customHeight="false" outlineLevel="0" collapsed="false">
      <c r="A105" s="500"/>
      <c r="B105" s="500"/>
      <c r="D105" s="361" t="e">
        <f aca="false">D104+AH104</f>
        <v>#VALUE!</v>
      </c>
      <c r="F105" s="362" t="e">
        <f aca="false">VLOOKUP(AG105,$AL$4:$AS$15,2)</f>
        <v>#VALUE!</v>
      </c>
      <c r="G105" s="362" t="e">
        <f aca="false">F105*$AU105</f>
        <v>#VALUE!</v>
      </c>
      <c r="H105" s="363" t="e">
        <f aca="false">(AL105+AM105+AN105)/(1-(AR105))</f>
        <v>#VALUE!</v>
      </c>
      <c r="I105" s="363" t="e">
        <f aca="false">(AL105+AO105+AP105)</f>
        <v>#VALUE!</v>
      </c>
      <c r="K105" s="363" t="e">
        <f aca="false">MAX(((I105-H105)-AQ105)*AU105*AH105,0)</f>
        <v>#VALUE!</v>
      </c>
      <c r="L105" s="501" t="e">
        <f aca="false">MAX(Q105-K105,0)</f>
        <v>#VALUE!</v>
      </c>
      <c r="N105" s="502" t="e">
        <f aca="false">SQRT(($AX105^2*($AH105/2)+$AW105^2*$AI105)/(($AH105/2)+$AI105))</f>
        <v>#VALUE!</v>
      </c>
      <c r="O105" s="502" t="e">
        <f aca="false">SQRT(($AY105^2*($AH105/2)+$AW105^2*$AI105)/(($AH105/2)+$AI105))</f>
        <v>#VALUE!</v>
      </c>
      <c r="P105" s="371" t="e">
        <f aca="false">(VLOOKUP(AI105,CorrelationTwo,2)*(AW105^2)*AI105+VLOOKUP(D105,CorrelationOne,$AK$9)*AX105*AY105*(AH105/2))/((AI105+(AH105/2))*O105*N105)*AF105</f>
        <v>#VALUE!</v>
      </c>
      <c r="Q105" s="501" t="e">
        <f aca="false">xSPRDOPT(I105,H105,AQ105,0,O105,N105,P105,D105-$G$5,1,0)*AH105*AU105</f>
        <v>#VALUE!</v>
      </c>
      <c r="R105" s="501"/>
      <c r="S105" s="365" t="e">
        <f aca="false">xSPRDOPT(I105,H105,AQ105,AT105,O105,N105,P105,D105-$G$5,1,2)*AF105*(F105/(1-AR105))*AH105</f>
        <v>#VALUE!</v>
      </c>
      <c r="T105" s="365" t="e">
        <f aca="false">xSPRDOPT(I105,H105,AQ105,AT105,O105,N105,P105,D105-$G$5,1,1)*AF105*F105*AH105</f>
        <v>#VALUE!</v>
      </c>
      <c r="U105" s="501"/>
      <c r="V105" s="503" t="e">
        <f aca="false">VLOOKUP($AG105,$AL$4:$AS$15,8)*AH105*AU105</f>
        <v>#VALUE!</v>
      </c>
      <c r="W105" s="503"/>
      <c r="X105" s="504" t="e">
        <f aca="false">((BM105*BC105)+(BL105*BB105))*AH105*F105</f>
        <v>#VALUE!</v>
      </c>
      <c r="Y105" s="504" t="e">
        <f aca="false">($F105*$AH105)*((($BG105/2)*($BC105)^2)+(($BF105/2)*($BB105)^2)+($BH105*$BC105*$BB105))</f>
        <v>#VALUE!</v>
      </c>
      <c r="Z105" s="504" t="e">
        <f aca="false">($BI105*$F105*$AH105*($G$5-$BV$5))/365.25</f>
        <v>#VALUE!</v>
      </c>
      <c r="AA105" s="504" t="e">
        <f aca="false">(($BK105*$BE105)+($BJ105*$BD105))*$F105*$AH105*$AF105</f>
        <v>#VALUE!</v>
      </c>
      <c r="AB105" s="504" t="e">
        <f aca="false">BN105*(AT105-CA105)*F105*AH105</f>
        <v>#VALUE!</v>
      </c>
      <c r="AC105" s="504" t="e">
        <f aca="false">BO105*CB105*F105*AH105*CA105*($G$5-$BV$5)/365.25</f>
        <v>#NAME?</v>
      </c>
      <c r="AF105" s="378" t="e">
        <f aca="false">IF(AND(D105&gt;=$G$7,D105&lt;=$G$8),1,0)</f>
        <v>#VALUE!</v>
      </c>
      <c r="AG105" s="378" t="e">
        <f aca="false">MONTH(D105)</f>
        <v>#VALUE!</v>
      </c>
      <c r="AH105" s="378" t="e">
        <f aca="false">(EOMONTH(D105,0)-EOMONTH(D105-DAY(D105),0))*AF105</f>
        <v>#VALUE!</v>
      </c>
      <c r="AI105" s="378" t="e">
        <f aca="false">AI104+AH104</f>
        <v>#VALUE!</v>
      </c>
      <c r="AJ105" s="378" t="e">
        <f aca="false">D105-$BV$5</f>
        <v>#VALUE!</v>
      </c>
      <c r="AL105" s="369" t="e">
        <f aca="false">VLOOKUP($D105,CurveTbl,$AK$4)</f>
        <v>#VALUE!</v>
      </c>
      <c r="AM105" s="505" t="e">
        <f aca="false">VLOOKUP($D105,CurveTbl,$AH$3)</f>
        <v>#VALUE!</v>
      </c>
      <c r="AN105" s="505" t="e">
        <f aca="false">VLOOKUP($D105,CurveTbl,$AH$4)+VLOOKUP($AG105,$AL$3:$AS$15,6)</f>
        <v>#VALUE!</v>
      </c>
      <c r="AO105" s="505" t="e">
        <f aca="false">VLOOKUP($D105,CurveTbl,$AH$5)</f>
        <v>#VALUE!</v>
      </c>
      <c r="AP105" s="505" t="e">
        <f aca="false">VLOOKUP($D105,CurveTbl,$AH$6)+VLOOKUP($AG105,$AL$3:$AS$15,7)</f>
        <v>#VALUE!</v>
      </c>
      <c r="AQ105" s="369" t="e">
        <f aca="false">VLOOKUP($AG105,$AL$4:$AS$15,3)+VLOOKUP($AG105,$AL$4:$AS$15,5)+($AH$10*VLOOKUP(D105,GRITable,2))</f>
        <v>#VALUE!</v>
      </c>
      <c r="AR105" s="370" t="e">
        <f aca="false">VLOOKUP($AG105,$AL$4:$AS$15,4)</f>
        <v>#VALUE!</v>
      </c>
      <c r="AS105" s="369" t="e">
        <f aca="false">(AL105+AM105+AN105)</f>
        <v>#VALUE!</v>
      </c>
      <c r="AT105" s="370" t="e">
        <f aca="false">VLOOKUP(D105,CurveTbl,$AK$6)</f>
        <v>#VALUE!</v>
      </c>
      <c r="AU105" s="370" t="e">
        <f aca="false">(1+$AT105/2)^(-2*($D105-$G$5)/365.25)*$AF105</f>
        <v>#VALUE!</v>
      </c>
      <c r="AV105" s="506" t="e">
        <f aca="false">ROUND((F105/(1-AR105))-F105,0)*AF105*AH105*AU105</f>
        <v>#VALUE!</v>
      </c>
      <c r="AW105" s="370" t="e">
        <f aca="false">VLOOKUP($D105,CurveTbl,$AK$8)</f>
        <v>#VALUE!</v>
      </c>
      <c r="AX105" s="370" t="e">
        <f aca="false">VLOOKUP($D105,CurveTbl,$AH$7)</f>
        <v>#VALUE!</v>
      </c>
      <c r="AY105" s="370" t="e">
        <f aca="false">VLOOKUP($D105,CurveTbl,$AH$8)</f>
        <v>#VALUE!</v>
      </c>
      <c r="AZ105" s="370"/>
      <c r="BA105" s="507"/>
      <c r="BB105" s="505" t="e">
        <f aca="false">$H105-$BV105</f>
        <v>#VALUE!</v>
      </c>
      <c r="BC105" s="505" t="e">
        <f aca="false">I105-BW105</f>
        <v>#VALUE!</v>
      </c>
      <c r="BD105" s="370" t="e">
        <f aca="false">N105-BX105</f>
        <v>#VALUE!</v>
      </c>
      <c r="BE105" s="370" t="e">
        <f aca="false">O105-BY105</f>
        <v>#VALUE!</v>
      </c>
      <c r="BF105" s="370" t="e">
        <f aca="false">xSPRDOPT($BW105,$BV105,$CG105,0,$BY105,$BX105,$BZ105,$AJ105,1,4)*$CB105</f>
        <v>#NAME?</v>
      </c>
      <c r="BG105" s="370" t="e">
        <f aca="false">xSPRDOPT($BW105,$BV105,$CG105,0,$BY105,$BX105,$BZ105,$AJ105,1,3)*$CB105</f>
        <v>#NAME?</v>
      </c>
      <c r="BH105" s="370" t="e">
        <f aca="false">IF(OR(BF105&lt;&gt;0,BG105&lt;&gt;0),xSPRDOPT($BW105,$BV105,$CG105,0,$BY105,$BX105,$BZ105,$AJ105,1,12)*$CB105,0)</f>
        <v>#NAME?</v>
      </c>
      <c r="BI105" s="370" t="e">
        <f aca="false">xSPRDOPT($BW105,$BV105,$CG105,2*LN(1+CA105/2),$BY105,$BX105,$BZ105,$AJ105,1,9)</f>
        <v>#NAME?</v>
      </c>
      <c r="BJ105" s="370" t="e">
        <f aca="false">xSPRDOPT($BW105,$BV105,$CG105,0,$BY105,$BX105,$BZ105,$AJ105,1,6)*$CB105</f>
        <v>#NAME?</v>
      </c>
      <c r="BK105" s="370" t="e">
        <f aca="false">xSPRDOPT($BW105,$BV105,$CG105,0,$BY105,$BX105,$BZ105,$AJ105,1,5)*$CB105</f>
        <v>#NAME?</v>
      </c>
      <c r="BL105" s="370" t="e">
        <f aca="false">xSPRDOPT(BW105,BV105,CG105,0,BY105,BX105,BZ105,AJ105,1,2)*CB105</f>
        <v>#NAME?</v>
      </c>
      <c r="BM105" s="370" t="e">
        <f aca="false">xSPRDOPT(BW105,BV105,CG105,0,BY105,BX105,BZ105,AJ105,1,1)*CB105</f>
        <v>#NAME?</v>
      </c>
      <c r="BN105" s="370" t="e">
        <f aca="false">IF(AH105&lt;&gt;0,xSPRDOPT($BW105,$BV105,$CG105,2*LN(1+CA105/2),$BY105,$BX105,$BZ105,$AJ105,1,8)+(AJ105/365.25)*CH105/AH105,0)</f>
        <v>#VALUE!</v>
      </c>
      <c r="BO105" s="370" t="e">
        <f aca="false">xSPRDOPT($BW105,$BV105,$CG105,0,$BY105,$BX105,$BZ105,$AJ105,1,0)</f>
        <v>#NAME?</v>
      </c>
      <c r="BP105" s="370"/>
      <c r="BQ105" s="370"/>
      <c r="BR105" s="370"/>
      <c r="BS105" s="370"/>
      <c r="BV105" s="508" t="n">
        <v>4.02073849266566</v>
      </c>
      <c r="BW105" s="369" t="n">
        <v>4.1045</v>
      </c>
      <c r="BX105" s="370" t="n">
        <v>0.246147380478821</v>
      </c>
      <c r="BY105" s="370" t="n">
        <v>0.244759570822632</v>
      </c>
      <c r="BZ105" s="370" t="n">
        <v>0.994804152160277</v>
      </c>
      <c r="CA105" s="370" t="n">
        <v>0.0580100911627719</v>
      </c>
      <c r="CB105" s="370" t="n">
        <v>0.669992509061986</v>
      </c>
      <c r="CC105" s="505" t="n">
        <v>0.005</v>
      </c>
      <c r="CD105" s="505" t="n">
        <v>0.03</v>
      </c>
      <c r="CE105" s="505" t="n">
        <v>0.13</v>
      </c>
      <c r="CF105" s="505" t="n">
        <v>0.035</v>
      </c>
      <c r="CG105" s="505" t="n">
        <v>0</v>
      </c>
      <c r="CH105" s="505" t="n">
        <v>2.97215376944987</v>
      </c>
      <c r="CI105" s="505" t="n">
        <v>3.9395</v>
      </c>
      <c r="CJ105" s="505"/>
      <c r="CK105" s="505"/>
      <c r="CL105" s="505"/>
      <c r="CM105" s="505"/>
    </row>
    <row r="106" customFormat="false" ht="12.75" hidden="false" customHeight="false" outlineLevel="0" collapsed="false">
      <c r="A106" s="500"/>
      <c r="B106" s="500"/>
      <c r="D106" s="361" t="e">
        <f aca="false">D105+AH105</f>
        <v>#VALUE!</v>
      </c>
      <c r="F106" s="362" t="e">
        <f aca="false">VLOOKUP(AG106,$AL$4:$AS$15,2)</f>
        <v>#VALUE!</v>
      </c>
      <c r="G106" s="362" t="e">
        <f aca="false">F106*$AU106</f>
        <v>#VALUE!</v>
      </c>
      <c r="H106" s="363" t="e">
        <f aca="false">(AL106+AM106+AN106)/(1-(AR106))</f>
        <v>#VALUE!</v>
      </c>
      <c r="I106" s="363" t="e">
        <f aca="false">(AL106+AO106+AP106)</f>
        <v>#VALUE!</v>
      </c>
      <c r="K106" s="363" t="e">
        <f aca="false">MAX(((I106-H106)-AQ106)*AU106*AH106,0)</f>
        <v>#VALUE!</v>
      </c>
      <c r="L106" s="501" t="e">
        <f aca="false">MAX(Q106-K106,0)</f>
        <v>#VALUE!</v>
      </c>
      <c r="N106" s="502" t="e">
        <f aca="false">SQRT(($AX106^2*($AH106/2)+$AW106^2*$AI106)/(($AH106/2)+$AI106))</f>
        <v>#VALUE!</v>
      </c>
      <c r="O106" s="502" t="e">
        <f aca="false">SQRT(($AY106^2*($AH106/2)+$AW106^2*$AI106)/(($AH106/2)+$AI106))</f>
        <v>#VALUE!</v>
      </c>
      <c r="P106" s="371" t="e">
        <f aca="false">(VLOOKUP(AI106,CorrelationTwo,2)*(AW106^2)*AI106+VLOOKUP(D106,CorrelationOne,$AK$9)*AX106*AY106*(AH106/2))/((AI106+(AH106/2))*O106*N106)*AF106</f>
        <v>#VALUE!</v>
      </c>
      <c r="Q106" s="501" t="e">
        <f aca="false">xSPRDOPT(I106,H106,AQ106,0,O106,N106,P106,D106-$G$5,1,0)*AH106*AU106</f>
        <v>#VALUE!</v>
      </c>
      <c r="R106" s="501"/>
      <c r="S106" s="365" t="e">
        <f aca="false">xSPRDOPT(I106,H106,AQ106,AT106,O106,N106,P106,D106-$G$5,1,2)*AF106*(F106/(1-AR106))*AH106</f>
        <v>#VALUE!</v>
      </c>
      <c r="T106" s="365" t="e">
        <f aca="false">xSPRDOPT(I106,H106,AQ106,AT106,O106,N106,P106,D106-$G$5,1,1)*AF106*F106*AH106</f>
        <v>#VALUE!</v>
      </c>
      <c r="U106" s="501"/>
      <c r="V106" s="503" t="e">
        <f aca="false">VLOOKUP($AG106,$AL$4:$AS$15,8)*AH106*AU106</f>
        <v>#VALUE!</v>
      </c>
      <c r="W106" s="503"/>
      <c r="X106" s="504" t="e">
        <f aca="false">((BM106*BC106)+(BL106*BB106))*AH106*F106</f>
        <v>#VALUE!</v>
      </c>
      <c r="Y106" s="504" t="e">
        <f aca="false">($F106*$AH106)*((($BG106/2)*($BC106)^2)+(($BF106/2)*($BB106)^2)+($BH106*$BC106*$BB106))</f>
        <v>#VALUE!</v>
      </c>
      <c r="Z106" s="504" t="e">
        <f aca="false">($BI106*$F106*$AH106*($G$5-$BV$5))/365.25</f>
        <v>#VALUE!</v>
      </c>
      <c r="AA106" s="504" t="e">
        <f aca="false">(($BK106*$BE106)+($BJ106*$BD106))*$F106*$AH106*$AF106</f>
        <v>#VALUE!</v>
      </c>
      <c r="AB106" s="504" t="e">
        <f aca="false">BN106*(AT106-CA106)*F106*AH106</f>
        <v>#VALUE!</v>
      </c>
      <c r="AC106" s="504" t="e">
        <f aca="false">BO106*CB106*F106*AH106*CA106*($G$5-$BV$5)/365.25</f>
        <v>#NAME?</v>
      </c>
      <c r="AF106" s="378" t="e">
        <f aca="false">IF(AND(D106&gt;=$G$7,D106&lt;=$G$8),1,0)</f>
        <v>#VALUE!</v>
      </c>
      <c r="AG106" s="378" t="e">
        <f aca="false">MONTH(D106)</f>
        <v>#VALUE!</v>
      </c>
      <c r="AH106" s="378" t="e">
        <f aca="false">(EOMONTH(D106,0)-EOMONTH(D106-DAY(D106),0))*AF106</f>
        <v>#VALUE!</v>
      </c>
      <c r="AI106" s="378" t="e">
        <f aca="false">AI105+AH105</f>
        <v>#VALUE!</v>
      </c>
      <c r="AJ106" s="378" t="e">
        <f aca="false">D106-$BV$5</f>
        <v>#VALUE!</v>
      </c>
      <c r="AL106" s="369" t="e">
        <f aca="false">VLOOKUP($D106,CurveTbl,$AK$4)</f>
        <v>#VALUE!</v>
      </c>
      <c r="AM106" s="505" t="e">
        <f aca="false">VLOOKUP($D106,CurveTbl,$AH$3)</f>
        <v>#VALUE!</v>
      </c>
      <c r="AN106" s="505" t="e">
        <f aca="false">VLOOKUP($D106,CurveTbl,$AH$4)+VLOOKUP($AG106,$AL$3:$AS$15,6)</f>
        <v>#VALUE!</v>
      </c>
      <c r="AO106" s="505" t="e">
        <f aca="false">VLOOKUP($D106,CurveTbl,$AH$5)</f>
        <v>#VALUE!</v>
      </c>
      <c r="AP106" s="505" t="e">
        <f aca="false">VLOOKUP($D106,CurveTbl,$AH$6)+VLOOKUP($AG106,$AL$3:$AS$15,7)</f>
        <v>#VALUE!</v>
      </c>
      <c r="AQ106" s="369" t="e">
        <f aca="false">VLOOKUP($AG106,$AL$4:$AS$15,3)+VLOOKUP($AG106,$AL$4:$AS$15,5)+($AH$10*VLOOKUP(D106,GRITable,2))</f>
        <v>#VALUE!</v>
      </c>
      <c r="AR106" s="370" t="e">
        <f aca="false">VLOOKUP($AG106,$AL$4:$AS$15,4)</f>
        <v>#VALUE!</v>
      </c>
      <c r="AS106" s="369" t="e">
        <f aca="false">(AL106+AM106+AN106)</f>
        <v>#VALUE!</v>
      </c>
      <c r="AT106" s="370" t="e">
        <f aca="false">VLOOKUP(D106,CurveTbl,$AK$6)</f>
        <v>#VALUE!</v>
      </c>
      <c r="AU106" s="370" t="e">
        <f aca="false">(1+$AT106/2)^(-2*($D106-$G$5)/365.25)*$AF106</f>
        <v>#VALUE!</v>
      </c>
      <c r="AV106" s="506" t="e">
        <f aca="false">ROUND((F106/(1-AR106))-F106,0)*AF106*AH106*AU106</f>
        <v>#VALUE!</v>
      </c>
      <c r="AW106" s="370" t="e">
        <f aca="false">VLOOKUP($D106,CurveTbl,$AK$8)</f>
        <v>#VALUE!</v>
      </c>
      <c r="AX106" s="370" t="e">
        <f aca="false">VLOOKUP($D106,CurveTbl,$AH$7)</f>
        <v>#VALUE!</v>
      </c>
      <c r="AY106" s="370" t="e">
        <f aca="false">VLOOKUP($D106,CurveTbl,$AH$8)</f>
        <v>#VALUE!</v>
      </c>
      <c r="AZ106" s="370"/>
      <c r="BA106" s="507"/>
      <c r="BB106" s="505" t="e">
        <f aca="false">$H106-$BV106</f>
        <v>#VALUE!</v>
      </c>
      <c r="BC106" s="505" t="e">
        <f aca="false">I106-BW106</f>
        <v>#VALUE!</v>
      </c>
      <c r="BD106" s="370" t="e">
        <f aca="false">N106-BX106</f>
        <v>#VALUE!</v>
      </c>
      <c r="BE106" s="370" t="e">
        <f aca="false">O106-BY106</f>
        <v>#VALUE!</v>
      </c>
      <c r="BF106" s="370" t="e">
        <f aca="false">xSPRDOPT($BW106,$BV106,$CG106,0,$BY106,$BX106,$BZ106,$AJ106,1,4)*$CB106</f>
        <v>#NAME?</v>
      </c>
      <c r="BG106" s="370" t="e">
        <f aca="false">xSPRDOPT($BW106,$BV106,$CG106,0,$BY106,$BX106,$BZ106,$AJ106,1,3)*$CB106</f>
        <v>#NAME?</v>
      </c>
      <c r="BH106" s="370" t="e">
        <f aca="false">IF(OR(BF106&lt;&gt;0,BG106&lt;&gt;0),xSPRDOPT($BW106,$BV106,$CG106,0,$BY106,$BX106,$BZ106,$AJ106,1,12)*$CB106,0)</f>
        <v>#NAME?</v>
      </c>
      <c r="BI106" s="370" t="e">
        <f aca="false">xSPRDOPT($BW106,$BV106,$CG106,2*LN(1+CA106/2),$BY106,$BX106,$BZ106,$AJ106,1,9)</f>
        <v>#NAME?</v>
      </c>
      <c r="BJ106" s="370" t="e">
        <f aca="false">xSPRDOPT($BW106,$BV106,$CG106,0,$BY106,$BX106,$BZ106,$AJ106,1,6)*$CB106</f>
        <v>#NAME?</v>
      </c>
      <c r="BK106" s="370" t="e">
        <f aca="false">xSPRDOPT($BW106,$BV106,$CG106,0,$BY106,$BX106,$BZ106,$AJ106,1,5)*$CB106</f>
        <v>#NAME?</v>
      </c>
      <c r="BL106" s="370" t="e">
        <f aca="false">xSPRDOPT(BW106,BV106,CG106,0,BY106,BX106,BZ106,AJ106,1,2)*CB106</f>
        <v>#NAME?</v>
      </c>
      <c r="BM106" s="370" t="e">
        <f aca="false">xSPRDOPT(BW106,BV106,CG106,0,BY106,BX106,BZ106,AJ106,1,1)*CB106</f>
        <v>#NAME?</v>
      </c>
      <c r="BN106" s="370" t="e">
        <f aca="false">IF(AH106&lt;&gt;0,xSPRDOPT($BW106,$BV106,$CG106,2*LN(1+CA106/2),$BY106,$BX106,$BZ106,$AJ106,1,8)+(AJ106/365.25)*CH106/AH106,0)</f>
        <v>#VALUE!</v>
      </c>
      <c r="BO106" s="370" t="e">
        <f aca="false">xSPRDOPT($BW106,$BV106,$CG106,0,$BY106,$BX106,$BZ106,$AJ106,1,0)</f>
        <v>#NAME?</v>
      </c>
      <c r="BP106" s="370"/>
      <c r="BQ106" s="370"/>
      <c r="BR106" s="370"/>
      <c r="BS106" s="370"/>
      <c r="BV106" s="508" t="n">
        <v>4.09408194233687</v>
      </c>
      <c r="BW106" s="369" t="n">
        <v>4.157</v>
      </c>
      <c r="BX106" s="370" t="n">
        <v>0.245960415041174</v>
      </c>
      <c r="BY106" s="370" t="n">
        <v>0.244588211423491</v>
      </c>
      <c r="BZ106" s="370" t="n">
        <v>0.994858661677749</v>
      </c>
      <c r="CA106" s="370" t="n">
        <v>0.0581602801293144</v>
      </c>
      <c r="CB106" s="370" t="n">
        <v>0.666059185357402</v>
      </c>
      <c r="CC106" s="505" t="n">
        <v>0.025</v>
      </c>
      <c r="CD106" s="505" t="n">
        <v>0.03</v>
      </c>
      <c r="CE106" s="505" t="n">
        <v>0.13</v>
      </c>
      <c r="CF106" s="505" t="n">
        <v>0.035</v>
      </c>
      <c r="CG106" s="505" t="n">
        <v>0</v>
      </c>
      <c r="CH106" s="505" t="n">
        <v>2.95470515216397</v>
      </c>
      <c r="CI106" s="505" t="n">
        <v>3.992</v>
      </c>
      <c r="CJ106" s="505"/>
      <c r="CK106" s="505"/>
      <c r="CL106" s="505"/>
      <c r="CM106" s="505"/>
    </row>
    <row r="107" customFormat="false" ht="12.75" hidden="false" customHeight="false" outlineLevel="0" collapsed="false">
      <c r="A107" s="500"/>
      <c r="B107" s="500"/>
      <c r="D107" s="361" t="e">
        <f aca="false">D106+AH106</f>
        <v>#VALUE!</v>
      </c>
      <c r="F107" s="362" t="e">
        <f aca="false">VLOOKUP(AG107,$AL$4:$AS$15,2)</f>
        <v>#VALUE!</v>
      </c>
      <c r="G107" s="362" t="e">
        <f aca="false">F107*$AU107</f>
        <v>#VALUE!</v>
      </c>
      <c r="H107" s="363" t="e">
        <f aca="false">(AL107+AM107+AN107)/(1-(AR107))</f>
        <v>#VALUE!</v>
      </c>
      <c r="I107" s="363" t="e">
        <f aca="false">(AL107+AO107+AP107)</f>
        <v>#VALUE!</v>
      </c>
      <c r="K107" s="363" t="e">
        <f aca="false">MAX(((I107-H107)-AQ107)*AU107*AH107,0)</f>
        <v>#VALUE!</v>
      </c>
      <c r="L107" s="501" t="e">
        <f aca="false">MAX(Q107-K107,0)</f>
        <v>#VALUE!</v>
      </c>
      <c r="N107" s="502" t="e">
        <f aca="false">SQRT(($AX107^2*($AH107/2)+$AW107^2*$AI107)/(($AH107/2)+$AI107))</f>
        <v>#VALUE!</v>
      </c>
      <c r="O107" s="502" t="e">
        <f aca="false">SQRT(($AY107^2*($AH107/2)+$AW107^2*$AI107)/(($AH107/2)+$AI107))</f>
        <v>#VALUE!</v>
      </c>
      <c r="P107" s="371" t="e">
        <f aca="false">(VLOOKUP(AI107,CorrelationTwo,2)*(AW107^2)*AI107+VLOOKUP(D107,CorrelationOne,$AK$9)*AX107*AY107*(AH107/2))/((AI107+(AH107/2))*O107*N107)*AF107</f>
        <v>#VALUE!</v>
      </c>
      <c r="Q107" s="501" t="e">
        <f aca="false">xSPRDOPT(I107,H107,AQ107,0,O107,N107,P107,D107-$G$5,1,0)*AH107*AU107</f>
        <v>#VALUE!</v>
      </c>
      <c r="R107" s="501"/>
      <c r="S107" s="365" t="e">
        <f aca="false">xSPRDOPT(I107,H107,AQ107,AT107,O107,N107,P107,D107-$G$5,1,2)*AF107*(F107/(1-AR107))*AH107</f>
        <v>#VALUE!</v>
      </c>
      <c r="T107" s="365" t="e">
        <f aca="false">xSPRDOPT(I107,H107,AQ107,AT107,O107,N107,P107,D107-$G$5,1,1)*AF107*F107*AH107</f>
        <v>#VALUE!</v>
      </c>
      <c r="U107" s="501"/>
      <c r="V107" s="503" t="e">
        <f aca="false">VLOOKUP($AG107,$AL$4:$AS$15,8)*AH107*AU107</f>
        <v>#VALUE!</v>
      </c>
      <c r="W107" s="503"/>
      <c r="X107" s="504" t="e">
        <f aca="false">((BM107*BC107)+(BL107*BB107))*AH107*F107</f>
        <v>#VALUE!</v>
      </c>
      <c r="Y107" s="504" t="e">
        <f aca="false">($F107*$AH107)*((($BG107/2)*($BC107)^2)+(($BF107/2)*($BB107)^2)+($BH107*$BC107*$BB107))</f>
        <v>#VALUE!</v>
      </c>
      <c r="Z107" s="504" t="e">
        <f aca="false">($BI107*$F107*$AH107*($G$5-$BV$5))/365.25</f>
        <v>#VALUE!</v>
      </c>
      <c r="AA107" s="504" t="e">
        <f aca="false">(($BK107*$BE107)+($BJ107*$BD107))*$F107*$AH107*$AF107</f>
        <v>#VALUE!</v>
      </c>
      <c r="AB107" s="504" t="e">
        <f aca="false">BN107*(AT107-CA107)*F107*AH107</f>
        <v>#VALUE!</v>
      </c>
      <c r="AC107" s="504" t="e">
        <f aca="false">BO107*CB107*F107*AH107*CA107*($G$5-$BV$5)/365.25</f>
        <v>#NAME?</v>
      </c>
      <c r="AF107" s="378" t="e">
        <f aca="false">IF(AND(D107&gt;=$G$7,D107&lt;=$G$8),1,0)</f>
        <v>#VALUE!</v>
      </c>
      <c r="AG107" s="378" t="e">
        <f aca="false">MONTH(D107)</f>
        <v>#VALUE!</v>
      </c>
      <c r="AH107" s="378" t="e">
        <f aca="false">(EOMONTH(D107,0)-EOMONTH(D107-DAY(D107),0))*AF107</f>
        <v>#VALUE!</v>
      </c>
      <c r="AI107" s="378" t="e">
        <f aca="false">AI106+AH106</f>
        <v>#VALUE!</v>
      </c>
      <c r="AJ107" s="378" t="e">
        <f aca="false">D107-$BV$5</f>
        <v>#VALUE!</v>
      </c>
      <c r="AL107" s="369" t="e">
        <f aca="false">VLOOKUP($D107,CurveTbl,$AK$4)</f>
        <v>#VALUE!</v>
      </c>
      <c r="AM107" s="505" t="e">
        <f aca="false">VLOOKUP($D107,CurveTbl,$AH$3)</f>
        <v>#VALUE!</v>
      </c>
      <c r="AN107" s="505" t="e">
        <f aca="false">VLOOKUP($D107,CurveTbl,$AH$4)+VLOOKUP($AG107,$AL$3:$AS$15,6)</f>
        <v>#VALUE!</v>
      </c>
      <c r="AO107" s="505" t="e">
        <f aca="false">VLOOKUP($D107,CurveTbl,$AH$5)</f>
        <v>#VALUE!</v>
      </c>
      <c r="AP107" s="505" t="e">
        <f aca="false">VLOOKUP($D107,CurveTbl,$AH$6)+VLOOKUP($AG107,$AL$3:$AS$15,7)</f>
        <v>#VALUE!</v>
      </c>
      <c r="AQ107" s="369" t="e">
        <f aca="false">VLOOKUP($AG107,$AL$4:$AS$15,3)+VLOOKUP($AG107,$AL$4:$AS$15,5)+($AH$10*VLOOKUP(D107,GRITable,2))</f>
        <v>#VALUE!</v>
      </c>
      <c r="AR107" s="370" t="e">
        <f aca="false">VLOOKUP($AG107,$AL$4:$AS$15,4)</f>
        <v>#VALUE!</v>
      </c>
      <c r="AS107" s="369" t="e">
        <f aca="false">(AL107+AM107+AN107)</f>
        <v>#VALUE!</v>
      </c>
      <c r="AT107" s="370" t="e">
        <f aca="false">VLOOKUP(D107,CurveTbl,$AK$6)</f>
        <v>#VALUE!</v>
      </c>
      <c r="AU107" s="370" t="e">
        <f aca="false">(1+$AT107/2)^(-2*($D107-$G$5)/365.25)*$AF107</f>
        <v>#VALUE!</v>
      </c>
      <c r="AV107" s="506" t="e">
        <f aca="false">ROUND((F107/(1-AR107))-F107,0)*AF107*AH107*AU107</f>
        <v>#VALUE!</v>
      </c>
      <c r="AW107" s="370" t="e">
        <f aca="false">VLOOKUP($D107,CurveTbl,$AK$8)</f>
        <v>#VALUE!</v>
      </c>
      <c r="AX107" s="370" t="e">
        <f aca="false">VLOOKUP($D107,CurveTbl,$AH$7)</f>
        <v>#VALUE!</v>
      </c>
      <c r="AY107" s="370" t="e">
        <f aca="false">VLOOKUP($D107,CurveTbl,$AH$8)</f>
        <v>#VALUE!</v>
      </c>
      <c r="AZ107" s="370"/>
      <c r="BA107" s="507"/>
      <c r="BB107" s="505" t="e">
        <f aca="false">$H107-$BV107</f>
        <v>#VALUE!</v>
      </c>
      <c r="BC107" s="505" t="e">
        <f aca="false">I107-BW107</f>
        <v>#VALUE!</v>
      </c>
      <c r="BD107" s="370" t="e">
        <f aca="false">N107-BX107</f>
        <v>#VALUE!</v>
      </c>
      <c r="BE107" s="370" t="e">
        <f aca="false">O107-BY107</f>
        <v>#VALUE!</v>
      </c>
      <c r="BF107" s="370" t="e">
        <f aca="false">xSPRDOPT($BW107,$BV107,$CG107,0,$BY107,$BX107,$BZ107,$AJ107,1,4)*$CB107</f>
        <v>#NAME?</v>
      </c>
      <c r="BG107" s="370" t="e">
        <f aca="false">xSPRDOPT($BW107,$BV107,$CG107,0,$BY107,$BX107,$BZ107,$AJ107,1,3)*$CB107</f>
        <v>#NAME?</v>
      </c>
      <c r="BH107" s="370" t="e">
        <f aca="false">IF(OR(BF107&lt;&gt;0,BG107&lt;&gt;0),xSPRDOPT($BW107,$BV107,$CG107,0,$BY107,$BX107,$BZ107,$AJ107,1,12)*$CB107,0)</f>
        <v>#NAME?</v>
      </c>
      <c r="BI107" s="370" t="e">
        <f aca="false">xSPRDOPT($BW107,$BV107,$CG107,2*LN(1+CA107/2),$BY107,$BX107,$BZ107,$AJ107,1,9)</f>
        <v>#NAME?</v>
      </c>
      <c r="BJ107" s="370" t="e">
        <f aca="false">xSPRDOPT($BW107,$BV107,$CG107,0,$BY107,$BX107,$BZ107,$AJ107,1,6)*$CB107</f>
        <v>#NAME?</v>
      </c>
      <c r="BK107" s="370" t="e">
        <f aca="false">xSPRDOPT($BW107,$BV107,$CG107,0,$BY107,$BX107,$BZ107,$AJ107,1,5)*$CB107</f>
        <v>#NAME?</v>
      </c>
      <c r="BL107" s="370" t="e">
        <f aca="false">xSPRDOPT(BW107,BV107,CG107,0,BY107,BX107,BZ107,AJ107,1,2)*CB107</f>
        <v>#NAME?</v>
      </c>
      <c r="BM107" s="370" t="e">
        <f aca="false">xSPRDOPT(BW107,BV107,CG107,0,BY107,BX107,BZ107,AJ107,1,1)*CB107</f>
        <v>#NAME?</v>
      </c>
      <c r="BN107" s="370" t="e">
        <f aca="false">IF(AH107&lt;&gt;0,xSPRDOPT($BW107,$BV107,$CG107,2*LN(1+CA107/2),$BY107,$BX107,$BZ107,$AJ107,1,8)+(AJ107/365.25)*CH107/AH107,0)</f>
        <v>#VALUE!</v>
      </c>
      <c r="BO107" s="370" t="e">
        <f aca="false">xSPRDOPT($BW107,$BV107,$CG107,0,$BY107,$BX107,$BZ107,$AJ107,1,0)</f>
        <v>#NAME?</v>
      </c>
      <c r="BP107" s="370"/>
      <c r="BQ107" s="370"/>
      <c r="BR107" s="370"/>
      <c r="BS107" s="370"/>
      <c r="BV107" s="508" t="n">
        <v>4.00303490136571</v>
      </c>
      <c r="BW107" s="369" t="n">
        <v>4.072</v>
      </c>
      <c r="BX107" s="370" t="n">
        <v>0.24196380675346</v>
      </c>
      <c r="BY107" s="370" t="n">
        <v>0.240718380562137</v>
      </c>
      <c r="BZ107" s="370" t="n">
        <v>0.995256504734596</v>
      </c>
      <c r="CA107" s="370" t="n">
        <v>0.0582693930542924</v>
      </c>
      <c r="CB107" s="370" t="n">
        <v>0.662322195804784</v>
      </c>
      <c r="CC107" s="505" t="n">
        <v>0.02</v>
      </c>
      <c r="CD107" s="505" t="n">
        <v>0.03</v>
      </c>
      <c r="CE107" s="505" t="n">
        <v>0.13</v>
      </c>
      <c r="CF107" s="505" t="n">
        <v>0.035</v>
      </c>
      <c r="CG107" s="505" t="n">
        <v>0</v>
      </c>
      <c r="CH107" s="505" t="n">
        <v>2.65379257415061</v>
      </c>
      <c r="CI107" s="505" t="n">
        <v>3.907</v>
      </c>
      <c r="CJ107" s="505"/>
      <c r="CK107" s="505"/>
      <c r="CL107" s="505"/>
      <c r="CM107" s="505"/>
    </row>
    <row r="108" customFormat="false" ht="12.75" hidden="false" customHeight="false" outlineLevel="0" collapsed="false">
      <c r="A108" s="500"/>
      <c r="B108" s="500"/>
      <c r="D108" s="361" t="e">
        <f aca="false">D107+AH107</f>
        <v>#VALUE!</v>
      </c>
      <c r="F108" s="362" t="e">
        <f aca="false">VLOOKUP(AG108,$AL$4:$AS$15,2)</f>
        <v>#VALUE!</v>
      </c>
      <c r="G108" s="362" t="e">
        <f aca="false">F108*$AU108</f>
        <v>#VALUE!</v>
      </c>
      <c r="H108" s="363" t="e">
        <f aca="false">(AL108+AM108+AN108)/(1-(AR108))</f>
        <v>#VALUE!</v>
      </c>
      <c r="I108" s="363" t="e">
        <f aca="false">(AL108+AO108+AP108)</f>
        <v>#VALUE!</v>
      </c>
      <c r="K108" s="363" t="e">
        <f aca="false">MAX(((I108-H108)-AQ108)*AU108*AH108,0)</f>
        <v>#VALUE!</v>
      </c>
      <c r="L108" s="501" t="e">
        <f aca="false">MAX(Q108-K108,0)</f>
        <v>#VALUE!</v>
      </c>
      <c r="N108" s="502" t="e">
        <f aca="false">SQRT(($AX108^2*($AH108/2)+$AW108^2*$AI108)/(($AH108/2)+$AI108))</f>
        <v>#VALUE!</v>
      </c>
      <c r="O108" s="502" t="e">
        <f aca="false">SQRT(($AY108^2*($AH108/2)+$AW108^2*$AI108)/(($AH108/2)+$AI108))</f>
        <v>#VALUE!</v>
      </c>
      <c r="P108" s="371" t="e">
        <f aca="false">(VLOOKUP(AI108,CorrelationTwo,2)*(AW108^2)*AI108+VLOOKUP(D108,CorrelationOne,$AK$9)*AX108*AY108*(AH108/2))/((AI108+(AH108/2))*O108*N108)*AF108</f>
        <v>#VALUE!</v>
      </c>
      <c r="Q108" s="501" t="e">
        <f aca="false">xSPRDOPT(I108,H108,AQ108,0,O108,N108,P108,D108-$G$5,1,0)*AH108*AU108</f>
        <v>#VALUE!</v>
      </c>
      <c r="R108" s="501"/>
      <c r="S108" s="365" t="e">
        <f aca="false">xSPRDOPT(I108,H108,AQ108,AT108,O108,N108,P108,D108-$G$5,1,2)*AF108*(F108/(1-AR108))*AH108</f>
        <v>#VALUE!</v>
      </c>
      <c r="T108" s="365" t="e">
        <f aca="false">xSPRDOPT(I108,H108,AQ108,AT108,O108,N108,P108,D108-$G$5,1,1)*AF108*F108*AH108</f>
        <v>#VALUE!</v>
      </c>
      <c r="U108" s="501"/>
      <c r="V108" s="503" t="e">
        <f aca="false">VLOOKUP($AG108,$AL$4:$AS$15,8)*AH108*AU108</f>
        <v>#VALUE!</v>
      </c>
      <c r="W108" s="503"/>
      <c r="X108" s="504" t="e">
        <f aca="false">((BM108*BC108)+(BL108*BB108))*AH108*F108</f>
        <v>#VALUE!</v>
      </c>
      <c r="Y108" s="504" t="e">
        <f aca="false">($F108*$AH108)*((($BG108/2)*($BC108)^2)+(($BF108/2)*($BB108)^2)+($BH108*$BC108*$BB108))</f>
        <v>#VALUE!</v>
      </c>
      <c r="Z108" s="504" t="e">
        <f aca="false">($BI108*$F108*$AH108*($G$5-$BV$5))/365.25</f>
        <v>#VALUE!</v>
      </c>
      <c r="AA108" s="504" t="e">
        <f aca="false">(($BK108*$BE108)+($BJ108*$BD108))*$F108*$AH108*$AF108</f>
        <v>#VALUE!</v>
      </c>
      <c r="AB108" s="504" t="e">
        <f aca="false">BN108*(AT108-CA108)*F108*AH108</f>
        <v>#VALUE!</v>
      </c>
      <c r="AC108" s="504" t="e">
        <f aca="false">BO108*CB108*F108*AH108*CA108*($G$5-$BV$5)/365.25</f>
        <v>#NAME?</v>
      </c>
      <c r="AF108" s="378" t="e">
        <f aca="false">IF(AND(D108&gt;=$G$7,D108&lt;=$G$8),1,0)</f>
        <v>#VALUE!</v>
      </c>
      <c r="AG108" s="378" t="e">
        <f aca="false">MONTH(D108)</f>
        <v>#VALUE!</v>
      </c>
      <c r="AH108" s="378" t="e">
        <f aca="false">(EOMONTH(D108,0)-EOMONTH(D108-DAY(D108),0))*AF108</f>
        <v>#VALUE!</v>
      </c>
      <c r="AI108" s="378" t="e">
        <f aca="false">AI107+AH107</f>
        <v>#VALUE!</v>
      </c>
      <c r="AJ108" s="378" t="e">
        <f aca="false">D108-$BV$5</f>
        <v>#VALUE!</v>
      </c>
      <c r="AL108" s="369" t="e">
        <f aca="false">VLOOKUP($D108,CurveTbl,$AK$4)</f>
        <v>#VALUE!</v>
      </c>
      <c r="AM108" s="505" t="e">
        <f aca="false">VLOOKUP($D108,CurveTbl,$AH$3)</f>
        <v>#VALUE!</v>
      </c>
      <c r="AN108" s="505" t="e">
        <f aca="false">VLOOKUP($D108,CurveTbl,$AH$4)+VLOOKUP($AG108,$AL$3:$AS$15,6)</f>
        <v>#VALUE!</v>
      </c>
      <c r="AO108" s="505" t="e">
        <f aca="false">VLOOKUP($D108,CurveTbl,$AH$5)</f>
        <v>#VALUE!</v>
      </c>
      <c r="AP108" s="505" t="e">
        <f aca="false">VLOOKUP($D108,CurveTbl,$AH$6)+VLOOKUP($AG108,$AL$3:$AS$15,7)</f>
        <v>#VALUE!</v>
      </c>
      <c r="AQ108" s="369" t="e">
        <f aca="false">VLOOKUP($AG108,$AL$4:$AS$15,3)+VLOOKUP($AG108,$AL$4:$AS$15,5)+($AH$10*VLOOKUP(D108,GRITable,2))</f>
        <v>#VALUE!</v>
      </c>
      <c r="AR108" s="370" t="e">
        <f aca="false">VLOOKUP($AG108,$AL$4:$AS$15,4)</f>
        <v>#VALUE!</v>
      </c>
      <c r="AS108" s="369" t="e">
        <f aca="false">(AL108+AM108+AN108)</f>
        <v>#VALUE!</v>
      </c>
      <c r="AT108" s="370" t="e">
        <f aca="false">VLOOKUP(D108,CurveTbl,$AK$6)</f>
        <v>#VALUE!</v>
      </c>
      <c r="AU108" s="370" t="e">
        <f aca="false">(1+$AT108/2)^(-2*($D108-$G$5)/365.25)*$AF108</f>
        <v>#VALUE!</v>
      </c>
      <c r="AV108" s="506" t="e">
        <f aca="false">ROUND((F108/(1-AR108))-F108,0)*AF108*AH108*AU108</f>
        <v>#VALUE!</v>
      </c>
      <c r="AW108" s="370" t="e">
        <f aca="false">VLOOKUP($D108,CurveTbl,$AK$8)</f>
        <v>#VALUE!</v>
      </c>
      <c r="AX108" s="370" t="e">
        <f aca="false">VLOOKUP($D108,CurveTbl,$AH$7)</f>
        <v>#VALUE!</v>
      </c>
      <c r="AY108" s="370" t="e">
        <f aca="false">VLOOKUP($D108,CurveTbl,$AH$8)</f>
        <v>#VALUE!</v>
      </c>
      <c r="AZ108" s="370"/>
      <c r="BA108" s="507"/>
      <c r="BB108" s="505" t="e">
        <f aca="false">$H108-$BV108</f>
        <v>#VALUE!</v>
      </c>
      <c r="BC108" s="505" t="e">
        <f aca="false">I108-BW108</f>
        <v>#VALUE!</v>
      </c>
      <c r="BD108" s="370" t="e">
        <f aca="false">N108-BX108</f>
        <v>#VALUE!</v>
      </c>
      <c r="BE108" s="370" t="e">
        <f aca="false">O108-BY108</f>
        <v>#VALUE!</v>
      </c>
      <c r="BF108" s="370" t="e">
        <f aca="false">xSPRDOPT($BW108,$BV108,$CG108,0,$BY108,$BX108,$BZ108,$AJ108,1,4)*$CB108</f>
        <v>#NAME?</v>
      </c>
      <c r="BG108" s="370" t="e">
        <f aca="false">xSPRDOPT($BW108,$BV108,$CG108,0,$BY108,$BX108,$BZ108,$AJ108,1,3)*$CB108</f>
        <v>#NAME?</v>
      </c>
      <c r="BH108" s="370" t="e">
        <f aca="false">IF(OR(BF108&lt;&gt;0,BG108&lt;&gt;0),xSPRDOPT($BW108,$BV108,$CG108,0,$BY108,$BX108,$BZ108,$AJ108,1,12)*$CB108,0)</f>
        <v>#NAME?</v>
      </c>
      <c r="BI108" s="370" t="e">
        <f aca="false">xSPRDOPT($BW108,$BV108,$CG108,2*LN(1+CA108/2),$BY108,$BX108,$BZ108,$AJ108,1,9)</f>
        <v>#NAME?</v>
      </c>
      <c r="BJ108" s="370" t="e">
        <f aca="false">xSPRDOPT($BW108,$BV108,$CG108,0,$BY108,$BX108,$BZ108,$AJ108,1,6)*$CB108</f>
        <v>#NAME?</v>
      </c>
      <c r="BK108" s="370" t="e">
        <f aca="false">xSPRDOPT($BW108,$BV108,$CG108,0,$BY108,$BX108,$BZ108,$AJ108,1,5)*$CB108</f>
        <v>#NAME?</v>
      </c>
      <c r="BL108" s="370" t="e">
        <f aca="false">xSPRDOPT(BW108,BV108,CG108,0,BY108,BX108,BZ108,AJ108,1,2)*CB108</f>
        <v>#NAME?</v>
      </c>
      <c r="BM108" s="370" t="e">
        <f aca="false">xSPRDOPT(BW108,BV108,CG108,0,BY108,BX108,BZ108,AJ108,1,1)*CB108</f>
        <v>#NAME?</v>
      </c>
      <c r="BN108" s="370" t="e">
        <f aca="false">IF(AH108&lt;&gt;0,xSPRDOPT($BW108,$BV108,$CG108,2*LN(1+CA108/2),$BY108,$BX108,$BZ108,$AJ108,1,8)+(AJ108/365.25)*CH108/AH108,0)</f>
        <v>#VALUE!</v>
      </c>
      <c r="BO108" s="370" t="e">
        <f aca="false">xSPRDOPT($BW108,$BV108,$CG108,0,$BY108,$BX108,$BZ108,$AJ108,1,0)</f>
        <v>#NAME?</v>
      </c>
      <c r="BP108" s="370"/>
      <c r="BQ108" s="370"/>
      <c r="BR108" s="370"/>
      <c r="BS108" s="370"/>
      <c r="BV108" s="508" t="n">
        <v>3.85128983308042</v>
      </c>
      <c r="BW108" s="369" t="n">
        <v>3.942</v>
      </c>
      <c r="BX108" s="370" t="n">
        <v>0.228787222394039</v>
      </c>
      <c r="BY108" s="370" t="n">
        <v>0.226732369690698</v>
      </c>
      <c r="BZ108" s="370" t="n">
        <v>0.996600985326121</v>
      </c>
      <c r="CA108" s="370" t="n">
        <v>0.058367946667353</v>
      </c>
      <c r="CB108" s="370" t="n">
        <v>0.658954704378408</v>
      </c>
      <c r="CC108" s="505" t="n">
        <v>0</v>
      </c>
      <c r="CD108" s="505" t="n">
        <v>0.03</v>
      </c>
      <c r="CE108" s="505" t="n">
        <v>0.13</v>
      </c>
      <c r="CF108" s="505" t="n">
        <v>0.035</v>
      </c>
      <c r="CG108" s="505" t="n">
        <v>0</v>
      </c>
      <c r="CH108" s="505" t="n">
        <v>2.92318896409306</v>
      </c>
      <c r="CI108" s="505" t="n">
        <v>3.777</v>
      </c>
      <c r="CJ108" s="505"/>
      <c r="CK108" s="505"/>
      <c r="CL108" s="505"/>
      <c r="CM108" s="505"/>
    </row>
    <row r="109" customFormat="false" ht="12.75" hidden="false" customHeight="false" outlineLevel="0" collapsed="false">
      <c r="A109" s="500"/>
      <c r="B109" s="500"/>
      <c r="D109" s="361" t="e">
        <f aca="false">D108+AH108</f>
        <v>#VALUE!</v>
      </c>
      <c r="F109" s="362" t="e">
        <f aca="false">VLOOKUP(AG109,$AL$4:$AS$15,2)</f>
        <v>#VALUE!</v>
      </c>
      <c r="G109" s="362" t="e">
        <f aca="false">F109*$AU109</f>
        <v>#VALUE!</v>
      </c>
      <c r="H109" s="363" t="e">
        <f aca="false">(AL109+AM109+AN109)/(1-(AR109))</f>
        <v>#VALUE!</v>
      </c>
      <c r="I109" s="363" t="e">
        <f aca="false">(AL109+AO109+AP109)</f>
        <v>#VALUE!</v>
      </c>
      <c r="K109" s="363" t="e">
        <f aca="false">MAX(((I109-H109)-AQ109)*AU109*AH109,0)</f>
        <v>#VALUE!</v>
      </c>
      <c r="L109" s="501" t="e">
        <f aca="false">MAX(Q109-K109,0)</f>
        <v>#VALUE!</v>
      </c>
      <c r="N109" s="502" t="e">
        <f aca="false">SQRT(($AX109^2*($AH109/2)+$AW109^2*$AI109)/(($AH109/2)+$AI109))</f>
        <v>#VALUE!</v>
      </c>
      <c r="O109" s="502" t="e">
        <f aca="false">SQRT(($AY109^2*($AH109/2)+$AW109^2*$AI109)/(($AH109/2)+$AI109))</f>
        <v>#VALUE!</v>
      </c>
      <c r="P109" s="371" t="e">
        <f aca="false">(VLOOKUP(AI109,CorrelationTwo,2)*(AW109^2)*AI109+VLOOKUP(D109,CorrelationOne,$AK$9)*AX109*AY109*(AH109/2))/((AI109+(AH109/2))*O109*N109)*AF109</f>
        <v>#VALUE!</v>
      </c>
      <c r="Q109" s="501" t="e">
        <f aca="false">xSPRDOPT(I109,H109,AQ109,0,O109,N109,P109,D109-$G$5,1,0)*AH109*AU109</f>
        <v>#VALUE!</v>
      </c>
      <c r="R109" s="501"/>
      <c r="S109" s="365" t="e">
        <f aca="false">xSPRDOPT(I109,H109,AQ109,AT109,O109,N109,P109,D109-$G$5,1,2)*AF109*(F109/(1-AR109))*AH109</f>
        <v>#VALUE!</v>
      </c>
      <c r="T109" s="365" t="e">
        <f aca="false">xSPRDOPT(I109,H109,AQ109,AT109,O109,N109,P109,D109-$G$5,1,1)*AF109*F109*AH109</f>
        <v>#VALUE!</v>
      </c>
      <c r="U109" s="501"/>
      <c r="V109" s="503" t="e">
        <f aca="false">VLOOKUP($AG109,$AL$4:$AS$15,8)*AH109*AU109</f>
        <v>#VALUE!</v>
      </c>
      <c r="W109" s="503"/>
      <c r="X109" s="504" t="e">
        <f aca="false">((BM109*BC109)+(BL109*BB109))*AH109*F109</f>
        <v>#VALUE!</v>
      </c>
      <c r="Y109" s="504" t="e">
        <f aca="false">($F109*$AH109)*((($BG109/2)*($BC109)^2)+(($BF109/2)*($BB109)^2)+($BH109*$BC109*$BB109))</f>
        <v>#VALUE!</v>
      </c>
      <c r="Z109" s="504" t="e">
        <f aca="false">($BI109*$F109*$AH109*($G$5-$BV$5))/365.25</f>
        <v>#VALUE!</v>
      </c>
      <c r="AA109" s="504" t="e">
        <f aca="false">(($BK109*$BE109)+($BJ109*$BD109))*$F109*$AH109*$AF109</f>
        <v>#VALUE!</v>
      </c>
      <c r="AB109" s="504" t="e">
        <f aca="false">BN109*(AT109-CA109)*F109*AH109</f>
        <v>#VALUE!</v>
      </c>
      <c r="AC109" s="504" t="e">
        <f aca="false">BO109*CB109*F109*AH109*CA109*($G$5-$BV$5)/365.25</f>
        <v>#NAME?</v>
      </c>
      <c r="AF109" s="378" t="e">
        <f aca="false">IF(AND(D109&gt;=$G$7,D109&lt;=$G$8),1,0)</f>
        <v>#VALUE!</v>
      </c>
      <c r="AG109" s="378" t="e">
        <f aca="false">MONTH(D109)</f>
        <v>#VALUE!</v>
      </c>
      <c r="AH109" s="378" t="e">
        <f aca="false">(EOMONTH(D109,0)-EOMONTH(D109-DAY(D109),0))*AF109</f>
        <v>#VALUE!</v>
      </c>
      <c r="AI109" s="378" t="e">
        <f aca="false">AI108+AH108</f>
        <v>#VALUE!</v>
      </c>
      <c r="AJ109" s="378" t="e">
        <f aca="false">D109-$BV$5</f>
        <v>#VALUE!</v>
      </c>
      <c r="AL109" s="369" t="e">
        <f aca="false">VLOOKUP($D109,CurveTbl,$AK$4)</f>
        <v>#VALUE!</v>
      </c>
      <c r="AM109" s="505" t="e">
        <f aca="false">VLOOKUP($D109,CurveTbl,$AH$3)</f>
        <v>#VALUE!</v>
      </c>
      <c r="AN109" s="505" t="e">
        <f aca="false">VLOOKUP($D109,CurveTbl,$AH$4)+VLOOKUP($AG109,$AL$3:$AS$15,6)</f>
        <v>#VALUE!</v>
      </c>
      <c r="AO109" s="505" t="e">
        <f aca="false">VLOOKUP($D109,CurveTbl,$AH$5)</f>
        <v>#VALUE!</v>
      </c>
      <c r="AP109" s="505" t="e">
        <f aca="false">VLOOKUP($D109,CurveTbl,$AH$6)+VLOOKUP($AG109,$AL$3:$AS$15,7)</f>
        <v>#VALUE!</v>
      </c>
      <c r="AQ109" s="369" t="e">
        <f aca="false">VLOOKUP($AG109,$AL$4:$AS$15,3)+VLOOKUP($AG109,$AL$4:$AS$15,5)+($AH$10*VLOOKUP(D109,GRITable,2))</f>
        <v>#VALUE!</v>
      </c>
      <c r="AR109" s="370" t="e">
        <f aca="false">VLOOKUP($AG109,$AL$4:$AS$15,4)</f>
        <v>#VALUE!</v>
      </c>
      <c r="AS109" s="369" t="e">
        <f aca="false">(AL109+AM109+AN109)</f>
        <v>#VALUE!</v>
      </c>
      <c r="AT109" s="370" t="e">
        <f aca="false">VLOOKUP(D109,CurveTbl,$AK$6)</f>
        <v>#VALUE!</v>
      </c>
      <c r="AU109" s="370" t="e">
        <f aca="false">(1+$AT109/2)^(-2*($D109-$G$5)/365.25)*$AF109</f>
        <v>#VALUE!</v>
      </c>
      <c r="AV109" s="506" t="e">
        <f aca="false">ROUND((F109/(1-AR109))-F109,0)*AF109*AH109*AU109</f>
        <v>#VALUE!</v>
      </c>
      <c r="AW109" s="370" t="e">
        <f aca="false">VLOOKUP($D109,CurveTbl,$AK$8)</f>
        <v>#VALUE!</v>
      </c>
      <c r="AX109" s="370" t="e">
        <f aca="false">VLOOKUP($D109,CurveTbl,$AH$7)</f>
        <v>#VALUE!</v>
      </c>
      <c r="AY109" s="370" t="e">
        <f aca="false">VLOOKUP($D109,CurveTbl,$AH$8)</f>
        <v>#VALUE!</v>
      </c>
      <c r="AZ109" s="370"/>
      <c r="BA109" s="507"/>
      <c r="BB109" s="505" t="e">
        <f aca="false">$H109-$BV109</f>
        <v>#VALUE!</v>
      </c>
      <c r="BC109" s="505" t="e">
        <f aca="false">I109-BW109</f>
        <v>#VALUE!</v>
      </c>
      <c r="BD109" s="370" t="e">
        <f aca="false">N109-BX109</f>
        <v>#VALUE!</v>
      </c>
      <c r="BE109" s="370" t="e">
        <f aca="false">O109-BY109</f>
        <v>#VALUE!</v>
      </c>
      <c r="BF109" s="370" t="e">
        <f aca="false">xSPRDOPT($BW109,$BV109,$CG109,0,$BY109,$BX109,$BZ109,$AJ109,1,4)*$CB109</f>
        <v>#NAME?</v>
      </c>
      <c r="BG109" s="370" t="e">
        <f aca="false">xSPRDOPT($BW109,$BV109,$CG109,0,$BY109,$BX109,$BZ109,$AJ109,1,3)*$CB109</f>
        <v>#NAME?</v>
      </c>
      <c r="BH109" s="370" t="e">
        <f aca="false">IF(OR(BF109&lt;&gt;0,BG109&lt;&gt;0),xSPRDOPT($BW109,$BV109,$CG109,0,$BY109,$BX109,$BZ109,$AJ109,1,12)*$CB109,0)</f>
        <v>#NAME?</v>
      </c>
      <c r="BI109" s="370" t="e">
        <f aca="false">xSPRDOPT($BW109,$BV109,$CG109,2*LN(1+CA109/2),$BY109,$BX109,$BZ109,$AJ109,1,9)</f>
        <v>#NAME?</v>
      </c>
      <c r="BJ109" s="370" t="e">
        <f aca="false">xSPRDOPT($BW109,$BV109,$CG109,0,$BY109,$BX109,$BZ109,$AJ109,1,6)*$CB109</f>
        <v>#NAME?</v>
      </c>
      <c r="BK109" s="370" t="e">
        <f aca="false">xSPRDOPT($BW109,$BV109,$CG109,0,$BY109,$BX109,$BZ109,$AJ109,1,5)*$CB109</f>
        <v>#NAME?</v>
      </c>
      <c r="BL109" s="370" t="e">
        <f aca="false">xSPRDOPT(BW109,BV109,CG109,0,BY109,BX109,BZ109,AJ109,1,2)*CB109</f>
        <v>#NAME?</v>
      </c>
      <c r="BM109" s="370" t="e">
        <f aca="false">xSPRDOPT(BW109,BV109,CG109,0,BY109,BX109,BZ109,AJ109,1,1)*CB109</f>
        <v>#NAME?</v>
      </c>
      <c r="BN109" s="370" t="e">
        <f aca="false">IF(AH109&lt;&gt;0,xSPRDOPT($BW109,$BV109,$CG109,2*LN(1+CA109/2),$BY109,$BX109,$BZ109,$AJ109,1,8)+(AJ109/365.25)*CH109/AH109,0)</f>
        <v>#VALUE!</v>
      </c>
      <c r="BO109" s="370" t="e">
        <f aca="false">xSPRDOPT($BW109,$BV109,$CG109,0,$BY109,$BX109,$BZ109,$AJ109,1,0)</f>
        <v>#NAME?</v>
      </c>
      <c r="BP109" s="370"/>
      <c r="BQ109" s="370"/>
      <c r="BR109" s="370"/>
      <c r="BS109" s="370"/>
      <c r="BV109" s="508" t="n">
        <v>3.54274152756702</v>
      </c>
      <c r="BW109" s="369" t="n">
        <v>3.672</v>
      </c>
      <c r="BX109" s="370" t="n">
        <v>0.204719644707352</v>
      </c>
      <c r="BY109" s="370" t="n">
        <v>0.204719644707352</v>
      </c>
      <c r="BZ109" s="370" t="n">
        <v>0.998918261104726</v>
      </c>
      <c r="CA109" s="370" t="n">
        <v>0.0584770595998663</v>
      </c>
      <c r="CB109" s="370" t="n">
        <v>0.655235182244367</v>
      </c>
      <c r="CC109" s="505" t="n">
        <v>-0.09</v>
      </c>
      <c r="CD109" s="505" t="n">
        <v>0</v>
      </c>
      <c r="CE109" s="505" t="n">
        <v>0.04</v>
      </c>
      <c r="CF109" s="505" t="n">
        <v>0.04</v>
      </c>
      <c r="CG109" s="505" t="n">
        <v>0</v>
      </c>
      <c r="CH109" s="505" t="n">
        <v>2.81292463737507</v>
      </c>
      <c r="CI109" s="505" t="n">
        <v>3.592</v>
      </c>
      <c r="CJ109" s="505"/>
      <c r="CK109" s="505"/>
      <c r="CL109" s="505"/>
      <c r="CM109" s="505"/>
    </row>
    <row r="110" customFormat="false" ht="12.75" hidden="false" customHeight="false" outlineLevel="0" collapsed="false">
      <c r="A110" s="500"/>
      <c r="B110" s="500"/>
      <c r="D110" s="361" t="e">
        <f aca="false">D109+AH109</f>
        <v>#VALUE!</v>
      </c>
      <c r="F110" s="362" t="e">
        <f aca="false">VLOOKUP(AG110,$AL$4:$AS$15,2)</f>
        <v>#VALUE!</v>
      </c>
      <c r="G110" s="362" t="e">
        <f aca="false">F110*$AU110</f>
        <v>#VALUE!</v>
      </c>
      <c r="H110" s="363" t="e">
        <f aca="false">(AL110+AM110+AN110)/(1-(AR110))</f>
        <v>#VALUE!</v>
      </c>
      <c r="I110" s="363" t="e">
        <f aca="false">(AL110+AO110+AP110)</f>
        <v>#VALUE!</v>
      </c>
      <c r="K110" s="363" t="e">
        <f aca="false">MAX(((I110-H110)-AQ110)*AU110*AH110,0)</f>
        <v>#VALUE!</v>
      </c>
      <c r="L110" s="501" t="e">
        <f aca="false">MAX(Q110-K110,0)</f>
        <v>#VALUE!</v>
      </c>
      <c r="N110" s="502" t="e">
        <f aca="false">SQRT(($AX110^2*($AH110/2)+$AW110^2*$AI110)/(($AH110/2)+$AI110))</f>
        <v>#VALUE!</v>
      </c>
      <c r="O110" s="502" t="e">
        <f aca="false">SQRT(($AY110^2*($AH110/2)+$AW110^2*$AI110)/(($AH110/2)+$AI110))</f>
        <v>#VALUE!</v>
      </c>
      <c r="P110" s="371" t="e">
        <f aca="false">(VLOOKUP(AI110,CorrelationTwo,2)*(AW110^2)*AI110+VLOOKUP(D110,CorrelationOne,$AK$9)*AX110*AY110*(AH110/2))/((AI110+(AH110/2))*O110*N110)*AF110</f>
        <v>#VALUE!</v>
      </c>
      <c r="Q110" s="501" t="e">
        <f aca="false">xSPRDOPT(I110,H110,AQ110,0,O110,N110,P110,D110-$G$5,1,0)*AH110*AU110</f>
        <v>#VALUE!</v>
      </c>
      <c r="R110" s="501"/>
      <c r="S110" s="365" t="e">
        <f aca="false">xSPRDOPT(I110,H110,AQ110,AT110,O110,N110,P110,D110-$G$5,1,2)*AF110*(F110/(1-AR110))*AH110</f>
        <v>#VALUE!</v>
      </c>
      <c r="T110" s="365" t="e">
        <f aca="false">xSPRDOPT(I110,H110,AQ110,AT110,O110,N110,P110,D110-$G$5,1,1)*AF110*F110*AH110</f>
        <v>#VALUE!</v>
      </c>
      <c r="U110" s="501"/>
      <c r="V110" s="503" t="e">
        <f aca="false">VLOOKUP($AG110,$AL$4:$AS$15,8)*AH110*AU110</f>
        <v>#VALUE!</v>
      </c>
      <c r="W110" s="503"/>
      <c r="X110" s="504" t="e">
        <f aca="false">((BM110*BC110)+(BL110*BB110))*AH110*F110</f>
        <v>#VALUE!</v>
      </c>
      <c r="Y110" s="504" t="e">
        <f aca="false">($F110*$AH110)*((($BG110/2)*($BC110)^2)+(($BF110/2)*($BB110)^2)+($BH110*$BC110*$BB110))</f>
        <v>#VALUE!</v>
      </c>
      <c r="Z110" s="504" t="e">
        <f aca="false">($BI110*$F110*$AH110*($G$5-$BV$5))/365.25</f>
        <v>#VALUE!</v>
      </c>
      <c r="AA110" s="504" t="e">
        <f aca="false">(($BK110*$BE110)+($BJ110*$BD110))*$F110*$AH110*$AF110</f>
        <v>#VALUE!</v>
      </c>
      <c r="AB110" s="504" t="e">
        <f aca="false">BN110*(AT110-CA110)*F110*AH110</f>
        <v>#VALUE!</v>
      </c>
      <c r="AC110" s="504" t="e">
        <f aca="false">BO110*CB110*F110*AH110*CA110*($G$5-$BV$5)/365.25</f>
        <v>#NAME?</v>
      </c>
      <c r="AF110" s="378" t="e">
        <f aca="false">IF(AND(D110&gt;=$G$7,D110&lt;=$G$8),1,0)</f>
        <v>#VALUE!</v>
      </c>
      <c r="AG110" s="378" t="e">
        <f aca="false">MONTH(D110)</f>
        <v>#VALUE!</v>
      </c>
      <c r="AH110" s="378" t="e">
        <f aca="false">(EOMONTH(D110,0)-EOMONTH(D110-DAY(D110),0))*AF110</f>
        <v>#VALUE!</v>
      </c>
      <c r="AI110" s="378" t="e">
        <f aca="false">AI109+AH109</f>
        <v>#VALUE!</v>
      </c>
      <c r="AJ110" s="378" t="e">
        <f aca="false">D110-$BV$5</f>
        <v>#VALUE!</v>
      </c>
      <c r="AL110" s="369" t="e">
        <f aca="false">VLOOKUP($D110,CurveTbl,$AK$4)</f>
        <v>#VALUE!</v>
      </c>
      <c r="AM110" s="505" t="e">
        <f aca="false">VLOOKUP($D110,CurveTbl,$AH$3)</f>
        <v>#VALUE!</v>
      </c>
      <c r="AN110" s="505" t="e">
        <f aca="false">VLOOKUP($D110,CurveTbl,$AH$4)+VLOOKUP($AG110,$AL$3:$AS$15,6)</f>
        <v>#VALUE!</v>
      </c>
      <c r="AO110" s="505" t="e">
        <f aca="false">VLOOKUP($D110,CurveTbl,$AH$5)</f>
        <v>#VALUE!</v>
      </c>
      <c r="AP110" s="505" t="e">
        <f aca="false">VLOOKUP($D110,CurveTbl,$AH$6)+VLOOKUP($AG110,$AL$3:$AS$15,7)</f>
        <v>#VALUE!</v>
      </c>
      <c r="AQ110" s="369" t="e">
        <f aca="false">VLOOKUP($AG110,$AL$4:$AS$15,3)+VLOOKUP($AG110,$AL$4:$AS$15,5)+($AH$10*VLOOKUP(D110,GRITable,2))</f>
        <v>#VALUE!</v>
      </c>
      <c r="AR110" s="370" t="e">
        <f aca="false">VLOOKUP($AG110,$AL$4:$AS$15,4)</f>
        <v>#VALUE!</v>
      </c>
      <c r="AS110" s="369" t="e">
        <f aca="false">(AL110+AM110+AN110)</f>
        <v>#VALUE!</v>
      </c>
      <c r="AT110" s="370" t="e">
        <f aca="false">VLOOKUP(D110,CurveTbl,$AK$6)</f>
        <v>#VALUE!</v>
      </c>
      <c r="AU110" s="370" t="e">
        <f aca="false">(1+$AT110/2)^(-2*($D110-$G$5)/365.25)*$AF110</f>
        <v>#VALUE!</v>
      </c>
      <c r="AV110" s="506" t="e">
        <f aca="false">ROUND((F110/(1-AR110))-F110,0)*AF110*AH110*AU110</f>
        <v>#VALUE!</v>
      </c>
      <c r="AW110" s="370" t="e">
        <f aca="false">VLOOKUP($D110,CurveTbl,$AK$8)</f>
        <v>#VALUE!</v>
      </c>
      <c r="AX110" s="370" t="e">
        <f aca="false">VLOOKUP($D110,CurveTbl,$AH$7)</f>
        <v>#VALUE!</v>
      </c>
      <c r="AY110" s="370" t="e">
        <f aca="false">VLOOKUP($D110,CurveTbl,$AH$8)</f>
        <v>#VALUE!</v>
      </c>
      <c r="AZ110" s="370"/>
      <c r="BA110" s="507"/>
      <c r="BB110" s="505" t="e">
        <f aca="false">$H110-$BV110</f>
        <v>#VALUE!</v>
      </c>
      <c r="BC110" s="505" t="e">
        <f aca="false">I110-BW110</f>
        <v>#VALUE!</v>
      </c>
      <c r="BD110" s="370" t="e">
        <f aca="false">N110-BX110</f>
        <v>#VALUE!</v>
      </c>
      <c r="BE110" s="370" t="e">
        <f aca="false">O110-BY110</f>
        <v>#VALUE!</v>
      </c>
      <c r="BF110" s="370" t="e">
        <f aca="false">xSPRDOPT($BW110,$BV110,$CG110,0,$BY110,$BX110,$BZ110,$AJ110,1,4)*$CB110</f>
        <v>#NAME?</v>
      </c>
      <c r="BG110" s="370" t="e">
        <f aca="false">xSPRDOPT($BW110,$BV110,$CG110,0,$BY110,$BX110,$BZ110,$AJ110,1,3)*$CB110</f>
        <v>#NAME?</v>
      </c>
      <c r="BH110" s="370" t="e">
        <f aca="false">IF(OR(BF110&lt;&gt;0,BG110&lt;&gt;0),xSPRDOPT($BW110,$BV110,$CG110,0,$BY110,$BX110,$BZ110,$AJ110,1,12)*$CB110,0)</f>
        <v>#NAME?</v>
      </c>
      <c r="BI110" s="370" t="e">
        <f aca="false">xSPRDOPT($BW110,$BV110,$CG110,2*LN(1+CA110/2),$BY110,$BX110,$BZ110,$AJ110,1,9)</f>
        <v>#NAME?</v>
      </c>
      <c r="BJ110" s="370" t="e">
        <f aca="false">xSPRDOPT($BW110,$BV110,$CG110,0,$BY110,$BX110,$BZ110,$AJ110,1,6)*$CB110</f>
        <v>#NAME?</v>
      </c>
      <c r="BK110" s="370" t="e">
        <f aca="false">xSPRDOPT($BW110,$BV110,$CG110,0,$BY110,$BX110,$BZ110,$AJ110,1,5)*$CB110</f>
        <v>#NAME?</v>
      </c>
      <c r="BL110" s="370" t="e">
        <f aca="false">xSPRDOPT(BW110,BV110,CG110,0,BY110,BX110,BZ110,AJ110,1,2)*CB110</f>
        <v>#NAME?</v>
      </c>
      <c r="BM110" s="370" t="e">
        <f aca="false">xSPRDOPT(BW110,BV110,CG110,0,BY110,BX110,BZ110,AJ110,1,1)*CB110</f>
        <v>#NAME?</v>
      </c>
      <c r="BN110" s="370" t="e">
        <f aca="false">IF(AH110&lt;&gt;0,xSPRDOPT($BW110,$BV110,$CG110,2*LN(1+CA110/2),$BY110,$BX110,$BZ110,$AJ110,1,8)+(AJ110/365.25)*CH110/AH110,0)</f>
        <v>#VALUE!</v>
      </c>
      <c r="BO110" s="370" t="e">
        <f aca="false">xSPRDOPT($BW110,$BV110,$CG110,0,$BY110,$BX110,$BZ110,$AJ110,1,0)</f>
        <v>#NAME?</v>
      </c>
      <c r="BP110" s="370"/>
      <c r="BQ110" s="370"/>
      <c r="BR110" s="370"/>
      <c r="BS110" s="370"/>
      <c r="BV110" s="508" t="n">
        <v>3.53768335862418</v>
      </c>
      <c r="BW110" s="369" t="n">
        <v>3.667</v>
      </c>
      <c r="BX110" s="370" t="n">
        <v>0.204767556883322</v>
      </c>
      <c r="BY110" s="370" t="n">
        <v>0.20542974760908</v>
      </c>
      <c r="BZ110" s="370" t="n">
        <v>0.998611793271763</v>
      </c>
      <c r="CA110" s="370" t="n">
        <v>0.0585826527641324</v>
      </c>
      <c r="CB110" s="370" t="n">
        <v>0.651644496236389</v>
      </c>
      <c r="CC110" s="505" t="n">
        <v>-0.09</v>
      </c>
      <c r="CD110" s="505" t="n">
        <v>0</v>
      </c>
      <c r="CE110" s="505" t="n">
        <v>0.04</v>
      </c>
      <c r="CF110" s="505" t="n">
        <v>0.04</v>
      </c>
      <c r="CG110" s="505" t="n">
        <v>0</v>
      </c>
      <c r="CH110" s="505" t="n">
        <v>2.89076014975424</v>
      </c>
      <c r="CI110" s="505" t="n">
        <v>3.587</v>
      </c>
      <c r="CJ110" s="505"/>
      <c r="CK110" s="505"/>
      <c r="CL110" s="505"/>
      <c r="CM110" s="505"/>
    </row>
    <row r="111" customFormat="false" ht="12.75" hidden="false" customHeight="false" outlineLevel="0" collapsed="false">
      <c r="A111" s="500"/>
      <c r="B111" s="500"/>
      <c r="D111" s="361" t="e">
        <f aca="false">D110+AH110</f>
        <v>#VALUE!</v>
      </c>
      <c r="F111" s="362" t="e">
        <f aca="false">VLOOKUP(AG111,$AL$4:$AS$15,2)</f>
        <v>#VALUE!</v>
      </c>
      <c r="G111" s="362" t="e">
        <f aca="false">F111*$AU111</f>
        <v>#VALUE!</v>
      </c>
      <c r="H111" s="363" t="e">
        <f aca="false">(AL111+AM111+AN111)/(1-(AR111))</f>
        <v>#VALUE!</v>
      </c>
      <c r="I111" s="363" t="e">
        <f aca="false">(AL111+AO111+AP111)</f>
        <v>#VALUE!</v>
      </c>
      <c r="K111" s="363" t="e">
        <f aca="false">MAX(((I111-H111)-AQ111)*AU111*AH111,0)</f>
        <v>#VALUE!</v>
      </c>
      <c r="L111" s="501" t="e">
        <f aca="false">MAX(Q111-K111,0)</f>
        <v>#VALUE!</v>
      </c>
      <c r="N111" s="502" t="e">
        <f aca="false">SQRT(($AX111^2*($AH111/2)+$AW111^2*$AI111)/(($AH111/2)+$AI111))</f>
        <v>#VALUE!</v>
      </c>
      <c r="O111" s="502" t="e">
        <f aca="false">SQRT(($AY111^2*($AH111/2)+$AW111^2*$AI111)/(($AH111/2)+$AI111))</f>
        <v>#VALUE!</v>
      </c>
      <c r="P111" s="371" t="e">
        <f aca="false">(VLOOKUP(AI111,CorrelationTwo,2)*(AW111^2)*AI111+VLOOKUP(D111,CorrelationOne,$AK$9)*AX111*AY111*(AH111/2))/((AI111+(AH111/2))*O111*N111)*AF111</f>
        <v>#VALUE!</v>
      </c>
      <c r="Q111" s="501" t="e">
        <f aca="false">xSPRDOPT(I111,H111,AQ111,0,O111,N111,P111,D111-$G$5,1,0)*AH111*AU111</f>
        <v>#VALUE!</v>
      </c>
      <c r="R111" s="501"/>
      <c r="S111" s="365" t="e">
        <f aca="false">xSPRDOPT(I111,H111,AQ111,AT111,O111,N111,P111,D111-$G$5,1,2)*AF111*(F111/(1-AR111))*AH111</f>
        <v>#VALUE!</v>
      </c>
      <c r="T111" s="365" t="e">
        <f aca="false">xSPRDOPT(I111,H111,AQ111,AT111,O111,N111,P111,D111-$G$5,1,1)*AF111*F111*AH111</f>
        <v>#VALUE!</v>
      </c>
      <c r="U111" s="501"/>
      <c r="V111" s="503" t="e">
        <f aca="false">VLOOKUP($AG111,$AL$4:$AS$15,8)*AH111*AU111</f>
        <v>#VALUE!</v>
      </c>
      <c r="W111" s="503"/>
      <c r="X111" s="504" t="e">
        <f aca="false">((BM111*BC111)+(BL111*BB111))*AH111*F111</f>
        <v>#VALUE!</v>
      </c>
      <c r="Y111" s="504" t="e">
        <f aca="false">($F111*$AH111)*((($BG111/2)*($BC111)^2)+(($BF111/2)*($BB111)^2)+($BH111*$BC111*$BB111))</f>
        <v>#VALUE!</v>
      </c>
      <c r="Z111" s="504" t="e">
        <f aca="false">($BI111*$F111*$AH111*($G$5-$BV$5))/365.25</f>
        <v>#VALUE!</v>
      </c>
      <c r="AA111" s="504" t="e">
        <f aca="false">(($BK111*$BE111)+($BJ111*$BD111))*$F111*$AH111*$AF111</f>
        <v>#VALUE!</v>
      </c>
      <c r="AB111" s="504" t="e">
        <f aca="false">BN111*(AT111-CA111)*F111*AH111</f>
        <v>#VALUE!</v>
      </c>
      <c r="AC111" s="504" t="e">
        <f aca="false">BO111*CB111*F111*AH111*CA111*($G$5-$BV$5)/365.25</f>
        <v>#NAME?</v>
      </c>
      <c r="AF111" s="378" t="e">
        <f aca="false">IF(AND(D111&gt;=$G$7,D111&lt;=$G$8),1,0)</f>
        <v>#VALUE!</v>
      </c>
      <c r="AG111" s="378" t="e">
        <f aca="false">MONTH(D111)</f>
        <v>#VALUE!</v>
      </c>
      <c r="AH111" s="378" t="e">
        <f aca="false">(EOMONTH(D111,0)-EOMONTH(D111-DAY(D111),0))*AF111</f>
        <v>#VALUE!</v>
      </c>
      <c r="AI111" s="378" t="e">
        <f aca="false">AI110+AH110</f>
        <v>#VALUE!</v>
      </c>
      <c r="AJ111" s="378" t="e">
        <f aca="false">D111-$BV$5</f>
        <v>#VALUE!</v>
      </c>
      <c r="AL111" s="369" t="e">
        <f aca="false">VLOOKUP($D111,CurveTbl,$AK$4)</f>
        <v>#VALUE!</v>
      </c>
      <c r="AM111" s="505" t="e">
        <f aca="false">VLOOKUP($D111,CurveTbl,$AH$3)</f>
        <v>#VALUE!</v>
      </c>
      <c r="AN111" s="505" t="e">
        <f aca="false">VLOOKUP($D111,CurveTbl,$AH$4)+VLOOKUP($AG111,$AL$3:$AS$15,6)</f>
        <v>#VALUE!</v>
      </c>
      <c r="AO111" s="505" t="e">
        <f aca="false">VLOOKUP($D111,CurveTbl,$AH$5)</f>
        <v>#VALUE!</v>
      </c>
      <c r="AP111" s="505" t="e">
        <f aca="false">VLOOKUP($D111,CurveTbl,$AH$6)+VLOOKUP($AG111,$AL$3:$AS$15,7)</f>
        <v>#VALUE!</v>
      </c>
      <c r="AQ111" s="369" t="e">
        <f aca="false">VLOOKUP($AG111,$AL$4:$AS$15,3)+VLOOKUP($AG111,$AL$4:$AS$15,5)+($AH$10*VLOOKUP(D111,GRITable,2))</f>
        <v>#VALUE!</v>
      </c>
      <c r="AR111" s="370" t="e">
        <f aca="false">VLOOKUP($AG111,$AL$4:$AS$15,4)</f>
        <v>#VALUE!</v>
      </c>
      <c r="AS111" s="369" t="e">
        <f aca="false">(AL111+AM111+AN111)</f>
        <v>#VALUE!</v>
      </c>
      <c r="AT111" s="370" t="e">
        <f aca="false">VLOOKUP(D111,CurveTbl,$AK$6)</f>
        <v>#VALUE!</v>
      </c>
      <c r="AU111" s="370" t="e">
        <f aca="false">(1+$AT111/2)^(-2*($D111-$G$5)/365.25)*$AF111</f>
        <v>#VALUE!</v>
      </c>
      <c r="AV111" s="506" t="e">
        <f aca="false">ROUND((F111/(1-AR111))-F111,0)*AF111*AH111*AU111</f>
        <v>#VALUE!</v>
      </c>
      <c r="AW111" s="370" t="e">
        <f aca="false">VLOOKUP($D111,CurveTbl,$AK$8)</f>
        <v>#VALUE!</v>
      </c>
      <c r="AX111" s="370" t="e">
        <f aca="false">VLOOKUP($D111,CurveTbl,$AH$7)</f>
        <v>#VALUE!</v>
      </c>
      <c r="AY111" s="370" t="e">
        <f aca="false">VLOOKUP($D111,CurveTbl,$AH$8)</f>
        <v>#VALUE!</v>
      </c>
      <c r="AZ111" s="370"/>
      <c r="BA111" s="507"/>
      <c r="BB111" s="505" t="e">
        <f aca="false">$H111-$BV111</f>
        <v>#VALUE!</v>
      </c>
      <c r="BC111" s="505" t="e">
        <f aca="false">I111-BW111</f>
        <v>#VALUE!</v>
      </c>
      <c r="BD111" s="370" t="e">
        <f aca="false">N111-BX111</f>
        <v>#VALUE!</v>
      </c>
      <c r="BE111" s="370" t="e">
        <f aca="false">O111-BY111</f>
        <v>#VALUE!</v>
      </c>
      <c r="BF111" s="370" t="e">
        <f aca="false">xSPRDOPT($BW111,$BV111,$CG111,0,$BY111,$BX111,$BZ111,$AJ111,1,4)*$CB111</f>
        <v>#NAME?</v>
      </c>
      <c r="BG111" s="370" t="e">
        <f aca="false">xSPRDOPT($BW111,$BV111,$CG111,0,$BY111,$BX111,$BZ111,$AJ111,1,3)*$CB111</f>
        <v>#NAME?</v>
      </c>
      <c r="BH111" s="370" t="e">
        <f aca="false">IF(OR(BF111&lt;&gt;0,BG111&lt;&gt;0),xSPRDOPT($BW111,$BV111,$CG111,0,$BY111,$BX111,$BZ111,$AJ111,1,12)*$CB111,0)</f>
        <v>#NAME?</v>
      </c>
      <c r="BI111" s="370" t="e">
        <f aca="false">xSPRDOPT($BW111,$BV111,$CG111,2*LN(1+CA111/2),$BY111,$BX111,$BZ111,$AJ111,1,9)</f>
        <v>#NAME?</v>
      </c>
      <c r="BJ111" s="370" t="e">
        <f aca="false">xSPRDOPT($BW111,$BV111,$CG111,0,$BY111,$BX111,$BZ111,$AJ111,1,6)*$CB111</f>
        <v>#NAME?</v>
      </c>
      <c r="BK111" s="370" t="e">
        <f aca="false">xSPRDOPT($BW111,$BV111,$CG111,0,$BY111,$BX111,$BZ111,$AJ111,1,5)*$CB111</f>
        <v>#NAME?</v>
      </c>
      <c r="BL111" s="370" t="e">
        <f aca="false">xSPRDOPT(BW111,BV111,CG111,0,BY111,BX111,BZ111,AJ111,1,2)*CB111</f>
        <v>#NAME?</v>
      </c>
      <c r="BM111" s="370" t="e">
        <f aca="false">xSPRDOPT(BW111,BV111,CG111,0,BY111,BX111,BZ111,AJ111,1,1)*CB111</f>
        <v>#NAME?</v>
      </c>
      <c r="BN111" s="370" t="e">
        <f aca="false">IF(AH111&lt;&gt;0,xSPRDOPT($BW111,$BV111,$CG111,2*LN(1+CA111/2),$BY111,$BX111,$BZ111,$AJ111,1,8)+(AJ111/365.25)*CH111/AH111,0)</f>
        <v>#VALUE!</v>
      </c>
      <c r="BO111" s="370" t="e">
        <f aca="false">xSPRDOPT($BW111,$BV111,$CG111,0,$BY111,$BX111,$BZ111,$AJ111,1,0)</f>
        <v>#NAME?</v>
      </c>
      <c r="BP111" s="370"/>
      <c r="BQ111" s="370"/>
      <c r="BR111" s="370"/>
      <c r="BS111" s="370"/>
      <c r="BV111" s="508" t="n">
        <v>3.57309054122408</v>
      </c>
      <c r="BW111" s="369" t="n">
        <v>3.702</v>
      </c>
      <c r="BX111" s="370" t="n">
        <v>0.2025</v>
      </c>
      <c r="BY111" s="370" t="n">
        <v>0.2025</v>
      </c>
      <c r="BZ111" s="370" t="n">
        <v>0</v>
      </c>
      <c r="CA111" s="370" t="n">
        <v>0.0586917657044355</v>
      </c>
      <c r="CB111" s="370" t="n">
        <v>0</v>
      </c>
      <c r="CC111" s="505" t="n">
        <v>-0.09</v>
      </c>
      <c r="CD111" s="505" t="n">
        <v>0</v>
      </c>
      <c r="CE111" s="505" t="n">
        <v>0.04</v>
      </c>
      <c r="CF111" s="505" t="n">
        <v>0.04</v>
      </c>
      <c r="CG111" s="505" t="n">
        <v>0</v>
      </c>
      <c r="CH111" s="505" t="n">
        <v>0</v>
      </c>
      <c r="CI111" s="505" t="n">
        <v>3.622</v>
      </c>
      <c r="CJ111" s="505"/>
      <c r="CK111" s="505"/>
      <c r="CL111" s="505"/>
      <c r="CM111" s="505"/>
    </row>
    <row r="112" customFormat="false" ht="12.75" hidden="false" customHeight="false" outlineLevel="0" collapsed="false">
      <c r="A112" s="500"/>
      <c r="B112" s="500"/>
      <c r="D112" s="361" t="e">
        <f aca="false">D111+AH111</f>
        <v>#VALUE!</v>
      </c>
      <c r="F112" s="362" t="e">
        <f aca="false">VLOOKUP(AG112,$AL$4:$AS$15,2)</f>
        <v>#VALUE!</v>
      </c>
      <c r="G112" s="362" t="e">
        <f aca="false">F112*$AU112</f>
        <v>#VALUE!</v>
      </c>
      <c r="H112" s="363" t="e">
        <f aca="false">(AL112+AM112+AN112)/(1-(AR112))</f>
        <v>#VALUE!</v>
      </c>
      <c r="I112" s="363" t="e">
        <f aca="false">(AL112+AO112+AP112)</f>
        <v>#VALUE!</v>
      </c>
      <c r="K112" s="363" t="e">
        <f aca="false">MAX(((I112-H112)-AQ112)*AU112*AH112,0)</f>
        <v>#VALUE!</v>
      </c>
      <c r="L112" s="501" t="e">
        <f aca="false">MAX(Q112-K112,0)</f>
        <v>#VALUE!</v>
      </c>
      <c r="N112" s="502" t="e">
        <f aca="false">SQRT(($AX112^2*($AH112/2)+$AW112^2*$AI112)/(($AH112/2)+$AI112))</f>
        <v>#VALUE!</v>
      </c>
      <c r="O112" s="502" t="e">
        <f aca="false">SQRT(($AY112^2*($AH112/2)+$AW112^2*$AI112)/(($AH112/2)+$AI112))</f>
        <v>#VALUE!</v>
      </c>
      <c r="P112" s="371" t="e">
        <f aca="false">(VLOOKUP(AI112,CorrelationTwo,2)*(AW112^2)*AI112+VLOOKUP(D112,CorrelationOne,$AK$9)*AX112*AY112*(AH112/2))/((AI112+(AH112/2))*O112*N112)*AF112</f>
        <v>#VALUE!</v>
      </c>
      <c r="Q112" s="501" t="e">
        <f aca="false">xSPRDOPT(I112,H112,AQ112,0,O112,N112,P112,D112-$G$5,1,0)*AH112*AU112</f>
        <v>#VALUE!</v>
      </c>
      <c r="R112" s="501"/>
      <c r="S112" s="365" t="e">
        <f aca="false">xSPRDOPT(I112,H112,AQ112,AT112,O112,N112,P112,D112-$G$5,1,2)*AF112*(F112/(1-AR112))*AH112</f>
        <v>#VALUE!</v>
      </c>
      <c r="T112" s="365" t="e">
        <f aca="false">xSPRDOPT(I112,H112,AQ112,AT112,O112,N112,P112,D112-$G$5,1,1)*AF112*F112*AH112</f>
        <v>#VALUE!</v>
      </c>
      <c r="U112" s="501"/>
      <c r="V112" s="503" t="e">
        <f aca="false">VLOOKUP($AG112,$AL$4:$AS$15,8)*AH112*AU112</f>
        <v>#VALUE!</v>
      </c>
      <c r="W112" s="503"/>
      <c r="X112" s="504" t="e">
        <f aca="false">((BM112*BC112)+(BL112*BB112))*AH112*F112</f>
        <v>#VALUE!</v>
      </c>
      <c r="Y112" s="504" t="e">
        <f aca="false">($F112*$AH112)*((($BG112/2)*($BC112)^2)+(($BF112/2)*($BB112)^2)+($BH112*$BC112*$BB112))</f>
        <v>#VALUE!</v>
      </c>
      <c r="Z112" s="504" t="e">
        <f aca="false">($BI112*$F112*$AH112*($G$5-$BV$5))/365.25</f>
        <v>#VALUE!</v>
      </c>
      <c r="AA112" s="504" t="e">
        <f aca="false">(($BK112*$BE112)+($BJ112*$BD112))*$F112*$AH112*$AF112</f>
        <v>#VALUE!</v>
      </c>
      <c r="AB112" s="504" t="e">
        <f aca="false">BN112*(AT112-CA112)*F112*AH112</f>
        <v>#VALUE!</v>
      </c>
      <c r="AC112" s="504" t="e">
        <f aca="false">BO112*CB112*F112*AH112*CA112*($G$5-$BV$5)/365.25</f>
        <v>#NAME?</v>
      </c>
      <c r="AF112" s="378" t="e">
        <f aca="false">IF(AND(D112&gt;=$G$7,D112&lt;=$G$8),1,0)</f>
        <v>#VALUE!</v>
      </c>
      <c r="AG112" s="378" t="e">
        <f aca="false">MONTH(D112)</f>
        <v>#VALUE!</v>
      </c>
      <c r="AH112" s="378" t="e">
        <f aca="false">(EOMONTH(D112,0)-EOMONTH(D112-DAY(D112),0))*AF112</f>
        <v>#VALUE!</v>
      </c>
      <c r="AI112" s="378" t="e">
        <f aca="false">AI111+AH111</f>
        <v>#VALUE!</v>
      </c>
      <c r="AJ112" s="378" t="e">
        <f aca="false">D112-$BV$5</f>
        <v>#VALUE!</v>
      </c>
      <c r="AL112" s="369" t="e">
        <f aca="false">VLOOKUP($D112,CurveTbl,$AK$4)</f>
        <v>#VALUE!</v>
      </c>
      <c r="AM112" s="505" t="e">
        <f aca="false">VLOOKUP($D112,CurveTbl,$AH$3)</f>
        <v>#VALUE!</v>
      </c>
      <c r="AN112" s="505" t="e">
        <f aca="false">VLOOKUP($D112,CurveTbl,$AH$4)+VLOOKUP($AG112,$AL$3:$AS$15,6)</f>
        <v>#VALUE!</v>
      </c>
      <c r="AO112" s="505" t="e">
        <f aca="false">VLOOKUP($D112,CurveTbl,$AH$5)</f>
        <v>#VALUE!</v>
      </c>
      <c r="AP112" s="505" t="e">
        <f aca="false">VLOOKUP($D112,CurveTbl,$AH$6)+VLOOKUP($AG112,$AL$3:$AS$15,7)</f>
        <v>#VALUE!</v>
      </c>
      <c r="AQ112" s="369" t="e">
        <f aca="false">VLOOKUP($AG112,$AL$4:$AS$15,3)+VLOOKUP($AG112,$AL$4:$AS$15,5)+($AH$10*VLOOKUP(D112,GRITable,2))</f>
        <v>#VALUE!</v>
      </c>
      <c r="AR112" s="370" t="e">
        <f aca="false">VLOOKUP($AG112,$AL$4:$AS$15,4)</f>
        <v>#VALUE!</v>
      </c>
      <c r="AS112" s="369" t="e">
        <f aca="false">(AL112+AM112+AN112)</f>
        <v>#VALUE!</v>
      </c>
      <c r="AT112" s="370" t="e">
        <f aca="false">VLOOKUP(D112,CurveTbl,$AK$6)</f>
        <v>#VALUE!</v>
      </c>
      <c r="AU112" s="370" t="e">
        <f aca="false">(1+$AT112/2)^(-2*($D112-$G$5)/365.25)*$AF112</f>
        <v>#VALUE!</v>
      </c>
      <c r="AV112" s="506" t="e">
        <f aca="false">ROUND((F112/(1-AR112))-F112,0)*AF112*AH112*AU112</f>
        <v>#VALUE!</v>
      </c>
      <c r="AW112" s="370" t="e">
        <f aca="false">VLOOKUP($D112,CurveTbl,$AK$8)</f>
        <v>#VALUE!</v>
      </c>
      <c r="AX112" s="370" t="e">
        <f aca="false">VLOOKUP($D112,CurveTbl,$AH$7)</f>
        <v>#VALUE!</v>
      </c>
      <c r="AY112" s="370" t="e">
        <f aca="false">VLOOKUP($D112,CurveTbl,$AH$8)</f>
        <v>#VALUE!</v>
      </c>
      <c r="AZ112" s="370"/>
      <c r="BA112" s="507"/>
      <c r="BB112" s="505" t="e">
        <f aca="false">$H112-$BV112</f>
        <v>#VALUE!</v>
      </c>
      <c r="BC112" s="505" t="e">
        <f aca="false">I112-BW112</f>
        <v>#VALUE!</v>
      </c>
      <c r="BD112" s="370" t="e">
        <f aca="false">N112-BX112</f>
        <v>#VALUE!</v>
      </c>
      <c r="BE112" s="370" t="e">
        <f aca="false">O112-BY112</f>
        <v>#VALUE!</v>
      </c>
      <c r="BF112" s="370" t="e">
        <f aca="false">xSPRDOPT($BW112,$BV112,$CG112,0,$BY112,$BX112,$BZ112,$AJ112,1,4)*$CB112</f>
        <v>#NAME?</v>
      </c>
      <c r="BG112" s="370" t="e">
        <f aca="false">xSPRDOPT($BW112,$BV112,$CG112,0,$BY112,$BX112,$BZ112,$AJ112,1,3)*$CB112</f>
        <v>#NAME?</v>
      </c>
      <c r="BH112" s="370" t="e">
        <f aca="false">IF(OR(BF112&lt;&gt;0,BG112&lt;&gt;0),xSPRDOPT($BW112,$BV112,$CG112,0,$BY112,$BX112,$BZ112,$AJ112,1,12)*$CB112,0)</f>
        <v>#NAME?</v>
      </c>
      <c r="BI112" s="370" t="e">
        <f aca="false">xSPRDOPT($BW112,$BV112,$CG112,2*LN(1+CA112/2),$BY112,$BX112,$BZ112,$AJ112,1,9)</f>
        <v>#NAME?</v>
      </c>
      <c r="BJ112" s="370" t="e">
        <f aca="false">xSPRDOPT($BW112,$BV112,$CG112,0,$BY112,$BX112,$BZ112,$AJ112,1,6)*$CB112</f>
        <v>#NAME?</v>
      </c>
      <c r="BK112" s="370" t="e">
        <f aca="false">xSPRDOPT($BW112,$BV112,$CG112,0,$BY112,$BX112,$BZ112,$AJ112,1,5)*$CB112</f>
        <v>#NAME?</v>
      </c>
      <c r="BL112" s="370" t="e">
        <f aca="false">xSPRDOPT(BW112,BV112,CG112,0,BY112,BX112,BZ112,AJ112,1,2)*CB112</f>
        <v>#NAME?</v>
      </c>
      <c r="BM112" s="370" t="e">
        <f aca="false">xSPRDOPT(BW112,BV112,CG112,0,BY112,BX112,BZ112,AJ112,1,1)*CB112</f>
        <v>#NAME?</v>
      </c>
      <c r="BN112" s="370" t="e">
        <f aca="false">IF(AH112&lt;&gt;0,xSPRDOPT($BW112,$BV112,$CG112,2*LN(1+CA112/2),$BY112,$BX112,$BZ112,$AJ112,1,8)+(AJ112/365.25)*CH112/AH112,0)</f>
        <v>#VALUE!</v>
      </c>
      <c r="BO112" s="370" t="e">
        <f aca="false">xSPRDOPT($BW112,$BV112,$CG112,0,$BY112,$BX112,$BZ112,$AJ112,1,0)</f>
        <v>#NAME?</v>
      </c>
      <c r="BP112" s="370"/>
      <c r="BQ112" s="370"/>
      <c r="BR112" s="370"/>
      <c r="BS112" s="370"/>
      <c r="BV112" s="508" t="n">
        <v>3.57309054122408</v>
      </c>
      <c r="BW112" s="369" t="n">
        <v>3.702</v>
      </c>
      <c r="BX112" s="370" t="n">
        <v>0.2025</v>
      </c>
      <c r="BY112" s="370" t="n">
        <v>0.2025</v>
      </c>
      <c r="BZ112" s="370" t="n">
        <v>0</v>
      </c>
      <c r="CA112" s="370" t="n">
        <v>0.0586917657044355</v>
      </c>
      <c r="CB112" s="370" t="n">
        <v>0</v>
      </c>
      <c r="CC112" s="505" t="n">
        <v>-0.09</v>
      </c>
      <c r="CD112" s="505" t="n">
        <v>0</v>
      </c>
      <c r="CE112" s="505" t="n">
        <v>0.04</v>
      </c>
      <c r="CF112" s="505" t="n">
        <v>0.04</v>
      </c>
      <c r="CG112" s="505" t="n">
        <v>0</v>
      </c>
      <c r="CH112" s="505" t="n">
        <v>0</v>
      </c>
      <c r="CI112" s="505" t="n">
        <v>3.622</v>
      </c>
      <c r="CJ112" s="505"/>
      <c r="CK112" s="505"/>
      <c r="CL112" s="505"/>
      <c r="CM112" s="505"/>
    </row>
    <row r="113" customFormat="false" ht="12.75" hidden="false" customHeight="false" outlineLevel="0" collapsed="false">
      <c r="A113" s="500"/>
      <c r="B113" s="500"/>
      <c r="D113" s="361" t="e">
        <f aca="false">D112+AH112</f>
        <v>#VALUE!</v>
      </c>
      <c r="F113" s="362" t="e">
        <f aca="false">VLOOKUP(AG113,$AL$4:$AS$15,2)</f>
        <v>#VALUE!</v>
      </c>
      <c r="G113" s="362" t="e">
        <f aca="false">F113*$AU113</f>
        <v>#VALUE!</v>
      </c>
      <c r="H113" s="363" t="e">
        <f aca="false">(AL113+AM113+AN113)/(1-(AR113))</f>
        <v>#VALUE!</v>
      </c>
      <c r="I113" s="363" t="e">
        <f aca="false">(AL113+AO113+AP113)</f>
        <v>#VALUE!</v>
      </c>
      <c r="K113" s="363" t="e">
        <f aca="false">MAX(((I113-H113)-AQ113)*AU113*AH113,0)</f>
        <v>#VALUE!</v>
      </c>
      <c r="L113" s="501" t="e">
        <f aca="false">MAX(Q113-K113,0)</f>
        <v>#VALUE!</v>
      </c>
      <c r="N113" s="502" t="e">
        <f aca="false">SQRT(($AX113^2*($AH113/2)+$AW113^2*$AI113)/(($AH113/2)+$AI113))</f>
        <v>#VALUE!</v>
      </c>
      <c r="O113" s="502" t="e">
        <f aca="false">SQRT(($AY113^2*($AH113/2)+$AW113^2*$AI113)/(($AH113/2)+$AI113))</f>
        <v>#VALUE!</v>
      </c>
      <c r="P113" s="371" t="e">
        <f aca="false">(VLOOKUP(AI113,CorrelationTwo,2)*(AW113^2)*AI113+VLOOKUP(D113,CorrelationOne,$AK$9)*AX113*AY113*(AH113/2))/((AI113+(AH113/2))*O113*N113)*AF113</f>
        <v>#VALUE!</v>
      </c>
      <c r="Q113" s="501" t="e">
        <f aca="false">xSPRDOPT(I113,H113,AQ113,0,O113,N113,P113,D113-$G$5,1,0)*AH113*AU113</f>
        <v>#VALUE!</v>
      </c>
      <c r="R113" s="501"/>
      <c r="S113" s="365" t="e">
        <f aca="false">xSPRDOPT(I113,H113,AQ113,AT113,O113,N113,P113,D113-$G$5,1,2)*AF113*(F113/(1-AR113))*AH113</f>
        <v>#VALUE!</v>
      </c>
      <c r="T113" s="365" t="e">
        <f aca="false">xSPRDOPT(I113,H113,AQ113,AT113,O113,N113,P113,D113-$G$5,1,1)*AF113*F113*AH113</f>
        <v>#VALUE!</v>
      </c>
      <c r="U113" s="501"/>
      <c r="V113" s="503" t="e">
        <f aca="false">VLOOKUP($AG113,$AL$4:$AS$15,8)*AH113*AU113</f>
        <v>#VALUE!</v>
      </c>
      <c r="W113" s="503"/>
      <c r="X113" s="504" t="e">
        <f aca="false">((BM113*BC113)+(BL113*BB113))*AH113*F113</f>
        <v>#VALUE!</v>
      </c>
      <c r="Y113" s="504" t="e">
        <f aca="false">($F113*$AH113)*((($BG113/2)*($BC113)^2)+(($BF113/2)*($BB113)^2)+($BH113*$BC113*$BB113))</f>
        <v>#VALUE!</v>
      </c>
      <c r="Z113" s="504" t="e">
        <f aca="false">($BI113*$F113*$AH113*($G$5-$BV$5))/365.25</f>
        <v>#VALUE!</v>
      </c>
      <c r="AA113" s="504" t="e">
        <f aca="false">(($BK113*$BE113)+($BJ113*$BD113))*$F113*$AH113*$AF113</f>
        <v>#VALUE!</v>
      </c>
      <c r="AB113" s="504" t="e">
        <f aca="false">BN113*(AT113-CA113)*F113*AH113</f>
        <v>#VALUE!</v>
      </c>
      <c r="AC113" s="504" t="e">
        <f aca="false">BO113*CB113*F113*AH113*CA113*($G$5-$BV$5)/365.25</f>
        <v>#NAME?</v>
      </c>
      <c r="AF113" s="378" t="e">
        <f aca="false">IF(AND(D113&gt;=$G$7,D113&lt;=$G$8),1,0)</f>
        <v>#VALUE!</v>
      </c>
      <c r="AG113" s="378" t="e">
        <f aca="false">MONTH(D113)</f>
        <v>#VALUE!</v>
      </c>
      <c r="AH113" s="378" t="e">
        <f aca="false">(EOMONTH(D113,0)-EOMONTH(D113-DAY(D113),0))*AF113</f>
        <v>#VALUE!</v>
      </c>
      <c r="AI113" s="378" t="e">
        <f aca="false">AI112+AH112</f>
        <v>#VALUE!</v>
      </c>
      <c r="AJ113" s="378" t="e">
        <f aca="false">D113-$BV$5</f>
        <v>#VALUE!</v>
      </c>
      <c r="AL113" s="369" t="e">
        <f aca="false">VLOOKUP($D113,CurveTbl,$AK$4)</f>
        <v>#VALUE!</v>
      </c>
      <c r="AM113" s="505" t="e">
        <f aca="false">VLOOKUP($D113,CurveTbl,$AH$3)</f>
        <v>#VALUE!</v>
      </c>
      <c r="AN113" s="505" t="e">
        <f aca="false">VLOOKUP($D113,CurveTbl,$AH$4)+VLOOKUP($AG113,$AL$3:$AS$15,6)</f>
        <v>#VALUE!</v>
      </c>
      <c r="AO113" s="505" t="e">
        <f aca="false">VLOOKUP($D113,CurveTbl,$AH$5)</f>
        <v>#VALUE!</v>
      </c>
      <c r="AP113" s="505" t="e">
        <f aca="false">VLOOKUP($D113,CurveTbl,$AH$6)+VLOOKUP($AG113,$AL$3:$AS$15,7)</f>
        <v>#VALUE!</v>
      </c>
      <c r="AQ113" s="369" t="e">
        <f aca="false">VLOOKUP($AG113,$AL$4:$AS$15,3)+VLOOKUP($AG113,$AL$4:$AS$15,5)+($AH$10*VLOOKUP(D113,GRITable,2))</f>
        <v>#VALUE!</v>
      </c>
      <c r="AR113" s="370" t="e">
        <f aca="false">VLOOKUP($AG113,$AL$4:$AS$15,4)</f>
        <v>#VALUE!</v>
      </c>
      <c r="AS113" s="369" t="e">
        <f aca="false">(AL113+AM113+AN113)</f>
        <v>#VALUE!</v>
      </c>
      <c r="AT113" s="370" t="e">
        <f aca="false">VLOOKUP(D113,CurveTbl,$AK$6)</f>
        <v>#VALUE!</v>
      </c>
      <c r="AU113" s="370" t="e">
        <f aca="false">(1+$AT113/2)^(-2*($D113-$G$5)/365.25)*$AF113</f>
        <v>#VALUE!</v>
      </c>
      <c r="AV113" s="506" t="e">
        <f aca="false">ROUND((F113/(1-AR113))-F113,0)*AF113*AH113*AU113</f>
        <v>#VALUE!</v>
      </c>
      <c r="AW113" s="370" t="e">
        <f aca="false">VLOOKUP($D113,CurveTbl,$AK$8)</f>
        <v>#VALUE!</v>
      </c>
      <c r="AX113" s="370" t="e">
        <f aca="false">VLOOKUP($D113,CurveTbl,$AH$7)</f>
        <v>#VALUE!</v>
      </c>
      <c r="AY113" s="370" t="e">
        <f aca="false">VLOOKUP($D113,CurveTbl,$AH$8)</f>
        <v>#VALUE!</v>
      </c>
      <c r="AZ113" s="370"/>
      <c r="BA113" s="507"/>
      <c r="BB113" s="505" t="e">
        <f aca="false">$H113-$BV113</f>
        <v>#VALUE!</v>
      </c>
      <c r="BC113" s="505" t="e">
        <f aca="false">I113-BW113</f>
        <v>#VALUE!</v>
      </c>
      <c r="BD113" s="370" t="e">
        <f aca="false">N113-BX113</f>
        <v>#VALUE!</v>
      </c>
      <c r="BE113" s="370" t="e">
        <f aca="false">O113-BY113</f>
        <v>#VALUE!</v>
      </c>
      <c r="BF113" s="370" t="e">
        <f aca="false">xSPRDOPT($BW113,$BV113,$CG113,0,$BY113,$BX113,$BZ113,$AJ113,1,4)*$CB113</f>
        <v>#NAME?</v>
      </c>
      <c r="BG113" s="370" t="e">
        <f aca="false">xSPRDOPT($BW113,$BV113,$CG113,0,$BY113,$BX113,$BZ113,$AJ113,1,3)*$CB113</f>
        <v>#NAME?</v>
      </c>
      <c r="BH113" s="370" t="e">
        <f aca="false">IF(OR(BF113&lt;&gt;0,BG113&lt;&gt;0),xSPRDOPT($BW113,$BV113,$CG113,0,$BY113,$BX113,$BZ113,$AJ113,1,12)*$CB113,0)</f>
        <v>#NAME?</v>
      </c>
      <c r="BI113" s="370" t="e">
        <f aca="false">xSPRDOPT($BW113,$BV113,$CG113,2*LN(1+CA113/2),$BY113,$BX113,$BZ113,$AJ113,1,9)</f>
        <v>#NAME?</v>
      </c>
      <c r="BJ113" s="370" t="e">
        <f aca="false">xSPRDOPT($BW113,$BV113,$CG113,0,$BY113,$BX113,$BZ113,$AJ113,1,6)*$CB113</f>
        <v>#NAME?</v>
      </c>
      <c r="BK113" s="370" t="e">
        <f aca="false">xSPRDOPT($BW113,$BV113,$CG113,0,$BY113,$BX113,$BZ113,$AJ113,1,5)*$CB113</f>
        <v>#NAME?</v>
      </c>
      <c r="BL113" s="370" t="e">
        <f aca="false">xSPRDOPT(BW113,BV113,CG113,0,BY113,BX113,BZ113,AJ113,1,2)*CB113</f>
        <v>#NAME?</v>
      </c>
      <c r="BM113" s="370" t="e">
        <f aca="false">xSPRDOPT(BW113,BV113,CG113,0,BY113,BX113,BZ113,AJ113,1,1)*CB113</f>
        <v>#NAME?</v>
      </c>
      <c r="BN113" s="370" t="e">
        <f aca="false">IF(AH113&lt;&gt;0,xSPRDOPT($BW113,$BV113,$CG113,2*LN(1+CA113/2),$BY113,$BX113,$BZ113,$AJ113,1,8)+(AJ113/365.25)*CH113/AH113,0)</f>
        <v>#VALUE!</v>
      </c>
      <c r="BO113" s="370" t="e">
        <f aca="false">xSPRDOPT($BW113,$BV113,$CG113,0,$BY113,$BX113,$BZ113,$AJ113,1,0)</f>
        <v>#NAME?</v>
      </c>
      <c r="BP113" s="370"/>
      <c r="BQ113" s="370"/>
      <c r="BR113" s="370"/>
      <c r="BS113" s="370"/>
      <c r="BV113" s="508" t="n">
        <v>3.57309054122408</v>
      </c>
      <c r="BW113" s="369" t="n">
        <v>3.702</v>
      </c>
      <c r="BX113" s="370" t="n">
        <v>0.2025</v>
      </c>
      <c r="BY113" s="370" t="n">
        <v>0.2025</v>
      </c>
      <c r="BZ113" s="370" t="n">
        <v>0</v>
      </c>
      <c r="CA113" s="370" t="n">
        <v>0.0586917657044355</v>
      </c>
      <c r="CB113" s="370" t="n">
        <v>0</v>
      </c>
      <c r="CC113" s="505" t="n">
        <v>-0.09</v>
      </c>
      <c r="CD113" s="505" t="n">
        <v>0</v>
      </c>
      <c r="CE113" s="505" t="n">
        <v>0.04</v>
      </c>
      <c r="CF113" s="505" t="n">
        <v>0.04</v>
      </c>
      <c r="CG113" s="505" t="n">
        <v>0</v>
      </c>
      <c r="CH113" s="505" t="n">
        <v>0</v>
      </c>
      <c r="CI113" s="505" t="n">
        <v>3.622</v>
      </c>
      <c r="CJ113" s="505"/>
      <c r="CK113" s="505"/>
      <c r="CL113" s="505"/>
      <c r="CM113" s="505"/>
    </row>
    <row r="114" customFormat="false" ht="12.75" hidden="false" customHeight="false" outlineLevel="0" collapsed="false">
      <c r="A114" s="500"/>
      <c r="B114" s="500"/>
      <c r="D114" s="361" t="e">
        <f aca="false">D113+AH113</f>
        <v>#VALUE!</v>
      </c>
      <c r="F114" s="362" t="e">
        <f aca="false">VLOOKUP(AG114,$AL$4:$AS$15,2)</f>
        <v>#VALUE!</v>
      </c>
      <c r="G114" s="362" t="e">
        <f aca="false">F114*$AU114</f>
        <v>#VALUE!</v>
      </c>
      <c r="H114" s="363" t="e">
        <f aca="false">(AL114+AM114+AN114)/(1-(AR114))</f>
        <v>#VALUE!</v>
      </c>
      <c r="I114" s="363" t="e">
        <f aca="false">(AL114+AO114+AP114)</f>
        <v>#VALUE!</v>
      </c>
      <c r="K114" s="363" t="e">
        <f aca="false">MAX(((I114-H114)-AQ114)*AU114*AH114,0)</f>
        <v>#VALUE!</v>
      </c>
      <c r="L114" s="501" t="e">
        <f aca="false">MAX(Q114-K114,0)</f>
        <v>#VALUE!</v>
      </c>
      <c r="N114" s="502" t="e">
        <f aca="false">SQRT(($AX114^2*($AH114/2)+$AW114^2*$AI114)/(($AH114/2)+$AI114))</f>
        <v>#VALUE!</v>
      </c>
      <c r="O114" s="502" t="e">
        <f aca="false">SQRT(($AY114^2*($AH114/2)+$AW114^2*$AI114)/(($AH114/2)+$AI114))</f>
        <v>#VALUE!</v>
      </c>
      <c r="P114" s="371" t="e">
        <f aca="false">(VLOOKUP(AI114,CorrelationTwo,2)*(AW114^2)*AI114+VLOOKUP(D114,CorrelationOne,$AK$9)*AX114*AY114*(AH114/2))/((AI114+(AH114/2))*O114*N114)*AF114</f>
        <v>#VALUE!</v>
      </c>
      <c r="Q114" s="501" t="e">
        <f aca="false">xSPRDOPT(I114,H114,AQ114,0,O114,N114,P114,D114-$G$5,1,0)*AH114*AU114</f>
        <v>#VALUE!</v>
      </c>
      <c r="R114" s="501"/>
      <c r="S114" s="365" t="e">
        <f aca="false">xSPRDOPT(I114,H114,AQ114,AT114,O114,N114,P114,D114-$G$5,1,2)*AF114*(F114/(1-AR114))*AH114</f>
        <v>#VALUE!</v>
      </c>
      <c r="T114" s="365" t="e">
        <f aca="false">xSPRDOPT(I114,H114,AQ114,AT114,O114,N114,P114,D114-$G$5,1,1)*AF114*F114*AH114</f>
        <v>#VALUE!</v>
      </c>
      <c r="U114" s="501"/>
      <c r="V114" s="503" t="e">
        <f aca="false">VLOOKUP($AG114,$AL$4:$AS$15,8)*AH114*AU114</f>
        <v>#VALUE!</v>
      </c>
      <c r="W114" s="503"/>
      <c r="X114" s="504" t="e">
        <f aca="false">((BM114*BC114)+(BL114*BB114))*AH114*F114</f>
        <v>#VALUE!</v>
      </c>
      <c r="Y114" s="504" t="e">
        <f aca="false">($F114*$AH114)*((($BG114/2)*($BC114)^2)+(($BF114/2)*($BB114)^2)+($BH114*$BC114*$BB114))</f>
        <v>#VALUE!</v>
      </c>
      <c r="Z114" s="504" t="e">
        <f aca="false">($BI114*$F114*$AH114*($G$5-$BV$5))/365.25</f>
        <v>#VALUE!</v>
      </c>
      <c r="AA114" s="504" t="e">
        <f aca="false">(($BK114*$BE114)+($BJ114*$BD114))*$F114*$AH114*$AF114</f>
        <v>#VALUE!</v>
      </c>
      <c r="AB114" s="504" t="e">
        <f aca="false">BN114*(AT114-CA114)*F114*AH114</f>
        <v>#VALUE!</v>
      </c>
      <c r="AC114" s="504" t="e">
        <f aca="false">BO114*CB114*F114*AH114*CA114*($G$5-$BV$5)/365.25</f>
        <v>#NAME?</v>
      </c>
      <c r="AF114" s="378" t="e">
        <f aca="false">IF(AND(D114&gt;=$G$7,D114&lt;=$G$8),1,0)</f>
        <v>#VALUE!</v>
      </c>
      <c r="AG114" s="378" t="e">
        <f aca="false">MONTH(D114)</f>
        <v>#VALUE!</v>
      </c>
      <c r="AH114" s="378" t="e">
        <f aca="false">(EOMONTH(D114,0)-EOMONTH(D114-DAY(D114),0))*AF114</f>
        <v>#VALUE!</v>
      </c>
      <c r="AI114" s="378" t="e">
        <f aca="false">AI113+AH113</f>
        <v>#VALUE!</v>
      </c>
      <c r="AJ114" s="378" t="e">
        <f aca="false">D114-$BV$5</f>
        <v>#VALUE!</v>
      </c>
      <c r="AL114" s="369" t="e">
        <f aca="false">VLOOKUP($D114,CurveTbl,$AK$4)</f>
        <v>#VALUE!</v>
      </c>
      <c r="AM114" s="505" t="e">
        <f aca="false">VLOOKUP($D114,CurveTbl,$AH$3)</f>
        <v>#VALUE!</v>
      </c>
      <c r="AN114" s="505" t="e">
        <f aca="false">VLOOKUP($D114,CurveTbl,$AH$4)+VLOOKUP($AG114,$AL$3:$AS$15,6)</f>
        <v>#VALUE!</v>
      </c>
      <c r="AO114" s="505" t="e">
        <f aca="false">VLOOKUP($D114,CurveTbl,$AH$5)</f>
        <v>#VALUE!</v>
      </c>
      <c r="AP114" s="505" t="e">
        <f aca="false">VLOOKUP($D114,CurveTbl,$AH$6)+VLOOKUP($AG114,$AL$3:$AS$15,7)</f>
        <v>#VALUE!</v>
      </c>
      <c r="AQ114" s="369" t="e">
        <f aca="false">VLOOKUP($AG114,$AL$4:$AS$15,3)+VLOOKUP($AG114,$AL$4:$AS$15,5)+($AH$10*VLOOKUP(D114,GRITable,2))</f>
        <v>#VALUE!</v>
      </c>
      <c r="AR114" s="370" t="e">
        <f aca="false">VLOOKUP($AG114,$AL$4:$AS$15,4)</f>
        <v>#VALUE!</v>
      </c>
      <c r="AS114" s="369" t="e">
        <f aca="false">(AL114+AM114+AN114)</f>
        <v>#VALUE!</v>
      </c>
      <c r="AT114" s="370" t="e">
        <f aca="false">VLOOKUP(D114,CurveTbl,$AK$6)</f>
        <v>#VALUE!</v>
      </c>
      <c r="AU114" s="370" t="e">
        <f aca="false">(1+$AT114/2)^(-2*($D114-$G$5)/365.25)*$AF114</f>
        <v>#VALUE!</v>
      </c>
      <c r="AV114" s="506" t="e">
        <f aca="false">ROUND((F114/(1-AR114))-F114,0)*AF114*AH114*AU114</f>
        <v>#VALUE!</v>
      </c>
      <c r="AW114" s="370" t="e">
        <f aca="false">VLOOKUP($D114,CurveTbl,$AK$8)</f>
        <v>#VALUE!</v>
      </c>
      <c r="AX114" s="370" t="e">
        <f aca="false">VLOOKUP($D114,CurveTbl,$AH$7)</f>
        <v>#VALUE!</v>
      </c>
      <c r="AY114" s="370" t="e">
        <f aca="false">VLOOKUP($D114,CurveTbl,$AH$8)</f>
        <v>#VALUE!</v>
      </c>
      <c r="AZ114" s="370"/>
      <c r="BA114" s="507"/>
      <c r="BB114" s="505" t="e">
        <f aca="false">$H114-$BV114</f>
        <v>#VALUE!</v>
      </c>
      <c r="BC114" s="505" t="e">
        <f aca="false">I114-BW114</f>
        <v>#VALUE!</v>
      </c>
      <c r="BD114" s="370" t="e">
        <f aca="false">N114-BX114</f>
        <v>#VALUE!</v>
      </c>
      <c r="BE114" s="370" t="e">
        <f aca="false">O114-BY114</f>
        <v>#VALUE!</v>
      </c>
      <c r="BF114" s="370" t="e">
        <f aca="false">xSPRDOPT($BW114,$BV114,$CG114,0,$BY114,$BX114,$BZ114,$AJ114,1,4)*$CB114</f>
        <v>#NAME?</v>
      </c>
      <c r="BG114" s="370" t="e">
        <f aca="false">xSPRDOPT($BW114,$BV114,$CG114,0,$BY114,$BX114,$BZ114,$AJ114,1,3)*$CB114</f>
        <v>#NAME?</v>
      </c>
      <c r="BH114" s="370" t="e">
        <f aca="false">IF(OR(BF114&lt;&gt;0,BG114&lt;&gt;0),xSPRDOPT($BW114,$BV114,$CG114,0,$BY114,$BX114,$BZ114,$AJ114,1,12)*$CB114,0)</f>
        <v>#NAME?</v>
      </c>
      <c r="BI114" s="370" t="e">
        <f aca="false">xSPRDOPT($BW114,$BV114,$CG114,2*LN(1+CA114/2),$BY114,$BX114,$BZ114,$AJ114,1,9)</f>
        <v>#NAME?</v>
      </c>
      <c r="BJ114" s="370" t="e">
        <f aca="false">xSPRDOPT($BW114,$BV114,$CG114,0,$BY114,$BX114,$BZ114,$AJ114,1,6)*$CB114</f>
        <v>#NAME?</v>
      </c>
      <c r="BK114" s="370" t="e">
        <f aca="false">xSPRDOPT($BW114,$BV114,$CG114,0,$BY114,$BX114,$BZ114,$AJ114,1,5)*$CB114</f>
        <v>#NAME?</v>
      </c>
      <c r="BL114" s="370" t="e">
        <f aca="false">xSPRDOPT(BW114,BV114,CG114,0,BY114,BX114,BZ114,AJ114,1,2)*CB114</f>
        <v>#NAME?</v>
      </c>
      <c r="BM114" s="370" t="e">
        <f aca="false">xSPRDOPT(BW114,BV114,CG114,0,BY114,BX114,BZ114,AJ114,1,1)*CB114</f>
        <v>#NAME?</v>
      </c>
      <c r="BN114" s="370" t="e">
        <f aca="false">IF(AH114&lt;&gt;0,xSPRDOPT($BW114,$BV114,$CG114,2*LN(1+CA114/2),$BY114,$BX114,$BZ114,$AJ114,1,8)+(AJ114/365.25)*CH114/AH114,0)</f>
        <v>#VALUE!</v>
      </c>
      <c r="BO114" s="370" t="e">
        <f aca="false">xSPRDOPT($BW114,$BV114,$CG114,0,$BY114,$BX114,$BZ114,$AJ114,1,0)</f>
        <v>#NAME?</v>
      </c>
      <c r="BP114" s="370"/>
      <c r="BQ114" s="370"/>
      <c r="BR114" s="370"/>
      <c r="BS114" s="370"/>
      <c r="BV114" s="508" t="n">
        <v>3.57309054122408</v>
      </c>
      <c r="BW114" s="369" t="n">
        <v>3.702</v>
      </c>
      <c r="BX114" s="370" t="n">
        <v>0.2025</v>
      </c>
      <c r="BY114" s="370" t="n">
        <v>0.2025</v>
      </c>
      <c r="BZ114" s="370" t="n">
        <v>0</v>
      </c>
      <c r="CA114" s="370" t="n">
        <v>0.0586917657044355</v>
      </c>
      <c r="CB114" s="370" t="n">
        <v>0</v>
      </c>
      <c r="CC114" s="505" t="n">
        <v>-0.09</v>
      </c>
      <c r="CD114" s="505" t="n">
        <v>0</v>
      </c>
      <c r="CE114" s="505" t="n">
        <v>0.04</v>
      </c>
      <c r="CF114" s="505" t="n">
        <v>0.04</v>
      </c>
      <c r="CG114" s="505" t="n">
        <v>0</v>
      </c>
      <c r="CH114" s="505" t="n">
        <v>0</v>
      </c>
      <c r="CI114" s="505" t="n">
        <v>3.622</v>
      </c>
      <c r="CJ114" s="505"/>
      <c r="CK114" s="505"/>
      <c r="CL114" s="505"/>
      <c r="CM114" s="505"/>
    </row>
    <row r="115" customFormat="false" ht="12.75" hidden="false" customHeight="false" outlineLevel="0" collapsed="false">
      <c r="A115" s="500"/>
      <c r="B115" s="500"/>
      <c r="D115" s="361" t="e">
        <f aca="false">D114+AH114</f>
        <v>#VALUE!</v>
      </c>
      <c r="F115" s="362" t="e">
        <f aca="false">VLOOKUP(AG115,$AL$4:$AS$15,2)</f>
        <v>#VALUE!</v>
      </c>
      <c r="G115" s="362" t="e">
        <f aca="false">F115*$AU115</f>
        <v>#VALUE!</v>
      </c>
      <c r="H115" s="363" t="e">
        <f aca="false">(AL115+AM115+AN115)/(1-(AR115))</f>
        <v>#VALUE!</v>
      </c>
      <c r="I115" s="363" t="e">
        <f aca="false">(AL115+AO115+AP115)</f>
        <v>#VALUE!</v>
      </c>
      <c r="K115" s="363" t="e">
        <f aca="false">MAX(((I115-H115)-AQ115)*AU115*AH115,0)</f>
        <v>#VALUE!</v>
      </c>
      <c r="L115" s="501" t="e">
        <f aca="false">MAX(Q115-K115,0)</f>
        <v>#VALUE!</v>
      </c>
      <c r="N115" s="502" t="e">
        <f aca="false">SQRT(($AX115^2*($AH115/2)+$AW115^2*$AI115)/(($AH115/2)+$AI115))</f>
        <v>#VALUE!</v>
      </c>
      <c r="O115" s="502" t="e">
        <f aca="false">SQRT(($AY115^2*($AH115/2)+$AW115^2*$AI115)/(($AH115/2)+$AI115))</f>
        <v>#VALUE!</v>
      </c>
      <c r="P115" s="371" t="e">
        <f aca="false">(VLOOKUP(AI115,CorrelationTwo,2)*(AW115^2)*AI115+VLOOKUP(D115,CorrelationOne,$AK$9)*AX115*AY115*(AH115/2))/((AI115+(AH115/2))*O115*N115)*AF115</f>
        <v>#VALUE!</v>
      </c>
      <c r="Q115" s="501" t="e">
        <f aca="false">xSPRDOPT(I115,H115,AQ115,0,O115,N115,P115,D115-$G$5,1,0)*AH115*AU115</f>
        <v>#VALUE!</v>
      </c>
      <c r="R115" s="501"/>
      <c r="S115" s="365" t="e">
        <f aca="false">xSPRDOPT(I115,H115,AQ115,AT115,O115,N115,P115,D115-$G$5,1,2)*AF115*(F115/(1-AR115))*AH115</f>
        <v>#VALUE!</v>
      </c>
      <c r="T115" s="365" t="e">
        <f aca="false">xSPRDOPT(I115,H115,AQ115,AT115,O115,N115,P115,D115-$G$5,1,1)*AF115*F115*AH115</f>
        <v>#VALUE!</v>
      </c>
      <c r="U115" s="501"/>
      <c r="V115" s="503" t="e">
        <f aca="false">VLOOKUP($AG115,$AL$4:$AS$15,8)*AH115*AU115</f>
        <v>#VALUE!</v>
      </c>
      <c r="W115" s="503"/>
      <c r="X115" s="504" t="e">
        <f aca="false">((BM115*BC115)+(BL115*BB115))*AH115*F115</f>
        <v>#VALUE!</v>
      </c>
      <c r="Y115" s="504" t="e">
        <f aca="false">($F115*$AH115)*((($BG115/2)*($BC115)^2)+(($BF115/2)*($BB115)^2)+($BH115*$BC115*$BB115))</f>
        <v>#VALUE!</v>
      </c>
      <c r="Z115" s="504" t="e">
        <f aca="false">($BI115*$F115*$AH115*($G$5-$BV$5))/365.25</f>
        <v>#VALUE!</v>
      </c>
      <c r="AA115" s="504" t="e">
        <f aca="false">(($BK115*$BE115)+($BJ115*$BD115))*$F115*$AH115*$AF115</f>
        <v>#VALUE!</v>
      </c>
      <c r="AB115" s="504" t="e">
        <f aca="false">BN115*(AT115-CA115)*F115*AH115</f>
        <v>#VALUE!</v>
      </c>
      <c r="AC115" s="504" t="e">
        <f aca="false">BO115*CB115*F115*AH115*CA115*($G$5-$BV$5)/365.25</f>
        <v>#NAME?</v>
      </c>
      <c r="AF115" s="378" t="e">
        <f aca="false">IF(AND(D115&gt;=$G$7,D115&lt;=$G$8),1,0)</f>
        <v>#VALUE!</v>
      </c>
      <c r="AG115" s="378" t="e">
        <f aca="false">MONTH(D115)</f>
        <v>#VALUE!</v>
      </c>
      <c r="AH115" s="378" t="e">
        <f aca="false">(EOMONTH(D115,0)-EOMONTH(D115-DAY(D115),0))*AF115</f>
        <v>#VALUE!</v>
      </c>
      <c r="AI115" s="378" t="e">
        <f aca="false">AI114+AH114</f>
        <v>#VALUE!</v>
      </c>
      <c r="AJ115" s="378" t="e">
        <f aca="false">D115-$BV$5</f>
        <v>#VALUE!</v>
      </c>
      <c r="AL115" s="369" t="e">
        <f aca="false">VLOOKUP($D115,CurveTbl,$AK$4)</f>
        <v>#VALUE!</v>
      </c>
      <c r="AM115" s="505" t="e">
        <f aca="false">VLOOKUP($D115,CurveTbl,$AH$3)</f>
        <v>#VALUE!</v>
      </c>
      <c r="AN115" s="505" t="e">
        <f aca="false">VLOOKUP($D115,CurveTbl,$AH$4)+VLOOKUP($AG115,$AL$3:$AS$15,6)</f>
        <v>#VALUE!</v>
      </c>
      <c r="AO115" s="505" t="e">
        <f aca="false">VLOOKUP($D115,CurveTbl,$AH$5)</f>
        <v>#VALUE!</v>
      </c>
      <c r="AP115" s="505" t="e">
        <f aca="false">VLOOKUP($D115,CurveTbl,$AH$6)+VLOOKUP($AG115,$AL$3:$AS$15,7)</f>
        <v>#VALUE!</v>
      </c>
      <c r="AQ115" s="369" t="e">
        <f aca="false">VLOOKUP($AG115,$AL$4:$AS$15,3)+VLOOKUP($AG115,$AL$4:$AS$15,5)+($AH$10*VLOOKUP(D115,GRITable,2))</f>
        <v>#VALUE!</v>
      </c>
      <c r="AR115" s="370" t="e">
        <f aca="false">VLOOKUP($AG115,$AL$4:$AS$15,4)</f>
        <v>#VALUE!</v>
      </c>
      <c r="AS115" s="369" t="e">
        <f aca="false">(AL115+AM115+AN115)</f>
        <v>#VALUE!</v>
      </c>
      <c r="AT115" s="370" t="e">
        <f aca="false">VLOOKUP(D115,CurveTbl,$AK$6)</f>
        <v>#VALUE!</v>
      </c>
      <c r="AU115" s="370" t="e">
        <f aca="false">(1+$AT115/2)^(-2*($D115-$G$5)/365.25)*$AF115</f>
        <v>#VALUE!</v>
      </c>
      <c r="AV115" s="506" t="e">
        <f aca="false">ROUND((F115/(1-AR115))-F115,0)*AF115*AH115*AU115</f>
        <v>#VALUE!</v>
      </c>
      <c r="AW115" s="370" t="e">
        <f aca="false">VLOOKUP($D115,CurveTbl,$AK$8)</f>
        <v>#VALUE!</v>
      </c>
      <c r="AX115" s="370" t="e">
        <f aca="false">VLOOKUP($D115,CurveTbl,$AH$7)</f>
        <v>#VALUE!</v>
      </c>
      <c r="AY115" s="370" t="e">
        <f aca="false">VLOOKUP($D115,CurveTbl,$AH$8)</f>
        <v>#VALUE!</v>
      </c>
      <c r="AZ115" s="370"/>
      <c r="BA115" s="507"/>
      <c r="BB115" s="505" t="e">
        <f aca="false">$H115-$BV115</f>
        <v>#VALUE!</v>
      </c>
      <c r="BC115" s="505" t="e">
        <f aca="false">I115-BW115</f>
        <v>#VALUE!</v>
      </c>
      <c r="BD115" s="370" t="e">
        <f aca="false">N115-BX115</f>
        <v>#VALUE!</v>
      </c>
      <c r="BE115" s="370" t="e">
        <f aca="false">O115-BY115</f>
        <v>#VALUE!</v>
      </c>
      <c r="BF115" s="370" t="e">
        <f aca="false">xSPRDOPT($BW115,$BV115,$CG115,0,$BY115,$BX115,$BZ115,$AJ115,1,4)*$CB115</f>
        <v>#NAME?</v>
      </c>
      <c r="BG115" s="370" t="e">
        <f aca="false">xSPRDOPT($BW115,$BV115,$CG115,0,$BY115,$BX115,$BZ115,$AJ115,1,3)*$CB115</f>
        <v>#NAME?</v>
      </c>
      <c r="BH115" s="370" t="e">
        <f aca="false">IF(OR(BF115&lt;&gt;0,BG115&lt;&gt;0),xSPRDOPT($BW115,$BV115,$CG115,0,$BY115,$BX115,$BZ115,$AJ115,1,12)*$CB115,0)</f>
        <v>#NAME?</v>
      </c>
      <c r="BI115" s="370" t="e">
        <f aca="false">xSPRDOPT($BW115,$BV115,$CG115,2*LN(1+CA115/2),$BY115,$BX115,$BZ115,$AJ115,1,9)</f>
        <v>#NAME?</v>
      </c>
      <c r="BJ115" s="370" t="e">
        <f aca="false">xSPRDOPT($BW115,$BV115,$CG115,0,$BY115,$BX115,$BZ115,$AJ115,1,6)*$CB115</f>
        <v>#NAME?</v>
      </c>
      <c r="BK115" s="370" t="e">
        <f aca="false">xSPRDOPT($BW115,$BV115,$CG115,0,$BY115,$BX115,$BZ115,$AJ115,1,5)*$CB115</f>
        <v>#NAME?</v>
      </c>
      <c r="BL115" s="370" t="e">
        <f aca="false">xSPRDOPT(BW115,BV115,CG115,0,BY115,BX115,BZ115,AJ115,1,2)*CB115</f>
        <v>#NAME?</v>
      </c>
      <c r="BM115" s="370" t="e">
        <f aca="false">xSPRDOPT(BW115,BV115,CG115,0,BY115,BX115,BZ115,AJ115,1,1)*CB115</f>
        <v>#NAME?</v>
      </c>
      <c r="BN115" s="370" t="e">
        <f aca="false">IF(AH115&lt;&gt;0,xSPRDOPT($BW115,$BV115,$CG115,2*LN(1+CA115/2),$BY115,$BX115,$BZ115,$AJ115,1,8)+(AJ115/365.25)*CH115/AH115,0)</f>
        <v>#VALUE!</v>
      </c>
      <c r="BO115" s="370" t="e">
        <f aca="false">xSPRDOPT($BW115,$BV115,$CG115,0,$BY115,$BX115,$BZ115,$AJ115,1,0)</f>
        <v>#NAME?</v>
      </c>
      <c r="BP115" s="370"/>
      <c r="BQ115" s="370"/>
      <c r="BR115" s="370"/>
      <c r="BS115" s="370"/>
      <c r="BV115" s="508" t="n">
        <v>3.57309054122408</v>
      </c>
      <c r="BW115" s="369" t="n">
        <v>3.702</v>
      </c>
      <c r="BX115" s="370" t="n">
        <v>0.2025</v>
      </c>
      <c r="BY115" s="370" t="n">
        <v>0.2025</v>
      </c>
      <c r="BZ115" s="370" t="n">
        <v>0</v>
      </c>
      <c r="CA115" s="370" t="n">
        <v>0.0586917657044355</v>
      </c>
      <c r="CB115" s="370" t="n">
        <v>0</v>
      </c>
      <c r="CC115" s="505" t="n">
        <v>-0.09</v>
      </c>
      <c r="CD115" s="505" t="n">
        <v>0</v>
      </c>
      <c r="CE115" s="505" t="n">
        <v>0.04</v>
      </c>
      <c r="CF115" s="505" t="n">
        <v>0.04</v>
      </c>
      <c r="CG115" s="505" t="n">
        <v>0</v>
      </c>
      <c r="CH115" s="505" t="n">
        <v>0</v>
      </c>
      <c r="CI115" s="505" t="n">
        <v>3.622</v>
      </c>
      <c r="CJ115" s="505"/>
      <c r="CK115" s="505"/>
      <c r="CL115" s="505"/>
      <c r="CM115" s="505"/>
    </row>
    <row r="116" customFormat="false" ht="12.75" hidden="false" customHeight="false" outlineLevel="0" collapsed="false">
      <c r="A116" s="500"/>
      <c r="B116" s="500"/>
      <c r="D116" s="361" t="e">
        <f aca="false">D115+AH115</f>
        <v>#VALUE!</v>
      </c>
      <c r="F116" s="362" t="e">
        <f aca="false">VLOOKUP(AG116,$AL$4:$AS$15,2)</f>
        <v>#VALUE!</v>
      </c>
      <c r="G116" s="362" t="e">
        <f aca="false">F116*$AU116</f>
        <v>#VALUE!</v>
      </c>
      <c r="H116" s="363" t="e">
        <f aca="false">(AL116+AM116+AN116)/(1-(AR116))</f>
        <v>#VALUE!</v>
      </c>
      <c r="I116" s="363" t="e">
        <f aca="false">(AL116+AO116+AP116)</f>
        <v>#VALUE!</v>
      </c>
      <c r="K116" s="363" t="e">
        <f aca="false">MAX(((I116-H116)-AQ116)*AU116*AH116,0)</f>
        <v>#VALUE!</v>
      </c>
      <c r="L116" s="501" t="e">
        <f aca="false">MAX(Q116-K116,0)</f>
        <v>#VALUE!</v>
      </c>
      <c r="N116" s="502" t="e">
        <f aca="false">SQRT(($AX116^2*($AH116/2)+$AW116^2*$AI116)/(($AH116/2)+$AI116))</f>
        <v>#VALUE!</v>
      </c>
      <c r="O116" s="502" t="e">
        <f aca="false">SQRT(($AY116^2*($AH116/2)+$AW116^2*$AI116)/(($AH116/2)+$AI116))</f>
        <v>#VALUE!</v>
      </c>
      <c r="P116" s="371" t="e">
        <f aca="false">(VLOOKUP(AI116,CorrelationTwo,2)*(AW116^2)*AI116+VLOOKUP(D116,CorrelationOne,$AK$9)*AX116*AY116*(AH116/2))/((AI116+(AH116/2))*O116*N116)*AF116</f>
        <v>#VALUE!</v>
      </c>
      <c r="Q116" s="501" t="e">
        <f aca="false">xSPRDOPT(I116,H116,AQ116,0,O116,N116,P116,D116-$G$5,1,0)*AH116*AU116</f>
        <v>#VALUE!</v>
      </c>
      <c r="R116" s="501"/>
      <c r="S116" s="365" t="e">
        <f aca="false">xSPRDOPT(I116,H116,AQ116,AT116,O116,N116,P116,D116-$G$5,1,2)*AF116*(F116/(1-AR116))*AH116</f>
        <v>#VALUE!</v>
      </c>
      <c r="T116" s="365" t="e">
        <f aca="false">xSPRDOPT(I116,H116,AQ116,AT116,O116,N116,P116,D116-$G$5,1,1)*AF116*F116*AH116</f>
        <v>#VALUE!</v>
      </c>
      <c r="U116" s="501"/>
      <c r="V116" s="503" t="e">
        <f aca="false">VLOOKUP($AG116,$AL$4:$AS$15,8)*AH116*AU116</f>
        <v>#VALUE!</v>
      </c>
      <c r="W116" s="503"/>
      <c r="X116" s="504" t="e">
        <f aca="false">((BM116*BC116)+(BL116*BB116))*AH116*F116</f>
        <v>#VALUE!</v>
      </c>
      <c r="Y116" s="504" t="e">
        <f aca="false">($F116*$AH116)*((($BG116/2)*($BC116)^2)+(($BF116/2)*($BB116)^2)+($BH116*$BC116*$BB116))</f>
        <v>#VALUE!</v>
      </c>
      <c r="Z116" s="504" t="e">
        <f aca="false">($BI116*$F116*$AH116*($G$5-$BV$5))/365.25</f>
        <v>#VALUE!</v>
      </c>
      <c r="AA116" s="504" t="e">
        <f aca="false">(($BK116*$BE116)+($BJ116*$BD116))*$F116*$AH116*$AF116</f>
        <v>#VALUE!</v>
      </c>
      <c r="AB116" s="504" t="e">
        <f aca="false">BN116*(AT116-CA116)*F116*AH116</f>
        <v>#VALUE!</v>
      </c>
      <c r="AC116" s="504" t="e">
        <f aca="false">BO116*CB116*F116*AH116*CA116*($G$5-$BV$5)/365.25</f>
        <v>#NAME?</v>
      </c>
      <c r="AF116" s="378" t="e">
        <f aca="false">IF(AND(D116&gt;=$G$7,D116&lt;=$G$8),1,0)</f>
        <v>#VALUE!</v>
      </c>
      <c r="AG116" s="378" t="e">
        <f aca="false">MONTH(D116)</f>
        <v>#VALUE!</v>
      </c>
      <c r="AH116" s="378" t="e">
        <f aca="false">(EOMONTH(D116,0)-EOMONTH(D116-DAY(D116),0))*AF116</f>
        <v>#VALUE!</v>
      </c>
      <c r="AI116" s="378" t="e">
        <f aca="false">AI115+AH115</f>
        <v>#VALUE!</v>
      </c>
      <c r="AJ116" s="378" t="e">
        <f aca="false">D116-$BV$5</f>
        <v>#VALUE!</v>
      </c>
      <c r="AL116" s="369" t="e">
        <f aca="false">VLOOKUP($D116,CurveTbl,$AK$4)</f>
        <v>#VALUE!</v>
      </c>
      <c r="AM116" s="505" t="e">
        <f aca="false">VLOOKUP($D116,CurveTbl,$AH$3)</f>
        <v>#VALUE!</v>
      </c>
      <c r="AN116" s="505" t="e">
        <f aca="false">VLOOKUP($D116,CurveTbl,$AH$4)+VLOOKUP($AG116,$AL$3:$AS$15,6)</f>
        <v>#VALUE!</v>
      </c>
      <c r="AO116" s="505" t="e">
        <f aca="false">VLOOKUP($D116,CurveTbl,$AH$5)</f>
        <v>#VALUE!</v>
      </c>
      <c r="AP116" s="505" t="e">
        <f aca="false">VLOOKUP($D116,CurveTbl,$AH$6)+VLOOKUP($AG116,$AL$3:$AS$15,7)</f>
        <v>#VALUE!</v>
      </c>
      <c r="AQ116" s="369" t="e">
        <f aca="false">VLOOKUP($AG116,$AL$4:$AS$15,3)+VLOOKUP($AG116,$AL$4:$AS$15,5)+($AH$10*VLOOKUP(D116,GRITable,2))</f>
        <v>#VALUE!</v>
      </c>
      <c r="AR116" s="370" t="e">
        <f aca="false">VLOOKUP($AG116,$AL$4:$AS$15,4)</f>
        <v>#VALUE!</v>
      </c>
      <c r="AS116" s="369" t="e">
        <f aca="false">(AL116+AM116+AN116)</f>
        <v>#VALUE!</v>
      </c>
      <c r="AT116" s="370" t="e">
        <f aca="false">VLOOKUP(D116,CurveTbl,$AK$6)</f>
        <v>#VALUE!</v>
      </c>
      <c r="AU116" s="370" t="e">
        <f aca="false">(1+$AT116/2)^(-2*($D116-$G$5)/365.25)*$AF116</f>
        <v>#VALUE!</v>
      </c>
      <c r="AV116" s="506" t="e">
        <f aca="false">ROUND((F116/(1-AR116))-F116,0)*AF116*AH116*AU116</f>
        <v>#VALUE!</v>
      </c>
      <c r="AW116" s="370" t="e">
        <f aca="false">VLOOKUP($D116,CurveTbl,$AK$8)</f>
        <v>#VALUE!</v>
      </c>
      <c r="AX116" s="370" t="e">
        <f aca="false">VLOOKUP($D116,CurveTbl,$AH$7)</f>
        <v>#VALUE!</v>
      </c>
      <c r="AY116" s="370" t="e">
        <f aca="false">VLOOKUP($D116,CurveTbl,$AH$8)</f>
        <v>#VALUE!</v>
      </c>
      <c r="AZ116" s="370"/>
      <c r="BA116" s="507"/>
      <c r="BB116" s="505" t="e">
        <f aca="false">$H116-$BV116</f>
        <v>#VALUE!</v>
      </c>
      <c r="BC116" s="505" t="e">
        <f aca="false">I116-BW116</f>
        <v>#VALUE!</v>
      </c>
      <c r="BD116" s="370" t="e">
        <f aca="false">N116-BX116</f>
        <v>#VALUE!</v>
      </c>
      <c r="BE116" s="370" t="e">
        <f aca="false">O116-BY116</f>
        <v>#VALUE!</v>
      </c>
      <c r="BF116" s="370" t="e">
        <f aca="false">xSPRDOPT($BW116,$BV116,$CG116,0,$BY116,$BX116,$BZ116,$AJ116,1,4)*$CB116</f>
        <v>#NAME?</v>
      </c>
      <c r="BG116" s="370" t="e">
        <f aca="false">xSPRDOPT($BW116,$BV116,$CG116,0,$BY116,$BX116,$BZ116,$AJ116,1,3)*$CB116</f>
        <v>#NAME?</v>
      </c>
      <c r="BH116" s="370" t="e">
        <f aca="false">IF(OR(BF116&lt;&gt;0,BG116&lt;&gt;0),xSPRDOPT($BW116,$BV116,$CG116,0,$BY116,$BX116,$BZ116,$AJ116,1,12)*$CB116,0)</f>
        <v>#NAME?</v>
      </c>
      <c r="BI116" s="370" t="e">
        <f aca="false">xSPRDOPT($BW116,$BV116,$CG116,2*LN(1+CA116/2),$BY116,$BX116,$BZ116,$AJ116,1,9)</f>
        <v>#NAME?</v>
      </c>
      <c r="BJ116" s="370" t="e">
        <f aca="false">xSPRDOPT($BW116,$BV116,$CG116,0,$BY116,$BX116,$BZ116,$AJ116,1,6)*$CB116</f>
        <v>#NAME?</v>
      </c>
      <c r="BK116" s="370" t="e">
        <f aca="false">xSPRDOPT($BW116,$BV116,$CG116,0,$BY116,$BX116,$BZ116,$AJ116,1,5)*$CB116</f>
        <v>#NAME?</v>
      </c>
      <c r="BL116" s="370" t="e">
        <f aca="false">xSPRDOPT(BW116,BV116,CG116,0,BY116,BX116,BZ116,AJ116,1,2)*CB116</f>
        <v>#NAME?</v>
      </c>
      <c r="BM116" s="370" t="e">
        <f aca="false">xSPRDOPT(BW116,BV116,CG116,0,BY116,BX116,BZ116,AJ116,1,1)*CB116</f>
        <v>#NAME?</v>
      </c>
      <c r="BN116" s="370" t="e">
        <f aca="false">IF(AH116&lt;&gt;0,xSPRDOPT($BW116,$BV116,$CG116,2*LN(1+CA116/2),$BY116,$BX116,$BZ116,$AJ116,1,8)+(AJ116/365.25)*CH116/AH116,0)</f>
        <v>#VALUE!</v>
      </c>
      <c r="BO116" s="370" t="e">
        <f aca="false">xSPRDOPT($BW116,$BV116,$CG116,0,$BY116,$BX116,$BZ116,$AJ116,1,0)</f>
        <v>#NAME?</v>
      </c>
      <c r="BP116" s="370"/>
      <c r="BQ116" s="370"/>
      <c r="BR116" s="370"/>
      <c r="BS116" s="370"/>
      <c r="BV116" s="508" t="n">
        <v>3.57309054122408</v>
      </c>
      <c r="BW116" s="369" t="n">
        <v>3.702</v>
      </c>
      <c r="BX116" s="370" t="n">
        <v>0.2025</v>
      </c>
      <c r="BY116" s="370" t="n">
        <v>0.2025</v>
      </c>
      <c r="BZ116" s="370" t="n">
        <v>0</v>
      </c>
      <c r="CA116" s="370" t="n">
        <v>0.0586917657044355</v>
      </c>
      <c r="CB116" s="370" t="n">
        <v>0</v>
      </c>
      <c r="CC116" s="505" t="n">
        <v>-0.09</v>
      </c>
      <c r="CD116" s="505" t="n">
        <v>0</v>
      </c>
      <c r="CE116" s="505" t="n">
        <v>0.04</v>
      </c>
      <c r="CF116" s="505" t="n">
        <v>0.04</v>
      </c>
      <c r="CG116" s="505" t="n">
        <v>0</v>
      </c>
      <c r="CH116" s="505" t="n">
        <v>0</v>
      </c>
      <c r="CI116" s="505" t="n">
        <v>3.622</v>
      </c>
      <c r="CJ116" s="505"/>
      <c r="CK116" s="505"/>
      <c r="CL116" s="505"/>
      <c r="CM116" s="505"/>
    </row>
    <row r="117" customFormat="false" ht="12.75" hidden="false" customHeight="false" outlineLevel="0" collapsed="false">
      <c r="A117" s="500"/>
      <c r="B117" s="500"/>
      <c r="D117" s="361" t="e">
        <f aca="false">D116+AH116</f>
        <v>#VALUE!</v>
      </c>
      <c r="F117" s="362" t="e">
        <f aca="false">VLOOKUP(AG117,$AL$4:$AS$15,2)</f>
        <v>#VALUE!</v>
      </c>
      <c r="G117" s="362" t="e">
        <f aca="false">F117*$AU117</f>
        <v>#VALUE!</v>
      </c>
      <c r="H117" s="363" t="e">
        <f aca="false">(AL117+AM117+AN117)/(1-(AR117))</f>
        <v>#VALUE!</v>
      </c>
      <c r="I117" s="363" t="e">
        <f aca="false">(AL117+AO117+AP117)</f>
        <v>#VALUE!</v>
      </c>
      <c r="K117" s="363" t="e">
        <f aca="false">MAX(((I117-H117)-AQ117)*AU117*AH117,0)</f>
        <v>#VALUE!</v>
      </c>
      <c r="L117" s="501" t="e">
        <f aca="false">MAX(Q117-K117,0)</f>
        <v>#VALUE!</v>
      </c>
      <c r="N117" s="502" t="e">
        <f aca="false">SQRT(($AX117^2*($AH117/2)+$AW117^2*$AI117)/(($AH117/2)+$AI117))</f>
        <v>#VALUE!</v>
      </c>
      <c r="O117" s="502" t="e">
        <f aca="false">SQRT(($AY117^2*($AH117/2)+$AW117^2*$AI117)/(($AH117/2)+$AI117))</f>
        <v>#VALUE!</v>
      </c>
      <c r="P117" s="371" t="e">
        <f aca="false">(VLOOKUP(AI117,CorrelationTwo,2)*(AW117^2)*AI117+VLOOKUP(D117,CorrelationOne,$AK$9)*AX117*AY117*(AH117/2))/((AI117+(AH117/2))*O117*N117)*AF117</f>
        <v>#VALUE!</v>
      </c>
      <c r="Q117" s="501" t="e">
        <f aca="false">xSPRDOPT(I117,H117,AQ117,0,O117,N117,P117,D117-$G$5,1,0)*AH117*AU117</f>
        <v>#VALUE!</v>
      </c>
      <c r="R117" s="501"/>
      <c r="S117" s="365" t="e">
        <f aca="false">xSPRDOPT(I117,H117,AQ117,AT117,O117,N117,P117,D117-$G$5,1,2)*AF117*(F117/(1-AR117))*AH117</f>
        <v>#VALUE!</v>
      </c>
      <c r="T117" s="365" t="e">
        <f aca="false">xSPRDOPT(I117,H117,AQ117,AT117,O117,N117,P117,D117-$G$5,1,1)*AF117*F117*AH117</f>
        <v>#VALUE!</v>
      </c>
      <c r="U117" s="501"/>
      <c r="V117" s="503" t="e">
        <f aca="false">VLOOKUP($AG117,$AL$4:$AS$15,8)*AH117*AU117</f>
        <v>#VALUE!</v>
      </c>
      <c r="W117" s="503"/>
      <c r="X117" s="504" t="e">
        <f aca="false">((BM117*BC117)+(BL117*BB117))*AH117*F117</f>
        <v>#VALUE!</v>
      </c>
      <c r="Y117" s="504" t="e">
        <f aca="false">($F117*$AH117)*((($BG117/2)*($BC117)^2)+(($BF117/2)*($BB117)^2)+($BH117*$BC117*$BB117))</f>
        <v>#VALUE!</v>
      </c>
      <c r="Z117" s="504" t="e">
        <f aca="false">($BI117*$F117*$AH117*($G$5-$BV$5))/365.25</f>
        <v>#VALUE!</v>
      </c>
      <c r="AA117" s="504" t="e">
        <f aca="false">(($BK117*$BE117)+($BJ117*$BD117))*$F117*$AH117*$AF117</f>
        <v>#VALUE!</v>
      </c>
      <c r="AB117" s="504" t="e">
        <f aca="false">BN117*(AT117-CA117)*F117*AH117</f>
        <v>#VALUE!</v>
      </c>
      <c r="AC117" s="504" t="e">
        <f aca="false">BO117*CB117*F117*AH117*CA117*($G$5-$BV$5)/365.25</f>
        <v>#NAME?</v>
      </c>
      <c r="AF117" s="378" t="e">
        <f aca="false">IF(AND(D117&gt;=$G$7,D117&lt;=$G$8),1,0)</f>
        <v>#VALUE!</v>
      </c>
      <c r="AG117" s="378" t="e">
        <f aca="false">MONTH(D117)</f>
        <v>#VALUE!</v>
      </c>
      <c r="AH117" s="378" t="e">
        <f aca="false">(EOMONTH(D117,0)-EOMONTH(D117-DAY(D117),0))*AF117</f>
        <v>#VALUE!</v>
      </c>
      <c r="AI117" s="378" t="e">
        <f aca="false">AI116+AH116</f>
        <v>#VALUE!</v>
      </c>
      <c r="AJ117" s="378" t="e">
        <f aca="false">D117-$BV$5</f>
        <v>#VALUE!</v>
      </c>
      <c r="AL117" s="369" t="e">
        <f aca="false">VLOOKUP($D117,CurveTbl,$AK$4)</f>
        <v>#VALUE!</v>
      </c>
      <c r="AM117" s="505" t="e">
        <f aca="false">VLOOKUP($D117,CurveTbl,$AH$3)</f>
        <v>#VALUE!</v>
      </c>
      <c r="AN117" s="505" t="e">
        <f aca="false">VLOOKUP($D117,CurveTbl,$AH$4)+VLOOKUP($AG117,$AL$3:$AS$15,6)</f>
        <v>#VALUE!</v>
      </c>
      <c r="AO117" s="505" t="e">
        <f aca="false">VLOOKUP($D117,CurveTbl,$AH$5)</f>
        <v>#VALUE!</v>
      </c>
      <c r="AP117" s="505" t="e">
        <f aca="false">VLOOKUP($D117,CurveTbl,$AH$6)+VLOOKUP($AG117,$AL$3:$AS$15,7)</f>
        <v>#VALUE!</v>
      </c>
      <c r="AQ117" s="369" t="e">
        <f aca="false">VLOOKUP($AG117,$AL$4:$AS$15,3)+VLOOKUP($AG117,$AL$4:$AS$15,5)+($AH$10*VLOOKUP(D117,GRITable,2))</f>
        <v>#VALUE!</v>
      </c>
      <c r="AR117" s="370" t="e">
        <f aca="false">VLOOKUP($AG117,$AL$4:$AS$15,4)</f>
        <v>#VALUE!</v>
      </c>
      <c r="AS117" s="369" t="e">
        <f aca="false">(AL117+AM117+AN117)</f>
        <v>#VALUE!</v>
      </c>
      <c r="AT117" s="370" t="e">
        <f aca="false">VLOOKUP(D117,CurveTbl,$AK$6)</f>
        <v>#VALUE!</v>
      </c>
      <c r="AU117" s="370" t="e">
        <f aca="false">(1+$AT117/2)^(-2*($D117-$G$5)/365.25)*$AF117</f>
        <v>#VALUE!</v>
      </c>
      <c r="AV117" s="506" t="e">
        <f aca="false">ROUND((F117/(1-AR117))-F117,0)*AF117*AH117*AU117</f>
        <v>#VALUE!</v>
      </c>
      <c r="AW117" s="370" t="e">
        <f aca="false">VLOOKUP($D117,CurveTbl,$AK$8)</f>
        <v>#VALUE!</v>
      </c>
      <c r="AX117" s="370" t="e">
        <f aca="false">VLOOKUP($D117,CurveTbl,$AH$7)</f>
        <v>#VALUE!</v>
      </c>
      <c r="AY117" s="370" t="e">
        <f aca="false">VLOOKUP($D117,CurveTbl,$AH$8)</f>
        <v>#VALUE!</v>
      </c>
      <c r="AZ117" s="370"/>
      <c r="BA117" s="507"/>
      <c r="BB117" s="505" t="e">
        <f aca="false">$H117-$BV117</f>
        <v>#VALUE!</v>
      </c>
      <c r="BC117" s="505" t="e">
        <f aca="false">I117-BW117</f>
        <v>#VALUE!</v>
      </c>
      <c r="BD117" s="370" t="e">
        <f aca="false">N117-BX117</f>
        <v>#VALUE!</v>
      </c>
      <c r="BE117" s="370" t="e">
        <f aca="false">O117-BY117</f>
        <v>#VALUE!</v>
      </c>
      <c r="BF117" s="370" t="e">
        <f aca="false">xSPRDOPT($BW117,$BV117,$CG117,0,$BY117,$BX117,$BZ117,$AJ117,1,4)*$CB117</f>
        <v>#NAME?</v>
      </c>
      <c r="BG117" s="370" t="e">
        <f aca="false">xSPRDOPT($BW117,$BV117,$CG117,0,$BY117,$BX117,$BZ117,$AJ117,1,3)*$CB117</f>
        <v>#NAME?</v>
      </c>
      <c r="BH117" s="370" t="e">
        <f aca="false">IF(OR(BF117&lt;&gt;0,BG117&lt;&gt;0),xSPRDOPT($BW117,$BV117,$CG117,0,$BY117,$BX117,$BZ117,$AJ117,1,12)*$CB117,0)</f>
        <v>#NAME?</v>
      </c>
      <c r="BI117" s="370" t="e">
        <f aca="false">xSPRDOPT($BW117,$BV117,$CG117,2*LN(1+CA117/2),$BY117,$BX117,$BZ117,$AJ117,1,9)</f>
        <v>#NAME?</v>
      </c>
      <c r="BJ117" s="370" t="e">
        <f aca="false">xSPRDOPT($BW117,$BV117,$CG117,0,$BY117,$BX117,$BZ117,$AJ117,1,6)*$CB117</f>
        <v>#NAME?</v>
      </c>
      <c r="BK117" s="370" t="e">
        <f aca="false">xSPRDOPT($BW117,$BV117,$CG117,0,$BY117,$BX117,$BZ117,$AJ117,1,5)*$CB117</f>
        <v>#NAME?</v>
      </c>
      <c r="BL117" s="370" t="e">
        <f aca="false">xSPRDOPT(BW117,BV117,CG117,0,BY117,BX117,BZ117,AJ117,1,2)*CB117</f>
        <v>#NAME?</v>
      </c>
      <c r="BM117" s="370" t="e">
        <f aca="false">xSPRDOPT(BW117,BV117,CG117,0,BY117,BX117,BZ117,AJ117,1,1)*CB117</f>
        <v>#NAME?</v>
      </c>
      <c r="BN117" s="370" t="e">
        <f aca="false">IF(AH117&lt;&gt;0,xSPRDOPT($BW117,$BV117,$CG117,2*LN(1+CA117/2),$BY117,$BX117,$BZ117,$AJ117,1,8)+(AJ117/365.25)*CH117/AH117,0)</f>
        <v>#VALUE!</v>
      </c>
      <c r="BO117" s="370" t="e">
        <f aca="false">xSPRDOPT($BW117,$BV117,$CG117,0,$BY117,$BX117,$BZ117,$AJ117,1,0)</f>
        <v>#NAME?</v>
      </c>
      <c r="BP117" s="370"/>
      <c r="BQ117" s="370"/>
      <c r="BR117" s="370"/>
      <c r="BS117" s="370"/>
      <c r="BV117" s="508" t="n">
        <v>3.57309054122408</v>
      </c>
      <c r="BW117" s="369" t="n">
        <v>3.702</v>
      </c>
      <c r="BX117" s="370" t="n">
        <v>0.2025</v>
      </c>
      <c r="BY117" s="370" t="n">
        <v>0.2025</v>
      </c>
      <c r="BZ117" s="370" t="n">
        <v>0</v>
      </c>
      <c r="CA117" s="370" t="n">
        <v>0.0586917657044355</v>
      </c>
      <c r="CB117" s="370" t="n">
        <v>0</v>
      </c>
      <c r="CC117" s="505" t="n">
        <v>-0.09</v>
      </c>
      <c r="CD117" s="505" t="n">
        <v>0</v>
      </c>
      <c r="CE117" s="505" t="n">
        <v>0.04</v>
      </c>
      <c r="CF117" s="505" t="n">
        <v>0.04</v>
      </c>
      <c r="CG117" s="505" t="n">
        <v>0</v>
      </c>
      <c r="CH117" s="505" t="n">
        <v>0</v>
      </c>
      <c r="CI117" s="505" t="n">
        <v>3.622</v>
      </c>
      <c r="CJ117" s="505"/>
      <c r="CK117" s="505"/>
      <c r="CL117" s="505"/>
      <c r="CM117" s="505"/>
    </row>
    <row r="118" customFormat="false" ht="12.75" hidden="false" customHeight="false" outlineLevel="0" collapsed="false">
      <c r="A118" s="500"/>
      <c r="B118" s="500"/>
    </row>
    <row r="119" customFormat="false" ht="12.75" hidden="false" customHeight="false" outlineLevel="0" collapsed="false">
      <c r="A119" s="500"/>
      <c r="B119" s="500"/>
    </row>
    <row r="120" customFormat="false" ht="12.75" hidden="false" customHeight="false" outlineLevel="0" collapsed="false">
      <c r="A120" s="500"/>
      <c r="B120" s="500"/>
    </row>
    <row r="121" customFormat="false" ht="12.75" hidden="false" customHeight="false" outlineLevel="0" collapsed="false">
      <c r="A121" s="500"/>
      <c r="B121" s="500"/>
    </row>
    <row r="122" customFormat="false" ht="12.75" hidden="false" customHeight="false" outlineLevel="0" collapsed="false">
      <c r="A122" s="500"/>
      <c r="B122" s="500"/>
    </row>
    <row r="123" customFormat="false" ht="12.75" hidden="false" customHeight="false" outlineLevel="0" collapsed="false">
      <c r="A123" s="500"/>
      <c r="B123" s="500"/>
    </row>
    <row r="124" customFormat="false" ht="12.75" hidden="false" customHeight="false" outlineLevel="0" collapsed="false">
      <c r="A124" s="500"/>
      <c r="B124" s="500"/>
    </row>
    <row r="125" customFormat="false" ht="12.75" hidden="false" customHeight="false" outlineLevel="0" collapsed="false">
      <c r="A125" s="500"/>
      <c r="B125" s="500"/>
    </row>
    <row r="126" customFormat="false" ht="12.75" hidden="false" customHeight="false" outlineLevel="0" collapsed="false">
      <c r="A126" s="500"/>
      <c r="B126" s="500"/>
    </row>
    <row r="127" customFormat="false" ht="12.75" hidden="false" customHeight="false" outlineLevel="0" collapsed="false">
      <c r="A127" s="500"/>
      <c r="B127" s="500"/>
    </row>
    <row r="128" customFormat="false" ht="12.75" hidden="false" customHeight="false" outlineLevel="0" collapsed="false">
      <c r="A128" s="500"/>
      <c r="B128" s="500"/>
    </row>
    <row r="129" customFormat="false" ht="12.75" hidden="false" customHeight="false" outlineLevel="0" collapsed="false">
      <c r="A129" s="500"/>
      <c r="B129" s="500"/>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7">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8">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40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5" ySplit="21" topLeftCell="F22" activePane="bottomRight" state="frozen"/>
      <selection pane="topLeft" activeCell="A1" activeCellId="0" sqref="A1"/>
      <selection pane="topRight" activeCell="F1" activeCellId="0" sqref="F1"/>
      <selection pane="bottomLeft" activeCell="A22" activeCellId="0" sqref="A22"/>
      <selection pane="bottomRight" activeCell="CI21" activeCellId="0" sqref="CI21:CI30"/>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257" min="8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2</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171217.16</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260381.5</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-89164.33</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1934.18</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-57307.37</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-1897.15</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5.57</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0.14</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2.04</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1.08</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8.99</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171073.9</v>
      </c>
      <c r="P18" s="415" t="e">
        <f aca="false">N18-O18</f>
        <v>#VALUE!</v>
      </c>
      <c r="AU18" s="433"/>
      <c r="AV18" s="383"/>
      <c r="AW18" s="378"/>
      <c r="AX18" s="383" t="str">
        <f aca="false">ADDRESS(ROW($CI$22),COLUMN($CI$22))</f>
        <v>$CI$22</v>
      </c>
      <c r="AY18" s="378" t="e">
        <f aca="false">GetEnd($AV$1,AX18)</f>
        <v>#VALUE!</v>
      </c>
      <c r="CM18" s="511"/>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143.26</v>
      </c>
      <c r="P19" s="465" t="e">
        <f aca="false">N19-O19</f>
        <v>#VALUE!</v>
      </c>
      <c r="AU19" s="433"/>
      <c r="AV19" s="383"/>
      <c r="AW19" s="378"/>
      <c r="CM19" s="511"/>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2.67738589211618</v>
      </c>
      <c r="BW22" s="369" t="n">
        <v>2.981</v>
      </c>
      <c r="BX22" s="370" t="n">
        <v>1.03048677093625</v>
      </c>
      <c r="BY22" s="370" t="n">
        <v>1.00399203184089</v>
      </c>
      <c r="BZ22" s="370" t="n">
        <v>0.99220918459805</v>
      </c>
      <c r="CA22" s="370" t="n">
        <v>0.0187659081571607</v>
      </c>
      <c r="CB22" s="370" t="n">
        <v>0.998364899395796</v>
      </c>
      <c r="CC22" s="505" t="n">
        <v>-0.42</v>
      </c>
      <c r="CD22" s="505" t="n">
        <v>0.155</v>
      </c>
      <c r="CE22" s="505" t="n">
        <v>0.12</v>
      </c>
      <c r="CF22" s="505" t="n">
        <v>0.015</v>
      </c>
      <c r="CG22" s="505" t="n">
        <v>0</v>
      </c>
      <c r="CH22" s="505" t="n">
        <v>13.6919755762737</v>
      </c>
      <c r="CI22" s="505" t="n">
        <v>2.846</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2.74170124481328</v>
      </c>
      <c r="BW23" s="369" t="n">
        <v>3.018</v>
      </c>
      <c r="BX23" s="370" t="n">
        <v>0.946911646705577</v>
      </c>
      <c r="BY23" s="370" t="n">
        <v>0.933141349302333</v>
      </c>
      <c r="BZ23" s="370" t="n">
        <v>0.994452786619179</v>
      </c>
      <c r="CA23" s="370" t="n">
        <v>0.0193261872820063</v>
      </c>
      <c r="CB23" s="370" t="n">
        <v>0.996688029844541</v>
      </c>
      <c r="CC23" s="505" t="n">
        <v>-0.42</v>
      </c>
      <c r="CD23" s="505" t="n">
        <v>0.155</v>
      </c>
      <c r="CE23" s="505" t="n">
        <v>0.095</v>
      </c>
      <c r="CF23" s="505" t="n">
        <v>0.015</v>
      </c>
      <c r="CG23" s="505" t="n">
        <v>0</v>
      </c>
      <c r="CH23" s="505" t="n">
        <v>12.3461739632903</v>
      </c>
      <c r="CI23" s="505" t="n">
        <v>2.908</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2.70435684647303</v>
      </c>
      <c r="BW24" s="369" t="n">
        <v>3.002</v>
      </c>
      <c r="BX24" s="370" t="n">
        <v>0.79</v>
      </c>
      <c r="BY24" s="370" t="n">
        <v>0.79</v>
      </c>
      <c r="BZ24" s="370" t="n">
        <v>0</v>
      </c>
      <c r="CA24" s="370" t="n">
        <v>0.0192731753639035</v>
      </c>
      <c r="CB24" s="370" t="n">
        <v>0</v>
      </c>
      <c r="CC24" s="505" t="n">
        <v>-0.45</v>
      </c>
      <c r="CD24" s="505" t="n">
        <v>0.155</v>
      </c>
      <c r="CE24" s="505" t="n">
        <v>0.085</v>
      </c>
      <c r="CF24" s="505" t="n">
        <v>0.015</v>
      </c>
      <c r="CG24" s="505" t="n">
        <v>0</v>
      </c>
      <c r="CH24" s="505" t="n">
        <v>0</v>
      </c>
      <c r="CI24" s="505" t="n">
        <v>2.902</v>
      </c>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2.70435684647303</v>
      </c>
      <c r="BW25" s="369" t="n">
        <v>3.002</v>
      </c>
      <c r="BX25" s="370" t="n">
        <v>0.79</v>
      </c>
      <c r="BY25" s="370" t="n">
        <v>0.79</v>
      </c>
      <c r="BZ25" s="370" t="n">
        <v>0</v>
      </c>
      <c r="CA25" s="370" t="n">
        <v>0.0192731753639035</v>
      </c>
      <c r="CB25" s="370" t="n">
        <v>0</v>
      </c>
      <c r="CC25" s="505" t="n">
        <v>-0.45</v>
      </c>
      <c r="CD25" s="505" t="n">
        <v>0.155</v>
      </c>
      <c r="CE25" s="505" t="n">
        <v>0.085</v>
      </c>
      <c r="CF25" s="505" t="n">
        <v>0.015</v>
      </c>
      <c r="CG25" s="505" t="n">
        <v>0</v>
      </c>
      <c r="CH25" s="505" t="n">
        <v>0</v>
      </c>
      <c r="CI25" s="505" t="n">
        <v>2.902</v>
      </c>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2.70435684647303</v>
      </c>
      <c r="BW26" s="369" t="n">
        <v>3.002</v>
      </c>
      <c r="BX26" s="370" t="n">
        <v>0.79</v>
      </c>
      <c r="BY26" s="370" t="n">
        <v>0.79</v>
      </c>
      <c r="BZ26" s="370" t="n">
        <v>0</v>
      </c>
      <c r="CA26" s="370" t="n">
        <v>0.0192731753639035</v>
      </c>
      <c r="CB26" s="370" t="n">
        <v>0</v>
      </c>
      <c r="CC26" s="505" t="n">
        <v>-0.45</v>
      </c>
      <c r="CD26" s="505" t="n">
        <v>0.155</v>
      </c>
      <c r="CE26" s="505" t="n">
        <v>0.085</v>
      </c>
      <c r="CF26" s="505" t="n">
        <v>0.015</v>
      </c>
      <c r="CG26" s="505" t="n">
        <v>0</v>
      </c>
      <c r="CH26" s="505" t="n">
        <v>0</v>
      </c>
      <c r="CI26" s="505" t="n">
        <v>2.902</v>
      </c>
    </row>
    <row r="27" customFormat="false" ht="12.75" hidden="false" customHeight="false" outlineLevel="0" collapsed="false">
      <c r="A27" s="512"/>
      <c r="B27" s="512"/>
      <c r="C27" s="512"/>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2.70435684647303</v>
      </c>
      <c r="BW27" s="369" t="n">
        <v>3.002</v>
      </c>
      <c r="BX27" s="370" t="n">
        <v>0.79</v>
      </c>
      <c r="BY27" s="370" t="n">
        <v>0.79</v>
      </c>
      <c r="BZ27" s="370" t="n">
        <v>0</v>
      </c>
      <c r="CA27" s="370" t="n">
        <v>0.0192731753639035</v>
      </c>
      <c r="CB27" s="370" t="n">
        <v>0</v>
      </c>
      <c r="CC27" s="505" t="n">
        <v>-0.45</v>
      </c>
      <c r="CD27" s="505" t="n">
        <v>0.155</v>
      </c>
      <c r="CE27" s="505" t="n">
        <v>0.085</v>
      </c>
      <c r="CF27" s="505" t="n">
        <v>0.015</v>
      </c>
      <c r="CG27" s="505" t="n">
        <v>0</v>
      </c>
      <c r="CH27" s="505" t="n">
        <v>0</v>
      </c>
      <c r="CI27" s="505" t="n">
        <v>2.902</v>
      </c>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2.70435684647303</v>
      </c>
      <c r="BW28" s="369" t="n">
        <v>3.002</v>
      </c>
      <c r="BX28" s="370" t="n">
        <v>0.79</v>
      </c>
      <c r="BY28" s="370" t="n">
        <v>0.79</v>
      </c>
      <c r="BZ28" s="370" t="n">
        <v>0</v>
      </c>
      <c r="CA28" s="370" t="n">
        <v>0.0192731753639035</v>
      </c>
      <c r="CB28" s="370" t="n">
        <v>0</v>
      </c>
      <c r="CC28" s="505" t="n">
        <v>-0.45</v>
      </c>
      <c r="CD28" s="505" t="n">
        <v>0.155</v>
      </c>
      <c r="CE28" s="505" t="n">
        <v>0.085</v>
      </c>
      <c r="CF28" s="505" t="n">
        <v>0.015</v>
      </c>
      <c r="CG28" s="505" t="n">
        <v>0</v>
      </c>
      <c r="CH28" s="505" t="n">
        <v>0</v>
      </c>
      <c r="CI28" s="505" t="n">
        <v>2.902</v>
      </c>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2.70435684647303</v>
      </c>
      <c r="BW29" s="369" t="n">
        <v>3.002</v>
      </c>
      <c r="BX29" s="370" t="n">
        <v>0.79</v>
      </c>
      <c r="BY29" s="370" t="n">
        <v>0.79</v>
      </c>
      <c r="BZ29" s="370" t="n">
        <v>0</v>
      </c>
      <c r="CA29" s="370" t="n">
        <v>0.0192731753639035</v>
      </c>
      <c r="CB29" s="370" t="n">
        <v>0</v>
      </c>
      <c r="CC29" s="505" t="n">
        <v>-0.45</v>
      </c>
      <c r="CD29" s="505" t="n">
        <v>0.155</v>
      </c>
      <c r="CE29" s="505" t="n">
        <v>0.085</v>
      </c>
      <c r="CF29" s="505" t="n">
        <v>0.015</v>
      </c>
      <c r="CG29" s="505" t="n">
        <v>0</v>
      </c>
      <c r="CH29" s="505" t="n">
        <v>0</v>
      </c>
      <c r="CI29" s="505" t="n">
        <v>2.902</v>
      </c>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2.70435684647303</v>
      </c>
      <c r="BW30" s="369" t="n">
        <v>3.002</v>
      </c>
      <c r="BX30" s="370" t="n">
        <v>0.79</v>
      </c>
      <c r="BY30" s="370" t="n">
        <v>0.79</v>
      </c>
      <c r="BZ30" s="370" t="n">
        <v>0</v>
      </c>
      <c r="CA30" s="370" t="n">
        <v>0.0192731753639035</v>
      </c>
      <c r="CB30" s="370" t="n">
        <v>0</v>
      </c>
      <c r="CC30" s="505" t="n">
        <v>-0.45</v>
      </c>
      <c r="CD30" s="505" t="n">
        <v>0.155</v>
      </c>
      <c r="CE30" s="505" t="n">
        <v>0.085</v>
      </c>
      <c r="CF30" s="505" t="n">
        <v>0.015</v>
      </c>
      <c r="CG30" s="505" t="n">
        <v>0</v>
      </c>
      <c r="CH30" s="505" t="n">
        <v>0</v>
      </c>
      <c r="CI30" s="505" t="n">
        <v>2.902</v>
      </c>
    </row>
    <row r="31" customFormat="false" ht="12.75" hidden="false" customHeight="false" outlineLevel="0" collapsed="false">
      <c r="A31" s="500"/>
      <c r="B31" s="500"/>
      <c r="K31" s="363"/>
      <c r="L31" s="501"/>
      <c r="N31" s="502"/>
      <c r="O31" s="502"/>
      <c r="P31" s="371"/>
      <c r="Q31" s="501"/>
      <c r="R31" s="501"/>
      <c r="U31" s="501"/>
      <c r="V31" s="503"/>
      <c r="W31" s="503"/>
      <c r="X31" s="504"/>
      <c r="Y31" s="504"/>
      <c r="Z31" s="504"/>
      <c r="AA31" s="504"/>
      <c r="AB31" s="504"/>
      <c r="AC31" s="504"/>
      <c r="AF31" s="378"/>
      <c r="AG31" s="378"/>
      <c r="AH31" s="378"/>
      <c r="AI31" s="378"/>
      <c r="AJ31" s="378"/>
      <c r="AM31" s="505"/>
      <c r="AN31" s="505"/>
      <c r="AO31" s="505"/>
      <c r="AP31" s="505"/>
      <c r="AR31" s="370"/>
      <c r="AT31" s="370"/>
      <c r="AV31" s="506"/>
      <c r="AW31" s="370"/>
      <c r="AX31" s="370"/>
      <c r="AY31" s="370"/>
      <c r="AZ31" s="370"/>
      <c r="BA31" s="507"/>
      <c r="BB31" s="505"/>
      <c r="BC31" s="505"/>
      <c r="BD31" s="370"/>
      <c r="BE31" s="370"/>
      <c r="BF31" s="370"/>
      <c r="BG31" s="370"/>
      <c r="BH31" s="370"/>
      <c r="BI31" s="370"/>
      <c r="BJ31" s="370"/>
      <c r="BK31" s="370"/>
      <c r="BL31" s="370"/>
      <c r="BM31" s="370"/>
      <c r="BN31" s="370"/>
      <c r="BO31" s="370"/>
      <c r="BP31" s="370"/>
      <c r="BQ31" s="370"/>
      <c r="BR31" s="370"/>
      <c r="BS31" s="370"/>
      <c r="BV31" s="508"/>
      <c r="BW31" s="369"/>
      <c r="BX31" s="370"/>
      <c r="BY31" s="370"/>
      <c r="BZ31" s="370"/>
      <c r="CA31" s="370"/>
      <c r="CB31" s="370"/>
      <c r="CC31" s="505"/>
      <c r="CD31" s="505"/>
      <c r="CE31" s="505"/>
      <c r="CF31" s="505"/>
      <c r="CG31" s="505"/>
      <c r="CH31" s="505"/>
      <c r="CI31" s="505"/>
    </row>
    <row r="32" customFormat="false" ht="12.75" hidden="false" customHeight="false" outlineLevel="0" collapsed="false">
      <c r="A32" s="500"/>
      <c r="B32" s="500"/>
      <c r="K32" s="363"/>
      <c r="L32" s="501"/>
      <c r="N32" s="502"/>
      <c r="O32" s="502"/>
      <c r="P32" s="371"/>
      <c r="Q32" s="501"/>
      <c r="R32" s="501"/>
      <c r="U32" s="501"/>
      <c r="V32" s="503"/>
      <c r="W32" s="503"/>
      <c r="X32" s="504"/>
      <c r="Y32" s="504"/>
      <c r="Z32" s="504"/>
      <c r="AA32" s="504"/>
      <c r="AB32" s="504"/>
      <c r="AC32" s="504"/>
      <c r="AF32" s="378"/>
      <c r="AG32" s="378"/>
      <c r="AH32" s="378"/>
      <c r="AI32" s="378"/>
      <c r="AJ32" s="378"/>
      <c r="AM32" s="505"/>
      <c r="AN32" s="505"/>
      <c r="AO32" s="505"/>
      <c r="AP32" s="505"/>
      <c r="AR32" s="370"/>
      <c r="AT32" s="370"/>
      <c r="AV32" s="506"/>
      <c r="AW32" s="370"/>
      <c r="AX32" s="370"/>
      <c r="AY32" s="370"/>
      <c r="AZ32" s="370"/>
      <c r="BA32" s="507"/>
      <c r="BB32" s="505"/>
      <c r="BC32" s="505"/>
      <c r="BD32" s="370"/>
      <c r="BE32" s="370"/>
      <c r="BF32" s="370"/>
      <c r="BG32" s="370"/>
      <c r="BH32" s="370"/>
      <c r="BI32" s="370"/>
      <c r="BJ32" s="370"/>
      <c r="BK32" s="370"/>
      <c r="BL32" s="370"/>
      <c r="BM32" s="370"/>
      <c r="BN32" s="370"/>
      <c r="BO32" s="370"/>
      <c r="BP32" s="370"/>
      <c r="BQ32" s="370"/>
      <c r="BR32" s="370"/>
      <c r="BS32" s="370"/>
      <c r="BV32" s="508"/>
      <c r="BW32" s="369"/>
      <c r="BX32" s="370"/>
      <c r="BY32" s="370"/>
      <c r="BZ32" s="370"/>
      <c r="CA32" s="370"/>
      <c r="CB32" s="370"/>
      <c r="CC32" s="505"/>
      <c r="CD32" s="505"/>
      <c r="CE32" s="505"/>
      <c r="CF32" s="505"/>
      <c r="CG32" s="505"/>
      <c r="CH32" s="505"/>
      <c r="CI32" s="505"/>
    </row>
    <row r="33" customFormat="false" ht="12.75" hidden="false" customHeight="false" outlineLevel="0" collapsed="false">
      <c r="A33" s="500"/>
      <c r="B33" s="500"/>
      <c r="K33" s="363"/>
      <c r="L33" s="501"/>
      <c r="N33" s="502"/>
      <c r="O33" s="502"/>
      <c r="P33" s="371"/>
      <c r="Q33" s="501"/>
      <c r="R33" s="501"/>
      <c r="U33" s="501"/>
      <c r="V33" s="503"/>
      <c r="W33" s="503"/>
      <c r="X33" s="504"/>
      <c r="Y33" s="504"/>
      <c r="Z33" s="504"/>
      <c r="AA33" s="504"/>
      <c r="AB33" s="504"/>
      <c r="AC33" s="504"/>
      <c r="AF33" s="378"/>
      <c r="AG33" s="378"/>
      <c r="AH33" s="378"/>
      <c r="AI33" s="378"/>
      <c r="AJ33" s="378"/>
      <c r="AM33" s="505"/>
      <c r="AN33" s="505"/>
      <c r="AO33" s="505"/>
      <c r="AP33" s="505"/>
      <c r="AR33" s="370"/>
      <c r="AT33" s="370"/>
      <c r="AV33" s="506"/>
      <c r="AW33" s="370"/>
      <c r="AX33" s="370"/>
      <c r="AY33" s="370"/>
      <c r="AZ33" s="370"/>
      <c r="BA33" s="507"/>
      <c r="BB33" s="505"/>
      <c r="BC33" s="505"/>
      <c r="BD33" s="370"/>
      <c r="BE33" s="370"/>
      <c r="BF33" s="370"/>
      <c r="BG33" s="370"/>
      <c r="BH33" s="370"/>
      <c r="BI33" s="370"/>
      <c r="BJ33" s="370"/>
      <c r="BK33" s="370"/>
      <c r="BL33" s="370"/>
      <c r="BM33" s="370"/>
      <c r="BN33" s="370"/>
      <c r="BO33" s="370"/>
      <c r="BP33" s="370"/>
      <c r="BQ33" s="370"/>
      <c r="BR33" s="370"/>
      <c r="BS33" s="370"/>
      <c r="BV33" s="508"/>
      <c r="BW33" s="369"/>
      <c r="BX33" s="370"/>
      <c r="BY33" s="370"/>
      <c r="BZ33" s="370"/>
      <c r="CA33" s="370"/>
      <c r="CB33" s="370"/>
      <c r="CC33" s="505"/>
      <c r="CD33" s="505"/>
      <c r="CE33" s="505"/>
      <c r="CF33" s="505"/>
      <c r="CG33" s="505"/>
      <c r="CH33" s="505"/>
      <c r="CI33" s="505"/>
    </row>
    <row r="34" customFormat="false" ht="12.75" hidden="false" customHeight="false" outlineLevel="0" collapsed="false">
      <c r="A34" s="500"/>
      <c r="B34" s="500"/>
      <c r="K34" s="363"/>
      <c r="L34" s="501"/>
      <c r="N34" s="502"/>
      <c r="O34" s="502"/>
      <c r="P34" s="371"/>
      <c r="Q34" s="501"/>
      <c r="R34" s="501"/>
      <c r="U34" s="501"/>
      <c r="V34" s="503"/>
      <c r="W34" s="503"/>
      <c r="X34" s="504"/>
      <c r="Y34" s="504"/>
      <c r="Z34" s="504"/>
      <c r="AA34" s="504"/>
      <c r="AB34" s="504"/>
      <c r="AC34" s="504"/>
      <c r="AF34" s="378"/>
      <c r="AG34" s="378"/>
      <c r="AH34" s="378"/>
      <c r="AI34" s="378"/>
      <c r="AJ34" s="378"/>
      <c r="AM34" s="505"/>
      <c r="AN34" s="505"/>
      <c r="AO34" s="505"/>
      <c r="AP34" s="505"/>
      <c r="AR34" s="370"/>
      <c r="AT34" s="370"/>
      <c r="AV34" s="506"/>
      <c r="AW34" s="370"/>
      <c r="AX34" s="370"/>
      <c r="AY34" s="370"/>
      <c r="AZ34" s="370"/>
      <c r="BA34" s="507"/>
      <c r="BB34" s="505"/>
      <c r="BC34" s="505"/>
      <c r="BD34" s="370"/>
      <c r="BE34" s="370"/>
      <c r="BF34" s="370"/>
      <c r="BG34" s="370"/>
      <c r="BH34" s="370"/>
      <c r="BI34" s="370"/>
      <c r="BJ34" s="370"/>
      <c r="BK34" s="370"/>
      <c r="BL34" s="370"/>
      <c r="BM34" s="370"/>
      <c r="BN34" s="370"/>
      <c r="BO34" s="370"/>
      <c r="BP34" s="370"/>
      <c r="BQ34" s="370"/>
      <c r="BR34" s="370"/>
      <c r="BS34" s="370"/>
      <c r="BV34" s="508"/>
      <c r="BW34" s="369"/>
      <c r="BX34" s="370"/>
      <c r="BY34" s="370"/>
      <c r="BZ34" s="370"/>
      <c r="CA34" s="370"/>
      <c r="CB34" s="370"/>
      <c r="CC34" s="505"/>
      <c r="CD34" s="505"/>
      <c r="CE34" s="505"/>
      <c r="CF34" s="505"/>
      <c r="CG34" s="505"/>
      <c r="CH34" s="505"/>
      <c r="CI34" s="505"/>
    </row>
    <row r="35" customFormat="false" ht="12.75" hidden="false" customHeight="false" outlineLevel="0" collapsed="false">
      <c r="A35" s="500"/>
      <c r="B35" s="500"/>
      <c r="K35" s="363"/>
      <c r="L35" s="501"/>
      <c r="N35" s="502"/>
      <c r="O35" s="502"/>
      <c r="P35" s="371"/>
      <c r="Q35" s="501"/>
      <c r="R35" s="501"/>
      <c r="U35" s="501"/>
      <c r="V35" s="503"/>
      <c r="W35" s="503"/>
      <c r="X35" s="504"/>
      <c r="Y35" s="504"/>
      <c r="Z35" s="504"/>
      <c r="AA35" s="504"/>
      <c r="AB35" s="504"/>
      <c r="AC35" s="504"/>
      <c r="AF35" s="378"/>
      <c r="AG35" s="378"/>
      <c r="AH35" s="378"/>
      <c r="AI35" s="378"/>
      <c r="AJ35" s="378"/>
      <c r="AM35" s="505"/>
      <c r="AN35" s="505"/>
      <c r="AO35" s="505"/>
      <c r="AP35" s="505"/>
      <c r="AR35" s="370"/>
      <c r="AT35" s="370"/>
      <c r="AV35" s="506"/>
      <c r="AW35" s="370"/>
      <c r="AX35" s="370"/>
      <c r="AY35" s="370"/>
      <c r="AZ35" s="370"/>
      <c r="BA35" s="507"/>
      <c r="BB35" s="505"/>
      <c r="BC35" s="505"/>
      <c r="BD35" s="370"/>
      <c r="BE35" s="370"/>
      <c r="BF35" s="370"/>
      <c r="BG35" s="370"/>
      <c r="BH35" s="370"/>
      <c r="BI35" s="370"/>
      <c r="BJ35" s="370"/>
      <c r="BK35" s="370"/>
      <c r="BL35" s="370"/>
      <c r="BM35" s="370"/>
      <c r="BN35" s="370"/>
      <c r="BO35" s="370"/>
      <c r="BP35" s="370"/>
      <c r="BQ35" s="370"/>
      <c r="BR35" s="370"/>
      <c r="BS35" s="370"/>
      <c r="BV35" s="508"/>
      <c r="BW35" s="369"/>
      <c r="BX35" s="370"/>
      <c r="BY35" s="370"/>
      <c r="BZ35" s="370"/>
      <c r="CA35" s="370"/>
      <c r="CB35" s="370"/>
      <c r="CC35" s="505"/>
      <c r="CD35" s="505"/>
      <c r="CE35" s="505"/>
      <c r="CF35" s="505"/>
      <c r="CG35" s="505"/>
      <c r="CH35" s="505"/>
      <c r="CI35" s="505"/>
    </row>
    <row r="36" customFormat="false" ht="12.75" hidden="false" customHeight="false" outlineLevel="0" collapsed="false">
      <c r="A36" s="500"/>
      <c r="B36" s="500"/>
      <c r="K36" s="363"/>
      <c r="L36" s="501"/>
      <c r="N36" s="502"/>
      <c r="O36" s="502"/>
      <c r="P36" s="371"/>
      <c r="Q36" s="501"/>
      <c r="R36" s="501"/>
      <c r="U36" s="501"/>
      <c r="V36" s="503"/>
      <c r="W36" s="503"/>
      <c r="X36" s="504"/>
      <c r="Y36" s="504"/>
      <c r="Z36" s="504"/>
      <c r="AA36" s="504"/>
      <c r="AB36" s="504"/>
      <c r="AC36" s="504"/>
      <c r="AF36" s="378"/>
      <c r="AG36" s="378"/>
      <c r="AH36" s="378"/>
      <c r="AI36" s="378"/>
      <c r="AJ36" s="378"/>
      <c r="AM36" s="505"/>
      <c r="AN36" s="505"/>
      <c r="AO36" s="505"/>
      <c r="AP36" s="505"/>
      <c r="AR36" s="370"/>
      <c r="AT36" s="370"/>
      <c r="AV36" s="506"/>
      <c r="AW36" s="370"/>
      <c r="AX36" s="370"/>
      <c r="AY36" s="370"/>
      <c r="AZ36" s="370"/>
      <c r="BA36" s="507"/>
      <c r="BB36" s="505"/>
      <c r="BC36" s="505"/>
      <c r="BD36" s="370"/>
      <c r="BE36" s="370"/>
      <c r="BF36" s="370"/>
      <c r="BG36" s="370"/>
      <c r="BH36" s="370"/>
      <c r="BI36" s="370"/>
      <c r="BJ36" s="370"/>
      <c r="BK36" s="370"/>
      <c r="BL36" s="370"/>
      <c r="BM36" s="370"/>
      <c r="BN36" s="370"/>
      <c r="BO36" s="370"/>
      <c r="BP36" s="370"/>
      <c r="BQ36" s="370"/>
      <c r="BR36" s="370"/>
      <c r="BS36" s="370"/>
      <c r="BV36" s="508"/>
      <c r="BW36" s="369"/>
      <c r="BX36" s="370"/>
      <c r="BY36" s="370"/>
      <c r="BZ36" s="370"/>
      <c r="CA36" s="370"/>
      <c r="CB36" s="370"/>
      <c r="CC36" s="505"/>
      <c r="CD36" s="505"/>
      <c r="CE36" s="505"/>
      <c r="CF36" s="505"/>
      <c r="CG36" s="505"/>
      <c r="CH36" s="505"/>
      <c r="CI36" s="505"/>
    </row>
    <row r="37" customFormat="false" ht="12.75" hidden="false" customHeight="false" outlineLevel="0" collapsed="false">
      <c r="A37" s="512"/>
      <c r="B37" s="512"/>
      <c r="K37" s="363"/>
      <c r="L37" s="501"/>
      <c r="N37" s="502"/>
      <c r="O37" s="502"/>
      <c r="P37" s="371"/>
      <c r="Q37" s="501"/>
      <c r="R37" s="501"/>
      <c r="U37" s="501"/>
      <c r="V37" s="503"/>
      <c r="W37" s="503"/>
      <c r="X37" s="504"/>
      <c r="Y37" s="504"/>
      <c r="Z37" s="504"/>
      <c r="AA37" s="504"/>
      <c r="AB37" s="504"/>
      <c r="AC37" s="504"/>
      <c r="AF37" s="378"/>
      <c r="AG37" s="378"/>
      <c r="AH37" s="378"/>
      <c r="AI37" s="378"/>
      <c r="AJ37" s="378"/>
      <c r="AM37" s="505"/>
      <c r="AN37" s="505"/>
      <c r="AO37" s="505"/>
      <c r="AP37" s="505"/>
      <c r="AR37" s="370"/>
      <c r="AT37" s="370"/>
      <c r="AV37" s="506"/>
      <c r="AW37" s="370"/>
      <c r="AX37" s="370"/>
      <c r="AY37" s="370"/>
      <c r="AZ37" s="370"/>
      <c r="BA37" s="507"/>
      <c r="BB37" s="505"/>
      <c r="BC37" s="505"/>
      <c r="BD37" s="370"/>
      <c r="BE37" s="370"/>
      <c r="BF37" s="370"/>
      <c r="BG37" s="370"/>
      <c r="BH37" s="370"/>
      <c r="BI37" s="370"/>
      <c r="BJ37" s="370"/>
      <c r="BK37" s="370"/>
      <c r="BL37" s="370"/>
      <c r="BM37" s="370"/>
      <c r="BN37" s="370"/>
      <c r="BO37" s="370"/>
      <c r="BP37" s="370"/>
      <c r="BQ37" s="370"/>
      <c r="BR37" s="370"/>
      <c r="BS37" s="370"/>
      <c r="BV37" s="508"/>
      <c r="BW37" s="369"/>
      <c r="BX37" s="370"/>
      <c r="BY37" s="370"/>
      <c r="BZ37" s="370"/>
      <c r="CA37" s="370"/>
      <c r="CB37" s="370"/>
      <c r="CC37" s="505"/>
      <c r="CD37" s="505"/>
      <c r="CE37" s="505"/>
      <c r="CF37" s="505"/>
      <c r="CG37" s="505"/>
      <c r="CH37" s="505"/>
      <c r="CI37" s="505"/>
    </row>
    <row r="38" customFormat="false" ht="12.75" hidden="false" customHeight="false" outlineLevel="0" collapsed="false">
      <c r="A38" s="500"/>
      <c r="B38" s="500"/>
      <c r="K38" s="363"/>
      <c r="L38" s="501"/>
      <c r="N38" s="502"/>
      <c r="O38" s="502"/>
      <c r="P38" s="371"/>
      <c r="Q38" s="501"/>
      <c r="R38" s="501"/>
      <c r="U38" s="501"/>
      <c r="V38" s="503"/>
      <c r="W38" s="503"/>
      <c r="X38" s="504"/>
      <c r="Y38" s="504"/>
      <c r="Z38" s="504"/>
      <c r="AA38" s="504"/>
      <c r="AB38" s="504"/>
      <c r="AC38" s="504"/>
      <c r="AF38" s="378"/>
      <c r="AG38" s="378"/>
      <c r="AH38" s="378"/>
      <c r="AI38" s="378"/>
      <c r="AJ38" s="378"/>
      <c r="AM38" s="505"/>
      <c r="AN38" s="505"/>
      <c r="AO38" s="505"/>
      <c r="AP38" s="505"/>
      <c r="AR38" s="370"/>
      <c r="AT38" s="370"/>
      <c r="AV38" s="506"/>
      <c r="AW38" s="370"/>
      <c r="AX38" s="370"/>
      <c r="AY38" s="370"/>
      <c r="AZ38" s="370"/>
      <c r="BA38" s="507"/>
      <c r="BB38" s="505"/>
      <c r="BC38" s="505"/>
      <c r="BD38" s="370"/>
      <c r="BE38" s="370"/>
      <c r="BF38" s="370"/>
      <c r="BG38" s="370"/>
      <c r="BH38" s="370"/>
      <c r="BI38" s="370"/>
      <c r="BJ38" s="370"/>
      <c r="BK38" s="370"/>
      <c r="BL38" s="370"/>
      <c r="BM38" s="370"/>
      <c r="BN38" s="370"/>
      <c r="BO38" s="370"/>
      <c r="BP38" s="370"/>
      <c r="BQ38" s="370"/>
      <c r="BR38" s="370"/>
      <c r="BS38" s="370"/>
      <c r="BV38" s="508"/>
      <c r="BW38" s="369"/>
      <c r="BX38" s="370"/>
      <c r="BY38" s="370"/>
      <c r="BZ38" s="370"/>
      <c r="CA38" s="370"/>
      <c r="CB38" s="370"/>
      <c r="CC38" s="505"/>
      <c r="CD38" s="505"/>
      <c r="CE38" s="505"/>
      <c r="CF38" s="505"/>
      <c r="CG38" s="505"/>
      <c r="CH38" s="505"/>
      <c r="CI38" s="505"/>
    </row>
    <row r="39" customFormat="false" ht="12.75" hidden="false" customHeight="false" outlineLevel="0" collapsed="false">
      <c r="A39" s="500"/>
      <c r="B39" s="500"/>
      <c r="K39" s="363"/>
      <c r="L39" s="501"/>
      <c r="N39" s="502"/>
      <c r="O39" s="502"/>
      <c r="P39" s="371"/>
      <c r="Q39" s="501"/>
      <c r="R39" s="501"/>
      <c r="U39" s="501"/>
      <c r="V39" s="503"/>
      <c r="W39" s="503"/>
      <c r="X39" s="504"/>
      <c r="Y39" s="504"/>
      <c r="Z39" s="504"/>
      <c r="AA39" s="504"/>
      <c r="AB39" s="504"/>
      <c r="AC39" s="504"/>
      <c r="AF39" s="378"/>
      <c r="AG39" s="378"/>
      <c r="AH39" s="378"/>
      <c r="AI39" s="378"/>
      <c r="AJ39" s="378"/>
      <c r="AM39" s="505"/>
      <c r="AN39" s="505"/>
      <c r="AO39" s="505"/>
      <c r="AP39" s="505"/>
      <c r="AR39" s="370"/>
      <c r="AT39" s="370"/>
      <c r="AV39" s="506"/>
      <c r="AW39" s="370"/>
      <c r="AX39" s="370"/>
      <c r="AY39" s="370"/>
      <c r="AZ39" s="370"/>
      <c r="BA39" s="507"/>
      <c r="BB39" s="505"/>
      <c r="BC39" s="505"/>
      <c r="BD39" s="370"/>
      <c r="BE39" s="370"/>
      <c r="BF39" s="370"/>
      <c r="BG39" s="370"/>
      <c r="BH39" s="370"/>
      <c r="BI39" s="370"/>
      <c r="BJ39" s="370"/>
      <c r="BK39" s="370"/>
      <c r="BL39" s="370"/>
      <c r="BM39" s="370"/>
      <c r="BN39" s="370"/>
      <c r="BO39" s="370"/>
      <c r="BP39" s="370"/>
      <c r="BQ39" s="370"/>
      <c r="BR39" s="370"/>
      <c r="BS39" s="370"/>
      <c r="BV39" s="508"/>
      <c r="BW39" s="369"/>
      <c r="BX39" s="370"/>
      <c r="BY39" s="370"/>
      <c r="BZ39" s="370"/>
      <c r="CA39" s="370"/>
      <c r="CB39" s="370"/>
      <c r="CC39" s="505"/>
      <c r="CD39" s="505"/>
      <c r="CE39" s="505"/>
      <c r="CF39" s="505"/>
      <c r="CG39" s="505"/>
      <c r="CH39" s="505"/>
      <c r="CI39" s="505"/>
    </row>
    <row r="40" customFormat="false" ht="12.75" hidden="false" customHeight="false" outlineLevel="0" collapsed="false">
      <c r="A40" s="500"/>
      <c r="B40" s="500"/>
      <c r="K40" s="363"/>
      <c r="L40" s="501"/>
      <c r="N40" s="502"/>
      <c r="O40" s="502"/>
      <c r="P40" s="371"/>
      <c r="Q40" s="501"/>
      <c r="R40" s="501"/>
      <c r="U40" s="501"/>
      <c r="V40" s="503"/>
      <c r="W40" s="503"/>
      <c r="X40" s="504"/>
      <c r="Y40" s="504"/>
      <c r="Z40" s="504"/>
      <c r="AA40" s="504"/>
      <c r="AB40" s="504"/>
      <c r="AC40" s="504"/>
      <c r="AF40" s="378"/>
      <c r="AG40" s="378"/>
      <c r="AH40" s="378"/>
      <c r="AI40" s="378"/>
      <c r="AJ40" s="378"/>
      <c r="AM40" s="505"/>
      <c r="AN40" s="505"/>
      <c r="AO40" s="505"/>
      <c r="AP40" s="505"/>
      <c r="AR40" s="370"/>
      <c r="AT40" s="370"/>
      <c r="AV40" s="506"/>
      <c r="AW40" s="370"/>
      <c r="AX40" s="370"/>
      <c r="AY40" s="370"/>
      <c r="AZ40" s="370"/>
      <c r="BA40" s="507"/>
      <c r="BB40" s="505"/>
      <c r="BC40" s="505"/>
      <c r="BD40" s="370"/>
      <c r="BE40" s="370"/>
      <c r="BF40" s="370"/>
      <c r="BG40" s="370"/>
      <c r="BH40" s="370"/>
      <c r="BI40" s="370"/>
      <c r="BJ40" s="370"/>
      <c r="BK40" s="370"/>
      <c r="BL40" s="370"/>
      <c r="BM40" s="370"/>
      <c r="BN40" s="370"/>
      <c r="BO40" s="370"/>
      <c r="BP40" s="370"/>
      <c r="BQ40" s="370"/>
      <c r="BR40" s="370"/>
      <c r="BS40" s="370"/>
      <c r="BV40" s="508"/>
      <c r="BW40" s="369"/>
      <c r="BX40" s="370"/>
      <c r="BY40" s="370"/>
      <c r="BZ40" s="370"/>
      <c r="CA40" s="370"/>
      <c r="CB40" s="370"/>
      <c r="CC40" s="505"/>
      <c r="CD40" s="505"/>
      <c r="CE40" s="505"/>
      <c r="CF40" s="505"/>
      <c r="CG40" s="505"/>
      <c r="CH40" s="505"/>
      <c r="CI40" s="505"/>
    </row>
    <row r="41" customFormat="false" ht="12.75" hidden="false" customHeight="false" outlineLevel="0" collapsed="false">
      <c r="A41" s="500"/>
      <c r="B41" s="500"/>
      <c r="K41" s="363"/>
      <c r="L41" s="501"/>
      <c r="N41" s="502"/>
      <c r="O41" s="502"/>
      <c r="P41" s="371"/>
      <c r="Q41" s="501"/>
      <c r="R41" s="501"/>
      <c r="U41" s="501"/>
      <c r="V41" s="503"/>
      <c r="W41" s="503"/>
      <c r="X41" s="504"/>
      <c r="Y41" s="504"/>
      <c r="Z41" s="504"/>
      <c r="AA41" s="504"/>
      <c r="AB41" s="504"/>
      <c r="AC41" s="504"/>
      <c r="AF41" s="378"/>
      <c r="AG41" s="378"/>
      <c r="AH41" s="378"/>
      <c r="AI41" s="378"/>
      <c r="AJ41" s="378"/>
      <c r="AM41" s="505"/>
      <c r="AN41" s="505"/>
      <c r="AO41" s="505"/>
      <c r="AP41" s="505"/>
      <c r="AR41" s="370"/>
      <c r="AT41" s="370"/>
      <c r="AV41" s="506"/>
      <c r="AW41" s="370"/>
      <c r="AX41" s="370"/>
      <c r="AY41" s="370"/>
      <c r="AZ41" s="370"/>
      <c r="BA41" s="507"/>
      <c r="BB41" s="505"/>
      <c r="BC41" s="505"/>
      <c r="BD41" s="370"/>
      <c r="BE41" s="370"/>
      <c r="BF41" s="370"/>
      <c r="BG41" s="370"/>
      <c r="BH41" s="370"/>
      <c r="BI41" s="370"/>
      <c r="BJ41" s="370"/>
      <c r="BK41" s="370"/>
      <c r="BL41" s="370"/>
      <c r="BM41" s="370"/>
      <c r="BN41" s="370"/>
      <c r="BO41" s="370"/>
      <c r="BP41" s="370"/>
      <c r="BQ41" s="370"/>
      <c r="BR41" s="370"/>
      <c r="BS41" s="370"/>
      <c r="BV41" s="508"/>
      <c r="BW41" s="369"/>
      <c r="BX41" s="370"/>
      <c r="BY41" s="370"/>
      <c r="BZ41" s="370"/>
      <c r="CA41" s="370"/>
      <c r="CB41" s="370"/>
      <c r="CC41" s="505"/>
      <c r="CD41" s="505"/>
      <c r="CE41" s="505"/>
      <c r="CF41" s="505"/>
      <c r="CG41" s="505"/>
      <c r="CH41" s="505"/>
      <c r="CI41" s="505"/>
    </row>
    <row r="42" customFormat="false" ht="12.75" hidden="false" customHeight="false" outlineLevel="0" collapsed="false">
      <c r="A42" s="500"/>
      <c r="B42" s="500"/>
      <c r="K42" s="363"/>
      <c r="L42" s="501"/>
      <c r="N42" s="502"/>
      <c r="O42" s="502"/>
      <c r="P42" s="371"/>
      <c r="Q42" s="501"/>
      <c r="R42" s="501"/>
      <c r="U42" s="501"/>
      <c r="V42" s="503"/>
      <c r="W42" s="503"/>
      <c r="X42" s="504"/>
      <c r="Y42" s="504"/>
      <c r="Z42" s="504"/>
      <c r="AA42" s="504"/>
      <c r="AB42" s="504"/>
      <c r="AC42" s="504"/>
      <c r="AF42" s="378"/>
      <c r="AG42" s="378"/>
      <c r="AH42" s="378"/>
      <c r="AI42" s="378"/>
      <c r="AJ42" s="378"/>
      <c r="AM42" s="505"/>
      <c r="AN42" s="505"/>
      <c r="AO42" s="505"/>
      <c r="AP42" s="505"/>
      <c r="AR42" s="370"/>
      <c r="AT42" s="370"/>
      <c r="AV42" s="506"/>
      <c r="AW42" s="370"/>
      <c r="AX42" s="370"/>
      <c r="AY42" s="370"/>
      <c r="AZ42" s="370"/>
      <c r="BA42" s="507"/>
      <c r="BB42" s="505"/>
      <c r="BC42" s="505"/>
      <c r="BD42" s="370"/>
      <c r="BE42" s="370"/>
      <c r="BF42" s="370"/>
      <c r="BG42" s="370"/>
      <c r="BH42" s="370"/>
      <c r="BI42" s="370"/>
      <c r="BJ42" s="370"/>
      <c r="BK42" s="370"/>
      <c r="BL42" s="370"/>
      <c r="BM42" s="370"/>
      <c r="BN42" s="370"/>
      <c r="BO42" s="370"/>
      <c r="BP42" s="370"/>
      <c r="BQ42" s="370"/>
      <c r="BR42" s="370"/>
      <c r="BS42" s="370"/>
      <c r="BV42" s="508"/>
      <c r="BW42" s="369"/>
      <c r="BX42" s="370"/>
      <c r="BY42" s="370"/>
      <c r="BZ42" s="370"/>
      <c r="CA42" s="370"/>
      <c r="CB42" s="370"/>
      <c r="CC42" s="505"/>
      <c r="CD42" s="505"/>
      <c r="CE42" s="505"/>
      <c r="CF42" s="505"/>
      <c r="CG42" s="505"/>
      <c r="CH42" s="505"/>
      <c r="CI42" s="505"/>
    </row>
    <row r="43" customFormat="false" ht="12.75" hidden="false" customHeight="false" outlineLevel="0" collapsed="false">
      <c r="A43" s="500"/>
      <c r="B43" s="500"/>
      <c r="K43" s="363"/>
      <c r="L43" s="501"/>
      <c r="N43" s="502"/>
      <c r="O43" s="502"/>
      <c r="P43" s="371"/>
      <c r="Q43" s="501"/>
      <c r="R43" s="501"/>
      <c r="U43" s="501"/>
      <c r="V43" s="503"/>
      <c r="W43" s="503"/>
      <c r="X43" s="504"/>
      <c r="Y43" s="504"/>
      <c r="Z43" s="504"/>
      <c r="AA43" s="504"/>
      <c r="AB43" s="504"/>
      <c r="AC43" s="504"/>
      <c r="AF43" s="378"/>
      <c r="AG43" s="378"/>
      <c r="AH43" s="378"/>
      <c r="AI43" s="378"/>
      <c r="AJ43" s="378"/>
      <c r="AM43" s="505"/>
      <c r="AN43" s="505"/>
      <c r="AO43" s="505"/>
      <c r="AP43" s="505"/>
      <c r="AR43" s="370"/>
      <c r="AT43" s="370"/>
      <c r="AV43" s="506"/>
      <c r="AW43" s="370"/>
      <c r="AX43" s="370"/>
      <c r="AY43" s="370"/>
      <c r="AZ43" s="370"/>
      <c r="BA43" s="507"/>
      <c r="BB43" s="505"/>
      <c r="BC43" s="505"/>
      <c r="BD43" s="370"/>
      <c r="BE43" s="370"/>
      <c r="BF43" s="370"/>
      <c r="BG43" s="370"/>
      <c r="BH43" s="370"/>
      <c r="BI43" s="370"/>
      <c r="BJ43" s="370"/>
      <c r="BK43" s="370"/>
      <c r="BL43" s="370"/>
      <c r="BM43" s="370"/>
      <c r="BN43" s="370"/>
      <c r="BO43" s="370"/>
      <c r="BP43" s="370"/>
      <c r="BQ43" s="370"/>
      <c r="BR43" s="370"/>
      <c r="BS43" s="370"/>
      <c r="BV43" s="508"/>
      <c r="BW43" s="369"/>
      <c r="BX43" s="370"/>
      <c r="BY43" s="370"/>
      <c r="BZ43" s="370"/>
      <c r="CA43" s="370"/>
      <c r="CB43" s="370"/>
      <c r="CC43" s="505"/>
      <c r="CD43" s="505"/>
      <c r="CE43" s="505"/>
      <c r="CF43" s="505"/>
      <c r="CG43" s="505"/>
      <c r="CH43" s="505"/>
      <c r="CI43" s="505"/>
    </row>
    <row r="44" customFormat="false" ht="12.75" hidden="false" customHeight="false" outlineLevel="0" collapsed="false">
      <c r="A44" s="500"/>
      <c r="B44" s="500"/>
      <c r="K44" s="363"/>
      <c r="L44" s="501"/>
      <c r="N44" s="502"/>
      <c r="O44" s="502"/>
      <c r="P44" s="371"/>
      <c r="Q44" s="501"/>
      <c r="R44" s="501"/>
      <c r="U44" s="501"/>
      <c r="V44" s="503"/>
      <c r="W44" s="503"/>
      <c r="X44" s="504"/>
      <c r="Y44" s="504"/>
      <c r="Z44" s="504"/>
      <c r="AA44" s="504"/>
      <c r="AB44" s="504"/>
      <c r="AC44" s="504"/>
      <c r="AF44" s="378"/>
      <c r="AG44" s="378"/>
      <c r="AH44" s="378"/>
      <c r="AI44" s="378"/>
      <c r="AJ44" s="378"/>
      <c r="AM44" s="505"/>
      <c r="AN44" s="505"/>
      <c r="AO44" s="505"/>
      <c r="AP44" s="505"/>
      <c r="AR44" s="370"/>
      <c r="AT44" s="370"/>
      <c r="AV44" s="506"/>
      <c r="AW44" s="370"/>
      <c r="AX44" s="370"/>
      <c r="AY44" s="370"/>
      <c r="AZ44" s="370"/>
      <c r="BA44" s="507"/>
      <c r="BB44" s="505"/>
      <c r="BC44" s="505"/>
      <c r="BD44" s="370"/>
      <c r="BE44" s="370"/>
      <c r="BF44" s="370"/>
      <c r="BG44" s="370"/>
      <c r="BH44" s="370"/>
      <c r="BI44" s="370"/>
      <c r="BJ44" s="370"/>
      <c r="BK44" s="370"/>
      <c r="BL44" s="370"/>
      <c r="BM44" s="370"/>
      <c r="BN44" s="370"/>
      <c r="BO44" s="370"/>
      <c r="BP44" s="370"/>
      <c r="BQ44" s="370"/>
      <c r="BR44" s="370"/>
      <c r="BS44" s="370"/>
      <c r="BV44" s="508"/>
      <c r="BW44" s="369"/>
      <c r="BX44" s="370"/>
      <c r="BY44" s="370"/>
      <c r="BZ44" s="370"/>
      <c r="CA44" s="370"/>
      <c r="CB44" s="370"/>
      <c r="CC44" s="505"/>
      <c r="CD44" s="505"/>
      <c r="CE44" s="505"/>
      <c r="CF44" s="505"/>
      <c r="CG44" s="505"/>
      <c r="CH44" s="505"/>
      <c r="CI44" s="505"/>
    </row>
    <row r="45" customFormat="false" ht="12.75" hidden="false" customHeight="false" outlineLevel="0" collapsed="false">
      <c r="A45" s="500"/>
      <c r="B45" s="500"/>
      <c r="K45" s="363"/>
      <c r="L45" s="501"/>
      <c r="N45" s="502"/>
      <c r="O45" s="502"/>
      <c r="P45" s="371"/>
      <c r="Q45" s="501"/>
      <c r="R45" s="501"/>
      <c r="U45" s="501"/>
      <c r="V45" s="503"/>
      <c r="W45" s="503"/>
      <c r="X45" s="504"/>
      <c r="Y45" s="504"/>
      <c r="Z45" s="504"/>
      <c r="AA45" s="504"/>
      <c r="AB45" s="504"/>
      <c r="AC45" s="504"/>
      <c r="AF45" s="378"/>
      <c r="AG45" s="378"/>
      <c r="AH45" s="378"/>
      <c r="AI45" s="378"/>
      <c r="AJ45" s="378"/>
      <c r="AM45" s="505"/>
      <c r="AN45" s="505"/>
      <c r="AO45" s="505"/>
      <c r="AP45" s="505"/>
      <c r="AR45" s="370"/>
      <c r="AT45" s="370"/>
      <c r="AV45" s="506"/>
      <c r="AW45" s="370"/>
      <c r="AX45" s="370"/>
      <c r="AY45" s="370"/>
      <c r="AZ45" s="370"/>
      <c r="BA45" s="507"/>
      <c r="BB45" s="505"/>
      <c r="BC45" s="505"/>
      <c r="BD45" s="370"/>
      <c r="BE45" s="370"/>
      <c r="BF45" s="370"/>
      <c r="BG45" s="370"/>
      <c r="BH45" s="370"/>
      <c r="BI45" s="370"/>
      <c r="BJ45" s="370"/>
      <c r="BK45" s="370"/>
      <c r="BL45" s="370"/>
      <c r="BM45" s="370"/>
      <c r="BN45" s="370"/>
      <c r="BO45" s="370"/>
      <c r="BP45" s="370"/>
      <c r="BQ45" s="370"/>
      <c r="BR45" s="370"/>
      <c r="BS45" s="370"/>
      <c r="BV45" s="508"/>
      <c r="BW45" s="369"/>
      <c r="BX45" s="370"/>
      <c r="BY45" s="370"/>
      <c r="BZ45" s="370"/>
      <c r="CA45" s="370"/>
      <c r="CB45" s="370"/>
      <c r="CC45" s="505"/>
      <c r="CD45" s="505"/>
      <c r="CE45" s="505"/>
      <c r="CF45" s="505"/>
      <c r="CG45" s="505"/>
      <c r="CH45" s="505"/>
      <c r="CI45" s="505"/>
    </row>
    <row r="46" customFormat="false" ht="12.75" hidden="false" customHeight="false" outlineLevel="0" collapsed="false">
      <c r="A46" s="500"/>
      <c r="B46" s="500"/>
      <c r="K46" s="363"/>
      <c r="L46" s="501"/>
      <c r="N46" s="502"/>
      <c r="O46" s="502"/>
      <c r="P46" s="371"/>
      <c r="Q46" s="501"/>
      <c r="R46" s="501"/>
      <c r="U46" s="501"/>
      <c r="V46" s="503"/>
      <c r="W46" s="503"/>
      <c r="X46" s="504"/>
      <c r="Y46" s="504"/>
      <c r="Z46" s="504"/>
      <c r="AA46" s="504"/>
      <c r="AB46" s="504"/>
      <c r="AC46" s="504"/>
      <c r="AF46" s="378"/>
      <c r="AG46" s="378"/>
      <c r="AH46" s="378"/>
      <c r="AI46" s="378"/>
      <c r="AJ46" s="378"/>
      <c r="AM46" s="505"/>
      <c r="AN46" s="505"/>
      <c r="AO46" s="505"/>
      <c r="AP46" s="505"/>
      <c r="AR46" s="370"/>
      <c r="AT46" s="370"/>
      <c r="AV46" s="506"/>
      <c r="AW46" s="370"/>
      <c r="AX46" s="370"/>
      <c r="AY46" s="370"/>
      <c r="AZ46" s="370"/>
      <c r="BA46" s="507"/>
      <c r="BB46" s="505"/>
      <c r="BC46" s="505"/>
      <c r="BD46" s="370"/>
      <c r="BE46" s="370"/>
      <c r="BF46" s="370"/>
      <c r="BG46" s="370"/>
      <c r="BH46" s="370"/>
      <c r="BI46" s="370"/>
      <c r="BJ46" s="370"/>
      <c r="BK46" s="370"/>
      <c r="BL46" s="370"/>
      <c r="BM46" s="370"/>
      <c r="BN46" s="370"/>
      <c r="BO46" s="370"/>
      <c r="BP46" s="370"/>
      <c r="BQ46" s="370"/>
      <c r="BR46" s="370"/>
      <c r="BS46" s="370"/>
      <c r="BV46" s="508"/>
      <c r="BW46" s="369"/>
      <c r="BX46" s="370"/>
      <c r="BY46" s="370"/>
      <c r="BZ46" s="370"/>
      <c r="CA46" s="370"/>
      <c r="CB46" s="370"/>
      <c r="CC46" s="505"/>
      <c r="CD46" s="505"/>
      <c r="CE46" s="505"/>
      <c r="CF46" s="505"/>
      <c r="CG46" s="505"/>
      <c r="CH46" s="505"/>
      <c r="CI46" s="505"/>
    </row>
    <row r="47" customFormat="false" ht="12.75" hidden="false" customHeight="false" outlineLevel="0" collapsed="false">
      <c r="A47" s="500"/>
      <c r="B47" s="500"/>
      <c r="K47" s="363"/>
      <c r="L47" s="501"/>
      <c r="N47" s="502"/>
      <c r="O47" s="502"/>
      <c r="P47" s="371"/>
      <c r="Q47" s="501"/>
      <c r="R47" s="501"/>
      <c r="U47" s="501"/>
      <c r="V47" s="503"/>
      <c r="W47" s="503"/>
      <c r="X47" s="504"/>
      <c r="Y47" s="504"/>
      <c r="Z47" s="504"/>
      <c r="AA47" s="504"/>
      <c r="AB47" s="504"/>
      <c r="AC47" s="504"/>
      <c r="AF47" s="378"/>
      <c r="AG47" s="378"/>
      <c r="AH47" s="378"/>
      <c r="AI47" s="378"/>
      <c r="AJ47" s="378"/>
      <c r="AM47" s="505"/>
      <c r="AN47" s="505"/>
      <c r="AO47" s="505"/>
      <c r="AP47" s="505"/>
      <c r="AR47" s="370"/>
      <c r="AT47" s="370"/>
      <c r="AV47" s="506"/>
      <c r="AW47" s="370"/>
      <c r="AX47" s="370"/>
      <c r="AY47" s="370"/>
      <c r="AZ47" s="370"/>
      <c r="BA47" s="507"/>
      <c r="BB47" s="505"/>
      <c r="BC47" s="505"/>
      <c r="BD47" s="370"/>
      <c r="BE47" s="370"/>
      <c r="BF47" s="370"/>
      <c r="BG47" s="370"/>
      <c r="BH47" s="370"/>
      <c r="BI47" s="370"/>
      <c r="BJ47" s="370"/>
      <c r="BK47" s="370"/>
      <c r="BL47" s="370"/>
      <c r="BM47" s="370"/>
      <c r="BN47" s="370"/>
      <c r="BO47" s="370"/>
      <c r="BP47" s="370"/>
      <c r="BQ47" s="370"/>
      <c r="BR47" s="370"/>
      <c r="BS47" s="370"/>
      <c r="BV47" s="508"/>
      <c r="BW47" s="369"/>
      <c r="BX47" s="370"/>
      <c r="BY47" s="370"/>
      <c r="BZ47" s="370"/>
      <c r="CA47" s="370"/>
      <c r="CB47" s="370"/>
      <c r="CC47" s="505"/>
      <c r="CD47" s="505"/>
      <c r="CE47" s="505"/>
      <c r="CF47" s="505"/>
      <c r="CG47" s="505"/>
      <c r="CH47" s="505"/>
      <c r="CI47" s="505"/>
    </row>
    <row r="48" customFormat="false" ht="12.75" hidden="false" customHeight="false" outlineLevel="0" collapsed="false">
      <c r="A48" s="500"/>
      <c r="B48" s="500"/>
      <c r="K48" s="363"/>
      <c r="L48" s="501"/>
      <c r="N48" s="502"/>
      <c r="O48" s="502"/>
      <c r="P48" s="371"/>
      <c r="Q48" s="501"/>
      <c r="R48" s="501"/>
      <c r="U48" s="501"/>
      <c r="V48" s="503"/>
      <c r="W48" s="503"/>
      <c r="X48" s="504"/>
      <c r="Y48" s="504"/>
      <c r="Z48" s="504"/>
      <c r="AA48" s="504"/>
      <c r="AB48" s="504"/>
      <c r="AC48" s="504"/>
      <c r="AF48" s="378"/>
      <c r="AG48" s="378"/>
      <c r="AH48" s="378"/>
      <c r="AI48" s="378"/>
      <c r="AJ48" s="378"/>
      <c r="AM48" s="505"/>
      <c r="AN48" s="505"/>
      <c r="AO48" s="505"/>
      <c r="AP48" s="505"/>
      <c r="AR48" s="370"/>
      <c r="AT48" s="370"/>
      <c r="AV48" s="506"/>
      <c r="AW48" s="370"/>
      <c r="AX48" s="370"/>
      <c r="AY48" s="370"/>
      <c r="AZ48" s="370"/>
      <c r="BA48" s="507"/>
      <c r="BB48" s="505"/>
      <c r="BC48" s="505"/>
      <c r="BD48" s="370"/>
      <c r="BE48" s="370"/>
      <c r="BF48" s="370"/>
      <c r="BG48" s="370"/>
      <c r="BH48" s="370"/>
      <c r="BI48" s="370"/>
      <c r="BJ48" s="370"/>
      <c r="BK48" s="370"/>
      <c r="BL48" s="370"/>
      <c r="BM48" s="370"/>
      <c r="BN48" s="370"/>
      <c r="BO48" s="370"/>
      <c r="BP48" s="370"/>
      <c r="BQ48" s="370"/>
      <c r="BR48" s="370"/>
      <c r="BS48" s="370"/>
      <c r="BV48" s="508"/>
      <c r="BW48" s="369"/>
      <c r="BX48" s="370"/>
      <c r="BY48" s="370"/>
      <c r="BZ48" s="370"/>
      <c r="CA48" s="370"/>
      <c r="CB48" s="370"/>
      <c r="CC48" s="505"/>
      <c r="CD48" s="505"/>
      <c r="CE48" s="505"/>
      <c r="CF48" s="505"/>
      <c r="CG48" s="505"/>
      <c r="CH48" s="505"/>
      <c r="CI48" s="505"/>
    </row>
    <row r="49" customFormat="false" ht="12.75" hidden="false" customHeight="false" outlineLevel="0" collapsed="false">
      <c r="A49" s="500"/>
      <c r="B49" s="500"/>
      <c r="K49" s="363"/>
      <c r="L49" s="501"/>
      <c r="N49" s="502"/>
      <c r="O49" s="502"/>
      <c r="P49" s="371"/>
      <c r="Q49" s="501"/>
      <c r="R49" s="501"/>
      <c r="U49" s="501"/>
      <c r="V49" s="503"/>
      <c r="W49" s="503"/>
      <c r="X49" s="504"/>
      <c r="Y49" s="504"/>
      <c r="Z49" s="504"/>
      <c r="AA49" s="504"/>
      <c r="AB49" s="504"/>
      <c r="AC49" s="504"/>
      <c r="AF49" s="378"/>
      <c r="AG49" s="378"/>
      <c r="AH49" s="378"/>
      <c r="AI49" s="378"/>
      <c r="AJ49" s="378"/>
      <c r="AM49" s="505"/>
      <c r="AN49" s="505"/>
      <c r="AO49" s="505"/>
      <c r="AP49" s="505"/>
      <c r="AR49" s="370"/>
      <c r="AT49" s="370"/>
      <c r="AV49" s="506"/>
      <c r="AW49" s="370"/>
      <c r="AX49" s="370"/>
      <c r="AY49" s="370"/>
      <c r="AZ49" s="370"/>
      <c r="BA49" s="507"/>
      <c r="BB49" s="505"/>
      <c r="BC49" s="505"/>
      <c r="BD49" s="370"/>
      <c r="BE49" s="370"/>
      <c r="BF49" s="370"/>
      <c r="BG49" s="370"/>
      <c r="BH49" s="370"/>
      <c r="BI49" s="370"/>
      <c r="BJ49" s="370"/>
      <c r="BK49" s="370"/>
      <c r="BL49" s="370"/>
      <c r="BM49" s="370"/>
      <c r="BN49" s="370"/>
      <c r="BO49" s="370"/>
      <c r="BP49" s="370"/>
      <c r="BQ49" s="370"/>
      <c r="BR49" s="370"/>
      <c r="BS49" s="370"/>
      <c r="BV49" s="508"/>
      <c r="BW49" s="369"/>
      <c r="BX49" s="370"/>
      <c r="BY49" s="370"/>
      <c r="BZ49" s="370"/>
      <c r="CA49" s="370"/>
      <c r="CB49" s="370"/>
      <c r="CC49" s="505"/>
      <c r="CD49" s="505"/>
      <c r="CE49" s="505"/>
      <c r="CF49" s="505"/>
      <c r="CG49" s="505"/>
      <c r="CH49" s="505"/>
      <c r="CI49" s="505"/>
    </row>
    <row r="50" customFormat="false" ht="12.75" hidden="false" customHeight="false" outlineLevel="0" collapsed="false">
      <c r="A50" s="500"/>
      <c r="B50" s="500"/>
      <c r="K50" s="363"/>
      <c r="L50" s="501"/>
      <c r="N50" s="502"/>
      <c r="O50" s="502"/>
      <c r="P50" s="371"/>
      <c r="Q50" s="501"/>
      <c r="R50" s="501"/>
      <c r="U50" s="501"/>
      <c r="V50" s="503"/>
      <c r="W50" s="503"/>
      <c r="X50" s="504"/>
      <c r="Y50" s="504"/>
      <c r="Z50" s="504"/>
      <c r="AA50" s="504"/>
      <c r="AB50" s="504"/>
      <c r="AC50" s="504"/>
      <c r="AF50" s="378"/>
      <c r="AG50" s="378"/>
      <c r="AH50" s="378"/>
      <c r="AI50" s="378"/>
      <c r="AJ50" s="378"/>
      <c r="AM50" s="505"/>
      <c r="AN50" s="505"/>
      <c r="AO50" s="505"/>
      <c r="AP50" s="505"/>
      <c r="AR50" s="370"/>
      <c r="AT50" s="370"/>
      <c r="AV50" s="506"/>
      <c r="AW50" s="370"/>
      <c r="AX50" s="370"/>
      <c r="AY50" s="370"/>
      <c r="AZ50" s="370"/>
      <c r="BA50" s="507"/>
      <c r="BB50" s="505"/>
      <c r="BC50" s="505"/>
      <c r="BD50" s="370"/>
      <c r="BE50" s="370"/>
      <c r="BF50" s="370"/>
      <c r="BG50" s="370"/>
      <c r="BH50" s="370"/>
      <c r="BI50" s="370"/>
      <c r="BJ50" s="370"/>
      <c r="BK50" s="370"/>
      <c r="BL50" s="370"/>
      <c r="BM50" s="370"/>
      <c r="BN50" s="370"/>
      <c r="BO50" s="370"/>
      <c r="BP50" s="370"/>
      <c r="BQ50" s="370"/>
      <c r="BR50" s="370"/>
      <c r="BS50" s="370"/>
      <c r="BV50" s="508"/>
      <c r="BW50" s="369"/>
      <c r="BX50" s="370"/>
      <c r="BY50" s="370"/>
      <c r="BZ50" s="370"/>
      <c r="CA50" s="370"/>
      <c r="CB50" s="370"/>
      <c r="CC50" s="505"/>
      <c r="CD50" s="505"/>
      <c r="CE50" s="505"/>
      <c r="CF50" s="505"/>
      <c r="CG50" s="505"/>
      <c r="CH50" s="505"/>
      <c r="CI50" s="505"/>
    </row>
    <row r="51" customFormat="false" ht="12.75" hidden="false" customHeight="false" outlineLevel="0" collapsed="false">
      <c r="A51" s="500"/>
      <c r="B51" s="500"/>
      <c r="K51" s="363"/>
      <c r="L51" s="501"/>
      <c r="N51" s="502"/>
      <c r="O51" s="502"/>
      <c r="P51" s="371"/>
      <c r="Q51" s="501"/>
      <c r="R51" s="501"/>
      <c r="U51" s="501"/>
      <c r="V51" s="503"/>
      <c r="W51" s="503"/>
      <c r="X51" s="504"/>
      <c r="Y51" s="504"/>
      <c r="Z51" s="504"/>
      <c r="AA51" s="504"/>
      <c r="AB51" s="504"/>
      <c r="AC51" s="504"/>
      <c r="AF51" s="378"/>
      <c r="AG51" s="378"/>
      <c r="AH51" s="378"/>
      <c r="AI51" s="378"/>
      <c r="AJ51" s="378"/>
      <c r="AM51" s="505"/>
      <c r="AN51" s="505"/>
      <c r="AO51" s="505"/>
      <c r="AP51" s="505"/>
      <c r="AR51" s="370"/>
      <c r="AT51" s="370"/>
      <c r="AV51" s="506"/>
      <c r="AW51" s="370"/>
      <c r="AX51" s="370"/>
      <c r="AY51" s="370"/>
      <c r="AZ51" s="370"/>
      <c r="BA51" s="507"/>
      <c r="BB51" s="505"/>
      <c r="BC51" s="505"/>
      <c r="BD51" s="370"/>
      <c r="BE51" s="370"/>
      <c r="BF51" s="370"/>
      <c r="BG51" s="370"/>
      <c r="BH51" s="370"/>
      <c r="BI51" s="370"/>
      <c r="BJ51" s="370"/>
      <c r="BK51" s="370"/>
      <c r="BL51" s="370"/>
      <c r="BM51" s="370"/>
      <c r="BN51" s="370"/>
      <c r="BO51" s="370"/>
      <c r="BP51" s="370"/>
      <c r="BQ51" s="370"/>
      <c r="BR51" s="370"/>
      <c r="BS51" s="370"/>
      <c r="BV51" s="508"/>
      <c r="BW51" s="369"/>
      <c r="BX51" s="370"/>
      <c r="BY51" s="370"/>
      <c r="BZ51" s="370"/>
      <c r="CA51" s="370"/>
      <c r="CB51" s="370"/>
      <c r="CC51" s="505"/>
      <c r="CD51" s="505"/>
      <c r="CE51" s="505"/>
      <c r="CF51" s="505"/>
      <c r="CG51" s="505"/>
      <c r="CH51" s="505"/>
      <c r="CI51" s="505"/>
    </row>
    <row r="52" customFormat="false" ht="12.75" hidden="false" customHeight="false" outlineLevel="0" collapsed="false">
      <c r="A52" s="500"/>
      <c r="B52" s="500"/>
      <c r="K52" s="363"/>
      <c r="L52" s="501"/>
      <c r="N52" s="502"/>
      <c r="O52" s="502"/>
      <c r="P52" s="371"/>
      <c r="Q52" s="501"/>
      <c r="R52" s="501"/>
      <c r="U52" s="501"/>
      <c r="V52" s="503"/>
      <c r="W52" s="503"/>
      <c r="X52" s="504"/>
      <c r="Y52" s="504"/>
      <c r="Z52" s="504"/>
      <c r="AA52" s="504"/>
      <c r="AB52" s="504"/>
      <c r="AC52" s="504"/>
      <c r="AF52" s="378"/>
      <c r="AG52" s="378"/>
      <c r="AH52" s="378"/>
      <c r="AI52" s="378"/>
      <c r="AJ52" s="378"/>
      <c r="AM52" s="505"/>
      <c r="AN52" s="505"/>
      <c r="AO52" s="505"/>
      <c r="AP52" s="505"/>
      <c r="AR52" s="370"/>
      <c r="AT52" s="370"/>
      <c r="AV52" s="506"/>
      <c r="AW52" s="370"/>
      <c r="AX52" s="370"/>
      <c r="AY52" s="370"/>
      <c r="AZ52" s="370"/>
      <c r="BA52" s="507"/>
      <c r="BB52" s="505"/>
      <c r="BC52" s="505"/>
      <c r="BD52" s="370"/>
      <c r="BE52" s="370"/>
      <c r="BF52" s="370"/>
      <c r="BG52" s="370"/>
      <c r="BH52" s="370"/>
      <c r="BI52" s="370"/>
      <c r="BJ52" s="370"/>
      <c r="BK52" s="370"/>
      <c r="BL52" s="370"/>
      <c r="BM52" s="370"/>
      <c r="BN52" s="370"/>
      <c r="BO52" s="370"/>
      <c r="BP52" s="370"/>
      <c r="BQ52" s="370"/>
      <c r="BR52" s="370"/>
      <c r="BS52" s="370"/>
      <c r="BV52" s="508"/>
      <c r="BW52" s="369"/>
      <c r="BX52" s="370"/>
      <c r="BY52" s="370"/>
      <c r="BZ52" s="370"/>
      <c r="CA52" s="370"/>
      <c r="CB52" s="370"/>
      <c r="CC52" s="505"/>
      <c r="CD52" s="505"/>
      <c r="CE52" s="505"/>
      <c r="CF52" s="505"/>
      <c r="CG52" s="505"/>
      <c r="CH52" s="505"/>
      <c r="CI52" s="505"/>
    </row>
    <row r="53" customFormat="false" ht="12.75" hidden="false" customHeight="false" outlineLevel="0" collapsed="false">
      <c r="A53" s="500"/>
      <c r="B53" s="500"/>
      <c r="K53" s="363"/>
      <c r="L53" s="501"/>
      <c r="N53" s="502"/>
      <c r="O53" s="502"/>
      <c r="P53" s="371"/>
      <c r="Q53" s="501"/>
      <c r="R53" s="501"/>
      <c r="U53" s="501"/>
      <c r="V53" s="503"/>
      <c r="W53" s="503"/>
      <c r="X53" s="504"/>
      <c r="Y53" s="504"/>
      <c r="Z53" s="504"/>
      <c r="AA53" s="504"/>
      <c r="AB53" s="504"/>
      <c r="AC53" s="504"/>
      <c r="AF53" s="378"/>
      <c r="AG53" s="378"/>
      <c r="AH53" s="378"/>
      <c r="AI53" s="378"/>
      <c r="AJ53" s="378"/>
      <c r="AM53" s="505"/>
      <c r="AN53" s="505"/>
      <c r="AO53" s="505"/>
      <c r="AP53" s="505"/>
      <c r="AR53" s="370"/>
      <c r="AT53" s="370"/>
      <c r="AV53" s="506"/>
      <c r="AW53" s="370"/>
      <c r="AX53" s="370"/>
      <c r="AY53" s="370"/>
      <c r="AZ53" s="370"/>
      <c r="BA53" s="507"/>
      <c r="BB53" s="505"/>
      <c r="BC53" s="505"/>
      <c r="BD53" s="370"/>
      <c r="BE53" s="370"/>
      <c r="BF53" s="370"/>
      <c r="BG53" s="370"/>
      <c r="BH53" s="370"/>
      <c r="BI53" s="370"/>
      <c r="BJ53" s="370"/>
      <c r="BK53" s="370"/>
      <c r="BL53" s="370"/>
      <c r="BM53" s="370"/>
      <c r="BN53" s="370"/>
      <c r="BO53" s="370"/>
      <c r="BP53" s="370"/>
      <c r="BQ53" s="370"/>
      <c r="BR53" s="370"/>
      <c r="BS53" s="370"/>
      <c r="BV53" s="508"/>
      <c r="BW53" s="369"/>
      <c r="BX53" s="370"/>
      <c r="BY53" s="370"/>
      <c r="BZ53" s="370"/>
      <c r="CA53" s="370"/>
      <c r="CB53" s="370"/>
      <c r="CC53" s="505"/>
      <c r="CD53" s="505"/>
      <c r="CE53" s="505"/>
      <c r="CF53" s="505"/>
      <c r="CG53" s="505"/>
      <c r="CH53" s="505"/>
      <c r="CI53" s="505"/>
    </row>
    <row r="54" customFormat="false" ht="12.75" hidden="false" customHeight="false" outlineLevel="0" collapsed="false">
      <c r="A54" s="500"/>
      <c r="B54" s="500"/>
      <c r="K54" s="363"/>
      <c r="L54" s="501"/>
      <c r="N54" s="502"/>
      <c r="O54" s="502"/>
      <c r="P54" s="371"/>
      <c r="Q54" s="501"/>
      <c r="R54" s="501"/>
      <c r="U54" s="501"/>
      <c r="V54" s="503"/>
      <c r="W54" s="503"/>
      <c r="X54" s="504"/>
      <c r="Y54" s="504"/>
      <c r="Z54" s="504"/>
      <c r="AA54" s="504"/>
      <c r="AB54" s="504"/>
      <c r="AC54" s="504"/>
      <c r="AF54" s="378"/>
      <c r="AG54" s="378"/>
      <c r="AH54" s="378"/>
      <c r="AI54" s="378"/>
      <c r="AJ54" s="378"/>
      <c r="AM54" s="505"/>
      <c r="AN54" s="505"/>
      <c r="AO54" s="505"/>
      <c r="AP54" s="505"/>
      <c r="AR54" s="370"/>
      <c r="AT54" s="370"/>
      <c r="AV54" s="506"/>
      <c r="AW54" s="370"/>
      <c r="AX54" s="370"/>
      <c r="AY54" s="370"/>
      <c r="AZ54" s="370"/>
      <c r="BA54" s="507"/>
      <c r="BB54" s="505"/>
      <c r="BC54" s="505"/>
      <c r="BD54" s="370"/>
      <c r="BE54" s="370"/>
      <c r="BF54" s="370"/>
      <c r="BG54" s="370"/>
      <c r="BH54" s="370"/>
      <c r="BI54" s="370"/>
      <c r="BJ54" s="370"/>
      <c r="BK54" s="370"/>
      <c r="BL54" s="370"/>
      <c r="BM54" s="370"/>
      <c r="BN54" s="370"/>
      <c r="BO54" s="370"/>
      <c r="BP54" s="370"/>
      <c r="BQ54" s="370"/>
      <c r="BR54" s="370"/>
      <c r="BS54" s="370"/>
      <c r="BV54" s="508"/>
      <c r="BW54" s="369"/>
      <c r="BX54" s="370"/>
      <c r="BY54" s="370"/>
      <c r="BZ54" s="370"/>
      <c r="CA54" s="370"/>
      <c r="CB54" s="370"/>
      <c r="CC54" s="505"/>
      <c r="CD54" s="505"/>
      <c r="CE54" s="505"/>
      <c r="CF54" s="505"/>
      <c r="CG54" s="505"/>
      <c r="CH54" s="505"/>
      <c r="CI54" s="505"/>
    </row>
    <row r="55" customFormat="false" ht="12.75" hidden="false" customHeight="false" outlineLevel="0" collapsed="false">
      <c r="A55" s="500"/>
      <c r="B55" s="500"/>
      <c r="K55" s="363"/>
      <c r="L55" s="501"/>
      <c r="N55" s="502"/>
      <c r="O55" s="502"/>
      <c r="P55" s="371"/>
      <c r="Q55" s="501"/>
      <c r="R55" s="501"/>
      <c r="U55" s="501"/>
      <c r="V55" s="503"/>
      <c r="W55" s="503"/>
      <c r="X55" s="504"/>
      <c r="Y55" s="504"/>
      <c r="Z55" s="504"/>
      <c r="AA55" s="504"/>
      <c r="AB55" s="504"/>
      <c r="AC55" s="504"/>
      <c r="AF55" s="378"/>
      <c r="AG55" s="378"/>
      <c r="AH55" s="378"/>
      <c r="AI55" s="378"/>
      <c r="AJ55" s="378"/>
      <c r="AM55" s="505"/>
      <c r="AN55" s="505"/>
      <c r="AO55" s="505"/>
      <c r="AP55" s="505"/>
      <c r="AR55" s="370"/>
      <c r="AT55" s="370"/>
      <c r="AV55" s="506"/>
      <c r="AW55" s="370"/>
      <c r="AX55" s="370"/>
      <c r="AY55" s="370"/>
      <c r="AZ55" s="370"/>
      <c r="BA55" s="507"/>
      <c r="BB55" s="505"/>
      <c r="BC55" s="505"/>
      <c r="BD55" s="370"/>
      <c r="BE55" s="370"/>
      <c r="BF55" s="370"/>
      <c r="BG55" s="370"/>
      <c r="BH55" s="370"/>
      <c r="BI55" s="370"/>
      <c r="BJ55" s="370"/>
      <c r="BK55" s="370"/>
      <c r="BL55" s="370"/>
      <c r="BM55" s="370"/>
      <c r="BN55" s="370"/>
      <c r="BO55" s="370"/>
      <c r="BP55" s="370"/>
      <c r="BQ55" s="370"/>
      <c r="BR55" s="370"/>
      <c r="BS55" s="370"/>
      <c r="BV55" s="508"/>
      <c r="BW55" s="369"/>
      <c r="BX55" s="370"/>
      <c r="BY55" s="370"/>
      <c r="BZ55" s="370"/>
      <c r="CA55" s="370"/>
      <c r="CB55" s="370"/>
      <c r="CC55" s="505"/>
      <c r="CD55" s="505"/>
      <c r="CE55" s="505"/>
      <c r="CF55" s="505"/>
      <c r="CG55" s="505"/>
      <c r="CH55" s="505"/>
      <c r="CI55" s="505"/>
    </row>
    <row r="56" customFormat="false" ht="12.75" hidden="false" customHeight="false" outlineLevel="0" collapsed="false">
      <c r="A56" s="500"/>
      <c r="B56" s="500"/>
      <c r="K56" s="363"/>
      <c r="L56" s="501"/>
      <c r="N56" s="502"/>
      <c r="O56" s="502"/>
      <c r="P56" s="371"/>
      <c r="Q56" s="501"/>
      <c r="R56" s="501"/>
      <c r="U56" s="501"/>
      <c r="V56" s="503"/>
      <c r="W56" s="503"/>
      <c r="X56" s="504"/>
      <c r="Y56" s="504"/>
      <c r="Z56" s="504"/>
      <c r="AA56" s="504"/>
      <c r="AB56" s="504"/>
      <c r="AC56" s="504"/>
      <c r="AF56" s="378"/>
      <c r="AG56" s="378"/>
      <c r="AH56" s="378"/>
      <c r="AI56" s="378"/>
      <c r="AJ56" s="378"/>
      <c r="AM56" s="505"/>
      <c r="AN56" s="505"/>
      <c r="AO56" s="505"/>
      <c r="AP56" s="505"/>
      <c r="AR56" s="370"/>
      <c r="AT56" s="370"/>
      <c r="AV56" s="506"/>
      <c r="AW56" s="370"/>
      <c r="AX56" s="370"/>
      <c r="AY56" s="370"/>
      <c r="AZ56" s="370"/>
      <c r="BA56" s="507"/>
      <c r="BB56" s="505"/>
      <c r="BC56" s="505"/>
      <c r="BD56" s="370"/>
      <c r="BE56" s="370"/>
      <c r="BF56" s="370"/>
      <c r="BG56" s="370"/>
      <c r="BH56" s="370"/>
      <c r="BI56" s="370"/>
      <c r="BJ56" s="370"/>
      <c r="BK56" s="370"/>
      <c r="BL56" s="370"/>
      <c r="BM56" s="370"/>
      <c r="BN56" s="370"/>
      <c r="BO56" s="370"/>
      <c r="BP56" s="370"/>
      <c r="BQ56" s="370"/>
      <c r="BR56" s="370"/>
      <c r="BS56" s="370"/>
      <c r="BV56" s="508"/>
      <c r="BW56" s="369"/>
      <c r="BX56" s="370"/>
      <c r="BY56" s="370"/>
      <c r="BZ56" s="370"/>
      <c r="CA56" s="370"/>
      <c r="CB56" s="370"/>
      <c r="CC56" s="505"/>
      <c r="CD56" s="505"/>
      <c r="CE56" s="505"/>
      <c r="CF56" s="505"/>
      <c r="CG56" s="505"/>
      <c r="CH56" s="505"/>
      <c r="CI56" s="505"/>
    </row>
    <row r="57" customFormat="false" ht="12.75" hidden="false" customHeight="false" outlineLevel="0" collapsed="false">
      <c r="A57" s="500"/>
      <c r="B57" s="500"/>
      <c r="K57" s="363"/>
      <c r="L57" s="501"/>
      <c r="N57" s="502"/>
      <c r="O57" s="502"/>
      <c r="P57" s="371"/>
      <c r="Q57" s="501"/>
      <c r="R57" s="501"/>
      <c r="U57" s="501"/>
      <c r="V57" s="503"/>
      <c r="W57" s="503"/>
      <c r="X57" s="504"/>
      <c r="Y57" s="504"/>
      <c r="Z57" s="504"/>
      <c r="AA57" s="504"/>
      <c r="AB57" s="504"/>
      <c r="AC57" s="504"/>
      <c r="AF57" s="378"/>
      <c r="AG57" s="378"/>
      <c r="AH57" s="378"/>
      <c r="AI57" s="378"/>
      <c r="AJ57" s="378"/>
      <c r="AM57" s="505"/>
      <c r="AN57" s="505"/>
      <c r="AO57" s="505"/>
      <c r="AP57" s="505"/>
      <c r="AR57" s="370"/>
      <c r="AT57" s="370"/>
      <c r="AV57" s="506"/>
      <c r="AW57" s="370"/>
      <c r="AX57" s="370"/>
      <c r="AY57" s="370"/>
      <c r="AZ57" s="370"/>
      <c r="BA57" s="507"/>
      <c r="BB57" s="505"/>
      <c r="BC57" s="505"/>
      <c r="BD57" s="370"/>
      <c r="BE57" s="370"/>
      <c r="BF57" s="370"/>
      <c r="BG57" s="370"/>
      <c r="BH57" s="370"/>
      <c r="BI57" s="370"/>
      <c r="BJ57" s="370"/>
      <c r="BK57" s="370"/>
      <c r="BL57" s="370"/>
      <c r="BM57" s="370"/>
      <c r="BN57" s="370"/>
      <c r="BO57" s="370"/>
      <c r="BP57" s="370"/>
      <c r="BQ57" s="370"/>
      <c r="BR57" s="370"/>
      <c r="BS57" s="370"/>
      <c r="BV57" s="508"/>
      <c r="BW57" s="369"/>
      <c r="BX57" s="370"/>
      <c r="BY57" s="370"/>
      <c r="BZ57" s="370"/>
      <c r="CA57" s="370"/>
      <c r="CB57" s="370"/>
      <c r="CC57" s="505"/>
      <c r="CD57" s="505"/>
      <c r="CE57" s="505"/>
      <c r="CF57" s="505"/>
      <c r="CG57" s="505"/>
      <c r="CH57" s="505"/>
      <c r="CI57" s="505"/>
    </row>
    <row r="58" customFormat="false" ht="12.75" hidden="false" customHeight="false" outlineLevel="0" collapsed="false">
      <c r="A58" s="500"/>
      <c r="B58" s="500"/>
      <c r="K58" s="363"/>
      <c r="L58" s="501"/>
      <c r="N58" s="502"/>
      <c r="O58" s="502"/>
      <c r="P58" s="371"/>
      <c r="Q58" s="501"/>
      <c r="R58" s="501"/>
      <c r="U58" s="501"/>
      <c r="V58" s="503"/>
      <c r="W58" s="503"/>
      <c r="X58" s="504"/>
      <c r="Y58" s="504"/>
      <c r="Z58" s="504"/>
      <c r="AA58" s="504"/>
      <c r="AB58" s="504"/>
      <c r="AC58" s="504"/>
      <c r="AF58" s="378"/>
      <c r="AG58" s="378"/>
      <c r="AH58" s="378"/>
      <c r="AI58" s="378"/>
      <c r="AJ58" s="378"/>
      <c r="AM58" s="505"/>
      <c r="AN58" s="505"/>
      <c r="AO58" s="505"/>
      <c r="AP58" s="505"/>
      <c r="AR58" s="370"/>
      <c r="AT58" s="370"/>
      <c r="AV58" s="506"/>
      <c r="AW58" s="370"/>
      <c r="AX58" s="370"/>
      <c r="AY58" s="370"/>
      <c r="AZ58" s="370"/>
      <c r="BA58" s="507"/>
      <c r="BB58" s="505"/>
      <c r="BC58" s="505"/>
      <c r="BD58" s="370"/>
      <c r="BE58" s="370"/>
      <c r="BF58" s="370"/>
      <c r="BG58" s="370"/>
      <c r="BH58" s="370"/>
      <c r="BI58" s="370"/>
      <c r="BJ58" s="370"/>
      <c r="BK58" s="370"/>
      <c r="BL58" s="370"/>
      <c r="BM58" s="370"/>
      <c r="BN58" s="370"/>
      <c r="BO58" s="370"/>
      <c r="BP58" s="370"/>
      <c r="BQ58" s="370"/>
      <c r="BR58" s="370"/>
      <c r="BS58" s="370"/>
      <c r="BV58" s="508"/>
      <c r="BW58" s="369"/>
      <c r="BX58" s="370"/>
      <c r="BY58" s="370"/>
      <c r="BZ58" s="370"/>
      <c r="CA58" s="370"/>
      <c r="CB58" s="370"/>
      <c r="CC58" s="505"/>
      <c r="CD58" s="505"/>
      <c r="CE58" s="505"/>
      <c r="CF58" s="505"/>
      <c r="CG58" s="505"/>
      <c r="CH58" s="505"/>
      <c r="CI58" s="505"/>
    </row>
    <row r="59" customFormat="false" ht="12.75" hidden="false" customHeight="false" outlineLevel="0" collapsed="false">
      <c r="A59" s="500"/>
      <c r="B59" s="500"/>
      <c r="K59" s="363"/>
      <c r="L59" s="501"/>
      <c r="N59" s="502"/>
      <c r="O59" s="502"/>
      <c r="P59" s="371"/>
      <c r="Q59" s="501"/>
      <c r="R59" s="501"/>
      <c r="U59" s="501"/>
      <c r="V59" s="503"/>
      <c r="W59" s="503"/>
      <c r="X59" s="504"/>
      <c r="Y59" s="504"/>
      <c r="Z59" s="504"/>
      <c r="AA59" s="504"/>
      <c r="AB59" s="504"/>
      <c r="AC59" s="504"/>
      <c r="AF59" s="378"/>
      <c r="AG59" s="378"/>
      <c r="AH59" s="378"/>
      <c r="AI59" s="378"/>
      <c r="AJ59" s="378"/>
      <c r="AM59" s="505"/>
      <c r="AN59" s="505"/>
      <c r="AO59" s="505"/>
      <c r="AP59" s="505"/>
      <c r="AR59" s="370"/>
      <c r="AT59" s="370"/>
      <c r="AV59" s="506"/>
      <c r="AW59" s="370"/>
      <c r="AX59" s="370"/>
      <c r="AY59" s="370"/>
      <c r="AZ59" s="370"/>
      <c r="BA59" s="507"/>
      <c r="BB59" s="505"/>
      <c r="BC59" s="505"/>
      <c r="BD59" s="370"/>
      <c r="BE59" s="370"/>
      <c r="BF59" s="370"/>
      <c r="BG59" s="370"/>
      <c r="BH59" s="370"/>
      <c r="BI59" s="370"/>
      <c r="BJ59" s="370"/>
      <c r="BK59" s="370"/>
      <c r="BL59" s="370"/>
      <c r="BM59" s="370"/>
      <c r="BN59" s="370"/>
      <c r="BO59" s="370"/>
      <c r="BP59" s="370"/>
      <c r="BQ59" s="370"/>
      <c r="BR59" s="370"/>
      <c r="BS59" s="370"/>
      <c r="BV59" s="508"/>
      <c r="BW59" s="369"/>
      <c r="BX59" s="370"/>
      <c r="BY59" s="370"/>
      <c r="BZ59" s="370"/>
      <c r="CA59" s="370"/>
      <c r="CB59" s="370"/>
      <c r="CC59" s="505"/>
      <c r="CD59" s="505"/>
      <c r="CE59" s="505"/>
      <c r="CF59" s="505"/>
      <c r="CG59" s="505"/>
      <c r="CH59" s="505"/>
      <c r="CI59" s="505"/>
    </row>
    <row r="60" customFormat="false" ht="12.75" hidden="false" customHeight="false" outlineLevel="0" collapsed="false">
      <c r="A60" s="500"/>
      <c r="B60" s="500"/>
      <c r="K60" s="363"/>
      <c r="L60" s="501"/>
      <c r="N60" s="502"/>
      <c r="O60" s="502"/>
      <c r="P60" s="371"/>
      <c r="Q60" s="501"/>
      <c r="R60" s="501"/>
      <c r="U60" s="501"/>
      <c r="V60" s="503"/>
      <c r="W60" s="503"/>
      <c r="X60" s="504"/>
      <c r="Y60" s="504"/>
      <c r="Z60" s="504"/>
      <c r="AA60" s="504"/>
      <c r="AB60" s="504"/>
      <c r="AC60" s="504"/>
      <c r="AF60" s="378"/>
      <c r="AG60" s="378"/>
      <c r="AH60" s="378"/>
      <c r="AI60" s="378"/>
      <c r="AJ60" s="378"/>
      <c r="AM60" s="505"/>
      <c r="AN60" s="505"/>
      <c r="AO60" s="505"/>
      <c r="AP60" s="505"/>
      <c r="AR60" s="370"/>
      <c r="AT60" s="370"/>
      <c r="AV60" s="506"/>
      <c r="AW60" s="370"/>
      <c r="AX60" s="370"/>
      <c r="AY60" s="370"/>
      <c r="AZ60" s="370"/>
      <c r="BA60" s="507"/>
      <c r="BB60" s="505"/>
      <c r="BC60" s="505"/>
      <c r="BD60" s="370"/>
      <c r="BE60" s="370"/>
      <c r="BF60" s="370"/>
      <c r="BG60" s="370"/>
      <c r="BH60" s="370"/>
      <c r="BI60" s="370"/>
      <c r="BJ60" s="370"/>
      <c r="BK60" s="370"/>
      <c r="BL60" s="370"/>
      <c r="BM60" s="370"/>
      <c r="BN60" s="370"/>
      <c r="BO60" s="370"/>
      <c r="BP60" s="370"/>
      <c r="BQ60" s="370"/>
      <c r="BR60" s="370"/>
      <c r="BS60" s="370"/>
      <c r="BV60" s="508"/>
      <c r="BW60" s="369"/>
      <c r="BX60" s="370"/>
      <c r="BY60" s="370"/>
      <c r="BZ60" s="370"/>
      <c r="CA60" s="370"/>
      <c r="CB60" s="370"/>
      <c r="CC60" s="505"/>
      <c r="CD60" s="505"/>
      <c r="CE60" s="505"/>
      <c r="CF60" s="505"/>
      <c r="CG60" s="505"/>
      <c r="CH60" s="505"/>
      <c r="CI60" s="505"/>
    </row>
    <row r="61" customFormat="false" ht="12.75" hidden="false" customHeight="false" outlineLevel="0" collapsed="false">
      <c r="A61" s="500"/>
      <c r="B61" s="500"/>
      <c r="K61" s="363"/>
      <c r="L61" s="501"/>
      <c r="N61" s="502"/>
      <c r="O61" s="502"/>
      <c r="P61" s="371"/>
      <c r="Q61" s="501"/>
      <c r="R61" s="501"/>
      <c r="U61" s="501"/>
      <c r="V61" s="503"/>
      <c r="W61" s="503"/>
      <c r="X61" s="504"/>
      <c r="Y61" s="504"/>
      <c r="Z61" s="504"/>
      <c r="AA61" s="504"/>
      <c r="AB61" s="504"/>
      <c r="AC61" s="504"/>
      <c r="AF61" s="378"/>
      <c r="AG61" s="378"/>
      <c r="AH61" s="378"/>
      <c r="AI61" s="378"/>
      <c r="AJ61" s="378"/>
      <c r="AM61" s="505"/>
      <c r="AN61" s="505"/>
      <c r="AO61" s="505"/>
      <c r="AP61" s="505"/>
      <c r="AR61" s="370"/>
      <c r="AT61" s="370"/>
      <c r="AV61" s="506"/>
      <c r="AW61" s="370"/>
      <c r="AX61" s="370"/>
      <c r="AY61" s="370"/>
      <c r="AZ61" s="370"/>
      <c r="BA61" s="507"/>
      <c r="BB61" s="505"/>
      <c r="BC61" s="505"/>
      <c r="BD61" s="370"/>
      <c r="BE61" s="370"/>
      <c r="BF61" s="370"/>
      <c r="BG61" s="370"/>
      <c r="BH61" s="370"/>
      <c r="BI61" s="370"/>
      <c r="BJ61" s="370"/>
      <c r="BK61" s="370"/>
      <c r="BL61" s="370"/>
      <c r="BM61" s="370"/>
      <c r="BN61" s="370"/>
      <c r="BO61" s="370"/>
      <c r="BP61" s="370"/>
      <c r="BQ61" s="370"/>
      <c r="BR61" s="370"/>
      <c r="BS61" s="370"/>
      <c r="BV61" s="508"/>
      <c r="BW61" s="369"/>
      <c r="BX61" s="370"/>
      <c r="BY61" s="370"/>
      <c r="BZ61" s="370"/>
      <c r="CA61" s="370"/>
      <c r="CB61" s="370"/>
      <c r="CC61" s="505"/>
      <c r="CD61" s="505"/>
      <c r="CE61" s="505"/>
      <c r="CF61" s="505"/>
      <c r="CG61" s="505"/>
      <c r="CH61" s="505"/>
      <c r="CI61" s="505"/>
    </row>
    <row r="62" customFormat="false" ht="12.75" hidden="false" customHeight="false" outlineLevel="0" collapsed="false">
      <c r="A62" s="500"/>
      <c r="B62" s="500"/>
      <c r="K62" s="363"/>
      <c r="L62" s="501"/>
      <c r="N62" s="502"/>
      <c r="O62" s="502"/>
      <c r="P62" s="371"/>
      <c r="Q62" s="501"/>
      <c r="R62" s="501"/>
      <c r="U62" s="501"/>
      <c r="V62" s="503"/>
      <c r="W62" s="503"/>
      <c r="X62" s="504"/>
      <c r="Y62" s="504"/>
      <c r="Z62" s="504"/>
      <c r="AA62" s="504"/>
      <c r="AB62" s="504"/>
      <c r="AC62" s="504"/>
      <c r="AF62" s="378"/>
      <c r="AG62" s="378"/>
      <c r="AH62" s="378"/>
      <c r="AI62" s="378"/>
      <c r="AJ62" s="378"/>
      <c r="AM62" s="505"/>
      <c r="AN62" s="505"/>
      <c r="AO62" s="505"/>
      <c r="AP62" s="505"/>
      <c r="AR62" s="370"/>
      <c r="AT62" s="370"/>
      <c r="AV62" s="506"/>
      <c r="AW62" s="370"/>
      <c r="AX62" s="370"/>
      <c r="AY62" s="370"/>
      <c r="AZ62" s="370"/>
      <c r="BA62" s="507"/>
      <c r="BB62" s="505"/>
      <c r="BC62" s="505"/>
      <c r="BD62" s="370"/>
      <c r="BE62" s="370"/>
      <c r="BF62" s="370"/>
      <c r="BG62" s="370"/>
      <c r="BH62" s="370"/>
      <c r="BI62" s="370"/>
      <c r="BJ62" s="370"/>
      <c r="BK62" s="370"/>
      <c r="BL62" s="370"/>
      <c r="BM62" s="370"/>
      <c r="BN62" s="370"/>
      <c r="BO62" s="370"/>
      <c r="BP62" s="370"/>
      <c r="BQ62" s="370"/>
      <c r="BR62" s="370"/>
      <c r="BS62" s="370"/>
      <c r="BV62" s="508"/>
      <c r="BW62" s="369"/>
      <c r="BX62" s="370"/>
      <c r="BY62" s="370"/>
      <c r="BZ62" s="370"/>
      <c r="CA62" s="370"/>
      <c r="CB62" s="370"/>
      <c r="CC62" s="505"/>
      <c r="CD62" s="505"/>
      <c r="CE62" s="505"/>
      <c r="CF62" s="505"/>
      <c r="CG62" s="505"/>
      <c r="CH62" s="505"/>
      <c r="CI62" s="505"/>
    </row>
    <row r="63" customFormat="false" ht="12.75" hidden="false" customHeight="false" outlineLevel="0" collapsed="false">
      <c r="A63" s="500"/>
      <c r="B63" s="500"/>
      <c r="K63" s="363"/>
      <c r="L63" s="501"/>
      <c r="N63" s="502"/>
      <c r="O63" s="502"/>
      <c r="P63" s="371"/>
      <c r="Q63" s="501"/>
      <c r="R63" s="501"/>
      <c r="U63" s="501"/>
      <c r="V63" s="503"/>
      <c r="W63" s="503"/>
      <c r="X63" s="504"/>
      <c r="Y63" s="504"/>
      <c r="Z63" s="504"/>
      <c r="AA63" s="504"/>
      <c r="AB63" s="504"/>
      <c r="AC63" s="504"/>
      <c r="AF63" s="378"/>
      <c r="AG63" s="378"/>
      <c r="AH63" s="378"/>
      <c r="AI63" s="378"/>
      <c r="AJ63" s="378"/>
      <c r="AM63" s="505"/>
      <c r="AN63" s="505"/>
      <c r="AO63" s="505"/>
      <c r="AP63" s="505"/>
      <c r="AR63" s="370"/>
      <c r="AT63" s="370"/>
      <c r="AV63" s="506"/>
      <c r="AW63" s="370"/>
      <c r="AX63" s="370"/>
      <c r="AY63" s="370"/>
      <c r="AZ63" s="370"/>
      <c r="BA63" s="507"/>
      <c r="BB63" s="505"/>
      <c r="BC63" s="505"/>
      <c r="BD63" s="370"/>
      <c r="BE63" s="370"/>
      <c r="BF63" s="370"/>
      <c r="BG63" s="370"/>
      <c r="BH63" s="370"/>
      <c r="BI63" s="370"/>
      <c r="BJ63" s="370"/>
      <c r="BK63" s="370"/>
      <c r="BL63" s="370"/>
      <c r="BM63" s="370"/>
      <c r="BN63" s="370"/>
      <c r="BO63" s="370"/>
      <c r="BP63" s="370"/>
      <c r="BQ63" s="370"/>
      <c r="BR63" s="370"/>
      <c r="BS63" s="370"/>
      <c r="BV63" s="508"/>
      <c r="BW63" s="369"/>
      <c r="BX63" s="370"/>
      <c r="BY63" s="370"/>
      <c r="BZ63" s="370"/>
      <c r="CA63" s="370"/>
      <c r="CB63" s="370"/>
      <c r="CC63" s="505"/>
      <c r="CD63" s="505"/>
      <c r="CE63" s="505"/>
      <c r="CF63" s="505"/>
      <c r="CG63" s="505"/>
      <c r="CH63" s="505"/>
      <c r="CI63" s="505"/>
    </row>
    <row r="64" customFormat="false" ht="12.75" hidden="false" customHeight="false" outlineLevel="0" collapsed="false">
      <c r="A64" s="500"/>
      <c r="B64" s="500"/>
      <c r="K64" s="363"/>
      <c r="L64" s="501"/>
      <c r="N64" s="502"/>
      <c r="O64" s="502"/>
      <c r="P64" s="371"/>
      <c r="Q64" s="501"/>
      <c r="R64" s="501"/>
      <c r="U64" s="501"/>
      <c r="V64" s="503"/>
      <c r="W64" s="503"/>
      <c r="X64" s="504"/>
      <c r="Y64" s="504"/>
      <c r="Z64" s="504"/>
      <c r="AA64" s="504"/>
      <c r="AB64" s="504"/>
      <c r="AC64" s="504"/>
      <c r="AF64" s="378"/>
      <c r="AG64" s="378"/>
      <c r="AH64" s="378"/>
      <c r="AI64" s="378"/>
      <c r="AJ64" s="378"/>
      <c r="AM64" s="505"/>
      <c r="AN64" s="505"/>
      <c r="AO64" s="505"/>
      <c r="AP64" s="505"/>
      <c r="AR64" s="370"/>
      <c r="AT64" s="370"/>
      <c r="AV64" s="506"/>
      <c r="AW64" s="370"/>
      <c r="AX64" s="370"/>
      <c r="AY64" s="370"/>
      <c r="AZ64" s="370"/>
      <c r="BA64" s="507"/>
      <c r="BB64" s="505"/>
      <c r="BC64" s="505"/>
      <c r="BD64" s="370"/>
      <c r="BE64" s="370"/>
      <c r="BF64" s="370"/>
      <c r="BG64" s="370"/>
      <c r="BH64" s="370"/>
      <c r="BI64" s="370"/>
      <c r="BJ64" s="370"/>
      <c r="BK64" s="370"/>
      <c r="BL64" s="370"/>
      <c r="BM64" s="370"/>
      <c r="BN64" s="370"/>
      <c r="BO64" s="370"/>
      <c r="BP64" s="370"/>
      <c r="BQ64" s="370"/>
      <c r="BR64" s="370"/>
      <c r="BS64" s="370"/>
      <c r="BV64" s="508"/>
      <c r="BW64" s="369"/>
      <c r="BX64" s="370"/>
      <c r="BY64" s="370"/>
      <c r="BZ64" s="370"/>
      <c r="CA64" s="370"/>
      <c r="CB64" s="370"/>
      <c r="CC64" s="505"/>
      <c r="CD64" s="505"/>
      <c r="CE64" s="505"/>
      <c r="CF64" s="505"/>
      <c r="CG64" s="505"/>
      <c r="CH64" s="505"/>
      <c r="CI64" s="505"/>
    </row>
    <row r="65" customFormat="false" ht="12.75" hidden="false" customHeight="false" outlineLevel="0" collapsed="false">
      <c r="A65" s="500"/>
      <c r="B65" s="500"/>
      <c r="K65" s="363"/>
      <c r="L65" s="501"/>
      <c r="N65" s="502"/>
      <c r="O65" s="502"/>
      <c r="P65" s="371"/>
      <c r="Q65" s="501"/>
      <c r="R65" s="501"/>
      <c r="U65" s="501"/>
      <c r="V65" s="503"/>
      <c r="W65" s="503"/>
      <c r="X65" s="504"/>
      <c r="Y65" s="504"/>
      <c r="Z65" s="504"/>
      <c r="AA65" s="504"/>
      <c r="AB65" s="504"/>
      <c r="AC65" s="504"/>
      <c r="AF65" s="378"/>
      <c r="AG65" s="378"/>
      <c r="AH65" s="378"/>
      <c r="AI65" s="378"/>
      <c r="AJ65" s="378"/>
      <c r="AM65" s="505"/>
      <c r="AN65" s="505"/>
      <c r="AO65" s="505"/>
      <c r="AP65" s="505"/>
      <c r="AR65" s="370"/>
      <c r="AT65" s="370"/>
      <c r="AV65" s="506"/>
      <c r="AW65" s="370"/>
      <c r="AX65" s="370"/>
      <c r="AY65" s="370"/>
      <c r="AZ65" s="370"/>
      <c r="BA65" s="507"/>
      <c r="BB65" s="505"/>
      <c r="BC65" s="505"/>
      <c r="BD65" s="370"/>
      <c r="BE65" s="370"/>
      <c r="BF65" s="370"/>
      <c r="BG65" s="370"/>
      <c r="BH65" s="370"/>
      <c r="BI65" s="370"/>
      <c r="BJ65" s="370"/>
      <c r="BK65" s="370"/>
      <c r="BL65" s="370"/>
      <c r="BM65" s="370"/>
      <c r="BN65" s="370"/>
      <c r="BO65" s="370"/>
      <c r="BP65" s="370"/>
      <c r="BQ65" s="370"/>
      <c r="BR65" s="370"/>
      <c r="BS65" s="370"/>
      <c r="BV65" s="508"/>
      <c r="BW65" s="369"/>
      <c r="BX65" s="370"/>
      <c r="BY65" s="370"/>
      <c r="BZ65" s="370"/>
      <c r="CA65" s="370"/>
      <c r="CB65" s="370"/>
      <c r="CC65" s="505"/>
      <c r="CD65" s="505"/>
      <c r="CE65" s="505"/>
      <c r="CF65" s="505"/>
      <c r="CG65" s="505"/>
      <c r="CH65" s="505"/>
      <c r="CI65" s="505"/>
    </row>
    <row r="66" customFormat="false" ht="12.75" hidden="false" customHeight="false" outlineLevel="0" collapsed="false">
      <c r="A66" s="500"/>
      <c r="B66" s="500"/>
      <c r="K66" s="363"/>
      <c r="L66" s="501"/>
      <c r="N66" s="502"/>
      <c r="O66" s="502"/>
      <c r="P66" s="371"/>
      <c r="Q66" s="501"/>
      <c r="R66" s="501"/>
      <c r="U66" s="501"/>
      <c r="V66" s="503"/>
      <c r="W66" s="503"/>
      <c r="X66" s="504"/>
      <c r="Y66" s="504"/>
      <c r="Z66" s="504"/>
      <c r="AA66" s="504"/>
      <c r="AB66" s="504"/>
      <c r="AC66" s="504"/>
      <c r="AF66" s="378"/>
      <c r="AG66" s="378"/>
      <c r="AH66" s="378"/>
      <c r="AI66" s="378"/>
      <c r="AJ66" s="378"/>
      <c r="AM66" s="505"/>
      <c r="AN66" s="505"/>
      <c r="AO66" s="505"/>
      <c r="AP66" s="505"/>
      <c r="AR66" s="370"/>
      <c r="AT66" s="370"/>
      <c r="AV66" s="506"/>
      <c r="AW66" s="370"/>
      <c r="AX66" s="370"/>
      <c r="AY66" s="370"/>
      <c r="AZ66" s="370"/>
      <c r="BA66" s="507"/>
      <c r="BB66" s="505"/>
      <c r="BC66" s="505"/>
      <c r="BD66" s="370"/>
      <c r="BE66" s="370"/>
      <c r="BF66" s="370"/>
      <c r="BG66" s="370"/>
      <c r="BH66" s="370"/>
      <c r="BI66" s="370"/>
      <c r="BJ66" s="370"/>
      <c r="BK66" s="370"/>
      <c r="BL66" s="370"/>
      <c r="BM66" s="370"/>
      <c r="BN66" s="370"/>
      <c r="BO66" s="370"/>
      <c r="BP66" s="370"/>
      <c r="BQ66" s="370"/>
      <c r="BR66" s="370"/>
      <c r="BS66" s="370"/>
      <c r="BV66" s="508"/>
      <c r="BW66" s="369"/>
      <c r="BX66" s="370"/>
      <c r="BY66" s="370"/>
      <c r="BZ66" s="370"/>
      <c r="CA66" s="370"/>
      <c r="CB66" s="370"/>
      <c r="CC66" s="505"/>
      <c r="CD66" s="505"/>
      <c r="CE66" s="505"/>
      <c r="CF66" s="505"/>
      <c r="CG66" s="505"/>
      <c r="CH66" s="505"/>
      <c r="CI66" s="505"/>
    </row>
    <row r="67" customFormat="false" ht="12.75" hidden="false" customHeight="false" outlineLevel="0" collapsed="false">
      <c r="A67" s="500"/>
      <c r="B67" s="500"/>
      <c r="K67" s="363"/>
      <c r="L67" s="501"/>
      <c r="N67" s="502"/>
      <c r="O67" s="502"/>
      <c r="P67" s="371"/>
      <c r="Q67" s="501"/>
      <c r="R67" s="501"/>
      <c r="U67" s="501"/>
      <c r="V67" s="503"/>
      <c r="W67" s="503"/>
      <c r="X67" s="504"/>
      <c r="Y67" s="504"/>
      <c r="Z67" s="504"/>
      <c r="AA67" s="504"/>
      <c r="AB67" s="504"/>
      <c r="AC67" s="504"/>
      <c r="AF67" s="378"/>
      <c r="AG67" s="378"/>
      <c r="AH67" s="378"/>
      <c r="AI67" s="378"/>
      <c r="AJ67" s="378"/>
      <c r="AM67" s="505"/>
      <c r="AN67" s="505"/>
      <c r="AO67" s="505"/>
      <c r="AP67" s="505"/>
      <c r="AR67" s="370"/>
      <c r="AT67" s="370"/>
      <c r="AV67" s="506"/>
      <c r="AW67" s="370"/>
      <c r="AX67" s="370"/>
      <c r="AY67" s="370"/>
      <c r="AZ67" s="370"/>
      <c r="BA67" s="507"/>
      <c r="BB67" s="505"/>
      <c r="BC67" s="505"/>
      <c r="BD67" s="370"/>
      <c r="BE67" s="370"/>
      <c r="BF67" s="370"/>
      <c r="BG67" s="370"/>
      <c r="BH67" s="370"/>
      <c r="BI67" s="370"/>
      <c r="BJ67" s="370"/>
      <c r="BK67" s="370"/>
      <c r="BL67" s="370"/>
      <c r="BM67" s="370"/>
      <c r="BN67" s="370"/>
      <c r="BO67" s="370"/>
      <c r="BP67" s="370"/>
      <c r="BQ67" s="370"/>
      <c r="BR67" s="370"/>
      <c r="BS67" s="370"/>
      <c r="BV67" s="508"/>
      <c r="BW67" s="369"/>
      <c r="BX67" s="370"/>
      <c r="BY67" s="370"/>
      <c r="BZ67" s="370"/>
      <c r="CA67" s="370"/>
      <c r="CB67" s="370"/>
      <c r="CC67" s="505"/>
      <c r="CD67" s="505"/>
      <c r="CE67" s="505"/>
      <c r="CF67" s="505"/>
      <c r="CG67" s="505"/>
      <c r="CH67" s="505"/>
      <c r="CI67" s="505"/>
    </row>
    <row r="68" customFormat="false" ht="12.75" hidden="false" customHeight="false" outlineLevel="0" collapsed="false">
      <c r="A68" s="500"/>
      <c r="B68" s="500"/>
      <c r="K68" s="363"/>
      <c r="L68" s="501"/>
      <c r="N68" s="502"/>
      <c r="O68" s="502"/>
      <c r="P68" s="371"/>
      <c r="Q68" s="501"/>
      <c r="R68" s="501"/>
      <c r="U68" s="501"/>
      <c r="V68" s="503"/>
      <c r="W68" s="503"/>
      <c r="X68" s="504"/>
      <c r="Y68" s="504"/>
      <c r="Z68" s="504"/>
      <c r="AA68" s="504"/>
      <c r="AB68" s="504"/>
      <c r="AC68" s="504"/>
      <c r="AF68" s="378"/>
      <c r="AG68" s="378"/>
      <c r="AH68" s="378"/>
      <c r="AI68" s="378"/>
      <c r="AJ68" s="378"/>
      <c r="AM68" s="505"/>
      <c r="AN68" s="505"/>
      <c r="AO68" s="505"/>
      <c r="AP68" s="505"/>
      <c r="AR68" s="370"/>
      <c r="AT68" s="370"/>
      <c r="AV68" s="506"/>
      <c r="AW68" s="370"/>
      <c r="AX68" s="370"/>
      <c r="AY68" s="370"/>
      <c r="AZ68" s="370"/>
      <c r="BA68" s="507"/>
      <c r="BB68" s="505"/>
      <c r="BC68" s="505"/>
      <c r="BD68" s="370"/>
      <c r="BE68" s="370"/>
      <c r="BF68" s="370"/>
      <c r="BG68" s="370"/>
      <c r="BH68" s="370"/>
      <c r="BI68" s="370"/>
      <c r="BJ68" s="370"/>
      <c r="BK68" s="370"/>
      <c r="BL68" s="370"/>
      <c r="BM68" s="370"/>
      <c r="BN68" s="370"/>
      <c r="BO68" s="370"/>
      <c r="BP68" s="370"/>
      <c r="BQ68" s="370"/>
      <c r="BR68" s="370"/>
      <c r="BS68" s="370"/>
      <c r="BV68" s="508"/>
      <c r="BW68" s="369"/>
      <c r="BX68" s="370"/>
      <c r="BY68" s="370"/>
      <c r="BZ68" s="370"/>
      <c r="CA68" s="370"/>
      <c r="CB68" s="370"/>
      <c r="CC68" s="505"/>
      <c r="CD68" s="505"/>
      <c r="CE68" s="505"/>
      <c r="CF68" s="505"/>
      <c r="CG68" s="505"/>
      <c r="CH68" s="505"/>
      <c r="CI68" s="505"/>
    </row>
    <row r="69" customFormat="false" ht="12.75" hidden="false" customHeight="false" outlineLevel="0" collapsed="false">
      <c r="A69" s="500"/>
      <c r="B69" s="500"/>
      <c r="K69" s="363"/>
      <c r="L69" s="501"/>
      <c r="N69" s="502"/>
      <c r="O69" s="502"/>
      <c r="P69" s="371"/>
      <c r="Q69" s="501"/>
      <c r="R69" s="501"/>
      <c r="U69" s="501"/>
      <c r="V69" s="503"/>
      <c r="W69" s="503"/>
      <c r="X69" s="504"/>
      <c r="Y69" s="504"/>
      <c r="Z69" s="504"/>
      <c r="AA69" s="504"/>
      <c r="AB69" s="504"/>
      <c r="AC69" s="504"/>
      <c r="AF69" s="378"/>
      <c r="AG69" s="378"/>
      <c r="AH69" s="378"/>
      <c r="AI69" s="378"/>
      <c r="AJ69" s="378"/>
      <c r="AM69" s="505"/>
      <c r="AN69" s="505"/>
      <c r="AO69" s="505"/>
      <c r="AP69" s="505"/>
      <c r="AR69" s="370"/>
      <c r="AT69" s="370"/>
      <c r="AV69" s="506"/>
      <c r="AW69" s="370"/>
      <c r="AX69" s="370"/>
      <c r="AY69" s="370"/>
      <c r="AZ69" s="370"/>
      <c r="BA69" s="507"/>
      <c r="BB69" s="505"/>
      <c r="BC69" s="505"/>
      <c r="BD69" s="370"/>
      <c r="BE69" s="370"/>
      <c r="BF69" s="370"/>
      <c r="BG69" s="370"/>
      <c r="BH69" s="370"/>
      <c r="BI69" s="370"/>
      <c r="BJ69" s="370"/>
      <c r="BK69" s="370"/>
      <c r="BL69" s="370"/>
      <c r="BM69" s="370"/>
      <c r="BN69" s="370"/>
      <c r="BO69" s="370"/>
      <c r="BP69" s="370"/>
      <c r="BQ69" s="370"/>
      <c r="BR69" s="370"/>
      <c r="BS69" s="370"/>
      <c r="BV69" s="508"/>
      <c r="BW69" s="369"/>
      <c r="BX69" s="370"/>
      <c r="BY69" s="370"/>
      <c r="BZ69" s="370"/>
      <c r="CA69" s="370"/>
      <c r="CB69" s="370"/>
      <c r="CC69" s="505"/>
      <c r="CD69" s="505"/>
      <c r="CE69" s="505"/>
      <c r="CF69" s="505"/>
      <c r="CG69" s="505"/>
      <c r="CH69" s="505"/>
      <c r="CI69" s="505"/>
    </row>
    <row r="70" customFormat="false" ht="12.75" hidden="false" customHeight="false" outlineLevel="0" collapsed="false">
      <c r="A70" s="500"/>
      <c r="B70" s="500"/>
      <c r="K70" s="363"/>
      <c r="L70" s="501"/>
      <c r="N70" s="502"/>
      <c r="O70" s="502"/>
      <c r="P70" s="371"/>
      <c r="Q70" s="501"/>
      <c r="R70" s="501"/>
      <c r="U70" s="501"/>
      <c r="V70" s="503"/>
      <c r="W70" s="503"/>
      <c r="X70" s="504"/>
      <c r="Y70" s="504"/>
      <c r="Z70" s="504"/>
      <c r="AA70" s="504"/>
      <c r="AB70" s="504"/>
      <c r="AC70" s="504"/>
      <c r="AF70" s="378"/>
      <c r="AG70" s="378"/>
      <c r="AH70" s="378"/>
      <c r="AI70" s="378"/>
      <c r="AJ70" s="378"/>
      <c r="AM70" s="505"/>
      <c r="AN70" s="505"/>
      <c r="AO70" s="505"/>
      <c r="AP70" s="505"/>
      <c r="AR70" s="370"/>
      <c r="AT70" s="370"/>
      <c r="AV70" s="506"/>
      <c r="AW70" s="370"/>
      <c r="AX70" s="370"/>
      <c r="AY70" s="370"/>
      <c r="AZ70" s="370"/>
      <c r="BA70" s="507"/>
      <c r="BB70" s="505"/>
      <c r="BC70" s="505"/>
      <c r="BD70" s="370"/>
      <c r="BE70" s="370"/>
      <c r="BF70" s="370"/>
      <c r="BG70" s="370"/>
      <c r="BH70" s="370"/>
      <c r="BI70" s="370"/>
      <c r="BJ70" s="370"/>
      <c r="BK70" s="370"/>
      <c r="BL70" s="370"/>
      <c r="BM70" s="370"/>
      <c r="BN70" s="370"/>
      <c r="BO70" s="370"/>
      <c r="BP70" s="370"/>
      <c r="BQ70" s="370"/>
      <c r="BR70" s="370"/>
      <c r="BS70" s="370"/>
      <c r="BV70" s="508"/>
      <c r="BW70" s="369"/>
      <c r="BX70" s="370"/>
      <c r="BY70" s="370"/>
      <c r="BZ70" s="370"/>
      <c r="CA70" s="370"/>
      <c r="CB70" s="370"/>
      <c r="CC70" s="505"/>
      <c r="CD70" s="505"/>
      <c r="CE70" s="505"/>
      <c r="CF70" s="505"/>
      <c r="CG70" s="505"/>
      <c r="CH70" s="505"/>
      <c r="CI70" s="505"/>
    </row>
    <row r="71" customFormat="false" ht="12.75" hidden="false" customHeight="false" outlineLevel="0" collapsed="false">
      <c r="A71" s="500"/>
      <c r="B71" s="500"/>
      <c r="K71" s="363"/>
      <c r="L71" s="501"/>
      <c r="N71" s="502"/>
      <c r="O71" s="502"/>
      <c r="P71" s="371"/>
      <c r="Q71" s="501"/>
      <c r="R71" s="501"/>
      <c r="U71" s="501"/>
      <c r="V71" s="503"/>
      <c r="W71" s="503"/>
      <c r="X71" s="504"/>
      <c r="Y71" s="504"/>
      <c r="Z71" s="504"/>
      <c r="AA71" s="504"/>
      <c r="AB71" s="504"/>
      <c r="AC71" s="504"/>
      <c r="AF71" s="378"/>
      <c r="AG71" s="378"/>
      <c r="AH71" s="378"/>
      <c r="AI71" s="378"/>
      <c r="AJ71" s="378"/>
      <c r="AM71" s="505"/>
      <c r="AN71" s="505"/>
      <c r="AO71" s="505"/>
      <c r="AP71" s="505"/>
      <c r="AR71" s="370"/>
      <c r="AT71" s="370"/>
      <c r="AV71" s="506"/>
      <c r="AW71" s="370"/>
      <c r="AX71" s="370"/>
      <c r="AY71" s="370"/>
      <c r="AZ71" s="370"/>
      <c r="BA71" s="507"/>
      <c r="BB71" s="505"/>
      <c r="BC71" s="505"/>
      <c r="BD71" s="370"/>
      <c r="BE71" s="370"/>
      <c r="BF71" s="370"/>
      <c r="BG71" s="370"/>
      <c r="BH71" s="370"/>
      <c r="BI71" s="370"/>
      <c r="BJ71" s="370"/>
      <c r="BK71" s="370"/>
      <c r="BL71" s="370"/>
      <c r="BM71" s="370"/>
      <c r="BN71" s="370"/>
      <c r="BO71" s="370"/>
      <c r="BP71" s="370"/>
      <c r="BQ71" s="370"/>
      <c r="BR71" s="370"/>
      <c r="BS71" s="370"/>
      <c r="BV71" s="508"/>
      <c r="BW71" s="369"/>
      <c r="BX71" s="370"/>
      <c r="BY71" s="370"/>
      <c r="BZ71" s="370"/>
      <c r="CA71" s="370"/>
      <c r="CB71" s="370"/>
      <c r="CC71" s="505"/>
      <c r="CD71" s="505"/>
      <c r="CE71" s="505"/>
      <c r="CF71" s="505"/>
      <c r="CG71" s="505"/>
      <c r="CH71" s="505"/>
      <c r="CI71" s="505"/>
    </row>
    <row r="72" customFormat="false" ht="12.75" hidden="false" customHeight="false" outlineLevel="0" collapsed="false">
      <c r="A72" s="500"/>
      <c r="B72" s="500"/>
      <c r="K72" s="363"/>
      <c r="L72" s="501"/>
      <c r="N72" s="502"/>
      <c r="O72" s="502"/>
      <c r="P72" s="371"/>
      <c r="Q72" s="501"/>
      <c r="R72" s="501"/>
      <c r="U72" s="501"/>
      <c r="V72" s="503"/>
      <c r="W72" s="503"/>
      <c r="X72" s="504"/>
      <c r="Y72" s="504"/>
      <c r="Z72" s="504"/>
      <c r="AA72" s="504"/>
      <c r="AB72" s="504"/>
      <c r="AC72" s="504"/>
      <c r="AF72" s="378"/>
      <c r="AG72" s="378"/>
      <c r="AH72" s="378"/>
      <c r="AI72" s="378"/>
      <c r="AJ72" s="378"/>
      <c r="AM72" s="505"/>
      <c r="AN72" s="505"/>
      <c r="AO72" s="505"/>
      <c r="AP72" s="505"/>
      <c r="AR72" s="370"/>
      <c r="AT72" s="370"/>
      <c r="AV72" s="506"/>
      <c r="AW72" s="370"/>
      <c r="AX72" s="370"/>
      <c r="AY72" s="370"/>
      <c r="AZ72" s="370"/>
      <c r="BA72" s="507"/>
      <c r="BB72" s="505"/>
      <c r="BC72" s="505"/>
      <c r="BD72" s="370"/>
      <c r="BE72" s="370"/>
      <c r="BF72" s="370"/>
      <c r="BG72" s="370"/>
      <c r="BH72" s="370"/>
      <c r="BI72" s="370"/>
      <c r="BJ72" s="370"/>
      <c r="BK72" s="370"/>
      <c r="BL72" s="370"/>
      <c r="BM72" s="370"/>
      <c r="BN72" s="370"/>
      <c r="BO72" s="370"/>
      <c r="BP72" s="370"/>
      <c r="BQ72" s="370"/>
      <c r="BR72" s="370"/>
      <c r="BS72" s="370"/>
      <c r="BV72" s="508"/>
      <c r="BW72" s="369"/>
      <c r="BX72" s="370"/>
      <c r="BY72" s="370"/>
      <c r="BZ72" s="370"/>
      <c r="CA72" s="370"/>
      <c r="CB72" s="370"/>
      <c r="CC72" s="505"/>
      <c r="CD72" s="505"/>
      <c r="CE72" s="505"/>
      <c r="CF72" s="505"/>
      <c r="CG72" s="505"/>
      <c r="CH72" s="505"/>
      <c r="CI72" s="505"/>
    </row>
    <row r="73" customFormat="false" ht="12.75" hidden="false" customHeight="false" outlineLevel="0" collapsed="false">
      <c r="A73" s="500"/>
      <c r="B73" s="500"/>
      <c r="K73" s="363"/>
      <c r="L73" s="501"/>
      <c r="N73" s="502"/>
      <c r="O73" s="502"/>
      <c r="P73" s="371"/>
      <c r="Q73" s="501"/>
      <c r="R73" s="501"/>
      <c r="U73" s="501"/>
      <c r="V73" s="503"/>
      <c r="W73" s="503"/>
      <c r="X73" s="504"/>
      <c r="Y73" s="504"/>
      <c r="Z73" s="504"/>
      <c r="AA73" s="504"/>
      <c r="AB73" s="504"/>
      <c r="AC73" s="504"/>
      <c r="AF73" s="378"/>
      <c r="AG73" s="378"/>
      <c r="AH73" s="378"/>
      <c r="AI73" s="378"/>
      <c r="AJ73" s="378"/>
      <c r="AM73" s="505"/>
      <c r="AN73" s="505"/>
      <c r="AO73" s="505"/>
      <c r="AP73" s="505"/>
      <c r="AR73" s="370"/>
      <c r="AT73" s="370"/>
      <c r="AV73" s="506"/>
      <c r="AW73" s="370"/>
      <c r="AX73" s="370"/>
      <c r="AY73" s="370"/>
      <c r="AZ73" s="370"/>
      <c r="BA73" s="507"/>
      <c r="BB73" s="505"/>
      <c r="BC73" s="505"/>
      <c r="BD73" s="370"/>
      <c r="BE73" s="370"/>
      <c r="BF73" s="370"/>
      <c r="BG73" s="370"/>
      <c r="BH73" s="370"/>
      <c r="BI73" s="370"/>
      <c r="BJ73" s="370"/>
      <c r="BK73" s="370"/>
      <c r="BL73" s="370"/>
      <c r="BM73" s="370"/>
      <c r="BN73" s="370"/>
      <c r="BO73" s="370"/>
      <c r="BP73" s="370"/>
      <c r="BQ73" s="370"/>
      <c r="BR73" s="370"/>
      <c r="BS73" s="370"/>
      <c r="BV73" s="508"/>
      <c r="BW73" s="369"/>
      <c r="BX73" s="370"/>
      <c r="BY73" s="370"/>
      <c r="BZ73" s="370"/>
      <c r="CA73" s="370"/>
      <c r="CB73" s="370"/>
      <c r="CC73" s="505"/>
      <c r="CD73" s="505"/>
      <c r="CE73" s="505"/>
      <c r="CF73" s="505"/>
      <c r="CG73" s="505"/>
      <c r="CH73" s="505"/>
      <c r="CI73" s="505"/>
    </row>
    <row r="74" customFormat="false" ht="12.75" hidden="false" customHeight="false" outlineLevel="0" collapsed="false">
      <c r="A74" s="500"/>
      <c r="B74" s="500"/>
      <c r="K74" s="363"/>
      <c r="L74" s="501"/>
      <c r="N74" s="502"/>
      <c r="O74" s="502"/>
      <c r="P74" s="371"/>
      <c r="Q74" s="501"/>
      <c r="R74" s="501"/>
      <c r="U74" s="501"/>
      <c r="V74" s="503"/>
      <c r="W74" s="503"/>
      <c r="X74" s="504"/>
      <c r="Y74" s="504"/>
      <c r="Z74" s="504"/>
      <c r="AA74" s="504"/>
      <c r="AB74" s="504"/>
      <c r="AC74" s="504"/>
      <c r="AF74" s="378"/>
      <c r="AG74" s="378"/>
      <c r="AH74" s="378"/>
      <c r="AI74" s="378"/>
      <c r="AJ74" s="378"/>
      <c r="AM74" s="505"/>
      <c r="AN74" s="505"/>
      <c r="AO74" s="505"/>
      <c r="AP74" s="505"/>
      <c r="AR74" s="370"/>
      <c r="AT74" s="370"/>
      <c r="AV74" s="506"/>
      <c r="AW74" s="370"/>
      <c r="AX74" s="370"/>
      <c r="AY74" s="370"/>
      <c r="AZ74" s="370"/>
      <c r="BA74" s="507"/>
      <c r="BB74" s="505"/>
      <c r="BC74" s="505"/>
      <c r="BD74" s="370"/>
      <c r="BE74" s="370"/>
      <c r="BF74" s="370"/>
      <c r="BG74" s="370"/>
      <c r="BH74" s="370"/>
      <c r="BI74" s="370"/>
      <c r="BJ74" s="370"/>
      <c r="BK74" s="370"/>
      <c r="BL74" s="370"/>
      <c r="BM74" s="370"/>
      <c r="BN74" s="370"/>
      <c r="BO74" s="370"/>
      <c r="BP74" s="370"/>
      <c r="BQ74" s="370"/>
      <c r="BR74" s="370"/>
      <c r="BS74" s="370"/>
      <c r="BV74" s="508"/>
      <c r="BW74" s="369"/>
      <c r="BX74" s="370"/>
      <c r="BY74" s="370"/>
      <c r="BZ74" s="370"/>
      <c r="CA74" s="370"/>
      <c r="CB74" s="370"/>
      <c r="CC74" s="505"/>
      <c r="CD74" s="505"/>
      <c r="CE74" s="505"/>
      <c r="CF74" s="505"/>
      <c r="CG74" s="505"/>
      <c r="CH74" s="505"/>
      <c r="CI74" s="505"/>
    </row>
    <row r="75" customFormat="false" ht="12.75" hidden="false" customHeight="false" outlineLevel="0" collapsed="false">
      <c r="A75" s="500"/>
      <c r="B75" s="500"/>
      <c r="K75" s="363"/>
      <c r="L75" s="501"/>
      <c r="N75" s="502"/>
      <c r="O75" s="502"/>
      <c r="P75" s="371"/>
      <c r="Q75" s="501"/>
      <c r="R75" s="501"/>
      <c r="U75" s="501"/>
      <c r="V75" s="503"/>
      <c r="W75" s="503"/>
      <c r="X75" s="504"/>
      <c r="Y75" s="504"/>
      <c r="Z75" s="504"/>
      <c r="AA75" s="504"/>
      <c r="AB75" s="504"/>
      <c r="AC75" s="504"/>
      <c r="AF75" s="378"/>
      <c r="AG75" s="378"/>
      <c r="AH75" s="378"/>
      <c r="AI75" s="378"/>
      <c r="AJ75" s="378"/>
      <c r="AM75" s="505"/>
      <c r="AN75" s="505"/>
      <c r="AO75" s="505"/>
      <c r="AP75" s="505"/>
      <c r="AR75" s="370"/>
      <c r="AT75" s="370"/>
      <c r="AV75" s="506"/>
      <c r="AW75" s="370"/>
      <c r="AX75" s="370"/>
      <c r="AY75" s="370"/>
      <c r="AZ75" s="370"/>
      <c r="BA75" s="507"/>
      <c r="BB75" s="505"/>
      <c r="BC75" s="505"/>
      <c r="BD75" s="370"/>
      <c r="BE75" s="370"/>
      <c r="BF75" s="370"/>
      <c r="BG75" s="370"/>
      <c r="BH75" s="370"/>
      <c r="BI75" s="370"/>
      <c r="BJ75" s="370"/>
      <c r="BK75" s="370"/>
      <c r="BL75" s="370"/>
      <c r="BM75" s="370"/>
      <c r="BN75" s="370"/>
      <c r="BO75" s="370"/>
      <c r="BP75" s="370"/>
      <c r="BQ75" s="370"/>
      <c r="BR75" s="370"/>
      <c r="BS75" s="370"/>
      <c r="BV75" s="508"/>
      <c r="BW75" s="369"/>
      <c r="BX75" s="370"/>
      <c r="BY75" s="370"/>
      <c r="BZ75" s="370"/>
      <c r="CA75" s="370"/>
      <c r="CB75" s="370"/>
      <c r="CC75" s="505"/>
      <c r="CD75" s="505"/>
      <c r="CE75" s="505"/>
      <c r="CF75" s="505"/>
      <c r="CG75" s="505"/>
      <c r="CH75" s="505"/>
      <c r="CI75" s="505"/>
    </row>
    <row r="76" customFormat="false" ht="12.75" hidden="false" customHeight="false" outlineLevel="0" collapsed="false">
      <c r="A76" s="500"/>
      <c r="B76" s="500"/>
      <c r="K76" s="363"/>
      <c r="L76" s="501"/>
      <c r="N76" s="502"/>
      <c r="O76" s="502"/>
      <c r="P76" s="371"/>
      <c r="Q76" s="501"/>
      <c r="R76" s="501"/>
      <c r="U76" s="501"/>
      <c r="V76" s="503"/>
      <c r="W76" s="503"/>
      <c r="X76" s="504"/>
      <c r="Y76" s="504"/>
      <c r="Z76" s="504"/>
      <c r="AA76" s="504"/>
      <c r="AB76" s="504"/>
      <c r="AC76" s="504"/>
      <c r="AF76" s="378"/>
      <c r="AG76" s="378"/>
      <c r="AH76" s="378"/>
      <c r="AI76" s="378"/>
      <c r="AJ76" s="378"/>
      <c r="AM76" s="505"/>
      <c r="AN76" s="505"/>
      <c r="AO76" s="505"/>
      <c r="AP76" s="505"/>
      <c r="AR76" s="370"/>
      <c r="AT76" s="370"/>
      <c r="AV76" s="506"/>
      <c r="AW76" s="370"/>
      <c r="AX76" s="370"/>
      <c r="AY76" s="370"/>
      <c r="AZ76" s="370"/>
      <c r="BA76" s="507"/>
      <c r="BB76" s="505"/>
      <c r="BC76" s="505"/>
      <c r="BD76" s="370"/>
      <c r="BE76" s="370"/>
      <c r="BF76" s="370"/>
      <c r="BG76" s="370"/>
      <c r="BH76" s="370"/>
      <c r="BI76" s="370"/>
      <c r="BJ76" s="370"/>
      <c r="BK76" s="370"/>
      <c r="BL76" s="370"/>
      <c r="BM76" s="370"/>
      <c r="BN76" s="370"/>
      <c r="BO76" s="370"/>
      <c r="BP76" s="370"/>
      <c r="BQ76" s="370"/>
      <c r="BR76" s="370"/>
      <c r="BS76" s="370"/>
      <c r="BV76" s="508"/>
      <c r="BW76" s="369"/>
      <c r="BX76" s="370"/>
      <c r="BY76" s="370"/>
      <c r="BZ76" s="370"/>
      <c r="CA76" s="370"/>
      <c r="CB76" s="370"/>
      <c r="CC76" s="505"/>
      <c r="CD76" s="505"/>
      <c r="CE76" s="505"/>
      <c r="CF76" s="505"/>
      <c r="CG76" s="505"/>
      <c r="CH76" s="505"/>
      <c r="CI76" s="505"/>
    </row>
    <row r="77" customFormat="false" ht="12.75" hidden="false" customHeight="false" outlineLevel="0" collapsed="false">
      <c r="A77" s="500"/>
      <c r="B77" s="500"/>
      <c r="K77" s="363"/>
      <c r="L77" s="501"/>
      <c r="N77" s="502"/>
      <c r="O77" s="502"/>
      <c r="P77" s="371"/>
      <c r="Q77" s="501"/>
      <c r="R77" s="501"/>
      <c r="U77" s="501"/>
      <c r="V77" s="503"/>
      <c r="W77" s="503"/>
      <c r="X77" s="504"/>
      <c r="Y77" s="504"/>
      <c r="Z77" s="504"/>
      <c r="AA77" s="504"/>
      <c r="AB77" s="504"/>
      <c r="AC77" s="504"/>
      <c r="AF77" s="378"/>
      <c r="AG77" s="378"/>
      <c r="AH77" s="378"/>
      <c r="AI77" s="378"/>
      <c r="AJ77" s="378"/>
      <c r="AM77" s="505"/>
      <c r="AN77" s="505"/>
      <c r="AO77" s="505"/>
      <c r="AP77" s="505"/>
      <c r="AR77" s="370"/>
      <c r="AT77" s="370"/>
      <c r="AV77" s="506"/>
      <c r="AW77" s="370"/>
      <c r="AX77" s="370"/>
      <c r="AY77" s="370"/>
      <c r="AZ77" s="370"/>
      <c r="BA77" s="507"/>
      <c r="BB77" s="505"/>
      <c r="BC77" s="505"/>
      <c r="BD77" s="370"/>
      <c r="BE77" s="370"/>
      <c r="BF77" s="370"/>
      <c r="BG77" s="370"/>
      <c r="BH77" s="370"/>
      <c r="BI77" s="370"/>
      <c r="BJ77" s="370"/>
      <c r="BK77" s="370"/>
      <c r="BL77" s="370"/>
      <c r="BM77" s="370"/>
      <c r="BN77" s="370"/>
      <c r="BO77" s="370"/>
      <c r="BP77" s="370"/>
      <c r="BQ77" s="370"/>
      <c r="BR77" s="370"/>
      <c r="BS77" s="370"/>
      <c r="BV77" s="508"/>
      <c r="BW77" s="369"/>
      <c r="BX77" s="370"/>
      <c r="BY77" s="370"/>
      <c r="BZ77" s="370"/>
      <c r="CA77" s="370"/>
      <c r="CB77" s="370"/>
      <c r="CC77" s="505"/>
      <c r="CD77" s="505"/>
      <c r="CE77" s="505"/>
      <c r="CF77" s="505"/>
      <c r="CG77" s="505"/>
      <c r="CH77" s="505"/>
      <c r="CI77" s="505"/>
    </row>
    <row r="78" customFormat="false" ht="12.75" hidden="false" customHeight="false" outlineLevel="0" collapsed="false">
      <c r="A78" s="500"/>
      <c r="B78" s="500"/>
      <c r="K78" s="363"/>
      <c r="L78" s="501"/>
      <c r="N78" s="502"/>
      <c r="O78" s="502"/>
      <c r="P78" s="371"/>
      <c r="Q78" s="501"/>
      <c r="R78" s="501"/>
      <c r="U78" s="501"/>
      <c r="V78" s="503"/>
      <c r="W78" s="503"/>
      <c r="X78" s="504"/>
      <c r="Y78" s="504"/>
      <c r="Z78" s="504"/>
      <c r="AA78" s="504"/>
      <c r="AB78" s="504"/>
      <c r="AC78" s="504"/>
      <c r="AF78" s="378"/>
      <c r="AG78" s="378"/>
      <c r="AH78" s="378"/>
      <c r="AI78" s="378"/>
      <c r="AJ78" s="378"/>
      <c r="AM78" s="505"/>
      <c r="AN78" s="505"/>
      <c r="AO78" s="505"/>
      <c r="AP78" s="505"/>
      <c r="AR78" s="370"/>
      <c r="AT78" s="370"/>
      <c r="AV78" s="506"/>
      <c r="AW78" s="370"/>
      <c r="AX78" s="370"/>
      <c r="AY78" s="370"/>
      <c r="AZ78" s="370"/>
      <c r="BA78" s="507"/>
      <c r="BB78" s="505"/>
      <c r="BC78" s="505"/>
      <c r="BD78" s="370"/>
      <c r="BE78" s="370"/>
      <c r="BF78" s="370"/>
      <c r="BG78" s="370"/>
      <c r="BH78" s="370"/>
      <c r="BI78" s="370"/>
      <c r="BJ78" s="370"/>
      <c r="BK78" s="370"/>
      <c r="BL78" s="370"/>
      <c r="BM78" s="370"/>
      <c r="BN78" s="370"/>
      <c r="BO78" s="370"/>
      <c r="BP78" s="370"/>
      <c r="BQ78" s="370"/>
      <c r="BR78" s="370"/>
      <c r="BS78" s="370"/>
      <c r="BV78" s="508"/>
      <c r="BW78" s="369"/>
      <c r="BX78" s="370"/>
      <c r="BY78" s="370"/>
      <c r="BZ78" s="370"/>
      <c r="CA78" s="370"/>
      <c r="CB78" s="370"/>
      <c r="CC78" s="505"/>
      <c r="CD78" s="505"/>
      <c r="CE78" s="505"/>
      <c r="CF78" s="505"/>
      <c r="CG78" s="505"/>
      <c r="CH78" s="505"/>
      <c r="CI78" s="505"/>
    </row>
    <row r="79" customFormat="false" ht="12.75" hidden="false" customHeight="false" outlineLevel="0" collapsed="false">
      <c r="A79" s="500"/>
      <c r="B79" s="500"/>
      <c r="K79" s="363"/>
      <c r="L79" s="501"/>
      <c r="N79" s="502"/>
      <c r="O79" s="502"/>
      <c r="P79" s="371"/>
      <c r="Q79" s="501"/>
      <c r="R79" s="501"/>
      <c r="U79" s="501"/>
      <c r="V79" s="503"/>
      <c r="W79" s="503"/>
      <c r="X79" s="504"/>
      <c r="Y79" s="504"/>
      <c r="Z79" s="504"/>
      <c r="AA79" s="504"/>
      <c r="AB79" s="504"/>
      <c r="AC79" s="504"/>
      <c r="AF79" s="378"/>
      <c r="AG79" s="378"/>
      <c r="AH79" s="378"/>
      <c r="AI79" s="378"/>
      <c r="AJ79" s="378"/>
      <c r="AM79" s="505"/>
      <c r="AN79" s="505"/>
      <c r="AO79" s="505"/>
      <c r="AP79" s="505"/>
      <c r="AR79" s="370"/>
      <c r="AT79" s="370"/>
      <c r="AV79" s="506"/>
      <c r="AW79" s="370"/>
      <c r="AX79" s="370"/>
      <c r="AY79" s="370"/>
      <c r="AZ79" s="370"/>
      <c r="BA79" s="507"/>
      <c r="BB79" s="505"/>
      <c r="BC79" s="505"/>
      <c r="BD79" s="370"/>
      <c r="BE79" s="370"/>
      <c r="BF79" s="370"/>
      <c r="BG79" s="370"/>
      <c r="BH79" s="370"/>
      <c r="BI79" s="370"/>
      <c r="BJ79" s="370"/>
      <c r="BK79" s="370"/>
      <c r="BL79" s="370"/>
      <c r="BM79" s="370"/>
      <c r="BN79" s="370"/>
      <c r="BO79" s="370"/>
      <c r="BP79" s="370"/>
      <c r="BQ79" s="370"/>
      <c r="BR79" s="370"/>
      <c r="BS79" s="370"/>
      <c r="BV79" s="508"/>
      <c r="BW79" s="369"/>
      <c r="BX79" s="370"/>
      <c r="BY79" s="370"/>
      <c r="BZ79" s="370"/>
      <c r="CA79" s="370"/>
      <c r="CB79" s="370"/>
      <c r="CC79" s="505"/>
      <c r="CD79" s="505"/>
      <c r="CE79" s="505"/>
      <c r="CF79" s="505"/>
      <c r="CG79" s="505"/>
      <c r="CH79" s="505"/>
      <c r="CI79" s="505"/>
    </row>
    <row r="80" customFormat="false" ht="12.75" hidden="false" customHeight="false" outlineLevel="0" collapsed="false">
      <c r="A80" s="500"/>
      <c r="B80" s="500"/>
      <c r="K80" s="363"/>
      <c r="L80" s="501"/>
      <c r="N80" s="502"/>
      <c r="O80" s="502"/>
      <c r="P80" s="371"/>
      <c r="Q80" s="501"/>
      <c r="R80" s="501"/>
      <c r="U80" s="501"/>
      <c r="V80" s="503"/>
      <c r="W80" s="503"/>
      <c r="X80" s="504"/>
      <c r="Y80" s="504"/>
      <c r="Z80" s="504"/>
      <c r="AA80" s="504"/>
      <c r="AB80" s="504"/>
      <c r="AC80" s="504"/>
      <c r="AF80" s="378"/>
      <c r="AG80" s="378"/>
      <c r="AH80" s="378"/>
      <c r="AI80" s="378"/>
      <c r="AJ80" s="378"/>
      <c r="AM80" s="505"/>
      <c r="AN80" s="505"/>
      <c r="AO80" s="505"/>
      <c r="AP80" s="505"/>
      <c r="AR80" s="370"/>
      <c r="AT80" s="370"/>
      <c r="AV80" s="506"/>
      <c r="AW80" s="370"/>
      <c r="AX80" s="370"/>
      <c r="AY80" s="370"/>
      <c r="AZ80" s="370"/>
      <c r="BA80" s="507"/>
      <c r="BB80" s="505"/>
      <c r="BC80" s="505"/>
      <c r="BD80" s="370"/>
      <c r="BE80" s="370"/>
      <c r="BF80" s="370"/>
      <c r="BG80" s="370"/>
      <c r="BH80" s="370"/>
      <c r="BI80" s="370"/>
      <c r="BJ80" s="370"/>
      <c r="BK80" s="370"/>
      <c r="BL80" s="370"/>
      <c r="BM80" s="370"/>
      <c r="BN80" s="370"/>
      <c r="BO80" s="370"/>
      <c r="BP80" s="370"/>
      <c r="BQ80" s="370"/>
      <c r="BR80" s="370"/>
      <c r="BS80" s="370"/>
      <c r="BV80" s="508"/>
      <c r="BW80" s="369"/>
      <c r="BX80" s="370"/>
      <c r="BY80" s="370"/>
      <c r="BZ80" s="370"/>
      <c r="CA80" s="370"/>
      <c r="CB80" s="370"/>
      <c r="CC80" s="505"/>
      <c r="CD80" s="505"/>
      <c r="CE80" s="505"/>
      <c r="CF80" s="505"/>
      <c r="CG80" s="505"/>
      <c r="CH80" s="505"/>
      <c r="CI80" s="505"/>
    </row>
    <row r="81" customFormat="false" ht="12.75" hidden="false" customHeight="false" outlineLevel="0" collapsed="false">
      <c r="A81" s="500"/>
      <c r="B81" s="500"/>
      <c r="K81" s="363"/>
      <c r="L81" s="501"/>
      <c r="N81" s="502"/>
      <c r="O81" s="502"/>
      <c r="P81" s="371"/>
      <c r="Q81" s="501"/>
      <c r="R81" s="501"/>
      <c r="U81" s="501"/>
      <c r="V81" s="503"/>
      <c r="W81" s="503"/>
      <c r="X81" s="504"/>
      <c r="Y81" s="504"/>
      <c r="Z81" s="504"/>
      <c r="AA81" s="504"/>
      <c r="AB81" s="504"/>
      <c r="AC81" s="504"/>
      <c r="AF81" s="378"/>
      <c r="AG81" s="378"/>
      <c r="AH81" s="378"/>
      <c r="AI81" s="378"/>
      <c r="AJ81" s="378"/>
      <c r="AM81" s="505"/>
      <c r="AN81" s="505"/>
      <c r="AO81" s="505"/>
      <c r="AP81" s="505"/>
      <c r="AR81" s="370"/>
      <c r="AT81" s="370"/>
      <c r="AV81" s="506"/>
      <c r="AW81" s="370"/>
      <c r="AX81" s="370"/>
      <c r="AY81" s="370"/>
      <c r="AZ81" s="370"/>
      <c r="BA81" s="507"/>
      <c r="BB81" s="505"/>
      <c r="BC81" s="505"/>
      <c r="BD81" s="370"/>
      <c r="BE81" s="370"/>
      <c r="BF81" s="370"/>
      <c r="BG81" s="370"/>
      <c r="BH81" s="370"/>
      <c r="BI81" s="370"/>
      <c r="BJ81" s="370"/>
      <c r="BK81" s="370"/>
      <c r="BL81" s="370"/>
      <c r="BM81" s="370"/>
      <c r="BN81" s="370"/>
      <c r="BO81" s="370"/>
      <c r="BP81" s="370"/>
      <c r="BQ81" s="370"/>
      <c r="BR81" s="370"/>
      <c r="BS81" s="370"/>
      <c r="BV81" s="508"/>
      <c r="BW81" s="369"/>
      <c r="BX81" s="370"/>
      <c r="BY81" s="370"/>
      <c r="BZ81" s="370"/>
      <c r="CA81" s="370"/>
      <c r="CB81" s="370"/>
      <c r="CC81" s="505"/>
      <c r="CD81" s="505"/>
      <c r="CE81" s="505"/>
      <c r="CF81" s="505"/>
      <c r="CG81" s="505"/>
      <c r="CH81" s="505"/>
      <c r="CI81" s="505"/>
    </row>
    <row r="82" customFormat="false" ht="12.75" hidden="false" customHeight="false" outlineLevel="0" collapsed="false">
      <c r="A82" s="500"/>
      <c r="B82" s="500"/>
      <c r="K82" s="363"/>
      <c r="L82" s="501"/>
      <c r="N82" s="502"/>
      <c r="O82" s="502"/>
      <c r="P82" s="371"/>
      <c r="Q82" s="501"/>
      <c r="R82" s="501"/>
      <c r="U82" s="501"/>
      <c r="V82" s="503"/>
      <c r="W82" s="503"/>
      <c r="X82" s="504"/>
      <c r="Y82" s="504"/>
      <c r="Z82" s="504"/>
      <c r="AA82" s="504"/>
      <c r="AB82" s="504"/>
      <c r="AC82" s="504"/>
      <c r="AF82" s="378"/>
      <c r="AG82" s="378"/>
      <c r="AH82" s="378"/>
      <c r="AI82" s="378"/>
      <c r="AJ82" s="378"/>
      <c r="AM82" s="505"/>
      <c r="AN82" s="505"/>
      <c r="AO82" s="505"/>
      <c r="AP82" s="505"/>
      <c r="AR82" s="370"/>
      <c r="AT82" s="370"/>
      <c r="AV82" s="506"/>
      <c r="AW82" s="370"/>
      <c r="AX82" s="370"/>
      <c r="AY82" s="370"/>
      <c r="AZ82" s="370"/>
      <c r="BA82" s="507"/>
      <c r="BB82" s="505"/>
      <c r="BC82" s="505"/>
      <c r="BD82" s="370"/>
      <c r="BE82" s="370"/>
      <c r="BF82" s="370"/>
      <c r="BG82" s="370"/>
      <c r="BH82" s="370"/>
      <c r="BI82" s="370"/>
      <c r="BJ82" s="370"/>
      <c r="BK82" s="370"/>
      <c r="BL82" s="370"/>
      <c r="BM82" s="370"/>
      <c r="BN82" s="370"/>
      <c r="BO82" s="370"/>
      <c r="BP82" s="370"/>
      <c r="BQ82" s="370"/>
      <c r="BR82" s="370"/>
      <c r="BS82" s="370"/>
      <c r="BV82" s="508"/>
      <c r="BW82" s="369"/>
      <c r="BX82" s="370"/>
      <c r="BY82" s="370"/>
      <c r="BZ82" s="370"/>
      <c r="CA82" s="370"/>
      <c r="CB82" s="370"/>
      <c r="CC82" s="505"/>
      <c r="CD82" s="505"/>
      <c r="CE82" s="505"/>
      <c r="CF82" s="505"/>
      <c r="CG82" s="505"/>
      <c r="CH82" s="505"/>
      <c r="CI82" s="505"/>
    </row>
    <row r="83" customFormat="false" ht="12.75" hidden="false" customHeight="false" outlineLevel="0" collapsed="false">
      <c r="A83" s="500"/>
      <c r="B83" s="500"/>
      <c r="K83" s="363"/>
      <c r="L83" s="501"/>
      <c r="N83" s="502"/>
      <c r="O83" s="502"/>
      <c r="P83" s="371"/>
      <c r="Q83" s="501"/>
      <c r="R83" s="501"/>
      <c r="U83" s="501"/>
      <c r="V83" s="503"/>
      <c r="W83" s="503"/>
      <c r="X83" s="504"/>
      <c r="Y83" s="504"/>
      <c r="Z83" s="504"/>
      <c r="AA83" s="504"/>
      <c r="AB83" s="504"/>
      <c r="AC83" s="504"/>
      <c r="AF83" s="378"/>
      <c r="AG83" s="378"/>
      <c r="AH83" s="378"/>
      <c r="AI83" s="378"/>
      <c r="AJ83" s="378"/>
      <c r="AM83" s="505"/>
      <c r="AN83" s="505"/>
      <c r="AO83" s="505"/>
      <c r="AP83" s="505"/>
      <c r="AR83" s="370"/>
      <c r="AT83" s="370"/>
      <c r="AV83" s="506"/>
      <c r="AW83" s="370"/>
      <c r="AX83" s="370"/>
      <c r="AY83" s="370"/>
      <c r="AZ83" s="370"/>
      <c r="BA83" s="507"/>
      <c r="BB83" s="505"/>
      <c r="BC83" s="505"/>
      <c r="BD83" s="370"/>
      <c r="BE83" s="370"/>
      <c r="BF83" s="370"/>
      <c r="BG83" s="370"/>
      <c r="BH83" s="370"/>
      <c r="BI83" s="370"/>
      <c r="BJ83" s="370"/>
      <c r="BK83" s="370"/>
      <c r="BL83" s="370"/>
      <c r="BM83" s="370"/>
      <c r="BN83" s="370"/>
      <c r="BO83" s="370"/>
      <c r="BP83" s="370"/>
      <c r="BQ83" s="370"/>
      <c r="BR83" s="370"/>
      <c r="BS83" s="370"/>
      <c r="BV83" s="508"/>
      <c r="BW83" s="369"/>
      <c r="BX83" s="370"/>
      <c r="BY83" s="370"/>
      <c r="BZ83" s="370"/>
      <c r="CA83" s="370"/>
      <c r="CB83" s="370"/>
      <c r="CC83" s="505"/>
      <c r="CD83" s="505"/>
      <c r="CE83" s="505"/>
      <c r="CF83" s="505"/>
      <c r="CG83" s="505"/>
      <c r="CH83" s="505"/>
      <c r="CI83" s="505"/>
    </row>
    <row r="84" customFormat="false" ht="12.75" hidden="false" customHeight="false" outlineLevel="0" collapsed="false">
      <c r="A84" s="500"/>
      <c r="B84" s="500"/>
      <c r="K84" s="363"/>
      <c r="L84" s="501"/>
      <c r="N84" s="502"/>
      <c r="O84" s="502"/>
      <c r="P84" s="371"/>
      <c r="Q84" s="501"/>
      <c r="R84" s="501"/>
      <c r="U84" s="501"/>
      <c r="V84" s="503"/>
      <c r="W84" s="503"/>
      <c r="X84" s="504"/>
      <c r="Y84" s="504"/>
      <c r="Z84" s="504"/>
      <c r="AA84" s="504"/>
      <c r="AB84" s="504"/>
      <c r="AC84" s="504"/>
      <c r="AF84" s="378"/>
      <c r="AG84" s="378"/>
      <c r="AH84" s="378"/>
      <c r="AI84" s="378"/>
      <c r="AJ84" s="378"/>
      <c r="AM84" s="505"/>
      <c r="AN84" s="505"/>
      <c r="AO84" s="505"/>
      <c r="AP84" s="505"/>
      <c r="AR84" s="370"/>
      <c r="AT84" s="370"/>
      <c r="AV84" s="506"/>
      <c r="AW84" s="370"/>
      <c r="AX84" s="370"/>
      <c r="AY84" s="370"/>
      <c r="AZ84" s="370"/>
      <c r="BA84" s="507"/>
      <c r="BB84" s="505"/>
      <c r="BC84" s="505"/>
      <c r="BD84" s="370"/>
      <c r="BE84" s="370"/>
      <c r="BF84" s="370"/>
      <c r="BG84" s="370"/>
      <c r="BH84" s="370"/>
      <c r="BI84" s="370"/>
      <c r="BJ84" s="370"/>
      <c r="BK84" s="370"/>
      <c r="BL84" s="370"/>
      <c r="BM84" s="370"/>
      <c r="BN84" s="370"/>
      <c r="BO84" s="370"/>
      <c r="BP84" s="370"/>
      <c r="BQ84" s="370"/>
      <c r="BR84" s="370"/>
      <c r="BS84" s="370"/>
      <c r="BV84" s="508"/>
      <c r="BW84" s="369"/>
      <c r="BX84" s="370"/>
      <c r="BY84" s="370"/>
      <c r="BZ84" s="370"/>
      <c r="CA84" s="370"/>
      <c r="CB84" s="370"/>
      <c r="CC84" s="505"/>
      <c r="CD84" s="505"/>
      <c r="CE84" s="505"/>
      <c r="CF84" s="505"/>
      <c r="CG84" s="505"/>
      <c r="CH84" s="505"/>
      <c r="CI84" s="505"/>
    </row>
    <row r="85" customFormat="false" ht="12.75" hidden="false" customHeight="false" outlineLevel="0" collapsed="false">
      <c r="A85" s="500"/>
      <c r="B85" s="500"/>
      <c r="K85" s="363"/>
      <c r="L85" s="501"/>
      <c r="N85" s="502"/>
      <c r="O85" s="502"/>
      <c r="P85" s="371"/>
      <c r="Q85" s="501"/>
      <c r="R85" s="501"/>
      <c r="U85" s="501"/>
      <c r="V85" s="503"/>
      <c r="W85" s="503"/>
      <c r="X85" s="504"/>
      <c r="Y85" s="504"/>
      <c r="Z85" s="504"/>
      <c r="AA85" s="504"/>
      <c r="AB85" s="504"/>
      <c r="AC85" s="504"/>
      <c r="AF85" s="378"/>
      <c r="AG85" s="378"/>
      <c r="AH85" s="378"/>
      <c r="AI85" s="378"/>
      <c r="AJ85" s="378"/>
      <c r="AM85" s="505"/>
      <c r="AN85" s="505"/>
      <c r="AO85" s="505"/>
      <c r="AP85" s="505"/>
      <c r="AR85" s="370"/>
      <c r="AT85" s="370"/>
      <c r="AV85" s="506"/>
      <c r="AW85" s="370"/>
      <c r="AX85" s="370"/>
      <c r="AY85" s="370"/>
      <c r="AZ85" s="370"/>
      <c r="BA85" s="507"/>
      <c r="BB85" s="505"/>
      <c r="BC85" s="505"/>
      <c r="BD85" s="370"/>
      <c r="BE85" s="370"/>
      <c r="BF85" s="370"/>
      <c r="BG85" s="370"/>
      <c r="BH85" s="370"/>
      <c r="BI85" s="370"/>
      <c r="BJ85" s="370"/>
      <c r="BK85" s="370"/>
      <c r="BL85" s="370"/>
      <c r="BM85" s="370"/>
      <c r="BN85" s="370"/>
      <c r="BO85" s="370"/>
      <c r="BP85" s="370"/>
      <c r="BQ85" s="370"/>
      <c r="BR85" s="370"/>
      <c r="BS85" s="370"/>
      <c r="BV85" s="508"/>
      <c r="BW85" s="369"/>
      <c r="BX85" s="370"/>
      <c r="BY85" s="370"/>
      <c r="BZ85" s="370"/>
      <c r="CA85" s="370"/>
      <c r="CB85" s="370"/>
      <c r="CC85" s="505"/>
      <c r="CD85" s="505"/>
      <c r="CE85" s="505"/>
      <c r="CF85" s="505"/>
      <c r="CG85" s="505"/>
      <c r="CH85" s="505"/>
      <c r="CI85" s="505"/>
    </row>
    <row r="86" customFormat="false" ht="12.75" hidden="false" customHeight="false" outlineLevel="0" collapsed="false">
      <c r="A86" s="500"/>
      <c r="B86" s="500"/>
      <c r="K86" s="363"/>
      <c r="L86" s="501"/>
      <c r="N86" s="502"/>
      <c r="O86" s="502"/>
      <c r="P86" s="371"/>
      <c r="Q86" s="501"/>
      <c r="R86" s="501"/>
      <c r="U86" s="501"/>
      <c r="V86" s="503"/>
      <c r="W86" s="503"/>
      <c r="X86" s="504"/>
      <c r="Y86" s="504"/>
      <c r="Z86" s="504"/>
      <c r="AA86" s="504"/>
      <c r="AB86" s="504"/>
      <c r="AC86" s="504"/>
      <c r="AF86" s="378"/>
      <c r="AG86" s="378"/>
      <c r="AH86" s="378"/>
      <c r="AI86" s="378"/>
      <c r="AJ86" s="378"/>
      <c r="AM86" s="505"/>
      <c r="AN86" s="505"/>
      <c r="AO86" s="505"/>
      <c r="AP86" s="505"/>
      <c r="AR86" s="370"/>
      <c r="AT86" s="370"/>
      <c r="AV86" s="506"/>
      <c r="AW86" s="370"/>
      <c r="AX86" s="370"/>
      <c r="AY86" s="370"/>
      <c r="AZ86" s="370"/>
      <c r="BA86" s="507"/>
      <c r="BB86" s="505"/>
      <c r="BC86" s="505"/>
      <c r="BD86" s="370"/>
      <c r="BE86" s="370"/>
      <c r="BF86" s="370"/>
      <c r="BG86" s="370"/>
      <c r="BH86" s="370"/>
      <c r="BI86" s="370"/>
      <c r="BJ86" s="370"/>
      <c r="BK86" s="370"/>
      <c r="BL86" s="370"/>
      <c r="BM86" s="370"/>
      <c r="BN86" s="370"/>
      <c r="BO86" s="370"/>
      <c r="BP86" s="370"/>
      <c r="BQ86" s="370"/>
      <c r="BR86" s="370"/>
      <c r="BS86" s="370"/>
      <c r="BV86" s="508"/>
      <c r="BW86" s="369"/>
      <c r="BX86" s="370"/>
      <c r="BY86" s="370"/>
      <c r="BZ86" s="370"/>
      <c r="CA86" s="370"/>
      <c r="CB86" s="370"/>
      <c r="CC86" s="505"/>
      <c r="CD86" s="505"/>
      <c r="CE86" s="505"/>
      <c r="CF86" s="505"/>
      <c r="CG86" s="505"/>
      <c r="CH86" s="505"/>
      <c r="CI86" s="505"/>
    </row>
    <row r="87" customFormat="false" ht="12.75" hidden="false" customHeight="false" outlineLevel="0" collapsed="false">
      <c r="A87" s="500"/>
      <c r="B87" s="500"/>
      <c r="K87" s="363"/>
      <c r="L87" s="501"/>
      <c r="N87" s="502"/>
      <c r="O87" s="502"/>
      <c r="P87" s="371"/>
      <c r="Q87" s="501"/>
      <c r="R87" s="501"/>
      <c r="U87" s="501"/>
      <c r="V87" s="503"/>
      <c r="W87" s="503"/>
      <c r="X87" s="504"/>
      <c r="Y87" s="504"/>
      <c r="Z87" s="504"/>
      <c r="AA87" s="504"/>
      <c r="AB87" s="504"/>
      <c r="AC87" s="504"/>
      <c r="AF87" s="378"/>
      <c r="AG87" s="378"/>
      <c r="AH87" s="378"/>
      <c r="AI87" s="378"/>
      <c r="AJ87" s="378"/>
      <c r="AM87" s="505"/>
      <c r="AN87" s="505"/>
      <c r="AO87" s="505"/>
      <c r="AP87" s="505"/>
      <c r="AR87" s="370"/>
      <c r="AT87" s="370"/>
      <c r="AV87" s="506"/>
      <c r="AW87" s="370"/>
      <c r="AX87" s="370"/>
      <c r="AY87" s="370"/>
      <c r="AZ87" s="370"/>
      <c r="BA87" s="507"/>
      <c r="BB87" s="505"/>
      <c r="BC87" s="505"/>
      <c r="BD87" s="370"/>
      <c r="BE87" s="370"/>
      <c r="BF87" s="370"/>
      <c r="BG87" s="370"/>
      <c r="BH87" s="370"/>
      <c r="BI87" s="370"/>
      <c r="BJ87" s="370"/>
      <c r="BK87" s="370"/>
      <c r="BL87" s="370"/>
      <c r="BM87" s="370"/>
      <c r="BN87" s="370"/>
      <c r="BO87" s="370"/>
      <c r="BP87" s="370"/>
      <c r="BQ87" s="370"/>
      <c r="BR87" s="370"/>
      <c r="BS87" s="370"/>
      <c r="BV87" s="508"/>
      <c r="BW87" s="369"/>
      <c r="BX87" s="370"/>
      <c r="BY87" s="370"/>
      <c r="BZ87" s="370"/>
      <c r="CA87" s="370"/>
      <c r="CB87" s="370"/>
      <c r="CC87" s="505"/>
      <c r="CD87" s="505"/>
      <c r="CE87" s="505"/>
      <c r="CF87" s="505"/>
      <c r="CG87" s="505"/>
      <c r="CH87" s="505"/>
      <c r="CI87" s="505"/>
    </row>
    <row r="88" customFormat="false" ht="12.75" hidden="false" customHeight="false" outlineLevel="0" collapsed="false">
      <c r="A88" s="500"/>
      <c r="B88" s="500"/>
      <c r="K88" s="363"/>
      <c r="L88" s="501"/>
      <c r="N88" s="502"/>
      <c r="O88" s="502"/>
      <c r="P88" s="371"/>
      <c r="Q88" s="501"/>
      <c r="R88" s="501"/>
      <c r="U88" s="501"/>
      <c r="V88" s="503"/>
      <c r="W88" s="503"/>
      <c r="X88" s="504"/>
      <c r="Y88" s="504"/>
      <c r="Z88" s="504"/>
      <c r="AA88" s="504"/>
      <c r="AB88" s="504"/>
      <c r="AC88" s="504"/>
      <c r="AF88" s="378"/>
      <c r="AG88" s="378"/>
      <c r="AH88" s="378"/>
      <c r="AI88" s="378"/>
      <c r="AJ88" s="378"/>
      <c r="AM88" s="505"/>
      <c r="AN88" s="505"/>
      <c r="AO88" s="505"/>
      <c r="AP88" s="505"/>
      <c r="AR88" s="370"/>
      <c r="AT88" s="370"/>
      <c r="AV88" s="506"/>
      <c r="AW88" s="370"/>
      <c r="AX88" s="370"/>
      <c r="AY88" s="370"/>
      <c r="AZ88" s="370"/>
      <c r="BA88" s="507"/>
      <c r="BB88" s="505"/>
      <c r="BC88" s="505"/>
      <c r="BD88" s="370"/>
      <c r="BE88" s="370"/>
      <c r="BF88" s="370"/>
      <c r="BG88" s="370"/>
      <c r="BH88" s="370"/>
      <c r="BI88" s="370"/>
      <c r="BJ88" s="370"/>
      <c r="BK88" s="370"/>
      <c r="BL88" s="370"/>
      <c r="BM88" s="370"/>
      <c r="BN88" s="370"/>
      <c r="BO88" s="370"/>
      <c r="BP88" s="370"/>
      <c r="BQ88" s="370"/>
      <c r="BR88" s="370"/>
      <c r="BS88" s="370"/>
      <c r="BV88" s="508"/>
      <c r="BW88" s="369"/>
      <c r="BX88" s="370"/>
      <c r="BY88" s="370"/>
      <c r="BZ88" s="370"/>
      <c r="CA88" s="370"/>
      <c r="CB88" s="370"/>
      <c r="CC88" s="505"/>
      <c r="CD88" s="505"/>
      <c r="CE88" s="505"/>
      <c r="CF88" s="505"/>
      <c r="CG88" s="505"/>
      <c r="CH88" s="505"/>
      <c r="CI88" s="505"/>
    </row>
    <row r="89" customFormat="false" ht="12.75" hidden="false" customHeight="false" outlineLevel="0" collapsed="false">
      <c r="A89" s="500"/>
      <c r="B89" s="500"/>
      <c r="K89" s="363"/>
      <c r="L89" s="501"/>
      <c r="N89" s="502"/>
      <c r="O89" s="502"/>
      <c r="P89" s="371"/>
      <c r="Q89" s="501"/>
      <c r="R89" s="501"/>
      <c r="U89" s="501"/>
      <c r="V89" s="503"/>
      <c r="W89" s="503"/>
      <c r="X89" s="504"/>
      <c r="Y89" s="504"/>
      <c r="Z89" s="504"/>
      <c r="AA89" s="504"/>
      <c r="AB89" s="504"/>
      <c r="AC89" s="504"/>
      <c r="AF89" s="378"/>
      <c r="AG89" s="378"/>
      <c r="AH89" s="378"/>
      <c r="AI89" s="378"/>
      <c r="AJ89" s="378"/>
      <c r="AM89" s="505"/>
      <c r="AN89" s="505"/>
      <c r="AO89" s="505"/>
      <c r="AP89" s="505"/>
      <c r="AR89" s="370"/>
      <c r="AT89" s="370"/>
      <c r="AV89" s="506"/>
      <c r="AW89" s="370"/>
      <c r="AX89" s="370"/>
      <c r="AY89" s="370"/>
      <c r="AZ89" s="370"/>
      <c r="BA89" s="507"/>
      <c r="BB89" s="505"/>
      <c r="BC89" s="505"/>
      <c r="BD89" s="370"/>
      <c r="BE89" s="370"/>
      <c r="BF89" s="370"/>
      <c r="BG89" s="370"/>
      <c r="BH89" s="370"/>
      <c r="BI89" s="370"/>
      <c r="BJ89" s="370"/>
      <c r="BK89" s="370"/>
      <c r="BL89" s="370"/>
      <c r="BM89" s="370"/>
      <c r="BN89" s="370"/>
      <c r="BO89" s="370"/>
      <c r="BP89" s="370"/>
      <c r="BQ89" s="370"/>
      <c r="BR89" s="370"/>
      <c r="BS89" s="370"/>
      <c r="BV89" s="508"/>
      <c r="BW89" s="369"/>
      <c r="BX89" s="370"/>
      <c r="BY89" s="370"/>
      <c r="BZ89" s="370"/>
      <c r="CA89" s="370"/>
      <c r="CB89" s="370"/>
      <c r="CC89" s="505"/>
      <c r="CD89" s="505"/>
      <c r="CE89" s="505"/>
      <c r="CF89" s="505"/>
      <c r="CG89" s="505"/>
      <c r="CH89" s="505"/>
      <c r="CI89" s="505"/>
    </row>
    <row r="90" customFormat="false" ht="12.75" hidden="false" customHeight="false" outlineLevel="0" collapsed="false">
      <c r="A90" s="500"/>
      <c r="B90" s="500"/>
      <c r="K90" s="363"/>
      <c r="L90" s="501"/>
      <c r="N90" s="502"/>
      <c r="O90" s="502"/>
      <c r="P90" s="371"/>
      <c r="Q90" s="501"/>
      <c r="R90" s="501"/>
      <c r="U90" s="501"/>
      <c r="V90" s="503"/>
      <c r="W90" s="503"/>
      <c r="X90" s="504"/>
      <c r="Y90" s="504"/>
      <c r="Z90" s="504"/>
      <c r="AA90" s="504"/>
      <c r="AB90" s="504"/>
      <c r="AC90" s="504"/>
      <c r="AF90" s="378"/>
      <c r="AG90" s="378"/>
      <c r="AH90" s="378"/>
      <c r="AI90" s="378"/>
      <c r="AJ90" s="378"/>
      <c r="AM90" s="505"/>
      <c r="AN90" s="505"/>
      <c r="AO90" s="505"/>
      <c r="AP90" s="505"/>
      <c r="AR90" s="370"/>
      <c r="AT90" s="370"/>
      <c r="AV90" s="506"/>
      <c r="AW90" s="370"/>
      <c r="AX90" s="370"/>
      <c r="AY90" s="370"/>
      <c r="AZ90" s="370"/>
      <c r="BA90" s="507"/>
      <c r="BB90" s="505"/>
      <c r="BC90" s="505"/>
      <c r="BD90" s="370"/>
      <c r="BE90" s="370"/>
      <c r="BF90" s="370"/>
      <c r="BG90" s="370"/>
      <c r="BH90" s="370"/>
      <c r="BI90" s="370"/>
      <c r="BJ90" s="370"/>
      <c r="BK90" s="370"/>
      <c r="BL90" s="370"/>
      <c r="BM90" s="370"/>
      <c r="BN90" s="370"/>
      <c r="BO90" s="370"/>
      <c r="BP90" s="370"/>
      <c r="BQ90" s="370"/>
      <c r="BR90" s="370"/>
      <c r="BS90" s="370"/>
      <c r="BV90" s="508"/>
      <c r="BW90" s="369"/>
      <c r="BX90" s="370"/>
      <c r="BY90" s="370"/>
      <c r="BZ90" s="370"/>
      <c r="CA90" s="370"/>
      <c r="CB90" s="370"/>
      <c r="CC90" s="505"/>
      <c r="CD90" s="505"/>
      <c r="CE90" s="505"/>
      <c r="CF90" s="505"/>
      <c r="CG90" s="505"/>
      <c r="CH90" s="505"/>
      <c r="CI90" s="505"/>
    </row>
    <row r="91" customFormat="false" ht="12.75" hidden="false" customHeight="false" outlineLevel="0" collapsed="false">
      <c r="A91" s="500"/>
      <c r="B91" s="500"/>
      <c r="K91" s="363"/>
      <c r="L91" s="501"/>
      <c r="N91" s="502"/>
      <c r="O91" s="502"/>
      <c r="P91" s="371"/>
      <c r="Q91" s="501"/>
      <c r="R91" s="501"/>
      <c r="U91" s="501"/>
      <c r="V91" s="503"/>
      <c r="W91" s="503"/>
      <c r="X91" s="504"/>
      <c r="Y91" s="504"/>
      <c r="Z91" s="504"/>
      <c r="AA91" s="504"/>
      <c r="AB91" s="504"/>
      <c r="AC91" s="504"/>
      <c r="AF91" s="378"/>
      <c r="AG91" s="378"/>
      <c r="AH91" s="378"/>
      <c r="AI91" s="378"/>
      <c r="AJ91" s="378"/>
      <c r="AM91" s="505"/>
      <c r="AN91" s="505"/>
      <c r="AO91" s="505"/>
      <c r="AP91" s="505"/>
      <c r="AR91" s="370"/>
      <c r="AT91" s="370"/>
      <c r="AV91" s="506"/>
      <c r="AW91" s="370"/>
      <c r="AX91" s="370"/>
      <c r="AY91" s="370"/>
      <c r="AZ91" s="370"/>
      <c r="BA91" s="507"/>
      <c r="BB91" s="505"/>
      <c r="BC91" s="505"/>
      <c r="BD91" s="370"/>
      <c r="BE91" s="370"/>
      <c r="BF91" s="370"/>
      <c r="BG91" s="370"/>
      <c r="BH91" s="370"/>
      <c r="BI91" s="370"/>
      <c r="BJ91" s="370"/>
      <c r="BK91" s="370"/>
      <c r="BL91" s="370"/>
      <c r="BM91" s="370"/>
      <c r="BN91" s="370"/>
      <c r="BO91" s="370"/>
      <c r="BP91" s="370"/>
      <c r="BQ91" s="370"/>
      <c r="BR91" s="370"/>
      <c r="BS91" s="370"/>
      <c r="BV91" s="508"/>
      <c r="BW91" s="369"/>
      <c r="BX91" s="370"/>
      <c r="BY91" s="370"/>
      <c r="BZ91" s="370"/>
      <c r="CA91" s="370"/>
      <c r="CB91" s="370"/>
      <c r="CC91" s="505"/>
      <c r="CD91" s="505"/>
      <c r="CE91" s="505"/>
      <c r="CF91" s="505"/>
      <c r="CG91" s="505"/>
      <c r="CH91" s="505"/>
      <c r="CI91" s="505"/>
    </row>
    <row r="92" customFormat="false" ht="12.75" hidden="false" customHeight="false" outlineLevel="0" collapsed="false">
      <c r="A92" s="500"/>
      <c r="B92" s="500"/>
      <c r="K92" s="363"/>
      <c r="L92" s="501"/>
      <c r="N92" s="502"/>
      <c r="O92" s="502"/>
      <c r="P92" s="371"/>
      <c r="Q92" s="501"/>
      <c r="R92" s="501"/>
      <c r="U92" s="501"/>
      <c r="V92" s="503"/>
      <c r="W92" s="503"/>
      <c r="X92" s="504"/>
      <c r="Y92" s="504"/>
      <c r="Z92" s="504"/>
      <c r="AA92" s="504"/>
      <c r="AB92" s="504"/>
      <c r="AC92" s="504"/>
      <c r="AF92" s="378"/>
      <c r="AG92" s="378"/>
      <c r="AH92" s="378"/>
      <c r="AI92" s="378"/>
      <c r="AJ92" s="378"/>
      <c r="AM92" s="505"/>
      <c r="AN92" s="505"/>
      <c r="AO92" s="505"/>
      <c r="AP92" s="505"/>
      <c r="AR92" s="370"/>
      <c r="AT92" s="370"/>
      <c r="AV92" s="506"/>
      <c r="AW92" s="370"/>
      <c r="AX92" s="370"/>
      <c r="AY92" s="370"/>
      <c r="AZ92" s="370"/>
      <c r="BA92" s="507"/>
      <c r="BB92" s="505"/>
      <c r="BC92" s="505"/>
      <c r="BD92" s="370"/>
      <c r="BE92" s="370"/>
      <c r="BF92" s="370"/>
      <c r="BG92" s="370"/>
      <c r="BH92" s="370"/>
      <c r="BI92" s="370"/>
      <c r="BJ92" s="370"/>
      <c r="BK92" s="370"/>
      <c r="BL92" s="370"/>
      <c r="BM92" s="370"/>
      <c r="BN92" s="370"/>
      <c r="BO92" s="370"/>
      <c r="BP92" s="370"/>
      <c r="BQ92" s="370"/>
      <c r="BR92" s="370"/>
      <c r="BS92" s="370"/>
      <c r="BV92" s="508"/>
      <c r="BW92" s="369"/>
      <c r="BX92" s="370"/>
      <c r="BY92" s="370"/>
      <c r="BZ92" s="370"/>
      <c r="CA92" s="370"/>
      <c r="CB92" s="370"/>
      <c r="CC92" s="505"/>
      <c r="CD92" s="505"/>
      <c r="CE92" s="505"/>
      <c r="CF92" s="505"/>
      <c r="CG92" s="505"/>
      <c r="CH92" s="505"/>
      <c r="CI92" s="505"/>
    </row>
    <row r="93" customFormat="false" ht="12.75" hidden="false" customHeight="false" outlineLevel="0" collapsed="false">
      <c r="A93" s="500"/>
      <c r="B93" s="500"/>
      <c r="K93" s="363"/>
      <c r="L93" s="501"/>
      <c r="N93" s="502"/>
      <c r="O93" s="502"/>
      <c r="P93" s="371"/>
      <c r="Q93" s="501"/>
      <c r="R93" s="501"/>
      <c r="U93" s="501"/>
      <c r="V93" s="503"/>
      <c r="W93" s="503"/>
      <c r="X93" s="504"/>
      <c r="Y93" s="504"/>
      <c r="Z93" s="504"/>
      <c r="AA93" s="504"/>
      <c r="AB93" s="504"/>
      <c r="AC93" s="504"/>
      <c r="AF93" s="378"/>
      <c r="AG93" s="378"/>
      <c r="AH93" s="378"/>
      <c r="AI93" s="378"/>
      <c r="AJ93" s="378"/>
      <c r="AM93" s="505"/>
      <c r="AN93" s="505"/>
      <c r="AO93" s="505"/>
      <c r="AP93" s="505"/>
      <c r="AR93" s="370"/>
      <c r="AT93" s="370"/>
      <c r="AV93" s="506"/>
      <c r="AW93" s="370"/>
      <c r="AX93" s="370"/>
      <c r="AY93" s="370"/>
      <c r="AZ93" s="370"/>
      <c r="BA93" s="507"/>
      <c r="BB93" s="505"/>
      <c r="BC93" s="505"/>
      <c r="BD93" s="370"/>
      <c r="BE93" s="370"/>
      <c r="BF93" s="370"/>
      <c r="BG93" s="370"/>
      <c r="BH93" s="370"/>
      <c r="BI93" s="370"/>
      <c r="BJ93" s="370"/>
      <c r="BK93" s="370"/>
      <c r="BL93" s="370"/>
      <c r="BM93" s="370"/>
      <c r="BN93" s="370"/>
      <c r="BO93" s="370"/>
      <c r="BP93" s="370"/>
      <c r="BQ93" s="370"/>
      <c r="BR93" s="370"/>
      <c r="BS93" s="370"/>
      <c r="BV93" s="508"/>
      <c r="BW93" s="369"/>
      <c r="BX93" s="370"/>
      <c r="BY93" s="370"/>
      <c r="BZ93" s="370"/>
      <c r="CA93" s="370"/>
      <c r="CB93" s="370"/>
      <c r="CC93" s="505"/>
      <c r="CD93" s="505"/>
      <c r="CE93" s="505"/>
      <c r="CF93" s="505"/>
      <c r="CG93" s="505"/>
      <c r="CH93" s="505"/>
      <c r="CI93" s="505"/>
    </row>
    <row r="94" customFormat="false" ht="12.75" hidden="false" customHeight="false" outlineLevel="0" collapsed="false">
      <c r="A94" s="500"/>
      <c r="B94" s="500"/>
      <c r="K94" s="363"/>
      <c r="L94" s="501"/>
      <c r="N94" s="502"/>
      <c r="O94" s="502"/>
      <c r="P94" s="371"/>
      <c r="Q94" s="501"/>
      <c r="R94" s="501"/>
      <c r="U94" s="501"/>
      <c r="V94" s="503"/>
      <c r="W94" s="503"/>
      <c r="X94" s="504"/>
      <c r="Y94" s="504"/>
      <c r="Z94" s="504"/>
      <c r="AA94" s="504"/>
      <c r="AB94" s="504"/>
      <c r="AC94" s="504"/>
      <c r="AF94" s="378"/>
      <c r="AG94" s="378"/>
      <c r="AH94" s="378"/>
      <c r="AI94" s="378"/>
      <c r="AJ94" s="378"/>
      <c r="AM94" s="505"/>
      <c r="AN94" s="505"/>
      <c r="AO94" s="505"/>
      <c r="AP94" s="505"/>
      <c r="AR94" s="370"/>
      <c r="AT94" s="370"/>
      <c r="AV94" s="506"/>
      <c r="AW94" s="370"/>
      <c r="AX94" s="370"/>
      <c r="AY94" s="370"/>
      <c r="AZ94" s="370"/>
      <c r="BA94" s="507"/>
      <c r="BB94" s="505"/>
      <c r="BC94" s="505"/>
      <c r="BD94" s="370"/>
      <c r="BE94" s="370"/>
      <c r="BF94" s="370"/>
      <c r="BG94" s="370"/>
      <c r="BH94" s="370"/>
      <c r="BI94" s="370"/>
      <c r="BJ94" s="370"/>
      <c r="BK94" s="370"/>
      <c r="BL94" s="370"/>
      <c r="BM94" s="370"/>
      <c r="BN94" s="370"/>
      <c r="BO94" s="370"/>
      <c r="BP94" s="370"/>
      <c r="BQ94" s="370"/>
      <c r="BR94" s="370"/>
      <c r="BS94" s="370"/>
      <c r="BV94" s="508"/>
      <c r="BW94" s="369"/>
      <c r="BX94" s="370"/>
      <c r="BY94" s="370"/>
      <c r="BZ94" s="370"/>
      <c r="CA94" s="370"/>
      <c r="CB94" s="370"/>
      <c r="CC94" s="505"/>
      <c r="CD94" s="505"/>
      <c r="CE94" s="505"/>
      <c r="CF94" s="505"/>
      <c r="CG94" s="505"/>
      <c r="CH94" s="505"/>
      <c r="CI94" s="505"/>
    </row>
    <row r="95" customFormat="false" ht="12.75" hidden="false" customHeight="false" outlineLevel="0" collapsed="false">
      <c r="A95" s="500"/>
      <c r="B95" s="500"/>
      <c r="K95" s="363"/>
      <c r="L95" s="501"/>
      <c r="N95" s="502"/>
      <c r="O95" s="502"/>
      <c r="P95" s="371"/>
      <c r="Q95" s="501"/>
      <c r="R95" s="501"/>
      <c r="U95" s="501"/>
      <c r="V95" s="503"/>
      <c r="W95" s="503"/>
      <c r="X95" s="504"/>
      <c r="Y95" s="504"/>
      <c r="Z95" s="504"/>
      <c r="AA95" s="504"/>
      <c r="AB95" s="504"/>
      <c r="AC95" s="504"/>
      <c r="AF95" s="378"/>
      <c r="AG95" s="378"/>
      <c r="AH95" s="378"/>
      <c r="AI95" s="378"/>
      <c r="AJ95" s="378"/>
      <c r="AM95" s="505"/>
      <c r="AN95" s="505"/>
      <c r="AO95" s="505"/>
      <c r="AP95" s="505"/>
      <c r="AR95" s="370"/>
      <c r="AT95" s="370"/>
      <c r="AV95" s="506"/>
      <c r="AW95" s="370"/>
      <c r="AX95" s="370"/>
      <c r="AY95" s="370"/>
      <c r="AZ95" s="370"/>
      <c r="BA95" s="507"/>
      <c r="BB95" s="505"/>
      <c r="BC95" s="505"/>
      <c r="BD95" s="370"/>
      <c r="BE95" s="370"/>
      <c r="BF95" s="370"/>
      <c r="BG95" s="370"/>
      <c r="BH95" s="370"/>
      <c r="BI95" s="370"/>
      <c r="BJ95" s="370"/>
      <c r="BK95" s="370"/>
      <c r="BL95" s="370"/>
      <c r="BM95" s="370"/>
      <c r="BN95" s="370"/>
      <c r="BO95" s="370"/>
      <c r="BP95" s="370"/>
      <c r="BQ95" s="370"/>
      <c r="BR95" s="370"/>
      <c r="BS95" s="370"/>
      <c r="BV95" s="508"/>
      <c r="BW95" s="369"/>
      <c r="BX95" s="370"/>
      <c r="BY95" s="370"/>
      <c r="BZ95" s="370"/>
      <c r="CA95" s="370"/>
      <c r="CB95" s="370"/>
      <c r="CC95" s="505"/>
      <c r="CD95" s="505"/>
      <c r="CE95" s="505"/>
      <c r="CF95" s="505"/>
      <c r="CG95" s="505"/>
      <c r="CH95" s="505"/>
      <c r="CI95" s="505"/>
    </row>
    <row r="96" customFormat="false" ht="12.75" hidden="false" customHeight="false" outlineLevel="0" collapsed="false">
      <c r="A96" s="500"/>
      <c r="B96" s="500"/>
      <c r="K96" s="363"/>
      <c r="L96" s="501"/>
      <c r="N96" s="502"/>
      <c r="O96" s="502"/>
      <c r="P96" s="371"/>
      <c r="Q96" s="501"/>
      <c r="R96" s="501"/>
      <c r="U96" s="501"/>
      <c r="V96" s="503"/>
      <c r="W96" s="503"/>
      <c r="X96" s="504"/>
      <c r="Y96" s="504"/>
      <c r="Z96" s="504"/>
      <c r="AA96" s="504"/>
      <c r="AB96" s="504"/>
      <c r="AC96" s="504"/>
      <c r="AF96" s="378"/>
      <c r="AG96" s="378"/>
      <c r="AH96" s="378"/>
      <c r="AI96" s="378"/>
      <c r="AJ96" s="378"/>
      <c r="AM96" s="505"/>
      <c r="AN96" s="505"/>
      <c r="AO96" s="505"/>
      <c r="AP96" s="505"/>
      <c r="AR96" s="370"/>
      <c r="AT96" s="370"/>
      <c r="AV96" s="506"/>
      <c r="AW96" s="370"/>
      <c r="AX96" s="370"/>
      <c r="AY96" s="370"/>
      <c r="AZ96" s="370"/>
      <c r="BA96" s="507"/>
      <c r="BB96" s="505"/>
      <c r="BC96" s="505"/>
      <c r="BD96" s="370"/>
      <c r="BE96" s="370"/>
      <c r="BF96" s="370"/>
      <c r="BG96" s="370"/>
      <c r="BH96" s="370"/>
      <c r="BI96" s="370"/>
      <c r="BJ96" s="370"/>
      <c r="BK96" s="370"/>
      <c r="BL96" s="370"/>
      <c r="BM96" s="370"/>
      <c r="BN96" s="370"/>
      <c r="BO96" s="370"/>
      <c r="BP96" s="370"/>
      <c r="BQ96" s="370"/>
      <c r="BR96" s="370"/>
      <c r="BS96" s="370"/>
      <c r="BV96" s="508"/>
      <c r="BW96" s="369"/>
      <c r="BX96" s="370"/>
      <c r="BY96" s="370"/>
      <c r="BZ96" s="370"/>
      <c r="CA96" s="370"/>
      <c r="CB96" s="370"/>
      <c r="CC96" s="505"/>
      <c r="CD96" s="505"/>
      <c r="CE96" s="505"/>
      <c r="CF96" s="505"/>
      <c r="CG96" s="505"/>
      <c r="CH96" s="505"/>
      <c r="CI96" s="505"/>
    </row>
    <row r="97" customFormat="false" ht="12.75" hidden="false" customHeight="false" outlineLevel="0" collapsed="false">
      <c r="A97" s="500"/>
      <c r="B97" s="500"/>
      <c r="K97" s="363"/>
      <c r="L97" s="501"/>
      <c r="N97" s="502"/>
      <c r="O97" s="502"/>
      <c r="P97" s="371"/>
      <c r="Q97" s="501"/>
      <c r="R97" s="501"/>
      <c r="U97" s="501"/>
      <c r="V97" s="503"/>
      <c r="W97" s="503"/>
      <c r="X97" s="504"/>
      <c r="Y97" s="504"/>
      <c r="Z97" s="504"/>
      <c r="AA97" s="504"/>
      <c r="AB97" s="504"/>
      <c r="AC97" s="504"/>
      <c r="AF97" s="378"/>
      <c r="AG97" s="378"/>
      <c r="AH97" s="378"/>
      <c r="AI97" s="378"/>
      <c r="AJ97" s="378"/>
      <c r="AM97" s="505"/>
      <c r="AN97" s="505"/>
      <c r="AO97" s="505"/>
      <c r="AP97" s="505"/>
      <c r="AR97" s="370"/>
      <c r="AT97" s="370"/>
      <c r="AV97" s="506"/>
      <c r="AW97" s="370"/>
      <c r="AX97" s="370"/>
      <c r="AY97" s="370"/>
      <c r="AZ97" s="370"/>
      <c r="BA97" s="507"/>
      <c r="BB97" s="505"/>
      <c r="BC97" s="505"/>
      <c r="BD97" s="370"/>
      <c r="BE97" s="370"/>
      <c r="BF97" s="370"/>
      <c r="BG97" s="370"/>
      <c r="BH97" s="370"/>
      <c r="BI97" s="370"/>
      <c r="BJ97" s="370"/>
      <c r="BK97" s="370"/>
      <c r="BL97" s="370"/>
      <c r="BM97" s="370"/>
      <c r="BN97" s="370"/>
      <c r="BO97" s="370"/>
      <c r="BP97" s="370"/>
      <c r="BQ97" s="370"/>
      <c r="BR97" s="370"/>
      <c r="BS97" s="370"/>
      <c r="BV97" s="508"/>
      <c r="BW97" s="369"/>
      <c r="BX97" s="370"/>
      <c r="BY97" s="370"/>
      <c r="BZ97" s="370"/>
      <c r="CA97" s="370"/>
      <c r="CB97" s="370"/>
      <c r="CC97" s="505"/>
      <c r="CD97" s="505"/>
      <c r="CE97" s="505"/>
      <c r="CF97" s="505"/>
      <c r="CG97" s="505"/>
      <c r="CH97" s="505"/>
      <c r="CI97" s="505"/>
    </row>
    <row r="98" customFormat="false" ht="12.75" hidden="false" customHeight="false" outlineLevel="0" collapsed="false">
      <c r="A98" s="500"/>
      <c r="B98" s="500"/>
      <c r="K98" s="363"/>
      <c r="L98" s="501"/>
      <c r="N98" s="502"/>
      <c r="O98" s="502"/>
      <c r="P98" s="371"/>
      <c r="Q98" s="501"/>
      <c r="R98" s="501"/>
      <c r="U98" s="501"/>
      <c r="V98" s="503"/>
      <c r="W98" s="503"/>
      <c r="X98" s="504"/>
      <c r="Y98" s="504"/>
      <c r="Z98" s="504"/>
      <c r="AA98" s="504"/>
      <c r="AB98" s="504"/>
      <c r="AC98" s="504"/>
      <c r="AF98" s="378"/>
      <c r="AG98" s="378"/>
      <c r="AH98" s="378"/>
      <c r="AI98" s="378"/>
      <c r="AJ98" s="378"/>
      <c r="AM98" s="505"/>
      <c r="AN98" s="505"/>
      <c r="AO98" s="505"/>
      <c r="AP98" s="505"/>
      <c r="AR98" s="370"/>
      <c r="AT98" s="370"/>
      <c r="AV98" s="506"/>
      <c r="AW98" s="370"/>
      <c r="AX98" s="370"/>
      <c r="AY98" s="370"/>
      <c r="AZ98" s="370"/>
      <c r="BA98" s="507"/>
      <c r="BB98" s="505"/>
      <c r="BC98" s="505"/>
      <c r="BD98" s="370"/>
      <c r="BE98" s="370"/>
      <c r="BF98" s="370"/>
      <c r="BG98" s="370"/>
      <c r="BH98" s="370"/>
      <c r="BI98" s="370"/>
      <c r="BJ98" s="370"/>
      <c r="BK98" s="370"/>
      <c r="BL98" s="370"/>
      <c r="BM98" s="370"/>
      <c r="BN98" s="370"/>
      <c r="BO98" s="370"/>
      <c r="BP98" s="370"/>
      <c r="BQ98" s="370"/>
      <c r="BR98" s="370"/>
      <c r="BS98" s="370"/>
      <c r="BV98" s="508"/>
      <c r="BW98" s="369"/>
      <c r="BX98" s="370"/>
      <c r="BY98" s="370"/>
      <c r="BZ98" s="370"/>
      <c r="CA98" s="370"/>
      <c r="CB98" s="370"/>
      <c r="CC98" s="505"/>
      <c r="CD98" s="505"/>
      <c r="CE98" s="505"/>
      <c r="CF98" s="505"/>
      <c r="CG98" s="505"/>
      <c r="CH98" s="505"/>
      <c r="CI98" s="505"/>
    </row>
    <row r="99" customFormat="false" ht="12.75" hidden="false" customHeight="false" outlineLevel="0" collapsed="false">
      <c r="A99" s="500"/>
      <c r="B99" s="500"/>
      <c r="K99" s="363"/>
      <c r="L99" s="501"/>
      <c r="N99" s="502"/>
      <c r="O99" s="502"/>
      <c r="P99" s="371"/>
      <c r="Q99" s="501"/>
      <c r="R99" s="501"/>
      <c r="U99" s="501"/>
      <c r="V99" s="503"/>
      <c r="W99" s="503"/>
      <c r="X99" s="504"/>
      <c r="Y99" s="504"/>
      <c r="Z99" s="504"/>
      <c r="AA99" s="504"/>
      <c r="AB99" s="504"/>
      <c r="AC99" s="504"/>
      <c r="AF99" s="378"/>
      <c r="AG99" s="378"/>
      <c r="AH99" s="378"/>
      <c r="AI99" s="378"/>
      <c r="AJ99" s="378"/>
      <c r="AM99" s="505"/>
      <c r="AN99" s="505"/>
      <c r="AO99" s="505"/>
      <c r="AP99" s="505"/>
      <c r="AR99" s="370"/>
      <c r="AT99" s="370"/>
      <c r="AV99" s="506"/>
      <c r="AW99" s="370"/>
      <c r="AX99" s="370"/>
      <c r="AY99" s="370"/>
      <c r="AZ99" s="370"/>
      <c r="BA99" s="507"/>
      <c r="BB99" s="505"/>
      <c r="BC99" s="505"/>
      <c r="BD99" s="370"/>
      <c r="BE99" s="370"/>
      <c r="BF99" s="370"/>
      <c r="BG99" s="370"/>
      <c r="BH99" s="370"/>
      <c r="BI99" s="370"/>
      <c r="BJ99" s="370"/>
      <c r="BK99" s="370"/>
      <c r="BL99" s="370"/>
      <c r="BM99" s="370"/>
      <c r="BN99" s="370"/>
      <c r="BO99" s="370"/>
      <c r="BP99" s="370"/>
      <c r="BQ99" s="370"/>
      <c r="BR99" s="370"/>
      <c r="BS99" s="370"/>
      <c r="BV99" s="508"/>
      <c r="BW99" s="369"/>
      <c r="BX99" s="370"/>
      <c r="BY99" s="370"/>
      <c r="BZ99" s="370"/>
      <c r="CA99" s="370"/>
      <c r="CB99" s="370"/>
      <c r="CC99" s="505"/>
      <c r="CD99" s="505"/>
      <c r="CE99" s="505"/>
      <c r="CF99" s="505"/>
      <c r="CG99" s="505"/>
      <c r="CH99" s="505"/>
      <c r="CI99" s="505"/>
    </row>
    <row r="100" customFormat="false" ht="12.75" hidden="false" customHeight="false" outlineLevel="0" collapsed="false">
      <c r="A100" s="500"/>
      <c r="B100" s="500"/>
      <c r="K100" s="363"/>
      <c r="L100" s="501"/>
      <c r="N100" s="502"/>
      <c r="O100" s="502"/>
      <c r="P100" s="371"/>
      <c r="Q100" s="501"/>
      <c r="R100" s="501"/>
      <c r="U100" s="501"/>
      <c r="V100" s="503"/>
      <c r="W100" s="503"/>
      <c r="X100" s="504"/>
      <c r="Y100" s="504"/>
      <c r="Z100" s="504"/>
      <c r="AA100" s="504"/>
      <c r="AB100" s="504"/>
      <c r="AC100" s="504"/>
      <c r="AF100" s="378"/>
      <c r="AG100" s="378"/>
      <c r="AH100" s="378"/>
      <c r="AI100" s="378"/>
      <c r="AJ100" s="378"/>
      <c r="AM100" s="505"/>
      <c r="AN100" s="505"/>
      <c r="AO100" s="505"/>
      <c r="AP100" s="505"/>
      <c r="AR100" s="370"/>
      <c r="AT100" s="370"/>
      <c r="AV100" s="506"/>
      <c r="AW100" s="370"/>
      <c r="AX100" s="370"/>
      <c r="AY100" s="370"/>
      <c r="AZ100" s="370"/>
      <c r="BA100" s="507"/>
      <c r="BB100" s="505"/>
      <c r="BC100" s="505"/>
      <c r="BD100" s="370"/>
      <c r="BE100" s="370"/>
      <c r="BF100" s="370"/>
      <c r="BG100" s="370"/>
      <c r="BH100" s="370"/>
      <c r="BI100" s="370"/>
      <c r="BJ100" s="370"/>
      <c r="BK100" s="370"/>
      <c r="BL100" s="370"/>
      <c r="BM100" s="370"/>
      <c r="BN100" s="370"/>
      <c r="BO100" s="370"/>
      <c r="BP100" s="370"/>
      <c r="BQ100" s="370"/>
      <c r="BR100" s="370"/>
      <c r="BS100" s="370"/>
      <c r="BV100" s="508"/>
      <c r="BW100" s="369"/>
      <c r="BX100" s="370"/>
      <c r="BY100" s="370"/>
      <c r="BZ100" s="370"/>
      <c r="CA100" s="370"/>
      <c r="CB100" s="370"/>
      <c r="CC100" s="505"/>
      <c r="CD100" s="505"/>
      <c r="CE100" s="505"/>
      <c r="CF100" s="505"/>
      <c r="CG100" s="505"/>
      <c r="CH100" s="505"/>
      <c r="CI100" s="505"/>
    </row>
    <row r="101" customFormat="false" ht="12.75" hidden="false" customHeight="false" outlineLevel="0" collapsed="false">
      <c r="A101" s="500"/>
      <c r="B101" s="500"/>
      <c r="K101" s="363"/>
      <c r="L101" s="501"/>
      <c r="N101" s="502"/>
      <c r="O101" s="502"/>
      <c r="P101" s="371"/>
      <c r="Q101" s="501"/>
      <c r="R101" s="501"/>
      <c r="U101" s="501"/>
      <c r="V101" s="503"/>
      <c r="W101" s="503"/>
      <c r="X101" s="504"/>
      <c r="Y101" s="504"/>
      <c r="Z101" s="504"/>
      <c r="AA101" s="504"/>
      <c r="AB101" s="504"/>
      <c r="AC101" s="504"/>
      <c r="AF101" s="378"/>
      <c r="AG101" s="378"/>
      <c r="AH101" s="378"/>
      <c r="AI101" s="378"/>
      <c r="AJ101" s="378"/>
      <c r="AM101" s="505"/>
      <c r="AN101" s="505"/>
      <c r="AO101" s="505"/>
      <c r="AP101" s="505"/>
      <c r="AR101" s="370"/>
      <c r="AT101" s="370"/>
      <c r="AV101" s="506"/>
      <c r="AW101" s="370"/>
      <c r="AX101" s="370"/>
      <c r="AY101" s="370"/>
      <c r="AZ101" s="370"/>
      <c r="BA101" s="507"/>
      <c r="BB101" s="505"/>
      <c r="BC101" s="505"/>
      <c r="BD101" s="370"/>
      <c r="BE101" s="370"/>
      <c r="BF101" s="370"/>
      <c r="BG101" s="370"/>
      <c r="BH101" s="370"/>
      <c r="BI101" s="370"/>
      <c r="BJ101" s="370"/>
      <c r="BK101" s="370"/>
      <c r="BL101" s="370"/>
      <c r="BM101" s="370"/>
      <c r="BN101" s="370"/>
      <c r="BO101" s="370"/>
      <c r="BP101" s="370"/>
      <c r="BQ101" s="370"/>
      <c r="BR101" s="370"/>
      <c r="BS101" s="370"/>
      <c r="BV101" s="508"/>
      <c r="BW101" s="369"/>
      <c r="BX101" s="370"/>
      <c r="BY101" s="370"/>
      <c r="BZ101" s="370"/>
      <c r="CA101" s="370"/>
      <c r="CB101" s="370"/>
      <c r="CC101" s="505"/>
      <c r="CD101" s="505"/>
      <c r="CE101" s="505"/>
      <c r="CF101" s="505"/>
      <c r="CG101" s="505"/>
      <c r="CH101" s="505"/>
      <c r="CI101" s="505"/>
    </row>
    <row r="102" customFormat="false" ht="12.75" hidden="false" customHeight="false" outlineLevel="0" collapsed="false">
      <c r="A102" s="500"/>
      <c r="B102" s="500"/>
      <c r="K102" s="363"/>
      <c r="L102" s="501"/>
      <c r="N102" s="502"/>
      <c r="O102" s="502"/>
      <c r="P102" s="371"/>
      <c r="Q102" s="501"/>
      <c r="R102" s="501"/>
      <c r="U102" s="501"/>
      <c r="V102" s="503"/>
      <c r="W102" s="503"/>
      <c r="X102" s="504"/>
      <c r="Y102" s="504"/>
      <c r="Z102" s="504"/>
      <c r="AA102" s="504"/>
      <c r="AB102" s="504"/>
      <c r="AC102" s="504"/>
      <c r="AF102" s="378"/>
      <c r="AG102" s="378"/>
      <c r="AH102" s="378"/>
      <c r="AI102" s="378"/>
      <c r="AJ102" s="378"/>
      <c r="AM102" s="505"/>
      <c r="AN102" s="505"/>
      <c r="AO102" s="505"/>
      <c r="AP102" s="505"/>
      <c r="AR102" s="370"/>
      <c r="AT102" s="370"/>
      <c r="AV102" s="506"/>
      <c r="AW102" s="370"/>
      <c r="AX102" s="370"/>
      <c r="AY102" s="370"/>
      <c r="AZ102" s="370"/>
      <c r="BA102" s="507"/>
      <c r="BB102" s="505"/>
      <c r="BC102" s="505"/>
      <c r="BD102" s="370"/>
      <c r="BE102" s="370"/>
      <c r="BF102" s="370"/>
      <c r="BG102" s="370"/>
      <c r="BH102" s="370"/>
      <c r="BI102" s="370"/>
      <c r="BJ102" s="370"/>
      <c r="BK102" s="370"/>
      <c r="BL102" s="370"/>
      <c r="BM102" s="370"/>
      <c r="BN102" s="370"/>
      <c r="BO102" s="370"/>
      <c r="BP102" s="370"/>
      <c r="BQ102" s="370"/>
      <c r="BR102" s="370"/>
      <c r="BS102" s="370"/>
      <c r="BV102" s="508"/>
      <c r="BW102" s="369"/>
      <c r="BX102" s="370"/>
      <c r="BY102" s="370"/>
      <c r="BZ102" s="370"/>
      <c r="CA102" s="370"/>
      <c r="CB102" s="370"/>
      <c r="CC102" s="505"/>
      <c r="CD102" s="505"/>
      <c r="CE102" s="505"/>
      <c r="CF102" s="505"/>
      <c r="CG102" s="505"/>
      <c r="CH102" s="505"/>
      <c r="CI102" s="505"/>
    </row>
    <row r="103" customFormat="false" ht="12.75" hidden="false" customHeight="false" outlineLevel="0" collapsed="false">
      <c r="A103" s="500"/>
      <c r="B103" s="500"/>
      <c r="K103" s="363"/>
      <c r="L103" s="501"/>
      <c r="N103" s="502"/>
      <c r="O103" s="502"/>
      <c r="P103" s="371"/>
      <c r="Q103" s="501"/>
      <c r="R103" s="501"/>
      <c r="U103" s="501"/>
      <c r="V103" s="503"/>
      <c r="W103" s="503"/>
      <c r="X103" s="504"/>
      <c r="Y103" s="504"/>
      <c r="Z103" s="504"/>
      <c r="AA103" s="504"/>
      <c r="AB103" s="504"/>
      <c r="AC103" s="504"/>
      <c r="AF103" s="378"/>
      <c r="AG103" s="378"/>
      <c r="AH103" s="378"/>
      <c r="AI103" s="378"/>
      <c r="AJ103" s="378"/>
      <c r="AM103" s="505"/>
      <c r="AN103" s="505"/>
      <c r="AO103" s="505"/>
      <c r="AP103" s="505"/>
      <c r="AR103" s="370"/>
      <c r="AT103" s="370"/>
      <c r="AV103" s="506"/>
      <c r="AW103" s="370"/>
      <c r="AX103" s="370"/>
      <c r="AY103" s="370"/>
      <c r="AZ103" s="370"/>
      <c r="BA103" s="507"/>
      <c r="BB103" s="505"/>
      <c r="BC103" s="505"/>
      <c r="BD103" s="370"/>
      <c r="BE103" s="370"/>
      <c r="BF103" s="370"/>
      <c r="BG103" s="370"/>
      <c r="BH103" s="370"/>
      <c r="BI103" s="370"/>
      <c r="BJ103" s="370"/>
      <c r="BK103" s="370"/>
      <c r="BL103" s="370"/>
      <c r="BM103" s="370"/>
      <c r="BN103" s="370"/>
      <c r="BO103" s="370"/>
      <c r="BP103" s="370"/>
      <c r="BQ103" s="370"/>
      <c r="BR103" s="370"/>
      <c r="BS103" s="370"/>
      <c r="BV103" s="508"/>
      <c r="BW103" s="369"/>
      <c r="BX103" s="370"/>
      <c r="BY103" s="370"/>
      <c r="BZ103" s="370"/>
      <c r="CA103" s="370"/>
      <c r="CB103" s="370"/>
      <c r="CC103" s="505"/>
      <c r="CD103" s="505"/>
      <c r="CE103" s="505"/>
      <c r="CF103" s="505"/>
      <c r="CG103" s="505"/>
      <c r="CH103" s="505"/>
      <c r="CI103" s="505"/>
    </row>
    <row r="104" customFormat="false" ht="12.75" hidden="false" customHeight="false" outlineLevel="0" collapsed="false">
      <c r="A104" s="500"/>
      <c r="B104" s="500"/>
      <c r="K104" s="363"/>
      <c r="L104" s="501"/>
      <c r="N104" s="502"/>
      <c r="O104" s="502"/>
      <c r="P104" s="371"/>
      <c r="Q104" s="501"/>
      <c r="R104" s="501"/>
      <c r="U104" s="501"/>
      <c r="V104" s="503"/>
      <c r="W104" s="503"/>
      <c r="X104" s="504"/>
      <c r="Y104" s="504"/>
      <c r="Z104" s="504"/>
      <c r="AA104" s="504"/>
      <c r="AB104" s="504"/>
      <c r="AC104" s="504"/>
      <c r="AF104" s="378"/>
      <c r="AG104" s="378"/>
      <c r="AH104" s="378"/>
      <c r="AI104" s="378"/>
      <c r="AJ104" s="378"/>
      <c r="AM104" s="505"/>
      <c r="AN104" s="505"/>
      <c r="AO104" s="505"/>
      <c r="AP104" s="505"/>
      <c r="AR104" s="370"/>
      <c r="AT104" s="370"/>
      <c r="AV104" s="506"/>
      <c r="AW104" s="370"/>
      <c r="AX104" s="370"/>
      <c r="AY104" s="370"/>
      <c r="AZ104" s="370"/>
      <c r="BA104" s="507"/>
      <c r="BB104" s="505"/>
      <c r="BC104" s="505"/>
      <c r="BD104" s="370"/>
      <c r="BE104" s="370"/>
      <c r="BF104" s="370"/>
      <c r="BG104" s="370"/>
      <c r="BH104" s="370"/>
      <c r="BI104" s="370"/>
      <c r="BJ104" s="370"/>
      <c r="BK104" s="370"/>
      <c r="BL104" s="370"/>
      <c r="BM104" s="370"/>
      <c r="BN104" s="370"/>
      <c r="BO104" s="370"/>
      <c r="BP104" s="370"/>
      <c r="BQ104" s="370"/>
      <c r="BR104" s="370"/>
      <c r="BS104" s="370"/>
      <c r="BV104" s="508"/>
      <c r="BW104" s="369"/>
      <c r="BX104" s="370"/>
      <c r="BY104" s="370"/>
      <c r="BZ104" s="370"/>
      <c r="CA104" s="370"/>
      <c r="CB104" s="370"/>
      <c r="CC104" s="505"/>
      <c r="CD104" s="505"/>
      <c r="CE104" s="505"/>
      <c r="CF104" s="505"/>
      <c r="CG104" s="505"/>
      <c r="CH104" s="505"/>
      <c r="CI104" s="505"/>
    </row>
    <row r="105" customFormat="false" ht="12.75" hidden="false" customHeight="false" outlineLevel="0" collapsed="false">
      <c r="A105" s="500"/>
      <c r="B105" s="500"/>
      <c r="K105" s="363"/>
      <c r="L105" s="501"/>
      <c r="N105" s="502"/>
      <c r="O105" s="502"/>
      <c r="P105" s="371"/>
      <c r="Q105" s="501"/>
      <c r="R105" s="501"/>
      <c r="U105" s="501"/>
      <c r="V105" s="503"/>
      <c r="W105" s="503"/>
      <c r="X105" s="504"/>
      <c r="Y105" s="504"/>
      <c r="Z105" s="504"/>
      <c r="AA105" s="504"/>
      <c r="AB105" s="504"/>
      <c r="AC105" s="504"/>
      <c r="AF105" s="378"/>
      <c r="AG105" s="378"/>
      <c r="AH105" s="378"/>
      <c r="AI105" s="378"/>
      <c r="AJ105" s="378"/>
      <c r="AM105" s="505"/>
      <c r="AN105" s="505"/>
      <c r="AO105" s="505"/>
      <c r="AP105" s="505"/>
      <c r="AR105" s="370"/>
      <c r="AT105" s="370"/>
      <c r="AV105" s="506"/>
      <c r="AW105" s="370"/>
      <c r="AX105" s="370"/>
      <c r="AY105" s="370"/>
      <c r="AZ105" s="370"/>
      <c r="BA105" s="507"/>
      <c r="BB105" s="505"/>
      <c r="BC105" s="505"/>
      <c r="BD105" s="370"/>
      <c r="BE105" s="370"/>
      <c r="BF105" s="370"/>
      <c r="BG105" s="370"/>
      <c r="BH105" s="370"/>
      <c r="BI105" s="370"/>
      <c r="BJ105" s="370"/>
      <c r="BK105" s="370"/>
      <c r="BL105" s="370"/>
      <c r="BM105" s="370"/>
      <c r="BN105" s="370"/>
      <c r="BO105" s="370"/>
      <c r="BP105" s="370"/>
      <c r="BQ105" s="370"/>
      <c r="BR105" s="370"/>
      <c r="BS105" s="370"/>
      <c r="BV105" s="508"/>
      <c r="BW105" s="369"/>
      <c r="BX105" s="370"/>
      <c r="BY105" s="370"/>
      <c r="BZ105" s="370"/>
      <c r="CA105" s="370"/>
      <c r="CB105" s="370"/>
      <c r="CC105" s="505"/>
      <c r="CD105" s="505"/>
      <c r="CE105" s="505"/>
      <c r="CF105" s="505"/>
      <c r="CG105" s="505"/>
      <c r="CH105" s="505"/>
      <c r="CI105" s="505"/>
    </row>
    <row r="106" customFormat="false" ht="12.75" hidden="false" customHeight="false" outlineLevel="0" collapsed="false">
      <c r="A106" s="500"/>
      <c r="B106" s="500"/>
      <c r="K106" s="363"/>
      <c r="L106" s="501"/>
      <c r="N106" s="502"/>
      <c r="O106" s="502"/>
      <c r="P106" s="371"/>
      <c r="Q106" s="501"/>
      <c r="R106" s="501"/>
      <c r="U106" s="501"/>
      <c r="V106" s="503"/>
      <c r="W106" s="503"/>
      <c r="X106" s="504"/>
      <c r="Y106" s="504"/>
      <c r="Z106" s="504"/>
      <c r="AA106" s="504"/>
      <c r="AB106" s="504"/>
      <c r="AC106" s="504"/>
      <c r="AF106" s="378"/>
      <c r="AG106" s="378"/>
      <c r="AH106" s="378"/>
      <c r="AI106" s="378"/>
      <c r="AJ106" s="378"/>
      <c r="AM106" s="505"/>
      <c r="AN106" s="505"/>
      <c r="AO106" s="505"/>
      <c r="AP106" s="505"/>
      <c r="AR106" s="370"/>
      <c r="AT106" s="370"/>
      <c r="AV106" s="506"/>
      <c r="AW106" s="370"/>
      <c r="AX106" s="370"/>
      <c r="AY106" s="370"/>
      <c r="AZ106" s="370"/>
      <c r="BA106" s="507"/>
      <c r="BB106" s="505"/>
      <c r="BC106" s="505"/>
      <c r="BD106" s="370"/>
      <c r="BE106" s="370"/>
      <c r="BF106" s="370"/>
      <c r="BG106" s="370"/>
      <c r="BH106" s="370"/>
      <c r="BI106" s="370"/>
      <c r="BJ106" s="370"/>
      <c r="BK106" s="370"/>
      <c r="BL106" s="370"/>
      <c r="BM106" s="370"/>
      <c r="BN106" s="370"/>
      <c r="BO106" s="370"/>
      <c r="BP106" s="370"/>
      <c r="BQ106" s="370"/>
      <c r="BR106" s="370"/>
      <c r="BS106" s="370"/>
      <c r="BV106" s="508"/>
      <c r="BW106" s="369"/>
      <c r="BX106" s="370"/>
      <c r="BY106" s="370"/>
      <c r="BZ106" s="370"/>
      <c r="CA106" s="370"/>
      <c r="CB106" s="370"/>
      <c r="CC106" s="505"/>
      <c r="CD106" s="505"/>
      <c r="CE106" s="505"/>
      <c r="CF106" s="505"/>
      <c r="CG106" s="505"/>
      <c r="CH106" s="505"/>
      <c r="CI106" s="505"/>
    </row>
    <row r="107" customFormat="false" ht="12.75" hidden="false" customHeight="false" outlineLevel="0" collapsed="false">
      <c r="A107" s="500"/>
      <c r="B107" s="500"/>
      <c r="K107" s="363"/>
      <c r="L107" s="501"/>
      <c r="N107" s="502"/>
      <c r="O107" s="502"/>
      <c r="P107" s="371"/>
      <c r="Q107" s="501"/>
      <c r="R107" s="501"/>
      <c r="U107" s="501"/>
      <c r="V107" s="503"/>
      <c r="W107" s="503"/>
      <c r="X107" s="504"/>
      <c r="Y107" s="504"/>
      <c r="Z107" s="504"/>
      <c r="AA107" s="504"/>
      <c r="AB107" s="504"/>
      <c r="AC107" s="504"/>
      <c r="AF107" s="378"/>
      <c r="AG107" s="378"/>
      <c r="AH107" s="378"/>
      <c r="AI107" s="378"/>
      <c r="AJ107" s="378"/>
      <c r="AM107" s="505"/>
      <c r="AN107" s="505"/>
      <c r="AO107" s="505"/>
      <c r="AP107" s="505"/>
      <c r="AR107" s="370"/>
      <c r="AT107" s="370"/>
      <c r="AV107" s="506"/>
      <c r="AW107" s="370"/>
      <c r="AX107" s="370"/>
      <c r="AY107" s="370"/>
      <c r="AZ107" s="370"/>
      <c r="BA107" s="507"/>
      <c r="BB107" s="505"/>
      <c r="BC107" s="505"/>
      <c r="BD107" s="370"/>
      <c r="BE107" s="370"/>
      <c r="BF107" s="370"/>
      <c r="BG107" s="370"/>
      <c r="BH107" s="370"/>
      <c r="BI107" s="370"/>
      <c r="BJ107" s="370"/>
      <c r="BK107" s="370"/>
      <c r="BL107" s="370"/>
      <c r="BM107" s="370"/>
      <c r="BN107" s="370"/>
      <c r="BO107" s="370"/>
      <c r="BP107" s="370"/>
      <c r="BQ107" s="370"/>
      <c r="BR107" s="370"/>
      <c r="BS107" s="370"/>
      <c r="BV107" s="508"/>
      <c r="BW107" s="369"/>
      <c r="BX107" s="370"/>
      <c r="BY107" s="370"/>
      <c r="BZ107" s="370"/>
      <c r="CA107" s="370"/>
      <c r="CB107" s="370"/>
      <c r="CC107" s="505"/>
      <c r="CD107" s="505"/>
      <c r="CE107" s="505"/>
      <c r="CF107" s="505"/>
      <c r="CG107" s="505"/>
      <c r="CH107" s="505"/>
      <c r="CI107" s="505"/>
    </row>
    <row r="108" customFormat="false" ht="12.75" hidden="false" customHeight="false" outlineLevel="0" collapsed="false">
      <c r="A108" s="500"/>
      <c r="B108" s="500"/>
      <c r="K108" s="363"/>
      <c r="L108" s="501"/>
      <c r="N108" s="502"/>
      <c r="O108" s="502"/>
      <c r="P108" s="371"/>
      <c r="Q108" s="501"/>
      <c r="R108" s="501"/>
      <c r="U108" s="501"/>
      <c r="V108" s="503"/>
      <c r="W108" s="503"/>
      <c r="X108" s="504"/>
      <c r="Y108" s="504"/>
      <c r="Z108" s="504"/>
      <c r="AA108" s="504"/>
      <c r="AB108" s="504"/>
      <c r="AC108" s="504"/>
      <c r="AF108" s="378"/>
      <c r="AG108" s="378"/>
      <c r="AH108" s="378"/>
      <c r="AI108" s="378"/>
      <c r="AJ108" s="378"/>
      <c r="AM108" s="505"/>
      <c r="AN108" s="505"/>
      <c r="AO108" s="505"/>
      <c r="AP108" s="505"/>
      <c r="AR108" s="370"/>
      <c r="AT108" s="370"/>
      <c r="AV108" s="506"/>
      <c r="AW108" s="370"/>
      <c r="AX108" s="370"/>
      <c r="AY108" s="370"/>
      <c r="AZ108" s="370"/>
      <c r="BA108" s="507"/>
      <c r="BB108" s="505"/>
      <c r="BC108" s="505"/>
      <c r="BD108" s="370"/>
      <c r="BE108" s="370"/>
      <c r="BF108" s="370"/>
      <c r="BG108" s="370"/>
      <c r="BH108" s="370"/>
      <c r="BI108" s="370"/>
      <c r="BJ108" s="370"/>
      <c r="BK108" s="370"/>
      <c r="BL108" s="370"/>
      <c r="BM108" s="370"/>
      <c r="BN108" s="370"/>
      <c r="BO108" s="370"/>
      <c r="BP108" s="370"/>
      <c r="BQ108" s="370"/>
      <c r="BR108" s="370"/>
      <c r="BS108" s="370"/>
      <c r="BV108" s="508"/>
      <c r="BW108" s="369"/>
      <c r="BX108" s="370"/>
      <c r="BY108" s="370"/>
      <c r="BZ108" s="370"/>
      <c r="CA108" s="370"/>
      <c r="CB108" s="370"/>
      <c r="CC108" s="505"/>
      <c r="CD108" s="505"/>
      <c r="CE108" s="505"/>
      <c r="CF108" s="505"/>
      <c r="CG108" s="505"/>
      <c r="CH108" s="505"/>
      <c r="CI108" s="505"/>
    </row>
    <row r="109" customFormat="false" ht="12.75" hidden="false" customHeight="false" outlineLevel="0" collapsed="false">
      <c r="A109" s="500"/>
      <c r="B109" s="500"/>
      <c r="K109" s="363"/>
      <c r="L109" s="501"/>
      <c r="N109" s="502"/>
      <c r="O109" s="502"/>
      <c r="P109" s="371"/>
      <c r="Q109" s="501"/>
      <c r="R109" s="501"/>
      <c r="U109" s="501"/>
      <c r="V109" s="503"/>
      <c r="W109" s="503"/>
      <c r="X109" s="504"/>
      <c r="Y109" s="504"/>
      <c r="Z109" s="504"/>
      <c r="AA109" s="504"/>
      <c r="AB109" s="504"/>
      <c r="AC109" s="504"/>
      <c r="AF109" s="378"/>
      <c r="AG109" s="378"/>
      <c r="AH109" s="378"/>
      <c r="AI109" s="378"/>
      <c r="AJ109" s="378"/>
      <c r="AM109" s="505"/>
      <c r="AN109" s="505"/>
      <c r="AO109" s="505"/>
      <c r="AP109" s="505"/>
      <c r="AR109" s="370"/>
      <c r="AT109" s="370"/>
      <c r="AV109" s="506"/>
      <c r="AW109" s="370"/>
      <c r="AX109" s="370"/>
      <c r="AY109" s="370"/>
      <c r="AZ109" s="370"/>
      <c r="BA109" s="507"/>
      <c r="BB109" s="505"/>
      <c r="BC109" s="505"/>
      <c r="BD109" s="370"/>
      <c r="BE109" s="370"/>
      <c r="BF109" s="370"/>
      <c r="BG109" s="370"/>
      <c r="BH109" s="370"/>
      <c r="BI109" s="370"/>
      <c r="BJ109" s="370"/>
      <c r="BK109" s="370"/>
      <c r="BL109" s="370"/>
      <c r="BM109" s="370"/>
      <c r="BN109" s="370"/>
      <c r="BO109" s="370"/>
      <c r="BP109" s="370"/>
      <c r="BQ109" s="370"/>
      <c r="BR109" s="370"/>
      <c r="BS109" s="370"/>
      <c r="BV109" s="508"/>
      <c r="BW109" s="369"/>
      <c r="BX109" s="370"/>
      <c r="BY109" s="370"/>
      <c r="BZ109" s="370"/>
      <c r="CA109" s="370"/>
      <c r="CB109" s="370"/>
      <c r="CC109" s="505"/>
      <c r="CD109" s="505"/>
      <c r="CE109" s="505"/>
      <c r="CF109" s="505"/>
      <c r="CG109" s="505"/>
      <c r="CH109" s="505"/>
      <c r="CI109" s="505"/>
    </row>
    <row r="110" customFormat="false" ht="12.75" hidden="false" customHeight="false" outlineLevel="0" collapsed="false">
      <c r="A110" s="500"/>
      <c r="B110" s="500"/>
      <c r="K110" s="363"/>
      <c r="L110" s="501"/>
      <c r="N110" s="502"/>
      <c r="O110" s="502"/>
      <c r="P110" s="371"/>
      <c r="Q110" s="501"/>
      <c r="R110" s="501"/>
      <c r="U110" s="501"/>
      <c r="V110" s="503"/>
      <c r="W110" s="503"/>
      <c r="X110" s="504"/>
      <c r="Y110" s="504"/>
      <c r="Z110" s="504"/>
      <c r="AA110" s="504"/>
      <c r="AB110" s="504"/>
      <c r="AC110" s="504"/>
      <c r="AF110" s="378"/>
      <c r="AG110" s="378"/>
      <c r="AH110" s="378"/>
      <c r="AI110" s="378"/>
      <c r="AJ110" s="378"/>
      <c r="AM110" s="505"/>
      <c r="AN110" s="505"/>
      <c r="AO110" s="505"/>
      <c r="AP110" s="505"/>
      <c r="AR110" s="370"/>
      <c r="AT110" s="370"/>
      <c r="AV110" s="506"/>
      <c r="AW110" s="370"/>
      <c r="AX110" s="370"/>
      <c r="AY110" s="370"/>
      <c r="AZ110" s="370"/>
      <c r="BA110" s="507"/>
      <c r="BB110" s="505"/>
      <c r="BC110" s="505"/>
      <c r="BD110" s="370"/>
      <c r="BE110" s="370"/>
      <c r="BF110" s="370"/>
      <c r="BG110" s="370"/>
      <c r="BH110" s="370"/>
      <c r="BI110" s="370"/>
      <c r="BJ110" s="370"/>
      <c r="BK110" s="370"/>
      <c r="BL110" s="370"/>
      <c r="BM110" s="370"/>
      <c r="BN110" s="370"/>
      <c r="BO110" s="370"/>
      <c r="BP110" s="370"/>
      <c r="BQ110" s="370"/>
      <c r="BR110" s="370"/>
      <c r="BS110" s="370"/>
      <c r="BV110" s="508"/>
      <c r="BW110" s="369"/>
      <c r="BX110" s="370"/>
      <c r="BY110" s="370"/>
      <c r="BZ110" s="370"/>
      <c r="CA110" s="370"/>
      <c r="CB110" s="370"/>
      <c r="CC110" s="505"/>
      <c r="CD110" s="505"/>
      <c r="CE110" s="505"/>
      <c r="CF110" s="505"/>
      <c r="CG110" s="505"/>
      <c r="CH110" s="505"/>
      <c r="CI110" s="505"/>
    </row>
    <row r="111" customFormat="false" ht="12.75" hidden="false" customHeight="false" outlineLevel="0" collapsed="false">
      <c r="A111" s="500"/>
      <c r="B111" s="500"/>
      <c r="K111" s="363"/>
      <c r="L111" s="501"/>
      <c r="N111" s="502"/>
      <c r="O111" s="502"/>
      <c r="P111" s="371"/>
      <c r="Q111" s="501"/>
      <c r="R111" s="501"/>
      <c r="U111" s="501"/>
      <c r="V111" s="503"/>
      <c r="W111" s="503"/>
      <c r="X111" s="504"/>
      <c r="Y111" s="504"/>
      <c r="Z111" s="504"/>
      <c r="AA111" s="504"/>
      <c r="AB111" s="504"/>
      <c r="AC111" s="504"/>
      <c r="AF111" s="378"/>
      <c r="AG111" s="378"/>
      <c r="AH111" s="378"/>
      <c r="AI111" s="378"/>
      <c r="AJ111" s="378"/>
      <c r="AM111" s="505"/>
      <c r="AN111" s="505"/>
      <c r="AO111" s="505"/>
      <c r="AP111" s="505"/>
      <c r="AR111" s="370"/>
      <c r="AT111" s="370"/>
      <c r="AV111" s="506"/>
      <c r="AW111" s="370"/>
      <c r="AX111" s="370"/>
      <c r="AY111" s="370"/>
      <c r="AZ111" s="370"/>
      <c r="BA111" s="507"/>
      <c r="BB111" s="505"/>
      <c r="BC111" s="505"/>
      <c r="BD111" s="370"/>
      <c r="BE111" s="370"/>
      <c r="BF111" s="370"/>
      <c r="BG111" s="370"/>
      <c r="BH111" s="370"/>
      <c r="BI111" s="370"/>
      <c r="BJ111" s="370"/>
      <c r="BK111" s="370"/>
      <c r="BL111" s="370"/>
      <c r="BM111" s="370"/>
      <c r="BN111" s="370"/>
      <c r="BO111" s="370"/>
      <c r="BP111" s="370"/>
      <c r="BQ111" s="370"/>
      <c r="BR111" s="370"/>
      <c r="BS111" s="370"/>
      <c r="BV111" s="508"/>
      <c r="BW111" s="369"/>
      <c r="BX111" s="370"/>
      <c r="BY111" s="370"/>
      <c r="BZ111" s="370"/>
      <c r="CA111" s="370"/>
      <c r="CB111" s="370"/>
      <c r="CC111" s="505"/>
      <c r="CD111" s="505"/>
      <c r="CE111" s="505"/>
      <c r="CF111" s="505"/>
      <c r="CG111" s="505"/>
      <c r="CH111" s="505"/>
      <c r="CI111" s="505"/>
    </row>
    <row r="112" customFormat="false" ht="12.75" hidden="false" customHeight="false" outlineLevel="0" collapsed="false">
      <c r="A112" s="500"/>
      <c r="B112" s="500"/>
      <c r="K112" s="363"/>
      <c r="L112" s="501"/>
      <c r="N112" s="502"/>
      <c r="O112" s="502"/>
      <c r="P112" s="371"/>
      <c r="Q112" s="501"/>
      <c r="R112" s="501"/>
      <c r="U112" s="501"/>
      <c r="V112" s="503"/>
      <c r="W112" s="503"/>
      <c r="X112" s="504"/>
      <c r="Y112" s="504"/>
      <c r="Z112" s="504"/>
      <c r="AA112" s="504"/>
      <c r="AB112" s="504"/>
      <c r="AC112" s="504"/>
      <c r="AF112" s="378"/>
      <c r="AG112" s="378"/>
      <c r="AH112" s="378"/>
      <c r="AI112" s="378"/>
      <c r="AJ112" s="378"/>
      <c r="AM112" s="505"/>
      <c r="AN112" s="505"/>
      <c r="AO112" s="505"/>
      <c r="AP112" s="505"/>
      <c r="AR112" s="370"/>
      <c r="AT112" s="370"/>
      <c r="AV112" s="506"/>
      <c r="AW112" s="370"/>
      <c r="AX112" s="370"/>
      <c r="AY112" s="370"/>
      <c r="AZ112" s="370"/>
      <c r="BA112" s="507"/>
      <c r="BB112" s="505"/>
      <c r="BC112" s="505"/>
      <c r="BD112" s="370"/>
      <c r="BE112" s="370"/>
      <c r="BF112" s="370"/>
      <c r="BG112" s="370"/>
      <c r="BH112" s="370"/>
      <c r="BI112" s="370"/>
      <c r="BJ112" s="370"/>
      <c r="BK112" s="370"/>
      <c r="BL112" s="370"/>
      <c r="BM112" s="370"/>
      <c r="BN112" s="370"/>
      <c r="BO112" s="370"/>
      <c r="BP112" s="370"/>
      <c r="BQ112" s="370"/>
      <c r="BR112" s="370"/>
      <c r="BS112" s="370"/>
      <c r="BV112" s="508"/>
      <c r="BW112" s="369"/>
      <c r="BX112" s="370"/>
      <c r="BY112" s="370"/>
      <c r="BZ112" s="370"/>
      <c r="CA112" s="370"/>
      <c r="CB112" s="370"/>
      <c r="CC112" s="505"/>
      <c r="CD112" s="505"/>
      <c r="CE112" s="505"/>
      <c r="CF112" s="505"/>
      <c r="CG112" s="505"/>
      <c r="CH112" s="505"/>
      <c r="CI112" s="505"/>
    </row>
    <row r="113" customFormat="false" ht="12.75" hidden="false" customHeight="false" outlineLevel="0" collapsed="false">
      <c r="A113" s="500"/>
      <c r="B113" s="500"/>
      <c r="K113" s="363"/>
      <c r="L113" s="501"/>
      <c r="N113" s="502"/>
      <c r="O113" s="502"/>
      <c r="P113" s="371"/>
      <c r="Q113" s="501"/>
      <c r="R113" s="501"/>
      <c r="U113" s="501"/>
      <c r="V113" s="503"/>
      <c r="W113" s="503"/>
      <c r="X113" s="504"/>
      <c r="Y113" s="504"/>
      <c r="Z113" s="504"/>
      <c r="AA113" s="504"/>
      <c r="AB113" s="504"/>
      <c r="AC113" s="504"/>
      <c r="AF113" s="378"/>
      <c r="AG113" s="378"/>
      <c r="AH113" s="378"/>
      <c r="AI113" s="378"/>
      <c r="AJ113" s="378"/>
      <c r="AM113" s="505"/>
      <c r="AN113" s="505"/>
      <c r="AO113" s="505"/>
      <c r="AP113" s="505"/>
      <c r="AR113" s="370"/>
      <c r="AT113" s="370"/>
      <c r="AV113" s="506"/>
      <c r="AW113" s="370"/>
      <c r="AX113" s="370"/>
      <c r="AY113" s="370"/>
      <c r="AZ113" s="370"/>
      <c r="BA113" s="507"/>
      <c r="BB113" s="505"/>
      <c r="BC113" s="505"/>
      <c r="BD113" s="370"/>
      <c r="BE113" s="370"/>
      <c r="BF113" s="370"/>
      <c r="BG113" s="370"/>
      <c r="BH113" s="370"/>
      <c r="BI113" s="370"/>
      <c r="BJ113" s="370"/>
      <c r="BK113" s="370"/>
      <c r="BL113" s="370"/>
      <c r="BM113" s="370"/>
      <c r="BN113" s="370"/>
      <c r="BO113" s="370"/>
      <c r="BP113" s="370"/>
      <c r="BQ113" s="370"/>
      <c r="BR113" s="370"/>
      <c r="BS113" s="370"/>
      <c r="BV113" s="508"/>
      <c r="BW113" s="369"/>
      <c r="BX113" s="370"/>
      <c r="BY113" s="370"/>
      <c r="BZ113" s="370"/>
      <c r="CA113" s="370"/>
      <c r="CB113" s="370"/>
      <c r="CC113" s="505"/>
      <c r="CD113" s="505"/>
      <c r="CE113" s="505"/>
      <c r="CF113" s="505"/>
      <c r="CG113" s="505"/>
      <c r="CH113" s="505"/>
      <c r="CI113" s="505"/>
    </row>
    <row r="114" customFormat="false" ht="12.75" hidden="false" customHeight="false" outlineLevel="0" collapsed="false">
      <c r="A114" s="500"/>
      <c r="B114" s="500"/>
      <c r="K114" s="363"/>
      <c r="L114" s="501"/>
      <c r="N114" s="502"/>
      <c r="O114" s="502"/>
      <c r="P114" s="371"/>
      <c r="Q114" s="501"/>
      <c r="R114" s="501"/>
      <c r="U114" s="501"/>
      <c r="V114" s="503"/>
      <c r="W114" s="503"/>
      <c r="X114" s="504"/>
      <c r="Y114" s="504"/>
      <c r="Z114" s="504"/>
      <c r="AA114" s="504"/>
      <c r="AB114" s="504"/>
      <c r="AC114" s="504"/>
      <c r="AF114" s="378"/>
      <c r="AG114" s="378"/>
      <c r="AH114" s="378"/>
      <c r="AI114" s="378"/>
      <c r="AJ114" s="378"/>
      <c r="AM114" s="505"/>
      <c r="AN114" s="505"/>
      <c r="AO114" s="505"/>
      <c r="AP114" s="505"/>
      <c r="AR114" s="370"/>
      <c r="AT114" s="370"/>
      <c r="AV114" s="506"/>
      <c r="AW114" s="370"/>
      <c r="AX114" s="370"/>
      <c r="AY114" s="370"/>
      <c r="AZ114" s="370"/>
      <c r="BA114" s="507"/>
      <c r="BB114" s="505"/>
      <c r="BC114" s="505"/>
      <c r="BD114" s="370"/>
      <c r="BE114" s="370"/>
      <c r="BF114" s="370"/>
      <c r="BG114" s="370"/>
      <c r="BH114" s="370"/>
      <c r="BI114" s="370"/>
      <c r="BJ114" s="370"/>
      <c r="BK114" s="370"/>
      <c r="BL114" s="370"/>
      <c r="BM114" s="370"/>
      <c r="BN114" s="370"/>
      <c r="BO114" s="370"/>
      <c r="BP114" s="370"/>
      <c r="BQ114" s="370"/>
      <c r="BR114" s="370"/>
      <c r="BS114" s="370"/>
      <c r="BV114" s="508"/>
      <c r="BW114" s="369"/>
      <c r="BX114" s="370"/>
      <c r="BY114" s="370"/>
      <c r="BZ114" s="370"/>
      <c r="CA114" s="370"/>
      <c r="CB114" s="370"/>
      <c r="CC114" s="505"/>
      <c r="CD114" s="505"/>
      <c r="CE114" s="505"/>
      <c r="CF114" s="505"/>
      <c r="CG114" s="505"/>
      <c r="CH114" s="505"/>
      <c r="CI114" s="505"/>
    </row>
    <row r="115" customFormat="false" ht="12.75" hidden="false" customHeight="false" outlineLevel="0" collapsed="false">
      <c r="A115" s="500"/>
      <c r="B115" s="500"/>
      <c r="K115" s="363"/>
      <c r="L115" s="501"/>
      <c r="N115" s="502"/>
      <c r="O115" s="502"/>
      <c r="P115" s="371"/>
      <c r="Q115" s="501"/>
      <c r="R115" s="501"/>
      <c r="U115" s="501"/>
      <c r="V115" s="503"/>
      <c r="W115" s="503"/>
      <c r="X115" s="504"/>
      <c r="Y115" s="504"/>
      <c r="Z115" s="504"/>
      <c r="AA115" s="504"/>
      <c r="AB115" s="504"/>
      <c r="AC115" s="504"/>
      <c r="AF115" s="378"/>
      <c r="AG115" s="378"/>
      <c r="AH115" s="378"/>
      <c r="AI115" s="378"/>
      <c r="AJ115" s="378"/>
      <c r="AM115" s="505"/>
      <c r="AN115" s="505"/>
      <c r="AO115" s="505"/>
      <c r="AP115" s="505"/>
      <c r="AR115" s="370"/>
      <c r="AT115" s="370"/>
      <c r="AV115" s="506"/>
      <c r="AW115" s="370"/>
      <c r="AX115" s="370"/>
      <c r="AY115" s="370"/>
      <c r="AZ115" s="370"/>
      <c r="BA115" s="507"/>
      <c r="BB115" s="505"/>
      <c r="BC115" s="505"/>
      <c r="BD115" s="370"/>
      <c r="BE115" s="370"/>
      <c r="BF115" s="370"/>
      <c r="BG115" s="370"/>
      <c r="BH115" s="370"/>
      <c r="BI115" s="370"/>
      <c r="BJ115" s="370"/>
      <c r="BK115" s="370"/>
      <c r="BL115" s="370"/>
      <c r="BM115" s="370"/>
      <c r="BN115" s="370"/>
      <c r="BO115" s="370"/>
      <c r="BP115" s="370"/>
      <c r="BQ115" s="370"/>
      <c r="BR115" s="370"/>
      <c r="BS115" s="370"/>
      <c r="BV115" s="508"/>
      <c r="BW115" s="369"/>
      <c r="BX115" s="370"/>
      <c r="BY115" s="370"/>
      <c r="BZ115" s="370"/>
      <c r="CA115" s="370"/>
      <c r="CB115" s="370"/>
      <c r="CC115" s="505"/>
      <c r="CD115" s="505"/>
      <c r="CE115" s="505"/>
      <c r="CF115" s="505"/>
      <c r="CG115" s="505"/>
      <c r="CH115" s="505"/>
      <c r="CI115" s="505"/>
    </row>
    <row r="116" customFormat="false" ht="12.75" hidden="false" customHeight="false" outlineLevel="0" collapsed="false">
      <c r="A116" s="500"/>
      <c r="B116" s="500"/>
      <c r="K116" s="363"/>
      <c r="L116" s="501"/>
      <c r="N116" s="502"/>
      <c r="O116" s="502"/>
      <c r="P116" s="371"/>
      <c r="Q116" s="501"/>
      <c r="R116" s="501"/>
      <c r="U116" s="501"/>
      <c r="V116" s="503"/>
      <c r="W116" s="503"/>
      <c r="X116" s="504"/>
      <c r="Y116" s="504"/>
      <c r="Z116" s="504"/>
      <c r="AA116" s="504"/>
      <c r="AB116" s="504"/>
      <c r="AC116" s="504"/>
      <c r="AF116" s="378"/>
      <c r="AG116" s="378"/>
      <c r="AH116" s="378"/>
      <c r="AI116" s="378"/>
      <c r="AJ116" s="378"/>
      <c r="AM116" s="505"/>
      <c r="AN116" s="505"/>
      <c r="AO116" s="505"/>
      <c r="AP116" s="505"/>
      <c r="AR116" s="370"/>
      <c r="AT116" s="370"/>
      <c r="AV116" s="506"/>
      <c r="AW116" s="370"/>
      <c r="AX116" s="370"/>
      <c r="AY116" s="370"/>
      <c r="AZ116" s="370"/>
      <c r="BA116" s="507"/>
      <c r="BB116" s="505"/>
      <c r="BC116" s="505"/>
      <c r="BD116" s="370"/>
      <c r="BE116" s="370"/>
      <c r="BF116" s="370"/>
      <c r="BG116" s="370"/>
      <c r="BH116" s="370"/>
      <c r="BI116" s="370"/>
      <c r="BJ116" s="370"/>
      <c r="BK116" s="370"/>
      <c r="BL116" s="370"/>
      <c r="BM116" s="370"/>
      <c r="BN116" s="370"/>
      <c r="BO116" s="370"/>
      <c r="BP116" s="370"/>
      <c r="BQ116" s="370"/>
      <c r="BR116" s="370"/>
      <c r="BS116" s="370"/>
      <c r="BV116" s="508"/>
      <c r="BW116" s="369"/>
      <c r="BX116" s="370"/>
      <c r="BY116" s="370"/>
      <c r="BZ116" s="370"/>
      <c r="CA116" s="370"/>
      <c r="CB116" s="370"/>
      <c r="CC116" s="505"/>
      <c r="CD116" s="505"/>
      <c r="CE116" s="505"/>
      <c r="CF116" s="505"/>
      <c r="CG116" s="505"/>
      <c r="CH116" s="505"/>
      <c r="CI116" s="505"/>
    </row>
    <row r="117" customFormat="false" ht="12.75" hidden="false" customHeight="false" outlineLevel="0" collapsed="false">
      <c r="A117" s="500"/>
      <c r="B117" s="500"/>
      <c r="K117" s="363"/>
      <c r="L117" s="501"/>
      <c r="N117" s="502"/>
      <c r="O117" s="502"/>
      <c r="P117" s="371"/>
      <c r="Q117" s="501"/>
      <c r="R117" s="501"/>
      <c r="U117" s="501"/>
      <c r="V117" s="503"/>
      <c r="W117" s="503"/>
      <c r="X117" s="504"/>
      <c r="Y117" s="504"/>
      <c r="Z117" s="504"/>
      <c r="AA117" s="504"/>
      <c r="AB117" s="504"/>
      <c r="AC117" s="504"/>
      <c r="AF117" s="378"/>
      <c r="AG117" s="378"/>
      <c r="AH117" s="378"/>
      <c r="AI117" s="378"/>
      <c r="AJ117" s="378"/>
      <c r="AM117" s="505"/>
      <c r="AN117" s="505"/>
      <c r="AO117" s="505"/>
      <c r="AP117" s="505"/>
      <c r="AR117" s="370"/>
      <c r="AT117" s="370"/>
      <c r="AV117" s="506"/>
      <c r="AW117" s="370"/>
      <c r="AX117" s="370"/>
      <c r="AY117" s="370"/>
      <c r="AZ117" s="370"/>
      <c r="BA117" s="507"/>
      <c r="BB117" s="505"/>
      <c r="BC117" s="505"/>
      <c r="BD117" s="370"/>
      <c r="BE117" s="370"/>
      <c r="BF117" s="370"/>
      <c r="BG117" s="370"/>
      <c r="BH117" s="370"/>
      <c r="BI117" s="370"/>
      <c r="BJ117" s="370"/>
      <c r="BK117" s="370"/>
      <c r="BL117" s="370"/>
      <c r="BM117" s="370"/>
      <c r="BN117" s="370"/>
      <c r="BO117" s="370"/>
      <c r="BP117" s="370"/>
      <c r="BQ117" s="370"/>
      <c r="BR117" s="370"/>
      <c r="BS117" s="370"/>
      <c r="BV117" s="508"/>
      <c r="BW117" s="369"/>
      <c r="BX117" s="370"/>
      <c r="BY117" s="370"/>
      <c r="BZ117" s="370"/>
      <c r="CA117" s="370"/>
      <c r="CB117" s="370"/>
      <c r="CC117" s="505"/>
      <c r="CD117" s="505"/>
      <c r="CE117" s="505"/>
      <c r="CF117" s="505"/>
      <c r="CG117" s="505"/>
      <c r="CH117" s="505"/>
      <c r="CI117" s="505"/>
    </row>
    <row r="118" customFormat="false" ht="12.75" hidden="false" customHeight="false" outlineLevel="0" collapsed="false">
      <c r="A118" s="500"/>
      <c r="B118" s="500"/>
      <c r="K118" s="363"/>
      <c r="L118" s="501"/>
      <c r="N118" s="502"/>
      <c r="O118" s="502"/>
      <c r="P118" s="371"/>
      <c r="Q118" s="501"/>
      <c r="R118" s="501"/>
      <c r="U118" s="501"/>
      <c r="V118" s="503"/>
      <c r="W118" s="503"/>
      <c r="X118" s="504"/>
      <c r="Y118" s="504"/>
      <c r="Z118" s="504"/>
      <c r="AA118" s="504"/>
      <c r="AB118" s="504"/>
      <c r="AC118" s="504"/>
      <c r="AF118" s="378"/>
      <c r="AG118" s="378"/>
      <c r="AH118" s="378"/>
      <c r="AI118" s="378"/>
      <c r="AJ118" s="378"/>
      <c r="AM118" s="505"/>
      <c r="AN118" s="505"/>
      <c r="AO118" s="505"/>
      <c r="AP118" s="505"/>
      <c r="AR118" s="370"/>
      <c r="AT118" s="370"/>
      <c r="AV118" s="506"/>
      <c r="AW118" s="370"/>
      <c r="AX118" s="370"/>
      <c r="AY118" s="370"/>
      <c r="AZ118" s="370"/>
      <c r="BA118" s="507"/>
      <c r="BB118" s="505"/>
      <c r="BC118" s="505"/>
      <c r="BD118" s="370"/>
      <c r="BE118" s="370"/>
      <c r="BF118" s="370"/>
      <c r="BG118" s="370"/>
      <c r="BH118" s="370"/>
      <c r="BI118" s="370"/>
      <c r="BJ118" s="370"/>
      <c r="BK118" s="370"/>
      <c r="BL118" s="370"/>
      <c r="BM118" s="370"/>
      <c r="BN118" s="370"/>
      <c r="BO118" s="370"/>
      <c r="BP118" s="370"/>
      <c r="BQ118" s="370"/>
      <c r="BR118" s="370"/>
      <c r="BS118" s="370"/>
      <c r="BV118" s="508"/>
      <c r="BW118" s="369"/>
      <c r="BX118" s="370"/>
      <c r="BY118" s="370"/>
      <c r="BZ118" s="370"/>
      <c r="CA118" s="370"/>
      <c r="CB118" s="370"/>
      <c r="CC118" s="505"/>
      <c r="CD118" s="505"/>
      <c r="CE118" s="505"/>
      <c r="CF118" s="505"/>
      <c r="CG118" s="505"/>
      <c r="CH118" s="505"/>
      <c r="CI118" s="505"/>
    </row>
    <row r="119" customFormat="false" ht="12.75" hidden="false" customHeight="false" outlineLevel="0" collapsed="false">
      <c r="A119" s="500"/>
      <c r="B119" s="500"/>
      <c r="K119" s="363"/>
      <c r="L119" s="501"/>
      <c r="N119" s="502"/>
      <c r="O119" s="502"/>
      <c r="P119" s="371"/>
      <c r="Q119" s="501"/>
      <c r="R119" s="501"/>
      <c r="U119" s="501"/>
      <c r="V119" s="503"/>
      <c r="W119" s="503"/>
      <c r="X119" s="504"/>
      <c r="Y119" s="504"/>
      <c r="Z119" s="504"/>
      <c r="AA119" s="504"/>
      <c r="AB119" s="504"/>
      <c r="AC119" s="504"/>
      <c r="AF119" s="378"/>
      <c r="AG119" s="378"/>
      <c r="AH119" s="378"/>
      <c r="AI119" s="378"/>
      <c r="AJ119" s="378"/>
      <c r="AM119" s="505"/>
      <c r="AN119" s="505"/>
      <c r="AO119" s="505"/>
      <c r="AP119" s="505"/>
      <c r="AR119" s="370"/>
      <c r="AT119" s="370"/>
      <c r="AV119" s="506"/>
      <c r="AW119" s="370"/>
      <c r="AX119" s="370"/>
      <c r="AY119" s="370"/>
      <c r="AZ119" s="370"/>
      <c r="BA119" s="507"/>
      <c r="BB119" s="505"/>
      <c r="BC119" s="505"/>
      <c r="BD119" s="370"/>
      <c r="BE119" s="370"/>
      <c r="BF119" s="370"/>
      <c r="BG119" s="370"/>
      <c r="BH119" s="370"/>
      <c r="BI119" s="370"/>
      <c r="BJ119" s="370"/>
      <c r="BK119" s="370"/>
      <c r="BL119" s="370"/>
      <c r="BM119" s="370"/>
      <c r="BN119" s="370"/>
      <c r="BO119" s="370"/>
      <c r="BP119" s="370"/>
      <c r="BQ119" s="370"/>
      <c r="BR119" s="370"/>
      <c r="BS119" s="370"/>
      <c r="BV119" s="508"/>
      <c r="BW119" s="369"/>
      <c r="BX119" s="370"/>
      <c r="BY119" s="370"/>
      <c r="BZ119" s="370"/>
      <c r="CA119" s="370"/>
      <c r="CB119" s="370"/>
      <c r="CC119" s="505"/>
      <c r="CD119" s="505"/>
      <c r="CE119" s="505"/>
      <c r="CF119" s="505"/>
      <c r="CG119" s="505"/>
      <c r="CH119" s="505"/>
      <c r="CI119" s="505"/>
    </row>
    <row r="120" customFormat="false" ht="12.75" hidden="false" customHeight="false" outlineLevel="0" collapsed="false">
      <c r="A120" s="500"/>
      <c r="B120" s="500"/>
      <c r="P120" s="371"/>
      <c r="Q120" s="371"/>
      <c r="R120" s="371"/>
      <c r="U120" s="371"/>
      <c r="V120" s="371"/>
      <c r="W120" s="371"/>
      <c r="X120" s="371"/>
    </row>
    <row r="121" customFormat="false" ht="12.75" hidden="false" customHeight="false" outlineLevel="0" collapsed="false">
      <c r="A121" s="500"/>
      <c r="B121" s="500"/>
      <c r="P121" s="371"/>
      <c r="Q121" s="371"/>
      <c r="R121" s="371"/>
      <c r="U121" s="371"/>
      <c r="V121" s="371"/>
      <c r="W121" s="371"/>
      <c r="X121" s="371"/>
    </row>
    <row r="122" customFormat="false" ht="12.75" hidden="false" customHeight="false" outlineLevel="0" collapsed="false">
      <c r="A122" s="500"/>
      <c r="B122" s="500"/>
      <c r="P122" s="371"/>
      <c r="Q122" s="371"/>
      <c r="R122" s="371"/>
      <c r="U122" s="371"/>
      <c r="V122" s="371"/>
      <c r="W122" s="371"/>
      <c r="X122" s="371"/>
    </row>
    <row r="123" customFormat="false" ht="12.75" hidden="false" customHeight="false" outlineLevel="0" collapsed="false">
      <c r="A123" s="500"/>
      <c r="B123" s="500"/>
      <c r="P123" s="371"/>
      <c r="Q123" s="371"/>
      <c r="R123" s="371"/>
      <c r="U123" s="371"/>
      <c r="V123" s="371"/>
      <c r="W123" s="371"/>
      <c r="X123" s="371"/>
    </row>
    <row r="124" customFormat="false" ht="12.75" hidden="false" customHeight="false" outlineLevel="0" collapsed="false">
      <c r="A124" s="500"/>
      <c r="B124" s="500"/>
      <c r="P124" s="371"/>
      <c r="Q124" s="371"/>
      <c r="R124" s="371"/>
      <c r="U124" s="371"/>
      <c r="V124" s="371"/>
      <c r="W124" s="371"/>
      <c r="X124" s="371"/>
    </row>
    <row r="125" customFormat="false" ht="12.75" hidden="false" customHeight="false" outlineLevel="0" collapsed="false">
      <c r="A125" s="500"/>
      <c r="B125" s="500"/>
      <c r="P125" s="371"/>
      <c r="Q125" s="371"/>
      <c r="R125" s="371"/>
      <c r="U125" s="371"/>
      <c r="V125" s="371"/>
      <c r="W125" s="371"/>
      <c r="X125" s="371"/>
    </row>
    <row r="126" customFormat="false" ht="12.75" hidden="false" customHeight="false" outlineLevel="0" collapsed="false">
      <c r="A126" s="500"/>
      <c r="B126" s="500"/>
      <c r="P126" s="371"/>
      <c r="Q126" s="371"/>
      <c r="R126" s="371"/>
      <c r="U126" s="371"/>
      <c r="V126" s="371"/>
      <c r="W126" s="371"/>
      <c r="X126" s="371"/>
    </row>
    <row r="127" customFormat="false" ht="12.75" hidden="false" customHeight="false" outlineLevel="0" collapsed="false">
      <c r="A127" s="500"/>
      <c r="B127" s="500"/>
      <c r="P127" s="371"/>
      <c r="Q127" s="371"/>
      <c r="R127" s="371"/>
      <c r="U127" s="371"/>
      <c r="V127" s="371"/>
      <c r="W127" s="371"/>
      <c r="X127" s="371"/>
    </row>
    <row r="128" customFormat="false" ht="12.75" hidden="false" customHeight="false" outlineLevel="0" collapsed="false">
      <c r="A128" s="500"/>
      <c r="B128" s="500"/>
      <c r="P128" s="371"/>
      <c r="Q128" s="371"/>
      <c r="R128" s="371"/>
      <c r="U128" s="371"/>
      <c r="V128" s="371"/>
      <c r="W128" s="371"/>
      <c r="X128" s="371"/>
    </row>
    <row r="129" customFormat="false" ht="12.75" hidden="false" customHeight="false" outlineLevel="0" collapsed="false">
      <c r="A129" s="500"/>
      <c r="B129" s="500"/>
      <c r="P129" s="371"/>
      <c r="Q129" s="371"/>
      <c r="R129" s="371"/>
      <c r="U129" s="371"/>
      <c r="V129" s="371"/>
      <c r="W129" s="371"/>
      <c r="X129" s="371"/>
    </row>
    <row r="130" customFormat="false" ht="12.75" hidden="false" customHeight="false" outlineLevel="0" collapsed="false">
      <c r="P130" s="371"/>
      <c r="Q130" s="371"/>
      <c r="R130" s="371"/>
      <c r="U130" s="371"/>
      <c r="V130" s="371"/>
      <c r="W130" s="371"/>
      <c r="X130" s="371"/>
    </row>
    <row r="131" customFormat="false" ht="12.75" hidden="false" customHeight="false" outlineLevel="0" collapsed="false">
      <c r="P131" s="371"/>
      <c r="Q131" s="371"/>
      <c r="R131" s="371"/>
      <c r="U131" s="371"/>
      <c r="V131" s="371"/>
      <c r="W131" s="371"/>
      <c r="X131" s="371"/>
    </row>
    <row r="132" customFormat="false" ht="12.75" hidden="false" customHeight="false" outlineLevel="0" collapsed="false">
      <c r="P132" s="371"/>
      <c r="Q132" s="371"/>
      <c r="R132" s="371"/>
      <c r="U132" s="371"/>
      <c r="V132" s="371"/>
      <c r="W132" s="371"/>
      <c r="X132" s="371"/>
    </row>
    <row r="133" customFormat="false" ht="12.75" hidden="false" customHeight="false" outlineLevel="0" collapsed="false">
      <c r="P133" s="371"/>
      <c r="Q133" s="371"/>
      <c r="R133" s="371"/>
      <c r="U133" s="371"/>
      <c r="V133" s="371"/>
      <c r="W133" s="371"/>
      <c r="X133" s="371"/>
    </row>
    <row r="134" customFormat="false" ht="12.75" hidden="false" customHeight="false" outlineLevel="0" collapsed="false">
      <c r="P134" s="371"/>
      <c r="Q134" s="371"/>
      <c r="R134" s="371"/>
      <c r="U134" s="371"/>
      <c r="V134" s="371"/>
      <c r="W134" s="371"/>
      <c r="X134" s="371"/>
    </row>
    <row r="135" customFormat="false" ht="12.75" hidden="false" customHeight="false" outlineLevel="0" collapsed="false">
      <c r="P135" s="371"/>
      <c r="Q135" s="371"/>
      <c r="R135" s="371"/>
      <c r="U135" s="371"/>
      <c r="V135" s="371"/>
      <c r="W135" s="371"/>
      <c r="X135" s="371"/>
    </row>
    <row r="136" customFormat="false" ht="12.75" hidden="false" customHeight="false" outlineLevel="0" collapsed="false">
      <c r="P136" s="371"/>
      <c r="Q136" s="371"/>
      <c r="R136" s="371"/>
      <c r="U136" s="371"/>
      <c r="V136" s="371"/>
      <c r="W136" s="371"/>
      <c r="X136" s="371"/>
    </row>
    <row r="137" customFormat="false" ht="12.75" hidden="false" customHeight="false" outlineLevel="0" collapsed="false">
      <c r="P137" s="371"/>
      <c r="Q137" s="371"/>
      <c r="R137" s="371"/>
      <c r="U137" s="371"/>
      <c r="V137" s="371"/>
      <c r="W137" s="371"/>
      <c r="X137" s="371"/>
    </row>
    <row r="138" customFormat="false" ht="12.75" hidden="false" customHeight="false" outlineLevel="0" collapsed="false">
      <c r="P138" s="371"/>
      <c r="Q138" s="371"/>
      <c r="R138" s="371"/>
      <c r="U138" s="371"/>
      <c r="V138" s="371"/>
      <c r="W138" s="371"/>
      <c r="X138" s="371"/>
    </row>
    <row r="139" customFormat="false" ht="12.75" hidden="false" customHeight="false" outlineLevel="0" collapsed="false">
      <c r="P139" s="371"/>
      <c r="Q139" s="371"/>
      <c r="R139" s="371"/>
      <c r="U139" s="371"/>
      <c r="V139" s="371"/>
      <c r="W139" s="371"/>
      <c r="X139" s="371"/>
    </row>
    <row r="140" customFormat="false" ht="12.75" hidden="false" customHeight="false" outlineLevel="0" collapsed="false">
      <c r="P140" s="371"/>
      <c r="Q140" s="371"/>
      <c r="R140" s="371"/>
      <c r="U140" s="371"/>
      <c r="V140" s="371"/>
      <c r="W140" s="371"/>
      <c r="X140" s="371"/>
    </row>
    <row r="141" customFormat="false" ht="12.75" hidden="false" customHeight="false" outlineLevel="0" collapsed="false">
      <c r="P141" s="371"/>
      <c r="Q141" s="371"/>
      <c r="R141" s="371"/>
      <c r="U141" s="371"/>
      <c r="V141" s="371"/>
      <c r="W141" s="371"/>
      <c r="X141" s="371"/>
    </row>
    <row r="142" customFormat="false" ht="12.75" hidden="false" customHeight="false" outlineLevel="0" collapsed="false">
      <c r="P142" s="371"/>
      <c r="Q142" s="371"/>
      <c r="R142" s="371"/>
      <c r="U142" s="371"/>
      <c r="V142" s="371"/>
      <c r="W142" s="371"/>
      <c r="X142" s="371"/>
    </row>
    <row r="143" customFormat="false" ht="12.75" hidden="false" customHeight="false" outlineLevel="0" collapsed="false">
      <c r="P143" s="371"/>
      <c r="Q143" s="371"/>
      <c r="R143" s="371"/>
      <c r="U143" s="371"/>
      <c r="V143" s="371"/>
      <c r="W143" s="371"/>
      <c r="X143" s="371"/>
    </row>
    <row r="144" customFormat="false" ht="12.75" hidden="false" customHeight="false" outlineLevel="0" collapsed="false">
      <c r="P144" s="371"/>
      <c r="Q144" s="371"/>
      <c r="R144" s="371"/>
      <c r="U144" s="371"/>
      <c r="V144" s="371"/>
      <c r="W144" s="371"/>
      <c r="X144" s="371"/>
    </row>
    <row r="145" customFormat="false" ht="12.75" hidden="false" customHeight="false" outlineLevel="0" collapsed="false">
      <c r="P145" s="371"/>
      <c r="Q145" s="371"/>
      <c r="R145" s="371"/>
      <c r="U145" s="371"/>
      <c r="V145" s="371"/>
      <c r="W145" s="371"/>
      <c r="X145" s="371"/>
    </row>
    <row r="146" customFormat="false" ht="12.75" hidden="false" customHeight="false" outlineLevel="0" collapsed="false">
      <c r="P146" s="371"/>
      <c r="Q146" s="371"/>
      <c r="R146" s="371"/>
      <c r="U146" s="371"/>
      <c r="V146" s="371"/>
      <c r="W146" s="371"/>
      <c r="X146" s="371"/>
    </row>
    <row r="147" customFormat="false" ht="12.75" hidden="false" customHeight="false" outlineLevel="0" collapsed="false">
      <c r="P147" s="371"/>
      <c r="Q147" s="371"/>
      <c r="R147" s="371"/>
      <c r="U147" s="371"/>
      <c r="V147" s="371"/>
      <c r="W147" s="371"/>
      <c r="X147" s="371"/>
    </row>
    <row r="148" customFormat="false" ht="12.75" hidden="false" customHeight="false" outlineLevel="0" collapsed="false">
      <c r="P148" s="371"/>
      <c r="Q148" s="371"/>
      <c r="R148" s="371"/>
      <c r="U148" s="371"/>
      <c r="V148" s="371"/>
      <c r="W148" s="371"/>
      <c r="X148" s="371"/>
    </row>
    <row r="149" customFormat="false" ht="12.75" hidden="false" customHeight="false" outlineLevel="0" collapsed="false">
      <c r="P149" s="371"/>
      <c r="Q149" s="371"/>
      <c r="R149" s="371"/>
      <c r="U149" s="371"/>
      <c r="V149" s="371"/>
      <c r="W149" s="371"/>
      <c r="X149" s="371"/>
    </row>
    <row r="150" customFormat="false" ht="12.75" hidden="false" customHeight="false" outlineLevel="0" collapsed="false">
      <c r="P150" s="371"/>
      <c r="Q150" s="371"/>
      <c r="R150" s="371"/>
      <c r="U150" s="371"/>
      <c r="V150" s="371"/>
      <c r="W150" s="371"/>
      <c r="X150" s="371"/>
    </row>
    <row r="151" customFormat="false" ht="12.75" hidden="false" customHeight="false" outlineLevel="0" collapsed="false">
      <c r="P151" s="371"/>
      <c r="Q151" s="371"/>
      <c r="R151" s="371"/>
      <c r="U151" s="371"/>
      <c r="V151" s="371"/>
      <c r="W151" s="371"/>
      <c r="X151" s="371"/>
    </row>
    <row r="152" customFormat="false" ht="12.75" hidden="false" customHeight="false" outlineLevel="0" collapsed="false">
      <c r="P152" s="371"/>
      <c r="Q152" s="371"/>
      <c r="R152" s="371"/>
      <c r="U152" s="371"/>
      <c r="V152" s="371"/>
      <c r="W152" s="371"/>
      <c r="X152" s="371"/>
    </row>
    <row r="153" customFormat="false" ht="12.75" hidden="false" customHeight="false" outlineLevel="0" collapsed="false">
      <c r="P153" s="371"/>
      <c r="Q153" s="371"/>
      <c r="R153" s="371"/>
      <c r="U153" s="371"/>
      <c r="V153" s="371"/>
      <c r="W153" s="371"/>
      <c r="X153" s="371"/>
    </row>
    <row r="154" customFormat="false" ht="12.75" hidden="false" customHeight="false" outlineLevel="0" collapsed="false">
      <c r="P154" s="371"/>
      <c r="Q154" s="371"/>
      <c r="R154" s="371"/>
      <c r="U154" s="371"/>
      <c r="V154" s="371"/>
      <c r="W154" s="371"/>
      <c r="X154" s="371"/>
    </row>
    <row r="155" customFormat="false" ht="12.75" hidden="false" customHeight="false" outlineLevel="0" collapsed="false">
      <c r="P155" s="371"/>
      <c r="Q155" s="371"/>
      <c r="R155" s="371"/>
      <c r="U155" s="371"/>
      <c r="V155" s="371"/>
      <c r="W155" s="371"/>
      <c r="X155" s="371"/>
    </row>
    <row r="156" customFormat="false" ht="12.75" hidden="false" customHeight="false" outlineLevel="0" collapsed="false">
      <c r="P156" s="371"/>
      <c r="Q156" s="371"/>
      <c r="R156" s="371"/>
      <c r="U156" s="371"/>
      <c r="V156" s="371"/>
      <c r="W156" s="371"/>
      <c r="X156" s="371"/>
    </row>
    <row r="157" customFormat="false" ht="12.75" hidden="false" customHeight="false" outlineLevel="0" collapsed="false">
      <c r="P157" s="371"/>
      <c r="Q157" s="371"/>
      <c r="R157" s="371"/>
      <c r="U157" s="371"/>
      <c r="V157" s="371"/>
      <c r="W157" s="371"/>
      <c r="X157" s="371"/>
    </row>
    <row r="158" customFormat="false" ht="12.75" hidden="false" customHeight="false" outlineLevel="0" collapsed="false">
      <c r="P158" s="371"/>
      <c r="Q158" s="371"/>
      <c r="R158" s="371"/>
      <c r="U158" s="371"/>
      <c r="V158" s="371"/>
      <c r="W158" s="371"/>
      <c r="X158" s="371"/>
    </row>
    <row r="159" customFormat="false" ht="12.75" hidden="false" customHeight="false" outlineLevel="0" collapsed="false">
      <c r="P159" s="371"/>
      <c r="Q159" s="371"/>
      <c r="R159" s="371"/>
      <c r="U159" s="371"/>
      <c r="V159" s="371"/>
      <c r="W159" s="371"/>
      <c r="X159" s="371"/>
    </row>
    <row r="160" customFormat="false" ht="12.75" hidden="false" customHeight="false" outlineLevel="0" collapsed="false">
      <c r="P160" s="371"/>
      <c r="Q160" s="371"/>
      <c r="R160" s="371"/>
      <c r="U160" s="371"/>
      <c r="V160" s="371"/>
      <c r="W160" s="371"/>
      <c r="X160" s="371"/>
    </row>
    <row r="161" customFormat="false" ht="12.75" hidden="false" customHeight="false" outlineLevel="0" collapsed="false">
      <c r="P161" s="371"/>
      <c r="Q161" s="371"/>
      <c r="R161" s="371"/>
      <c r="U161" s="371"/>
      <c r="V161" s="371"/>
      <c r="W161" s="371"/>
      <c r="X161" s="371"/>
    </row>
    <row r="162" customFormat="false" ht="12.75" hidden="false" customHeight="false" outlineLevel="0" collapsed="false">
      <c r="P162" s="371"/>
      <c r="Q162" s="371"/>
      <c r="R162" s="371"/>
      <c r="U162" s="371"/>
      <c r="V162" s="371"/>
      <c r="W162" s="371"/>
      <c r="X162" s="371"/>
    </row>
    <row r="163" customFormat="false" ht="12.75" hidden="false" customHeight="false" outlineLevel="0" collapsed="false">
      <c r="P163" s="371"/>
      <c r="Q163" s="371"/>
      <c r="R163" s="371"/>
      <c r="U163" s="371"/>
      <c r="V163" s="371"/>
      <c r="W163" s="371"/>
      <c r="X163" s="371"/>
    </row>
    <row r="164" customFormat="false" ht="12.75" hidden="false" customHeight="false" outlineLevel="0" collapsed="false">
      <c r="P164" s="371"/>
      <c r="Q164" s="371"/>
      <c r="R164" s="371"/>
      <c r="U164" s="371"/>
      <c r="V164" s="371"/>
      <c r="W164" s="371"/>
      <c r="X164" s="371"/>
    </row>
    <row r="165" customFormat="false" ht="12.75" hidden="false" customHeight="false" outlineLevel="0" collapsed="false">
      <c r="P165" s="371"/>
      <c r="Q165" s="371"/>
      <c r="R165" s="371"/>
      <c r="U165" s="371"/>
      <c r="V165" s="371"/>
      <c r="W165" s="371"/>
      <c r="X165" s="371"/>
    </row>
    <row r="166" customFormat="false" ht="12.75" hidden="false" customHeight="false" outlineLevel="0" collapsed="false">
      <c r="P166" s="371"/>
      <c r="Q166" s="371"/>
      <c r="R166" s="371"/>
      <c r="U166" s="371"/>
      <c r="V166" s="371"/>
      <c r="W166" s="371"/>
      <c r="X166" s="371"/>
    </row>
    <row r="167" customFormat="false" ht="12.75" hidden="false" customHeight="false" outlineLevel="0" collapsed="false">
      <c r="P167" s="371"/>
      <c r="Q167" s="371"/>
      <c r="R167" s="371"/>
      <c r="U167" s="371"/>
      <c r="V167" s="371"/>
      <c r="W167" s="371"/>
      <c r="X167" s="371"/>
    </row>
    <row r="168" customFormat="false" ht="12.75" hidden="false" customHeight="false" outlineLevel="0" collapsed="false">
      <c r="P168" s="371"/>
      <c r="Q168" s="371"/>
      <c r="R168" s="371"/>
      <c r="U168" s="371"/>
      <c r="V168" s="371"/>
      <c r="W168" s="371"/>
      <c r="X168" s="371"/>
    </row>
    <row r="169" customFormat="false" ht="12.75" hidden="false" customHeight="false" outlineLevel="0" collapsed="false">
      <c r="P169" s="371"/>
      <c r="Q169" s="371"/>
      <c r="R169" s="371"/>
      <c r="U169" s="371"/>
      <c r="V169" s="371"/>
      <c r="W169" s="371"/>
      <c r="X169" s="371"/>
    </row>
    <row r="170" customFormat="false" ht="12.75" hidden="false" customHeight="false" outlineLevel="0" collapsed="false">
      <c r="P170" s="371"/>
      <c r="Q170" s="371"/>
      <c r="R170" s="371"/>
      <c r="U170" s="371"/>
      <c r="V170" s="371"/>
      <c r="W170" s="371"/>
      <c r="X170" s="371"/>
    </row>
    <row r="171" customFormat="false" ht="12.75" hidden="false" customHeight="false" outlineLevel="0" collapsed="false">
      <c r="P171" s="371"/>
      <c r="Q171" s="371"/>
      <c r="R171" s="371"/>
      <c r="U171" s="371"/>
      <c r="V171" s="371"/>
      <c r="W171" s="371"/>
      <c r="X171" s="371"/>
    </row>
    <row r="172" customFormat="false" ht="12.75" hidden="false" customHeight="false" outlineLevel="0" collapsed="false">
      <c r="P172" s="371"/>
      <c r="Q172" s="371"/>
      <c r="R172" s="371"/>
      <c r="U172" s="371"/>
      <c r="V172" s="371"/>
      <c r="W172" s="371"/>
      <c r="X172" s="371"/>
    </row>
    <row r="173" customFormat="false" ht="12.75" hidden="false" customHeight="false" outlineLevel="0" collapsed="false">
      <c r="P173" s="371"/>
      <c r="Q173" s="371"/>
      <c r="R173" s="371"/>
      <c r="U173" s="371"/>
      <c r="V173" s="371"/>
      <c r="W173" s="371"/>
      <c r="X173" s="371"/>
    </row>
    <row r="174" customFormat="false" ht="12.75" hidden="false" customHeight="false" outlineLevel="0" collapsed="false">
      <c r="P174" s="371"/>
      <c r="Q174" s="371"/>
      <c r="R174" s="371"/>
      <c r="U174" s="371"/>
      <c r="V174" s="371"/>
      <c r="W174" s="371"/>
      <c r="X174" s="371"/>
    </row>
    <row r="175" customFormat="false" ht="12.75" hidden="false" customHeight="false" outlineLevel="0" collapsed="false">
      <c r="P175" s="371"/>
      <c r="Q175" s="371"/>
      <c r="R175" s="371"/>
      <c r="U175" s="371"/>
      <c r="V175" s="371"/>
      <c r="W175" s="371"/>
      <c r="X175" s="371"/>
    </row>
    <row r="176" customFormat="false" ht="12.75" hidden="false" customHeight="false" outlineLevel="0" collapsed="false">
      <c r="P176" s="371"/>
      <c r="Q176" s="371"/>
      <c r="R176" s="371"/>
      <c r="U176" s="371"/>
      <c r="V176" s="371"/>
      <c r="W176" s="371"/>
      <c r="X176" s="371"/>
    </row>
    <row r="177" customFormat="false" ht="12.75" hidden="false" customHeight="false" outlineLevel="0" collapsed="false">
      <c r="P177" s="371"/>
      <c r="Q177" s="371"/>
      <c r="R177" s="371"/>
      <c r="U177" s="371"/>
      <c r="V177" s="371"/>
      <c r="W177" s="371"/>
      <c r="X177" s="371"/>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row r="404" customFormat="false" ht="12.75" hidden="false" customHeight="false" outlineLevel="0" collapsed="false">
      <c r="P404" s="371"/>
      <c r="Q404" s="371"/>
      <c r="R404" s="371"/>
      <c r="U404" s="371"/>
      <c r="V404" s="371"/>
      <c r="W404" s="371"/>
      <c r="X404" s="371"/>
    </row>
    <row r="405" customFormat="false" ht="12.75" hidden="false" customHeight="false" outlineLevel="0" collapsed="false">
      <c r="P405" s="371"/>
      <c r="Q405" s="371"/>
      <c r="R405" s="371"/>
      <c r="U405" s="371"/>
      <c r="V405" s="371"/>
      <c r="W405" s="371"/>
      <c r="X405" s="371"/>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403"/>
  <sheetViews>
    <sheetView showFormulas="false" showGridLines="true" showRowColHeaders="true" showZeros="true" rightToLeft="false" tabSelected="false" showOutlineSymbols="true" defaultGridColor="true" view="normal" topLeftCell="J17" colorId="64" zoomScale="80" zoomScaleNormal="80" zoomScalePageLayoutView="100" workbookViewId="0">
      <selection pane="topLeft" activeCell="CI21" activeCellId="0" sqref="CI21:CI34"/>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115" min="89" style="95" width="9.14"/>
    <col collapsed="false" customWidth="true" hidden="false" outlineLevel="0" max="118" min="116" style="95" width="11.42"/>
    <col collapsed="false" customWidth="false" hidden="false" outlineLevel="0" max="257" min="11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9</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414052.82</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1033855.7</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-619802.89</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6797.29</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42961.61</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-288852.63</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25745.93</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2071.64</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-462.39</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1068.26</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50.75</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21.87</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c r="CZ17" s="513" t="s">
        <v>16</v>
      </c>
      <c r="DA17" s="513"/>
      <c r="DB17" s="513"/>
      <c r="DC17" s="513" t="s">
        <v>16</v>
      </c>
      <c r="DD17" s="513"/>
      <c r="DE17" s="513"/>
      <c r="DF17" s="513" t="s">
        <v>529</v>
      </c>
      <c r="DG17" s="513"/>
      <c r="DH17" s="513"/>
      <c r="DI17" s="513" t="s">
        <v>529</v>
      </c>
      <c r="DJ17" s="513"/>
      <c r="DK17" s="513"/>
      <c r="DL17" s="513" t="s">
        <v>530</v>
      </c>
      <c r="DM17" s="513"/>
      <c r="DN17" s="513"/>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357445.72</v>
      </c>
      <c r="P18" s="415" t="e">
        <f aca="false">N18-O18</f>
        <v>#VALUE!</v>
      </c>
      <c r="AU18" s="433"/>
      <c r="AV18" s="383"/>
      <c r="AW18" s="378"/>
      <c r="AX18" s="383" t="str">
        <f aca="false">ADDRESS(ROW($CI$22),COLUMN($CI$22))</f>
        <v>$CI$22</v>
      </c>
      <c r="AY18" s="378" t="e">
        <f aca="false">GetEnd($AV$1,AX18)</f>
        <v>#VALUE!</v>
      </c>
      <c r="CM18" s="511"/>
      <c r="CZ18" s="514"/>
      <c r="DA18" s="515"/>
      <c r="DB18" s="516"/>
      <c r="DC18" s="514"/>
      <c r="DD18" s="515"/>
      <c r="DE18" s="516"/>
      <c r="DF18" s="514"/>
      <c r="DG18" s="515"/>
      <c r="DH18" s="516"/>
      <c r="DI18" s="514"/>
      <c r="DJ18" s="515"/>
      <c r="DK18" s="515"/>
      <c r="DL18" s="514"/>
      <c r="DM18" s="515"/>
      <c r="DN18" s="516"/>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56607.1</v>
      </c>
      <c r="P19" s="465" t="e">
        <f aca="false">N19-O19</f>
        <v>#VALUE!</v>
      </c>
      <c r="AU19" s="433"/>
      <c r="AV19" s="383"/>
      <c r="AW19" s="378"/>
      <c r="CM19" s="511"/>
      <c r="CZ19" s="514"/>
      <c r="DA19" s="515"/>
      <c r="DB19" s="516"/>
      <c r="DC19" s="514"/>
      <c r="DD19" s="515"/>
      <c r="DE19" s="516"/>
      <c r="DF19" s="514"/>
      <c r="DG19" s="515"/>
      <c r="DH19" s="516"/>
      <c r="DI19" s="514"/>
      <c r="DJ19" s="515"/>
      <c r="DK19" s="515"/>
      <c r="DL19" s="514"/>
      <c r="DM19" s="515"/>
      <c r="DN19" s="516"/>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c r="CZ20" s="517" t="s">
        <v>531</v>
      </c>
      <c r="DA20" s="517"/>
      <c r="DB20" s="517"/>
      <c r="DC20" s="517" t="s">
        <v>532</v>
      </c>
      <c r="DD20" s="517"/>
      <c r="DE20" s="517"/>
      <c r="DF20" s="517" t="s">
        <v>531</v>
      </c>
      <c r="DG20" s="517"/>
      <c r="DH20" s="517"/>
      <c r="DI20" s="514" t="s">
        <v>532</v>
      </c>
      <c r="DJ20" s="514"/>
      <c r="DK20" s="514"/>
      <c r="DL20" s="518" t="e">
        <f aca="false">SUM(DL22:DL35)</f>
        <v>#VALUE!</v>
      </c>
      <c r="DM20" s="519" t="e">
        <f aca="false">SUM(DM22:DM35)</f>
        <v>#VALUE!</v>
      </c>
      <c r="DN20" s="520" t="e">
        <f aca="false">SUM(DN22:DN35)</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521" t="s">
        <v>410</v>
      </c>
      <c r="DA21" s="522" t="s">
        <v>420</v>
      </c>
      <c r="DB21" s="523" t="s">
        <v>421</v>
      </c>
      <c r="DC21" s="521" t="s">
        <v>410</v>
      </c>
      <c r="DD21" s="522" t="s">
        <v>420</v>
      </c>
      <c r="DE21" s="523" t="s">
        <v>421</v>
      </c>
      <c r="DF21" s="521" t="s">
        <v>410</v>
      </c>
      <c r="DG21" s="522" t="s">
        <v>420</v>
      </c>
      <c r="DH21" s="523" t="s">
        <v>421</v>
      </c>
      <c r="DI21" s="521" t="s">
        <v>410</v>
      </c>
      <c r="DJ21" s="522" t="s">
        <v>420</v>
      </c>
      <c r="DK21" s="522" t="s">
        <v>421</v>
      </c>
      <c r="DL21" s="521" t="s">
        <v>410</v>
      </c>
      <c r="DM21" s="522" t="s">
        <v>420</v>
      </c>
      <c r="DN21" s="523" t="s">
        <v>421</v>
      </c>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3.00828157349897</v>
      </c>
      <c r="BW22" s="369" t="n">
        <v>2.851</v>
      </c>
      <c r="BX22" s="370" t="n">
        <v>1.14046010615512</v>
      </c>
      <c r="BY22" s="370" t="n">
        <v>1.01983536862794</v>
      </c>
      <c r="BZ22" s="370" t="n">
        <v>0.993131370171114</v>
      </c>
      <c r="CA22" s="370" t="n">
        <v>0.0187659081571607</v>
      </c>
      <c r="CB22" s="370" t="n">
        <v>0.998364899395796</v>
      </c>
      <c r="CC22" s="505" t="n">
        <v>0.06</v>
      </c>
      <c r="CD22" s="505" t="n">
        <v>0</v>
      </c>
      <c r="CE22" s="505" t="n">
        <v>-0.015</v>
      </c>
      <c r="CF22" s="505" t="n">
        <v>0.02</v>
      </c>
      <c r="CG22" s="505" t="n">
        <v>0</v>
      </c>
      <c r="CH22" s="505" t="n">
        <v>10.6156139752755</v>
      </c>
      <c r="CI22" s="505" t="n">
        <v>2.846</v>
      </c>
      <c r="CZ22" s="524" t="e">
        <f aca="false">AL22</f>
        <v>#VALUE!</v>
      </c>
      <c r="DA22" s="525" t="e">
        <f aca="false">AO22</f>
        <v>#VALUE!</v>
      </c>
      <c r="DB22" s="526" t="e">
        <f aca="false">AP22</f>
        <v>#VALUE!</v>
      </c>
      <c r="DC22" s="524" t="n">
        <f aca="false">CI22</f>
        <v>2.846</v>
      </c>
      <c r="DD22" s="525" t="n">
        <f aca="false">CE22</f>
        <v>-0.015</v>
      </c>
      <c r="DE22" s="526" t="n">
        <f aca="false">CF22</f>
        <v>0.02</v>
      </c>
      <c r="DF22" s="524" t="e">
        <f aca="false">AL22/(1-AR22)</f>
        <v>#VALUE!</v>
      </c>
      <c r="DG22" s="525" t="e">
        <f aca="false">AM22/(1-AR22)</f>
        <v>#VALUE!</v>
      </c>
      <c r="DH22" s="526" t="e">
        <f aca="false">AN22/(1-AR22)</f>
        <v>#VALUE!</v>
      </c>
      <c r="DI22" s="524" t="e">
        <f aca="false">CI22/(1-AR22)</f>
        <v>#VALUE!</v>
      </c>
      <c r="DJ22" s="525" t="e">
        <f aca="false">CC22/(1-AR22)</f>
        <v>#VALUE!</v>
      </c>
      <c r="DK22" s="525" t="e">
        <f aca="false">CD22/(1-AR22)</f>
        <v>#VALUE!</v>
      </c>
      <c r="DL22" s="518" t="e">
        <f aca="false">(($BM22*(CZ22-DC22))+($BL22*(DF22-DI22)))*$AH22*$AF22*$F22</f>
        <v>#VALUE!</v>
      </c>
      <c r="DM22" s="519" t="e">
        <f aca="false">(($BM22*(DA22-DD22))+($BL22*(DG22-DJ22)))*$AH22*$AF22*$F22</f>
        <v>#VALUE!</v>
      </c>
      <c r="DN22" s="520" t="e">
        <f aca="false">(($BM22*(DB22-DE22))+($BL22*(DH22-DK22)))*$AH22*$AF22*$F22</f>
        <v>#VALUE!</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v>
      </c>
      <c r="BW23" s="369" t="n">
        <v>2.878</v>
      </c>
      <c r="BX23" s="370" t="n">
        <v>1.00563827161327</v>
      </c>
      <c r="BY23" s="370" t="n">
        <v>0.941356881197444</v>
      </c>
      <c r="BZ23" s="370" t="n">
        <v>0.993427985264149</v>
      </c>
      <c r="CA23" s="370" t="n">
        <v>0.0193261872820063</v>
      </c>
      <c r="CB23" s="370" t="n">
        <v>0.996688029844541</v>
      </c>
      <c r="CC23" s="505" t="n">
        <v>-0.01</v>
      </c>
      <c r="CD23" s="505" t="n">
        <v>0</v>
      </c>
      <c r="CE23" s="505" t="n">
        <v>-0.05</v>
      </c>
      <c r="CF23" s="505" t="n">
        <v>0.02</v>
      </c>
      <c r="CG23" s="505" t="n">
        <v>0</v>
      </c>
      <c r="CH23" s="505" t="n">
        <v>9.57219183862697</v>
      </c>
      <c r="CI23" s="505" t="n">
        <v>2.908</v>
      </c>
      <c r="CZ23" s="524" t="e">
        <f aca="false">AL23</f>
        <v>#VALUE!</v>
      </c>
      <c r="DA23" s="525" t="e">
        <f aca="false">AO23</f>
        <v>#VALUE!</v>
      </c>
      <c r="DB23" s="526" t="e">
        <f aca="false">AP23</f>
        <v>#VALUE!</v>
      </c>
      <c r="DC23" s="524" t="n">
        <f aca="false">CI23</f>
        <v>2.908</v>
      </c>
      <c r="DD23" s="525" t="n">
        <f aca="false">CE23</f>
        <v>-0.05</v>
      </c>
      <c r="DE23" s="526" t="n">
        <f aca="false">CF23</f>
        <v>0.02</v>
      </c>
      <c r="DF23" s="524" t="e">
        <f aca="false">AL23/(1-AR23)</f>
        <v>#VALUE!</v>
      </c>
      <c r="DG23" s="525" t="e">
        <f aca="false">AM23/(1-AR23)</f>
        <v>#VALUE!</v>
      </c>
      <c r="DH23" s="526" t="e">
        <f aca="false">AN23/(1-AR23)</f>
        <v>#VALUE!</v>
      </c>
      <c r="DI23" s="524" t="e">
        <f aca="false">CI23/(1-AR23)</f>
        <v>#VALUE!</v>
      </c>
      <c r="DJ23" s="525" t="e">
        <f aca="false">CC23/(1-AR23)</f>
        <v>#VALUE!</v>
      </c>
      <c r="DK23" s="525" t="e">
        <f aca="false">CD23/(1-AR23)</f>
        <v>#VALUE!</v>
      </c>
      <c r="DL23" s="518" t="e">
        <f aca="false">(($BM23*(CZ23-DC23))+($BL23*(DF23-DI23)))*$AH23*$AF23*$F23</f>
        <v>#VALUE!</v>
      </c>
      <c r="DM23" s="519" t="e">
        <f aca="false">(($BM23*(DA23-DD23))+($BL23*(DG23-DJ23)))*$AH23*$AF23*$F23</f>
        <v>#VALUE!</v>
      </c>
      <c r="DN23" s="520" t="e">
        <f aca="false">(($BM23*(DB23-DE23))+($BL23*(DH23-DK23)))*$AH23*$AF23*$F23</f>
        <v>#VALUE!</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2.82815734989648</v>
      </c>
      <c r="BW24" s="369" t="n">
        <v>2.822</v>
      </c>
      <c r="BX24" s="370" t="n">
        <v>0.826894221804733</v>
      </c>
      <c r="BY24" s="370" t="n">
        <v>0.813234449756201</v>
      </c>
      <c r="BZ24" s="370" t="n">
        <v>0.99759680683058</v>
      </c>
      <c r="CA24" s="370" t="n">
        <v>0.0192731753639035</v>
      </c>
      <c r="CB24" s="370" t="n">
        <v>0.99523258517239</v>
      </c>
      <c r="CC24" s="505" t="n">
        <v>-0.17</v>
      </c>
      <c r="CD24" s="505" t="n">
        <v>0</v>
      </c>
      <c r="CE24" s="505" t="n">
        <v>-0.1</v>
      </c>
      <c r="CF24" s="505" t="n">
        <v>0.02</v>
      </c>
      <c r="CG24" s="505" t="n">
        <v>0</v>
      </c>
      <c r="CH24" s="505" t="n">
        <v>10.582308078138</v>
      </c>
      <c r="CI24" s="505" t="n">
        <v>2.902</v>
      </c>
      <c r="CZ24" s="524" t="e">
        <f aca="false">AL24</f>
        <v>#VALUE!</v>
      </c>
      <c r="DA24" s="525" t="e">
        <f aca="false">AO24</f>
        <v>#VALUE!</v>
      </c>
      <c r="DB24" s="526" t="e">
        <f aca="false">AP24</f>
        <v>#VALUE!</v>
      </c>
      <c r="DC24" s="524" t="n">
        <f aca="false">CI24</f>
        <v>2.902</v>
      </c>
      <c r="DD24" s="525" t="n">
        <f aca="false">CE24</f>
        <v>-0.1</v>
      </c>
      <c r="DE24" s="526" t="n">
        <f aca="false">CF24</f>
        <v>0.02</v>
      </c>
      <c r="DF24" s="524" t="e">
        <f aca="false">AL24/(1-AR24)</f>
        <v>#VALUE!</v>
      </c>
      <c r="DG24" s="525" t="e">
        <f aca="false">AM24/(1-AR24)</f>
        <v>#VALUE!</v>
      </c>
      <c r="DH24" s="526" t="e">
        <f aca="false">AN24/(1-AR24)</f>
        <v>#VALUE!</v>
      </c>
      <c r="DI24" s="524" t="e">
        <f aca="false">CI24/(1-AR24)</f>
        <v>#VALUE!</v>
      </c>
      <c r="DJ24" s="525" t="e">
        <f aca="false">CC24/(1-AR24)</f>
        <v>#VALUE!</v>
      </c>
      <c r="DK24" s="525" t="e">
        <f aca="false">CD24/(1-AR24)</f>
        <v>#VALUE!</v>
      </c>
      <c r="DL24" s="518" t="e">
        <f aca="false">(($BM24*(CZ24-DC24))+($BL24*(DF24-DI24)))*$AH24*$AF24*$F24</f>
        <v>#VALUE!</v>
      </c>
      <c r="DM24" s="519" t="e">
        <f aca="false">(($BM24*(DA24-DD24))+($BL24*(DG24-DJ24)))*$AH24*$AF24*$F24</f>
        <v>#VALUE!</v>
      </c>
      <c r="DN24" s="520" t="e">
        <f aca="false">(($BM24*(DB24-DE24))+($BL24*(DH24-DK24)))*$AH24*$AF24*$F24</f>
        <v>#VALUE!</v>
      </c>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2.69461697722567</v>
      </c>
      <c r="BW25" s="369" t="n">
        <v>2.748</v>
      </c>
      <c r="BX25" s="370" t="n">
        <v>0.612473991483641</v>
      </c>
      <c r="BY25" s="370" t="n">
        <v>0.640885439327079</v>
      </c>
      <c r="BZ25" s="370" t="n">
        <v>0.994814557627022</v>
      </c>
      <c r="CA25" s="370" t="n">
        <v>0.0194226401196236</v>
      </c>
      <c r="CB25" s="370" t="n">
        <v>0.993564587749983</v>
      </c>
      <c r="CC25" s="505" t="n">
        <v>-0.245</v>
      </c>
      <c r="CD25" s="505" t="n">
        <v>0</v>
      </c>
      <c r="CE25" s="505" t="n">
        <v>-0.12</v>
      </c>
      <c r="CF25" s="505" t="n">
        <v>0.02</v>
      </c>
      <c r="CG25" s="505" t="n">
        <v>0</v>
      </c>
      <c r="CH25" s="505" t="n">
        <v>10.2237796079473</v>
      </c>
      <c r="CI25" s="505" t="n">
        <v>2.848</v>
      </c>
      <c r="CZ25" s="524" t="e">
        <f aca="false">AL25</f>
        <v>#VALUE!</v>
      </c>
      <c r="DA25" s="525" t="e">
        <f aca="false">AO25</f>
        <v>#VALUE!</v>
      </c>
      <c r="DB25" s="526" t="e">
        <f aca="false">AP25</f>
        <v>#VALUE!</v>
      </c>
      <c r="DC25" s="524" t="n">
        <f aca="false">CI25</f>
        <v>2.848</v>
      </c>
      <c r="DD25" s="525" t="n">
        <f aca="false">CE25</f>
        <v>-0.12</v>
      </c>
      <c r="DE25" s="526" t="n">
        <f aca="false">CF25</f>
        <v>0.02</v>
      </c>
      <c r="DF25" s="524" t="e">
        <f aca="false">AL25/(1-AR25)</f>
        <v>#VALUE!</v>
      </c>
      <c r="DG25" s="525" t="e">
        <f aca="false">AM25/(1-AR25)</f>
        <v>#VALUE!</v>
      </c>
      <c r="DH25" s="526" t="e">
        <f aca="false">AN25/(1-AR25)</f>
        <v>#VALUE!</v>
      </c>
      <c r="DI25" s="524" t="e">
        <f aca="false">CI25/(1-AR25)</f>
        <v>#VALUE!</v>
      </c>
      <c r="DJ25" s="525" t="e">
        <f aca="false">CC25/(1-AR25)</f>
        <v>#VALUE!</v>
      </c>
      <c r="DK25" s="525" t="e">
        <f aca="false">CD25/(1-AR25)</f>
        <v>#VALUE!</v>
      </c>
      <c r="DL25" s="518" t="e">
        <f aca="false">(($BM25*(CZ25-DC25))+($BL25*(DF25-DI25)))*$AH25*$AF25*$F25</f>
        <v>#VALUE!</v>
      </c>
      <c r="DM25" s="519" t="e">
        <f aca="false">(($BM25*(DA25-DD25))+($BL25*(DG25-DJ25)))*$AH25*$AF25*$F25</f>
        <v>#VALUE!</v>
      </c>
      <c r="DN25" s="520" t="e">
        <f aca="false">(($BM25*(DB25-DE25))+($BL25*(DH25-DK25)))*$AH25*$AF25*$F25</f>
        <v>#VALUE!</v>
      </c>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2.74430641821946</v>
      </c>
      <c r="BW26" s="369" t="n">
        <v>2.796</v>
      </c>
      <c r="BX26" s="370" t="n">
        <v>0.57775293402001</v>
      </c>
      <c r="BY26" s="370" t="n">
        <v>0.6010526190063</v>
      </c>
      <c r="BZ26" s="370" t="n">
        <v>0.994966000270765</v>
      </c>
      <c r="CA26" s="370" t="n">
        <v>0.019712159578257</v>
      </c>
      <c r="CB26" s="370" t="n">
        <v>0.991870109542169</v>
      </c>
      <c r="CC26" s="505" t="n">
        <v>-0.245</v>
      </c>
      <c r="CD26" s="505" t="n">
        <v>0</v>
      </c>
      <c r="CE26" s="505" t="n">
        <v>-0.12</v>
      </c>
      <c r="CF26" s="505" t="n">
        <v>0.02</v>
      </c>
      <c r="CG26" s="505" t="n">
        <v>0</v>
      </c>
      <c r="CH26" s="505" t="n">
        <v>10.5465548747619</v>
      </c>
      <c r="CI26" s="505" t="n">
        <v>2.896</v>
      </c>
      <c r="CZ26" s="524" t="e">
        <f aca="false">AL26</f>
        <v>#VALUE!</v>
      </c>
      <c r="DA26" s="525" t="e">
        <f aca="false">AO26</f>
        <v>#VALUE!</v>
      </c>
      <c r="DB26" s="526" t="e">
        <f aca="false">AP26</f>
        <v>#VALUE!</v>
      </c>
      <c r="DC26" s="524" t="n">
        <f aca="false">CI26</f>
        <v>2.896</v>
      </c>
      <c r="DD26" s="525" t="n">
        <f aca="false">CE26</f>
        <v>-0.12</v>
      </c>
      <c r="DE26" s="526" t="n">
        <f aca="false">CF26</f>
        <v>0.02</v>
      </c>
      <c r="DF26" s="524" t="e">
        <f aca="false">AL26/(1-AR26)</f>
        <v>#VALUE!</v>
      </c>
      <c r="DG26" s="525" t="e">
        <f aca="false">AM26/(1-AR26)</f>
        <v>#VALUE!</v>
      </c>
      <c r="DH26" s="526" t="e">
        <f aca="false">AN26/(1-AR26)</f>
        <v>#VALUE!</v>
      </c>
      <c r="DI26" s="524" t="e">
        <f aca="false">CI26/(1-AR26)</f>
        <v>#VALUE!</v>
      </c>
      <c r="DJ26" s="525" t="e">
        <f aca="false">CC26/(1-AR26)</f>
        <v>#VALUE!</v>
      </c>
      <c r="DK26" s="525" t="e">
        <f aca="false">CD26/(1-AR26)</f>
        <v>#VALUE!</v>
      </c>
      <c r="DL26" s="518" t="e">
        <f aca="false">(($BM26*(CZ26-DC26))+($BL26*(DF26-DI26)))*$AH26*$AF26*$F26</f>
        <v>#VALUE!</v>
      </c>
      <c r="DM26" s="519" t="e">
        <f aca="false">(($BM26*(DA26-DD26))+($BL26*(DG26-DJ26)))*$AH26*$AF26*$F26</f>
        <v>#VALUE!</v>
      </c>
      <c r="DN26" s="520" t="e">
        <f aca="false">(($BM26*(DB26-DE26))+($BL26*(DH26-DK26)))*$AH26*$AF26*$F26</f>
        <v>#VALUE!</v>
      </c>
    </row>
    <row r="27" customFormat="false" ht="12.75" hidden="false" customHeight="false" outlineLevel="0" collapsed="false">
      <c r="A27" s="512"/>
      <c r="B27" s="512"/>
      <c r="C27" s="512"/>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2.79606625258799</v>
      </c>
      <c r="BW27" s="369" t="n">
        <v>2.846</v>
      </c>
      <c r="BX27" s="370" t="n">
        <v>0.554685115579688</v>
      </c>
      <c r="BY27" s="370" t="n">
        <v>0.581764586381288</v>
      </c>
      <c r="BZ27" s="370" t="n">
        <v>0.993241613102074</v>
      </c>
      <c r="CA27" s="370" t="n">
        <v>0.0200113297153544</v>
      </c>
      <c r="CB27" s="370" t="n">
        <v>0.990073216017117</v>
      </c>
      <c r="CC27" s="505" t="n">
        <v>-0.245</v>
      </c>
      <c r="CD27" s="505" t="n">
        <v>0</v>
      </c>
      <c r="CE27" s="505" t="n">
        <v>-0.12</v>
      </c>
      <c r="CF27" s="505" t="n">
        <v>0.02</v>
      </c>
      <c r="CG27" s="505" t="n">
        <v>0</v>
      </c>
      <c r="CH27" s="505" t="n">
        <v>10.1878533928161</v>
      </c>
      <c r="CI27" s="505" t="n">
        <v>2.946</v>
      </c>
      <c r="CZ27" s="524" t="e">
        <f aca="false">AL27</f>
        <v>#VALUE!</v>
      </c>
      <c r="DA27" s="525" t="e">
        <f aca="false">AO27</f>
        <v>#VALUE!</v>
      </c>
      <c r="DB27" s="526" t="e">
        <f aca="false">AP27</f>
        <v>#VALUE!</v>
      </c>
      <c r="DC27" s="524" t="n">
        <f aca="false">CI27</f>
        <v>2.946</v>
      </c>
      <c r="DD27" s="525" t="n">
        <f aca="false">CE27</f>
        <v>-0.12</v>
      </c>
      <c r="DE27" s="526" t="n">
        <f aca="false">CF27</f>
        <v>0.02</v>
      </c>
      <c r="DF27" s="524" t="e">
        <f aca="false">AL27/(1-AR27)</f>
        <v>#VALUE!</v>
      </c>
      <c r="DG27" s="525" t="e">
        <f aca="false">AM27/(1-AR27)</f>
        <v>#VALUE!</v>
      </c>
      <c r="DH27" s="526" t="e">
        <f aca="false">AN27/(1-AR27)</f>
        <v>#VALUE!</v>
      </c>
      <c r="DI27" s="524" t="e">
        <f aca="false">CI27/(1-AR27)</f>
        <v>#VALUE!</v>
      </c>
      <c r="DJ27" s="525" t="e">
        <f aca="false">CC27/(1-AR27)</f>
        <v>#VALUE!</v>
      </c>
      <c r="DK27" s="525" t="e">
        <f aca="false">CD27/(1-AR27)</f>
        <v>#VALUE!</v>
      </c>
      <c r="DL27" s="518" t="e">
        <f aca="false">(($BM27*(CZ27-DC27))+($BL27*(DF27-DI27)))*$AH27*$AF27*$F27</f>
        <v>#VALUE!</v>
      </c>
      <c r="DM27" s="519" t="e">
        <f aca="false">(($BM27*(DA27-DD27))+($BL27*(DG27-DJ27)))*$AH27*$AF27*$F27</f>
        <v>#VALUE!</v>
      </c>
      <c r="DN27" s="520" t="e">
        <f aca="false">(($BM27*(DB27-DE27))+($BL27*(DH27-DK27)))*$AH27*$AF27*$F27</f>
        <v>#VALUE!</v>
      </c>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2.71635610766046</v>
      </c>
      <c r="BW28" s="369" t="n">
        <v>2.984</v>
      </c>
      <c r="BX28" s="370" t="n">
        <v>0.549290255131369</v>
      </c>
      <c r="BY28" s="370" t="n">
        <v>0.573583768215977</v>
      </c>
      <c r="BZ28" s="370" t="n">
        <v>0.99376929360772</v>
      </c>
      <c r="CA28" s="370" t="n">
        <v>0.0204286298094831</v>
      </c>
      <c r="CB28" s="370" t="n">
        <v>0.988217193800728</v>
      </c>
      <c r="CC28" s="505" t="n">
        <v>-0.36</v>
      </c>
      <c r="CD28" s="505" t="n">
        <v>0</v>
      </c>
      <c r="CE28" s="505" t="n">
        <v>-0.02</v>
      </c>
      <c r="CF28" s="505" t="n">
        <v>0.02</v>
      </c>
      <c r="CG28" s="505" t="n">
        <v>0</v>
      </c>
      <c r="CH28" s="505" t="n">
        <v>10.5077134216831</v>
      </c>
      <c r="CI28" s="505" t="n">
        <v>2.984</v>
      </c>
      <c r="CZ28" s="524" t="e">
        <f aca="false">AL28</f>
        <v>#VALUE!</v>
      </c>
      <c r="DA28" s="525" t="e">
        <f aca="false">AO28</f>
        <v>#VALUE!</v>
      </c>
      <c r="DB28" s="526" t="e">
        <f aca="false">AP28</f>
        <v>#VALUE!</v>
      </c>
      <c r="DC28" s="524" t="n">
        <f aca="false">CI28</f>
        <v>2.984</v>
      </c>
      <c r="DD28" s="525" t="n">
        <f aca="false">CE28</f>
        <v>-0.02</v>
      </c>
      <c r="DE28" s="526" t="n">
        <f aca="false">CF28</f>
        <v>0.02</v>
      </c>
      <c r="DF28" s="524" t="e">
        <f aca="false">AL28/(1-AR28)</f>
        <v>#VALUE!</v>
      </c>
      <c r="DG28" s="525" t="e">
        <f aca="false">AM28/(1-AR28)</f>
        <v>#VALUE!</v>
      </c>
      <c r="DH28" s="526" t="e">
        <f aca="false">AN28/(1-AR28)</f>
        <v>#VALUE!</v>
      </c>
      <c r="DI28" s="524" t="e">
        <f aca="false">CI28/(1-AR28)</f>
        <v>#VALUE!</v>
      </c>
      <c r="DJ28" s="525" t="e">
        <f aca="false">CC28/(1-AR28)</f>
        <v>#VALUE!</v>
      </c>
      <c r="DK28" s="525" t="e">
        <f aca="false">CD28/(1-AR28)</f>
        <v>#VALUE!</v>
      </c>
      <c r="DL28" s="518" t="e">
        <f aca="false">(($BM28*(CZ28-DC28))+($BL28*(DF28-DI28)))*$AH28*$AF28*$F28</f>
        <v>#VALUE!</v>
      </c>
      <c r="DM28" s="519" t="e">
        <f aca="false">(($BM28*(DA28-DD28))+($BL28*(DG28-DJ28)))*$AH28*$AF28*$F28</f>
        <v>#VALUE!</v>
      </c>
      <c r="DN28" s="520" t="e">
        <f aca="false">(($BM28*(DB28-DE28))+($BL28*(DH28-DK28)))*$AH28*$AF28*$F28</f>
        <v>#VALUE!</v>
      </c>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2.75983436853002</v>
      </c>
      <c r="BW29" s="369" t="n">
        <v>3.056</v>
      </c>
      <c r="BX29" s="370" t="n">
        <v>0.542612673311534</v>
      </c>
      <c r="BY29" s="370" t="n">
        <v>0.577776480928793</v>
      </c>
      <c r="BZ29" s="370" t="n">
        <v>0.985861101073759</v>
      </c>
      <c r="CA29" s="370" t="n">
        <v>0.021065008234304</v>
      </c>
      <c r="CB29" s="370" t="n">
        <v>0.986098940667972</v>
      </c>
      <c r="CC29" s="505" t="n">
        <v>-0.36</v>
      </c>
      <c r="CD29" s="505" t="n">
        <v>0</v>
      </c>
      <c r="CE29" s="505" t="n">
        <v>0.01</v>
      </c>
      <c r="CF29" s="505" t="n">
        <v>0.02</v>
      </c>
      <c r="CG29" s="505" t="n">
        <v>0</v>
      </c>
      <c r="CH29" s="505" t="n">
        <v>10.4851900361226</v>
      </c>
      <c r="CI29" s="505" t="n">
        <v>3.026</v>
      </c>
      <c r="CZ29" s="524" t="e">
        <f aca="false">AL29</f>
        <v>#VALUE!</v>
      </c>
      <c r="DA29" s="525" t="e">
        <f aca="false">AO29</f>
        <v>#VALUE!</v>
      </c>
      <c r="DB29" s="526" t="e">
        <f aca="false">AP29</f>
        <v>#VALUE!</v>
      </c>
      <c r="DC29" s="524" t="n">
        <f aca="false">CI29</f>
        <v>3.026</v>
      </c>
      <c r="DD29" s="525" t="n">
        <f aca="false">CE29</f>
        <v>0.01</v>
      </c>
      <c r="DE29" s="526" t="n">
        <f aca="false">CF29</f>
        <v>0.02</v>
      </c>
      <c r="DF29" s="524" t="e">
        <f aca="false">AL29/(1-AR29)</f>
        <v>#VALUE!</v>
      </c>
      <c r="DG29" s="525" t="e">
        <f aca="false">AM29/(1-AR29)</f>
        <v>#VALUE!</v>
      </c>
      <c r="DH29" s="526" t="e">
        <f aca="false">AN29/(1-AR29)</f>
        <v>#VALUE!</v>
      </c>
      <c r="DI29" s="524" t="e">
        <f aca="false">CI29/(1-AR29)</f>
        <v>#VALUE!</v>
      </c>
      <c r="DJ29" s="525" t="e">
        <f aca="false">CC29/(1-AR29)</f>
        <v>#VALUE!</v>
      </c>
      <c r="DK29" s="525" t="e">
        <f aca="false">CD29/(1-AR29)</f>
        <v>#VALUE!</v>
      </c>
      <c r="DL29" s="518" t="e">
        <f aca="false">(($BM29*(CZ29-DC29))+($BL29*(DF29-DI29)))*$AH29*$AF29*$F29</f>
        <v>#VALUE!</v>
      </c>
      <c r="DM29" s="519" t="e">
        <f aca="false">(($BM29*(DA29-DD29))+($BL29*(DG29-DJ29)))*$AH29*$AF29*$F29</f>
        <v>#VALUE!</v>
      </c>
      <c r="DN29" s="520" t="e">
        <f aca="false">(($BM29*(DB29-DE29))+($BL29*(DH29-DK29)))*$AH29*$AF29*$F29</f>
        <v>#VALUE!</v>
      </c>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2.75155279503106</v>
      </c>
      <c r="BW30" s="369" t="n">
        <v>3.048</v>
      </c>
      <c r="BX30" s="370" t="n">
        <v>0.545273166483513</v>
      </c>
      <c r="BY30" s="370" t="n">
        <v>0.568117601114111</v>
      </c>
      <c r="BZ30" s="370" t="n">
        <v>0.992947501027562</v>
      </c>
      <c r="CA30" s="370" t="n">
        <v>0.0217013867962765</v>
      </c>
      <c r="CB30" s="370" t="n">
        <v>0.983880178541275</v>
      </c>
      <c r="CC30" s="505" t="n">
        <v>-0.36</v>
      </c>
      <c r="CD30" s="505" t="n">
        <v>0</v>
      </c>
      <c r="CE30" s="505" t="n">
        <v>0.01</v>
      </c>
      <c r="CF30" s="505" t="n">
        <v>0.02</v>
      </c>
      <c r="CG30" s="505" t="n">
        <v>0</v>
      </c>
      <c r="CH30" s="505" t="n">
        <v>10.1241270371897</v>
      </c>
      <c r="CI30" s="505" t="n">
        <v>3.018</v>
      </c>
      <c r="CZ30" s="524" t="e">
        <f aca="false">AL30</f>
        <v>#VALUE!</v>
      </c>
      <c r="DA30" s="525" t="e">
        <f aca="false">AO30</f>
        <v>#VALUE!</v>
      </c>
      <c r="DB30" s="526" t="e">
        <f aca="false">AP30</f>
        <v>#VALUE!</v>
      </c>
      <c r="DC30" s="524" t="n">
        <f aca="false">CI30</f>
        <v>3.018</v>
      </c>
      <c r="DD30" s="525" t="n">
        <f aca="false">CE30</f>
        <v>0.01</v>
      </c>
      <c r="DE30" s="526" t="n">
        <f aca="false">CF30</f>
        <v>0.02</v>
      </c>
      <c r="DF30" s="524" t="e">
        <f aca="false">AL30/(1-AR30)</f>
        <v>#VALUE!</v>
      </c>
      <c r="DG30" s="525" t="e">
        <f aca="false">AM30/(1-AR30)</f>
        <v>#VALUE!</v>
      </c>
      <c r="DH30" s="526" t="e">
        <f aca="false">AN30/(1-AR30)</f>
        <v>#VALUE!</v>
      </c>
      <c r="DI30" s="524" t="e">
        <f aca="false">CI30/(1-AR30)</f>
        <v>#VALUE!</v>
      </c>
      <c r="DJ30" s="525" t="e">
        <f aca="false">CC30/(1-AR30)</f>
        <v>#VALUE!</v>
      </c>
      <c r="DK30" s="525" t="e">
        <f aca="false">CD30/(1-AR30)</f>
        <v>#VALUE!</v>
      </c>
      <c r="DL30" s="518" t="e">
        <f aca="false">(($BM30*(CZ30-DC30))+($BL30*(DF30-DI30)))*$AH30*$AF30*$F30</f>
        <v>#VALUE!</v>
      </c>
      <c r="DM30" s="519" t="e">
        <f aca="false">(($BM30*(DA30-DD30))+($BL30*(DG30-DJ30)))*$AH30*$AF30*$F30</f>
        <v>#VALUE!</v>
      </c>
      <c r="DN30" s="520" t="e">
        <f aca="false">(($BM30*(DB30-DE30))+($BL30*(DH30-DK30)))*$AH30*$AF30*$F30</f>
        <v>#VALUE!</v>
      </c>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2.92028985507246</v>
      </c>
      <c r="BW31" s="369" t="n">
        <v>3.086</v>
      </c>
      <c r="BX31" s="370" t="n">
        <v>0.544908361423371</v>
      </c>
      <c r="BY31" s="370" t="n">
        <v>0.570457587999636</v>
      </c>
      <c r="BZ31" s="370" t="n">
        <v>0.991085360366811</v>
      </c>
      <c r="CA31" s="370" t="n">
        <v>0.022410164045374</v>
      </c>
      <c r="CB31" s="370" t="n">
        <v>0.981562668478235</v>
      </c>
      <c r="CC31" s="505" t="n">
        <v>-0.21</v>
      </c>
      <c r="CD31" s="505" t="n">
        <v>0</v>
      </c>
      <c r="CE31" s="505" t="n">
        <v>0.035</v>
      </c>
      <c r="CF31" s="505" t="n">
        <v>0.02</v>
      </c>
      <c r="CG31" s="505" t="n">
        <v>0</v>
      </c>
      <c r="CH31" s="505" t="n">
        <v>10.4369558539291</v>
      </c>
      <c r="CI31" s="505" t="n">
        <v>3.031</v>
      </c>
      <c r="CZ31" s="524" t="e">
        <f aca="false">AL31</f>
        <v>#VALUE!</v>
      </c>
      <c r="DA31" s="525" t="e">
        <f aca="false">AO31</f>
        <v>#VALUE!</v>
      </c>
      <c r="DB31" s="526" t="e">
        <f aca="false">AP31</f>
        <v>#VALUE!</v>
      </c>
      <c r="DC31" s="524" t="n">
        <f aca="false">CI31</f>
        <v>3.031</v>
      </c>
      <c r="DD31" s="525" t="n">
        <f aca="false">CE31</f>
        <v>0.035</v>
      </c>
      <c r="DE31" s="526" t="n">
        <f aca="false">CF31</f>
        <v>0.02</v>
      </c>
      <c r="DF31" s="524" t="e">
        <f aca="false">AL31/(1-AR31)</f>
        <v>#VALUE!</v>
      </c>
      <c r="DG31" s="525" t="e">
        <f aca="false">AM31/(1-AR31)</f>
        <v>#VALUE!</v>
      </c>
      <c r="DH31" s="526" t="e">
        <f aca="false">AN31/(1-AR31)</f>
        <v>#VALUE!</v>
      </c>
      <c r="DI31" s="524" t="e">
        <f aca="false">CI31/(1-AR31)</f>
        <v>#VALUE!</v>
      </c>
      <c r="DJ31" s="525" t="e">
        <f aca="false">CC31/(1-AR31)</f>
        <v>#VALUE!</v>
      </c>
      <c r="DK31" s="525" t="e">
        <f aca="false">CD31/(1-AR31)</f>
        <v>#VALUE!</v>
      </c>
      <c r="DL31" s="518" t="e">
        <f aca="false">(($BM31*(CZ31-DC31))+($BL31*(DF31-DI31)))*$AH31*$AF31*$F31</f>
        <v>#VALUE!</v>
      </c>
      <c r="DM31" s="519" t="e">
        <f aca="false">(($BM31*(DA31-DD31))+($BL31*(DG31-DJ31)))*$AH31*$AF31*$F31</f>
        <v>#VALUE!</v>
      </c>
      <c r="DN31" s="520" t="e">
        <f aca="false">(($BM31*(DB31-DE31))+($BL31*(DH31-DK31)))*$AH31*$AF31*$F31</f>
        <v>#VALUE!</v>
      </c>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3.38612836438923</v>
      </c>
      <c r="BW32" s="369" t="n">
        <v>3.301</v>
      </c>
      <c r="BX32" s="370" t="n">
        <v>0.54</v>
      </c>
      <c r="BY32" s="370" t="n">
        <v>0.54</v>
      </c>
      <c r="BZ32" s="370" t="n">
        <v>0</v>
      </c>
      <c r="CA32" s="370" t="n">
        <v>0.0232740649677528</v>
      </c>
      <c r="CB32" s="370" t="n">
        <v>0</v>
      </c>
      <c r="CC32" s="505" t="n">
        <v>0.06</v>
      </c>
      <c r="CD32" s="505" t="n">
        <v>0</v>
      </c>
      <c r="CE32" s="505" t="n">
        <v>0.05</v>
      </c>
      <c r="CF32" s="505" t="n">
        <v>0.04</v>
      </c>
      <c r="CG32" s="505" t="n">
        <v>0</v>
      </c>
      <c r="CH32" s="505" t="n">
        <v>0</v>
      </c>
      <c r="CI32" s="505" t="n">
        <v>3.211</v>
      </c>
      <c r="CZ32" s="524" t="e">
        <f aca="false">AL32</f>
        <v>#VALUE!</v>
      </c>
      <c r="DA32" s="525" t="e">
        <f aca="false">AO32</f>
        <v>#VALUE!</v>
      </c>
      <c r="DB32" s="526" t="e">
        <f aca="false">AP32</f>
        <v>#VALUE!</v>
      </c>
      <c r="DC32" s="524" t="n">
        <f aca="false">CI32</f>
        <v>3.211</v>
      </c>
      <c r="DD32" s="525" t="n">
        <f aca="false">CE32</f>
        <v>0.05</v>
      </c>
      <c r="DE32" s="526" t="n">
        <f aca="false">CF32</f>
        <v>0.04</v>
      </c>
      <c r="DF32" s="524" t="e">
        <f aca="false">AL32/(1-AR32)</f>
        <v>#VALUE!</v>
      </c>
      <c r="DG32" s="525" t="e">
        <f aca="false">AM32/(1-AR32)</f>
        <v>#VALUE!</v>
      </c>
      <c r="DH32" s="526" t="e">
        <f aca="false">AN32/(1-AR32)</f>
        <v>#VALUE!</v>
      </c>
      <c r="DI32" s="524" t="e">
        <f aca="false">CI32/(1-AR32)</f>
        <v>#VALUE!</v>
      </c>
      <c r="DJ32" s="525" t="e">
        <f aca="false">CC32/(1-AR32)</f>
        <v>#VALUE!</v>
      </c>
      <c r="DK32" s="525" t="e">
        <f aca="false">CD32/(1-AR32)</f>
        <v>#VALUE!</v>
      </c>
      <c r="DL32" s="518" t="e">
        <f aca="false">(($BM32*(CZ32-DC32))+($BL32*(DF32-DI32)))*$AH32*$AF32*$F32</f>
        <v>#VALUE!</v>
      </c>
      <c r="DM32" s="519" t="e">
        <f aca="false">(($BM32*(DA32-DD32))+($BL32*(DG32-DJ32)))*$AH32*$AF32*$F32</f>
        <v>#VALUE!</v>
      </c>
      <c r="DN32" s="520" t="e">
        <f aca="false">(($BM32*(DB32-DE32))+($BL32*(DH32-DK32)))*$AH32*$AF32*$F32</f>
        <v>#VALUE!</v>
      </c>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3.38612836438923</v>
      </c>
      <c r="BW33" s="369" t="n">
        <v>3.301</v>
      </c>
      <c r="BX33" s="370" t="n">
        <v>0.54</v>
      </c>
      <c r="BY33" s="370" t="n">
        <v>0.54</v>
      </c>
      <c r="BZ33" s="370" t="n">
        <v>0</v>
      </c>
      <c r="CA33" s="370" t="n">
        <v>0.0232740649677528</v>
      </c>
      <c r="CB33" s="370" t="n">
        <v>0</v>
      </c>
      <c r="CC33" s="505" t="n">
        <v>0.06</v>
      </c>
      <c r="CD33" s="505" t="n">
        <v>0</v>
      </c>
      <c r="CE33" s="505" t="n">
        <v>0.05</v>
      </c>
      <c r="CF33" s="505" t="n">
        <v>0.04</v>
      </c>
      <c r="CG33" s="505" t="n">
        <v>0</v>
      </c>
      <c r="CH33" s="505" t="n">
        <v>0</v>
      </c>
      <c r="CI33" s="505" t="n">
        <v>3.211</v>
      </c>
      <c r="CZ33" s="524" t="e">
        <f aca="false">AL33</f>
        <v>#VALUE!</v>
      </c>
      <c r="DA33" s="525" t="e">
        <f aca="false">AO33</f>
        <v>#VALUE!</v>
      </c>
      <c r="DB33" s="526" t="e">
        <f aca="false">AP33</f>
        <v>#VALUE!</v>
      </c>
      <c r="DC33" s="524" t="n">
        <f aca="false">CI33</f>
        <v>3.211</v>
      </c>
      <c r="DD33" s="525" t="n">
        <f aca="false">CE33</f>
        <v>0.05</v>
      </c>
      <c r="DE33" s="526" t="n">
        <f aca="false">CF33</f>
        <v>0.04</v>
      </c>
      <c r="DF33" s="524" t="e">
        <f aca="false">AL33/(1-AR33)</f>
        <v>#VALUE!</v>
      </c>
      <c r="DG33" s="525" t="e">
        <f aca="false">AM33/(1-AR33)</f>
        <v>#VALUE!</v>
      </c>
      <c r="DH33" s="526" t="e">
        <f aca="false">AN33/(1-AR33)</f>
        <v>#VALUE!</v>
      </c>
      <c r="DI33" s="524" t="e">
        <f aca="false">CI33/(1-AR33)</f>
        <v>#VALUE!</v>
      </c>
      <c r="DJ33" s="525" t="e">
        <f aca="false">CC33/(1-AR33)</f>
        <v>#VALUE!</v>
      </c>
      <c r="DK33" s="525" t="e">
        <f aca="false">CD33/(1-AR33)</f>
        <v>#VALUE!</v>
      </c>
      <c r="DL33" s="518" t="e">
        <f aca="false">(($BM33*(CZ33-DC33))+($BL33*(DF33-DI33)))*$AH33*$AF33*$F33</f>
        <v>#VALUE!</v>
      </c>
      <c r="DM33" s="519" t="e">
        <f aca="false">(($BM33*(DA33-DD33))+($BL33*(DG33-DJ33)))*$AH33*$AF33*$F33</f>
        <v>#VALUE!</v>
      </c>
      <c r="DN33" s="520" t="e">
        <f aca="false">(($BM33*(DB33-DE33))+($BL33*(DH33-DK33)))*$AH33*$AF33*$F33</f>
        <v>#VALUE!</v>
      </c>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3.38612836438923</v>
      </c>
      <c r="BW34" s="369" t="n">
        <v>3.301</v>
      </c>
      <c r="BX34" s="370" t="n">
        <v>0.54</v>
      </c>
      <c r="BY34" s="370" t="n">
        <v>0.54</v>
      </c>
      <c r="BZ34" s="370" t="n">
        <v>0</v>
      </c>
      <c r="CA34" s="370" t="n">
        <v>0.0232740649677528</v>
      </c>
      <c r="CB34" s="370" t="n">
        <v>0</v>
      </c>
      <c r="CC34" s="505" t="n">
        <v>0.06</v>
      </c>
      <c r="CD34" s="505" t="n">
        <v>0</v>
      </c>
      <c r="CE34" s="505" t="n">
        <v>0.05</v>
      </c>
      <c r="CF34" s="505" t="n">
        <v>0.04</v>
      </c>
      <c r="CG34" s="505" t="n">
        <v>0</v>
      </c>
      <c r="CH34" s="505" t="n">
        <v>0</v>
      </c>
      <c r="CI34" s="505" t="n">
        <v>3.211</v>
      </c>
      <c r="CZ34" s="524" t="e">
        <f aca="false">AL34</f>
        <v>#VALUE!</v>
      </c>
      <c r="DA34" s="525" t="e">
        <f aca="false">AO34</f>
        <v>#VALUE!</v>
      </c>
      <c r="DB34" s="526" t="e">
        <f aca="false">AP34</f>
        <v>#VALUE!</v>
      </c>
      <c r="DC34" s="524" t="n">
        <f aca="false">CI34</f>
        <v>3.211</v>
      </c>
      <c r="DD34" s="525" t="n">
        <f aca="false">CE34</f>
        <v>0.05</v>
      </c>
      <c r="DE34" s="526" t="n">
        <f aca="false">CF34</f>
        <v>0.04</v>
      </c>
      <c r="DF34" s="524" t="e">
        <f aca="false">AL34/(1-AR34)</f>
        <v>#VALUE!</v>
      </c>
      <c r="DG34" s="525" t="e">
        <f aca="false">AM34/(1-AR34)</f>
        <v>#VALUE!</v>
      </c>
      <c r="DH34" s="526" t="e">
        <f aca="false">AN34/(1-AR34)</f>
        <v>#VALUE!</v>
      </c>
      <c r="DI34" s="524" t="e">
        <f aca="false">CI34/(1-AR34)</f>
        <v>#VALUE!</v>
      </c>
      <c r="DJ34" s="525" t="e">
        <f aca="false">CC34/(1-AR34)</f>
        <v>#VALUE!</v>
      </c>
      <c r="DK34" s="525" t="e">
        <f aca="false">CD34/(1-AR34)</f>
        <v>#VALUE!</v>
      </c>
      <c r="DL34" s="518" t="e">
        <f aca="false">(($BM34*(CZ34-DC34))+($BL34*(DF34-DI34)))*$AH34*$AF34*$F34</f>
        <v>#VALUE!</v>
      </c>
      <c r="DM34" s="519" t="e">
        <f aca="false">(($BM34*(DA34-DD34))+($BL34*(DG34-DJ34)))*$AH34*$AF34*$F34</f>
        <v>#VALUE!</v>
      </c>
      <c r="DN34" s="520" t="e">
        <f aca="false">(($BM34*(DB34-DE34))+($BL34*(DH34-DK34)))*$AH34*$AF34*$F34</f>
        <v>#VALUE!</v>
      </c>
    </row>
    <row r="35" customFormat="false" ht="12.75" hidden="false" customHeight="false" outlineLevel="0" collapsed="false">
      <c r="A35" s="500"/>
      <c r="B35" s="500"/>
      <c r="P35" s="371"/>
      <c r="Q35" s="371"/>
      <c r="R35" s="371"/>
      <c r="U35" s="371"/>
      <c r="V35" s="371"/>
      <c r="W35" s="371"/>
      <c r="X35" s="371"/>
      <c r="CZ35" s="527"/>
      <c r="DA35" s="528"/>
      <c r="DB35" s="528"/>
      <c r="DC35" s="527"/>
      <c r="DD35" s="528"/>
      <c r="DE35" s="528"/>
      <c r="DF35" s="527"/>
      <c r="DG35" s="528"/>
      <c r="DH35" s="528"/>
      <c r="DI35" s="527"/>
      <c r="DJ35" s="528"/>
      <c r="DK35" s="528"/>
      <c r="DL35" s="527"/>
      <c r="DM35" s="528"/>
      <c r="DN35" s="529"/>
    </row>
    <row r="36" customFormat="false" ht="12.75" hidden="false" customHeight="false" outlineLevel="0" collapsed="false">
      <c r="A36" s="500"/>
      <c r="B36" s="500"/>
      <c r="P36" s="371"/>
      <c r="Q36" s="371"/>
      <c r="R36" s="371"/>
      <c r="U36" s="371"/>
      <c r="V36" s="371"/>
      <c r="W36" s="371"/>
      <c r="X36" s="371"/>
    </row>
    <row r="37" customFormat="false" ht="12.75" hidden="false" customHeight="false" outlineLevel="0" collapsed="false">
      <c r="A37" s="512"/>
      <c r="B37" s="512"/>
      <c r="P37" s="371"/>
      <c r="Q37" s="371"/>
      <c r="R37" s="371"/>
      <c r="U37" s="371"/>
      <c r="V37" s="371"/>
      <c r="W37" s="371"/>
      <c r="X37" s="371"/>
    </row>
    <row r="38" customFormat="false" ht="12.75" hidden="false" customHeight="false" outlineLevel="0" collapsed="false">
      <c r="A38" s="500"/>
      <c r="B38" s="500"/>
      <c r="P38" s="371"/>
      <c r="Q38" s="371"/>
      <c r="R38" s="371"/>
      <c r="U38" s="371"/>
      <c r="V38" s="371"/>
      <c r="W38" s="371"/>
      <c r="X38" s="371"/>
    </row>
    <row r="39" customFormat="false" ht="12.75" hidden="false" customHeight="false" outlineLevel="0" collapsed="false">
      <c r="A39" s="500"/>
      <c r="B39" s="500"/>
      <c r="P39" s="371"/>
      <c r="Q39" s="371"/>
      <c r="R39" s="371"/>
      <c r="U39" s="371"/>
      <c r="V39" s="371"/>
      <c r="W39" s="371"/>
      <c r="X39" s="371"/>
    </row>
    <row r="40" customFormat="false" ht="12.75" hidden="false" customHeight="false" outlineLevel="0" collapsed="false">
      <c r="A40" s="500"/>
      <c r="B40" s="500"/>
      <c r="P40" s="371"/>
      <c r="Q40" s="371"/>
      <c r="R40" s="371"/>
      <c r="U40" s="371"/>
      <c r="V40" s="371"/>
      <c r="W40" s="371"/>
      <c r="X40" s="371"/>
    </row>
    <row r="41" customFormat="false" ht="12.75" hidden="false" customHeight="false" outlineLevel="0" collapsed="false">
      <c r="A41" s="500"/>
      <c r="B41" s="500"/>
      <c r="P41" s="371"/>
      <c r="Q41" s="371"/>
      <c r="R41" s="371"/>
      <c r="U41" s="371"/>
      <c r="V41" s="371"/>
      <c r="W41" s="371"/>
      <c r="X41" s="371"/>
    </row>
    <row r="42" customFormat="false" ht="12.75" hidden="false" customHeight="false" outlineLevel="0" collapsed="false">
      <c r="A42" s="500"/>
      <c r="B42" s="500"/>
      <c r="P42" s="371"/>
      <c r="Q42" s="371"/>
      <c r="R42" s="371"/>
      <c r="U42" s="371"/>
      <c r="V42" s="371"/>
      <c r="W42" s="371"/>
      <c r="X42" s="371"/>
    </row>
    <row r="43" customFormat="false" ht="12.75" hidden="false" customHeight="false" outlineLevel="0" collapsed="false">
      <c r="A43" s="500"/>
      <c r="B43" s="500"/>
      <c r="P43" s="371"/>
      <c r="Q43" s="371"/>
      <c r="R43" s="371"/>
      <c r="U43" s="371"/>
      <c r="V43" s="371"/>
      <c r="W43" s="371"/>
      <c r="X43" s="371"/>
    </row>
    <row r="44" customFormat="false" ht="12.75" hidden="false" customHeight="false" outlineLevel="0" collapsed="false">
      <c r="A44" s="500"/>
      <c r="B44" s="500"/>
      <c r="P44" s="371"/>
      <c r="Q44" s="371"/>
      <c r="R44" s="371"/>
      <c r="U44" s="371"/>
      <c r="V44" s="371"/>
      <c r="W44" s="371"/>
      <c r="X44" s="371"/>
    </row>
    <row r="45" customFormat="false" ht="12.75" hidden="false" customHeight="false" outlineLevel="0" collapsed="false">
      <c r="A45" s="500"/>
      <c r="B45" s="500"/>
      <c r="P45" s="371"/>
      <c r="Q45" s="371"/>
      <c r="R45" s="371"/>
      <c r="U45" s="371"/>
      <c r="V45" s="371"/>
      <c r="W45" s="371"/>
      <c r="X45" s="371"/>
    </row>
    <row r="46" customFormat="false" ht="12.75" hidden="false" customHeight="false" outlineLevel="0" collapsed="false">
      <c r="A46" s="500"/>
      <c r="B46" s="500"/>
      <c r="P46" s="371"/>
      <c r="Q46" s="371"/>
      <c r="R46" s="371"/>
      <c r="U46" s="371"/>
      <c r="V46" s="371"/>
      <c r="W46" s="371"/>
      <c r="X46" s="371"/>
    </row>
    <row r="47" customFormat="false" ht="12.75" hidden="false" customHeight="false" outlineLevel="0" collapsed="false">
      <c r="A47" s="500"/>
      <c r="B47" s="500"/>
      <c r="P47" s="371"/>
      <c r="Q47" s="371"/>
      <c r="R47" s="371"/>
      <c r="U47" s="371"/>
      <c r="V47" s="371"/>
      <c r="W47" s="371"/>
      <c r="X47" s="371"/>
    </row>
    <row r="48" customFormat="false" ht="12.75" hidden="false" customHeight="false" outlineLevel="0" collapsed="false">
      <c r="A48" s="500"/>
      <c r="B48" s="500"/>
      <c r="P48" s="371"/>
      <c r="Q48" s="371"/>
      <c r="R48" s="371"/>
      <c r="U48" s="371"/>
      <c r="V48" s="371"/>
      <c r="W48" s="371"/>
      <c r="X48" s="371"/>
    </row>
    <row r="49" customFormat="false" ht="12.75" hidden="false" customHeight="false" outlineLevel="0" collapsed="false">
      <c r="A49" s="500"/>
      <c r="B49" s="500"/>
      <c r="P49" s="371"/>
      <c r="Q49" s="371"/>
      <c r="R49" s="371"/>
      <c r="U49" s="371"/>
      <c r="V49" s="371"/>
      <c r="W49" s="371"/>
      <c r="X49" s="371"/>
    </row>
    <row r="50" customFormat="false" ht="12.75" hidden="false" customHeight="false" outlineLevel="0" collapsed="false">
      <c r="A50" s="500"/>
      <c r="B50" s="500"/>
      <c r="P50" s="371"/>
      <c r="Q50" s="371"/>
      <c r="R50" s="371"/>
      <c r="U50" s="371"/>
      <c r="V50" s="371"/>
      <c r="W50" s="371"/>
      <c r="X50" s="371"/>
    </row>
    <row r="51" customFormat="false" ht="12.75" hidden="false" customHeight="false" outlineLevel="0" collapsed="false">
      <c r="A51" s="500"/>
      <c r="B51" s="500"/>
      <c r="P51" s="371"/>
      <c r="Q51" s="371"/>
      <c r="R51" s="371"/>
      <c r="U51" s="371"/>
      <c r="V51" s="371"/>
      <c r="W51" s="371"/>
      <c r="X51" s="371"/>
    </row>
    <row r="52" customFormat="false" ht="12.75" hidden="false" customHeight="false" outlineLevel="0" collapsed="false">
      <c r="A52" s="500"/>
      <c r="B52" s="500"/>
      <c r="P52" s="371"/>
      <c r="Q52" s="371"/>
      <c r="R52" s="371"/>
      <c r="U52" s="371"/>
      <c r="V52" s="371"/>
      <c r="W52" s="371"/>
      <c r="X52" s="371"/>
    </row>
    <row r="53" customFormat="false" ht="12.75" hidden="false" customHeight="false" outlineLevel="0" collapsed="false">
      <c r="A53" s="500"/>
      <c r="B53" s="500"/>
      <c r="P53" s="371"/>
      <c r="Q53" s="371"/>
      <c r="R53" s="371"/>
      <c r="U53" s="371"/>
      <c r="V53" s="371"/>
      <c r="W53" s="371"/>
      <c r="X53" s="371"/>
    </row>
    <row r="54" customFormat="false" ht="12.75" hidden="false" customHeight="false" outlineLevel="0" collapsed="false">
      <c r="A54" s="500"/>
      <c r="B54" s="500"/>
      <c r="P54" s="371"/>
      <c r="Q54" s="371"/>
      <c r="R54" s="371"/>
      <c r="U54" s="371"/>
      <c r="V54" s="371"/>
      <c r="W54" s="371"/>
      <c r="X54" s="371"/>
    </row>
    <row r="55" customFormat="false" ht="12.75" hidden="false" customHeight="false" outlineLevel="0" collapsed="false">
      <c r="A55" s="500"/>
      <c r="B55" s="500"/>
      <c r="P55" s="371"/>
      <c r="Q55" s="371"/>
      <c r="R55" s="371"/>
      <c r="U55" s="371"/>
      <c r="V55" s="371"/>
      <c r="W55" s="371"/>
      <c r="X55" s="371"/>
    </row>
    <row r="56" customFormat="false" ht="12.75" hidden="false" customHeight="false" outlineLevel="0" collapsed="false">
      <c r="A56" s="500"/>
      <c r="B56" s="500"/>
      <c r="P56" s="371"/>
      <c r="Q56" s="371"/>
      <c r="R56" s="371"/>
      <c r="U56" s="371"/>
      <c r="V56" s="371"/>
      <c r="W56" s="371"/>
      <c r="X56" s="371"/>
    </row>
    <row r="57" customFormat="false" ht="12.75" hidden="false" customHeight="false" outlineLevel="0" collapsed="false">
      <c r="A57" s="500"/>
      <c r="B57" s="500"/>
      <c r="P57" s="371"/>
      <c r="Q57" s="371"/>
      <c r="R57" s="371"/>
      <c r="U57" s="371"/>
      <c r="V57" s="371"/>
      <c r="W57" s="371"/>
      <c r="X57" s="371"/>
    </row>
    <row r="58" customFormat="false" ht="12.75" hidden="false" customHeight="false" outlineLevel="0" collapsed="false">
      <c r="A58" s="500"/>
      <c r="B58" s="500"/>
      <c r="P58" s="371"/>
      <c r="Q58" s="371"/>
      <c r="R58" s="371"/>
      <c r="U58" s="371"/>
      <c r="V58" s="371"/>
      <c r="W58" s="371"/>
      <c r="X58" s="371"/>
    </row>
    <row r="59" customFormat="false" ht="12.75" hidden="false" customHeight="false" outlineLevel="0" collapsed="false">
      <c r="A59" s="500"/>
      <c r="B59" s="500"/>
      <c r="P59" s="371"/>
      <c r="Q59" s="371"/>
      <c r="R59" s="371"/>
      <c r="U59" s="371"/>
      <c r="V59" s="371"/>
      <c r="W59" s="371"/>
      <c r="X59" s="371"/>
    </row>
    <row r="60" customFormat="false" ht="12.75" hidden="false" customHeight="false" outlineLevel="0" collapsed="false">
      <c r="A60" s="500"/>
      <c r="B60" s="500"/>
      <c r="P60" s="371"/>
      <c r="Q60" s="371"/>
      <c r="R60" s="371"/>
      <c r="U60" s="371"/>
      <c r="V60" s="371"/>
      <c r="W60" s="371"/>
      <c r="X60" s="371"/>
    </row>
    <row r="61" customFormat="false" ht="12.75" hidden="false" customHeight="false" outlineLevel="0" collapsed="false">
      <c r="A61" s="500"/>
      <c r="B61" s="500"/>
      <c r="P61" s="371"/>
      <c r="Q61" s="371"/>
      <c r="R61" s="371"/>
      <c r="U61" s="371"/>
      <c r="V61" s="371"/>
      <c r="W61" s="371"/>
      <c r="X61" s="371"/>
    </row>
    <row r="62" customFormat="false" ht="12.75" hidden="false" customHeight="false" outlineLevel="0" collapsed="false">
      <c r="A62" s="500"/>
      <c r="B62" s="500"/>
      <c r="P62" s="371"/>
      <c r="Q62" s="371"/>
      <c r="R62" s="371"/>
      <c r="U62" s="371"/>
      <c r="V62" s="371"/>
      <c r="W62" s="371"/>
      <c r="X62" s="371"/>
    </row>
    <row r="63" customFormat="false" ht="12.75" hidden="false" customHeight="false" outlineLevel="0" collapsed="false">
      <c r="A63" s="500"/>
      <c r="B63" s="500"/>
      <c r="P63" s="371"/>
      <c r="Q63" s="371"/>
      <c r="R63" s="371"/>
      <c r="U63" s="371"/>
      <c r="V63" s="371"/>
      <c r="W63" s="371"/>
      <c r="X63" s="371"/>
    </row>
    <row r="64" customFormat="false" ht="12.75" hidden="false" customHeight="false" outlineLevel="0" collapsed="false">
      <c r="A64" s="500"/>
      <c r="B64" s="500"/>
      <c r="P64" s="371"/>
      <c r="Q64" s="371"/>
      <c r="R64" s="371"/>
      <c r="U64" s="371"/>
      <c r="V64" s="371"/>
      <c r="W64" s="371"/>
      <c r="X64" s="371"/>
    </row>
    <row r="65" customFormat="false" ht="12.75" hidden="false" customHeight="false" outlineLevel="0" collapsed="false">
      <c r="A65" s="500"/>
      <c r="B65" s="500"/>
      <c r="P65" s="371"/>
      <c r="Q65" s="371"/>
      <c r="R65" s="371"/>
      <c r="U65" s="371"/>
      <c r="V65" s="371"/>
      <c r="W65" s="371"/>
      <c r="X65" s="371"/>
    </row>
    <row r="66" customFormat="false" ht="12.75" hidden="false" customHeight="false" outlineLevel="0" collapsed="false">
      <c r="A66" s="500"/>
      <c r="B66" s="500"/>
      <c r="P66" s="371"/>
      <c r="Q66" s="371"/>
      <c r="R66" s="371"/>
      <c r="U66" s="371"/>
      <c r="V66" s="371"/>
      <c r="W66" s="371"/>
      <c r="X66" s="371"/>
    </row>
    <row r="67" customFormat="false" ht="12.75" hidden="false" customHeight="false" outlineLevel="0" collapsed="false">
      <c r="A67" s="500"/>
      <c r="B67" s="500"/>
      <c r="P67" s="371"/>
      <c r="Q67" s="371"/>
      <c r="R67" s="371"/>
      <c r="U67" s="371"/>
      <c r="V67" s="371"/>
      <c r="W67" s="371"/>
      <c r="X67" s="371"/>
    </row>
    <row r="68" customFormat="false" ht="12.75" hidden="false" customHeight="false" outlineLevel="0" collapsed="false">
      <c r="A68" s="500"/>
      <c r="B68" s="500"/>
      <c r="P68" s="371"/>
      <c r="Q68" s="371"/>
      <c r="R68" s="371"/>
      <c r="U68" s="371"/>
      <c r="V68" s="371"/>
      <c r="W68" s="371"/>
      <c r="X68" s="371"/>
    </row>
    <row r="69" customFormat="false" ht="12.75" hidden="false" customHeight="false" outlineLevel="0" collapsed="false">
      <c r="A69" s="500"/>
      <c r="B69" s="500"/>
      <c r="P69" s="371"/>
      <c r="Q69" s="371"/>
      <c r="R69" s="371"/>
      <c r="U69" s="371"/>
      <c r="V69" s="371"/>
      <c r="W69" s="371"/>
      <c r="X69" s="371"/>
    </row>
    <row r="70" customFormat="false" ht="12.75" hidden="false" customHeight="false" outlineLevel="0" collapsed="false">
      <c r="A70" s="500"/>
      <c r="B70" s="500"/>
      <c r="P70" s="371"/>
      <c r="Q70" s="371"/>
      <c r="R70" s="371"/>
      <c r="U70" s="371"/>
      <c r="V70" s="371"/>
      <c r="W70" s="371"/>
      <c r="X70" s="371"/>
    </row>
    <row r="71" customFormat="false" ht="12.75" hidden="false" customHeight="false" outlineLevel="0" collapsed="false">
      <c r="A71" s="500"/>
      <c r="B71" s="500"/>
      <c r="P71" s="371"/>
      <c r="Q71" s="371"/>
      <c r="R71" s="371"/>
      <c r="U71" s="371"/>
      <c r="V71" s="371"/>
      <c r="W71" s="371"/>
      <c r="X71" s="371"/>
    </row>
    <row r="72" customFormat="false" ht="12.75" hidden="false" customHeight="false" outlineLevel="0" collapsed="false">
      <c r="A72" s="500"/>
      <c r="B72" s="500"/>
      <c r="P72" s="371"/>
      <c r="Q72" s="371"/>
      <c r="R72" s="371"/>
      <c r="U72" s="371"/>
      <c r="V72" s="371"/>
      <c r="W72" s="371"/>
      <c r="X72" s="371"/>
    </row>
    <row r="73" customFormat="false" ht="12.75" hidden="false" customHeight="false" outlineLevel="0" collapsed="false">
      <c r="A73" s="500"/>
      <c r="B73" s="500"/>
      <c r="P73" s="371"/>
      <c r="Q73" s="371"/>
      <c r="R73" s="371"/>
      <c r="U73" s="371"/>
      <c r="V73" s="371"/>
      <c r="W73" s="371"/>
      <c r="X73" s="371"/>
    </row>
    <row r="74" customFormat="false" ht="12.75" hidden="false" customHeight="false" outlineLevel="0" collapsed="false">
      <c r="A74" s="500"/>
      <c r="B74" s="500"/>
      <c r="P74" s="371"/>
      <c r="Q74" s="371"/>
      <c r="R74" s="371"/>
      <c r="U74" s="371"/>
      <c r="V74" s="371"/>
      <c r="W74" s="371"/>
      <c r="X74" s="371"/>
    </row>
    <row r="75" customFormat="false" ht="12.75" hidden="false" customHeight="false" outlineLevel="0" collapsed="false">
      <c r="A75" s="500"/>
      <c r="B75" s="500"/>
      <c r="P75" s="371"/>
      <c r="Q75" s="371"/>
      <c r="R75" s="371"/>
      <c r="U75" s="371"/>
      <c r="V75" s="371"/>
      <c r="W75" s="371"/>
      <c r="X75" s="371"/>
    </row>
    <row r="76" customFormat="false" ht="12.75" hidden="false" customHeight="false" outlineLevel="0" collapsed="false">
      <c r="A76" s="500"/>
      <c r="B76" s="500"/>
      <c r="P76" s="371"/>
      <c r="Q76" s="371"/>
      <c r="R76" s="371"/>
      <c r="U76" s="371"/>
      <c r="V76" s="371"/>
      <c r="W76" s="371"/>
      <c r="X76" s="371"/>
    </row>
    <row r="77" customFormat="false" ht="12.75" hidden="false" customHeight="false" outlineLevel="0" collapsed="false">
      <c r="A77" s="500"/>
      <c r="B77" s="500"/>
      <c r="P77" s="371"/>
      <c r="Q77" s="371"/>
      <c r="R77" s="371"/>
      <c r="U77" s="371"/>
      <c r="V77" s="371"/>
      <c r="W77" s="371"/>
      <c r="X77" s="371"/>
    </row>
    <row r="78" customFormat="false" ht="12.75" hidden="false" customHeight="false" outlineLevel="0" collapsed="false">
      <c r="A78" s="500"/>
      <c r="B78" s="500"/>
      <c r="P78" s="371"/>
      <c r="Q78" s="371"/>
      <c r="R78" s="371"/>
      <c r="U78" s="371"/>
      <c r="V78" s="371"/>
      <c r="W78" s="371"/>
      <c r="X78" s="371"/>
    </row>
    <row r="79" customFormat="false" ht="12.75" hidden="false" customHeight="false" outlineLevel="0" collapsed="false">
      <c r="A79" s="500"/>
      <c r="B79" s="500"/>
      <c r="P79" s="371"/>
      <c r="Q79" s="371"/>
      <c r="R79" s="371"/>
      <c r="U79" s="371"/>
      <c r="V79" s="371"/>
      <c r="W79" s="371"/>
      <c r="X79" s="371"/>
    </row>
    <row r="80" customFormat="false" ht="12.75" hidden="false" customHeight="false" outlineLevel="0" collapsed="false">
      <c r="A80" s="500"/>
      <c r="B80" s="500"/>
      <c r="P80" s="371"/>
      <c r="Q80" s="371"/>
      <c r="R80" s="371"/>
      <c r="U80" s="371"/>
      <c r="V80" s="371"/>
      <c r="W80" s="371"/>
      <c r="X80" s="371"/>
    </row>
    <row r="81" customFormat="false" ht="12.75" hidden="false" customHeight="false" outlineLevel="0" collapsed="false">
      <c r="A81" s="500"/>
      <c r="B81" s="500"/>
      <c r="P81" s="371"/>
      <c r="Q81" s="371"/>
      <c r="R81" s="371"/>
      <c r="U81" s="371"/>
      <c r="V81" s="371"/>
      <c r="W81" s="371"/>
      <c r="X81" s="371"/>
    </row>
    <row r="82" customFormat="false" ht="12.75" hidden="false" customHeight="false" outlineLevel="0" collapsed="false">
      <c r="A82" s="500"/>
      <c r="B82" s="500"/>
      <c r="P82" s="371"/>
      <c r="Q82" s="371"/>
      <c r="R82" s="371"/>
      <c r="U82" s="371"/>
      <c r="V82" s="371"/>
      <c r="W82" s="371"/>
      <c r="X82" s="371"/>
    </row>
    <row r="83" customFormat="false" ht="12.75" hidden="false" customHeight="false" outlineLevel="0" collapsed="false">
      <c r="A83" s="500"/>
      <c r="B83" s="500"/>
      <c r="P83" s="371"/>
      <c r="Q83" s="371"/>
      <c r="R83" s="371"/>
      <c r="U83" s="371"/>
      <c r="V83" s="371"/>
      <c r="W83" s="371"/>
      <c r="X83" s="371"/>
    </row>
    <row r="84" customFormat="false" ht="12.75" hidden="false" customHeight="false" outlineLevel="0" collapsed="false">
      <c r="A84" s="500"/>
      <c r="B84" s="500"/>
      <c r="P84" s="371"/>
      <c r="Q84" s="371"/>
      <c r="R84" s="371"/>
      <c r="U84" s="371"/>
      <c r="V84" s="371"/>
      <c r="W84" s="371"/>
      <c r="X84" s="371"/>
    </row>
    <row r="85" customFormat="false" ht="12.75" hidden="false" customHeight="false" outlineLevel="0" collapsed="false">
      <c r="A85" s="500"/>
      <c r="B85" s="500"/>
      <c r="P85" s="371"/>
      <c r="Q85" s="371"/>
      <c r="R85" s="371"/>
      <c r="U85" s="371"/>
      <c r="V85" s="371"/>
      <c r="W85" s="371"/>
      <c r="X85" s="371"/>
    </row>
    <row r="86" customFormat="false" ht="12.75" hidden="false" customHeight="false" outlineLevel="0" collapsed="false">
      <c r="A86" s="500"/>
      <c r="B86" s="500"/>
      <c r="P86" s="371"/>
      <c r="Q86" s="371"/>
      <c r="R86" s="371"/>
      <c r="U86" s="371"/>
      <c r="V86" s="371"/>
      <c r="W86" s="371"/>
      <c r="X86" s="371"/>
    </row>
    <row r="87" customFormat="false" ht="12.75" hidden="false" customHeight="false" outlineLevel="0" collapsed="false">
      <c r="A87" s="500"/>
      <c r="B87" s="500"/>
      <c r="P87" s="371"/>
      <c r="Q87" s="371"/>
      <c r="R87" s="371"/>
      <c r="U87" s="371"/>
      <c r="V87" s="371"/>
      <c r="W87" s="371"/>
      <c r="X87" s="371"/>
    </row>
    <row r="88" customFormat="false" ht="12.75" hidden="false" customHeight="false" outlineLevel="0" collapsed="false">
      <c r="A88" s="500"/>
      <c r="B88" s="500"/>
      <c r="P88" s="371"/>
      <c r="Q88" s="371"/>
      <c r="R88" s="371"/>
      <c r="U88" s="371"/>
      <c r="V88" s="371"/>
      <c r="W88" s="371"/>
      <c r="X88" s="371"/>
    </row>
    <row r="89" customFormat="false" ht="12.75" hidden="false" customHeight="false" outlineLevel="0" collapsed="false">
      <c r="A89" s="500"/>
      <c r="B89" s="500"/>
      <c r="P89" s="371"/>
      <c r="Q89" s="371"/>
      <c r="R89" s="371"/>
      <c r="U89" s="371"/>
      <c r="V89" s="371"/>
      <c r="W89" s="371"/>
      <c r="X89" s="371"/>
    </row>
    <row r="90" customFormat="false" ht="12.75" hidden="false" customHeight="false" outlineLevel="0" collapsed="false">
      <c r="A90" s="500"/>
      <c r="B90" s="500"/>
      <c r="P90" s="371"/>
      <c r="Q90" s="371"/>
      <c r="R90" s="371"/>
      <c r="U90" s="371"/>
      <c r="V90" s="371"/>
      <c r="W90" s="371"/>
      <c r="X90" s="371"/>
    </row>
    <row r="91" customFormat="false" ht="12.75" hidden="false" customHeight="false" outlineLevel="0" collapsed="false">
      <c r="A91" s="500"/>
      <c r="B91" s="500"/>
      <c r="P91" s="371"/>
      <c r="Q91" s="371"/>
      <c r="R91" s="371"/>
      <c r="U91" s="371"/>
      <c r="V91" s="371"/>
      <c r="W91" s="371"/>
      <c r="X91" s="371"/>
    </row>
    <row r="92" customFormat="false" ht="12.75" hidden="false" customHeight="false" outlineLevel="0" collapsed="false">
      <c r="A92" s="500"/>
      <c r="B92" s="500"/>
      <c r="P92" s="371"/>
      <c r="Q92" s="371"/>
      <c r="R92" s="371"/>
      <c r="U92" s="371"/>
      <c r="V92" s="371"/>
      <c r="W92" s="371"/>
      <c r="X92" s="371"/>
    </row>
    <row r="93" customFormat="false" ht="12.75" hidden="false" customHeight="false" outlineLevel="0" collapsed="false">
      <c r="A93" s="500"/>
      <c r="B93" s="500"/>
      <c r="P93" s="371"/>
      <c r="Q93" s="371"/>
      <c r="R93" s="371"/>
      <c r="U93" s="371"/>
      <c r="V93" s="371"/>
      <c r="W93" s="371"/>
      <c r="X93" s="371"/>
    </row>
    <row r="94" customFormat="false" ht="12.75" hidden="false" customHeight="false" outlineLevel="0" collapsed="false">
      <c r="A94" s="500"/>
      <c r="B94" s="500"/>
      <c r="P94" s="371"/>
      <c r="Q94" s="371"/>
      <c r="R94" s="371"/>
      <c r="U94" s="371"/>
      <c r="V94" s="371"/>
      <c r="W94" s="371"/>
      <c r="X94" s="371"/>
    </row>
    <row r="95" customFormat="false" ht="12.75" hidden="false" customHeight="false" outlineLevel="0" collapsed="false">
      <c r="A95" s="500"/>
      <c r="B95" s="500"/>
      <c r="P95" s="371"/>
      <c r="Q95" s="371"/>
      <c r="R95" s="371"/>
      <c r="U95" s="371"/>
      <c r="V95" s="371"/>
      <c r="W95" s="371"/>
      <c r="X95" s="371"/>
    </row>
    <row r="96" customFormat="false" ht="12.75" hidden="false" customHeight="false" outlineLevel="0" collapsed="false">
      <c r="A96" s="500"/>
      <c r="B96" s="500"/>
      <c r="P96" s="371"/>
      <c r="Q96" s="371"/>
      <c r="R96" s="371"/>
      <c r="U96" s="371"/>
      <c r="V96" s="371"/>
      <c r="W96" s="371"/>
      <c r="X96" s="371"/>
    </row>
    <row r="97" customFormat="false" ht="12.75" hidden="false" customHeight="false" outlineLevel="0" collapsed="false">
      <c r="A97" s="500"/>
      <c r="B97" s="500"/>
      <c r="P97" s="371"/>
      <c r="Q97" s="371"/>
      <c r="R97" s="371"/>
      <c r="U97" s="371"/>
      <c r="V97" s="371"/>
      <c r="W97" s="371"/>
      <c r="X97" s="371"/>
    </row>
    <row r="98" customFormat="false" ht="12.75" hidden="false" customHeight="false" outlineLevel="0" collapsed="false">
      <c r="A98" s="500"/>
      <c r="B98" s="500"/>
      <c r="P98" s="371"/>
      <c r="Q98" s="371"/>
      <c r="R98" s="371"/>
      <c r="U98" s="371"/>
      <c r="V98" s="371"/>
      <c r="W98" s="371"/>
      <c r="X98" s="371"/>
    </row>
    <row r="99" customFormat="false" ht="12.75" hidden="false" customHeight="false" outlineLevel="0" collapsed="false">
      <c r="A99" s="500"/>
      <c r="B99" s="500"/>
      <c r="P99" s="371"/>
      <c r="Q99" s="371"/>
      <c r="R99" s="371"/>
      <c r="U99" s="371"/>
      <c r="V99" s="371"/>
      <c r="W99" s="371"/>
      <c r="X99" s="371"/>
    </row>
    <row r="100" customFormat="false" ht="12.75" hidden="false" customHeight="false" outlineLevel="0" collapsed="false">
      <c r="A100" s="500"/>
      <c r="B100" s="500"/>
      <c r="P100" s="371"/>
      <c r="Q100" s="371"/>
      <c r="R100" s="371"/>
      <c r="U100" s="371"/>
      <c r="V100" s="371"/>
      <c r="W100" s="371"/>
      <c r="X100" s="371"/>
    </row>
    <row r="101" customFormat="false" ht="12.75" hidden="false" customHeight="false" outlineLevel="0" collapsed="false">
      <c r="A101" s="500"/>
      <c r="B101" s="500"/>
      <c r="P101" s="371"/>
      <c r="Q101" s="371"/>
      <c r="R101" s="371"/>
      <c r="U101" s="371"/>
      <c r="V101" s="371"/>
      <c r="W101" s="371"/>
      <c r="X101" s="371"/>
    </row>
    <row r="102" customFormat="false" ht="12.75" hidden="false" customHeight="false" outlineLevel="0" collapsed="false">
      <c r="A102" s="500"/>
      <c r="B102" s="500"/>
      <c r="P102" s="371"/>
      <c r="Q102" s="371"/>
      <c r="R102" s="371"/>
      <c r="U102" s="371"/>
      <c r="V102" s="371"/>
      <c r="W102" s="371"/>
      <c r="X102" s="371"/>
    </row>
    <row r="103" customFormat="false" ht="12.75" hidden="false" customHeight="false" outlineLevel="0" collapsed="false">
      <c r="A103" s="500"/>
      <c r="B103" s="500"/>
      <c r="P103" s="371"/>
      <c r="Q103" s="371"/>
      <c r="R103" s="371"/>
      <c r="U103" s="371"/>
      <c r="V103" s="371"/>
      <c r="W103" s="371"/>
      <c r="X103" s="371"/>
    </row>
    <row r="104" customFormat="false" ht="12.75" hidden="false" customHeight="false" outlineLevel="0" collapsed="false">
      <c r="A104" s="500"/>
      <c r="B104" s="500"/>
      <c r="P104" s="371"/>
      <c r="Q104" s="371"/>
      <c r="R104" s="371"/>
      <c r="U104" s="371"/>
      <c r="V104" s="371"/>
      <c r="W104" s="371"/>
      <c r="X104" s="371"/>
    </row>
    <row r="105" customFormat="false" ht="12.75" hidden="false" customHeight="false" outlineLevel="0" collapsed="false">
      <c r="A105" s="500"/>
      <c r="B105" s="500"/>
      <c r="P105" s="371"/>
      <c r="Q105" s="371"/>
      <c r="R105" s="371"/>
      <c r="U105" s="371"/>
      <c r="V105" s="371"/>
      <c r="W105" s="371"/>
      <c r="X105" s="371"/>
    </row>
    <row r="106" customFormat="false" ht="12.75" hidden="false" customHeight="false" outlineLevel="0" collapsed="false">
      <c r="A106" s="500"/>
      <c r="B106" s="500"/>
      <c r="P106" s="371"/>
      <c r="Q106" s="371"/>
      <c r="R106" s="371"/>
      <c r="U106" s="371"/>
      <c r="V106" s="371"/>
      <c r="W106" s="371"/>
      <c r="X106" s="371"/>
    </row>
    <row r="107" customFormat="false" ht="12.75" hidden="false" customHeight="false" outlineLevel="0" collapsed="false">
      <c r="A107" s="500"/>
      <c r="B107" s="500"/>
      <c r="P107" s="371"/>
      <c r="Q107" s="371"/>
      <c r="R107" s="371"/>
      <c r="U107" s="371"/>
      <c r="V107" s="371"/>
      <c r="W107" s="371"/>
      <c r="X107" s="371"/>
    </row>
    <row r="108" customFormat="false" ht="12.75" hidden="false" customHeight="false" outlineLevel="0" collapsed="false">
      <c r="A108" s="500"/>
      <c r="B108" s="500"/>
      <c r="P108" s="371"/>
      <c r="Q108" s="371"/>
      <c r="R108" s="371"/>
      <c r="U108" s="371"/>
      <c r="V108" s="371"/>
      <c r="W108" s="371"/>
      <c r="X108" s="371"/>
    </row>
    <row r="109" customFormat="false" ht="12.75" hidden="false" customHeight="false" outlineLevel="0" collapsed="false">
      <c r="A109" s="500"/>
      <c r="B109" s="500"/>
      <c r="P109" s="371"/>
      <c r="Q109" s="371"/>
      <c r="R109" s="371"/>
      <c r="U109" s="371"/>
      <c r="V109" s="371"/>
      <c r="W109" s="371"/>
      <c r="X109" s="371"/>
    </row>
    <row r="110" customFormat="false" ht="12.75" hidden="false" customHeight="false" outlineLevel="0" collapsed="false">
      <c r="A110" s="500"/>
      <c r="B110" s="500"/>
      <c r="P110" s="371"/>
      <c r="Q110" s="371"/>
      <c r="R110" s="371"/>
      <c r="U110" s="371"/>
      <c r="V110" s="371"/>
      <c r="W110" s="371"/>
      <c r="X110" s="371"/>
    </row>
    <row r="111" customFormat="false" ht="12.75" hidden="false" customHeight="false" outlineLevel="0" collapsed="false">
      <c r="A111" s="500"/>
      <c r="B111" s="500"/>
      <c r="P111" s="371"/>
      <c r="Q111" s="371"/>
      <c r="R111" s="371"/>
      <c r="U111" s="371"/>
      <c r="V111" s="371"/>
      <c r="W111" s="371"/>
      <c r="X111" s="371"/>
    </row>
    <row r="112" customFormat="false" ht="12.75" hidden="false" customHeight="false" outlineLevel="0" collapsed="false">
      <c r="A112" s="500"/>
      <c r="B112" s="500"/>
      <c r="P112" s="371"/>
      <c r="Q112" s="371"/>
      <c r="R112" s="371"/>
      <c r="U112" s="371"/>
      <c r="V112" s="371"/>
      <c r="W112" s="371"/>
      <c r="X112" s="371"/>
    </row>
    <row r="113" customFormat="false" ht="12.75" hidden="false" customHeight="false" outlineLevel="0" collapsed="false">
      <c r="A113" s="500"/>
      <c r="B113" s="500"/>
      <c r="P113" s="371"/>
      <c r="Q113" s="371"/>
      <c r="R113" s="371"/>
      <c r="U113" s="371"/>
      <c r="V113" s="371"/>
      <c r="W113" s="371"/>
      <c r="X113" s="371"/>
    </row>
    <row r="114" customFormat="false" ht="12.75" hidden="false" customHeight="false" outlineLevel="0" collapsed="false">
      <c r="A114" s="500"/>
      <c r="B114" s="500"/>
      <c r="P114" s="371"/>
      <c r="Q114" s="371"/>
      <c r="R114" s="371"/>
      <c r="U114" s="371"/>
      <c r="V114" s="371"/>
      <c r="W114" s="371"/>
      <c r="X114" s="371"/>
    </row>
    <row r="115" customFormat="false" ht="12.75" hidden="false" customHeight="false" outlineLevel="0" collapsed="false">
      <c r="A115" s="500"/>
      <c r="B115" s="500"/>
      <c r="P115" s="371"/>
      <c r="Q115" s="371"/>
      <c r="R115" s="371"/>
      <c r="U115" s="371"/>
      <c r="V115" s="371"/>
      <c r="W115" s="371"/>
      <c r="X115" s="371"/>
    </row>
    <row r="116" customFormat="false" ht="12.75" hidden="false" customHeight="false" outlineLevel="0" collapsed="false">
      <c r="A116" s="500"/>
      <c r="B116" s="500"/>
      <c r="P116" s="371"/>
      <c r="Q116" s="371"/>
      <c r="R116" s="371"/>
      <c r="U116" s="371"/>
      <c r="V116" s="371"/>
      <c r="W116" s="371"/>
      <c r="X116" s="371"/>
    </row>
    <row r="117" customFormat="false" ht="12.75" hidden="false" customHeight="false" outlineLevel="0" collapsed="false">
      <c r="A117" s="500"/>
      <c r="B117" s="500"/>
      <c r="P117" s="371"/>
      <c r="Q117" s="371"/>
      <c r="R117" s="371"/>
      <c r="U117" s="371"/>
      <c r="V117" s="371"/>
      <c r="W117" s="371"/>
      <c r="X117" s="371"/>
    </row>
    <row r="118" customFormat="false" ht="12.75" hidden="false" customHeight="false" outlineLevel="0" collapsed="false">
      <c r="A118" s="500"/>
      <c r="B118" s="500"/>
      <c r="P118" s="371"/>
      <c r="Q118" s="371"/>
      <c r="R118" s="371"/>
      <c r="U118" s="371"/>
      <c r="V118" s="371"/>
      <c r="W118" s="371"/>
      <c r="X118" s="371"/>
    </row>
    <row r="119" customFormat="false" ht="12.75" hidden="false" customHeight="false" outlineLevel="0" collapsed="false">
      <c r="A119" s="500"/>
      <c r="B119" s="500"/>
      <c r="P119" s="371"/>
      <c r="Q119" s="371"/>
      <c r="R119" s="371"/>
      <c r="U119" s="371"/>
      <c r="V119" s="371"/>
      <c r="W119" s="371"/>
      <c r="X119" s="371"/>
    </row>
    <row r="120" customFormat="false" ht="12.75" hidden="false" customHeight="false" outlineLevel="0" collapsed="false">
      <c r="A120" s="500"/>
      <c r="B120" s="500"/>
      <c r="P120" s="371"/>
      <c r="Q120" s="371"/>
      <c r="R120" s="371"/>
      <c r="U120" s="371"/>
      <c r="V120" s="371"/>
      <c r="W120" s="371"/>
      <c r="X120" s="371"/>
    </row>
    <row r="121" customFormat="false" ht="12.75" hidden="false" customHeight="false" outlineLevel="0" collapsed="false">
      <c r="A121" s="500"/>
      <c r="B121" s="500"/>
      <c r="P121" s="371"/>
      <c r="Q121" s="371"/>
      <c r="R121" s="371"/>
      <c r="U121" s="371"/>
      <c r="V121" s="371"/>
      <c r="W121" s="371"/>
      <c r="X121" s="371"/>
    </row>
    <row r="122" customFormat="false" ht="12.75" hidden="false" customHeight="false" outlineLevel="0" collapsed="false">
      <c r="A122" s="500"/>
      <c r="B122" s="500"/>
      <c r="P122" s="371"/>
      <c r="Q122" s="371"/>
      <c r="R122" s="371"/>
      <c r="U122" s="371"/>
      <c r="V122" s="371"/>
      <c r="W122" s="371"/>
      <c r="X122" s="371"/>
    </row>
    <row r="123" customFormat="false" ht="12.75" hidden="false" customHeight="false" outlineLevel="0" collapsed="false">
      <c r="A123" s="500"/>
      <c r="B123" s="500"/>
      <c r="P123" s="371"/>
      <c r="Q123" s="371"/>
      <c r="R123" s="371"/>
      <c r="U123" s="371"/>
      <c r="V123" s="371"/>
      <c r="W123" s="371"/>
      <c r="X123" s="371"/>
    </row>
    <row r="124" customFormat="false" ht="12.75" hidden="false" customHeight="false" outlineLevel="0" collapsed="false">
      <c r="A124" s="500"/>
      <c r="B124" s="500"/>
      <c r="P124" s="371"/>
      <c r="Q124" s="371"/>
      <c r="R124" s="371"/>
      <c r="U124" s="371"/>
      <c r="V124" s="371"/>
      <c r="W124" s="371"/>
      <c r="X124" s="371"/>
    </row>
    <row r="125" customFormat="false" ht="12.75" hidden="false" customHeight="false" outlineLevel="0" collapsed="false">
      <c r="A125" s="500"/>
      <c r="B125" s="500"/>
      <c r="P125" s="371"/>
      <c r="Q125" s="371"/>
      <c r="R125" s="371"/>
      <c r="U125" s="371"/>
      <c r="V125" s="371"/>
      <c r="W125" s="371"/>
      <c r="X125" s="371"/>
    </row>
    <row r="126" customFormat="false" ht="12.75" hidden="false" customHeight="false" outlineLevel="0" collapsed="false">
      <c r="A126" s="500"/>
      <c r="B126" s="500"/>
      <c r="P126" s="371"/>
      <c r="Q126" s="371"/>
      <c r="R126" s="371"/>
      <c r="U126" s="371"/>
      <c r="V126" s="371"/>
      <c r="W126" s="371"/>
      <c r="X126" s="371"/>
    </row>
    <row r="127" customFormat="false" ht="12.75" hidden="false" customHeight="false" outlineLevel="0" collapsed="false">
      <c r="A127" s="500"/>
      <c r="B127" s="500"/>
      <c r="P127" s="371"/>
      <c r="Q127" s="371"/>
      <c r="R127" s="371"/>
      <c r="U127" s="371"/>
      <c r="V127" s="371"/>
      <c r="W127" s="371"/>
      <c r="X127" s="371"/>
    </row>
    <row r="128" customFormat="false" ht="12.75" hidden="false" customHeight="false" outlineLevel="0" collapsed="false">
      <c r="A128" s="500"/>
      <c r="B128" s="500"/>
      <c r="P128" s="371"/>
      <c r="Q128" s="371"/>
      <c r="R128" s="371"/>
      <c r="U128" s="371"/>
      <c r="V128" s="371"/>
      <c r="W128" s="371"/>
      <c r="X128" s="371"/>
    </row>
    <row r="129" customFormat="false" ht="12.75" hidden="false" customHeight="false" outlineLevel="0" collapsed="false">
      <c r="A129" s="500"/>
      <c r="B129" s="500"/>
      <c r="P129" s="371"/>
      <c r="Q129" s="371"/>
      <c r="R129" s="371"/>
      <c r="U129" s="371"/>
      <c r="V129" s="371"/>
      <c r="W129" s="371"/>
      <c r="X129" s="371"/>
    </row>
    <row r="130" customFormat="false" ht="12.75" hidden="false" customHeight="false" outlineLevel="0" collapsed="false">
      <c r="P130" s="371"/>
      <c r="Q130" s="371"/>
      <c r="R130" s="371"/>
      <c r="U130" s="371"/>
      <c r="V130" s="371"/>
      <c r="W130" s="371"/>
      <c r="X130" s="371"/>
    </row>
    <row r="131" customFormat="false" ht="12.75" hidden="false" customHeight="false" outlineLevel="0" collapsed="false">
      <c r="P131" s="371"/>
      <c r="Q131" s="371"/>
      <c r="R131" s="371"/>
      <c r="U131" s="371"/>
      <c r="V131" s="371"/>
      <c r="W131" s="371"/>
      <c r="X131" s="371"/>
    </row>
    <row r="132" customFormat="false" ht="12.75" hidden="false" customHeight="false" outlineLevel="0" collapsed="false">
      <c r="P132" s="371"/>
      <c r="Q132" s="371"/>
      <c r="R132" s="371"/>
      <c r="U132" s="371"/>
      <c r="V132" s="371"/>
      <c r="W132" s="371"/>
      <c r="X132" s="371"/>
    </row>
    <row r="133" customFormat="false" ht="12.75" hidden="false" customHeight="false" outlineLevel="0" collapsed="false">
      <c r="P133" s="371"/>
      <c r="Q133" s="371"/>
      <c r="R133" s="371"/>
      <c r="U133" s="371"/>
      <c r="V133" s="371"/>
      <c r="W133" s="371"/>
      <c r="X133" s="371"/>
    </row>
    <row r="134" customFormat="false" ht="12.75" hidden="false" customHeight="false" outlineLevel="0" collapsed="false">
      <c r="P134" s="371"/>
      <c r="Q134" s="371"/>
      <c r="R134" s="371"/>
      <c r="U134" s="371"/>
      <c r="V134" s="371"/>
      <c r="W134" s="371"/>
      <c r="X134" s="371"/>
    </row>
    <row r="135" customFormat="false" ht="12.75" hidden="false" customHeight="false" outlineLevel="0" collapsed="false">
      <c r="P135" s="371"/>
      <c r="Q135" s="371"/>
      <c r="R135" s="371"/>
      <c r="U135" s="371"/>
      <c r="V135" s="371"/>
      <c r="W135" s="371"/>
      <c r="X135" s="371"/>
    </row>
    <row r="136" customFormat="false" ht="12.75" hidden="false" customHeight="false" outlineLevel="0" collapsed="false">
      <c r="P136" s="371"/>
      <c r="Q136" s="371"/>
      <c r="R136" s="371"/>
      <c r="U136" s="371"/>
      <c r="V136" s="371"/>
      <c r="W136" s="371"/>
      <c r="X136" s="371"/>
    </row>
    <row r="137" customFormat="false" ht="12.75" hidden="false" customHeight="false" outlineLevel="0" collapsed="false">
      <c r="P137" s="371"/>
      <c r="Q137" s="371"/>
      <c r="R137" s="371"/>
      <c r="U137" s="371"/>
      <c r="V137" s="371"/>
      <c r="W137" s="371"/>
      <c r="X137" s="371"/>
    </row>
    <row r="138" customFormat="false" ht="12.75" hidden="false" customHeight="false" outlineLevel="0" collapsed="false">
      <c r="P138" s="371"/>
      <c r="Q138" s="371"/>
      <c r="R138" s="371"/>
      <c r="U138" s="371"/>
      <c r="V138" s="371"/>
      <c r="W138" s="371"/>
      <c r="X138" s="371"/>
    </row>
    <row r="139" customFormat="false" ht="12.75" hidden="false" customHeight="false" outlineLevel="0" collapsed="false">
      <c r="P139" s="371"/>
      <c r="Q139" s="371"/>
      <c r="R139" s="371"/>
      <c r="U139" s="371"/>
      <c r="V139" s="371"/>
      <c r="W139" s="371"/>
      <c r="X139" s="371"/>
    </row>
    <row r="140" customFormat="false" ht="12.75" hidden="false" customHeight="false" outlineLevel="0" collapsed="false">
      <c r="P140" s="371"/>
      <c r="Q140" s="371"/>
      <c r="R140" s="371"/>
      <c r="U140" s="371"/>
      <c r="V140" s="371"/>
      <c r="W140" s="371"/>
      <c r="X140" s="371"/>
    </row>
    <row r="141" customFormat="false" ht="12.75" hidden="false" customHeight="false" outlineLevel="0" collapsed="false">
      <c r="P141" s="371"/>
      <c r="Q141" s="371"/>
      <c r="R141" s="371"/>
      <c r="U141" s="371"/>
      <c r="V141" s="371"/>
      <c r="W141" s="371"/>
      <c r="X141" s="371"/>
    </row>
    <row r="142" customFormat="false" ht="12.75" hidden="false" customHeight="false" outlineLevel="0" collapsed="false">
      <c r="P142" s="371"/>
      <c r="Q142" s="371"/>
      <c r="R142" s="371"/>
      <c r="U142" s="371"/>
      <c r="V142" s="371"/>
      <c r="W142" s="371"/>
      <c r="X142" s="371"/>
    </row>
    <row r="143" customFormat="false" ht="12.75" hidden="false" customHeight="false" outlineLevel="0" collapsed="false">
      <c r="P143" s="371"/>
      <c r="Q143" s="371"/>
      <c r="R143" s="371"/>
      <c r="U143" s="371"/>
      <c r="V143" s="371"/>
      <c r="W143" s="371"/>
      <c r="X143" s="371"/>
    </row>
    <row r="144" customFormat="false" ht="12.75" hidden="false" customHeight="false" outlineLevel="0" collapsed="false">
      <c r="P144" s="371"/>
      <c r="Q144" s="371"/>
      <c r="R144" s="371"/>
      <c r="U144" s="371"/>
      <c r="V144" s="371"/>
      <c r="W144" s="371"/>
      <c r="X144" s="371"/>
    </row>
    <row r="145" customFormat="false" ht="12.75" hidden="false" customHeight="false" outlineLevel="0" collapsed="false">
      <c r="P145" s="371"/>
      <c r="Q145" s="371"/>
      <c r="R145" s="371"/>
      <c r="U145" s="371"/>
      <c r="V145" s="371"/>
      <c r="W145" s="371"/>
      <c r="X145" s="371"/>
    </row>
    <row r="146" customFormat="false" ht="12.75" hidden="false" customHeight="false" outlineLevel="0" collapsed="false">
      <c r="P146" s="371"/>
      <c r="Q146" s="371"/>
      <c r="R146" s="371"/>
      <c r="U146" s="371"/>
      <c r="V146" s="371"/>
      <c r="W146" s="371"/>
      <c r="X146" s="371"/>
    </row>
    <row r="147" customFormat="false" ht="12.75" hidden="false" customHeight="false" outlineLevel="0" collapsed="false">
      <c r="P147" s="371"/>
      <c r="Q147" s="371"/>
      <c r="R147" s="371"/>
      <c r="U147" s="371"/>
      <c r="V147" s="371"/>
      <c r="W147" s="371"/>
      <c r="X147" s="371"/>
    </row>
    <row r="148" customFormat="false" ht="12.75" hidden="false" customHeight="false" outlineLevel="0" collapsed="false">
      <c r="P148" s="371"/>
      <c r="Q148" s="371"/>
      <c r="R148" s="371"/>
      <c r="U148" s="371"/>
      <c r="V148" s="371"/>
      <c r="W148" s="371"/>
      <c r="X148" s="371"/>
    </row>
    <row r="149" customFormat="false" ht="12.75" hidden="false" customHeight="false" outlineLevel="0" collapsed="false">
      <c r="P149" s="371"/>
      <c r="Q149" s="371"/>
      <c r="R149" s="371"/>
      <c r="U149" s="371"/>
      <c r="V149" s="371"/>
      <c r="W149" s="371"/>
      <c r="X149" s="371"/>
    </row>
    <row r="150" customFormat="false" ht="12.75" hidden="false" customHeight="false" outlineLevel="0" collapsed="false">
      <c r="P150" s="371"/>
      <c r="Q150" s="371"/>
      <c r="R150" s="371"/>
      <c r="U150" s="371"/>
      <c r="V150" s="371"/>
      <c r="W150" s="371"/>
      <c r="X150" s="371"/>
    </row>
    <row r="151" customFormat="false" ht="12.75" hidden="false" customHeight="false" outlineLevel="0" collapsed="false">
      <c r="P151" s="371"/>
      <c r="Q151" s="371"/>
      <c r="R151" s="371"/>
      <c r="U151" s="371"/>
      <c r="V151" s="371"/>
      <c r="W151" s="371"/>
      <c r="X151" s="371"/>
    </row>
    <row r="152" customFormat="false" ht="12.75" hidden="false" customHeight="false" outlineLevel="0" collapsed="false">
      <c r="P152" s="371"/>
      <c r="Q152" s="371"/>
      <c r="R152" s="371"/>
      <c r="U152" s="371"/>
      <c r="V152" s="371"/>
      <c r="W152" s="371"/>
      <c r="X152" s="371"/>
    </row>
    <row r="153" customFormat="false" ht="12.75" hidden="false" customHeight="false" outlineLevel="0" collapsed="false">
      <c r="P153" s="371"/>
      <c r="Q153" s="371"/>
      <c r="R153" s="371"/>
      <c r="U153" s="371"/>
      <c r="V153" s="371"/>
      <c r="W153" s="371"/>
      <c r="X153" s="371"/>
    </row>
    <row r="154" customFormat="false" ht="12.75" hidden="false" customHeight="false" outlineLevel="0" collapsed="false">
      <c r="P154" s="371"/>
      <c r="Q154" s="371"/>
      <c r="R154" s="371"/>
      <c r="U154" s="371"/>
      <c r="V154" s="371"/>
      <c r="W154" s="371"/>
      <c r="X154" s="371"/>
    </row>
    <row r="155" customFormat="false" ht="12.75" hidden="false" customHeight="false" outlineLevel="0" collapsed="false">
      <c r="P155" s="371"/>
      <c r="Q155" s="371"/>
      <c r="R155" s="371"/>
      <c r="U155" s="371"/>
      <c r="V155" s="371"/>
      <c r="W155" s="371"/>
      <c r="X155" s="371"/>
    </row>
    <row r="156" customFormat="false" ht="12.75" hidden="false" customHeight="false" outlineLevel="0" collapsed="false">
      <c r="P156" s="371"/>
      <c r="Q156" s="371"/>
      <c r="R156" s="371"/>
      <c r="U156" s="371"/>
      <c r="V156" s="371"/>
      <c r="W156" s="371"/>
      <c r="X156" s="371"/>
    </row>
    <row r="157" customFormat="false" ht="12.75" hidden="false" customHeight="false" outlineLevel="0" collapsed="false">
      <c r="P157" s="371"/>
      <c r="Q157" s="371"/>
      <c r="R157" s="371"/>
      <c r="U157" s="371"/>
      <c r="V157" s="371"/>
      <c r="W157" s="371"/>
      <c r="X157" s="371"/>
    </row>
    <row r="158" customFormat="false" ht="12.75" hidden="false" customHeight="false" outlineLevel="0" collapsed="false">
      <c r="P158" s="371"/>
      <c r="Q158" s="371"/>
      <c r="R158" s="371"/>
      <c r="U158" s="371"/>
      <c r="V158" s="371"/>
      <c r="W158" s="371"/>
      <c r="X158" s="371"/>
    </row>
    <row r="159" customFormat="false" ht="12.75" hidden="false" customHeight="false" outlineLevel="0" collapsed="false">
      <c r="P159" s="371"/>
      <c r="Q159" s="371"/>
      <c r="R159" s="371"/>
      <c r="U159" s="371"/>
      <c r="V159" s="371"/>
      <c r="W159" s="371"/>
      <c r="X159" s="371"/>
    </row>
    <row r="160" customFormat="false" ht="12.75" hidden="false" customHeight="false" outlineLevel="0" collapsed="false">
      <c r="P160" s="371"/>
      <c r="Q160" s="371"/>
      <c r="R160" s="371"/>
      <c r="U160" s="371"/>
      <c r="V160" s="371"/>
      <c r="W160" s="371"/>
      <c r="X160" s="371"/>
    </row>
    <row r="161" customFormat="false" ht="12.75" hidden="false" customHeight="false" outlineLevel="0" collapsed="false">
      <c r="P161" s="371"/>
      <c r="Q161" s="371"/>
      <c r="R161" s="371"/>
      <c r="U161" s="371"/>
      <c r="V161" s="371"/>
      <c r="W161" s="371"/>
      <c r="X161" s="371"/>
    </row>
    <row r="162" customFormat="false" ht="12.75" hidden="false" customHeight="false" outlineLevel="0" collapsed="false">
      <c r="P162" s="371"/>
      <c r="Q162" s="371"/>
      <c r="R162" s="371"/>
      <c r="U162" s="371"/>
      <c r="V162" s="371"/>
      <c r="W162" s="371"/>
      <c r="X162" s="371"/>
    </row>
    <row r="163" customFormat="false" ht="12.75" hidden="false" customHeight="false" outlineLevel="0" collapsed="false">
      <c r="P163" s="371"/>
      <c r="Q163" s="371"/>
      <c r="R163" s="371"/>
      <c r="U163" s="371"/>
      <c r="V163" s="371"/>
      <c r="W163" s="371"/>
      <c r="X163" s="371"/>
    </row>
    <row r="164" customFormat="false" ht="12.75" hidden="false" customHeight="false" outlineLevel="0" collapsed="false">
      <c r="P164" s="371"/>
      <c r="Q164" s="371"/>
      <c r="R164" s="371"/>
      <c r="U164" s="371"/>
      <c r="V164" s="371"/>
      <c r="W164" s="371"/>
      <c r="X164" s="371"/>
    </row>
    <row r="165" customFormat="false" ht="12.75" hidden="false" customHeight="false" outlineLevel="0" collapsed="false">
      <c r="P165" s="371"/>
      <c r="Q165" s="371"/>
      <c r="R165" s="371"/>
      <c r="U165" s="371"/>
      <c r="V165" s="371"/>
      <c r="W165" s="371"/>
      <c r="X165" s="371"/>
    </row>
    <row r="166" customFormat="false" ht="12.75" hidden="false" customHeight="false" outlineLevel="0" collapsed="false">
      <c r="P166" s="371"/>
      <c r="Q166" s="371"/>
      <c r="R166" s="371"/>
      <c r="U166" s="371"/>
      <c r="V166" s="371"/>
      <c r="W166" s="371"/>
      <c r="X166" s="371"/>
    </row>
    <row r="167" customFormat="false" ht="12.75" hidden="false" customHeight="false" outlineLevel="0" collapsed="false">
      <c r="P167" s="371"/>
      <c r="Q167" s="371"/>
      <c r="R167" s="371"/>
      <c r="U167" s="371"/>
      <c r="V167" s="371"/>
      <c r="W167" s="371"/>
      <c r="X167" s="371"/>
    </row>
    <row r="168" customFormat="false" ht="12.75" hidden="false" customHeight="false" outlineLevel="0" collapsed="false">
      <c r="P168" s="371"/>
      <c r="Q168" s="371"/>
      <c r="R168" s="371"/>
      <c r="U168" s="371"/>
      <c r="V168" s="371"/>
      <c r="W168" s="371"/>
      <c r="X168" s="371"/>
    </row>
    <row r="169" customFormat="false" ht="12.75" hidden="false" customHeight="false" outlineLevel="0" collapsed="false">
      <c r="P169" s="371"/>
      <c r="Q169" s="371"/>
      <c r="R169" s="371"/>
      <c r="U169" s="371"/>
      <c r="V169" s="371"/>
      <c r="W169" s="371"/>
      <c r="X169" s="371"/>
    </row>
    <row r="170" customFormat="false" ht="12.75" hidden="false" customHeight="false" outlineLevel="0" collapsed="false">
      <c r="P170" s="371"/>
      <c r="Q170" s="371"/>
      <c r="R170" s="371"/>
      <c r="U170" s="371"/>
      <c r="V170" s="371"/>
      <c r="W170" s="371"/>
      <c r="X170" s="371"/>
    </row>
    <row r="171" customFormat="false" ht="12.75" hidden="false" customHeight="false" outlineLevel="0" collapsed="false">
      <c r="P171" s="371"/>
      <c r="Q171" s="371"/>
      <c r="R171" s="371"/>
      <c r="U171" s="371"/>
      <c r="V171" s="371"/>
      <c r="W171" s="371"/>
      <c r="X171" s="371"/>
    </row>
    <row r="172" customFormat="false" ht="12.75" hidden="false" customHeight="false" outlineLevel="0" collapsed="false">
      <c r="P172" s="371"/>
      <c r="Q172" s="371"/>
      <c r="R172" s="371"/>
      <c r="U172" s="371"/>
      <c r="V172" s="371"/>
      <c r="W172" s="371"/>
      <c r="X172" s="371"/>
    </row>
    <row r="173" customFormat="false" ht="12.75" hidden="false" customHeight="false" outlineLevel="0" collapsed="false">
      <c r="P173" s="371"/>
      <c r="Q173" s="371"/>
      <c r="R173" s="371"/>
      <c r="U173" s="371"/>
      <c r="V173" s="371"/>
      <c r="W173" s="371"/>
      <c r="X173" s="371"/>
    </row>
    <row r="174" customFormat="false" ht="12.75" hidden="false" customHeight="false" outlineLevel="0" collapsed="false">
      <c r="P174" s="371"/>
      <c r="Q174" s="371"/>
      <c r="R174" s="371"/>
      <c r="U174" s="371"/>
      <c r="V174" s="371"/>
      <c r="W174" s="371"/>
      <c r="X174" s="371"/>
    </row>
    <row r="175" customFormat="false" ht="12.75" hidden="false" customHeight="false" outlineLevel="0" collapsed="false">
      <c r="P175" s="371"/>
      <c r="Q175" s="371"/>
      <c r="R175" s="371"/>
      <c r="U175" s="371"/>
      <c r="V175" s="371"/>
      <c r="W175" s="371"/>
      <c r="X175" s="371"/>
    </row>
    <row r="176" customFormat="false" ht="12.75" hidden="false" customHeight="false" outlineLevel="0" collapsed="false">
      <c r="P176" s="371"/>
      <c r="Q176" s="371"/>
      <c r="R176" s="371"/>
      <c r="U176" s="371"/>
      <c r="V176" s="371"/>
      <c r="W176" s="371"/>
      <c r="X176" s="371"/>
    </row>
    <row r="177" customFormat="false" ht="12.75" hidden="false" customHeight="false" outlineLevel="0" collapsed="false">
      <c r="P177" s="371"/>
      <c r="Q177" s="371"/>
      <c r="R177" s="371"/>
      <c r="U177" s="371"/>
      <c r="V177" s="371"/>
      <c r="W177" s="371"/>
      <c r="X177" s="371"/>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sheetData>
  <mergeCells count="142">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CZ17:DB17"/>
    <mergeCell ref="DC17:DE17"/>
    <mergeCell ref="DF17:DH17"/>
    <mergeCell ref="DI17:DK17"/>
    <mergeCell ref="DL17:DN17"/>
    <mergeCell ref="L18:M18"/>
    <mergeCell ref="L19:M19"/>
    <mergeCell ref="AM20:AN20"/>
    <mergeCell ref="AO20:AP20"/>
    <mergeCell ref="CZ20:DB20"/>
    <mergeCell ref="DC20:DE20"/>
    <mergeCell ref="DF20:DH20"/>
    <mergeCell ref="DI20:DK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556"/>
  <sheetViews>
    <sheetView showFormulas="false" showGridLines="true" showRowColHeaders="true" showZeros="true" rightToLeft="false" tabSelected="false" showOutlineSymbols="true" defaultGridColor="true" view="normal" topLeftCell="K13" colorId="64" zoomScale="80" zoomScaleNormal="80" zoomScalePageLayoutView="100" workbookViewId="0">
      <selection pane="topLeft" activeCell="CI21" activeCellId="0" sqref="CI21:CI35"/>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257" min="8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392301.03</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499888.07</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-107587.04</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9806.36</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-24230.94</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-360242.62</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-44760.83</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-19102.76</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1393.47</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-983.76</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2814.7</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-1.09</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21.97</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c r="CZ17" s="513" t="s">
        <v>16</v>
      </c>
      <c r="DA17" s="513"/>
      <c r="DB17" s="513"/>
      <c r="DC17" s="513" t="s">
        <v>16</v>
      </c>
      <c r="DD17" s="513"/>
      <c r="DE17" s="513"/>
      <c r="DF17" s="513" t="s">
        <v>529</v>
      </c>
      <c r="DG17" s="513"/>
      <c r="DH17" s="513"/>
      <c r="DI17" s="513" t="s">
        <v>529</v>
      </c>
      <c r="DJ17" s="513"/>
      <c r="DK17" s="513"/>
      <c r="DL17" s="513" t="s">
        <v>530</v>
      </c>
      <c r="DM17" s="513"/>
      <c r="DN17" s="513"/>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254325.38</v>
      </c>
      <c r="P18" s="415" t="e">
        <f aca="false">N18-O18</f>
        <v>#VALUE!</v>
      </c>
      <c r="AU18" s="433"/>
      <c r="AV18" s="383"/>
      <c r="AW18" s="378"/>
      <c r="AX18" s="383" t="str">
        <f aca="false">ADDRESS(ROW($CI$22),COLUMN($CI$22))</f>
        <v>$CI$22</v>
      </c>
      <c r="AY18" s="378" t="e">
        <f aca="false">GetEnd($AV$1,AX18)</f>
        <v>#VALUE!</v>
      </c>
      <c r="CM18" s="511"/>
      <c r="CZ18" s="514"/>
      <c r="DA18" s="515"/>
      <c r="DB18" s="516"/>
      <c r="DC18" s="514"/>
      <c r="DD18" s="515"/>
      <c r="DE18" s="516"/>
      <c r="DF18" s="514"/>
      <c r="DG18" s="515"/>
      <c r="DH18" s="516"/>
      <c r="DI18" s="514"/>
      <c r="DJ18" s="515"/>
      <c r="DK18" s="515"/>
      <c r="DL18" s="514"/>
      <c r="DM18" s="515"/>
      <c r="DN18" s="516"/>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137975.65</v>
      </c>
      <c r="P19" s="465" t="e">
        <f aca="false">N19-O19</f>
        <v>#VALUE!</v>
      </c>
      <c r="AU19" s="433"/>
      <c r="AV19" s="383"/>
      <c r="AW19" s="378"/>
      <c r="CM19" s="511"/>
      <c r="CZ19" s="514"/>
      <c r="DA19" s="515"/>
      <c r="DB19" s="516"/>
      <c r="DC19" s="514"/>
      <c r="DD19" s="515"/>
      <c r="DE19" s="516"/>
      <c r="DF19" s="514"/>
      <c r="DG19" s="515"/>
      <c r="DH19" s="516"/>
      <c r="DI19" s="514"/>
      <c r="DJ19" s="515"/>
      <c r="DK19" s="515"/>
      <c r="DL19" s="514"/>
      <c r="DM19" s="515"/>
      <c r="DN19" s="516"/>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c r="CZ20" s="517" t="s">
        <v>531</v>
      </c>
      <c r="DA20" s="517"/>
      <c r="DB20" s="517"/>
      <c r="DC20" s="517" t="s">
        <v>532</v>
      </c>
      <c r="DD20" s="517"/>
      <c r="DE20" s="517"/>
      <c r="DF20" s="517" t="s">
        <v>531</v>
      </c>
      <c r="DG20" s="517"/>
      <c r="DH20" s="517"/>
      <c r="DI20" s="514" t="s">
        <v>532</v>
      </c>
      <c r="DJ20" s="514"/>
      <c r="DK20" s="514"/>
      <c r="DL20" s="518" t="e">
        <f aca="false">SUM(DL22:DL35)</f>
        <v>#VALUE!</v>
      </c>
      <c r="DM20" s="519" t="e">
        <f aca="false">SUM(DM22:DM35)</f>
        <v>#VALUE!</v>
      </c>
      <c r="DN20" s="520" t="e">
        <f aca="false">SUM(DN22:DN35)</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521" t="s">
        <v>410</v>
      </c>
      <c r="DA21" s="522" t="s">
        <v>420</v>
      </c>
      <c r="DB21" s="523" t="s">
        <v>421</v>
      </c>
      <c r="DC21" s="521" t="s">
        <v>410</v>
      </c>
      <c r="DD21" s="522" t="s">
        <v>420</v>
      </c>
      <c r="DE21" s="523" t="s">
        <v>421</v>
      </c>
      <c r="DF21" s="521" t="s">
        <v>410</v>
      </c>
      <c r="DG21" s="522" t="s">
        <v>420</v>
      </c>
      <c r="DH21" s="523" t="s">
        <v>421</v>
      </c>
      <c r="DI21" s="521" t="s">
        <v>410</v>
      </c>
      <c r="DJ21" s="522" t="s">
        <v>420</v>
      </c>
      <c r="DK21" s="522" t="s">
        <v>421</v>
      </c>
      <c r="DL21" s="521" t="s">
        <v>410</v>
      </c>
      <c r="DM21" s="522" t="s">
        <v>420</v>
      </c>
      <c r="DN21" s="523" t="s">
        <v>421</v>
      </c>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2.6695796920516</v>
      </c>
      <c r="BW22" s="369" t="n">
        <v>2.696</v>
      </c>
      <c r="BX22" s="370" t="n">
        <v>0.952435996987834</v>
      </c>
      <c r="BY22" s="370" t="n">
        <v>0.952435996987834</v>
      </c>
      <c r="BZ22" s="370" t="n">
        <v>0.9886208167429</v>
      </c>
      <c r="CA22" s="370" t="n">
        <v>0.0187659081571607</v>
      </c>
      <c r="CB22" s="370" t="n">
        <v>0.998364899395796</v>
      </c>
      <c r="CC22" s="505" t="n">
        <v>-0.27</v>
      </c>
      <c r="CD22" s="505" t="n">
        <v>-0.01</v>
      </c>
      <c r="CE22" s="505" t="n">
        <v>-0.12</v>
      </c>
      <c r="CF22" s="505" t="n">
        <v>-0.03</v>
      </c>
      <c r="CG22" s="505" t="n">
        <v>0.0128</v>
      </c>
      <c r="CH22" s="505" t="n">
        <v>4.4536059797147</v>
      </c>
      <c r="CI22" s="505" t="n">
        <v>2.846</v>
      </c>
      <c r="CZ22" s="524" t="e">
        <f aca="false">AL22</f>
        <v>#VALUE!</v>
      </c>
      <c r="DA22" s="525" t="e">
        <f aca="false">AO22</f>
        <v>#VALUE!</v>
      </c>
      <c r="DB22" s="526" t="e">
        <f aca="false">AP22</f>
        <v>#VALUE!</v>
      </c>
      <c r="DC22" s="524" t="n">
        <f aca="false">CI22</f>
        <v>2.846</v>
      </c>
      <c r="DD22" s="525" t="n">
        <f aca="false">CE22</f>
        <v>-0.12</v>
      </c>
      <c r="DE22" s="526" t="n">
        <f aca="false">CF22</f>
        <v>-0.03</v>
      </c>
      <c r="DF22" s="524" t="e">
        <f aca="false">AL22/(1-AR22)</f>
        <v>#VALUE!</v>
      </c>
      <c r="DG22" s="525" t="e">
        <f aca="false">AM22/(1-AR22)</f>
        <v>#VALUE!</v>
      </c>
      <c r="DH22" s="526" t="e">
        <f aca="false">AN22/(1-AR22)</f>
        <v>#VALUE!</v>
      </c>
      <c r="DI22" s="524" t="e">
        <f aca="false">CI22/(1-AR22)</f>
        <v>#VALUE!</v>
      </c>
      <c r="DJ22" s="525" t="e">
        <f aca="false">CC22/(1-AR22)</f>
        <v>#VALUE!</v>
      </c>
      <c r="DK22" s="525" t="e">
        <f aca="false">CD22/(1-AR22)</f>
        <v>#VALUE!</v>
      </c>
      <c r="DL22" s="518" t="e">
        <f aca="false">(($BM22*(CZ22-DC22))+($BL22*(DF22-DI22)))*$AH22*$AF22*$F22</f>
        <v>#VALUE!</v>
      </c>
      <c r="DM22" s="519" t="e">
        <f aca="false">(($BM22*(DA22-DD22))+($BL22*(DG22-DJ22)))*$AH22*$AF22*$F22</f>
        <v>#VALUE!</v>
      </c>
      <c r="DN22" s="520" t="e">
        <f aca="false">(($BM22*(DB22-DE22))+($BL22*(DH22-DK22)))*$AH22*$AF22*$F22</f>
        <v>#VALUE!</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2.70287141073658</v>
      </c>
      <c r="BW23" s="369" t="n">
        <v>2.728</v>
      </c>
      <c r="BX23" s="370" t="n">
        <v>0.906812181950228</v>
      </c>
      <c r="BY23" s="370" t="n">
        <v>0.906812181950228</v>
      </c>
      <c r="BZ23" s="370" t="n">
        <v>0.992807797156379</v>
      </c>
      <c r="CA23" s="370" t="n">
        <v>0.0193261872820063</v>
      </c>
      <c r="CB23" s="370" t="n">
        <v>0.996688029844541</v>
      </c>
      <c r="CC23" s="505" t="n">
        <v>-0.3</v>
      </c>
      <c r="CD23" s="505" t="n">
        <v>-0.01</v>
      </c>
      <c r="CE23" s="505" t="n">
        <v>-0.15</v>
      </c>
      <c r="CF23" s="505" t="n">
        <v>-0.03</v>
      </c>
      <c r="CG23" s="505" t="n">
        <v>0.0128</v>
      </c>
      <c r="CH23" s="505" t="n">
        <v>4.01585540984962</v>
      </c>
      <c r="CI23" s="505" t="n">
        <v>2.908</v>
      </c>
      <c r="CZ23" s="524" t="e">
        <f aca="false">AL23</f>
        <v>#VALUE!</v>
      </c>
      <c r="DA23" s="525" t="e">
        <f aca="false">AO23</f>
        <v>#VALUE!</v>
      </c>
      <c r="DB23" s="526" t="e">
        <f aca="false">AP23</f>
        <v>#VALUE!</v>
      </c>
      <c r="DC23" s="524" t="n">
        <f aca="false">CI23</f>
        <v>2.908</v>
      </c>
      <c r="DD23" s="525" t="n">
        <f aca="false">CE23</f>
        <v>-0.15</v>
      </c>
      <c r="DE23" s="526" t="n">
        <f aca="false">CF23</f>
        <v>-0.03</v>
      </c>
      <c r="DF23" s="524" t="e">
        <f aca="false">AL23/(1-AR23)</f>
        <v>#VALUE!</v>
      </c>
      <c r="DG23" s="525" t="e">
        <f aca="false">AM23/(1-AR23)</f>
        <v>#VALUE!</v>
      </c>
      <c r="DH23" s="526" t="e">
        <f aca="false">AN23/(1-AR23)</f>
        <v>#VALUE!</v>
      </c>
      <c r="DI23" s="524" t="e">
        <f aca="false">CI23/(1-AR23)</f>
        <v>#VALUE!</v>
      </c>
      <c r="DJ23" s="525" t="e">
        <f aca="false">CC23/(1-AR23)</f>
        <v>#VALUE!</v>
      </c>
      <c r="DK23" s="525" t="e">
        <f aca="false">CD23/(1-AR23)</f>
        <v>#VALUE!</v>
      </c>
      <c r="DL23" s="518" t="e">
        <f aca="false">(($BM23*(CZ23-DC23))+($BL23*(DF23-DI23)))*$AH23*$AF23*$F23</f>
        <v>#VALUE!</v>
      </c>
      <c r="DM23" s="519" t="e">
        <f aca="false">(($BM23*(DA23-DD23))+($BL23*(DG23-DJ23)))*$AH23*$AF23*$F23</f>
        <v>#VALUE!</v>
      </c>
      <c r="DN23" s="520" t="e">
        <f aca="false">(($BM23*(DB23-DE23))+($BL23*(DH23-DK23)))*$AH23*$AF23*$F23</f>
        <v>#VALUE!</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2.65501456512693</v>
      </c>
      <c r="BW24" s="369" t="n">
        <v>2.717</v>
      </c>
      <c r="BX24" s="370" t="n">
        <v>0.79</v>
      </c>
      <c r="BY24" s="370" t="n">
        <v>0.79</v>
      </c>
      <c r="BZ24" s="370" t="n">
        <v>0.995824324324324</v>
      </c>
      <c r="CA24" s="370" t="n">
        <v>0.0192731753639035</v>
      </c>
      <c r="CB24" s="370" t="n">
        <v>0.99523258517239</v>
      </c>
      <c r="CC24" s="505" t="n">
        <v>-0.34</v>
      </c>
      <c r="CD24" s="505" t="n">
        <v>-0.01</v>
      </c>
      <c r="CE24" s="505" t="n">
        <v>-0.155</v>
      </c>
      <c r="CF24" s="505" t="n">
        <v>-0.03</v>
      </c>
      <c r="CG24" s="505" t="n">
        <v>0.0128</v>
      </c>
      <c r="CH24" s="505" t="n">
        <v>4.43963303919552</v>
      </c>
      <c r="CI24" s="505" t="n">
        <v>2.902</v>
      </c>
      <c r="CZ24" s="524" t="e">
        <f aca="false">AL24</f>
        <v>#VALUE!</v>
      </c>
      <c r="DA24" s="525" t="e">
        <f aca="false">AO24</f>
        <v>#VALUE!</v>
      </c>
      <c r="DB24" s="526" t="e">
        <f aca="false">AP24</f>
        <v>#VALUE!</v>
      </c>
      <c r="DC24" s="524" t="n">
        <f aca="false">CI24</f>
        <v>2.902</v>
      </c>
      <c r="DD24" s="525" t="n">
        <f aca="false">CE24</f>
        <v>-0.155</v>
      </c>
      <c r="DE24" s="526" t="n">
        <f aca="false">CF24</f>
        <v>-0.03</v>
      </c>
      <c r="DF24" s="524" t="e">
        <f aca="false">AL24/(1-AR24)</f>
        <v>#VALUE!</v>
      </c>
      <c r="DG24" s="525" t="e">
        <f aca="false">AM24/(1-AR24)</f>
        <v>#VALUE!</v>
      </c>
      <c r="DH24" s="526" t="e">
        <f aca="false">AN24/(1-AR24)</f>
        <v>#VALUE!</v>
      </c>
      <c r="DI24" s="524" t="e">
        <f aca="false">CI24/(1-AR24)</f>
        <v>#VALUE!</v>
      </c>
      <c r="DJ24" s="525" t="e">
        <f aca="false">CC24/(1-AR24)</f>
        <v>#VALUE!</v>
      </c>
      <c r="DK24" s="525" t="e">
        <f aca="false">CD24/(1-AR24)</f>
        <v>#VALUE!</v>
      </c>
      <c r="DL24" s="518" t="e">
        <f aca="false">(($BM24*(CZ24-DC24))+($BL24*(DF24-DI24)))*$AH24*$AF24*$F24</f>
        <v>#VALUE!</v>
      </c>
      <c r="DM24" s="519" t="e">
        <f aca="false">(($BM24*(DA24-DD24))+($BL24*(DG24-DJ24)))*$AH24*$AF24*$F24</f>
        <v>#VALUE!</v>
      </c>
      <c r="DN24" s="520" t="e">
        <f aca="false">(($BM24*(DB24-DE24))+($BL24*(DH24-DK24)))*$AH24*$AF24*$F24</f>
        <v>#VALUE!</v>
      </c>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2.58843112775697</v>
      </c>
      <c r="BW25" s="369" t="n">
        <v>2.703</v>
      </c>
      <c r="BX25" s="370" t="n">
        <v>0.606420927626525</v>
      </c>
      <c r="BY25" s="370" t="n">
        <v>0.606420927626525</v>
      </c>
      <c r="BZ25" s="370" t="n">
        <v>0.992378479333581</v>
      </c>
      <c r="CA25" s="370" t="n">
        <v>0.0194226401196236</v>
      </c>
      <c r="CB25" s="370" t="n">
        <v>0.993564587749983</v>
      </c>
      <c r="CC25" s="505" t="n">
        <v>-0.36</v>
      </c>
      <c r="CD25" s="505" t="n">
        <v>0</v>
      </c>
      <c r="CE25" s="505" t="n">
        <v>-0.135</v>
      </c>
      <c r="CF25" s="505" t="n">
        <v>-0.01</v>
      </c>
      <c r="CG25" s="505" t="n">
        <v>0.0128</v>
      </c>
      <c r="CH25" s="505" t="n">
        <v>4.28921832531668</v>
      </c>
      <c r="CI25" s="505" t="n">
        <v>2.848</v>
      </c>
      <c r="CZ25" s="524" t="e">
        <f aca="false">AL25</f>
        <v>#VALUE!</v>
      </c>
      <c r="DA25" s="525" t="e">
        <f aca="false">AO25</f>
        <v>#VALUE!</v>
      </c>
      <c r="DB25" s="526" t="e">
        <f aca="false">AP25</f>
        <v>#VALUE!</v>
      </c>
      <c r="DC25" s="524" t="n">
        <f aca="false">CI25</f>
        <v>2.848</v>
      </c>
      <c r="DD25" s="525" t="n">
        <f aca="false">CE25</f>
        <v>-0.135</v>
      </c>
      <c r="DE25" s="526" t="n">
        <f aca="false">CF25</f>
        <v>-0.01</v>
      </c>
      <c r="DF25" s="524" t="e">
        <f aca="false">AL25/(1-AR25)</f>
        <v>#VALUE!</v>
      </c>
      <c r="DG25" s="525" t="e">
        <f aca="false">AM25/(1-AR25)</f>
        <v>#VALUE!</v>
      </c>
      <c r="DH25" s="526" t="e">
        <f aca="false">AN25/(1-AR25)</f>
        <v>#VALUE!</v>
      </c>
      <c r="DI25" s="524" t="e">
        <f aca="false">CI25/(1-AR25)</f>
        <v>#VALUE!</v>
      </c>
      <c r="DJ25" s="525" t="e">
        <f aca="false">CC25/(1-AR25)</f>
        <v>#VALUE!</v>
      </c>
      <c r="DK25" s="525" t="e">
        <f aca="false">CD25/(1-AR25)</f>
        <v>#VALUE!</v>
      </c>
      <c r="DL25" s="518" t="e">
        <f aca="false">(($BM25*(CZ25-DC25))+($BL25*(DF25-DI25)))*$AH25*$AF25*$F25</f>
        <v>#VALUE!</v>
      </c>
      <c r="DM25" s="519" t="e">
        <f aca="false">(($BM25*(DA25-DD25))+($BL25*(DG25-DJ25)))*$AH25*$AF25*$F25</f>
        <v>#VALUE!</v>
      </c>
      <c r="DN25" s="520" t="e">
        <f aca="false">(($BM25*(DB25-DE25))+($BL25*(DH25-DK25)))*$AH25*$AF25*$F25</f>
        <v>#VALUE!</v>
      </c>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2.63836870578444</v>
      </c>
      <c r="BW26" s="369" t="n">
        <v>2.7585</v>
      </c>
      <c r="BX26" s="370" t="n">
        <v>0.57288237731758</v>
      </c>
      <c r="BY26" s="370" t="n">
        <v>0.57288237731758</v>
      </c>
      <c r="BZ26" s="370" t="n">
        <v>0.970715778852049</v>
      </c>
      <c r="CA26" s="370" t="n">
        <v>0.019712159578257</v>
      </c>
      <c r="CB26" s="370" t="n">
        <v>0.991870109542169</v>
      </c>
      <c r="CC26" s="505" t="n">
        <v>-0.36</v>
      </c>
      <c r="CD26" s="505" t="n">
        <v>0</v>
      </c>
      <c r="CE26" s="505" t="n">
        <v>-0.1275</v>
      </c>
      <c r="CF26" s="505" t="n">
        <v>-0.01</v>
      </c>
      <c r="CG26" s="505" t="n">
        <v>0.0128</v>
      </c>
      <c r="CH26" s="505" t="n">
        <v>4.42463337165666</v>
      </c>
      <c r="CI26" s="505" t="n">
        <v>2.896</v>
      </c>
      <c r="CZ26" s="524" t="e">
        <f aca="false">AL26</f>
        <v>#VALUE!</v>
      </c>
      <c r="DA26" s="525" t="e">
        <f aca="false">AO26</f>
        <v>#VALUE!</v>
      </c>
      <c r="DB26" s="526" t="e">
        <f aca="false">AP26</f>
        <v>#VALUE!</v>
      </c>
      <c r="DC26" s="524" t="n">
        <f aca="false">CI26</f>
        <v>2.896</v>
      </c>
      <c r="DD26" s="525" t="n">
        <f aca="false">CE26</f>
        <v>-0.1275</v>
      </c>
      <c r="DE26" s="526" t="n">
        <f aca="false">CF26</f>
        <v>-0.01</v>
      </c>
      <c r="DF26" s="524" t="e">
        <f aca="false">AL26/(1-AR26)</f>
        <v>#VALUE!</v>
      </c>
      <c r="DG26" s="525" t="e">
        <f aca="false">AM26/(1-AR26)</f>
        <v>#VALUE!</v>
      </c>
      <c r="DH26" s="526" t="e">
        <f aca="false">AN26/(1-AR26)</f>
        <v>#VALUE!</v>
      </c>
      <c r="DI26" s="524" t="e">
        <f aca="false">CI26/(1-AR26)</f>
        <v>#VALUE!</v>
      </c>
      <c r="DJ26" s="525" t="e">
        <f aca="false">CC26/(1-AR26)</f>
        <v>#VALUE!</v>
      </c>
      <c r="DK26" s="525" t="e">
        <f aca="false">CD26/(1-AR26)</f>
        <v>#VALUE!</v>
      </c>
      <c r="DL26" s="518" t="e">
        <f aca="false">(($BM26*(CZ26-DC26))+($BL26*(DF26-DI26)))*$AH26*$AF26*$F26</f>
        <v>#VALUE!</v>
      </c>
      <c r="DM26" s="519" t="e">
        <f aca="false">(($BM26*(DA26-DD26))+($BL26*(DG26-DJ26)))*$AH26*$AF26*$F26</f>
        <v>#VALUE!</v>
      </c>
      <c r="DN26" s="520" t="e">
        <f aca="false">(($BM26*(DB26-DE26))+($BL26*(DH26-DK26)))*$AH26*$AF26*$F26</f>
        <v>#VALUE!</v>
      </c>
    </row>
    <row r="27" customFormat="false" ht="12.75" hidden="false" customHeight="false" outlineLevel="0" collapsed="false">
      <c r="A27" s="512"/>
      <c r="B27" s="512"/>
      <c r="C27" s="512"/>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2.69038701622971</v>
      </c>
      <c r="BW27" s="369" t="n">
        <v>2.8135</v>
      </c>
      <c r="BX27" s="370" t="n">
        <v>0.554685115579688</v>
      </c>
      <c r="BY27" s="370" t="n">
        <v>0.554685115579688</v>
      </c>
      <c r="BZ27" s="370" t="n">
        <v>0.964495828289984</v>
      </c>
      <c r="CA27" s="370" t="n">
        <v>0.0200113297153544</v>
      </c>
      <c r="CB27" s="370" t="n">
        <v>0.990073216017117</v>
      </c>
      <c r="CC27" s="505" t="n">
        <v>-0.36</v>
      </c>
      <c r="CD27" s="505" t="n">
        <v>0</v>
      </c>
      <c r="CE27" s="505" t="n">
        <v>-0.1225</v>
      </c>
      <c r="CF27" s="505" t="n">
        <v>-0.01</v>
      </c>
      <c r="CG27" s="505" t="n">
        <v>0.0128</v>
      </c>
      <c r="CH27" s="505" t="n">
        <v>4.27414607354589</v>
      </c>
      <c r="CI27" s="505" t="n">
        <v>2.946</v>
      </c>
      <c r="CZ27" s="524" t="e">
        <f aca="false">AL27</f>
        <v>#VALUE!</v>
      </c>
      <c r="DA27" s="525" t="e">
        <f aca="false">AO27</f>
        <v>#VALUE!</v>
      </c>
      <c r="DB27" s="526" t="e">
        <f aca="false">AP27</f>
        <v>#VALUE!</v>
      </c>
      <c r="DC27" s="524" t="n">
        <f aca="false">CI27</f>
        <v>2.946</v>
      </c>
      <c r="DD27" s="525" t="n">
        <f aca="false">CE27</f>
        <v>-0.1225</v>
      </c>
      <c r="DE27" s="526" t="n">
        <f aca="false">CF27</f>
        <v>-0.01</v>
      </c>
      <c r="DF27" s="524" t="e">
        <f aca="false">AL27/(1-AR27)</f>
        <v>#VALUE!</v>
      </c>
      <c r="DG27" s="525" t="e">
        <f aca="false">AM27/(1-AR27)</f>
        <v>#VALUE!</v>
      </c>
      <c r="DH27" s="526" t="e">
        <f aca="false">AN27/(1-AR27)</f>
        <v>#VALUE!</v>
      </c>
      <c r="DI27" s="524" t="e">
        <f aca="false">CI27/(1-AR27)</f>
        <v>#VALUE!</v>
      </c>
      <c r="DJ27" s="525" t="e">
        <f aca="false">CC27/(1-AR27)</f>
        <v>#VALUE!</v>
      </c>
      <c r="DK27" s="525" t="e">
        <f aca="false">CD27/(1-AR27)</f>
        <v>#VALUE!</v>
      </c>
      <c r="DL27" s="518" t="e">
        <f aca="false">(($BM27*(CZ27-DC27))+($BL27*(DF27-DI27)))*$AH27*$AF27*$F27</f>
        <v>#VALUE!</v>
      </c>
      <c r="DM27" s="519" t="e">
        <f aca="false">(($BM27*(DA27-DD27))+($BL27*(DG27-DJ27)))*$AH27*$AF27*$F27</f>
        <v>#VALUE!</v>
      </c>
      <c r="DN27" s="520" t="e">
        <f aca="false">(($BM27*(DB27-DE27))+($BL27*(DH27-DK27)))*$AH27*$AF27*$F27</f>
        <v>#VALUE!</v>
      </c>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2.76113191843529</v>
      </c>
      <c r="BW28" s="369" t="n">
        <v>2.889</v>
      </c>
      <c r="BX28" s="370" t="n">
        <v>0.549290255131369</v>
      </c>
      <c r="BY28" s="370" t="n">
        <v>0.549290255131369</v>
      </c>
      <c r="BZ28" s="370" t="n">
        <v>0.981011328150213</v>
      </c>
      <c r="CA28" s="370" t="n">
        <v>0.0204286298094831</v>
      </c>
      <c r="CB28" s="370" t="n">
        <v>0.988217193800728</v>
      </c>
      <c r="CC28" s="505" t="n">
        <v>-0.33</v>
      </c>
      <c r="CD28" s="505" t="n">
        <v>0</v>
      </c>
      <c r="CE28" s="505" t="n">
        <v>-0.085</v>
      </c>
      <c r="CF28" s="505" t="n">
        <v>-0.01</v>
      </c>
      <c r="CG28" s="505" t="n">
        <v>0.0128</v>
      </c>
      <c r="CH28" s="505" t="n">
        <v>4.40833807982567</v>
      </c>
      <c r="CI28" s="505" t="n">
        <v>2.984</v>
      </c>
      <c r="CZ28" s="524" t="e">
        <f aca="false">AL28</f>
        <v>#VALUE!</v>
      </c>
      <c r="DA28" s="525" t="e">
        <f aca="false">AO28</f>
        <v>#VALUE!</v>
      </c>
      <c r="DB28" s="526" t="e">
        <f aca="false">AP28</f>
        <v>#VALUE!</v>
      </c>
      <c r="DC28" s="524" t="n">
        <f aca="false">CI28</f>
        <v>2.984</v>
      </c>
      <c r="DD28" s="525" t="n">
        <f aca="false">CE28</f>
        <v>-0.085</v>
      </c>
      <c r="DE28" s="526" t="n">
        <f aca="false">CF28</f>
        <v>-0.01</v>
      </c>
      <c r="DF28" s="524" t="e">
        <f aca="false">AL28/(1-AR28)</f>
        <v>#VALUE!</v>
      </c>
      <c r="DG28" s="525" t="e">
        <f aca="false">AM28/(1-AR28)</f>
        <v>#VALUE!</v>
      </c>
      <c r="DH28" s="526" t="e">
        <f aca="false">AN28/(1-AR28)</f>
        <v>#VALUE!</v>
      </c>
      <c r="DI28" s="524" t="e">
        <f aca="false">CI28/(1-AR28)</f>
        <v>#VALUE!</v>
      </c>
      <c r="DJ28" s="525" t="e">
        <f aca="false">CC28/(1-AR28)</f>
        <v>#VALUE!</v>
      </c>
      <c r="DK28" s="525" t="e">
        <f aca="false">CD28/(1-AR28)</f>
        <v>#VALUE!</v>
      </c>
      <c r="DL28" s="518" t="e">
        <f aca="false">(($BM28*(CZ28-DC28))+($BL28*(DF28-DI28)))*$AH28*$AF28*$F28</f>
        <v>#VALUE!</v>
      </c>
      <c r="DM28" s="519" t="e">
        <f aca="false">(($BM28*(DA28-DD28))+($BL28*(DG28-DJ28)))*$AH28*$AF28*$F28</f>
        <v>#VALUE!</v>
      </c>
      <c r="DN28" s="520" t="e">
        <f aca="false">(($BM28*(DB28-DE28))+($BL28*(DH28-DK28)))*$AH28*$AF28*$F28</f>
        <v>#VALUE!</v>
      </c>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2.80482729920932</v>
      </c>
      <c r="BW29" s="369" t="n">
        <v>2.946</v>
      </c>
      <c r="BX29" s="370" t="n">
        <v>0.54</v>
      </c>
      <c r="BY29" s="370" t="n">
        <v>0.54</v>
      </c>
      <c r="BZ29" s="370" t="n">
        <v>0</v>
      </c>
      <c r="CA29" s="370" t="n">
        <v>0.021065008234304</v>
      </c>
      <c r="CB29" s="370" t="n">
        <v>0</v>
      </c>
      <c r="CC29" s="505" t="n">
        <v>-0.33</v>
      </c>
      <c r="CD29" s="505" t="n">
        <v>0</v>
      </c>
      <c r="CE29" s="505" t="n">
        <v>-0.07</v>
      </c>
      <c r="CF29" s="505" t="n">
        <v>-0.01</v>
      </c>
      <c r="CG29" s="505" t="n">
        <v>0.0128</v>
      </c>
      <c r="CH29" s="505" t="n">
        <v>0</v>
      </c>
      <c r="CI29" s="505" t="n">
        <v>3.026</v>
      </c>
      <c r="CZ29" s="524" t="e">
        <f aca="false">AL29</f>
        <v>#VALUE!</v>
      </c>
      <c r="DA29" s="525" t="e">
        <f aca="false">AO29</f>
        <v>#VALUE!</v>
      </c>
      <c r="DB29" s="526" t="e">
        <f aca="false">AP29</f>
        <v>#VALUE!</v>
      </c>
      <c r="DC29" s="524" t="n">
        <f aca="false">CI29</f>
        <v>3.026</v>
      </c>
      <c r="DD29" s="525" t="n">
        <f aca="false">CE29</f>
        <v>-0.07</v>
      </c>
      <c r="DE29" s="526" t="n">
        <f aca="false">CF29</f>
        <v>-0.01</v>
      </c>
      <c r="DF29" s="524" t="e">
        <f aca="false">AL29/(1-AR29)</f>
        <v>#VALUE!</v>
      </c>
      <c r="DG29" s="525" t="e">
        <f aca="false">AM29/(1-AR29)</f>
        <v>#VALUE!</v>
      </c>
      <c r="DH29" s="526" t="e">
        <f aca="false">AN29/(1-AR29)</f>
        <v>#VALUE!</v>
      </c>
      <c r="DI29" s="524" t="e">
        <f aca="false">CI29/(1-AR29)</f>
        <v>#VALUE!</v>
      </c>
      <c r="DJ29" s="525" t="e">
        <f aca="false">CC29/(1-AR29)</f>
        <v>#VALUE!</v>
      </c>
      <c r="DK29" s="525" t="e">
        <f aca="false">CD29/(1-AR29)</f>
        <v>#VALUE!</v>
      </c>
      <c r="DL29" s="518" t="e">
        <f aca="false">(($BM29*(CZ29-DC29))+($BL29*(DF29-DI29)))*$AH29*$AF29*$F29</f>
        <v>#VALUE!</v>
      </c>
      <c r="DM29" s="519" t="e">
        <f aca="false">(($BM29*(DA29-DD29))+($BL29*(DG29-DJ29)))*$AH29*$AF29*$F29</f>
        <v>#VALUE!</v>
      </c>
      <c r="DN29" s="520" t="e">
        <f aca="false">(($BM29*(DB29-DE29))+($BL29*(DH29-DK29)))*$AH29*$AF29*$F29</f>
        <v>#VALUE!</v>
      </c>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2.80482729920932</v>
      </c>
      <c r="BW30" s="369" t="n">
        <v>2.946</v>
      </c>
      <c r="BX30" s="370" t="n">
        <v>0.54</v>
      </c>
      <c r="BY30" s="370" t="n">
        <v>0.54</v>
      </c>
      <c r="BZ30" s="370" t="n">
        <v>0</v>
      </c>
      <c r="CA30" s="370" t="n">
        <v>0.021065008234304</v>
      </c>
      <c r="CB30" s="370" t="n">
        <v>0</v>
      </c>
      <c r="CC30" s="505" t="n">
        <v>-0.33</v>
      </c>
      <c r="CD30" s="505" t="n">
        <v>0</v>
      </c>
      <c r="CE30" s="505" t="n">
        <v>-0.07</v>
      </c>
      <c r="CF30" s="505" t="n">
        <v>-0.01</v>
      </c>
      <c r="CG30" s="505" t="n">
        <v>0.0128</v>
      </c>
      <c r="CH30" s="505" t="n">
        <v>0</v>
      </c>
      <c r="CI30" s="505" t="n">
        <v>3.026</v>
      </c>
      <c r="CZ30" s="524" t="e">
        <f aca="false">AL30</f>
        <v>#VALUE!</v>
      </c>
      <c r="DA30" s="525" t="e">
        <f aca="false">AO30</f>
        <v>#VALUE!</v>
      </c>
      <c r="DB30" s="526" t="e">
        <f aca="false">AP30</f>
        <v>#VALUE!</v>
      </c>
      <c r="DC30" s="524" t="n">
        <f aca="false">CI30</f>
        <v>3.026</v>
      </c>
      <c r="DD30" s="525" t="n">
        <f aca="false">CE30</f>
        <v>-0.07</v>
      </c>
      <c r="DE30" s="526" t="n">
        <f aca="false">CF30</f>
        <v>-0.01</v>
      </c>
      <c r="DF30" s="524" t="e">
        <f aca="false">AL30/(1-AR30)</f>
        <v>#VALUE!</v>
      </c>
      <c r="DG30" s="525" t="e">
        <f aca="false">AM30/(1-AR30)</f>
        <v>#VALUE!</v>
      </c>
      <c r="DH30" s="526" t="e">
        <f aca="false">AN30/(1-AR30)</f>
        <v>#VALUE!</v>
      </c>
      <c r="DI30" s="524" t="e">
        <f aca="false">CI30/(1-AR30)</f>
        <v>#VALUE!</v>
      </c>
      <c r="DJ30" s="525" t="e">
        <f aca="false">CC30/(1-AR30)</f>
        <v>#VALUE!</v>
      </c>
      <c r="DK30" s="525" t="e">
        <f aca="false">CD30/(1-AR30)</f>
        <v>#VALUE!</v>
      </c>
      <c r="DL30" s="518" t="e">
        <f aca="false">(($BM30*(CZ30-DC30))+($BL30*(DF30-DI30)))*$AH30*$AF30*$F30</f>
        <v>#VALUE!</v>
      </c>
      <c r="DM30" s="519" t="e">
        <f aca="false">(($BM30*(DA30-DD30))+($BL30*(DG30-DJ30)))*$AH30*$AF30*$F30</f>
        <v>#VALUE!</v>
      </c>
      <c r="DN30" s="520" t="e">
        <f aca="false">(($BM30*(DB30-DE30))+($BL30*(DH30-DK30)))*$AH30*$AF30*$F30</f>
        <v>#VALUE!</v>
      </c>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2.80482729920932</v>
      </c>
      <c r="BW31" s="369" t="n">
        <v>2.946</v>
      </c>
      <c r="BX31" s="370" t="n">
        <v>0.54</v>
      </c>
      <c r="BY31" s="370" t="n">
        <v>0.54</v>
      </c>
      <c r="BZ31" s="370" t="n">
        <v>0</v>
      </c>
      <c r="CA31" s="370" t="n">
        <v>0.021065008234304</v>
      </c>
      <c r="CB31" s="370" t="n">
        <v>0</v>
      </c>
      <c r="CC31" s="505" t="n">
        <v>-0.33</v>
      </c>
      <c r="CD31" s="505" t="n">
        <v>0</v>
      </c>
      <c r="CE31" s="505" t="n">
        <v>-0.07</v>
      </c>
      <c r="CF31" s="505" t="n">
        <v>-0.01</v>
      </c>
      <c r="CG31" s="505" t="n">
        <v>0.0128</v>
      </c>
      <c r="CH31" s="505" t="n">
        <v>0</v>
      </c>
      <c r="CI31" s="505" t="n">
        <v>3.026</v>
      </c>
      <c r="CZ31" s="524" t="e">
        <f aca="false">AL31</f>
        <v>#VALUE!</v>
      </c>
      <c r="DA31" s="525" t="e">
        <f aca="false">AO31</f>
        <v>#VALUE!</v>
      </c>
      <c r="DB31" s="526" t="e">
        <f aca="false">AP31</f>
        <v>#VALUE!</v>
      </c>
      <c r="DC31" s="524" t="n">
        <f aca="false">CI31</f>
        <v>3.026</v>
      </c>
      <c r="DD31" s="525" t="n">
        <f aca="false">CE31</f>
        <v>-0.07</v>
      </c>
      <c r="DE31" s="526" t="n">
        <f aca="false">CF31</f>
        <v>-0.01</v>
      </c>
      <c r="DF31" s="524" t="e">
        <f aca="false">AL31/(1-AR31)</f>
        <v>#VALUE!</v>
      </c>
      <c r="DG31" s="525" t="e">
        <f aca="false">AM31/(1-AR31)</f>
        <v>#VALUE!</v>
      </c>
      <c r="DH31" s="526" t="e">
        <f aca="false">AN31/(1-AR31)</f>
        <v>#VALUE!</v>
      </c>
      <c r="DI31" s="524" t="e">
        <f aca="false">CI31/(1-AR31)</f>
        <v>#VALUE!</v>
      </c>
      <c r="DJ31" s="525" t="e">
        <f aca="false">CC31/(1-AR31)</f>
        <v>#VALUE!</v>
      </c>
      <c r="DK31" s="525" t="e">
        <f aca="false">CD31/(1-AR31)</f>
        <v>#VALUE!</v>
      </c>
      <c r="DL31" s="518" t="e">
        <f aca="false">(($BM31*(CZ31-DC31))+($BL31*(DF31-DI31)))*$AH31*$AF31*$F31</f>
        <v>#VALUE!</v>
      </c>
      <c r="DM31" s="519" t="e">
        <f aca="false">(($BM31*(DA31-DD31))+($BL31*(DG31-DJ31)))*$AH31*$AF31*$F31</f>
        <v>#VALUE!</v>
      </c>
      <c r="DN31" s="520" t="e">
        <f aca="false">(($BM31*(DB31-DE31))+($BL31*(DH31-DK31)))*$AH31*$AF31*$F31</f>
        <v>#VALUE!</v>
      </c>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2.80482729920932</v>
      </c>
      <c r="BW32" s="369" t="n">
        <v>2.946</v>
      </c>
      <c r="BX32" s="370" t="n">
        <v>0.54</v>
      </c>
      <c r="BY32" s="370" t="n">
        <v>0.54</v>
      </c>
      <c r="BZ32" s="370" t="n">
        <v>0</v>
      </c>
      <c r="CA32" s="370" t="n">
        <v>0.021065008234304</v>
      </c>
      <c r="CB32" s="370" t="n">
        <v>0</v>
      </c>
      <c r="CC32" s="505" t="n">
        <v>-0.33</v>
      </c>
      <c r="CD32" s="505" t="n">
        <v>0</v>
      </c>
      <c r="CE32" s="505" t="n">
        <v>-0.07</v>
      </c>
      <c r="CF32" s="505" t="n">
        <v>-0.01</v>
      </c>
      <c r="CG32" s="505" t="n">
        <v>0.0128</v>
      </c>
      <c r="CH32" s="505" t="n">
        <v>0</v>
      </c>
      <c r="CI32" s="505" t="n">
        <v>3.026</v>
      </c>
      <c r="CZ32" s="524" t="e">
        <f aca="false">AL32</f>
        <v>#VALUE!</v>
      </c>
      <c r="DA32" s="525" t="e">
        <f aca="false">AO32</f>
        <v>#VALUE!</v>
      </c>
      <c r="DB32" s="526" t="e">
        <f aca="false">AP32</f>
        <v>#VALUE!</v>
      </c>
      <c r="DC32" s="524" t="n">
        <f aca="false">CI32</f>
        <v>3.026</v>
      </c>
      <c r="DD32" s="525" t="n">
        <f aca="false">CE32</f>
        <v>-0.07</v>
      </c>
      <c r="DE32" s="526" t="n">
        <f aca="false">CF32</f>
        <v>-0.01</v>
      </c>
      <c r="DF32" s="524" t="e">
        <f aca="false">AL32/(1-AR32)</f>
        <v>#VALUE!</v>
      </c>
      <c r="DG32" s="525" t="e">
        <f aca="false">AM32/(1-AR32)</f>
        <v>#VALUE!</v>
      </c>
      <c r="DH32" s="526" t="e">
        <f aca="false">AN32/(1-AR32)</f>
        <v>#VALUE!</v>
      </c>
      <c r="DI32" s="524" t="e">
        <f aca="false">CI32/(1-AR32)</f>
        <v>#VALUE!</v>
      </c>
      <c r="DJ32" s="525" t="e">
        <f aca="false">CC32/(1-AR32)</f>
        <v>#VALUE!</v>
      </c>
      <c r="DK32" s="525" t="e">
        <f aca="false">CD32/(1-AR32)</f>
        <v>#VALUE!</v>
      </c>
      <c r="DL32" s="518" t="e">
        <f aca="false">(($BM32*(CZ32-DC32))+($BL32*(DF32-DI32)))*$AH32*$AF32*$F32</f>
        <v>#VALUE!</v>
      </c>
      <c r="DM32" s="519" t="e">
        <f aca="false">(($BM32*(DA32-DD32))+($BL32*(DG32-DJ32)))*$AH32*$AF32*$F32</f>
        <v>#VALUE!</v>
      </c>
      <c r="DN32" s="520" t="e">
        <f aca="false">(($BM32*(DB32-DE32))+($BL32*(DH32-DK32)))*$AH32*$AF32*$F32</f>
        <v>#VALUE!</v>
      </c>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2.80482729920932</v>
      </c>
      <c r="BW33" s="369" t="n">
        <v>2.946</v>
      </c>
      <c r="BX33" s="370" t="n">
        <v>0.54</v>
      </c>
      <c r="BY33" s="370" t="n">
        <v>0.54</v>
      </c>
      <c r="BZ33" s="370" t="n">
        <v>0</v>
      </c>
      <c r="CA33" s="370" t="n">
        <v>0.021065008234304</v>
      </c>
      <c r="CB33" s="370" t="n">
        <v>0</v>
      </c>
      <c r="CC33" s="505" t="n">
        <v>-0.33</v>
      </c>
      <c r="CD33" s="505" t="n">
        <v>0</v>
      </c>
      <c r="CE33" s="505" t="n">
        <v>-0.07</v>
      </c>
      <c r="CF33" s="505" t="n">
        <v>-0.01</v>
      </c>
      <c r="CG33" s="505" t="n">
        <v>0.0128</v>
      </c>
      <c r="CH33" s="505" t="n">
        <v>0</v>
      </c>
      <c r="CI33" s="505" t="n">
        <v>3.026</v>
      </c>
      <c r="CZ33" s="524" t="e">
        <f aca="false">AL33</f>
        <v>#VALUE!</v>
      </c>
      <c r="DA33" s="525" t="e">
        <f aca="false">AO33</f>
        <v>#VALUE!</v>
      </c>
      <c r="DB33" s="526" t="e">
        <f aca="false">AP33</f>
        <v>#VALUE!</v>
      </c>
      <c r="DC33" s="524" t="n">
        <f aca="false">CI33</f>
        <v>3.026</v>
      </c>
      <c r="DD33" s="525" t="n">
        <f aca="false">CE33</f>
        <v>-0.07</v>
      </c>
      <c r="DE33" s="526" t="n">
        <f aca="false">CF33</f>
        <v>-0.01</v>
      </c>
      <c r="DF33" s="524" t="e">
        <f aca="false">AL33/(1-AR33)</f>
        <v>#VALUE!</v>
      </c>
      <c r="DG33" s="525" t="e">
        <f aca="false">AM33/(1-AR33)</f>
        <v>#VALUE!</v>
      </c>
      <c r="DH33" s="526" t="e">
        <f aca="false">AN33/(1-AR33)</f>
        <v>#VALUE!</v>
      </c>
      <c r="DI33" s="524" t="e">
        <f aca="false">CI33/(1-AR33)</f>
        <v>#VALUE!</v>
      </c>
      <c r="DJ33" s="525" t="e">
        <f aca="false">CC33/(1-AR33)</f>
        <v>#VALUE!</v>
      </c>
      <c r="DK33" s="525" t="e">
        <f aca="false">CD33/(1-AR33)</f>
        <v>#VALUE!</v>
      </c>
      <c r="DL33" s="518" t="e">
        <f aca="false">(($BM33*(CZ33-DC33))+($BL33*(DF33-DI33)))*$AH33*$AF33*$F33</f>
        <v>#VALUE!</v>
      </c>
      <c r="DM33" s="519" t="e">
        <f aca="false">(($BM33*(DA33-DD33))+($BL33*(DG33-DJ33)))*$AH33*$AF33*$F33</f>
        <v>#VALUE!</v>
      </c>
      <c r="DN33" s="520" t="e">
        <f aca="false">(($BM33*(DB33-DE33))+($BL33*(DH33-DK33)))*$AH33*$AF33*$F33</f>
        <v>#VALUE!</v>
      </c>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2.80482729920932</v>
      </c>
      <c r="BW34" s="369" t="n">
        <v>2.946</v>
      </c>
      <c r="BX34" s="370" t="n">
        <v>0.54</v>
      </c>
      <c r="BY34" s="370" t="n">
        <v>0.54</v>
      </c>
      <c r="BZ34" s="370" t="n">
        <v>0</v>
      </c>
      <c r="CA34" s="370" t="n">
        <v>0.021065008234304</v>
      </c>
      <c r="CB34" s="370" t="n">
        <v>0</v>
      </c>
      <c r="CC34" s="505" t="n">
        <v>-0.33</v>
      </c>
      <c r="CD34" s="505" t="n">
        <v>0</v>
      </c>
      <c r="CE34" s="505" t="n">
        <v>-0.07</v>
      </c>
      <c r="CF34" s="505" t="n">
        <v>-0.01</v>
      </c>
      <c r="CG34" s="505" t="n">
        <v>0.0128</v>
      </c>
      <c r="CH34" s="505" t="n">
        <v>0</v>
      </c>
      <c r="CI34" s="505" t="n">
        <v>3.026</v>
      </c>
      <c r="CZ34" s="524" t="e">
        <f aca="false">AL34</f>
        <v>#VALUE!</v>
      </c>
      <c r="DA34" s="525" t="e">
        <f aca="false">AO34</f>
        <v>#VALUE!</v>
      </c>
      <c r="DB34" s="526" t="e">
        <f aca="false">AP34</f>
        <v>#VALUE!</v>
      </c>
      <c r="DC34" s="524" t="n">
        <f aca="false">CI34</f>
        <v>3.026</v>
      </c>
      <c r="DD34" s="525" t="n">
        <f aca="false">CE34</f>
        <v>-0.07</v>
      </c>
      <c r="DE34" s="526" t="n">
        <f aca="false">CF34</f>
        <v>-0.01</v>
      </c>
      <c r="DF34" s="524" t="e">
        <f aca="false">AL34/(1-AR34)</f>
        <v>#VALUE!</v>
      </c>
      <c r="DG34" s="525" t="e">
        <f aca="false">AM34/(1-AR34)</f>
        <v>#VALUE!</v>
      </c>
      <c r="DH34" s="526" t="e">
        <f aca="false">AN34/(1-AR34)</f>
        <v>#VALUE!</v>
      </c>
      <c r="DI34" s="524" t="e">
        <f aca="false">CI34/(1-AR34)</f>
        <v>#VALUE!</v>
      </c>
      <c r="DJ34" s="525" t="e">
        <f aca="false">CC34/(1-AR34)</f>
        <v>#VALUE!</v>
      </c>
      <c r="DK34" s="525" t="e">
        <f aca="false">CD34/(1-AR34)</f>
        <v>#VALUE!</v>
      </c>
      <c r="DL34" s="518" t="e">
        <f aca="false">(($BM34*(CZ34-DC34))+($BL34*(DF34-DI34)))*$AH34*$AF34*$F34</f>
        <v>#VALUE!</v>
      </c>
      <c r="DM34" s="519" t="e">
        <f aca="false">(($BM34*(DA34-DD34))+($BL34*(DG34-DJ34)))*$AH34*$AF34*$F34</f>
        <v>#VALUE!</v>
      </c>
      <c r="DN34" s="520" t="e">
        <f aca="false">(($BM34*(DB34-DE34))+($BL34*(DH34-DK34)))*$AH34*$AF34*$F34</f>
        <v>#VALUE!</v>
      </c>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2.80482729920932</v>
      </c>
      <c r="BW35" s="369" t="n">
        <v>2.946</v>
      </c>
      <c r="BX35" s="370" t="n">
        <v>0.54</v>
      </c>
      <c r="BY35" s="370" t="n">
        <v>0.54</v>
      </c>
      <c r="BZ35" s="370" t="n">
        <v>0</v>
      </c>
      <c r="CA35" s="370" t="n">
        <v>0.021065008234304</v>
      </c>
      <c r="CB35" s="370" t="n">
        <v>0</v>
      </c>
      <c r="CC35" s="505" t="n">
        <v>-0.33</v>
      </c>
      <c r="CD35" s="505" t="n">
        <v>0</v>
      </c>
      <c r="CE35" s="505" t="n">
        <v>-0.07</v>
      </c>
      <c r="CF35" s="505" t="n">
        <v>-0.01</v>
      </c>
      <c r="CG35" s="505" t="n">
        <v>0.0128</v>
      </c>
      <c r="CH35" s="505" t="n">
        <v>0</v>
      </c>
      <c r="CI35" s="505" t="n">
        <v>3.026</v>
      </c>
      <c r="CZ35" s="524" t="e">
        <f aca="false">AL35</f>
        <v>#VALUE!</v>
      </c>
      <c r="DA35" s="525" t="e">
        <f aca="false">AO35</f>
        <v>#VALUE!</v>
      </c>
      <c r="DB35" s="526" t="e">
        <f aca="false">AP35</f>
        <v>#VALUE!</v>
      </c>
      <c r="DC35" s="524" t="n">
        <f aca="false">CI35</f>
        <v>3.026</v>
      </c>
      <c r="DD35" s="525" t="n">
        <f aca="false">CE35</f>
        <v>-0.07</v>
      </c>
      <c r="DE35" s="526" t="n">
        <f aca="false">CF35</f>
        <v>-0.01</v>
      </c>
      <c r="DF35" s="524" t="e">
        <f aca="false">AL35/(1-AR35)</f>
        <v>#VALUE!</v>
      </c>
      <c r="DG35" s="525" t="e">
        <f aca="false">AM35/(1-AR35)</f>
        <v>#VALUE!</v>
      </c>
      <c r="DH35" s="526" t="e">
        <f aca="false">AN35/(1-AR35)</f>
        <v>#VALUE!</v>
      </c>
      <c r="DI35" s="524" t="e">
        <f aca="false">CI35/(1-AR35)</f>
        <v>#VALUE!</v>
      </c>
      <c r="DJ35" s="525" t="e">
        <f aca="false">CC35/(1-AR35)</f>
        <v>#VALUE!</v>
      </c>
      <c r="DK35" s="525" t="e">
        <f aca="false">CD35/(1-AR35)</f>
        <v>#VALUE!</v>
      </c>
      <c r="DL35" s="518" t="e">
        <f aca="false">(($BM35*(CZ35-DC35))+($BL35*(DF35-DI35)))*$AH35*$AF35*$F35</f>
        <v>#VALUE!</v>
      </c>
      <c r="DM35" s="519" t="e">
        <f aca="false">(($BM35*(DA35-DD35))+($BL35*(DG35-DJ35)))*$AH35*$AF35*$F35</f>
        <v>#VALUE!</v>
      </c>
      <c r="DN35" s="520" t="e">
        <f aca="false">(($BM35*(DB35-DE35))+($BL35*(DH35-DK35)))*$AH35*$AF35*$F35</f>
        <v>#VALUE!</v>
      </c>
    </row>
    <row r="36" customFormat="false" ht="12.75" hidden="false" customHeight="false" outlineLevel="0" collapsed="false">
      <c r="A36" s="500"/>
      <c r="B36" s="500"/>
      <c r="K36" s="363"/>
      <c r="L36" s="501"/>
      <c r="N36" s="502"/>
      <c r="O36" s="502"/>
      <c r="P36" s="371"/>
      <c r="Q36" s="501"/>
      <c r="R36" s="501"/>
      <c r="U36" s="501"/>
      <c r="V36" s="503"/>
      <c r="W36" s="503"/>
      <c r="X36" s="503"/>
      <c r="Y36" s="504"/>
      <c r="Z36" s="504"/>
      <c r="AA36" s="504"/>
      <c r="AB36" s="504"/>
      <c r="AC36" s="504"/>
      <c r="AF36" s="378"/>
      <c r="AG36" s="378"/>
      <c r="AH36" s="378"/>
      <c r="AI36" s="378"/>
      <c r="AL36" s="505"/>
      <c r="AM36" s="505"/>
      <c r="AN36" s="505"/>
      <c r="AO36" s="505"/>
      <c r="AQ36" s="370"/>
      <c r="AT36" s="370"/>
      <c r="AV36" s="134"/>
      <c r="AW36" s="370"/>
      <c r="AX36" s="370"/>
      <c r="AY36" s="370"/>
      <c r="AZ36" s="370"/>
      <c r="BA36" s="507"/>
      <c r="BB36" s="505"/>
      <c r="BC36" s="505"/>
      <c r="BD36" s="370"/>
      <c r="BE36" s="370"/>
      <c r="BF36" s="370"/>
      <c r="BG36" s="370"/>
      <c r="BH36" s="370"/>
      <c r="BI36" s="370"/>
      <c r="BJ36" s="370"/>
      <c r="BK36" s="370"/>
      <c r="BL36" s="370"/>
      <c r="BM36" s="370"/>
      <c r="BO36" s="370"/>
      <c r="BP36" s="370"/>
      <c r="BQ36" s="370"/>
      <c r="BR36" s="370"/>
      <c r="BS36" s="370"/>
      <c r="BV36" s="508"/>
      <c r="BW36" s="369"/>
      <c r="BX36" s="370"/>
      <c r="BY36" s="370"/>
      <c r="BZ36" s="370"/>
      <c r="CA36" s="370"/>
      <c r="CB36" s="370"/>
      <c r="CC36" s="505"/>
      <c r="CD36" s="505"/>
      <c r="CE36" s="505"/>
      <c r="CF36" s="505"/>
    </row>
    <row r="37" customFormat="false" ht="12.75" hidden="false" customHeight="false" outlineLevel="0" collapsed="false">
      <c r="A37" s="512"/>
      <c r="B37" s="512"/>
      <c r="K37" s="363"/>
      <c r="L37" s="501"/>
      <c r="N37" s="502"/>
      <c r="O37" s="502"/>
      <c r="P37" s="371"/>
      <c r="Q37" s="501"/>
      <c r="R37" s="501"/>
      <c r="U37" s="501"/>
      <c r="V37" s="503"/>
      <c r="W37" s="503"/>
      <c r="X37" s="503"/>
      <c r="Y37" s="504"/>
      <c r="Z37" s="504"/>
      <c r="AA37" s="504"/>
      <c r="AB37" s="504"/>
      <c r="AC37" s="504"/>
      <c r="AF37" s="378"/>
      <c r="AG37" s="378"/>
      <c r="AH37" s="378"/>
      <c r="AI37" s="378"/>
      <c r="AL37" s="505"/>
      <c r="AM37" s="505"/>
      <c r="AN37" s="505"/>
      <c r="AO37" s="505"/>
      <c r="AQ37" s="370"/>
      <c r="AT37" s="370"/>
      <c r="AV37" s="134"/>
      <c r="AW37" s="370"/>
      <c r="AX37" s="370"/>
      <c r="AY37" s="370"/>
      <c r="AZ37" s="370"/>
      <c r="BA37" s="507"/>
      <c r="BB37" s="505"/>
      <c r="BC37" s="505"/>
      <c r="BD37" s="370"/>
      <c r="BE37" s="370"/>
      <c r="BF37" s="370"/>
      <c r="BG37" s="370"/>
      <c r="BH37" s="370"/>
      <c r="BI37" s="370"/>
      <c r="BJ37" s="370"/>
      <c r="BK37" s="370"/>
      <c r="BL37" s="370"/>
      <c r="BM37" s="370"/>
      <c r="BO37" s="370"/>
      <c r="BP37" s="370"/>
      <c r="BQ37" s="370"/>
      <c r="BR37" s="370"/>
      <c r="BS37" s="370"/>
      <c r="BV37" s="508"/>
      <c r="BW37" s="369"/>
      <c r="BX37" s="370"/>
      <c r="BY37" s="370"/>
      <c r="BZ37" s="370"/>
      <c r="CA37" s="370"/>
      <c r="CB37" s="370"/>
      <c r="CC37" s="505"/>
      <c r="CD37" s="505"/>
      <c r="CE37" s="505"/>
      <c r="CF37" s="505"/>
    </row>
    <row r="38" customFormat="false" ht="12.75" hidden="false" customHeight="false" outlineLevel="0" collapsed="false">
      <c r="A38" s="500"/>
      <c r="B38" s="500"/>
      <c r="K38" s="363"/>
      <c r="L38" s="501"/>
      <c r="N38" s="502"/>
      <c r="O38" s="502"/>
      <c r="P38" s="371"/>
      <c r="Q38" s="501"/>
      <c r="R38" s="501"/>
      <c r="U38" s="501"/>
      <c r="V38" s="503"/>
      <c r="W38" s="503"/>
      <c r="X38" s="503"/>
      <c r="Y38" s="504"/>
      <c r="Z38" s="504"/>
      <c r="AA38" s="504"/>
      <c r="AB38" s="504"/>
      <c r="AC38" s="504"/>
      <c r="AF38" s="378"/>
      <c r="AG38" s="378"/>
      <c r="AH38" s="378"/>
      <c r="AI38" s="378"/>
      <c r="AL38" s="505"/>
      <c r="AM38" s="505"/>
      <c r="AN38" s="505"/>
      <c r="AO38" s="505"/>
      <c r="AQ38" s="370"/>
      <c r="AT38" s="370"/>
      <c r="AV38" s="134"/>
      <c r="AW38" s="370"/>
      <c r="AX38" s="370"/>
      <c r="AY38" s="370"/>
      <c r="AZ38" s="370"/>
      <c r="BA38" s="507"/>
      <c r="BB38" s="505"/>
      <c r="BC38" s="505"/>
      <c r="BD38" s="370"/>
      <c r="BE38" s="370"/>
      <c r="BF38" s="370"/>
      <c r="BG38" s="370"/>
      <c r="BH38" s="370"/>
      <c r="BI38" s="370"/>
      <c r="BJ38" s="370"/>
      <c r="BK38" s="370"/>
      <c r="BL38" s="370"/>
      <c r="BM38" s="370"/>
      <c r="BO38" s="370"/>
      <c r="BP38" s="370"/>
      <c r="BQ38" s="370"/>
      <c r="BR38" s="370"/>
      <c r="BS38" s="370"/>
      <c r="BV38" s="508"/>
      <c r="BW38" s="369"/>
      <c r="BX38" s="370"/>
      <c r="BY38" s="370"/>
      <c r="BZ38" s="370"/>
      <c r="CA38" s="370"/>
      <c r="CB38" s="370"/>
      <c r="CC38" s="505"/>
      <c r="CD38" s="505"/>
      <c r="CE38" s="505"/>
      <c r="CF38" s="505"/>
    </row>
    <row r="39" customFormat="false" ht="12.75" hidden="false" customHeight="false" outlineLevel="0" collapsed="false">
      <c r="A39" s="500"/>
      <c r="B39" s="500"/>
      <c r="K39" s="363"/>
      <c r="L39" s="501"/>
      <c r="N39" s="502"/>
      <c r="O39" s="502"/>
      <c r="P39" s="371"/>
      <c r="Q39" s="501"/>
      <c r="R39" s="501"/>
      <c r="U39" s="501"/>
      <c r="V39" s="503"/>
      <c r="W39" s="503"/>
      <c r="X39" s="503"/>
      <c r="Y39" s="504"/>
      <c r="Z39" s="504"/>
      <c r="AA39" s="504"/>
      <c r="AB39" s="504"/>
      <c r="AC39" s="504"/>
      <c r="AF39" s="378"/>
      <c r="AG39" s="378"/>
      <c r="AH39" s="378"/>
      <c r="AI39" s="378"/>
      <c r="AL39" s="505"/>
      <c r="AM39" s="505"/>
      <c r="AN39" s="505"/>
      <c r="AO39" s="505"/>
      <c r="AQ39" s="370"/>
      <c r="AT39" s="370"/>
      <c r="AV39" s="134"/>
      <c r="AW39" s="370"/>
      <c r="AX39" s="370"/>
      <c r="AY39" s="370"/>
      <c r="AZ39" s="370"/>
      <c r="BA39" s="507"/>
      <c r="BB39" s="505"/>
      <c r="BC39" s="505"/>
      <c r="BD39" s="370"/>
      <c r="BE39" s="370"/>
      <c r="BF39" s="370"/>
      <c r="BG39" s="370"/>
      <c r="BH39" s="370"/>
      <c r="BI39" s="370"/>
      <c r="BJ39" s="370"/>
      <c r="BK39" s="370"/>
      <c r="BL39" s="370"/>
      <c r="BM39" s="370"/>
      <c r="BO39" s="370"/>
      <c r="BP39" s="370"/>
      <c r="BQ39" s="370"/>
      <c r="BR39" s="370"/>
      <c r="BS39" s="370"/>
      <c r="BV39" s="508"/>
      <c r="BW39" s="369"/>
      <c r="BX39" s="370"/>
      <c r="BY39" s="370"/>
      <c r="BZ39" s="370"/>
      <c r="CA39" s="370"/>
      <c r="CB39" s="370"/>
      <c r="CC39" s="505"/>
      <c r="CD39" s="505"/>
      <c r="CE39" s="505"/>
      <c r="CF39" s="505"/>
    </row>
    <row r="40" customFormat="false" ht="12.75" hidden="false" customHeight="false" outlineLevel="0" collapsed="false">
      <c r="A40" s="500"/>
      <c r="B40" s="500"/>
      <c r="K40" s="363"/>
      <c r="L40" s="501"/>
      <c r="N40" s="502"/>
      <c r="O40" s="502"/>
      <c r="P40" s="371"/>
      <c r="Q40" s="501"/>
      <c r="R40" s="501"/>
      <c r="U40" s="501"/>
      <c r="V40" s="503"/>
      <c r="W40" s="503"/>
      <c r="X40" s="503"/>
      <c r="Y40" s="504"/>
      <c r="Z40" s="504"/>
      <c r="AA40" s="504"/>
      <c r="AB40" s="504"/>
      <c r="AC40" s="504"/>
      <c r="AF40" s="378"/>
      <c r="AG40" s="378"/>
      <c r="AH40" s="378"/>
      <c r="AI40" s="378"/>
      <c r="AL40" s="505"/>
      <c r="AM40" s="505"/>
      <c r="AN40" s="505"/>
      <c r="AO40" s="505"/>
      <c r="AQ40" s="370"/>
      <c r="AT40" s="370"/>
      <c r="AV40" s="134"/>
      <c r="AW40" s="370"/>
      <c r="AX40" s="370"/>
      <c r="AY40" s="370"/>
      <c r="AZ40" s="370"/>
      <c r="BA40" s="507"/>
      <c r="BB40" s="505"/>
      <c r="BC40" s="505"/>
      <c r="BD40" s="370"/>
      <c r="BE40" s="370"/>
      <c r="BF40" s="370"/>
      <c r="BG40" s="370"/>
      <c r="BH40" s="370"/>
      <c r="BI40" s="370"/>
      <c r="BJ40" s="370"/>
      <c r="BK40" s="370"/>
      <c r="BL40" s="370"/>
      <c r="BM40" s="370"/>
      <c r="BO40" s="370"/>
      <c r="BP40" s="370"/>
      <c r="BQ40" s="370"/>
      <c r="BR40" s="370"/>
      <c r="BS40" s="370"/>
      <c r="BV40" s="508"/>
      <c r="BW40" s="369"/>
      <c r="BX40" s="370"/>
      <c r="BY40" s="370"/>
      <c r="BZ40" s="370"/>
      <c r="CA40" s="370"/>
      <c r="CB40" s="370"/>
      <c r="CC40" s="505"/>
      <c r="CD40" s="505"/>
      <c r="CE40" s="505"/>
      <c r="CF40" s="505"/>
    </row>
    <row r="41" customFormat="false" ht="12.75" hidden="false" customHeight="false" outlineLevel="0" collapsed="false">
      <c r="A41" s="500"/>
      <c r="B41" s="500"/>
      <c r="K41" s="363"/>
      <c r="L41" s="501"/>
      <c r="N41" s="502"/>
      <c r="O41" s="502"/>
      <c r="P41" s="371"/>
      <c r="Q41" s="501"/>
      <c r="R41" s="501"/>
      <c r="U41" s="501"/>
      <c r="V41" s="503"/>
      <c r="W41" s="503"/>
      <c r="X41" s="503"/>
      <c r="Y41" s="504"/>
      <c r="Z41" s="504"/>
      <c r="AA41" s="504"/>
      <c r="AB41" s="504"/>
      <c r="AC41" s="504"/>
      <c r="AF41" s="378"/>
      <c r="AG41" s="378"/>
      <c r="AH41" s="378"/>
      <c r="AI41" s="378"/>
      <c r="AL41" s="505"/>
      <c r="AM41" s="505"/>
      <c r="AN41" s="505"/>
      <c r="AO41" s="505"/>
      <c r="AQ41" s="370"/>
      <c r="AT41" s="370"/>
      <c r="AV41" s="134"/>
      <c r="AW41" s="370"/>
      <c r="AX41" s="370"/>
      <c r="AY41" s="370"/>
      <c r="AZ41" s="370"/>
      <c r="BA41" s="507"/>
      <c r="BB41" s="505"/>
      <c r="BC41" s="505"/>
      <c r="BD41" s="370"/>
      <c r="BE41" s="370"/>
      <c r="BF41" s="370"/>
      <c r="BG41" s="370"/>
      <c r="BH41" s="370"/>
      <c r="BI41" s="370"/>
      <c r="BJ41" s="370"/>
      <c r="BK41" s="370"/>
      <c r="BL41" s="370"/>
      <c r="BM41" s="370"/>
      <c r="BO41" s="370"/>
      <c r="BP41" s="370"/>
      <c r="BQ41" s="370"/>
      <c r="BR41" s="370"/>
      <c r="BS41" s="370"/>
      <c r="BV41" s="508"/>
      <c r="BW41" s="369"/>
      <c r="BX41" s="370"/>
      <c r="BY41" s="370"/>
      <c r="BZ41" s="370"/>
      <c r="CA41" s="370"/>
      <c r="CB41" s="370"/>
      <c r="CC41" s="505"/>
      <c r="CD41" s="505"/>
      <c r="CE41" s="505"/>
      <c r="CF41" s="505"/>
    </row>
    <row r="42" customFormat="false" ht="12.75" hidden="false" customHeight="false" outlineLevel="0" collapsed="false">
      <c r="A42" s="500"/>
      <c r="B42" s="500"/>
      <c r="K42" s="363"/>
      <c r="L42" s="501"/>
      <c r="N42" s="502"/>
      <c r="O42" s="502"/>
      <c r="P42" s="371"/>
      <c r="Q42" s="501"/>
      <c r="R42" s="501"/>
      <c r="U42" s="501"/>
      <c r="V42" s="503"/>
      <c r="W42" s="503"/>
      <c r="X42" s="503"/>
      <c r="Y42" s="504"/>
      <c r="Z42" s="504"/>
      <c r="AA42" s="504"/>
      <c r="AB42" s="504"/>
      <c r="AC42" s="504"/>
      <c r="AF42" s="378"/>
      <c r="AG42" s="378"/>
      <c r="AH42" s="378"/>
      <c r="AI42" s="378"/>
      <c r="AL42" s="505"/>
      <c r="AM42" s="505"/>
      <c r="AN42" s="505"/>
      <c r="AO42" s="505"/>
      <c r="AQ42" s="370"/>
      <c r="AT42" s="370"/>
      <c r="AV42" s="134"/>
      <c r="AW42" s="370"/>
      <c r="AX42" s="370"/>
      <c r="AY42" s="370"/>
      <c r="AZ42" s="370"/>
      <c r="BA42" s="507"/>
      <c r="BB42" s="505"/>
      <c r="BC42" s="505"/>
      <c r="BD42" s="370"/>
      <c r="BE42" s="370"/>
      <c r="BF42" s="370"/>
      <c r="BG42" s="370"/>
      <c r="BH42" s="370"/>
      <c r="BI42" s="370"/>
      <c r="BJ42" s="370"/>
      <c r="BK42" s="370"/>
      <c r="BL42" s="370"/>
      <c r="BM42" s="370"/>
      <c r="BO42" s="370"/>
      <c r="BP42" s="370"/>
      <c r="BQ42" s="370"/>
      <c r="BR42" s="370"/>
      <c r="BS42" s="370"/>
      <c r="BV42" s="508"/>
      <c r="BW42" s="369"/>
      <c r="BX42" s="370"/>
      <c r="BY42" s="370"/>
      <c r="BZ42" s="370"/>
      <c r="CA42" s="370"/>
      <c r="CB42" s="370"/>
      <c r="CC42" s="505"/>
      <c r="CD42" s="505"/>
      <c r="CE42" s="505"/>
      <c r="CF42" s="505"/>
    </row>
    <row r="43" customFormat="false" ht="12.75" hidden="false" customHeight="false" outlineLevel="0" collapsed="false">
      <c r="A43" s="500"/>
      <c r="B43" s="500"/>
      <c r="K43" s="363"/>
      <c r="L43" s="501"/>
      <c r="N43" s="502"/>
      <c r="O43" s="502"/>
      <c r="P43" s="371"/>
      <c r="Q43" s="501"/>
      <c r="R43" s="501"/>
      <c r="U43" s="501"/>
      <c r="V43" s="503"/>
      <c r="W43" s="503"/>
      <c r="X43" s="503"/>
      <c r="Y43" s="504"/>
      <c r="Z43" s="504"/>
      <c r="AA43" s="504"/>
      <c r="AB43" s="504"/>
      <c r="AC43" s="504"/>
      <c r="AF43" s="378"/>
      <c r="AG43" s="378"/>
      <c r="AH43" s="378"/>
      <c r="AI43" s="378"/>
      <c r="AL43" s="505"/>
      <c r="AM43" s="505"/>
      <c r="AN43" s="505"/>
      <c r="AO43" s="505"/>
      <c r="AQ43" s="370"/>
      <c r="AT43" s="370"/>
      <c r="AV43" s="134"/>
      <c r="AW43" s="370"/>
      <c r="AX43" s="370"/>
      <c r="AY43" s="370"/>
      <c r="AZ43" s="370"/>
      <c r="BA43" s="507"/>
      <c r="BB43" s="505"/>
      <c r="BC43" s="505"/>
      <c r="BD43" s="370"/>
      <c r="BE43" s="370"/>
      <c r="BF43" s="370"/>
      <c r="BG43" s="370"/>
      <c r="BH43" s="370"/>
      <c r="BI43" s="370"/>
      <c r="BJ43" s="370"/>
      <c r="BK43" s="370"/>
      <c r="BL43" s="370"/>
      <c r="BM43" s="370"/>
      <c r="BO43" s="370"/>
      <c r="BP43" s="370"/>
      <c r="BQ43" s="370"/>
      <c r="BR43" s="370"/>
      <c r="BS43" s="370"/>
      <c r="BV43" s="508"/>
      <c r="BW43" s="369"/>
      <c r="BX43" s="370"/>
      <c r="BY43" s="370"/>
      <c r="BZ43" s="370"/>
      <c r="CA43" s="370"/>
      <c r="CB43" s="370"/>
      <c r="CC43" s="505"/>
      <c r="CD43" s="505"/>
      <c r="CE43" s="505"/>
      <c r="CF43" s="505"/>
    </row>
    <row r="44" customFormat="false" ht="12.75" hidden="false" customHeight="false" outlineLevel="0" collapsed="false">
      <c r="A44" s="500"/>
      <c r="B44" s="500"/>
      <c r="K44" s="363"/>
      <c r="L44" s="501"/>
      <c r="N44" s="502"/>
      <c r="O44" s="502"/>
      <c r="P44" s="371"/>
      <c r="Q44" s="501"/>
      <c r="R44" s="501"/>
      <c r="U44" s="501"/>
      <c r="V44" s="503"/>
      <c r="W44" s="503"/>
      <c r="X44" s="503"/>
      <c r="Y44" s="504"/>
      <c r="Z44" s="504"/>
      <c r="AA44" s="504"/>
      <c r="AB44" s="504"/>
      <c r="AC44" s="504"/>
      <c r="AF44" s="378"/>
      <c r="AG44" s="378"/>
      <c r="AH44" s="378"/>
      <c r="AI44" s="378"/>
      <c r="AL44" s="505"/>
      <c r="AM44" s="505"/>
      <c r="AN44" s="505"/>
      <c r="AO44" s="505"/>
      <c r="AQ44" s="370"/>
      <c r="AT44" s="370"/>
      <c r="AV44" s="134"/>
      <c r="AW44" s="370"/>
      <c r="AX44" s="370"/>
      <c r="AY44" s="370"/>
      <c r="AZ44" s="370"/>
      <c r="BA44" s="507"/>
      <c r="BB44" s="505"/>
      <c r="BC44" s="505"/>
      <c r="BD44" s="370"/>
      <c r="BE44" s="370"/>
      <c r="BF44" s="370"/>
      <c r="BG44" s="370"/>
      <c r="BH44" s="370"/>
      <c r="BI44" s="370"/>
      <c r="BJ44" s="370"/>
      <c r="BK44" s="370"/>
      <c r="BL44" s="370"/>
      <c r="BM44" s="370"/>
      <c r="BO44" s="370"/>
      <c r="BP44" s="370"/>
      <c r="BQ44" s="370"/>
      <c r="BR44" s="370"/>
      <c r="BS44" s="370"/>
      <c r="BV44" s="508"/>
      <c r="BW44" s="369"/>
      <c r="BX44" s="370"/>
      <c r="BY44" s="370"/>
      <c r="BZ44" s="370"/>
      <c r="CA44" s="370"/>
      <c r="CB44" s="370"/>
      <c r="CC44" s="505"/>
      <c r="CD44" s="505"/>
      <c r="CE44" s="505"/>
      <c r="CF44" s="505"/>
    </row>
    <row r="45" customFormat="false" ht="12.75" hidden="false" customHeight="false" outlineLevel="0" collapsed="false">
      <c r="A45" s="500"/>
      <c r="B45" s="500"/>
      <c r="K45" s="363"/>
      <c r="L45" s="501"/>
      <c r="N45" s="502"/>
      <c r="O45" s="502"/>
      <c r="P45" s="371"/>
      <c r="Q45" s="501"/>
      <c r="R45" s="501"/>
      <c r="U45" s="501"/>
      <c r="V45" s="503"/>
      <c r="W45" s="503"/>
      <c r="X45" s="503"/>
      <c r="Y45" s="504"/>
      <c r="Z45" s="504"/>
      <c r="AA45" s="504"/>
      <c r="AB45" s="504"/>
      <c r="AC45" s="504"/>
      <c r="AF45" s="378"/>
      <c r="AG45" s="378"/>
      <c r="AH45" s="378"/>
      <c r="AI45" s="378"/>
      <c r="AL45" s="505"/>
      <c r="AM45" s="505"/>
      <c r="AN45" s="505"/>
      <c r="AO45" s="505"/>
      <c r="AQ45" s="370"/>
      <c r="AT45" s="370"/>
      <c r="AV45" s="134"/>
      <c r="AW45" s="370"/>
      <c r="AX45" s="370"/>
      <c r="AY45" s="370"/>
      <c r="AZ45" s="370"/>
      <c r="BA45" s="507"/>
      <c r="BB45" s="505"/>
      <c r="BC45" s="505"/>
      <c r="BD45" s="370"/>
      <c r="BE45" s="370"/>
      <c r="BF45" s="370"/>
      <c r="BG45" s="370"/>
      <c r="BH45" s="370"/>
      <c r="BI45" s="370"/>
      <c r="BJ45" s="370"/>
      <c r="BK45" s="370"/>
      <c r="BL45" s="370"/>
      <c r="BM45" s="370"/>
      <c r="BO45" s="370"/>
      <c r="BP45" s="370"/>
      <c r="BQ45" s="370"/>
      <c r="BR45" s="370"/>
      <c r="BS45" s="370"/>
      <c r="BV45" s="508"/>
      <c r="BW45" s="369"/>
      <c r="BX45" s="370"/>
      <c r="BY45" s="370"/>
      <c r="BZ45" s="370"/>
      <c r="CA45" s="370"/>
      <c r="CB45" s="370"/>
      <c r="CC45" s="505"/>
      <c r="CD45" s="505"/>
      <c r="CE45" s="505"/>
      <c r="CF45" s="505"/>
    </row>
    <row r="46" customFormat="false" ht="12.75" hidden="false" customHeight="false" outlineLevel="0" collapsed="false">
      <c r="A46" s="500"/>
      <c r="B46" s="500"/>
      <c r="K46" s="363"/>
      <c r="L46" s="501"/>
      <c r="N46" s="502"/>
      <c r="O46" s="502"/>
      <c r="P46" s="371"/>
      <c r="Q46" s="501"/>
      <c r="R46" s="501"/>
      <c r="U46" s="501"/>
      <c r="V46" s="503"/>
      <c r="W46" s="503"/>
      <c r="X46" s="503"/>
      <c r="Y46" s="504"/>
      <c r="Z46" s="504"/>
      <c r="AA46" s="504"/>
      <c r="AB46" s="504"/>
      <c r="AC46" s="504"/>
      <c r="AF46" s="378"/>
      <c r="AG46" s="378"/>
      <c r="AH46" s="378"/>
      <c r="AI46" s="378"/>
      <c r="AL46" s="505"/>
      <c r="AM46" s="505"/>
      <c r="AN46" s="505"/>
      <c r="AO46" s="505"/>
      <c r="AQ46" s="370"/>
      <c r="AT46" s="370"/>
      <c r="AV46" s="134"/>
      <c r="AW46" s="370"/>
      <c r="AX46" s="370"/>
      <c r="AY46" s="370"/>
      <c r="AZ46" s="370"/>
      <c r="BA46" s="507"/>
      <c r="BB46" s="505"/>
      <c r="BC46" s="505"/>
      <c r="BD46" s="370"/>
      <c r="BE46" s="370"/>
      <c r="BF46" s="370"/>
      <c r="BG46" s="370"/>
      <c r="BH46" s="370"/>
      <c r="BI46" s="370"/>
      <c r="BJ46" s="370"/>
      <c r="BK46" s="370"/>
      <c r="BL46" s="370"/>
      <c r="BM46" s="370"/>
      <c r="BO46" s="370"/>
      <c r="BP46" s="370"/>
      <c r="BQ46" s="370"/>
      <c r="BR46" s="370"/>
      <c r="BS46" s="370"/>
      <c r="BV46" s="508"/>
      <c r="BW46" s="369"/>
      <c r="BX46" s="370"/>
      <c r="BY46" s="370"/>
      <c r="BZ46" s="370"/>
      <c r="CA46" s="370"/>
      <c r="CB46" s="370"/>
      <c r="CC46" s="505"/>
      <c r="CD46" s="505"/>
      <c r="CE46" s="505"/>
      <c r="CF46" s="505"/>
    </row>
    <row r="47" customFormat="false" ht="12.75" hidden="false" customHeight="false" outlineLevel="0" collapsed="false">
      <c r="A47" s="500"/>
      <c r="B47" s="500"/>
      <c r="K47" s="363"/>
      <c r="L47" s="501"/>
      <c r="N47" s="502"/>
      <c r="O47" s="502"/>
      <c r="P47" s="371"/>
      <c r="Q47" s="501"/>
      <c r="R47" s="501"/>
      <c r="U47" s="501"/>
      <c r="V47" s="503"/>
      <c r="W47" s="503"/>
      <c r="X47" s="503"/>
      <c r="Y47" s="504"/>
      <c r="Z47" s="504"/>
      <c r="AA47" s="504"/>
      <c r="AB47" s="504"/>
      <c r="AC47" s="504"/>
      <c r="AF47" s="378"/>
      <c r="AG47" s="378"/>
      <c r="AH47" s="378"/>
      <c r="AI47" s="378"/>
      <c r="AL47" s="505"/>
      <c r="AM47" s="505"/>
      <c r="AN47" s="505"/>
      <c r="AO47" s="505"/>
      <c r="AQ47" s="370"/>
      <c r="AT47" s="370"/>
      <c r="AV47" s="134"/>
      <c r="AW47" s="370"/>
      <c r="AX47" s="370"/>
      <c r="AY47" s="370"/>
      <c r="AZ47" s="370"/>
      <c r="BA47" s="507"/>
      <c r="BB47" s="505"/>
      <c r="BC47" s="505"/>
      <c r="BD47" s="370"/>
      <c r="BE47" s="370"/>
      <c r="BF47" s="370"/>
      <c r="BG47" s="370"/>
      <c r="BH47" s="370"/>
      <c r="BI47" s="370"/>
      <c r="BJ47" s="370"/>
      <c r="BK47" s="370"/>
      <c r="BL47" s="370"/>
      <c r="BM47" s="370"/>
      <c r="BO47" s="370"/>
      <c r="BP47" s="370"/>
      <c r="BQ47" s="370"/>
      <c r="BR47" s="370"/>
      <c r="BS47" s="370"/>
      <c r="BV47" s="508"/>
      <c r="BW47" s="369"/>
      <c r="BX47" s="370"/>
      <c r="BY47" s="370"/>
      <c r="BZ47" s="370"/>
      <c r="CA47" s="370"/>
      <c r="CB47" s="370"/>
      <c r="CC47" s="505"/>
      <c r="CD47" s="505"/>
      <c r="CE47" s="505"/>
      <c r="CF47" s="505"/>
    </row>
    <row r="48" customFormat="false" ht="12.75" hidden="false" customHeight="false" outlineLevel="0" collapsed="false">
      <c r="A48" s="500"/>
      <c r="B48" s="500"/>
      <c r="K48" s="363"/>
      <c r="L48" s="501"/>
      <c r="N48" s="502"/>
      <c r="O48" s="502"/>
      <c r="P48" s="371"/>
      <c r="Q48" s="501"/>
      <c r="R48" s="501"/>
      <c r="U48" s="501"/>
      <c r="V48" s="503"/>
      <c r="W48" s="503"/>
      <c r="X48" s="503"/>
      <c r="Y48" s="504"/>
      <c r="Z48" s="504"/>
      <c r="AA48" s="504"/>
      <c r="AB48" s="504"/>
      <c r="AC48" s="504"/>
      <c r="AF48" s="378"/>
      <c r="AG48" s="378"/>
      <c r="AH48" s="378"/>
      <c r="AI48" s="378"/>
      <c r="AL48" s="505"/>
      <c r="AM48" s="505"/>
      <c r="AN48" s="505"/>
      <c r="AO48" s="505"/>
      <c r="AQ48" s="370"/>
      <c r="AT48" s="370"/>
      <c r="AV48" s="134"/>
      <c r="AW48" s="370"/>
      <c r="AX48" s="370"/>
      <c r="AY48" s="370"/>
      <c r="AZ48" s="370"/>
      <c r="BA48" s="507"/>
      <c r="BB48" s="505"/>
      <c r="BC48" s="505"/>
      <c r="BD48" s="370"/>
      <c r="BE48" s="370"/>
      <c r="BF48" s="370"/>
      <c r="BG48" s="370"/>
      <c r="BH48" s="370"/>
      <c r="BI48" s="370"/>
      <c r="BJ48" s="370"/>
      <c r="BK48" s="370"/>
      <c r="BL48" s="370"/>
      <c r="BM48" s="370"/>
      <c r="BO48" s="370"/>
      <c r="BP48" s="370"/>
      <c r="BQ48" s="370"/>
      <c r="BR48" s="370"/>
      <c r="BS48" s="370"/>
      <c r="BV48" s="508"/>
      <c r="BW48" s="369"/>
      <c r="BX48" s="370"/>
      <c r="BY48" s="370"/>
      <c r="BZ48" s="370"/>
      <c r="CA48" s="370"/>
      <c r="CB48" s="370"/>
      <c r="CC48" s="505"/>
      <c r="CD48" s="505"/>
      <c r="CE48" s="505"/>
      <c r="CF48" s="505"/>
    </row>
    <row r="49" customFormat="false" ht="12.75" hidden="false" customHeight="false" outlineLevel="0" collapsed="false">
      <c r="A49" s="500"/>
      <c r="B49" s="500"/>
      <c r="K49" s="363"/>
      <c r="L49" s="501"/>
      <c r="N49" s="502"/>
      <c r="O49" s="502"/>
      <c r="P49" s="371"/>
      <c r="Q49" s="501"/>
      <c r="R49" s="501"/>
      <c r="U49" s="501"/>
      <c r="V49" s="503"/>
      <c r="W49" s="503"/>
      <c r="X49" s="503"/>
      <c r="Y49" s="504"/>
      <c r="Z49" s="504"/>
      <c r="AA49" s="504"/>
      <c r="AB49" s="504"/>
      <c r="AC49" s="504"/>
      <c r="AF49" s="378"/>
      <c r="AG49" s="378"/>
      <c r="AH49" s="378"/>
      <c r="AI49" s="378"/>
      <c r="AL49" s="505"/>
      <c r="AM49" s="505"/>
      <c r="AN49" s="505"/>
      <c r="AO49" s="505"/>
      <c r="AQ49" s="370"/>
      <c r="AT49" s="370"/>
      <c r="AV49" s="134"/>
      <c r="AW49" s="370"/>
      <c r="AX49" s="370"/>
      <c r="AY49" s="370"/>
      <c r="AZ49" s="370"/>
      <c r="BA49" s="507"/>
      <c r="BB49" s="505"/>
      <c r="BC49" s="505"/>
      <c r="BD49" s="370"/>
      <c r="BE49" s="370"/>
      <c r="BF49" s="370"/>
      <c r="BG49" s="370"/>
      <c r="BH49" s="370"/>
      <c r="BI49" s="370"/>
      <c r="BJ49" s="370"/>
      <c r="BK49" s="370"/>
      <c r="BL49" s="370"/>
      <c r="BM49" s="370"/>
      <c r="BO49" s="370"/>
      <c r="BP49" s="370"/>
      <c r="BQ49" s="370"/>
      <c r="BR49" s="370"/>
      <c r="BS49" s="370"/>
      <c r="BV49" s="508"/>
      <c r="BW49" s="369"/>
      <c r="BX49" s="370"/>
      <c r="BY49" s="370"/>
      <c r="BZ49" s="370"/>
      <c r="CA49" s="370"/>
      <c r="CB49" s="370"/>
      <c r="CC49" s="505"/>
      <c r="CD49" s="505"/>
      <c r="CE49" s="505"/>
      <c r="CF49" s="505"/>
    </row>
    <row r="50" customFormat="false" ht="12.75" hidden="false" customHeight="false" outlineLevel="0" collapsed="false">
      <c r="A50" s="500"/>
      <c r="B50" s="500"/>
      <c r="K50" s="363"/>
      <c r="L50" s="501"/>
      <c r="N50" s="502"/>
      <c r="O50" s="502"/>
      <c r="P50" s="371"/>
      <c r="Q50" s="501"/>
      <c r="R50" s="501"/>
      <c r="U50" s="501"/>
      <c r="V50" s="503"/>
      <c r="W50" s="503"/>
      <c r="X50" s="503"/>
      <c r="Y50" s="504"/>
      <c r="Z50" s="504"/>
      <c r="AA50" s="504"/>
      <c r="AB50" s="504"/>
      <c r="AC50" s="504"/>
      <c r="AF50" s="378"/>
      <c r="AG50" s="378"/>
      <c r="AH50" s="378"/>
      <c r="AI50" s="378"/>
      <c r="AL50" s="505"/>
      <c r="AM50" s="505"/>
      <c r="AN50" s="505"/>
      <c r="AO50" s="505"/>
      <c r="AQ50" s="370"/>
      <c r="AT50" s="370"/>
      <c r="AV50" s="134"/>
      <c r="AW50" s="370"/>
      <c r="AX50" s="370"/>
      <c r="AY50" s="370"/>
      <c r="AZ50" s="370"/>
      <c r="BA50" s="507"/>
      <c r="BB50" s="505"/>
      <c r="BC50" s="505"/>
      <c r="BD50" s="370"/>
      <c r="BE50" s="370"/>
      <c r="BF50" s="370"/>
      <c r="BG50" s="370"/>
      <c r="BH50" s="370"/>
      <c r="BI50" s="370"/>
      <c r="BJ50" s="370"/>
      <c r="BK50" s="370"/>
      <c r="BL50" s="370"/>
      <c r="BM50" s="370"/>
      <c r="BO50" s="370"/>
      <c r="BP50" s="370"/>
      <c r="BQ50" s="370"/>
      <c r="BR50" s="370"/>
      <c r="BS50" s="370"/>
      <c r="BV50" s="508"/>
      <c r="BW50" s="369"/>
      <c r="BX50" s="370"/>
      <c r="BY50" s="370"/>
      <c r="BZ50" s="370"/>
      <c r="CA50" s="370"/>
      <c r="CB50" s="370"/>
      <c r="CC50" s="505"/>
      <c r="CD50" s="505"/>
      <c r="CE50" s="505"/>
      <c r="CF50" s="505"/>
    </row>
    <row r="51" customFormat="false" ht="12.75" hidden="false" customHeight="false" outlineLevel="0" collapsed="false">
      <c r="A51" s="500"/>
      <c r="B51" s="500"/>
      <c r="K51" s="363"/>
      <c r="L51" s="501"/>
      <c r="N51" s="502"/>
      <c r="O51" s="502"/>
      <c r="P51" s="371"/>
      <c r="Q51" s="501"/>
      <c r="R51" s="501"/>
      <c r="U51" s="501"/>
      <c r="V51" s="503"/>
      <c r="W51" s="503"/>
      <c r="X51" s="503"/>
      <c r="Y51" s="504"/>
      <c r="Z51" s="504"/>
      <c r="AA51" s="504"/>
      <c r="AB51" s="504"/>
      <c r="AC51" s="504"/>
      <c r="AF51" s="378"/>
      <c r="AG51" s="378"/>
      <c r="AH51" s="378"/>
      <c r="AI51" s="378"/>
      <c r="AL51" s="505"/>
      <c r="AM51" s="505"/>
      <c r="AN51" s="505"/>
      <c r="AO51" s="505"/>
      <c r="AQ51" s="370"/>
      <c r="AT51" s="370"/>
      <c r="AV51" s="134"/>
      <c r="AW51" s="370"/>
      <c r="AX51" s="370"/>
      <c r="AY51" s="370"/>
      <c r="AZ51" s="370"/>
      <c r="BA51" s="507"/>
      <c r="BB51" s="505"/>
      <c r="BC51" s="505"/>
      <c r="BD51" s="370"/>
      <c r="BE51" s="370"/>
      <c r="BF51" s="370"/>
      <c r="BG51" s="370"/>
      <c r="BH51" s="370"/>
      <c r="BI51" s="370"/>
      <c r="BJ51" s="370"/>
      <c r="BK51" s="370"/>
      <c r="BL51" s="370"/>
      <c r="BM51" s="370"/>
      <c r="BO51" s="370"/>
      <c r="BP51" s="370"/>
      <c r="BQ51" s="370"/>
      <c r="BR51" s="370"/>
      <c r="BS51" s="370"/>
      <c r="BV51" s="508"/>
      <c r="BW51" s="369"/>
      <c r="BX51" s="370"/>
      <c r="BY51" s="370"/>
      <c r="BZ51" s="370"/>
      <c r="CA51" s="370"/>
      <c r="CB51" s="370"/>
      <c r="CC51" s="505"/>
      <c r="CD51" s="505"/>
      <c r="CE51" s="505"/>
      <c r="CF51" s="505"/>
    </row>
    <row r="52" customFormat="false" ht="12.75" hidden="false" customHeight="false" outlineLevel="0" collapsed="false">
      <c r="A52" s="500"/>
      <c r="B52" s="500"/>
      <c r="K52" s="363"/>
      <c r="L52" s="501"/>
      <c r="N52" s="502"/>
      <c r="O52" s="502"/>
      <c r="P52" s="371"/>
      <c r="Q52" s="501"/>
      <c r="R52" s="501"/>
      <c r="U52" s="501"/>
      <c r="V52" s="503"/>
      <c r="W52" s="503"/>
      <c r="X52" s="503"/>
      <c r="Y52" s="504"/>
      <c r="Z52" s="504"/>
      <c r="AA52" s="504"/>
      <c r="AB52" s="504"/>
      <c r="AC52" s="504"/>
      <c r="AF52" s="378"/>
      <c r="AG52" s="378"/>
      <c r="AH52" s="378"/>
      <c r="AI52" s="378"/>
      <c r="AL52" s="505"/>
      <c r="AM52" s="505"/>
      <c r="AN52" s="505"/>
      <c r="AO52" s="505"/>
      <c r="AQ52" s="370"/>
      <c r="AT52" s="370"/>
      <c r="AV52" s="134"/>
      <c r="AW52" s="370"/>
      <c r="AX52" s="370"/>
      <c r="AY52" s="370"/>
      <c r="AZ52" s="370"/>
      <c r="BA52" s="507"/>
      <c r="BB52" s="505"/>
      <c r="BC52" s="505"/>
      <c r="BD52" s="370"/>
      <c r="BE52" s="370"/>
      <c r="BF52" s="370"/>
      <c r="BG52" s="370"/>
      <c r="BH52" s="370"/>
      <c r="BI52" s="370"/>
      <c r="BJ52" s="370"/>
      <c r="BK52" s="370"/>
      <c r="BL52" s="370"/>
      <c r="BM52" s="370"/>
      <c r="BO52" s="370"/>
      <c r="BP52" s="370"/>
      <c r="BQ52" s="370"/>
      <c r="BR52" s="370"/>
      <c r="BS52" s="370"/>
      <c r="BV52" s="508"/>
      <c r="BW52" s="369"/>
      <c r="BX52" s="370"/>
      <c r="BY52" s="370"/>
      <c r="BZ52" s="370"/>
      <c r="CA52" s="370"/>
      <c r="CB52" s="370"/>
      <c r="CC52" s="505"/>
      <c r="CD52" s="505"/>
      <c r="CE52" s="505"/>
      <c r="CF52" s="505"/>
    </row>
    <row r="53" customFormat="false" ht="12.75" hidden="false" customHeight="false" outlineLevel="0" collapsed="false">
      <c r="A53" s="500"/>
      <c r="B53" s="500"/>
      <c r="K53" s="363"/>
      <c r="L53" s="501"/>
      <c r="N53" s="502"/>
      <c r="O53" s="502"/>
      <c r="P53" s="371"/>
      <c r="Q53" s="501"/>
      <c r="R53" s="501"/>
      <c r="U53" s="501"/>
      <c r="V53" s="503"/>
      <c r="W53" s="503"/>
      <c r="X53" s="503"/>
      <c r="Y53" s="504"/>
      <c r="Z53" s="504"/>
      <c r="AA53" s="504"/>
      <c r="AB53" s="504"/>
      <c r="AC53" s="504"/>
      <c r="AF53" s="378"/>
      <c r="AG53" s="378"/>
      <c r="AH53" s="378"/>
      <c r="AI53" s="378"/>
      <c r="AL53" s="505"/>
      <c r="AM53" s="505"/>
      <c r="AN53" s="505"/>
      <c r="AO53" s="505"/>
      <c r="AQ53" s="370"/>
      <c r="AT53" s="370"/>
      <c r="AV53" s="134"/>
      <c r="AW53" s="370"/>
      <c r="AX53" s="370"/>
      <c r="AY53" s="370"/>
      <c r="AZ53" s="370"/>
      <c r="BA53" s="507"/>
      <c r="BB53" s="505"/>
      <c r="BC53" s="505"/>
      <c r="BD53" s="370"/>
      <c r="BE53" s="370"/>
      <c r="BF53" s="370"/>
      <c r="BG53" s="370"/>
      <c r="BH53" s="370"/>
      <c r="BI53" s="370"/>
      <c r="BJ53" s="370"/>
      <c r="BK53" s="370"/>
      <c r="BL53" s="370"/>
      <c r="BM53" s="370"/>
      <c r="BO53" s="370"/>
      <c r="BP53" s="370"/>
      <c r="BQ53" s="370"/>
      <c r="BR53" s="370"/>
      <c r="BS53" s="370"/>
      <c r="BV53" s="508"/>
      <c r="BW53" s="369"/>
      <c r="BX53" s="370"/>
      <c r="BY53" s="370"/>
      <c r="BZ53" s="370"/>
      <c r="CA53" s="370"/>
      <c r="CB53" s="370"/>
      <c r="CC53" s="505"/>
      <c r="CD53" s="505"/>
      <c r="CE53" s="505"/>
      <c r="CF53" s="505"/>
    </row>
    <row r="54" customFormat="false" ht="12.75" hidden="false" customHeight="false" outlineLevel="0" collapsed="false">
      <c r="A54" s="500"/>
      <c r="B54" s="500"/>
      <c r="K54" s="363"/>
      <c r="L54" s="501"/>
      <c r="N54" s="502"/>
      <c r="O54" s="502"/>
      <c r="P54" s="371"/>
      <c r="Q54" s="501"/>
      <c r="R54" s="501"/>
      <c r="U54" s="501"/>
      <c r="V54" s="503"/>
      <c r="W54" s="503"/>
      <c r="X54" s="503"/>
      <c r="Y54" s="504"/>
      <c r="Z54" s="504"/>
      <c r="AA54" s="504"/>
      <c r="AB54" s="504"/>
      <c r="AC54" s="504"/>
      <c r="AF54" s="378"/>
      <c r="AG54" s="378"/>
      <c r="AH54" s="378"/>
      <c r="AI54" s="378"/>
      <c r="AL54" s="505"/>
      <c r="AM54" s="505"/>
      <c r="AN54" s="505"/>
      <c r="AO54" s="505"/>
      <c r="AQ54" s="370"/>
      <c r="AT54" s="370"/>
      <c r="AV54" s="134"/>
      <c r="AW54" s="370"/>
      <c r="AX54" s="370"/>
      <c r="AY54" s="370"/>
      <c r="AZ54" s="370"/>
      <c r="BA54" s="507"/>
      <c r="BB54" s="505"/>
      <c r="BC54" s="505"/>
      <c r="BD54" s="370"/>
      <c r="BE54" s="370"/>
      <c r="BF54" s="370"/>
      <c r="BG54" s="370"/>
      <c r="BH54" s="370"/>
      <c r="BI54" s="370"/>
      <c r="BJ54" s="370"/>
      <c r="BK54" s="370"/>
      <c r="BL54" s="370"/>
      <c r="BM54" s="370"/>
      <c r="BO54" s="370"/>
      <c r="BP54" s="370"/>
      <c r="BQ54" s="370"/>
      <c r="BR54" s="370"/>
      <c r="BS54" s="370"/>
      <c r="BV54" s="508"/>
      <c r="BW54" s="369"/>
      <c r="BX54" s="370"/>
      <c r="BY54" s="370"/>
      <c r="BZ54" s="370"/>
      <c r="CA54" s="370"/>
      <c r="CB54" s="370"/>
      <c r="CC54" s="505"/>
      <c r="CD54" s="505"/>
      <c r="CE54" s="505"/>
      <c r="CF54" s="505"/>
    </row>
    <row r="55" customFormat="false" ht="12.75" hidden="false" customHeight="false" outlineLevel="0" collapsed="false">
      <c r="A55" s="500"/>
      <c r="B55" s="500"/>
      <c r="K55" s="363"/>
      <c r="L55" s="501"/>
      <c r="N55" s="502"/>
      <c r="O55" s="502"/>
      <c r="P55" s="371"/>
      <c r="Q55" s="501"/>
      <c r="R55" s="501"/>
      <c r="U55" s="501"/>
      <c r="V55" s="503"/>
      <c r="W55" s="503"/>
      <c r="X55" s="503"/>
      <c r="Y55" s="504"/>
      <c r="Z55" s="504"/>
      <c r="AA55" s="504"/>
      <c r="AB55" s="504"/>
      <c r="AC55" s="504"/>
      <c r="AF55" s="378"/>
      <c r="AG55" s="378"/>
      <c r="AH55" s="378"/>
      <c r="AI55" s="378"/>
      <c r="AL55" s="505"/>
      <c r="AM55" s="505"/>
      <c r="AN55" s="505"/>
      <c r="AO55" s="505"/>
      <c r="AQ55" s="370"/>
      <c r="AT55" s="370"/>
      <c r="AV55" s="134"/>
      <c r="AW55" s="370"/>
      <c r="AX55" s="370"/>
      <c r="AY55" s="370"/>
      <c r="AZ55" s="370"/>
      <c r="BA55" s="507"/>
      <c r="BB55" s="505"/>
      <c r="BC55" s="505"/>
      <c r="BD55" s="370"/>
      <c r="BE55" s="370"/>
      <c r="BF55" s="370"/>
      <c r="BG55" s="370"/>
      <c r="BH55" s="370"/>
      <c r="BI55" s="370"/>
      <c r="BJ55" s="370"/>
      <c r="BK55" s="370"/>
      <c r="BL55" s="370"/>
      <c r="BM55" s="370"/>
      <c r="BO55" s="370"/>
      <c r="BP55" s="370"/>
      <c r="BQ55" s="370"/>
      <c r="BR55" s="370"/>
      <c r="BS55" s="370"/>
      <c r="BV55" s="508"/>
      <c r="BW55" s="369"/>
      <c r="BX55" s="370"/>
      <c r="BY55" s="370"/>
      <c r="BZ55" s="370"/>
      <c r="CA55" s="370"/>
      <c r="CB55" s="370"/>
      <c r="CC55" s="505"/>
      <c r="CD55" s="505"/>
      <c r="CE55" s="505"/>
      <c r="CF55" s="505"/>
    </row>
    <row r="56" customFormat="false" ht="12.75" hidden="false" customHeight="false" outlineLevel="0" collapsed="false">
      <c r="A56" s="500"/>
      <c r="B56" s="500"/>
      <c r="K56" s="363"/>
      <c r="L56" s="501"/>
      <c r="N56" s="502"/>
      <c r="O56" s="502"/>
      <c r="P56" s="371"/>
      <c r="Q56" s="501"/>
      <c r="R56" s="501"/>
      <c r="U56" s="501"/>
      <c r="V56" s="503"/>
      <c r="W56" s="503"/>
      <c r="X56" s="503"/>
      <c r="Y56" s="504"/>
      <c r="Z56" s="504"/>
      <c r="AA56" s="504"/>
      <c r="AB56" s="504"/>
      <c r="AC56" s="504"/>
      <c r="AF56" s="378"/>
      <c r="AG56" s="378"/>
      <c r="AH56" s="378"/>
      <c r="AI56" s="378"/>
      <c r="AL56" s="505"/>
      <c r="AM56" s="505"/>
      <c r="AN56" s="505"/>
      <c r="AO56" s="505"/>
      <c r="AQ56" s="370"/>
      <c r="AT56" s="370"/>
      <c r="AV56" s="134"/>
      <c r="AW56" s="370"/>
      <c r="AX56" s="370"/>
      <c r="AY56" s="370"/>
      <c r="AZ56" s="370"/>
      <c r="BA56" s="507"/>
      <c r="BB56" s="505"/>
      <c r="BC56" s="505"/>
      <c r="BD56" s="370"/>
      <c r="BE56" s="370"/>
      <c r="BF56" s="370"/>
      <c r="BG56" s="370"/>
      <c r="BH56" s="370"/>
      <c r="BI56" s="370"/>
      <c r="BJ56" s="370"/>
      <c r="BK56" s="370"/>
      <c r="BL56" s="370"/>
      <c r="BM56" s="370"/>
      <c r="BO56" s="370"/>
      <c r="BP56" s="370"/>
      <c r="BQ56" s="370"/>
      <c r="BR56" s="370"/>
      <c r="BS56" s="370"/>
      <c r="BV56" s="508"/>
      <c r="BW56" s="369"/>
      <c r="BX56" s="370"/>
      <c r="BY56" s="370"/>
      <c r="BZ56" s="370"/>
      <c r="CA56" s="370"/>
      <c r="CB56" s="370"/>
      <c r="CC56" s="505"/>
      <c r="CD56" s="505"/>
      <c r="CE56" s="505"/>
      <c r="CF56" s="505"/>
    </row>
    <row r="57" customFormat="false" ht="12.75" hidden="false" customHeight="false" outlineLevel="0" collapsed="false">
      <c r="A57" s="500"/>
      <c r="B57" s="500"/>
      <c r="K57" s="363"/>
      <c r="L57" s="501"/>
      <c r="N57" s="502"/>
      <c r="O57" s="502"/>
      <c r="P57" s="371"/>
      <c r="Q57" s="501"/>
      <c r="R57" s="501"/>
      <c r="U57" s="501"/>
      <c r="V57" s="503"/>
      <c r="W57" s="503"/>
      <c r="X57" s="503"/>
      <c r="Y57" s="504"/>
      <c r="Z57" s="504"/>
      <c r="AA57" s="504"/>
      <c r="AB57" s="504"/>
      <c r="AC57" s="504"/>
      <c r="AF57" s="378"/>
      <c r="AG57" s="378"/>
      <c r="AH57" s="378"/>
      <c r="AI57" s="378"/>
      <c r="AL57" s="505"/>
      <c r="AM57" s="505"/>
      <c r="AN57" s="505"/>
      <c r="AO57" s="505"/>
      <c r="AQ57" s="370"/>
      <c r="AT57" s="370"/>
      <c r="AV57" s="134"/>
      <c r="AW57" s="370"/>
      <c r="AX57" s="370"/>
      <c r="AY57" s="370"/>
      <c r="AZ57" s="370"/>
      <c r="BA57" s="507"/>
      <c r="BB57" s="505"/>
      <c r="BC57" s="505"/>
      <c r="BD57" s="370"/>
      <c r="BE57" s="370"/>
      <c r="BF57" s="370"/>
      <c r="BG57" s="370"/>
      <c r="BH57" s="370"/>
      <c r="BI57" s="370"/>
      <c r="BJ57" s="370"/>
      <c r="BK57" s="370"/>
      <c r="BL57" s="370"/>
      <c r="BM57" s="370"/>
      <c r="BO57" s="370"/>
      <c r="BP57" s="370"/>
      <c r="BQ57" s="370"/>
      <c r="BR57" s="370"/>
      <c r="BS57" s="370"/>
      <c r="BV57" s="508"/>
      <c r="BW57" s="369"/>
      <c r="BX57" s="370"/>
      <c r="BY57" s="370"/>
      <c r="BZ57" s="370"/>
      <c r="CA57" s="370"/>
      <c r="CB57" s="370"/>
      <c r="CC57" s="505"/>
      <c r="CD57" s="505"/>
      <c r="CE57" s="505"/>
      <c r="CF57" s="505"/>
    </row>
    <row r="58" customFormat="false" ht="12.75" hidden="false" customHeight="false" outlineLevel="0" collapsed="false">
      <c r="A58" s="500"/>
      <c r="B58" s="500"/>
      <c r="K58" s="363"/>
      <c r="L58" s="501"/>
      <c r="N58" s="502"/>
      <c r="O58" s="502"/>
      <c r="P58" s="371"/>
      <c r="Q58" s="501"/>
      <c r="R58" s="501"/>
      <c r="U58" s="501"/>
      <c r="V58" s="503"/>
      <c r="W58" s="503"/>
      <c r="X58" s="503"/>
      <c r="Y58" s="504"/>
      <c r="Z58" s="504"/>
      <c r="AA58" s="504"/>
      <c r="AB58" s="504"/>
      <c r="AC58" s="504"/>
      <c r="AF58" s="378"/>
      <c r="AG58" s="378"/>
      <c r="AH58" s="378"/>
      <c r="AI58" s="378"/>
      <c r="AL58" s="505"/>
      <c r="AM58" s="505"/>
      <c r="AN58" s="505"/>
      <c r="AO58" s="505"/>
      <c r="AQ58" s="370"/>
      <c r="AT58" s="370"/>
      <c r="AV58" s="134"/>
      <c r="AW58" s="370"/>
      <c r="AX58" s="370"/>
      <c r="AY58" s="370"/>
      <c r="AZ58" s="370"/>
      <c r="BA58" s="507"/>
      <c r="BB58" s="505"/>
      <c r="BC58" s="505"/>
      <c r="BD58" s="370"/>
      <c r="BE58" s="370"/>
      <c r="BF58" s="370"/>
      <c r="BG58" s="370"/>
      <c r="BH58" s="370"/>
      <c r="BI58" s="370"/>
      <c r="BJ58" s="370"/>
      <c r="BK58" s="370"/>
      <c r="BL58" s="370"/>
      <c r="BM58" s="370"/>
      <c r="BO58" s="370"/>
      <c r="BP58" s="370"/>
      <c r="BQ58" s="370"/>
      <c r="BR58" s="370"/>
      <c r="BS58" s="370"/>
      <c r="BV58" s="508"/>
      <c r="BW58" s="369"/>
      <c r="BX58" s="370"/>
      <c r="BY58" s="370"/>
      <c r="BZ58" s="370"/>
      <c r="CA58" s="370"/>
      <c r="CB58" s="370"/>
      <c r="CC58" s="505"/>
      <c r="CD58" s="505"/>
      <c r="CE58" s="505"/>
      <c r="CF58" s="505"/>
    </row>
    <row r="59" customFormat="false" ht="12.75" hidden="false" customHeight="false" outlineLevel="0" collapsed="false">
      <c r="A59" s="500"/>
      <c r="B59" s="500"/>
      <c r="K59" s="363"/>
      <c r="L59" s="501"/>
      <c r="N59" s="502"/>
      <c r="O59" s="502"/>
      <c r="P59" s="371"/>
      <c r="Q59" s="501"/>
      <c r="R59" s="501"/>
      <c r="U59" s="501"/>
      <c r="V59" s="503"/>
      <c r="W59" s="503"/>
      <c r="X59" s="503"/>
      <c r="Y59" s="504"/>
      <c r="Z59" s="504"/>
      <c r="AA59" s="504"/>
      <c r="AB59" s="504"/>
      <c r="AC59" s="504"/>
      <c r="AF59" s="378"/>
      <c r="AG59" s="378"/>
      <c r="AH59" s="378"/>
      <c r="AI59" s="378"/>
      <c r="AL59" s="505"/>
      <c r="AM59" s="505"/>
      <c r="AN59" s="505"/>
      <c r="AO59" s="505"/>
      <c r="AQ59" s="370"/>
      <c r="AT59" s="370"/>
      <c r="AV59" s="134"/>
      <c r="AW59" s="370"/>
      <c r="AX59" s="370"/>
      <c r="AY59" s="370"/>
      <c r="AZ59" s="370"/>
      <c r="BA59" s="507"/>
      <c r="BB59" s="505"/>
      <c r="BC59" s="505"/>
      <c r="BD59" s="370"/>
      <c r="BE59" s="370"/>
      <c r="BF59" s="370"/>
      <c r="BG59" s="370"/>
      <c r="BH59" s="370"/>
      <c r="BI59" s="370"/>
      <c r="BJ59" s="370"/>
      <c r="BK59" s="370"/>
      <c r="BL59" s="370"/>
      <c r="BM59" s="370"/>
      <c r="BO59" s="370"/>
      <c r="BP59" s="370"/>
      <c r="BQ59" s="370"/>
      <c r="BR59" s="370"/>
      <c r="BS59" s="370"/>
      <c r="BV59" s="508"/>
      <c r="BW59" s="369"/>
      <c r="BX59" s="370"/>
      <c r="BY59" s="370"/>
      <c r="BZ59" s="370"/>
      <c r="CA59" s="370"/>
      <c r="CB59" s="370"/>
      <c r="CC59" s="505"/>
      <c r="CD59" s="505"/>
      <c r="CE59" s="505"/>
      <c r="CF59" s="505"/>
    </row>
    <row r="60" customFormat="false" ht="12.75" hidden="false" customHeight="false" outlineLevel="0" collapsed="false">
      <c r="A60" s="500"/>
      <c r="B60" s="500"/>
      <c r="K60" s="363"/>
      <c r="L60" s="501"/>
      <c r="N60" s="502"/>
      <c r="O60" s="502"/>
      <c r="P60" s="371"/>
      <c r="Q60" s="501"/>
      <c r="R60" s="501"/>
      <c r="U60" s="501"/>
      <c r="V60" s="503"/>
      <c r="W60" s="503"/>
      <c r="X60" s="503"/>
      <c r="Y60" s="504"/>
      <c r="Z60" s="504"/>
      <c r="AA60" s="504"/>
      <c r="AB60" s="504"/>
      <c r="AC60" s="504"/>
      <c r="AF60" s="378"/>
      <c r="AG60" s="378"/>
      <c r="AH60" s="378"/>
      <c r="AI60" s="378"/>
      <c r="AL60" s="505"/>
      <c r="AM60" s="505"/>
      <c r="AN60" s="505"/>
      <c r="AO60" s="505"/>
      <c r="AQ60" s="370"/>
      <c r="AT60" s="370"/>
      <c r="AV60" s="134"/>
      <c r="AW60" s="370"/>
      <c r="AX60" s="370"/>
      <c r="AY60" s="370"/>
      <c r="AZ60" s="370"/>
      <c r="BA60" s="507"/>
      <c r="BB60" s="505"/>
      <c r="BC60" s="505"/>
      <c r="BD60" s="370"/>
      <c r="BE60" s="370"/>
      <c r="BF60" s="370"/>
      <c r="BG60" s="370"/>
      <c r="BH60" s="370"/>
      <c r="BI60" s="370"/>
      <c r="BJ60" s="370"/>
      <c r="BK60" s="370"/>
      <c r="BL60" s="370"/>
      <c r="BM60" s="370"/>
      <c r="BO60" s="370"/>
      <c r="BP60" s="370"/>
      <c r="BQ60" s="370"/>
      <c r="BR60" s="370"/>
      <c r="BS60" s="370"/>
      <c r="BV60" s="508"/>
      <c r="BW60" s="369"/>
      <c r="BX60" s="370"/>
      <c r="BY60" s="370"/>
      <c r="BZ60" s="370"/>
      <c r="CA60" s="370"/>
      <c r="CB60" s="370"/>
      <c r="CC60" s="505"/>
      <c r="CD60" s="505"/>
      <c r="CE60" s="505"/>
      <c r="CF60" s="505"/>
    </row>
    <row r="61" customFormat="false" ht="12.75" hidden="false" customHeight="false" outlineLevel="0" collapsed="false">
      <c r="A61" s="500"/>
      <c r="B61" s="500"/>
      <c r="K61" s="363"/>
      <c r="L61" s="501"/>
      <c r="N61" s="502"/>
      <c r="O61" s="502"/>
      <c r="P61" s="371"/>
      <c r="Q61" s="501"/>
      <c r="R61" s="501"/>
      <c r="U61" s="501"/>
      <c r="V61" s="503"/>
      <c r="W61" s="503"/>
      <c r="X61" s="503"/>
      <c r="Y61" s="504"/>
      <c r="Z61" s="504"/>
      <c r="AA61" s="504"/>
      <c r="AB61" s="504"/>
      <c r="AC61" s="504"/>
      <c r="AF61" s="378"/>
      <c r="AG61" s="378"/>
      <c r="AH61" s="378"/>
      <c r="AI61" s="378"/>
      <c r="AL61" s="505"/>
      <c r="AM61" s="505"/>
      <c r="AN61" s="505"/>
      <c r="AO61" s="505"/>
      <c r="AQ61" s="370"/>
      <c r="AT61" s="370"/>
      <c r="AV61" s="134"/>
      <c r="AW61" s="370"/>
      <c r="AX61" s="370"/>
      <c r="AY61" s="370"/>
      <c r="AZ61" s="370"/>
      <c r="BA61" s="507"/>
      <c r="BB61" s="505"/>
      <c r="BC61" s="505"/>
      <c r="BD61" s="370"/>
      <c r="BE61" s="370"/>
      <c r="BF61" s="370"/>
      <c r="BG61" s="370"/>
      <c r="BH61" s="370"/>
      <c r="BI61" s="370"/>
      <c r="BJ61" s="370"/>
      <c r="BK61" s="370"/>
      <c r="BL61" s="370"/>
      <c r="BM61" s="370"/>
      <c r="BO61" s="370"/>
      <c r="BP61" s="370"/>
      <c r="BQ61" s="370"/>
      <c r="BR61" s="370"/>
      <c r="BS61" s="370"/>
      <c r="BV61" s="508"/>
      <c r="BW61" s="369"/>
      <c r="BX61" s="370"/>
      <c r="BY61" s="370"/>
      <c r="BZ61" s="370"/>
      <c r="CA61" s="370"/>
      <c r="CB61" s="370"/>
      <c r="CC61" s="505"/>
      <c r="CD61" s="505"/>
      <c r="CE61" s="505"/>
      <c r="CF61" s="505"/>
    </row>
    <row r="62" customFormat="false" ht="12.75" hidden="false" customHeight="false" outlineLevel="0" collapsed="false">
      <c r="A62" s="500"/>
      <c r="B62" s="500"/>
      <c r="K62" s="363"/>
      <c r="L62" s="501"/>
      <c r="N62" s="502"/>
      <c r="O62" s="502"/>
      <c r="P62" s="371"/>
      <c r="Q62" s="501"/>
      <c r="R62" s="501"/>
      <c r="U62" s="501"/>
      <c r="V62" s="503"/>
      <c r="W62" s="503"/>
      <c r="X62" s="503"/>
      <c r="Y62" s="504"/>
      <c r="Z62" s="504"/>
      <c r="AA62" s="504"/>
      <c r="AB62" s="504"/>
      <c r="AC62" s="504"/>
      <c r="AF62" s="378"/>
      <c r="AG62" s="378"/>
      <c r="AH62" s="378"/>
      <c r="AI62" s="378"/>
      <c r="AL62" s="505"/>
      <c r="AM62" s="505"/>
      <c r="AN62" s="505"/>
      <c r="AO62" s="505"/>
      <c r="AQ62" s="370"/>
      <c r="AT62" s="370"/>
      <c r="AV62" s="134"/>
      <c r="AW62" s="370"/>
      <c r="AX62" s="370"/>
      <c r="AY62" s="370"/>
      <c r="AZ62" s="370"/>
      <c r="BA62" s="507"/>
      <c r="BB62" s="505"/>
      <c r="BC62" s="505"/>
      <c r="BD62" s="370"/>
      <c r="BE62" s="370"/>
      <c r="BF62" s="370"/>
      <c r="BG62" s="370"/>
      <c r="BH62" s="370"/>
      <c r="BI62" s="370"/>
      <c r="BJ62" s="370"/>
      <c r="BK62" s="370"/>
      <c r="BL62" s="370"/>
      <c r="BM62" s="370"/>
      <c r="BO62" s="370"/>
      <c r="BP62" s="370"/>
      <c r="BQ62" s="370"/>
      <c r="BR62" s="370"/>
      <c r="BS62" s="370"/>
      <c r="BV62" s="508"/>
      <c r="BW62" s="369"/>
      <c r="BX62" s="370"/>
      <c r="BY62" s="370"/>
      <c r="BZ62" s="370"/>
      <c r="CA62" s="370"/>
      <c r="CB62" s="370"/>
      <c r="CC62" s="505"/>
      <c r="CD62" s="505"/>
      <c r="CE62" s="505"/>
      <c r="CF62" s="505"/>
    </row>
    <row r="63" customFormat="false" ht="12.75" hidden="false" customHeight="false" outlineLevel="0" collapsed="false">
      <c r="A63" s="500"/>
      <c r="B63" s="500"/>
      <c r="K63" s="363"/>
      <c r="L63" s="501"/>
      <c r="N63" s="502"/>
      <c r="O63" s="502"/>
      <c r="P63" s="371"/>
      <c r="Q63" s="501"/>
      <c r="R63" s="501"/>
      <c r="U63" s="501"/>
      <c r="V63" s="503"/>
      <c r="W63" s="503"/>
      <c r="X63" s="503"/>
      <c r="Y63" s="504"/>
      <c r="Z63" s="504"/>
      <c r="AA63" s="504"/>
      <c r="AB63" s="504"/>
      <c r="AC63" s="504"/>
      <c r="AF63" s="378"/>
      <c r="AG63" s="378"/>
      <c r="AH63" s="378"/>
      <c r="AI63" s="378"/>
      <c r="AL63" s="505"/>
      <c r="AM63" s="505"/>
      <c r="AN63" s="505"/>
      <c r="AO63" s="505"/>
      <c r="AQ63" s="370"/>
      <c r="AT63" s="370"/>
      <c r="AV63" s="134"/>
      <c r="AW63" s="370"/>
      <c r="AX63" s="370"/>
      <c r="AY63" s="370"/>
      <c r="AZ63" s="370"/>
      <c r="BA63" s="507"/>
      <c r="BB63" s="505"/>
      <c r="BC63" s="505"/>
      <c r="BD63" s="370"/>
      <c r="BE63" s="370"/>
      <c r="BF63" s="370"/>
      <c r="BG63" s="370"/>
      <c r="BH63" s="370"/>
      <c r="BI63" s="370"/>
      <c r="BJ63" s="370"/>
      <c r="BK63" s="370"/>
      <c r="BL63" s="370"/>
      <c r="BM63" s="370"/>
      <c r="BO63" s="370"/>
      <c r="BP63" s="370"/>
      <c r="BQ63" s="370"/>
      <c r="BR63" s="370"/>
      <c r="BS63" s="370"/>
      <c r="BV63" s="508"/>
      <c r="BW63" s="369"/>
      <c r="BX63" s="370"/>
      <c r="BY63" s="370"/>
      <c r="BZ63" s="370"/>
      <c r="CA63" s="370"/>
      <c r="CB63" s="370"/>
      <c r="CC63" s="505"/>
      <c r="CD63" s="505"/>
      <c r="CE63" s="505"/>
      <c r="CF63" s="505"/>
    </row>
    <row r="64" customFormat="false" ht="12.75" hidden="false" customHeight="false" outlineLevel="0" collapsed="false">
      <c r="A64" s="500"/>
      <c r="B64" s="500"/>
      <c r="K64" s="363"/>
      <c r="L64" s="501"/>
      <c r="N64" s="502"/>
      <c r="O64" s="502"/>
      <c r="P64" s="371"/>
      <c r="Q64" s="501"/>
      <c r="R64" s="501"/>
      <c r="U64" s="501"/>
      <c r="V64" s="503"/>
      <c r="W64" s="503"/>
      <c r="X64" s="503"/>
      <c r="Y64" s="504"/>
      <c r="Z64" s="504"/>
      <c r="AA64" s="504"/>
      <c r="AB64" s="504"/>
      <c r="AC64" s="504"/>
      <c r="AF64" s="378"/>
      <c r="AG64" s="378"/>
      <c r="AH64" s="378"/>
      <c r="AI64" s="378"/>
      <c r="AL64" s="505"/>
      <c r="AM64" s="505"/>
      <c r="AN64" s="505"/>
      <c r="AO64" s="505"/>
      <c r="AQ64" s="370"/>
      <c r="AT64" s="370"/>
      <c r="AV64" s="134"/>
      <c r="AW64" s="370"/>
      <c r="AX64" s="370"/>
      <c r="AY64" s="370"/>
      <c r="AZ64" s="370"/>
      <c r="BA64" s="507"/>
      <c r="BB64" s="505"/>
      <c r="BC64" s="505"/>
      <c r="BD64" s="370"/>
      <c r="BE64" s="370"/>
      <c r="BF64" s="370"/>
      <c r="BG64" s="370"/>
      <c r="BH64" s="370"/>
      <c r="BI64" s="370"/>
      <c r="BJ64" s="370"/>
      <c r="BK64" s="370"/>
      <c r="BL64" s="370"/>
      <c r="BM64" s="370"/>
      <c r="BO64" s="370"/>
      <c r="BP64" s="370"/>
      <c r="BQ64" s="370"/>
      <c r="BR64" s="370"/>
      <c r="BS64" s="370"/>
      <c r="BV64" s="508"/>
      <c r="BW64" s="369"/>
      <c r="BX64" s="370"/>
      <c r="BY64" s="370"/>
      <c r="BZ64" s="370"/>
      <c r="CA64" s="370"/>
      <c r="CB64" s="370"/>
      <c r="CC64" s="505"/>
      <c r="CD64" s="505"/>
      <c r="CE64" s="505"/>
      <c r="CF64" s="505"/>
    </row>
    <row r="65" customFormat="false" ht="12.75" hidden="false" customHeight="false" outlineLevel="0" collapsed="false">
      <c r="A65" s="500"/>
      <c r="B65" s="500"/>
      <c r="K65" s="363"/>
      <c r="L65" s="501"/>
      <c r="N65" s="502"/>
      <c r="O65" s="502"/>
      <c r="P65" s="371"/>
      <c r="Q65" s="501"/>
      <c r="R65" s="501"/>
      <c r="U65" s="501"/>
      <c r="V65" s="503"/>
      <c r="W65" s="503"/>
      <c r="X65" s="503"/>
      <c r="Y65" s="504"/>
      <c r="Z65" s="504"/>
      <c r="AA65" s="504"/>
      <c r="AB65" s="504"/>
      <c r="AC65" s="504"/>
      <c r="AF65" s="378"/>
      <c r="AG65" s="378"/>
      <c r="AH65" s="378"/>
      <c r="AI65" s="378"/>
      <c r="AL65" s="505"/>
      <c r="AM65" s="505"/>
      <c r="AN65" s="505"/>
      <c r="AO65" s="505"/>
      <c r="AQ65" s="370"/>
      <c r="AT65" s="370"/>
      <c r="AV65" s="134"/>
      <c r="AW65" s="370"/>
      <c r="AX65" s="370"/>
      <c r="AY65" s="370"/>
      <c r="AZ65" s="370"/>
      <c r="BA65" s="507"/>
      <c r="BB65" s="505"/>
      <c r="BC65" s="505"/>
      <c r="BD65" s="370"/>
      <c r="BE65" s="370"/>
      <c r="BF65" s="370"/>
      <c r="BG65" s="370"/>
      <c r="BH65" s="370"/>
      <c r="BI65" s="370"/>
      <c r="BJ65" s="370"/>
      <c r="BK65" s="370"/>
      <c r="BL65" s="370"/>
      <c r="BM65" s="370"/>
      <c r="BO65" s="370"/>
      <c r="BP65" s="370"/>
      <c r="BQ65" s="370"/>
      <c r="BR65" s="370"/>
      <c r="BS65" s="370"/>
      <c r="BV65" s="508"/>
      <c r="BW65" s="369"/>
      <c r="BX65" s="370"/>
      <c r="BY65" s="370"/>
      <c r="BZ65" s="370"/>
      <c r="CA65" s="370"/>
      <c r="CB65" s="370"/>
      <c r="CC65" s="505"/>
      <c r="CD65" s="505"/>
      <c r="CE65" s="505"/>
      <c r="CF65" s="505"/>
    </row>
    <row r="66" customFormat="false" ht="12.75" hidden="false" customHeight="false" outlineLevel="0" collapsed="false">
      <c r="A66" s="500"/>
      <c r="B66" s="500"/>
      <c r="K66" s="363"/>
      <c r="L66" s="501"/>
      <c r="N66" s="502"/>
      <c r="O66" s="502"/>
      <c r="P66" s="371"/>
      <c r="Q66" s="501"/>
      <c r="R66" s="501"/>
      <c r="U66" s="501"/>
      <c r="V66" s="503"/>
      <c r="W66" s="503"/>
      <c r="X66" s="503"/>
      <c r="Y66" s="504"/>
      <c r="Z66" s="504"/>
      <c r="AA66" s="504"/>
      <c r="AB66" s="504"/>
      <c r="AC66" s="504"/>
      <c r="AF66" s="378"/>
      <c r="AG66" s="378"/>
      <c r="AH66" s="378"/>
      <c r="AI66" s="378"/>
      <c r="AL66" s="505"/>
      <c r="AM66" s="505"/>
      <c r="AN66" s="505"/>
      <c r="AO66" s="505"/>
      <c r="AQ66" s="370"/>
      <c r="AT66" s="370"/>
      <c r="AV66" s="134"/>
      <c r="AW66" s="370"/>
      <c r="AX66" s="370"/>
      <c r="AY66" s="370"/>
      <c r="AZ66" s="370"/>
      <c r="BA66" s="507"/>
      <c r="BB66" s="505"/>
      <c r="BC66" s="505"/>
      <c r="BD66" s="370"/>
      <c r="BE66" s="370"/>
      <c r="BF66" s="370"/>
      <c r="BG66" s="370"/>
      <c r="BH66" s="370"/>
      <c r="BI66" s="370"/>
      <c r="BJ66" s="370"/>
      <c r="BK66" s="370"/>
      <c r="BL66" s="370"/>
      <c r="BM66" s="370"/>
      <c r="BO66" s="370"/>
      <c r="BP66" s="370"/>
      <c r="BQ66" s="370"/>
      <c r="BR66" s="370"/>
      <c r="BS66" s="370"/>
      <c r="BV66" s="508"/>
      <c r="BW66" s="369"/>
      <c r="BX66" s="370"/>
      <c r="BY66" s="370"/>
      <c r="BZ66" s="370"/>
      <c r="CA66" s="370"/>
      <c r="CB66" s="370"/>
      <c r="CC66" s="505"/>
      <c r="CD66" s="505"/>
      <c r="CE66" s="505"/>
      <c r="CF66" s="505"/>
    </row>
    <row r="67" customFormat="false" ht="12.75" hidden="false" customHeight="false" outlineLevel="0" collapsed="false">
      <c r="A67" s="500"/>
      <c r="B67" s="500"/>
      <c r="K67" s="363"/>
      <c r="L67" s="501"/>
      <c r="N67" s="502"/>
      <c r="O67" s="502"/>
      <c r="P67" s="371"/>
      <c r="Q67" s="501"/>
      <c r="R67" s="501"/>
      <c r="U67" s="501"/>
      <c r="V67" s="503"/>
      <c r="W67" s="503"/>
      <c r="X67" s="503"/>
      <c r="Y67" s="504"/>
      <c r="Z67" s="504"/>
      <c r="AA67" s="504"/>
      <c r="AB67" s="504"/>
      <c r="AC67" s="504"/>
      <c r="AF67" s="378"/>
      <c r="AG67" s="378"/>
      <c r="AH67" s="378"/>
      <c r="AI67" s="378"/>
      <c r="AL67" s="505"/>
      <c r="AM67" s="505"/>
      <c r="AN67" s="505"/>
      <c r="AO67" s="505"/>
      <c r="AQ67" s="370"/>
      <c r="AT67" s="370"/>
      <c r="AV67" s="134"/>
      <c r="AW67" s="370"/>
      <c r="AX67" s="370"/>
      <c r="AY67" s="370"/>
      <c r="AZ67" s="370"/>
      <c r="BA67" s="507"/>
      <c r="BB67" s="505"/>
      <c r="BC67" s="505"/>
      <c r="BD67" s="370"/>
      <c r="BE67" s="370"/>
      <c r="BF67" s="370"/>
      <c r="BG67" s="370"/>
      <c r="BH67" s="370"/>
      <c r="BI67" s="370"/>
      <c r="BJ67" s="370"/>
      <c r="BK67" s="370"/>
      <c r="BL67" s="370"/>
      <c r="BM67" s="370"/>
      <c r="BO67" s="370"/>
      <c r="BP67" s="370"/>
      <c r="BQ67" s="370"/>
      <c r="BR67" s="370"/>
      <c r="BS67" s="370"/>
      <c r="BV67" s="508"/>
      <c r="BW67" s="369"/>
      <c r="BX67" s="370"/>
      <c r="BY67" s="370"/>
      <c r="BZ67" s="370"/>
      <c r="CA67" s="370"/>
      <c r="CB67" s="370"/>
      <c r="CC67" s="505"/>
      <c r="CD67" s="505"/>
      <c r="CE67" s="505"/>
      <c r="CF67" s="505"/>
    </row>
    <row r="68" customFormat="false" ht="12.75" hidden="false" customHeight="false" outlineLevel="0" collapsed="false">
      <c r="A68" s="500"/>
      <c r="B68" s="500"/>
      <c r="K68" s="363"/>
      <c r="L68" s="501"/>
      <c r="N68" s="502"/>
      <c r="O68" s="502"/>
      <c r="P68" s="371"/>
      <c r="Q68" s="501"/>
      <c r="R68" s="501"/>
      <c r="U68" s="501"/>
      <c r="V68" s="503"/>
      <c r="W68" s="503"/>
      <c r="X68" s="503"/>
      <c r="Y68" s="504"/>
      <c r="Z68" s="504"/>
      <c r="AA68" s="504"/>
      <c r="AB68" s="504"/>
      <c r="AC68" s="504"/>
      <c r="AF68" s="378"/>
      <c r="AG68" s="378"/>
      <c r="AH68" s="378"/>
      <c r="AI68" s="378"/>
      <c r="AL68" s="505"/>
      <c r="AM68" s="505"/>
      <c r="AN68" s="505"/>
      <c r="AO68" s="505"/>
      <c r="AQ68" s="370"/>
      <c r="AT68" s="370"/>
      <c r="AV68" s="134"/>
      <c r="AW68" s="370"/>
      <c r="AX68" s="370"/>
      <c r="AY68" s="370"/>
      <c r="AZ68" s="370"/>
      <c r="BA68" s="507"/>
      <c r="BB68" s="505"/>
      <c r="BC68" s="505"/>
      <c r="BD68" s="370"/>
      <c r="BE68" s="370"/>
      <c r="BF68" s="370"/>
      <c r="BG68" s="370"/>
      <c r="BH68" s="370"/>
      <c r="BI68" s="370"/>
      <c r="BJ68" s="370"/>
      <c r="BK68" s="370"/>
      <c r="BL68" s="370"/>
      <c r="BM68" s="370"/>
      <c r="BO68" s="370"/>
      <c r="BP68" s="370"/>
      <c r="BQ68" s="370"/>
      <c r="BR68" s="370"/>
      <c r="BS68" s="370"/>
      <c r="BV68" s="508"/>
      <c r="BW68" s="369"/>
      <c r="BX68" s="370"/>
      <c r="BY68" s="370"/>
      <c r="BZ68" s="370"/>
      <c r="CA68" s="370"/>
      <c r="CB68" s="370"/>
      <c r="CC68" s="505"/>
      <c r="CD68" s="505"/>
      <c r="CE68" s="505"/>
      <c r="CF68" s="505"/>
    </row>
    <row r="69" customFormat="false" ht="12.75" hidden="false" customHeight="false" outlineLevel="0" collapsed="false">
      <c r="A69" s="500"/>
      <c r="B69" s="500"/>
      <c r="K69" s="363"/>
      <c r="L69" s="501"/>
      <c r="N69" s="502"/>
      <c r="O69" s="502"/>
      <c r="P69" s="371"/>
      <c r="Q69" s="501"/>
      <c r="R69" s="501"/>
      <c r="U69" s="501"/>
      <c r="V69" s="503"/>
      <c r="W69" s="503"/>
      <c r="X69" s="503"/>
      <c r="Y69" s="504"/>
      <c r="Z69" s="504"/>
      <c r="AA69" s="504"/>
      <c r="AB69" s="504"/>
      <c r="AC69" s="504"/>
      <c r="AF69" s="378"/>
      <c r="AG69" s="378"/>
      <c r="AH69" s="378"/>
      <c r="AI69" s="378"/>
      <c r="AL69" s="505"/>
      <c r="AM69" s="505"/>
      <c r="AN69" s="505"/>
      <c r="AO69" s="505"/>
      <c r="AQ69" s="370"/>
      <c r="AT69" s="370"/>
      <c r="AV69" s="134"/>
      <c r="AW69" s="370"/>
      <c r="AX69" s="370"/>
      <c r="AY69" s="370"/>
      <c r="AZ69" s="370"/>
      <c r="BA69" s="507"/>
      <c r="BB69" s="505"/>
      <c r="BC69" s="505"/>
      <c r="BD69" s="370"/>
      <c r="BE69" s="370"/>
      <c r="BF69" s="370"/>
      <c r="BG69" s="370"/>
      <c r="BH69" s="370"/>
      <c r="BI69" s="370"/>
      <c r="BJ69" s="370"/>
      <c r="BK69" s="370"/>
      <c r="BL69" s="370"/>
      <c r="BM69" s="370"/>
      <c r="BO69" s="370"/>
      <c r="BP69" s="370"/>
      <c r="BQ69" s="370"/>
      <c r="BR69" s="370"/>
      <c r="BS69" s="370"/>
      <c r="BV69" s="508"/>
      <c r="BW69" s="369"/>
      <c r="BX69" s="370"/>
      <c r="BY69" s="370"/>
      <c r="BZ69" s="370"/>
      <c r="CA69" s="370"/>
      <c r="CB69" s="370"/>
      <c r="CC69" s="505"/>
      <c r="CD69" s="505"/>
      <c r="CE69" s="505"/>
      <c r="CF69" s="505"/>
    </row>
    <row r="70" customFormat="false" ht="12.75" hidden="false" customHeight="false" outlineLevel="0" collapsed="false">
      <c r="A70" s="500"/>
      <c r="B70" s="500"/>
      <c r="K70" s="363"/>
      <c r="L70" s="501"/>
      <c r="N70" s="502"/>
      <c r="O70" s="502"/>
      <c r="P70" s="371"/>
      <c r="Q70" s="501"/>
      <c r="R70" s="501"/>
      <c r="U70" s="501"/>
      <c r="V70" s="503"/>
      <c r="W70" s="503"/>
      <c r="X70" s="503"/>
      <c r="Y70" s="504"/>
      <c r="Z70" s="504"/>
      <c r="AA70" s="504"/>
      <c r="AB70" s="504"/>
      <c r="AC70" s="504"/>
      <c r="AF70" s="378"/>
      <c r="AG70" s="378"/>
      <c r="AH70" s="378"/>
      <c r="AI70" s="378"/>
      <c r="AL70" s="505"/>
      <c r="AM70" s="505"/>
      <c r="AN70" s="505"/>
      <c r="AO70" s="505"/>
      <c r="AQ70" s="370"/>
      <c r="AT70" s="370"/>
      <c r="AV70" s="134"/>
      <c r="AW70" s="370"/>
      <c r="AX70" s="370"/>
      <c r="AY70" s="370"/>
      <c r="AZ70" s="370"/>
      <c r="BA70" s="507"/>
      <c r="BB70" s="505"/>
      <c r="BC70" s="505"/>
      <c r="BD70" s="370"/>
      <c r="BE70" s="370"/>
      <c r="BF70" s="370"/>
      <c r="BG70" s="370"/>
      <c r="BH70" s="370"/>
      <c r="BI70" s="370"/>
      <c r="BJ70" s="370"/>
      <c r="BK70" s="370"/>
      <c r="BL70" s="370"/>
      <c r="BM70" s="370"/>
      <c r="BO70" s="370"/>
      <c r="BP70" s="370"/>
      <c r="BQ70" s="370"/>
      <c r="BR70" s="370"/>
      <c r="BS70" s="370"/>
      <c r="BV70" s="508"/>
      <c r="BW70" s="369"/>
      <c r="BX70" s="370"/>
      <c r="BY70" s="370"/>
      <c r="BZ70" s="370"/>
      <c r="CA70" s="370"/>
      <c r="CB70" s="370"/>
      <c r="CC70" s="505"/>
      <c r="CD70" s="505"/>
      <c r="CE70" s="505"/>
      <c r="CF70" s="505"/>
    </row>
    <row r="71" customFormat="false" ht="12.75" hidden="false" customHeight="false" outlineLevel="0" collapsed="false">
      <c r="A71" s="500"/>
      <c r="B71" s="500"/>
      <c r="K71" s="363"/>
      <c r="L71" s="501"/>
      <c r="N71" s="502"/>
      <c r="O71" s="502"/>
      <c r="P71" s="371"/>
      <c r="Q71" s="501"/>
      <c r="R71" s="501"/>
      <c r="U71" s="501"/>
      <c r="V71" s="503"/>
      <c r="W71" s="503"/>
      <c r="X71" s="503"/>
      <c r="Y71" s="504"/>
      <c r="Z71" s="504"/>
      <c r="AA71" s="504"/>
      <c r="AB71" s="504"/>
      <c r="AC71" s="504"/>
      <c r="AF71" s="378"/>
      <c r="AG71" s="378"/>
      <c r="AH71" s="378"/>
      <c r="AI71" s="378"/>
      <c r="AL71" s="505"/>
      <c r="AM71" s="505"/>
      <c r="AN71" s="505"/>
      <c r="AO71" s="505"/>
      <c r="AQ71" s="370"/>
      <c r="AT71" s="370"/>
      <c r="AV71" s="134"/>
      <c r="AW71" s="370"/>
      <c r="AX71" s="370"/>
      <c r="AY71" s="370"/>
      <c r="AZ71" s="370"/>
      <c r="BA71" s="507"/>
      <c r="BB71" s="505"/>
      <c r="BC71" s="505"/>
      <c r="BD71" s="370"/>
      <c r="BE71" s="370"/>
      <c r="BF71" s="370"/>
      <c r="BG71" s="370"/>
      <c r="BH71" s="370"/>
      <c r="BI71" s="370"/>
      <c r="BJ71" s="370"/>
      <c r="BK71" s="370"/>
      <c r="BL71" s="370"/>
      <c r="BM71" s="370"/>
      <c r="BO71" s="370"/>
      <c r="BP71" s="370"/>
      <c r="BQ71" s="370"/>
      <c r="BR71" s="370"/>
      <c r="BS71" s="370"/>
      <c r="BV71" s="508"/>
      <c r="BW71" s="369"/>
      <c r="BX71" s="370"/>
      <c r="BY71" s="370"/>
      <c r="BZ71" s="370"/>
      <c r="CA71" s="370"/>
      <c r="CB71" s="370"/>
      <c r="CC71" s="505"/>
      <c r="CD71" s="505"/>
      <c r="CE71" s="505"/>
      <c r="CF71" s="505"/>
    </row>
    <row r="72" customFormat="false" ht="12.75" hidden="false" customHeight="false" outlineLevel="0" collapsed="false">
      <c r="A72" s="500"/>
      <c r="B72" s="500"/>
      <c r="K72" s="363"/>
      <c r="L72" s="501"/>
      <c r="N72" s="502"/>
      <c r="O72" s="502"/>
      <c r="P72" s="371"/>
      <c r="Q72" s="501"/>
      <c r="R72" s="501"/>
      <c r="U72" s="501"/>
      <c r="V72" s="503"/>
      <c r="W72" s="503"/>
      <c r="X72" s="503"/>
      <c r="Y72" s="504"/>
      <c r="Z72" s="504"/>
      <c r="AA72" s="504"/>
      <c r="AB72" s="504"/>
      <c r="AC72" s="504"/>
      <c r="AF72" s="378"/>
      <c r="AG72" s="378"/>
      <c r="AH72" s="378"/>
      <c r="AI72" s="378"/>
      <c r="AL72" s="505"/>
      <c r="AM72" s="505"/>
      <c r="AN72" s="505"/>
      <c r="AO72" s="505"/>
      <c r="AQ72" s="370"/>
      <c r="AT72" s="370"/>
      <c r="AV72" s="134"/>
      <c r="AW72" s="370"/>
      <c r="AX72" s="370"/>
      <c r="AY72" s="370"/>
      <c r="AZ72" s="370"/>
      <c r="BA72" s="507"/>
      <c r="BB72" s="505"/>
      <c r="BC72" s="505"/>
      <c r="BD72" s="370"/>
      <c r="BE72" s="370"/>
      <c r="BF72" s="370"/>
      <c r="BG72" s="370"/>
      <c r="BH72" s="370"/>
      <c r="BI72" s="370"/>
      <c r="BJ72" s="370"/>
      <c r="BK72" s="370"/>
      <c r="BL72" s="370"/>
      <c r="BM72" s="370"/>
      <c r="BO72" s="370"/>
      <c r="BP72" s="370"/>
      <c r="BQ72" s="370"/>
      <c r="BR72" s="370"/>
      <c r="BS72" s="370"/>
      <c r="BV72" s="508"/>
      <c r="BW72" s="369"/>
      <c r="BX72" s="370"/>
      <c r="BY72" s="370"/>
      <c r="BZ72" s="370"/>
      <c r="CA72" s="370"/>
      <c r="CB72" s="370"/>
      <c r="CC72" s="505"/>
      <c r="CD72" s="505"/>
      <c r="CE72" s="505"/>
      <c r="CF72" s="505"/>
    </row>
    <row r="73" customFormat="false" ht="12.75" hidden="false" customHeight="false" outlineLevel="0" collapsed="false">
      <c r="A73" s="500"/>
      <c r="B73" s="500"/>
      <c r="K73" s="363"/>
      <c r="L73" s="501"/>
      <c r="N73" s="502"/>
      <c r="O73" s="502"/>
      <c r="P73" s="371"/>
      <c r="Q73" s="501"/>
      <c r="R73" s="501"/>
      <c r="U73" s="501"/>
      <c r="V73" s="503"/>
      <c r="W73" s="503"/>
      <c r="X73" s="503"/>
      <c r="Y73" s="504"/>
      <c r="Z73" s="504"/>
      <c r="AA73" s="504"/>
      <c r="AB73" s="504"/>
      <c r="AC73" s="504"/>
      <c r="AF73" s="378"/>
      <c r="AG73" s="378"/>
      <c r="AH73" s="378"/>
      <c r="AI73" s="378"/>
      <c r="AL73" s="505"/>
      <c r="AM73" s="505"/>
      <c r="AN73" s="505"/>
      <c r="AO73" s="505"/>
      <c r="AQ73" s="370"/>
      <c r="AT73" s="370"/>
      <c r="AV73" s="134"/>
      <c r="AW73" s="370"/>
      <c r="AX73" s="370"/>
      <c r="AY73" s="370"/>
      <c r="AZ73" s="370"/>
      <c r="BA73" s="507"/>
      <c r="BB73" s="505"/>
      <c r="BC73" s="505"/>
      <c r="BD73" s="370"/>
      <c r="BE73" s="370"/>
      <c r="BF73" s="370"/>
      <c r="BG73" s="370"/>
      <c r="BH73" s="370"/>
      <c r="BI73" s="370"/>
      <c r="BJ73" s="370"/>
      <c r="BK73" s="370"/>
      <c r="BL73" s="370"/>
      <c r="BM73" s="370"/>
      <c r="BO73" s="370"/>
      <c r="BP73" s="370"/>
      <c r="BQ73" s="370"/>
      <c r="BR73" s="370"/>
      <c r="BS73" s="370"/>
      <c r="BV73" s="508"/>
      <c r="BW73" s="369"/>
      <c r="BX73" s="370"/>
      <c r="BY73" s="370"/>
      <c r="BZ73" s="370"/>
      <c r="CA73" s="370"/>
      <c r="CB73" s="370"/>
      <c r="CC73" s="505"/>
      <c r="CD73" s="505"/>
      <c r="CE73" s="505"/>
      <c r="CF73" s="505"/>
    </row>
    <row r="74" customFormat="false" ht="12.75" hidden="false" customHeight="false" outlineLevel="0" collapsed="false">
      <c r="A74" s="500"/>
      <c r="B74" s="500"/>
      <c r="K74" s="363"/>
      <c r="L74" s="501"/>
      <c r="N74" s="502"/>
      <c r="O74" s="502"/>
      <c r="P74" s="371"/>
      <c r="Q74" s="501"/>
      <c r="R74" s="501"/>
      <c r="U74" s="501"/>
      <c r="V74" s="503"/>
      <c r="W74" s="503"/>
      <c r="X74" s="503"/>
      <c r="Y74" s="504"/>
      <c r="Z74" s="504"/>
      <c r="AA74" s="504"/>
      <c r="AB74" s="504"/>
      <c r="AC74" s="504"/>
      <c r="AF74" s="378"/>
      <c r="AG74" s="378"/>
      <c r="AH74" s="378"/>
      <c r="AI74" s="378"/>
      <c r="AL74" s="505"/>
      <c r="AM74" s="505"/>
      <c r="AN74" s="505"/>
      <c r="AO74" s="505"/>
      <c r="AQ74" s="370"/>
      <c r="AT74" s="370"/>
      <c r="AV74" s="134"/>
      <c r="AW74" s="370"/>
      <c r="AX74" s="370"/>
      <c r="AY74" s="370"/>
      <c r="AZ74" s="370"/>
      <c r="BA74" s="507"/>
      <c r="BB74" s="505"/>
      <c r="BC74" s="505"/>
      <c r="BD74" s="370"/>
      <c r="BE74" s="370"/>
      <c r="BF74" s="370"/>
      <c r="BG74" s="370"/>
      <c r="BH74" s="370"/>
      <c r="BI74" s="370"/>
      <c r="BJ74" s="370"/>
      <c r="BK74" s="370"/>
      <c r="BL74" s="370"/>
      <c r="BM74" s="370"/>
      <c r="BO74" s="370"/>
      <c r="BP74" s="370"/>
      <c r="BQ74" s="370"/>
      <c r="BR74" s="370"/>
      <c r="BS74" s="370"/>
      <c r="BV74" s="508"/>
      <c r="BW74" s="369"/>
      <c r="BX74" s="370"/>
      <c r="BY74" s="370"/>
      <c r="BZ74" s="370"/>
      <c r="CA74" s="370"/>
      <c r="CB74" s="370"/>
      <c r="CC74" s="505"/>
      <c r="CD74" s="505"/>
      <c r="CE74" s="505"/>
      <c r="CF74" s="505"/>
    </row>
    <row r="75" customFormat="false" ht="12.75" hidden="false" customHeight="false" outlineLevel="0" collapsed="false">
      <c r="A75" s="500"/>
      <c r="B75" s="500"/>
      <c r="K75" s="363"/>
      <c r="L75" s="501"/>
      <c r="N75" s="502"/>
      <c r="O75" s="502"/>
      <c r="P75" s="371"/>
      <c r="Q75" s="501"/>
      <c r="R75" s="501"/>
      <c r="U75" s="501"/>
      <c r="V75" s="503"/>
      <c r="W75" s="503"/>
      <c r="X75" s="503"/>
      <c r="Y75" s="504"/>
      <c r="Z75" s="504"/>
      <c r="AA75" s="504"/>
      <c r="AB75" s="504"/>
      <c r="AC75" s="504"/>
      <c r="AF75" s="378"/>
      <c r="AG75" s="378"/>
      <c r="AH75" s="378"/>
      <c r="AI75" s="378"/>
      <c r="AL75" s="505"/>
      <c r="AM75" s="505"/>
      <c r="AN75" s="505"/>
      <c r="AO75" s="505"/>
      <c r="AQ75" s="370"/>
      <c r="AT75" s="370"/>
      <c r="AV75" s="134"/>
      <c r="AW75" s="370"/>
      <c r="AX75" s="370"/>
      <c r="AY75" s="370"/>
      <c r="AZ75" s="370"/>
      <c r="BA75" s="507"/>
      <c r="BB75" s="505"/>
      <c r="BC75" s="505"/>
      <c r="BD75" s="370"/>
      <c r="BE75" s="370"/>
      <c r="BF75" s="370"/>
      <c r="BG75" s="370"/>
      <c r="BH75" s="370"/>
      <c r="BI75" s="370"/>
      <c r="BJ75" s="370"/>
      <c r="BK75" s="370"/>
      <c r="BL75" s="370"/>
      <c r="BM75" s="370"/>
      <c r="BO75" s="370"/>
      <c r="BP75" s="370"/>
      <c r="BQ75" s="370"/>
      <c r="BR75" s="370"/>
      <c r="BS75" s="370"/>
      <c r="BV75" s="508"/>
      <c r="BW75" s="369"/>
      <c r="BX75" s="370"/>
      <c r="BY75" s="370"/>
      <c r="BZ75" s="370"/>
      <c r="CA75" s="370"/>
      <c r="CB75" s="370"/>
      <c r="CC75" s="505"/>
      <c r="CD75" s="505"/>
      <c r="CE75" s="505"/>
      <c r="CF75" s="505"/>
    </row>
    <row r="76" customFormat="false" ht="12.75" hidden="false" customHeight="false" outlineLevel="0" collapsed="false">
      <c r="A76" s="500"/>
      <c r="B76" s="500"/>
      <c r="K76" s="363"/>
      <c r="L76" s="501"/>
      <c r="N76" s="502"/>
      <c r="O76" s="502"/>
      <c r="P76" s="371"/>
      <c r="Q76" s="501"/>
      <c r="R76" s="501"/>
      <c r="U76" s="501"/>
      <c r="V76" s="503"/>
      <c r="W76" s="503"/>
      <c r="X76" s="503"/>
      <c r="Y76" s="504"/>
      <c r="Z76" s="504"/>
      <c r="AA76" s="504"/>
      <c r="AB76" s="504"/>
      <c r="AC76" s="504"/>
      <c r="AF76" s="378"/>
      <c r="AG76" s="378"/>
      <c r="AH76" s="378"/>
      <c r="AI76" s="378"/>
      <c r="AL76" s="505"/>
      <c r="AM76" s="505"/>
      <c r="AN76" s="505"/>
      <c r="AO76" s="505"/>
      <c r="AQ76" s="370"/>
      <c r="AT76" s="370"/>
      <c r="AV76" s="134"/>
      <c r="AW76" s="370"/>
      <c r="AX76" s="370"/>
      <c r="AY76" s="370"/>
      <c r="AZ76" s="370"/>
      <c r="BA76" s="507"/>
      <c r="BB76" s="505"/>
      <c r="BC76" s="505"/>
      <c r="BD76" s="370"/>
      <c r="BE76" s="370"/>
      <c r="BF76" s="370"/>
      <c r="BG76" s="370"/>
      <c r="BH76" s="370"/>
      <c r="BI76" s="370"/>
      <c r="BJ76" s="370"/>
      <c r="BK76" s="370"/>
      <c r="BL76" s="370"/>
      <c r="BM76" s="370"/>
      <c r="BO76" s="370"/>
      <c r="BP76" s="370"/>
      <c r="BQ76" s="370"/>
      <c r="BR76" s="370"/>
      <c r="BS76" s="370"/>
      <c r="BV76" s="508"/>
      <c r="BW76" s="369"/>
      <c r="BX76" s="370"/>
      <c r="BY76" s="370"/>
      <c r="BZ76" s="370"/>
      <c r="CA76" s="370"/>
      <c r="CB76" s="370"/>
      <c r="CC76" s="505"/>
      <c r="CD76" s="505"/>
      <c r="CE76" s="505"/>
      <c r="CF76" s="505"/>
    </row>
    <row r="77" customFormat="false" ht="12.75" hidden="false" customHeight="false" outlineLevel="0" collapsed="false">
      <c r="A77" s="500"/>
      <c r="B77" s="500"/>
      <c r="K77" s="363"/>
      <c r="L77" s="501"/>
      <c r="N77" s="502"/>
      <c r="O77" s="502"/>
      <c r="P77" s="371"/>
      <c r="Q77" s="501"/>
      <c r="R77" s="501"/>
      <c r="U77" s="501"/>
      <c r="V77" s="503"/>
      <c r="W77" s="503"/>
      <c r="X77" s="503"/>
      <c r="Y77" s="504"/>
      <c r="Z77" s="504"/>
      <c r="AA77" s="504"/>
      <c r="AB77" s="504"/>
      <c r="AC77" s="504"/>
      <c r="AF77" s="378"/>
      <c r="AG77" s="378"/>
      <c r="AH77" s="378"/>
      <c r="AI77" s="378"/>
      <c r="AL77" s="505"/>
      <c r="AM77" s="505"/>
      <c r="AN77" s="505"/>
      <c r="AO77" s="505"/>
      <c r="AQ77" s="370"/>
      <c r="AT77" s="370"/>
      <c r="AV77" s="134"/>
      <c r="AW77" s="370"/>
      <c r="AX77" s="370"/>
      <c r="AY77" s="370"/>
      <c r="AZ77" s="370"/>
      <c r="BA77" s="507"/>
      <c r="BB77" s="505"/>
      <c r="BC77" s="505"/>
      <c r="BD77" s="370"/>
      <c r="BE77" s="370"/>
      <c r="BF77" s="370"/>
      <c r="BG77" s="370"/>
      <c r="BH77" s="370"/>
      <c r="BI77" s="370"/>
      <c r="BJ77" s="370"/>
      <c r="BK77" s="370"/>
      <c r="BL77" s="370"/>
      <c r="BM77" s="370"/>
      <c r="BO77" s="370"/>
      <c r="BP77" s="370"/>
      <c r="BQ77" s="370"/>
      <c r="BR77" s="370"/>
      <c r="BS77" s="370"/>
      <c r="BV77" s="508"/>
      <c r="BW77" s="369"/>
      <c r="BX77" s="370"/>
      <c r="BY77" s="370"/>
      <c r="BZ77" s="370"/>
      <c r="CA77" s="370"/>
      <c r="CB77" s="370"/>
      <c r="CC77" s="505"/>
      <c r="CD77" s="505"/>
      <c r="CE77" s="505"/>
      <c r="CF77" s="505"/>
    </row>
    <row r="78" customFormat="false" ht="12.75" hidden="false" customHeight="false" outlineLevel="0" collapsed="false">
      <c r="A78" s="500"/>
      <c r="B78" s="500"/>
      <c r="K78" s="363"/>
      <c r="L78" s="501"/>
      <c r="N78" s="502"/>
      <c r="O78" s="502"/>
      <c r="P78" s="371"/>
      <c r="Q78" s="501"/>
      <c r="R78" s="501"/>
      <c r="U78" s="501"/>
      <c r="V78" s="503"/>
      <c r="W78" s="503"/>
      <c r="X78" s="503"/>
      <c r="Y78" s="504"/>
      <c r="Z78" s="504"/>
      <c r="AA78" s="504"/>
      <c r="AB78" s="504"/>
      <c r="AC78" s="504"/>
      <c r="AF78" s="378"/>
      <c r="AG78" s="378"/>
      <c r="AH78" s="378"/>
      <c r="AI78" s="378"/>
      <c r="AL78" s="505"/>
      <c r="AM78" s="505"/>
      <c r="AN78" s="505"/>
      <c r="AO78" s="505"/>
      <c r="AQ78" s="370"/>
      <c r="AT78" s="370"/>
      <c r="AV78" s="134"/>
      <c r="AW78" s="370"/>
      <c r="AX78" s="370"/>
      <c r="AY78" s="370"/>
      <c r="AZ78" s="370"/>
      <c r="BA78" s="507"/>
      <c r="BB78" s="505"/>
      <c r="BC78" s="505"/>
      <c r="BD78" s="370"/>
      <c r="BE78" s="370"/>
      <c r="BF78" s="370"/>
      <c r="BG78" s="370"/>
      <c r="BH78" s="370"/>
      <c r="BI78" s="370"/>
      <c r="BJ78" s="370"/>
      <c r="BK78" s="370"/>
      <c r="BL78" s="370"/>
      <c r="BM78" s="370"/>
      <c r="BO78" s="370"/>
      <c r="BP78" s="370"/>
      <c r="BQ78" s="370"/>
      <c r="BR78" s="370"/>
      <c r="BS78" s="370"/>
      <c r="BV78" s="508"/>
      <c r="BW78" s="369"/>
      <c r="BX78" s="370"/>
      <c r="BY78" s="370"/>
      <c r="BZ78" s="370"/>
      <c r="CA78" s="370"/>
      <c r="CB78" s="370"/>
      <c r="CC78" s="505"/>
      <c r="CD78" s="505"/>
      <c r="CE78" s="505"/>
      <c r="CF78" s="505"/>
    </row>
    <row r="79" customFormat="false" ht="12.75" hidden="false" customHeight="false" outlineLevel="0" collapsed="false">
      <c r="A79" s="500"/>
      <c r="B79" s="500"/>
      <c r="K79" s="363"/>
      <c r="L79" s="501"/>
      <c r="N79" s="502"/>
      <c r="O79" s="502"/>
      <c r="P79" s="371"/>
      <c r="Q79" s="501"/>
      <c r="R79" s="501"/>
      <c r="U79" s="501"/>
      <c r="V79" s="503"/>
      <c r="W79" s="503"/>
      <c r="X79" s="503"/>
      <c r="Y79" s="504"/>
      <c r="Z79" s="504"/>
      <c r="AA79" s="504"/>
      <c r="AB79" s="504"/>
      <c r="AC79" s="504"/>
      <c r="AF79" s="378"/>
      <c r="AG79" s="378"/>
      <c r="AH79" s="378"/>
      <c r="AI79" s="378"/>
      <c r="AL79" s="505"/>
      <c r="AM79" s="505"/>
      <c r="AN79" s="505"/>
      <c r="AO79" s="505"/>
      <c r="AQ79" s="370"/>
      <c r="AT79" s="370"/>
      <c r="AV79" s="134"/>
      <c r="AW79" s="370"/>
      <c r="AX79" s="370"/>
      <c r="AY79" s="370"/>
      <c r="AZ79" s="370"/>
      <c r="BA79" s="507"/>
      <c r="BB79" s="505"/>
      <c r="BC79" s="505"/>
      <c r="BD79" s="370"/>
      <c r="BE79" s="370"/>
      <c r="BF79" s="370"/>
      <c r="BG79" s="370"/>
      <c r="BH79" s="370"/>
      <c r="BI79" s="370"/>
      <c r="BJ79" s="370"/>
      <c r="BK79" s="370"/>
      <c r="BL79" s="370"/>
      <c r="BM79" s="370"/>
      <c r="BO79" s="370"/>
      <c r="BP79" s="370"/>
      <c r="BQ79" s="370"/>
      <c r="BR79" s="370"/>
      <c r="BS79" s="370"/>
      <c r="BV79" s="508"/>
      <c r="BW79" s="369"/>
      <c r="BX79" s="370"/>
      <c r="BY79" s="370"/>
      <c r="BZ79" s="370"/>
      <c r="CA79" s="370"/>
      <c r="CB79" s="370"/>
      <c r="CC79" s="505"/>
      <c r="CD79" s="505"/>
      <c r="CE79" s="505"/>
      <c r="CF79" s="505"/>
    </row>
    <row r="80" customFormat="false" ht="12.75" hidden="false" customHeight="false" outlineLevel="0" collapsed="false">
      <c r="A80" s="500"/>
      <c r="B80" s="500"/>
      <c r="K80" s="363"/>
      <c r="L80" s="501"/>
      <c r="N80" s="502"/>
      <c r="O80" s="502"/>
      <c r="P80" s="371"/>
      <c r="Q80" s="501"/>
      <c r="R80" s="501"/>
      <c r="U80" s="501"/>
      <c r="V80" s="503"/>
      <c r="W80" s="503"/>
      <c r="X80" s="503"/>
      <c r="Y80" s="504"/>
      <c r="Z80" s="504"/>
      <c r="AA80" s="504"/>
      <c r="AB80" s="504"/>
      <c r="AC80" s="504"/>
      <c r="AF80" s="378"/>
      <c r="AG80" s="378"/>
      <c r="AH80" s="378"/>
      <c r="AI80" s="378"/>
      <c r="AL80" s="505"/>
      <c r="AM80" s="505"/>
      <c r="AN80" s="505"/>
      <c r="AO80" s="505"/>
      <c r="AQ80" s="370"/>
      <c r="AT80" s="370"/>
      <c r="AV80" s="134"/>
      <c r="AW80" s="370"/>
      <c r="AX80" s="370"/>
      <c r="AY80" s="370"/>
      <c r="AZ80" s="370"/>
      <c r="BA80" s="507"/>
      <c r="BB80" s="505"/>
      <c r="BC80" s="505"/>
      <c r="BD80" s="370"/>
      <c r="BE80" s="370"/>
      <c r="BF80" s="370"/>
      <c r="BG80" s="370"/>
      <c r="BH80" s="370"/>
      <c r="BI80" s="370"/>
      <c r="BJ80" s="370"/>
      <c r="BK80" s="370"/>
      <c r="BL80" s="370"/>
      <c r="BM80" s="370"/>
      <c r="BO80" s="370"/>
      <c r="BP80" s="370"/>
      <c r="BQ80" s="370"/>
      <c r="BR80" s="370"/>
      <c r="BS80" s="370"/>
      <c r="BV80" s="508"/>
      <c r="BW80" s="369"/>
      <c r="BX80" s="370"/>
      <c r="BY80" s="370"/>
      <c r="BZ80" s="370"/>
      <c r="CA80" s="370"/>
      <c r="CB80" s="370"/>
      <c r="CC80" s="505"/>
      <c r="CD80" s="505"/>
      <c r="CE80" s="505"/>
      <c r="CF80" s="505"/>
    </row>
    <row r="81" customFormat="false" ht="12.75" hidden="false" customHeight="false" outlineLevel="0" collapsed="false">
      <c r="A81" s="500"/>
      <c r="B81" s="500"/>
      <c r="K81" s="363"/>
      <c r="L81" s="501"/>
      <c r="N81" s="502"/>
      <c r="O81" s="502"/>
      <c r="P81" s="371"/>
      <c r="Q81" s="501"/>
      <c r="R81" s="501"/>
      <c r="U81" s="501"/>
      <c r="V81" s="503"/>
      <c r="W81" s="503"/>
      <c r="X81" s="503"/>
      <c r="Y81" s="504"/>
      <c r="Z81" s="504"/>
      <c r="AA81" s="504"/>
      <c r="AB81" s="504"/>
      <c r="AC81" s="504"/>
      <c r="AF81" s="378"/>
      <c r="AG81" s="378"/>
      <c r="AH81" s="378"/>
      <c r="AI81" s="378"/>
      <c r="AL81" s="505"/>
      <c r="AM81" s="505"/>
      <c r="AN81" s="505"/>
      <c r="AO81" s="505"/>
      <c r="AQ81" s="370"/>
      <c r="AT81" s="370"/>
      <c r="AV81" s="134"/>
      <c r="AW81" s="370"/>
      <c r="AX81" s="370"/>
      <c r="AY81" s="370"/>
      <c r="AZ81" s="370"/>
      <c r="BA81" s="507"/>
      <c r="BB81" s="505"/>
      <c r="BC81" s="505"/>
      <c r="BD81" s="370"/>
      <c r="BE81" s="370"/>
      <c r="BF81" s="370"/>
      <c r="BG81" s="370"/>
      <c r="BH81" s="370"/>
      <c r="BI81" s="370"/>
      <c r="BJ81" s="370"/>
      <c r="BK81" s="370"/>
      <c r="BL81" s="370"/>
      <c r="BM81" s="370"/>
      <c r="BO81" s="370"/>
      <c r="BP81" s="370"/>
      <c r="BQ81" s="370"/>
      <c r="BR81" s="370"/>
      <c r="BS81" s="370"/>
      <c r="BV81" s="508"/>
      <c r="BW81" s="369"/>
      <c r="BX81" s="370"/>
      <c r="BY81" s="370"/>
      <c r="BZ81" s="370"/>
      <c r="CA81" s="370"/>
      <c r="CB81" s="370"/>
      <c r="CC81" s="505"/>
      <c r="CD81" s="505"/>
      <c r="CE81" s="505"/>
      <c r="CF81" s="505"/>
    </row>
    <row r="82" customFormat="false" ht="12.75" hidden="false" customHeight="false" outlineLevel="0" collapsed="false">
      <c r="A82" s="500"/>
      <c r="B82" s="500"/>
      <c r="L82" s="501"/>
      <c r="P82" s="371"/>
      <c r="Q82" s="501"/>
      <c r="R82" s="371"/>
      <c r="U82" s="371"/>
      <c r="V82" s="371"/>
      <c r="W82" s="371"/>
      <c r="X82" s="371"/>
      <c r="AO82" s="369"/>
      <c r="AQ82" s="370"/>
      <c r="AU82" s="530"/>
      <c r="AV82" s="134"/>
      <c r="AW82" s="370"/>
    </row>
    <row r="83" customFormat="false" ht="12.75" hidden="false" customHeight="false" outlineLevel="0" collapsed="false">
      <c r="A83" s="500"/>
      <c r="B83" s="500"/>
      <c r="L83" s="501"/>
      <c r="P83" s="371"/>
      <c r="Q83" s="501"/>
      <c r="R83" s="371"/>
      <c r="U83" s="371"/>
      <c r="V83" s="371"/>
      <c r="W83" s="371"/>
      <c r="X83" s="371"/>
      <c r="AO83" s="369"/>
      <c r="AQ83" s="370"/>
      <c r="AU83" s="530"/>
      <c r="AV83" s="134"/>
      <c r="AW83" s="370"/>
    </row>
    <row r="84" customFormat="false" ht="12.75" hidden="false" customHeight="false" outlineLevel="0" collapsed="false">
      <c r="A84" s="500"/>
      <c r="B84" s="500"/>
      <c r="L84" s="501"/>
      <c r="P84" s="371"/>
      <c r="Q84" s="501"/>
      <c r="R84" s="371"/>
      <c r="U84" s="371"/>
      <c r="V84" s="371"/>
      <c r="W84" s="371"/>
      <c r="X84" s="371"/>
      <c r="AO84" s="369"/>
      <c r="AQ84" s="370"/>
      <c r="AU84" s="530"/>
      <c r="AV84" s="134"/>
      <c r="AW84" s="370"/>
    </row>
    <row r="85" customFormat="false" ht="12.75" hidden="false" customHeight="false" outlineLevel="0" collapsed="false">
      <c r="A85" s="500"/>
      <c r="B85" s="500"/>
      <c r="L85" s="501"/>
      <c r="P85" s="371"/>
      <c r="Q85" s="501"/>
      <c r="R85" s="371"/>
      <c r="U85" s="371"/>
      <c r="V85" s="371"/>
      <c r="W85" s="371"/>
      <c r="X85" s="371"/>
      <c r="AO85" s="369"/>
      <c r="AQ85" s="370"/>
      <c r="AU85" s="530"/>
      <c r="AV85" s="134"/>
      <c r="AW85" s="370"/>
    </row>
    <row r="86" customFormat="false" ht="12.75" hidden="false" customHeight="false" outlineLevel="0" collapsed="false">
      <c r="A86" s="500"/>
      <c r="B86" s="500"/>
      <c r="L86" s="501"/>
      <c r="P86" s="371"/>
      <c r="Q86" s="501"/>
      <c r="R86" s="371"/>
      <c r="U86" s="371"/>
      <c r="V86" s="371"/>
      <c r="W86" s="371"/>
      <c r="X86" s="371"/>
      <c r="AO86" s="369"/>
      <c r="AQ86" s="370"/>
      <c r="AU86" s="530"/>
      <c r="AV86" s="134"/>
      <c r="AW86" s="370"/>
    </row>
    <row r="87" customFormat="false" ht="12.75" hidden="false" customHeight="false" outlineLevel="0" collapsed="false">
      <c r="A87" s="500"/>
      <c r="B87" s="500"/>
      <c r="L87" s="501"/>
      <c r="P87" s="371"/>
      <c r="Q87" s="501"/>
      <c r="R87" s="371"/>
      <c r="U87" s="371"/>
      <c r="V87" s="371"/>
      <c r="W87" s="371"/>
      <c r="X87" s="371"/>
      <c r="AO87" s="369"/>
      <c r="AQ87" s="370"/>
      <c r="AU87" s="530"/>
      <c r="AV87" s="134"/>
      <c r="AW87" s="370"/>
    </row>
    <row r="88" customFormat="false" ht="12.75" hidden="false" customHeight="false" outlineLevel="0" collapsed="false">
      <c r="A88" s="500"/>
      <c r="B88" s="500"/>
      <c r="L88" s="501"/>
      <c r="P88" s="371"/>
      <c r="Q88" s="501"/>
      <c r="R88" s="371"/>
      <c r="U88" s="371"/>
      <c r="V88" s="371"/>
      <c r="W88" s="371"/>
      <c r="X88" s="371"/>
      <c r="AO88" s="369"/>
      <c r="AQ88" s="370"/>
      <c r="AU88" s="530"/>
      <c r="AV88" s="134"/>
      <c r="AW88" s="370"/>
    </row>
    <row r="89" customFormat="false" ht="12.75" hidden="false" customHeight="false" outlineLevel="0" collapsed="false">
      <c r="A89" s="500"/>
      <c r="B89" s="500"/>
      <c r="L89" s="501"/>
      <c r="P89" s="371"/>
      <c r="Q89" s="501"/>
      <c r="R89" s="371"/>
      <c r="U89" s="371"/>
      <c r="V89" s="371"/>
      <c r="W89" s="371"/>
      <c r="X89" s="371"/>
      <c r="AO89" s="369"/>
      <c r="AQ89" s="370"/>
      <c r="AU89" s="530"/>
      <c r="AV89" s="134"/>
      <c r="AW89" s="370"/>
    </row>
    <row r="90" customFormat="false" ht="12.75" hidden="false" customHeight="false" outlineLevel="0" collapsed="false">
      <c r="A90" s="500"/>
      <c r="B90" s="500"/>
      <c r="L90" s="501"/>
      <c r="P90" s="371"/>
      <c r="Q90" s="501"/>
      <c r="R90" s="371"/>
      <c r="U90" s="371"/>
      <c r="V90" s="371"/>
      <c r="W90" s="371"/>
      <c r="X90" s="371"/>
      <c r="AO90" s="369"/>
      <c r="AQ90" s="370"/>
      <c r="AU90" s="530"/>
      <c r="AV90" s="134"/>
      <c r="AW90" s="370"/>
    </row>
    <row r="91" customFormat="false" ht="12.75" hidden="false" customHeight="false" outlineLevel="0" collapsed="false">
      <c r="A91" s="500"/>
      <c r="B91" s="500"/>
      <c r="L91" s="501"/>
      <c r="P91" s="371"/>
      <c r="Q91" s="501"/>
      <c r="R91" s="371"/>
      <c r="U91" s="371"/>
      <c r="V91" s="371"/>
      <c r="W91" s="371"/>
      <c r="X91" s="371"/>
      <c r="AO91" s="369"/>
      <c r="AQ91" s="370"/>
      <c r="AU91" s="530"/>
      <c r="AV91" s="134"/>
      <c r="AW91" s="370"/>
    </row>
    <row r="92" customFormat="false" ht="12.75" hidden="false" customHeight="false" outlineLevel="0" collapsed="false">
      <c r="A92" s="500"/>
      <c r="B92" s="500"/>
      <c r="L92" s="501"/>
      <c r="P92" s="371"/>
      <c r="Q92" s="501"/>
      <c r="R92" s="371"/>
      <c r="U92" s="371"/>
      <c r="V92" s="371"/>
      <c r="W92" s="371"/>
      <c r="X92" s="371"/>
      <c r="AO92" s="369"/>
      <c r="AQ92" s="370"/>
      <c r="AU92" s="530"/>
      <c r="AV92" s="134"/>
      <c r="AW92" s="370"/>
    </row>
    <row r="93" customFormat="false" ht="12.75" hidden="false" customHeight="false" outlineLevel="0" collapsed="false">
      <c r="A93" s="500"/>
      <c r="B93" s="500"/>
      <c r="L93" s="501"/>
      <c r="P93" s="371"/>
      <c r="Q93" s="501"/>
      <c r="R93" s="371"/>
      <c r="U93" s="371"/>
      <c r="V93" s="371"/>
      <c r="W93" s="371"/>
      <c r="X93" s="371"/>
      <c r="AO93" s="369"/>
      <c r="AQ93" s="370"/>
      <c r="AU93" s="530"/>
      <c r="AV93" s="134"/>
      <c r="AW93" s="370"/>
    </row>
    <row r="94" customFormat="false" ht="12.75" hidden="false" customHeight="false" outlineLevel="0" collapsed="false">
      <c r="A94" s="500"/>
      <c r="B94" s="500"/>
      <c r="L94" s="501"/>
      <c r="P94" s="371"/>
      <c r="Q94" s="501"/>
      <c r="R94" s="371"/>
      <c r="U94" s="371"/>
      <c r="V94" s="371"/>
      <c r="W94" s="371"/>
      <c r="X94" s="371"/>
      <c r="AO94" s="369"/>
      <c r="AQ94" s="370"/>
      <c r="AU94" s="530"/>
      <c r="AV94" s="134"/>
      <c r="AW94" s="370"/>
    </row>
    <row r="95" customFormat="false" ht="12.75" hidden="false" customHeight="false" outlineLevel="0" collapsed="false">
      <c r="A95" s="500"/>
      <c r="B95" s="500"/>
      <c r="L95" s="501"/>
      <c r="P95" s="371"/>
      <c r="Q95" s="501"/>
      <c r="R95" s="371"/>
      <c r="U95" s="371"/>
      <c r="V95" s="371"/>
      <c r="W95" s="371"/>
      <c r="X95" s="371"/>
      <c r="AO95" s="369"/>
      <c r="AQ95" s="370"/>
      <c r="AU95" s="530"/>
      <c r="AV95" s="134"/>
      <c r="AW95" s="370"/>
    </row>
    <row r="96" customFormat="false" ht="12.75" hidden="false" customHeight="false" outlineLevel="0" collapsed="false">
      <c r="A96" s="500"/>
      <c r="B96" s="500"/>
      <c r="L96" s="501"/>
      <c r="P96" s="371"/>
      <c r="Q96" s="501"/>
      <c r="R96" s="371"/>
      <c r="U96" s="371"/>
      <c r="V96" s="371"/>
      <c r="W96" s="371"/>
      <c r="X96" s="371"/>
      <c r="AO96" s="369"/>
      <c r="AQ96" s="370"/>
      <c r="AU96" s="530"/>
      <c r="AV96" s="134"/>
      <c r="AW96" s="370"/>
    </row>
    <row r="97" customFormat="false" ht="12.75" hidden="false" customHeight="false" outlineLevel="0" collapsed="false">
      <c r="A97" s="500"/>
      <c r="B97" s="500"/>
      <c r="L97" s="501"/>
      <c r="P97" s="371"/>
      <c r="Q97" s="501"/>
      <c r="R97" s="371"/>
      <c r="U97" s="371"/>
      <c r="V97" s="371"/>
      <c r="W97" s="371"/>
      <c r="X97" s="371"/>
      <c r="AO97" s="369"/>
      <c r="AQ97" s="370"/>
      <c r="AU97" s="530"/>
      <c r="AV97" s="134"/>
      <c r="AW97" s="370"/>
    </row>
    <row r="98" customFormat="false" ht="12.75" hidden="false" customHeight="false" outlineLevel="0" collapsed="false">
      <c r="A98" s="500"/>
      <c r="B98" s="500"/>
      <c r="L98" s="501"/>
      <c r="P98" s="371"/>
      <c r="Q98" s="501"/>
      <c r="R98" s="371"/>
      <c r="U98" s="371"/>
      <c r="V98" s="371"/>
      <c r="W98" s="371"/>
      <c r="X98" s="371"/>
      <c r="AO98" s="369"/>
      <c r="AQ98" s="370"/>
      <c r="AU98" s="530"/>
      <c r="AV98" s="134"/>
      <c r="AW98" s="370"/>
    </row>
    <row r="99" customFormat="false" ht="12.75" hidden="false" customHeight="false" outlineLevel="0" collapsed="false">
      <c r="A99" s="500"/>
      <c r="B99" s="500"/>
      <c r="L99" s="501"/>
      <c r="P99" s="371"/>
      <c r="Q99" s="501"/>
      <c r="R99" s="371"/>
      <c r="U99" s="371"/>
      <c r="V99" s="371"/>
      <c r="W99" s="371"/>
      <c r="X99" s="371"/>
      <c r="AO99" s="369"/>
      <c r="AQ99" s="370"/>
      <c r="AU99" s="530"/>
      <c r="AV99" s="134"/>
      <c r="AW99" s="370"/>
    </row>
    <row r="100" customFormat="false" ht="12.75" hidden="false" customHeight="false" outlineLevel="0" collapsed="false">
      <c r="A100" s="500"/>
      <c r="B100" s="500"/>
      <c r="L100" s="501"/>
      <c r="P100" s="371"/>
      <c r="Q100" s="501"/>
      <c r="R100" s="371"/>
      <c r="U100" s="371"/>
      <c r="V100" s="371"/>
      <c r="W100" s="371"/>
      <c r="X100" s="371"/>
      <c r="AO100" s="369"/>
      <c r="AQ100" s="370"/>
      <c r="AU100" s="530"/>
      <c r="AV100" s="134"/>
      <c r="AW100" s="370"/>
    </row>
    <row r="101" customFormat="false" ht="12.75" hidden="false" customHeight="false" outlineLevel="0" collapsed="false">
      <c r="A101" s="500"/>
      <c r="B101" s="500"/>
      <c r="L101" s="501"/>
      <c r="P101" s="371"/>
      <c r="Q101" s="501"/>
      <c r="R101" s="371"/>
      <c r="U101" s="371"/>
      <c r="V101" s="371"/>
      <c r="W101" s="371"/>
      <c r="X101" s="371"/>
      <c r="AO101" s="369"/>
      <c r="AQ101" s="370"/>
      <c r="AU101" s="530"/>
      <c r="AV101" s="134"/>
      <c r="AW101" s="370"/>
    </row>
    <row r="102" customFormat="false" ht="12.75" hidden="false" customHeight="false" outlineLevel="0" collapsed="false">
      <c r="A102" s="500"/>
      <c r="B102" s="500"/>
      <c r="L102" s="501"/>
      <c r="P102" s="371"/>
      <c r="Q102" s="501"/>
      <c r="R102" s="371"/>
      <c r="U102" s="371"/>
      <c r="V102" s="371"/>
      <c r="W102" s="371"/>
      <c r="X102" s="371"/>
      <c r="AO102" s="369"/>
      <c r="AQ102" s="370"/>
      <c r="AU102" s="530"/>
      <c r="AV102" s="134"/>
      <c r="AW102" s="370"/>
    </row>
    <row r="103" customFormat="false" ht="12.75" hidden="false" customHeight="false" outlineLevel="0" collapsed="false">
      <c r="A103" s="500"/>
      <c r="B103" s="500"/>
      <c r="L103" s="501"/>
      <c r="P103" s="371"/>
      <c r="Q103" s="501"/>
      <c r="R103" s="371"/>
      <c r="U103" s="371"/>
      <c r="V103" s="371"/>
      <c r="W103" s="371"/>
      <c r="X103" s="371"/>
      <c r="AO103" s="369"/>
      <c r="AQ103" s="370"/>
      <c r="AU103" s="530"/>
      <c r="AV103" s="134"/>
      <c r="AW103" s="370"/>
    </row>
    <row r="104" customFormat="false" ht="12.75" hidden="false" customHeight="false" outlineLevel="0" collapsed="false">
      <c r="A104" s="500"/>
      <c r="B104" s="500"/>
      <c r="L104" s="501"/>
      <c r="P104" s="371"/>
      <c r="Q104" s="501"/>
      <c r="R104" s="371"/>
      <c r="U104" s="371"/>
      <c r="V104" s="371"/>
      <c r="W104" s="371"/>
      <c r="X104" s="371"/>
      <c r="AO104" s="369"/>
      <c r="AQ104" s="370"/>
      <c r="AU104" s="530"/>
      <c r="AV104" s="134"/>
      <c r="AW104" s="370"/>
    </row>
    <row r="105" customFormat="false" ht="12.75" hidden="false" customHeight="false" outlineLevel="0" collapsed="false">
      <c r="A105" s="500"/>
      <c r="B105" s="500"/>
      <c r="L105" s="501"/>
      <c r="P105" s="371"/>
      <c r="Q105" s="501"/>
      <c r="R105" s="371"/>
      <c r="U105" s="371"/>
      <c r="V105" s="371"/>
      <c r="W105" s="371"/>
      <c r="X105" s="371"/>
      <c r="AO105" s="369"/>
      <c r="AQ105" s="370"/>
      <c r="AU105" s="530"/>
      <c r="AV105" s="134"/>
      <c r="AW105" s="370"/>
    </row>
    <row r="106" customFormat="false" ht="12.75" hidden="false" customHeight="false" outlineLevel="0" collapsed="false">
      <c r="A106" s="500"/>
      <c r="B106" s="500"/>
      <c r="L106" s="501"/>
      <c r="P106" s="371"/>
      <c r="Q106" s="501"/>
      <c r="R106" s="371"/>
      <c r="U106" s="371"/>
      <c r="V106" s="371"/>
      <c r="W106" s="371"/>
      <c r="X106" s="371"/>
      <c r="AO106" s="369"/>
      <c r="AQ106" s="370"/>
      <c r="AU106" s="530"/>
      <c r="AV106" s="134"/>
      <c r="AW106" s="370"/>
    </row>
    <row r="107" customFormat="false" ht="12.75" hidden="false" customHeight="false" outlineLevel="0" collapsed="false">
      <c r="A107" s="500"/>
      <c r="B107" s="500"/>
      <c r="L107" s="501"/>
      <c r="P107" s="371"/>
      <c r="Q107" s="501"/>
      <c r="R107" s="371"/>
      <c r="U107" s="371"/>
      <c r="V107" s="371"/>
      <c r="W107" s="371"/>
      <c r="X107" s="371"/>
      <c r="AO107" s="369"/>
      <c r="AQ107" s="370"/>
      <c r="AU107" s="530"/>
      <c r="AV107" s="134"/>
      <c r="AW107" s="370"/>
    </row>
    <row r="108" customFormat="false" ht="12.75" hidden="false" customHeight="false" outlineLevel="0" collapsed="false">
      <c r="A108" s="500"/>
      <c r="B108" s="500"/>
      <c r="L108" s="501"/>
      <c r="P108" s="371"/>
      <c r="Q108" s="501"/>
      <c r="R108" s="371"/>
      <c r="U108" s="371"/>
      <c r="V108" s="371"/>
      <c r="W108" s="371"/>
      <c r="X108" s="371"/>
      <c r="AO108" s="369"/>
      <c r="AQ108" s="370"/>
      <c r="AU108" s="530"/>
      <c r="AV108" s="134"/>
      <c r="AW108" s="370"/>
    </row>
    <row r="109" customFormat="false" ht="12.75" hidden="false" customHeight="false" outlineLevel="0" collapsed="false">
      <c r="A109" s="500"/>
      <c r="B109" s="500"/>
      <c r="L109" s="501"/>
      <c r="P109" s="371"/>
      <c r="Q109" s="501"/>
      <c r="R109" s="371"/>
      <c r="U109" s="371"/>
      <c r="V109" s="371"/>
      <c r="W109" s="371"/>
      <c r="X109" s="371"/>
      <c r="AO109" s="369"/>
      <c r="AQ109" s="370"/>
      <c r="AU109" s="530"/>
      <c r="AV109" s="134"/>
      <c r="AW109" s="370"/>
    </row>
    <row r="110" customFormat="false" ht="12.75" hidden="false" customHeight="false" outlineLevel="0" collapsed="false">
      <c r="A110" s="500"/>
      <c r="B110" s="500"/>
      <c r="L110" s="501"/>
      <c r="P110" s="371"/>
      <c r="Q110" s="501"/>
      <c r="R110" s="371"/>
      <c r="U110" s="371"/>
      <c r="V110" s="371"/>
      <c r="W110" s="371"/>
      <c r="X110" s="371"/>
      <c r="AO110" s="369"/>
      <c r="AQ110" s="370"/>
      <c r="AU110" s="530"/>
      <c r="AV110" s="134"/>
      <c r="AW110" s="370"/>
    </row>
    <row r="111" customFormat="false" ht="12.75" hidden="false" customHeight="false" outlineLevel="0" collapsed="false">
      <c r="A111" s="500"/>
      <c r="B111" s="500"/>
      <c r="L111" s="501"/>
      <c r="P111" s="371"/>
      <c r="Q111" s="501"/>
      <c r="R111" s="371"/>
      <c r="U111" s="371"/>
      <c r="V111" s="371"/>
      <c r="W111" s="371"/>
      <c r="X111" s="371"/>
      <c r="AO111" s="369"/>
      <c r="AQ111" s="370"/>
      <c r="AU111" s="530"/>
      <c r="AV111" s="134"/>
      <c r="AW111" s="370"/>
    </row>
    <row r="112" customFormat="false" ht="12.75" hidden="false" customHeight="false" outlineLevel="0" collapsed="false">
      <c r="A112" s="500"/>
      <c r="B112" s="500"/>
      <c r="L112" s="501"/>
      <c r="P112" s="371"/>
      <c r="Q112" s="501"/>
      <c r="R112" s="371"/>
      <c r="U112" s="371"/>
      <c r="V112" s="371"/>
      <c r="W112" s="371"/>
      <c r="X112" s="371"/>
      <c r="AO112" s="369"/>
      <c r="AQ112" s="370"/>
      <c r="AU112" s="530"/>
      <c r="AV112" s="134"/>
      <c r="AW112" s="370"/>
    </row>
    <row r="113" customFormat="false" ht="12.75" hidden="false" customHeight="false" outlineLevel="0" collapsed="false">
      <c r="A113" s="500"/>
      <c r="B113" s="500"/>
      <c r="L113" s="501"/>
      <c r="P113" s="371"/>
      <c r="Q113" s="501"/>
      <c r="R113" s="371"/>
      <c r="U113" s="371"/>
      <c r="V113" s="371"/>
      <c r="W113" s="371"/>
      <c r="X113" s="371"/>
      <c r="AO113" s="369"/>
      <c r="AQ113" s="370"/>
      <c r="AU113" s="530"/>
      <c r="AV113" s="134"/>
      <c r="AW113" s="370"/>
    </row>
    <row r="114" customFormat="false" ht="12.75" hidden="false" customHeight="false" outlineLevel="0" collapsed="false">
      <c r="A114" s="500"/>
      <c r="B114" s="500"/>
      <c r="L114" s="501"/>
      <c r="P114" s="371"/>
      <c r="Q114" s="501"/>
      <c r="R114" s="371"/>
      <c r="U114" s="371"/>
      <c r="V114" s="371"/>
      <c r="W114" s="371"/>
      <c r="X114" s="371"/>
      <c r="AO114" s="369"/>
      <c r="AQ114" s="370"/>
      <c r="AU114" s="530"/>
      <c r="AV114" s="134"/>
      <c r="AW114" s="370"/>
    </row>
    <row r="115" customFormat="false" ht="12.75" hidden="false" customHeight="false" outlineLevel="0" collapsed="false">
      <c r="A115" s="500"/>
      <c r="B115" s="500"/>
      <c r="L115" s="501"/>
      <c r="P115" s="371"/>
      <c r="Q115" s="501"/>
      <c r="R115" s="371"/>
      <c r="U115" s="371"/>
      <c r="V115" s="371"/>
      <c r="W115" s="371"/>
      <c r="X115" s="371"/>
      <c r="AO115" s="369"/>
      <c r="AQ115" s="370"/>
      <c r="AU115" s="530"/>
      <c r="AV115" s="134"/>
      <c r="AW115" s="370"/>
    </row>
    <row r="116" customFormat="false" ht="12.75" hidden="false" customHeight="false" outlineLevel="0" collapsed="false">
      <c r="A116" s="500"/>
      <c r="B116" s="500"/>
      <c r="P116" s="371"/>
      <c r="Q116" s="371"/>
      <c r="R116" s="371"/>
      <c r="U116" s="371"/>
      <c r="V116" s="371"/>
      <c r="W116" s="371"/>
      <c r="X116" s="371"/>
      <c r="AO116" s="369"/>
      <c r="AQ116" s="370"/>
      <c r="AS116" s="370"/>
      <c r="AU116" s="530"/>
      <c r="AV116" s="369"/>
      <c r="AW116" s="370"/>
    </row>
    <row r="117" customFormat="false" ht="12.75" hidden="false" customHeight="false" outlineLevel="0" collapsed="false">
      <c r="A117" s="500"/>
      <c r="B117" s="500"/>
      <c r="P117" s="371"/>
      <c r="Q117" s="371"/>
      <c r="R117" s="371"/>
      <c r="U117" s="371"/>
      <c r="V117" s="371"/>
      <c r="W117" s="371"/>
      <c r="X117" s="371"/>
      <c r="AO117" s="369"/>
      <c r="AQ117" s="370"/>
      <c r="AS117" s="370"/>
      <c r="AU117" s="530"/>
      <c r="AV117" s="369"/>
      <c r="AW117" s="370"/>
    </row>
    <row r="118" customFormat="false" ht="12.75" hidden="false" customHeight="false" outlineLevel="0" collapsed="false">
      <c r="A118" s="500"/>
      <c r="B118" s="500"/>
      <c r="P118" s="371"/>
      <c r="Q118" s="371"/>
      <c r="R118" s="371"/>
      <c r="U118" s="371"/>
      <c r="V118" s="371"/>
      <c r="W118" s="371"/>
      <c r="X118" s="371"/>
      <c r="AO118" s="369"/>
      <c r="AQ118" s="370"/>
      <c r="AS118" s="370"/>
      <c r="AU118" s="530"/>
      <c r="AV118" s="369"/>
      <c r="AW118" s="370"/>
    </row>
    <row r="119" customFormat="false" ht="12.75" hidden="false" customHeight="false" outlineLevel="0" collapsed="false">
      <c r="A119" s="500"/>
      <c r="B119" s="500"/>
      <c r="P119" s="371"/>
      <c r="Q119" s="371"/>
      <c r="R119" s="371"/>
      <c r="U119" s="371"/>
      <c r="V119" s="371"/>
      <c r="W119" s="371"/>
      <c r="X119" s="371"/>
      <c r="AO119" s="369"/>
      <c r="AQ119" s="370"/>
      <c r="AS119" s="370"/>
      <c r="AU119" s="530"/>
      <c r="AV119" s="369"/>
      <c r="AW119" s="370"/>
    </row>
    <row r="120" customFormat="false" ht="12.75" hidden="false" customHeight="false" outlineLevel="0" collapsed="false">
      <c r="A120" s="500"/>
      <c r="B120" s="500"/>
      <c r="P120" s="371"/>
      <c r="Q120" s="371"/>
      <c r="R120" s="371"/>
      <c r="U120" s="371"/>
      <c r="V120" s="371"/>
      <c r="W120" s="371"/>
      <c r="X120" s="371"/>
      <c r="AO120" s="369"/>
      <c r="AQ120" s="370"/>
      <c r="AS120" s="370"/>
      <c r="AU120" s="530"/>
      <c r="AV120" s="369"/>
      <c r="AW120" s="370"/>
    </row>
    <row r="121" customFormat="false" ht="12.75" hidden="false" customHeight="false" outlineLevel="0" collapsed="false">
      <c r="A121" s="500"/>
      <c r="B121" s="500"/>
      <c r="P121" s="371"/>
      <c r="Q121" s="371"/>
      <c r="R121" s="371"/>
      <c r="U121" s="371"/>
      <c r="V121" s="371"/>
      <c r="W121" s="371"/>
      <c r="X121" s="371"/>
      <c r="AO121" s="369"/>
      <c r="AQ121" s="370"/>
      <c r="AS121" s="370"/>
      <c r="AU121" s="530"/>
      <c r="AV121" s="369"/>
      <c r="AW121" s="370"/>
    </row>
    <row r="122" customFormat="false" ht="12.75" hidden="false" customHeight="false" outlineLevel="0" collapsed="false">
      <c r="A122" s="500"/>
      <c r="B122" s="500"/>
      <c r="P122" s="371"/>
      <c r="Q122" s="371"/>
      <c r="R122" s="371"/>
      <c r="U122" s="371"/>
      <c r="V122" s="371"/>
      <c r="W122" s="371"/>
      <c r="X122" s="371"/>
      <c r="AO122" s="369"/>
      <c r="AQ122" s="370"/>
      <c r="AS122" s="370"/>
      <c r="AU122" s="530"/>
      <c r="AV122" s="369"/>
      <c r="AW122" s="370"/>
    </row>
    <row r="123" customFormat="false" ht="12.75" hidden="false" customHeight="false" outlineLevel="0" collapsed="false">
      <c r="A123" s="500"/>
      <c r="B123" s="500"/>
      <c r="P123" s="371"/>
      <c r="Q123" s="371"/>
      <c r="R123" s="371"/>
      <c r="U123" s="371"/>
      <c r="V123" s="371"/>
      <c r="W123" s="371"/>
      <c r="X123" s="371"/>
      <c r="AO123" s="369"/>
      <c r="AQ123" s="370"/>
      <c r="AS123" s="370"/>
      <c r="AU123" s="530"/>
      <c r="AV123" s="369"/>
      <c r="AW123" s="370"/>
    </row>
    <row r="124" customFormat="false" ht="12.75" hidden="false" customHeight="false" outlineLevel="0" collapsed="false">
      <c r="A124" s="500"/>
      <c r="B124" s="500"/>
      <c r="P124" s="371"/>
      <c r="Q124" s="371"/>
      <c r="R124" s="371"/>
      <c r="U124" s="371"/>
      <c r="V124" s="371"/>
      <c r="W124" s="371"/>
      <c r="X124" s="371"/>
      <c r="AO124" s="369"/>
      <c r="AQ124" s="370"/>
      <c r="AS124" s="370"/>
      <c r="AU124" s="530"/>
      <c r="AV124" s="369"/>
      <c r="AW124" s="370"/>
    </row>
    <row r="125" customFormat="false" ht="12.75" hidden="false" customHeight="false" outlineLevel="0" collapsed="false">
      <c r="A125" s="500"/>
      <c r="B125" s="500"/>
      <c r="P125" s="371"/>
      <c r="Q125" s="371"/>
      <c r="R125" s="371"/>
      <c r="U125" s="371"/>
      <c r="V125" s="371"/>
      <c r="W125" s="371"/>
      <c r="X125" s="371"/>
      <c r="AO125" s="369"/>
      <c r="AQ125" s="370"/>
      <c r="AS125" s="370"/>
      <c r="AU125" s="530"/>
      <c r="AV125" s="369"/>
      <c r="AW125" s="370"/>
    </row>
    <row r="126" customFormat="false" ht="12.75" hidden="false" customHeight="false" outlineLevel="0" collapsed="false">
      <c r="A126" s="500"/>
      <c r="B126" s="500"/>
      <c r="P126" s="371"/>
      <c r="Q126" s="371"/>
      <c r="R126" s="371"/>
      <c r="U126" s="371"/>
      <c r="V126" s="371"/>
      <c r="W126" s="371"/>
      <c r="X126" s="371"/>
      <c r="AO126" s="369"/>
      <c r="AQ126" s="370"/>
      <c r="AS126" s="370"/>
      <c r="AU126" s="530"/>
      <c r="AV126" s="369"/>
      <c r="AW126" s="370"/>
    </row>
    <row r="127" customFormat="false" ht="12.75" hidden="false" customHeight="false" outlineLevel="0" collapsed="false">
      <c r="A127" s="500"/>
      <c r="B127" s="500"/>
      <c r="P127" s="371"/>
      <c r="Q127" s="371"/>
      <c r="R127" s="371"/>
      <c r="U127" s="371"/>
      <c r="V127" s="371"/>
      <c r="W127" s="371"/>
      <c r="X127" s="371"/>
      <c r="AO127" s="369"/>
      <c r="AQ127" s="370"/>
      <c r="AS127" s="370"/>
      <c r="AU127" s="530"/>
      <c r="AV127" s="369"/>
      <c r="AW127" s="370"/>
    </row>
    <row r="128" customFormat="false" ht="12.75" hidden="false" customHeight="false" outlineLevel="0" collapsed="false">
      <c r="A128" s="500"/>
      <c r="B128" s="500"/>
      <c r="P128" s="371"/>
      <c r="Q128" s="371"/>
      <c r="R128" s="371"/>
      <c r="U128" s="371"/>
      <c r="V128" s="371"/>
      <c r="W128" s="371"/>
      <c r="X128" s="371"/>
      <c r="AO128" s="369"/>
      <c r="AQ128" s="370"/>
      <c r="AS128" s="370"/>
      <c r="AU128" s="530"/>
      <c r="AV128" s="369"/>
      <c r="AW128" s="370"/>
    </row>
    <row r="129" customFormat="false" ht="12.75" hidden="false" customHeight="false" outlineLevel="0" collapsed="false">
      <c r="A129" s="500"/>
      <c r="B129" s="500"/>
      <c r="P129" s="371"/>
      <c r="Q129" s="371"/>
      <c r="R129" s="371"/>
      <c r="U129" s="371"/>
      <c r="V129" s="371"/>
      <c r="W129" s="371"/>
      <c r="X129" s="371"/>
      <c r="AO129" s="369"/>
      <c r="AQ129" s="370"/>
      <c r="AS129" s="370"/>
      <c r="AU129" s="530"/>
      <c r="AV129" s="369"/>
      <c r="AW129" s="370"/>
    </row>
    <row r="130" customFormat="false" ht="12.75" hidden="false" customHeight="false" outlineLevel="0" collapsed="false">
      <c r="P130" s="371"/>
      <c r="Q130" s="371"/>
      <c r="R130" s="371"/>
      <c r="U130" s="371"/>
      <c r="V130" s="371"/>
      <c r="W130" s="371"/>
      <c r="X130" s="371"/>
      <c r="AO130" s="369"/>
      <c r="AQ130" s="370"/>
      <c r="AS130" s="370"/>
      <c r="AU130" s="530"/>
      <c r="AV130" s="369"/>
      <c r="AW130" s="370"/>
    </row>
    <row r="131" customFormat="false" ht="12.75" hidden="false" customHeight="false" outlineLevel="0" collapsed="false">
      <c r="P131" s="371"/>
      <c r="Q131" s="371"/>
      <c r="R131" s="371"/>
      <c r="U131" s="371"/>
      <c r="V131" s="371"/>
      <c r="W131" s="371"/>
      <c r="X131" s="371"/>
      <c r="AO131" s="369"/>
      <c r="AQ131" s="370"/>
      <c r="AS131" s="370"/>
      <c r="AU131" s="530"/>
      <c r="AV131" s="369"/>
      <c r="AW131" s="370"/>
    </row>
    <row r="132" customFormat="false" ht="12.75" hidden="false" customHeight="false" outlineLevel="0" collapsed="false">
      <c r="P132" s="371"/>
      <c r="Q132" s="371"/>
      <c r="R132" s="371"/>
      <c r="U132" s="371"/>
      <c r="V132" s="371"/>
      <c r="W132" s="371"/>
      <c r="X132" s="371"/>
      <c r="AO132" s="369"/>
      <c r="AQ132" s="370"/>
      <c r="AS132" s="370"/>
      <c r="AU132" s="530"/>
      <c r="AV132" s="369"/>
      <c r="AW132" s="370"/>
    </row>
    <row r="133" customFormat="false" ht="12.75" hidden="false" customHeight="false" outlineLevel="0" collapsed="false">
      <c r="P133" s="371"/>
      <c r="Q133" s="371"/>
      <c r="R133" s="371"/>
      <c r="U133" s="371"/>
      <c r="V133" s="371"/>
      <c r="W133" s="371"/>
      <c r="X133" s="371"/>
      <c r="AO133" s="369"/>
      <c r="AQ133" s="370"/>
      <c r="AS133" s="370"/>
      <c r="AU133" s="530"/>
      <c r="AV133" s="369"/>
      <c r="AW133" s="370"/>
    </row>
    <row r="134" customFormat="false" ht="12.75" hidden="false" customHeight="false" outlineLevel="0" collapsed="false">
      <c r="P134" s="371"/>
      <c r="Q134" s="371"/>
      <c r="R134" s="371"/>
      <c r="U134" s="371"/>
      <c r="V134" s="371"/>
      <c r="W134" s="371"/>
      <c r="X134" s="371"/>
      <c r="AO134" s="369"/>
      <c r="AQ134" s="370"/>
      <c r="AS134" s="370"/>
      <c r="AU134" s="530"/>
      <c r="AV134" s="369"/>
      <c r="AW134" s="370"/>
    </row>
    <row r="135" customFormat="false" ht="12.75" hidden="false" customHeight="false" outlineLevel="0" collapsed="false">
      <c r="P135" s="371"/>
      <c r="Q135" s="371"/>
      <c r="R135" s="371"/>
      <c r="U135" s="371"/>
      <c r="V135" s="371"/>
      <c r="W135" s="371"/>
      <c r="X135" s="371"/>
      <c r="AO135" s="369"/>
      <c r="AQ135" s="370"/>
      <c r="AS135" s="370"/>
      <c r="AU135" s="530"/>
      <c r="AV135" s="369"/>
      <c r="AW135" s="370"/>
    </row>
    <row r="136" customFormat="false" ht="12.75" hidden="false" customHeight="false" outlineLevel="0" collapsed="false">
      <c r="P136" s="371"/>
      <c r="Q136" s="371"/>
      <c r="R136" s="371"/>
      <c r="U136" s="371"/>
      <c r="V136" s="371"/>
      <c r="W136" s="371"/>
      <c r="X136" s="371"/>
      <c r="AO136" s="369"/>
      <c r="AQ136" s="370"/>
      <c r="AS136" s="370"/>
      <c r="AU136" s="530"/>
      <c r="AV136" s="369"/>
      <c r="AW136" s="370"/>
    </row>
    <row r="137" customFormat="false" ht="12.75" hidden="false" customHeight="false" outlineLevel="0" collapsed="false">
      <c r="P137" s="371"/>
      <c r="Q137" s="371"/>
      <c r="R137" s="371"/>
      <c r="U137" s="371"/>
      <c r="V137" s="371"/>
      <c r="W137" s="371"/>
      <c r="X137" s="371"/>
      <c r="AO137" s="369"/>
      <c r="AQ137" s="370"/>
      <c r="AS137" s="370"/>
      <c r="AU137" s="530"/>
      <c r="AV137" s="369"/>
      <c r="AW137" s="370"/>
    </row>
    <row r="138" customFormat="false" ht="12.75" hidden="false" customHeight="false" outlineLevel="0" collapsed="false">
      <c r="P138" s="371"/>
      <c r="Q138" s="371"/>
      <c r="R138" s="371"/>
      <c r="U138" s="371"/>
      <c r="V138" s="371"/>
      <c r="W138" s="371"/>
      <c r="X138" s="371"/>
      <c r="AO138" s="369"/>
      <c r="AQ138" s="370"/>
      <c r="AS138" s="370"/>
      <c r="AU138" s="530"/>
      <c r="AV138" s="369"/>
      <c r="AW138" s="370"/>
    </row>
    <row r="139" customFormat="false" ht="12.75" hidden="false" customHeight="false" outlineLevel="0" collapsed="false">
      <c r="P139" s="371"/>
      <c r="Q139" s="371"/>
      <c r="R139" s="371"/>
      <c r="U139" s="371"/>
      <c r="V139" s="371"/>
      <c r="W139" s="371"/>
      <c r="X139" s="371"/>
      <c r="AO139" s="369"/>
      <c r="AQ139" s="370"/>
      <c r="AS139" s="370"/>
      <c r="AU139" s="530"/>
      <c r="AV139" s="369"/>
      <c r="AW139" s="370"/>
    </row>
    <row r="140" customFormat="false" ht="12.75" hidden="false" customHeight="false" outlineLevel="0" collapsed="false">
      <c r="P140" s="371"/>
      <c r="Q140" s="371"/>
      <c r="R140" s="371"/>
      <c r="U140" s="371"/>
      <c r="V140" s="371"/>
      <c r="W140" s="371"/>
      <c r="X140" s="371"/>
      <c r="AO140" s="369"/>
      <c r="AQ140" s="370"/>
      <c r="AS140" s="370"/>
      <c r="AU140" s="530"/>
      <c r="AV140" s="369"/>
      <c r="AW140" s="370"/>
    </row>
    <row r="141" customFormat="false" ht="12.75" hidden="false" customHeight="false" outlineLevel="0" collapsed="false">
      <c r="P141" s="371"/>
      <c r="Q141" s="371"/>
      <c r="R141" s="371"/>
      <c r="U141" s="371"/>
      <c r="V141" s="371"/>
      <c r="W141" s="371"/>
      <c r="X141" s="371"/>
      <c r="AO141" s="369"/>
      <c r="AQ141" s="370"/>
      <c r="AS141" s="370"/>
      <c r="AU141" s="530"/>
      <c r="AV141" s="369"/>
      <c r="AW141" s="370"/>
    </row>
    <row r="142" customFormat="false" ht="12.75" hidden="false" customHeight="false" outlineLevel="0" collapsed="false">
      <c r="P142" s="371"/>
      <c r="Q142" s="371"/>
      <c r="R142" s="371"/>
      <c r="U142" s="371"/>
      <c r="V142" s="371"/>
      <c r="W142" s="371"/>
      <c r="X142" s="371"/>
      <c r="AO142" s="369"/>
      <c r="AQ142" s="370"/>
      <c r="AS142" s="370"/>
      <c r="AU142" s="530"/>
      <c r="AV142" s="369"/>
      <c r="AW142" s="370"/>
    </row>
    <row r="143" customFormat="false" ht="12.75" hidden="false" customHeight="false" outlineLevel="0" collapsed="false">
      <c r="P143" s="371"/>
      <c r="Q143" s="371"/>
      <c r="R143" s="371"/>
      <c r="U143" s="371"/>
      <c r="V143" s="371"/>
      <c r="W143" s="371"/>
      <c r="X143" s="371"/>
      <c r="AO143" s="369"/>
      <c r="AQ143" s="370"/>
      <c r="AS143" s="370"/>
      <c r="AU143" s="530"/>
      <c r="AV143" s="369"/>
      <c r="AW143" s="370"/>
    </row>
    <row r="144" customFormat="false" ht="12.75" hidden="false" customHeight="false" outlineLevel="0" collapsed="false">
      <c r="P144" s="371"/>
      <c r="Q144" s="371"/>
      <c r="R144" s="371"/>
      <c r="U144" s="371"/>
      <c r="V144" s="371"/>
      <c r="W144" s="371"/>
      <c r="X144" s="371"/>
      <c r="AO144" s="369"/>
      <c r="AQ144" s="370"/>
      <c r="AS144" s="370"/>
      <c r="AU144" s="530"/>
      <c r="AV144" s="369"/>
      <c r="AW144" s="370"/>
    </row>
    <row r="145" customFormat="false" ht="12.75" hidden="false" customHeight="false" outlineLevel="0" collapsed="false">
      <c r="P145" s="371"/>
      <c r="Q145" s="371"/>
      <c r="R145" s="371"/>
      <c r="U145" s="371"/>
      <c r="V145" s="371"/>
      <c r="W145" s="371"/>
      <c r="X145" s="371"/>
      <c r="AO145" s="369"/>
      <c r="AQ145" s="370"/>
      <c r="AS145" s="370"/>
      <c r="AU145" s="530"/>
      <c r="AV145" s="369"/>
      <c r="AW145" s="370"/>
    </row>
    <row r="146" customFormat="false" ht="12.75" hidden="false" customHeight="false" outlineLevel="0" collapsed="false">
      <c r="P146" s="371"/>
      <c r="Q146" s="371"/>
      <c r="R146" s="371"/>
      <c r="U146" s="371"/>
      <c r="V146" s="371"/>
      <c r="W146" s="371"/>
      <c r="X146" s="371"/>
      <c r="AO146" s="369"/>
      <c r="AQ146" s="370"/>
      <c r="AS146" s="370"/>
      <c r="AU146" s="530"/>
      <c r="AV146" s="369"/>
      <c r="AW146" s="370"/>
    </row>
    <row r="147" customFormat="false" ht="12.75" hidden="false" customHeight="false" outlineLevel="0" collapsed="false">
      <c r="P147" s="371"/>
      <c r="Q147" s="371"/>
      <c r="R147" s="371"/>
      <c r="U147" s="371"/>
      <c r="V147" s="371"/>
      <c r="W147" s="371"/>
      <c r="X147" s="371"/>
      <c r="AO147" s="369"/>
      <c r="AQ147" s="370"/>
      <c r="AS147" s="370"/>
      <c r="AU147" s="530"/>
      <c r="AV147" s="369"/>
      <c r="AW147" s="370"/>
    </row>
    <row r="148" customFormat="false" ht="12.75" hidden="false" customHeight="false" outlineLevel="0" collapsed="false">
      <c r="P148" s="371"/>
      <c r="Q148" s="371"/>
      <c r="R148" s="371"/>
      <c r="U148" s="371"/>
      <c r="V148" s="371"/>
      <c r="W148" s="371"/>
      <c r="X148" s="371"/>
      <c r="AO148" s="369"/>
      <c r="AQ148" s="370"/>
      <c r="AS148" s="370"/>
      <c r="AU148" s="530"/>
      <c r="AV148" s="369"/>
      <c r="AW148" s="370"/>
    </row>
    <row r="149" customFormat="false" ht="12.75" hidden="false" customHeight="false" outlineLevel="0" collapsed="false">
      <c r="P149" s="371"/>
      <c r="Q149" s="371"/>
      <c r="R149" s="371"/>
      <c r="U149" s="371"/>
      <c r="V149" s="371"/>
      <c r="W149" s="371"/>
      <c r="X149" s="371"/>
      <c r="AO149" s="369"/>
      <c r="AQ149" s="370"/>
      <c r="AS149" s="370"/>
      <c r="AU149" s="530"/>
      <c r="AV149" s="369"/>
      <c r="AW149" s="370"/>
    </row>
    <row r="150" customFormat="false" ht="12.75" hidden="false" customHeight="false" outlineLevel="0" collapsed="false">
      <c r="P150" s="371"/>
      <c r="Q150" s="371"/>
      <c r="R150" s="371"/>
      <c r="U150" s="371"/>
      <c r="V150" s="371"/>
      <c r="W150" s="371"/>
      <c r="X150" s="371"/>
      <c r="AO150" s="369"/>
      <c r="AQ150" s="370"/>
      <c r="AS150" s="370"/>
      <c r="AU150" s="530"/>
      <c r="AV150" s="369"/>
      <c r="AW150" s="370"/>
    </row>
    <row r="151" customFormat="false" ht="12.75" hidden="false" customHeight="false" outlineLevel="0" collapsed="false">
      <c r="P151" s="371"/>
      <c r="Q151" s="371"/>
      <c r="R151" s="371"/>
      <c r="U151" s="371"/>
      <c r="V151" s="371"/>
      <c r="W151" s="371"/>
      <c r="X151" s="371"/>
      <c r="AO151" s="369"/>
      <c r="AQ151" s="370"/>
      <c r="AS151" s="370"/>
      <c r="AU151" s="530"/>
      <c r="AV151" s="369"/>
      <c r="AW151" s="370"/>
    </row>
    <row r="152" customFormat="false" ht="12.75" hidden="false" customHeight="false" outlineLevel="0" collapsed="false">
      <c r="P152" s="371"/>
      <c r="Q152" s="371"/>
      <c r="R152" s="371"/>
      <c r="U152" s="371"/>
      <c r="V152" s="371"/>
      <c r="W152" s="371"/>
      <c r="X152" s="371"/>
      <c r="AO152" s="369"/>
      <c r="AQ152" s="370"/>
      <c r="AS152" s="370"/>
      <c r="AU152" s="530"/>
      <c r="AV152" s="369"/>
      <c r="AW152" s="370"/>
    </row>
    <row r="153" customFormat="false" ht="12.75" hidden="false" customHeight="false" outlineLevel="0" collapsed="false">
      <c r="P153" s="371"/>
      <c r="Q153" s="371"/>
      <c r="R153" s="371"/>
      <c r="U153" s="371"/>
      <c r="V153" s="371"/>
      <c r="W153" s="371"/>
      <c r="X153" s="371"/>
      <c r="AO153" s="369"/>
      <c r="AQ153" s="370"/>
      <c r="AS153" s="370"/>
      <c r="AU153" s="530"/>
      <c r="AV153" s="369"/>
      <c r="AW153" s="370"/>
    </row>
    <row r="154" customFormat="false" ht="12.75" hidden="false" customHeight="false" outlineLevel="0" collapsed="false">
      <c r="P154" s="371"/>
      <c r="Q154" s="371"/>
      <c r="R154" s="371"/>
      <c r="U154" s="371"/>
      <c r="V154" s="371"/>
      <c r="W154" s="371"/>
      <c r="X154" s="371"/>
      <c r="AO154" s="369"/>
      <c r="AQ154" s="370"/>
      <c r="AS154" s="370"/>
      <c r="AU154" s="530"/>
      <c r="AV154" s="369"/>
      <c r="AW154" s="370"/>
    </row>
    <row r="155" customFormat="false" ht="12.75" hidden="false" customHeight="false" outlineLevel="0" collapsed="false">
      <c r="P155" s="371"/>
      <c r="Q155" s="371"/>
      <c r="R155" s="371"/>
      <c r="U155" s="371"/>
      <c r="V155" s="371"/>
      <c r="W155" s="371"/>
      <c r="X155" s="371"/>
      <c r="AO155" s="369"/>
      <c r="AQ155" s="370"/>
      <c r="AS155" s="370"/>
      <c r="AU155" s="530"/>
      <c r="AV155" s="369"/>
      <c r="AW155" s="370"/>
    </row>
    <row r="156" customFormat="false" ht="12.75" hidden="false" customHeight="false" outlineLevel="0" collapsed="false">
      <c r="P156" s="371"/>
      <c r="Q156" s="371"/>
      <c r="R156" s="371"/>
      <c r="U156" s="371"/>
      <c r="V156" s="371"/>
      <c r="W156" s="371"/>
      <c r="X156" s="371"/>
      <c r="AO156" s="369"/>
      <c r="AQ156" s="370"/>
      <c r="AS156" s="370"/>
      <c r="AU156" s="530"/>
      <c r="AV156" s="369"/>
      <c r="AW156" s="370"/>
    </row>
    <row r="157" customFormat="false" ht="12.75" hidden="false" customHeight="false" outlineLevel="0" collapsed="false">
      <c r="P157" s="371"/>
      <c r="Q157" s="371"/>
      <c r="R157" s="371"/>
      <c r="U157" s="371"/>
      <c r="V157" s="371"/>
      <c r="W157" s="371"/>
      <c r="X157" s="371"/>
      <c r="AO157" s="369"/>
      <c r="AQ157" s="370"/>
      <c r="AS157" s="370"/>
      <c r="AU157" s="530"/>
      <c r="AV157" s="369"/>
      <c r="AW157" s="370"/>
    </row>
    <row r="158" customFormat="false" ht="12.75" hidden="false" customHeight="false" outlineLevel="0" collapsed="false">
      <c r="P158" s="371"/>
      <c r="Q158" s="371"/>
      <c r="R158" s="371"/>
      <c r="U158" s="371"/>
      <c r="V158" s="371"/>
      <c r="W158" s="371"/>
      <c r="X158" s="371"/>
      <c r="AO158" s="369"/>
      <c r="AQ158" s="370"/>
      <c r="AS158" s="370"/>
      <c r="AU158" s="530"/>
      <c r="AV158" s="369"/>
      <c r="AW158" s="370"/>
    </row>
    <row r="159" customFormat="false" ht="12.75" hidden="false" customHeight="false" outlineLevel="0" collapsed="false">
      <c r="P159" s="371"/>
      <c r="Q159" s="371"/>
      <c r="R159" s="371"/>
      <c r="U159" s="371"/>
      <c r="V159" s="371"/>
      <c r="W159" s="371"/>
      <c r="X159" s="371"/>
      <c r="AO159" s="369"/>
      <c r="AQ159" s="370"/>
      <c r="AS159" s="370"/>
      <c r="AU159" s="530"/>
      <c r="AV159" s="369"/>
      <c r="AW159" s="370"/>
    </row>
    <row r="160" customFormat="false" ht="12.75" hidden="false" customHeight="false" outlineLevel="0" collapsed="false">
      <c r="P160" s="371"/>
      <c r="Q160" s="371"/>
      <c r="R160" s="371"/>
      <c r="U160" s="371"/>
      <c r="V160" s="371"/>
      <c r="W160" s="371"/>
      <c r="X160" s="371"/>
      <c r="AO160" s="369"/>
      <c r="AQ160" s="370"/>
      <c r="AS160" s="370"/>
      <c r="AU160" s="530"/>
      <c r="AV160" s="369"/>
      <c r="AW160" s="370"/>
    </row>
    <row r="161" customFormat="false" ht="12.75" hidden="false" customHeight="false" outlineLevel="0" collapsed="false">
      <c r="P161" s="371"/>
      <c r="Q161" s="371"/>
      <c r="R161" s="371"/>
      <c r="U161" s="371"/>
      <c r="V161" s="371"/>
      <c r="W161" s="371"/>
      <c r="X161" s="371"/>
      <c r="AO161" s="369"/>
      <c r="AQ161" s="370"/>
      <c r="AS161" s="370"/>
      <c r="AU161" s="530"/>
      <c r="AV161" s="369"/>
      <c r="AW161" s="370"/>
    </row>
    <row r="162" customFormat="false" ht="12.75" hidden="false" customHeight="false" outlineLevel="0" collapsed="false">
      <c r="P162" s="371"/>
      <c r="Q162" s="371"/>
      <c r="R162" s="371"/>
      <c r="U162" s="371"/>
      <c r="V162" s="371"/>
      <c r="W162" s="371"/>
      <c r="X162" s="371"/>
      <c r="AO162" s="369"/>
      <c r="AQ162" s="370"/>
      <c r="AS162" s="370"/>
      <c r="AU162" s="530"/>
      <c r="AV162" s="369"/>
      <c r="AW162" s="370"/>
    </row>
    <row r="163" customFormat="false" ht="12.75" hidden="false" customHeight="false" outlineLevel="0" collapsed="false">
      <c r="P163" s="371"/>
      <c r="Q163" s="371"/>
      <c r="R163" s="371"/>
      <c r="U163" s="371"/>
      <c r="V163" s="371"/>
      <c r="W163" s="371"/>
      <c r="X163" s="371"/>
      <c r="AO163" s="369"/>
      <c r="AQ163" s="370"/>
      <c r="AS163" s="370"/>
      <c r="AU163" s="530"/>
      <c r="AV163" s="369"/>
      <c r="AW163" s="370"/>
    </row>
    <row r="164" customFormat="false" ht="12.75" hidden="false" customHeight="false" outlineLevel="0" collapsed="false">
      <c r="P164" s="371"/>
      <c r="Q164" s="371"/>
      <c r="R164" s="371"/>
      <c r="U164" s="371"/>
      <c r="V164" s="371"/>
      <c r="W164" s="371"/>
      <c r="X164" s="371"/>
    </row>
    <row r="165" customFormat="false" ht="12.75" hidden="false" customHeight="false" outlineLevel="0" collapsed="false">
      <c r="P165" s="371"/>
      <c r="Q165" s="371"/>
      <c r="R165" s="371"/>
      <c r="U165" s="371"/>
      <c r="V165" s="371"/>
      <c r="W165" s="371"/>
      <c r="X165" s="371"/>
    </row>
    <row r="166" customFormat="false" ht="12.75" hidden="false" customHeight="false" outlineLevel="0" collapsed="false">
      <c r="P166" s="371"/>
      <c r="Q166" s="371"/>
      <c r="R166" s="371"/>
      <c r="U166" s="371"/>
      <c r="V166" s="371"/>
      <c r="W166" s="371"/>
      <c r="X166" s="371"/>
    </row>
    <row r="167" customFormat="false" ht="12.75" hidden="false" customHeight="false" outlineLevel="0" collapsed="false">
      <c r="P167" s="371"/>
      <c r="Q167" s="371"/>
      <c r="R167" s="371"/>
      <c r="U167" s="371"/>
      <c r="V167" s="371"/>
      <c r="W167" s="371"/>
      <c r="X167" s="371"/>
    </row>
    <row r="168" customFormat="false" ht="12.75" hidden="false" customHeight="false" outlineLevel="0" collapsed="false">
      <c r="P168" s="371"/>
      <c r="Q168" s="371"/>
      <c r="R168" s="371"/>
      <c r="U168" s="371"/>
      <c r="V168" s="371"/>
      <c r="W168" s="371"/>
      <c r="X168" s="371"/>
    </row>
    <row r="169" customFormat="false" ht="12.75" hidden="false" customHeight="false" outlineLevel="0" collapsed="false">
      <c r="P169" s="371"/>
      <c r="Q169" s="371"/>
      <c r="R169" s="371"/>
      <c r="U169" s="371"/>
      <c r="V169" s="371"/>
      <c r="W169" s="371"/>
      <c r="X169" s="371"/>
    </row>
    <row r="170" customFormat="false" ht="12.75" hidden="false" customHeight="false" outlineLevel="0" collapsed="false">
      <c r="P170" s="371"/>
      <c r="Q170" s="371"/>
      <c r="R170" s="371"/>
      <c r="U170" s="371"/>
      <c r="V170" s="371"/>
      <c r="W170" s="371"/>
      <c r="X170" s="371"/>
    </row>
    <row r="171" customFormat="false" ht="12.75" hidden="false" customHeight="false" outlineLevel="0" collapsed="false">
      <c r="P171" s="371"/>
      <c r="Q171" s="371"/>
      <c r="R171" s="371"/>
      <c r="U171" s="371"/>
      <c r="V171" s="371"/>
      <c r="W171" s="371"/>
      <c r="X171" s="371"/>
    </row>
    <row r="172" customFormat="false" ht="12.75" hidden="false" customHeight="false" outlineLevel="0" collapsed="false">
      <c r="P172" s="371"/>
      <c r="Q172" s="371"/>
      <c r="R172" s="371"/>
      <c r="U172" s="371"/>
      <c r="V172" s="371"/>
      <c r="W172" s="371"/>
      <c r="X172" s="371"/>
    </row>
    <row r="173" customFormat="false" ht="12.75" hidden="false" customHeight="false" outlineLevel="0" collapsed="false">
      <c r="P173" s="371"/>
      <c r="Q173" s="371"/>
      <c r="R173" s="371"/>
      <c r="U173" s="371"/>
      <c r="V173" s="371"/>
      <c r="W173" s="371"/>
      <c r="X173" s="371"/>
    </row>
    <row r="174" customFormat="false" ht="12.75" hidden="false" customHeight="false" outlineLevel="0" collapsed="false">
      <c r="P174" s="371"/>
      <c r="Q174" s="371"/>
      <c r="R174" s="371"/>
      <c r="U174" s="371"/>
      <c r="V174" s="371"/>
      <c r="W174" s="371"/>
      <c r="X174" s="371"/>
    </row>
    <row r="175" customFormat="false" ht="12.75" hidden="false" customHeight="false" outlineLevel="0" collapsed="false">
      <c r="P175" s="371"/>
      <c r="Q175" s="371"/>
      <c r="R175" s="371"/>
      <c r="U175" s="371"/>
      <c r="V175" s="371"/>
      <c r="W175" s="371"/>
      <c r="X175" s="371"/>
    </row>
    <row r="176" customFormat="false" ht="12.75" hidden="false" customHeight="false" outlineLevel="0" collapsed="false">
      <c r="P176" s="371"/>
      <c r="Q176" s="371"/>
      <c r="R176" s="371"/>
      <c r="U176" s="371"/>
      <c r="V176" s="371"/>
      <c r="W176" s="371"/>
      <c r="X176" s="371"/>
    </row>
    <row r="177" customFormat="false" ht="12.75" hidden="false" customHeight="false" outlineLevel="0" collapsed="false">
      <c r="P177" s="371"/>
      <c r="Q177" s="371"/>
      <c r="R177" s="371"/>
      <c r="U177" s="371"/>
      <c r="V177" s="371"/>
      <c r="W177" s="371"/>
      <c r="X177" s="371"/>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row r="404" customFormat="false" ht="12.75" hidden="false" customHeight="false" outlineLevel="0" collapsed="false">
      <c r="P404" s="371"/>
      <c r="Q404" s="371"/>
      <c r="R404" s="371"/>
      <c r="U404" s="371"/>
      <c r="V404" s="371"/>
      <c r="W404" s="371"/>
      <c r="X404" s="371"/>
    </row>
    <row r="405" customFormat="false" ht="12.75" hidden="false" customHeight="false" outlineLevel="0" collapsed="false">
      <c r="P405" s="371"/>
      <c r="Q405" s="371"/>
      <c r="R405" s="371"/>
      <c r="U405" s="371"/>
      <c r="V405" s="371"/>
      <c r="W405" s="371"/>
      <c r="X405" s="371"/>
    </row>
    <row r="406" customFormat="false" ht="12.75" hidden="false" customHeight="false" outlineLevel="0" collapsed="false">
      <c r="P406" s="371"/>
      <c r="Q406" s="371"/>
      <c r="R406" s="371"/>
      <c r="U406" s="371"/>
      <c r="V406" s="371"/>
      <c r="W406" s="371"/>
      <c r="X406" s="371"/>
    </row>
    <row r="407" customFormat="false" ht="12.75" hidden="false" customHeight="false" outlineLevel="0" collapsed="false">
      <c r="P407" s="371"/>
      <c r="Q407" s="371"/>
      <c r="R407" s="371"/>
      <c r="U407" s="371"/>
      <c r="V407" s="371"/>
      <c r="W407" s="371"/>
      <c r="X407" s="371"/>
    </row>
    <row r="408" customFormat="false" ht="12.75" hidden="false" customHeight="false" outlineLevel="0" collapsed="false">
      <c r="P408" s="371"/>
      <c r="Q408" s="371"/>
      <c r="R408" s="371"/>
      <c r="U408" s="371"/>
      <c r="V408" s="371"/>
      <c r="W408" s="371"/>
      <c r="X408" s="371"/>
    </row>
    <row r="409" customFormat="false" ht="12.75" hidden="false" customHeight="false" outlineLevel="0" collapsed="false">
      <c r="P409" s="371"/>
      <c r="Q409" s="371"/>
      <c r="R409" s="371"/>
      <c r="U409" s="371"/>
      <c r="V409" s="371"/>
      <c r="W409" s="371"/>
      <c r="X409" s="371"/>
    </row>
    <row r="410" customFormat="false" ht="12.75" hidden="false" customHeight="false" outlineLevel="0" collapsed="false">
      <c r="P410" s="371"/>
      <c r="Q410" s="371"/>
      <c r="R410" s="371"/>
      <c r="U410" s="371"/>
      <c r="V410" s="371"/>
      <c r="W410" s="371"/>
      <c r="X410" s="371"/>
    </row>
    <row r="411" customFormat="false" ht="12.75" hidden="false" customHeight="false" outlineLevel="0" collapsed="false">
      <c r="P411" s="371"/>
      <c r="Q411" s="371"/>
      <c r="R411" s="371"/>
      <c r="U411" s="371"/>
      <c r="V411" s="371"/>
      <c r="W411" s="371"/>
      <c r="X411" s="371"/>
    </row>
    <row r="412" customFormat="false" ht="12.75" hidden="false" customHeight="false" outlineLevel="0" collapsed="false">
      <c r="P412" s="371"/>
      <c r="Q412" s="371"/>
      <c r="R412" s="371"/>
      <c r="U412" s="371"/>
      <c r="V412" s="371"/>
      <c r="W412" s="371"/>
      <c r="X412" s="371"/>
    </row>
    <row r="413" customFormat="false" ht="12.75" hidden="false" customHeight="false" outlineLevel="0" collapsed="false">
      <c r="P413" s="371"/>
      <c r="Q413" s="371"/>
      <c r="R413" s="371"/>
      <c r="U413" s="371"/>
      <c r="V413" s="371"/>
      <c r="W413" s="371"/>
      <c r="X413" s="371"/>
    </row>
    <row r="414" customFormat="false" ht="12.75" hidden="false" customHeight="false" outlineLevel="0" collapsed="false">
      <c r="P414" s="371"/>
      <c r="Q414" s="371"/>
      <c r="R414" s="371"/>
      <c r="U414" s="371"/>
      <c r="V414" s="371"/>
      <c r="W414" s="371"/>
      <c r="X414" s="371"/>
    </row>
    <row r="415" customFormat="false" ht="12.75" hidden="false" customHeight="false" outlineLevel="0" collapsed="false">
      <c r="P415" s="371"/>
      <c r="Q415" s="371"/>
      <c r="R415" s="371"/>
      <c r="U415" s="371"/>
      <c r="V415" s="371"/>
      <c r="W415" s="371"/>
      <c r="X415" s="371"/>
    </row>
    <row r="416" customFormat="false" ht="12.75" hidden="false" customHeight="false" outlineLevel="0" collapsed="false">
      <c r="P416" s="371"/>
      <c r="Q416" s="371"/>
      <c r="R416" s="371"/>
      <c r="U416" s="371"/>
      <c r="V416" s="371"/>
      <c r="W416" s="371"/>
      <c r="X416" s="371"/>
    </row>
    <row r="417" customFormat="false" ht="12.75" hidden="false" customHeight="false" outlineLevel="0" collapsed="false">
      <c r="P417" s="371"/>
      <c r="Q417" s="371"/>
      <c r="R417" s="371"/>
      <c r="U417" s="371"/>
      <c r="V417" s="371"/>
      <c r="W417" s="371"/>
      <c r="X417" s="371"/>
    </row>
    <row r="418" customFormat="false" ht="12.75" hidden="false" customHeight="false" outlineLevel="0" collapsed="false">
      <c r="P418" s="371"/>
      <c r="Q418" s="371"/>
      <c r="R418" s="371"/>
      <c r="U418" s="371"/>
      <c r="V418" s="371"/>
      <c r="W418" s="371"/>
      <c r="X418" s="371"/>
    </row>
    <row r="419" customFormat="false" ht="12.75" hidden="false" customHeight="false" outlineLevel="0" collapsed="false">
      <c r="P419" s="371"/>
      <c r="Q419" s="371"/>
      <c r="R419" s="371"/>
      <c r="U419" s="371"/>
      <c r="V419" s="371"/>
      <c r="W419" s="371"/>
      <c r="X419" s="371"/>
    </row>
    <row r="420" customFormat="false" ht="12.75" hidden="false" customHeight="false" outlineLevel="0" collapsed="false">
      <c r="P420" s="371"/>
      <c r="Q420" s="371"/>
      <c r="R420" s="371"/>
      <c r="U420" s="371"/>
      <c r="V420" s="371"/>
      <c r="W420" s="371"/>
      <c r="X420" s="371"/>
    </row>
    <row r="421" customFormat="false" ht="12.75" hidden="false" customHeight="false" outlineLevel="0" collapsed="false">
      <c r="P421" s="371"/>
      <c r="Q421" s="371"/>
      <c r="R421" s="371"/>
      <c r="U421" s="371"/>
      <c r="V421" s="371"/>
      <c r="W421" s="371"/>
      <c r="X421" s="371"/>
    </row>
    <row r="422" customFormat="false" ht="12.75" hidden="false" customHeight="false" outlineLevel="0" collapsed="false">
      <c r="P422" s="371"/>
      <c r="Q422" s="371"/>
      <c r="R422" s="371"/>
      <c r="U422" s="371"/>
      <c r="V422" s="371"/>
      <c r="W422" s="371"/>
      <c r="X422" s="371"/>
    </row>
    <row r="423" customFormat="false" ht="12.75" hidden="false" customHeight="false" outlineLevel="0" collapsed="false">
      <c r="P423" s="371"/>
      <c r="Q423" s="371"/>
      <c r="R423" s="371"/>
      <c r="U423" s="371"/>
      <c r="V423" s="371"/>
      <c r="W423" s="371"/>
      <c r="X423" s="371"/>
    </row>
    <row r="424" customFormat="false" ht="12.75" hidden="false" customHeight="false" outlineLevel="0" collapsed="false">
      <c r="P424" s="371"/>
      <c r="Q424" s="371"/>
      <c r="R424" s="371"/>
      <c r="U424" s="371"/>
      <c r="V424" s="371"/>
      <c r="W424" s="371"/>
      <c r="X424" s="371"/>
    </row>
    <row r="425" customFormat="false" ht="12.75" hidden="false" customHeight="false" outlineLevel="0" collapsed="false">
      <c r="P425" s="371"/>
      <c r="Q425" s="371"/>
      <c r="R425" s="371"/>
      <c r="U425" s="371"/>
      <c r="V425" s="371"/>
      <c r="W425" s="371"/>
      <c r="X425" s="371"/>
    </row>
    <row r="426" customFormat="false" ht="12.75" hidden="false" customHeight="false" outlineLevel="0" collapsed="false">
      <c r="P426" s="371"/>
      <c r="Q426" s="371"/>
      <c r="R426" s="371"/>
      <c r="U426" s="371"/>
      <c r="V426" s="371"/>
      <c r="W426" s="371"/>
      <c r="X426" s="371"/>
    </row>
    <row r="427" customFormat="false" ht="12.75" hidden="false" customHeight="false" outlineLevel="0" collapsed="false">
      <c r="P427" s="371"/>
      <c r="Q427" s="371"/>
      <c r="R427" s="371"/>
      <c r="U427" s="371"/>
      <c r="V427" s="371"/>
      <c r="W427" s="371"/>
      <c r="X427" s="371"/>
    </row>
    <row r="428" customFormat="false" ht="12.75" hidden="false" customHeight="false" outlineLevel="0" collapsed="false">
      <c r="P428" s="371"/>
      <c r="Q428" s="371"/>
      <c r="R428" s="371"/>
      <c r="U428" s="371"/>
      <c r="V428" s="371"/>
      <c r="W428" s="371"/>
      <c r="X428" s="371"/>
    </row>
    <row r="429" customFormat="false" ht="12.75" hidden="false" customHeight="false" outlineLevel="0" collapsed="false">
      <c r="P429" s="371"/>
      <c r="Q429" s="371"/>
      <c r="R429" s="371"/>
      <c r="U429" s="371"/>
      <c r="V429" s="371"/>
      <c r="W429" s="371"/>
      <c r="X429" s="371"/>
    </row>
    <row r="430" customFormat="false" ht="12.75" hidden="false" customHeight="false" outlineLevel="0" collapsed="false">
      <c r="P430" s="371"/>
      <c r="Q430" s="371"/>
      <c r="R430" s="371"/>
      <c r="U430" s="371"/>
      <c r="V430" s="371"/>
      <c r="W430" s="371"/>
      <c r="X430" s="371"/>
    </row>
    <row r="431" customFormat="false" ht="12.75" hidden="false" customHeight="false" outlineLevel="0" collapsed="false">
      <c r="P431" s="371"/>
      <c r="Q431" s="371"/>
      <c r="R431" s="371"/>
      <c r="U431" s="371"/>
      <c r="V431" s="371"/>
      <c r="W431" s="371"/>
      <c r="X431" s="371"/>
    </row>
    <row r="432" customFormat="false" ht="12.75" hidden="false" customHeight="false" outlineLevel="0" collapsed="false">
      <c r="P432" s="371"/>
      <c r="Q432" s="371"/>
      <c r="R432" s="371"/>
      <c r="U432" s="371"/>
      <c r="V432" s="371"/>
      <c r="W432" s="371"/>
      <c r="X432" s="371"/>
    </row>
    <row r="433" customFormat="false" ht="12.75" hidden="false" customHeight="false" outlineLevel="0" collapsed="false">
      <c r="P433" s="371"/>
      <c r="Q433" s="371"/>
      <c r="R433" s="371"/>
      <c r="U433" s="371"/>
      <c r="V433" s="371"/>
      <c r="W433" s="371"/>
      <c r="X433" s="371"/>
    </row>
    <row r="434" customFormat="false" ht="12.75" hidden="false" customHeight="false" outlineLevel="0" collapsed="false">
      <c r="P434" s="371"/>
      <c r="Q434" s="371"/>
      <c r="R434" s="371"/>
      <c r="U434" s="371"/>
      <c r="V434" s="371"/>
      <c r="W434" s="371"/>
      <c r="X434" s="371"/>
    </row>
    <row r="435" customFormat="false" ht="12.75" hidden="false" customHeight="false" outlineLevel="0" collapsed="false">
      <c r="P435" s="371"/>
      <c r="Q435" s="371"/>
      <c r="R435" s="371"/>
      <c r="U435" s="371"/>
      <c r="V435" s="371"/>
      <c r="W435" s="371"/>
      <c r="X435" s="371"/>
    </row>
    <row r="436" customFormat="false" ht="12.75" hidden="false" customHeight="false" outlineLevel="0" collapsed="false">
      <c r="P436" s="371"/>
      <c r="Q436" s="371"/>
      <c r="R436" s="371"/>
      <c r="U436" s="371"/>
      <c r="V436" s="371"/>
      <c r="W436" s="371"/>
      <c r="X436" s="371"/>
    </row>
    <row r="437" customFormat="false" ht="12.75" hidden="false" customHeight="false" outlineLevel="0" collapsed="false">
      <c r="P437" s="371"/>
      <c r="Q437" s="371"/>
      <c r="R437" s="371"/>
      <c r="U437" s="371"/>
      <c r="V437" s="371"/>
      <c r="W437" s="371"/>
      <c r="X437" s="371"/>
    </row>
    <row r="438" customFormat="false" ht="12.75" hidden="false" customHeight="false" outlineLevel="0" collapsed="false">
      <c r="P438" s="371"/>
      <c r="Q438" s="371"/>
      <c r="R438" s="371"/>
      <c r="U438" s="371"/>
      <c r="V438" s="371"/>
      <c r="W438" s="371"/>
      <c r="X438" s="371"/>
    </row>
    <row r="439" customFormat="false" ht="12.75" hidden="false" customHeight="false" outlineLevel="0" collapsed="false">
      <c r="P439" s="371"/>
      <c r="Q439" s="371"/>
      <c r="R439" s="371"/>
      <c r="U439" s="371"/>
      <c r="V439" s="371"/>
      <c r="W439" s="371"/>
      <c r="X439" s="371"/>
    </row>
    <row r="440" customFormat="false" ht="12.75" hidden="false" customHeight="false" outlineLevel="0" collapsed="false">
      <c r="P440" s="371"/>
      <c r="Q440" s="371"/>
      <c r="R440" s="371"/>
      <c r="U440" s="371"/>
      <c r="V440" s="371"/>
      <c r="W440" s="371"/>
      <c r="X440" s="371"/>
    </row>
    <row r="441" customFormat="false" ht="12.75" hidden="false" customHeight="false" outlineLevel="0" collapsed="false">
      <c r="P441" s="371"/>
      <c r="Q441" s="371"/>
      <c r="R441" s="371"/>
      <c r="U441" s="371"/>
      <c r="V441" s="371"/>
      <c r="W441" s="371"/>
      <c r="X441" s="371"/>
    </row>
    <row r="442" customFormat="false" ht="12.75" hidden="false" customHeight="false" outlineLevel="0" collapsed="false">
      <c r="P442" s="371"/>
      <c r="Q442" s="371"/>
      <c r="R442" s="371"/>
      <c r="U442" s="371"/>
      <c r="V442" s="371"/>
      <c r="W442" s="371"/>
      <c r="X442" s="371"/>
    </row>
    <row r="443" customFormat="false" ht="12.75" hidden="false" customHeight="false" outlineLevel="0" collapsed="false">
      <c r="P443" s="371"/>
      <c r="Q443" s="371"/>
      <c r="R443" s="371"/>
      <c r="U443" s="371"/>
      <c r="V443" s="371"/>
      <c r="W443" s="371"/>
      <c r="X443" s="371"/>
    </row>
    <row r="444" customFormat="false" ht="12.75" hidden="false" customHeight="false" outlineLevel="0" collapsed="false">
      <c r="P444" s="371"/>
      <c r="Q444" s="371"/>
      <c r="R444" s="371"/>
      <c r="U444" s="371"/>
      <c r="V444" s="371"/>
      <c r="W444" s="371"/>
      <c r="X444" s="371"/>
    </row>
    <row r="445" customFormat="false" ht="12.75" hidden="false" customHeight="false" outlineLevel="0" collapsed="false">
      <c r="P445" s="371"/>
      <c r="Q445" s="371"/>
      <c r="R445" s="371"/>
      <c r="U445" s="371"/>
      <c r="V445" s="371"/>
      <c r="W445" s="371"/>
      <c r="X445" s="371"/>
    </row>
    <row r="446" customFormat="false" ht="12.75" hidden="false" customHeight="false" outlineLevel="0" collapsed="false">
      <c r="P446" s="371"/>
      <c r="Q446" s="371"/>
      <c r="R446" s="371"/>
      <c r="U446" s="371"/>
      <c r="V446" s="371"/>
      <c r="W446" s="371"/>
      <c r="X446" s="371"/>
    </row>
    <row r="447" customFormat="false" ht="12.75" hidden="false" customHeight="false" outlineLevel="0" collapsed="false">
      <c r="P447" s="371"/>
      <c r="Q447" s="371"/>
      <c r="R447" s="371"/>
      <c r="U447" s="371"/>
      <c r="V447" s="371"/>
      <c r="W447" s="371"/>
      <c r="X447" s="371"/>
    </row>
    <row r="448" customFormat="false" ht="12.75" hidden="false" customHeight="false" outlineLevel="0" collapsed="false">
      <c r="P448" s="371"/>
      <c r="Q448" s="371"/>
      <c r="R448" s="371"/>
      <c r="U448" s="371"/>
      <c r="V448" s="371"/>
      <c r="W448" s="371"/>
      <c r="X448" s="371"/>
    </row>
    <row r="449" customFormat="false" ht="12.75" hidden="false" customHeight="false" outlineLevel="0" collapsed="false">
      <c r="P449" s="371"/>
      <c r="Q449" s="371"/>
      <c r="R449" s="371"/>
      <c r="U449" s="371"/>
      <c r="V449" s="371"/>
      <c r="W449" s="371"/>
      <c r="X449" s="371"/>
    </row>
    <row r="450" customFormat="false" ht="12.75" hidden="false" customHeight="false" outlineLevel="0" collapsed="false">
      <c r="P450" s="371"/>
      <c r="Q450" s="371"/>
      <c r="R450" s="371"/>
      <c r="U450" s="371"/>
      <c r="V450" s="371"/>
      <c r="W450" s="371"/>
      <c r="X450" s="371"/>
    </row>
    <row r="451" customFormat="false" ht="12.75" hidden="false" customHeight="false" outlineLevel="0" collapsed="false">
      <c r="P451" s="371"/>
      <c r="Q451" s="371"/>
      <c r="R451" s="371"/>
      <c r="U451" s="371"/>
      <c r="V451" s="371"/>
      <c r="W451" s="371"/>
      <c r="X451" s="371"/>
    </row>
    <row r="452" customFormat="false" ht="12.75" hidden="false" customHeight="false" outlineLevel="0" collapsed="false">
      <c r="P452" s="371"/>
      <c r="Q452" s="371"/>
      <c r="R452" s="371"/>
      <c r="U452" s="371"/>
      <c r="V452" s="371"/>
      <c r="W452" s="371"/>
      <c r="X452" s="371"/>
    </row>
    <row r="453" customFormat="false" ht="12.75" hidden="false" customHeight="false" outlineLevel="0" collapsed="false">
      <c r="P453" s="371"/>
      <c r="Q453" s="371"/>
      <c r="R453" s="371"/>
      <c r="U453" s="371"/>
      <c r="V453" s="371"/>
      <c r="W453" s="371"/>
      <c r="X453" s="371"/>
    </row>
    <row r="454" customFormat="false" ht="12.75" hidden="false" customHeight="false" outlineLevel="0" collapsed="false">
      <c r="P454" s="371"/>
      <c r="Q454" s="371"/>
      <c r="R454" s="371"/>
      <c r="U454" s="371"/>
      <c r="V454" s="371"/>
      <c r="W454" s="371"/>
      <c r="X454" s="371"/>
    </row>
    <row r="455" customFormat="false" ht="12.75" hidden="false" customHeight="false" outlineLevel="0" collapsed="false">
      <c r="P455" s="371"/>
      <c r="Q455" s="371"/>
      <c r="R455" s="371"/>
      <c r="U455" s="371"/>
      <c r="V455" s="371"/>
      <c r="W455" s="371"/>
      <c r="X455" s="371"/>
    </row>
    <row r="456" customFormat="false" ht="12.75" hidden="false" customHeight="false" outlineLevel="0" collapsed="false">
      <c r="P456" s="371"/>
      <c r="Q456" s="371"/>
      <c r="R456" s="371"/>
      <c r="U456" s="371"/>
      <c r="V456" s="371"/>
      <c r="W456" s="371"/>
      <c r="X456" s="371"/>
    </row>
    <row r="457" customFormat="false" ht="12.75" hidden="false" customHeight="false" outlineLevel="0" collapsed="false">
      <c r="P457" s="371"/>
      <c r="Q457" s="371"/>
      <c r="R457" s="371"/>
      <c r="U457" s="371"/>
      <c r="V457" s="371"/>
      <c r="W457" s="371"/>
      <c r="X457" s="371"/>
    </row>
    <row r="458" customFormat="false" ht="12.75" hidden="false" customHeight="false" outlineLevel="0" collapsed="false">
      <c r="P458" s="371"/>
      <c r="Q458" s="371"/>
      <c r="R458" s="371"/>
      <c r="U458" s="371"/>
      <c r="V458" s="371"/>
      <c r="W458" s="371"/>
      <c r="X458" s="371"/>
    </row>
    <row r="459" customFormat="false" ht="12.75" hidden="false" customHeight="false" outlineLevel="0" collapsed="false">
      <c r="P459" s="371"/>
      <c r="Q459" s="371"/>
      <c r="R459" s="371"/>
      <c r="U459" s="371"/>
      <c r="V459" s="371"/>
      <c r="W459" s="371"/>
      <c r="X459" s="371"/>
    </row>
    <row r="460" customFormat="false" ht="12.75" hidden="false" customHeight="false" outlineLevel="0" collapsed="false">
      <c r="P460" s="371"/>
      <c r="Q460" s="371"/>
      <c r="R460" s="371"/>
      <c r="U460" s="371"/>
      <c r="V460" s="371"/>
      <c r="W460" s="371"/>
      <c r="X460" s="371"/>
    </row>
    <row r="461" customFormat="false" ht="12.75" hidden="false" customHeight="false" outlineLevel="0" collapsed="false">
      <c r="P461" s="371"/>
      <c r="Q461" s="371"/>
      <c r="R461" s="371"/>
      <c r="U461" s="371"/>
      <c r="V461" s="371"/>
      <c r="W461" s="371"/>
      <c r="X461" s="371"/>
    </row>
    <row r="462" customFormat="false" ht="12.75" hidden="false" customHeight="false" outlineLevel="0" collapsed="false">
      <c r="P462" s="371"/>
      <c r="Q462" s="371"/>
      <c r="R462" s="371"/>
      <c r="U462" s="371"/>
      <c r="V462" s="371"/>
      <c r="W462" s="371"/>
      <c r="X462" s="371"/>
    </row>
    <row r="463" customFormat="false" ht="12.75" hidden="false" customHeight="false" outlineLevel="0" collapsed="false">
      <c r="P463" s="371"/>
      <c r="Q463" s="371"/>
      <c r="R463" s="371"/>
      <c r="U463" s="371"/>
      <c r="V463" s="371"/>
      <c r="W463" s="371"/>
      <c r="X463" s="371"/>
    </row>
    <row r="464" customFormat="false" ht="12.75" hidden="false" customHeight="false" outlineLevel="0" collapsed="false">
      <c r="P464" s="371"/>
      <c r="Q464" s="371"/>
      <c r="R464" s="371"/>
      <c r="U464" s="371"/>
      <c r="V464" s="371"/>
      <c r="W464" s="371"/>
      <c r="X464" s="371"/>
    </row>
    <row r="465" customFormat="false" ht="12.75" hidden="false" customHeight="false" outlineLevel="0" collapsed="false">
      <c r="P465" s="371"/>
      <c r="Q465" s="371"/>
      <c r="R465" s="371"/>
      <c r="U465" s="371"/>
      <c r="V465" s="371"/>
      <c r="W465" s="371"/>
      <c r="X465" s="371"/>
    </row>
    <row r="466" customFormat="false" ht="12.75" hidden="false" customHeight="false" outlineLevel="0" collapsed="false">
      <c r="P466" s="371"/>
      <c r="Q466" s="371"/>
      <c r="R466" s="371"/>
      <c r="U466" s="371"/>
      <c r="V466" s="371"/>
      <c r="W466" s="371"/>
      <c r="X466" s="371"/>
    </row>
    <row r="467" customFormat="false" ht="12.75" hidden="false" customHeight="false" outlineLevel="0" collapsed="false">
      <c r="P467" s="371"/>
      <c r="Q467" s="371"/>
      <c r="R467" s="371"/>
      <c r="U467" s="371"/>
      <c r="V467" s="371"/>
      <c r="W467" s="371"/>
      <c r="X467" s="371"/>
    </row>
    <row r="468" customFormat="false" ht="12.75" hidden="false" customHeight="false" outlineLevel="0" collapsed="false">
      <c r="P468" s="371"/>
      <c r="Q468" s="371"/>
      <c r="R468" s="371"/>
      <c r="U468" s="371"/>
      <c r="V468" s="371"/>
      <c r="W468" s="371"/>
      <c r="X468" s="371"/>
    </row>
    <row r="469" customFormat="false" ht="12.75" hidden="false" customHeight="false" outlineLevel="0" collapsed="false">
      <c r="P469" s="371"/>
      <c r="Q469" s="371"/>
      <c r="R469" s="371"/>
      <c r="U469" s="371"/>
      <c r="V469" s="371"/>
      <c r="W469" s="371"/>
      <c r="X469" s="371"/>
    </row>
    <row r="470" customFormat="false" ht="12.75" hidden="false" customHeight="false" outlineLevel="0" collapsed="false">
      <c r="P470" s="371"/>
      <c r="Q470" s="371"/>
      <c r="R470" s="371"/>
      <c r="U470" s="371"/>
      <c r="V470" s="371"/>
      <c r="W470" s="371"/>
      <c r="X470" s="371"/>
    </row>
    <row r="471" customFormat="false" ht="12.75" hidden="false" customHeight="false" outlineLevel="0" collapsed="false">
      <c r="P471" s="371"/>
      <c r="Q471" s="371"/>
      <c r="R471" s="371"/>
      <c r="U471" s="371"/>
      <c r="V471" s="371"/>
      <c r="W471" s="371"/>
      <c r="X471" s="371"/>
    </row>
    <row r="472" customFormat="false" ht="12.75" hidden="false" customHeight="false" outlineLevel="0" collapsed="false">
      <c r="P472" s="371"/>
      <c r="Q472" s="371"/>
      <c r="R472" s="371"/>
      <c r="U472" s="371"/>
      <c r="V472" s="371"/>
      <c r="W472" s="371"/>
      <c r="X472" s="371"/>
    </row>
    <row r="473" customFormat="false" ht="12.75" hidden="false" customHeight="false" outlineLevel="0" collapsed="false">
      <c r="P473" s="371"/>
      <c r="Q473" s="371"/>
      <c r="R473" s="371"/>
      <c r="U473" s="371"/>
      <c r="V473" s="371"/>
      <c r="W473" s="371"/>
      <c r="X473" s="371"/>
    </row>
    <row r="474" customFormat="false" ht="12.75" hidden="false" customHeight="false" outlineLevel="0" collapsed="false">
      <c r="P474" s="371"/>
      <c r="Q474" s="371"/>
      <c r="R474" s="371"/>
      <c r="U474" s="371"/>
      <c r="V474" s="371"/>
      <c r="W474" s="371"/>
      <c r="X474" s="371"/>
    </row>
    <row r="475" customFormat="false" ht="12.75" hidden="false" customHeight="false" outlineLevel="0" collapsed="false">
      <c r="P475" s="371"/>
      <c r="Q475" s="371"/>
      <c r="R475" s="371"/>
      <c r="U475" s="371"/>
      <c r="V475" s="371"/>
      <c r="W475" s="371"/>
      <c r="X475" s="371"/>
    </row>
    <row r="476" customFormat="false" ht="12.75" hidden="false" customHeight="false" outlineLevel="0" collapsed="false">
      <c r="P476" s="371"/>
      <c r="Q476" s="371"/>
      <c r="R476" s="371"/>
      <c r="U476" s="371"/>
      <c r="V476" s="371"/>
      <c r="W476" s="371"/>
      <c r="X476" s="371"/>
    </row>
    <row r="477" customFormat="false" ht="12.75" hidden="false" customHeight="false" outlineLevel="0" collapsed="false">
      <c r="P477" s="371"/>
      <c r="Q477" s="371"/>
      <c r="R477" s="371"/>
      <c r="U477" s="371"/>
      <c r="V477" s="371"/>
      <c r="W477" s="371"/>
      <c r="X477" s="371"/>
    </row>
    <row r="478" customFormat="false" ht="12.75" hidden="false" customHeight="false" outlineLevel="0" collapsed="false">
      <c r="P478" s="371"/>
      <c r="Q478" s="371"/>
      <c r="R478" s="371"/>
      <c r="U478" s="371"/>
      <c r="V478" s="371"/>
      <c r="W478" s="371"/>
      <c r="X478" s="371"/>
    </row>
    <row r="479" customFormat="false" ht="12.75" hidden="false" customHeight="false" outlineLevel="0" collapsed="false">
      <c r="P479" s="371"/>
      <c r="Q479" s="371"/>
      <c r="R479" s="371"/>
      <c r="U479" s="371"/>
      <c r="V479" s="371"/>
      <c r="W479" s="371"/>
      <c r="X479" s="371"/>
    </row>
    <row r="480" customFormat="false" ht="12.75" hidden="false" customHeight="false" outlineLevel="0" collapsed="false">
      <c r="P480" s="371"/>
      <c r="Q480" s="371"/>
      <c r="R480" s="371"/>
      <c r="U480" s="371"/>
      <c r="V480" s="371"/>
      <c r="W480" s="371"/>
      <c r="X480" s="371"/>
    </row>
    <row r="481" customFormat="false" ht="12.75" hidden="false" customHeight="false" outlineLevel="0" collapsed="false">
      <c r="P481" s="371"/>
      <c r="Q481" s="371"/>
      <c r="R481" s="371"/>
      <c r="U481" s="371"/>
      <c r="V481" s="371"/>
      <c r="W481" s="371"/>
      <c r="X481" s="371"/>
    </row>
    <row r="482" customFormat="false" ht="12.75" hidden="false" customHeight="false" outlineLevel="0" collapsed="false">
      <c r="P482" s="371"/>
      <c r="Q482" s="371"/>
      <c r="R482" s="371"/>
      <c r="U482" s="371"/>
      <c r="V482" s="371"/>
      <c r="W482" s="371"/>
      <c r="X482" s="371"/>
    </row>
    <row r="483" customFormat="false" ht="12.75" hidden="false" customHeight="false" outlineLevel="0" collapsed="false">
      <c r="P483" s="371"/>
      <c r="Q483" s="371"/>
      <c r="R483" s="371"/>
      <c r="U483" s="371"/>
      <c r="V483" s="371"/>
      <c r="W483" s="371"/>
      <c r="X483" s="371"/>
    </row>
    <row r="484" customFormat="false" ht="12.75" hidden="false" customHeight="false" outlineLevel="0" collapsed="false">
      <c r="P484" s="371"/>
      <c r="Q484" s="371"/>
      <c r="R484" s="371"/>
      <c r="U484" s="371"/>
      <c r="V484" s="371"/>
      <c r="W484" s="371"/>
      <c r="X484" s="371"/>
    </row>
    <row r="485" customFormat="false" ht="12.75" hidden="false" customHeight="false" outlineLevel="0" collapsed="false">
      <c r="P485" s="371"/>
      <c r="Q485" s="371"/>
      <c r="R485" s="371"/>
      <c r="U485" s="371"/>
      <c r="V485" s="371"/>
      <c r="W485" s="371"/>
      <c r="X485" s="371"/>
    </row>
    <row r="486" customFormat="false" ht="12.75" hidden="false" customHeight="false" outlineLevel="0" collapsed="false">
      <c r="P486" s="371"/>
      <c r="Q486" s="371"/>
      <c r="R486" s="371"/>
      <c r="U486" s="371"/>
      <c r="V486" s="371"/>
      <c r="W486" s="371"/>
      <c r="X486" s="371"/>
    </row>
    <row r="487" customFormat="false" ht="12.75" hidden="false" customHeight="false" outlineLevel="0" collapsed="false">
      <c r="P487" s="371"/>
      <c r="Q487" s="371"/>
      <c r="R487" s="371"/>
      <c r="U487" s="371"/>
      <c r="V487" s="371"/>
      <c r="W487" s="371"/>
      <c r="X487" s="371"/>
    </row>
    <row r="488" customFormat="false" ht="12.75" hidden="false" customHeight="false" outlineLevel="0" collapsed="false">
      <c r="P488" s="371"/>
      <c r="Q488" s="371"/>
      <c r="R488" s="371"/>
      <c r="U488" s="371"/>
      <c r="V488" s="371"/>
      <c r="W488" s="371"/>
      <c r="X488" s="371"/>
    </row>
    <row r="489" customFormat="false" ht="12.75" hidden="false" customHeight="false" outlineLevel="0" collapsed="false">
      <c r="P489" s="371"/>
      <c r="Q489" s="371"/>
      <c r="R489" s="371"/>
      <c r="U489" s="371"/>
      <c r="V489" s="371"/>
      <c r="W489" s="371"/>
      <c r="X489" s="371"/>
    </row>
    <row r="490" customFormat="false" ht="12.75" hidden="false" customHeight="false" outlineLevel="0" collapsed="false">
      <c r="P490" s="371"/>
      <c r="Q490" s="371"/>
      <c r="R490" s="371"/>
      <c r="U490" s="371"/>
      <c r="V490" s="371"/>
      <c r="W490" s="371"/>
      <c r="X490" s="371"/>
    </row>
    <row r="491" customFormat="false" ht="12.75" hidden="false" customHeight="false" outlineLevel="0" collapsed="false">
      <c r="P491" s="371"/>
      <c r="Q491" s="371"/>
      <c r="R491" s="371"/>
      <c r="U491" s="371"/>
      <c r="V491" s="371"/>
      <c r="W491" s="371"/>
      <c r="X491" s="371"/>
    </row>
    <row r="492" customFormat="false" ht="12.75" hidden="false" customHeight="false" outlineLevel="0" collapsed="false">
      <c r="P492" s="371"/>
      <c r="Q492" s="371"/>
      <c r="R492" s="371"/>
      <c r="U492" s="371"/>
      <c r="V492" s="371"/>
      <c r="W492" s="371"/>
      <c r="X492" s="371"/>
    </row>
    <row r="493" customFormat="false" ht="12.75" hidden="false" customHeight="false" outlineLevel="0" collapsed="false">
      <c r="P493" s="371"/>
      <c r="Q493" s="371"/>
      <c r="R493" s="371"/>
      <c r="U493" s="371"/>
      <c r="V493" s="371"/>
      <c r="W493" s="371"/>
      <c r="X493" s="371"/>
    </row>
    <row r="494" customFormat="false" ht="12.75" hidden="false" customHeight="false" outlineLevel="0" collapsed="false">
      <c r="P494" s="371"/>
      <c r="Q494" s="371"/>
      <c r="R494" s="371"/>
      <c r="U494" s="371"/>
      <c r="V494" s="371"/>
      <c r="W494" s="371"/>
      <c r="X494" s="371"/>
    </row>
    <row r="495" customFormat="false" ht="12.75" hidden="false" customHeight="false" outlineLevel="0" collapsed="false">
      <c r="P495" s="371"/>
      <c r="Q495" s="371"/>
      <c r="R495" s="371"/>
      <c r="U495" s="371"/>
      <c r="V495" s="371"/>
      <c r="W495" s="371"/>
      <c r="X495" s="371"/>
    </row>
    <row r="496" customFormat="false" ht="12.75" hidden="false" customHeight="false" outlineLevel="0" collapsed="false">
      <c r="P496" s="371"/>
      <c r="Q496" s="371"/>
      <c r="R496" s="371"/>
      <c r="U496" s="371"/>
      <c r="V496" s="371"/>
      <c r="W496" s="371"/>
      <c r="X496" s="371"/>
    </row>
    <row r="497" customFormat="false" ht="12.75" hidden="false" customHeight="false" outlineLevel="0" collapsed="false">
      <c r="P497" s="371"/>
      <c r="Q497" s="371"/>
      <c r="R497" s="371"/>
      <c r="U497" s="371"/>
      <c r="V497" s="371"/>
      <c r="W497" s="371"/>
      <c r="X497" s="371"/>
    </row>
    <row r="498" customFormat="false" ht="12.75" hidden="false" customHeight="false" outlineLevel="0" collapsed="false">
      <c r="P498" s="371"/>
      <c r="Q498" s="371"/>
      <c r="R498" s="371"/>
      <c r="U498" s="371"/>
      <c r="V498" s="371"/>
      <c r="W498" s="371"/>
      <c r="X498" s="371"/>
    </row>
    <row r="499" customFormat="false" ht="12.75" hidden="false" customHeight="false" outlineLevel="0" collapsed="false">
      <c r="P499" s="371"/>
      <c r="Q499" s="371"/>
      <c r="R499" s="371"/>
      <c r="U499" s="371"/>
      <c r="V499" s="371"/>
      <c r="W499" s="371"/>
      <c r="X499" s="371"/>
    </row>
    <row r="500" customFormat="false" ht="12.75" hidden="false" customHeight="false" outlineLevel="0" collapsed="false">
      <c r="P500" s="371"/>
      <c r="Q500" s="371"/>
      <c r="R500" s="371"/>
      <c r="U500" s="371"/>
      <c r="V500" s="371"/>
      <c r="W500" s="371"/>
      <c r="X500" s="371"/>
    </row>
    <row r="501" customFormat="false" ht="12.75" hidden="false" customHeight="false" outlineLevel="0" collapsed="false">
      <c r="P501" s="371"/>
      <c r="Q501" s="371"/>
      <c r="R501" s="371"/>
      <c r="U501" s="371"/>
      <c r="V501" s="371"/>
      <c r="W501" s="371"/>
      <c r="X501" s="371"/>
    </row>
    <row r="502" customFormat="false" ht="12.75" hidden="false" customHeight="false" outlineLevel="0" collapsed="false">
      <c r="P502" s="371"/>
      <c r="Q502" s="371"/>
      <c r="R502" s="371"/>
      <c r="U502" s="371"/>
      <c r="V502" s="371"/>
      <c r="W502" s="371"/>
      <c r="X502" s="371"/>
    </row>
    <row r="503" customFormat="false" ht="12.75" hidden="false" customHeight="false" outlineLevel="0" collapsed="false">
      <c r="P503" s="371"/>
      <c r="Q503" s="371"/>
      <c r="R503" s="371"/>
      <c r="U503" s="371"/>
      <c r="V503" s="371"/>
      <c r="W503" s="371"/>
      <c r="X503" s="371"/>
    </row>
    <row r="504" customFormat="false" ht="12.75" hidden="false" customHeight="false" outlineLevel="0" collapsed="false">
      <c r="P504" s="371"/>
      <c r="Q504" s="371"/>
      <c r="R504" s="371"/>
      <c r="U504" s="371"/>
      <c r="V504" s="371"/>
      <c r="W504" s="371"/>
      <c r="X504" s="371"/>
    </row>
    <row r="505" customFormat="false" ht="12.75" hidden="false" customHeight="false" outlineLevel="0" collapsed="false">
      <c r="P505" s="371"/>
      <c r="Q505" s="371"/>
      <c r="R505" s="371"/>
      <c r="U505" s="371"/>
      <c r="V505" s="371"/>
      <c r="W505" s="371"/>
      <c r="X505" s="371"/>
    </row>
    <row r="506" customFormat="false" ht="12.75" hidden="false" customHeight="false" outlineLevel="0" collapsed="false">
      <c r="P506" s="371"/>
      <c r="Q506" s="371"/>
      <c r="R506" s="371"/>
      <c r="U506" s="371"/>
      <c r="V506" s="371"/>
      <c r="W506" s="371"/>
      <c r="X506" s="371"/>
    </row>
    <row r="507" customFormat="false" ht="12.75" hidden="false" customHeight="false" outlineLevel="0" collapsed="false">
      <c r="P507" s="371"/>
      <c r="Q507" s="371"/>
      <c r="R507" s="371"/>
      <c r="U507" s="371"/>
      <c r="V507" s="371"/>
      <c r="W507" s="371"/>
      <c r="X507" s="371"/>
    </row>
    <row r="508" customFormat="false" ht="12.75" hidden="false" customHeight="false" outlineLevel="0" collapsed="false">
      <c r="P508" s="371"/>
      <c r="Q508" s="371"/>
      <c r="R508" s="371"/>
      <c r="U508" s="371"/>
      <c r="V508" s="371"/>
      <c r="W508" s="371"/>
      <c r="X508" s="371"/>
    </row>
    <row r="509" customFormat="false" ht="12.75" hidden="false" customHeight="false" outlineLevel="0" collapsed="false">
      <c r="P509" s="371"/>
      <c r="Q509" s="371"/>
      <c r="R509" s="371"/>
      <c r="U509" s="371"/>
      <c r="V509" s="371"/>
      <c r="W509" s="371"/>
      <c r="X509" s="371"/>
    </row>
    <row r="510" customFormat="false" ht="12.75" hidden="false" customHeight="false" outlineLevel="0" collapsed="false">
      <c r="P510" s="371"/>
      <c r="Q510" s="371"/>
      <c r="R510" s="371"/>
      <c r="U510" s="371"/>
      <c r="V510" s="371"/>
      <c r="W510" s="371"/>
      <c r="X510" s="371"/>
    </row>
    <row r="511" customFormat="false" ht="12.75" hidden="false" customHeight="false" outlineLevel="0" collapsed="false">
      <c r="P511" s="371"/>
      <c r="Q511" s="371"/>
      <c r="R511" s="371"/>
      <c r="U511" s="371"/>
      <c r="V511" s="371"/>
      <c r="W511" s="371"/>
      <c r="X511" s="371"/>
    </row>
    <row r="512" customFormat="false" ht="12.75" hidden="false" customHeight="false" outlineLevel="0" collapsed="false">
      <c r="P512" s="371"/>
      <c r="Q512" s="371"/>
      <c r="R512" s="371"/>
      <c r="U512" s="371"/>
      <c r="V512" s="371"/>
      <c r="W512" s="371"/>
      <c r="X512" s="371"/>
    </row>
    <row r="513" customFormat="false" ht="12.75" hidden="false" customHeight="false" outlineLevel="0" collapsed="false">
      <c r="P513" s="371"/>
      <c r="Q513" s="371"/>
      <c r="R513" s="371"/>
      <c r="U513" s="371"/>
      <c r="V513" s="371"/>
      <c r="W513" s="371"/>
      <c r="X513" s="371"/>
    </row>
    <row r="514" customFormat="false" ht="12.75" hidden="false" customHeight="false" outlineLevel="0" collapsed="false">
      <c r="P514" s="371"/>
      <c r="Q514" s="371"/>
      <c r="R514" s="371"/>
      <c r="U514" s="371"/>
      <c r="V514" s="371"/>
      <c r="W514" s="371"/>
      <c r="X514" s="371"/>
    </row>
    <row r="515" customFormat="false" ht="12.75" hidden="false" customHeight="false" outlineLevel="0" collapsed="false">
      <c r="P515" s="371"/>
      <c r="Q515" s="371"/>
      <c r="R515" s="371"/>
      <c r="U515" s="371"/>
      <c r="V515" s="371"/>
      <c r="W515" s="371"/>
      <c r="X515" s="371"/>
    </row>
    <row r="516" customFormat="false" ht="12.75" hidden="false" customHeight="false" outlineLevel="0" collapsed="false">
      <c r="P516" s="371"/>
      <c r="Q516" s="371"/>
      <c r="R516" s="371"/>
      <c r="U516" s="371"/>
      <c r="V516" s="371"/>
      <c r="W516" s="371"/>
      <c r="X516" s="371"/>
    </row>
    <row r="517" customFormat="false" ht="12.75" hidden="false" customHeight="false" outlineLevel="0" collapsed="false">
      <c r="P517" s="371"/>
      <c r="Q517" s="371"/>
      <c r="R517" s="371"/>
      <c r="U517" s="371"/>
      <c r="V517" s="371"/>
      <c r="W517" s="371"/>
      <c r="X517" s="371"/>
    </row>
    <row r="518" customFormat="false" ht="12.75" hidden="false" customHeight="false" outlineLevel="0" collapsed="false">
      <c r="P518" s="371"/>
      <c r="Q518" s="371"/>
      <c r="R518" s="371"/>
      <c r="U518" s="371"/>
      <c r="V518" s="371"/>
      <c r="W518" s="371"/>
      <c r="X518" s="371"/>
    </row>
    <row r="519" customFormat="false" ht="12.75" hidden="false" customHeight="false" outlineLevel="0" collapsed="false">
      <c r="P519" s="371"/>
      <c r="Q519" s="371"/>
      <c r="R519" s="371"/>
      <c r="U519" s="371"/>
      <c r="V519" s="371"/>
      <c r="W519" s="371"/>
      <c r="X519" s="371"/>
    </row>
    <row r="520" customFormat="false" ht="12.75" hidden="false" customHeight="false" outlineLevel="0" collapsed="false">
      <c r="P520" s="371"/>
      <c r="Q520" s="371"/>
      <c r="R520" s="371"/>
      <c r="U520" s="371"/>
      <c r="V520" s="371"/>
      <c r="W520" s="371"/>
      <c r="X520" s="371"/>
    </row>
    <row r="521" customFormat="false" ht="12.75" hidden="false" customHeight="false" outlineLevel="0" collapsed="false">
      <c r="P521" s="371"/>
      <c r="Q521" s="371"/>
      <c r="R521" s="371"/>
      <c r="U521" s="371"/>
      <c r="V521" s="371"/>
      <c r="W521" s="371"/>
      <c r="X521" s="371"/>
    </row>
    <row r="522" customFormat="false" ht="12.75" hidden="false" customHeight="false" outlineLevel="0" collapsed="false">
      <c r="P522" s="371"/>
      <c r="Q522" s="371"/>
      <c r="R522" s="371"/>
      <c r="U522" s="371"/>
      <c r="V522" s="371"/>
      <c r="W522" s="371"/>
      <c r="X522" s="371"/>
    </row>
    <row r="523" customFormat="false" ht="12.75" hidden="false" customHeight="false" outlineLevel="0" collapsed="false">
      <c r="P523" s="371"/>
      <c r="Q523" s="371"/>
      <c r="R523" s="371"/>
      <c r="U523" s="371"/>
      <c r="V523" s="371"/>
      <c r="W523" s="371"/>
      <c r="X523" s="371"/>
    </row>
    <row r="524" customFormat="false" ht="12.75" hidden="false" customHeight="false" outlineLevel="0" collapsed="false">
      <c r="P524" s="371"/>
      <c r="Q524" s="371"/>
      <c r="R524" s="371"/>
      <c r="U524" s="371"/>
      <c r="V524" s="371"/>
      <c r="W524" s="371"/>
      <c r="X524" s="371"/>
    </row>
    <row r="525" customFormat="false" ht="12.75" hidden="false" customHeight="false" outlineLevel="0" collapsed="false">
      <c r="P525" s="371"/>
      <c r="Q525" s="371"/>
      <c r="R525" s="371"/>
      <c r="U525" s="371"/>
      <c r="V525" s="371"/>
      <c r="W525" s="371"/>
      <c r="X525" s="371"/>
    </row>
    <row r="526" customFormat="false" ht="12.75" hidden="false" customHeight="false" outlineLevel="0" collapsed="false">
      <c r="P526" s="371"/>
      <c r="Q526" s="371"/>
      <c r="R526" s="371"/>
      <c r="U526" s="371"/>
      <c r="V526" s="371"/>
      <c r="W526" s="371"/>
      <c r="X526" s="371"/>
    </row>
    <row r="527" customFormat="false" ht="12.75" hidden="false" customHeight="false" outlineLevel="0" collapsed="false">
      <c r="P527" s="371"/>
      <c r="Q527" s="371"/>
      <c r="R527" s="371"/>
      <c r="U527" s="371"/>
      <c r="V527" s="371"/>
      <c r="W527" s="371"/>
      <c r="X527" s="371"/>
    </row>
    <row r="528" customFormat="false" ht="12.75" hidden="false" customHeight="false" outlineLevel="0" collapsed="false">
      <c r="P528" s="371"/>
      <c r="Q528" s="371"/>
      <c r="R528" s="371"/>
      <c r="U528" s="371"/>
      <c r="V528" s="371"/>
      <c r="W528" s="371"/>
      <c r="X528" s="371"/>
    </row>
    <row r="529" customFormat="false" ht="12.75" hidden="false" customHeight="false" outlineLevel="0" collapsed="false">
      <c r="P529" s="371"/>
      <c r="Q529" s="371"/>
      <c r="R529" s="371"/>
      <c r="U529" s="371"/>
      <c r="V529" s="371"/>
      <c r="W529" s="371"/>
      <c r="X529" s="371"/>
    </row>
    <row r="530" customFormat="false" ht="12.75" hidden="false" customHeight="false" outlineLevel="0" collapsed="false">
      <c r="P530" s="371"/>
      <c r="Q530" s="371"/>
      <c r="R530" s="371"/>
      <c r="U530" s="371"/>
      <c r="V530" s="371"/>
      <c r="W530" s="371"/>
      <c r="X530" s="371"/>
    </row>
    <row r="531" customFormat="false" ht="12.75" hidden="false" customHeight="false" outlineLevel="0" collapsed="false">
      <c r="P531" s="371"/>
      <c r="Q531" s="371"/>
      <c r="R531" s="371"/>
      <c r="U531" s="371"/>
      <c r="V531" s="371"/>
      <c r="W531" s="371"/>
      <c r="X531" s="371"/>
    </row>
    <row r="532" customFormat="false" ht="12.75" hidden="false" customHeight="false" outlineLevel="0" collapsed="false">
      <c r="P532" s="371"/>
      <c r="Q532" s="371"/>
      <c r="R532" s="371"/>
      <c r="U532" s="371"/>
      <c r="V532" s="371"/>
      <c r="W532" s="371"/>
      <c r="X532" s="371"/>
    </row>
    <row r="533" customFormat="false" ht="12.75" hidden="false" customHeight="false" outlineLevel="0" collapsed="false">
      <c r="P533" s="371"/>
      <c r="Q533" s="371"/>
      <c r="R533" s="371"/>
      <c r="U533" s="371"/>
      <c r="V533" s="371"/>
      <c r="W533" s="371"/>
      <c r="X533" s="371"/>
    </row>
    <row r="534" customFormat="false" ht="12.75" hidden="false" customHeight="false" outlineLevel="0" collapsed="false">
      <c r="P534" s="371"/>
      <c r="Q534" s="371"/>
      <c r="R534" s="371"/>
      <c r="U534" s="371"/>
      <c r="V534" s="371"/>
      <c r="W534" s="371"/>
      <c r="X534" s="371"/>
    </row>
    <row r="535" customFormat="false" ht="12.75" hidden="false" customHeight="false" outlineLevel="0" collapsed="false">
      <c r="P535" s="371"/>
      <c r="Q535" s="371"/>
      <c r="R535" s="371"/>
      <c r="U535" s="371"/>
      <c r="V535" s="371"/>
      <c r="W535" s="371"/>
      <c r="X535" s="371"/>
    </row>
    <row r="536" customFormat="false" ht="12.75" hidden="false" customHeight="false" outlineLevel="0" collapsed="false">
      <c r="P536" s="371"/>
      <c r="Q536" s="371"/>
      <c r="R536" s="371"/>
      <c r="U536" s="371"/>
      <c r="V536" s="371"/>
      <c r="W536" s="371"/>
      <c r="X536" s="371"/>
    </row>
    <row r="537" customFormat="false" ht="12.75" hidden="false" customHeight="false" outlineLevel="0" collapsed="false">
      <c r="P537" s="371"/>
      <c r="Q537" s="371"/>
      <c r="R537" s="371"/>
      <c r="U537" s="371"/>
      <c r="V537" s="371"/>
      <c r="W537" s="371"/>
      <c r="X537" s="371"/>
    </row>
    <row r="538" customFormat="false" ht="12.75" hidden="false" customHeight="false" outlineLevel="0" collapsed="false">
      <c r="P538" s="371"/>
      <c r="Q538" s="371"/>
      <c r="R538" s="371"/>
      <c r="U538" s="371"/>
      <c r="V538" s="371"/>
      <c r="W538" s="371"/>
      <c r="X538" s="371"/>
    </row>
    <row r="539" customFormat="false" ht="12.75" hidden="false" customHeight="false" outlineLevel="0" collapsed="false">
      <c r="P539" s="371"/>
      <c r="Q539" s="371"/>
      <c r="R539" s="371"/>
      <c r="U539" s="371"/>
      <c r="V539" s="371"/>
      <c r="W539" s="371"/>
      <c r="X539" s="371"/>
    </row>
    <row r="540" customFormat="false" ht="12.75" hidden="false" customHeight="false" outlineLevel="0" collapsed="false">
      <c r="P540" s="371"/>
      <c r="Q540" s="371"/>
      <c r="R540" s="371"/>
      <c r="U540" s="371"/>
      <c r="V540" s="371"/>
      <c r="W540" s="371"/>
      <c r="X540" s="371"/>
    </row>
    <row r="541" customFormat="false" ht="12.75" hidden="false" customHeight="false" outlineLevel="0" collapsed="false">
      <c r="P541" s="371"/>
      <c r="Q541" s="371"/>
      <c r="R541" s="371"/>
      <c r="U541" s="371"/>
      <c r="V541" s="371"/>
      <c r="W541" s="371"/>
      <c r="X541" s="371"/>
    </row>
    <row r="542" customFormat="false" ht="12.75" hidden="false" customHeight="false" outlineLevel="0" collapsed="false">
      <c r="P542" s="371"/>
      <c r="Q542" s="371"/>
      <c r="R542" s="371"/>
      <c r="U542" s="371"/>
      <c r="V542" s="371"/>
      <c r="W542" s="371"/>
      <c r="X542" s="371"/>
    </row>
    <row r="543" customFormat="false" ht="12.75" hidden="false" customHeight="false" outlineLevel="0" collapsed="false">
      <c r="P543" s="371"/>
      <c r="Q543" s="371"/>
      <c r="R543" s="371"/>
      <c r="U543" s="371"/>
      <c r="V543" s="371"/>
      <c r="W543" s="371"/>
      <c r="X543" s="371"/>
    </row>
    <row r="544" customFormat="false" ht="12.75" hidden="false" customHeight="false" outlineLevel="0" collapsed="false">
      <c r="P544" s="371"/>
      <c r="Q544" s="371"/>
      <c r="R544" s="371"/>
      <c r="U544" s="371"/>
      <c r="V544" s="371"/>
      <c r="W544" s="371"/>
      <c r="X544" s="371"/>
    </row>
    <row r="545" customFormat="false" ht="12.75" hidden="false" customHeight="false" outlineLevel="0" collapsed="false">
      <c r="P545" s="371"/>
      <c r="Q545" s="371"/>
      <c r="R545" s="371"/>
      <c r="U545" s="371"/>
      <c r="V545" s="371"/>
      <c r="W545" s="371"/>
      <c r="X545" s="371"/>
    </row>
    <row r="546" customFormat="false" ht="12.75" hidden="false" customHeight="false" outlineLevel="0" collapsed="false">
      <c r="P546" s="371"/>
      <c r="Q546" s="371"/>
      <c r="R546" s="371"/>
      <c r="U546" s="371"/>
      <c r="V546" s="371"/>
      <c r="W546" s="371"/>
      <c r="X546" s="371"/>
    </row>
    <row r="547" customFormat="false" ht="12.75" hidden="false" customHeight="false" outlineLevel="0" collapsed="false">
      <c r="P547" s="371"/>
      <c r="Q547" s="371"/>
      <c r="R547" s="371"/>
      <c r="U547" s="371"/>
      <c r="V547" s="371"/>
      <c r="W547" s="371"/>
      <c r="X547" s="371"/>
    </row>
    <row r="548" customFormat="false" ht="12.75" hidden="false" customHeight="false" outlineLevel="0" collapsed="false">
      <c r="P548" s="371"/>
      <c r="Q548" s="371"/>
      <c r="R548" s="371"/>
      <c r="U548" s="371"/>
      <c r="V548" s="371"/>
      <c r="W548" s="371"/>
      <c r="X548" s="371"/>
    </row>
    <row r="549" customFormat="false" ht="12.75" hidden="false" customHeight="false" outlineLevel="0" collapsed="false">
      <c r="P549" s="371"/>
      <c r="Q549" s="371"/>
      <c r="R549" s="371"/>
      <c r="U549" s="371"/>
      <c r="V549" s="371"/>
      <c r="W549" s="371"/>
      <c r="X549" s="371"/>
    </row>
    <row r="550" customFormat="false" ht="12.75" hidden="false" customHeight="false" outlineLevel="0" collapsed="false">
      <c r="P550" s="371"/>
      <c r="Q550" s="371"/>
      <c r="R550" s="371"/>
      <c r="U550" s="371"/>
      <c r="V550" s="371"/>
      <c r="W550" s="371"/>
      <c r="X550" s="371"/>
    </row>
    <row r="551" customFormat="false" ht="12.75" hidden="false" customHeight="false" outlineLevel="0" collapsed="false">
      <c r="P551" s="371"/>
      <c r="Q551" s="371"/>
      <c r="R551" s="371"/>
      <c r="U551" s="371"/>
      <c r="V551" s="371"/>
      <c r="W551" s="371"/>
      <c r="X551" s="371"/>
    </row>
    <row r="552" customFormat="false" ht="12.75" hidden="false" customHeight="false" outlineLevel="0" collapsed="false">
      <c r="P552" s="371"/>
      <c r="Q552" s="371"/>
      <c r="R552" s="371"/>
      <c r="U552" s="371"/>
      <c r="V552" s="371"/>
      <c r="W552" s="371"/>
      <c r="X552" s="371"/>
    </row>
    <row r="553" customFormat="false" ht="12.75" hidden="false" customHeight="false" outlineLevel="0" collapsed="false">
      <c r="P553" s="371"/>
      <c r="Q553" s="371"/>
      <c r="R553" s="371"/>
      <c r="U553" s="371"/>
      <c r="V553" s="371"/>
      <c r="W553" s="371"/>
      <c r="X553" s="371"/>
    </row>
    <row r="554" customFormat="false" ht="12.75" hidden="false" customHeight="false" outlineLevel="0" collapsed="false">
      <c r="P554" s="371"/>
      <c r="Q554" s="371"/>
      <c r="R554" s="371"/>
      <c r="U554" s="371"/>
      <c r="V554" s="371"/>
      <c r="W554" s="371"/>
      <c r="X554" s="371"/>
    </row>
    <row r="555" customFormat="false" ht="12.75" hidden="false" customHeight="false" outlineLevel="0" collapsed="false">
      <c r="P555" s="371"/>
      <c r="Q555" s="371"/>
      <c r="R555" s="371"/>
      <c r="U555" s="371"/>
      <c r="V555" s="371"/>
      <c r="W555" s="371"/>
      <c r="X555" s="371"/>
    </row>
    <row r="556" customFormat="false" ht="12.75" hidden="false" customHeight="false" outlineLevel="0" collapsed="false">
      <c r="P556" s="371"/>
      <c r="Q556" s="371"/>
      <c r="R556" s="371"/>
      <c r="U556" s="371"/>
      <c r="V556" s="371"/>
      <c r="W556" s="371"/>
      <c r="X556" s="371"/>
    </row>
  </sheetData>
  <mergeCells count="142">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CZ17:DB17"/>
    <mergeCell ref="DC17:DE17"/>
    <mergeCell ref="DF17:DH17"/>
    <mergeCell ref="DI17:DK17"/>
    <mergeCell ref="DL17:DN17"/>
    <mergeCell ref="L18:M18"/>
    <mergeCell ref="L19:M19"/>
    <mergeCell ref="AM20:AN20"/>
    <mergeCell ref="AO20:AP20"/>
    <mergeCell ref="CZ20:DB20"/>
    <mergeCell ref="DC20:DE20"/>
    <mergeCell ref="DF20:DH20"/>
    <mergeCell ref="DI20:DK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559"/>
  <sheetViews>
    <sheetView showFormulas="false" showGridLines="true" showRowColHeaders="true" showZeros="true" rightToLeft="false" tabSelected="false" showOutlineSymbols="true" defaultGridColor="true" view="normal" topLeftCell="J1" colorId="64" zoomScale="80" zoomScaleNormal="80" zoomScalePageLayoutView="100" workbookViewId="0">
      <selection pane="topLeft" activeCell="CI21" activeCellId="0" sqref="CI21:CI122"/>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257" min="8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17</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1393912.31</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3661259.79</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-2267347.49</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39188.67</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-29329.68</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-3651649.54</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-823968</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-6160.2</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290.72</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-1422.24</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6022.36</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11212.03</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161.03</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351745.15</v>
      </c>
      <c r="P18" s="415" t="e">
        <f aca="false">N18-O18</f>
        <v>#VALUE!</v>
      </c>
      <c r="AU18" s="433"/>
      <c r="AV18" s="383"/>
      <c r="AW18" s="378"/>
      <c r="AX18" s="383" t="str">
        <f aca="false">ADDRESS(ROW($CI$22),COLUMN($CI$22))</f>
        <v>$CI$22</v>
      </c>
      <c r="AY18" s="378" t="e">
        <f aca="false">GetEnd($AV$1,AX18)</f>
        <v>#VALUE!</v>
      </c>
      <c r="CM18" s="511"/>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1042167.16</v>
      </c>
      <c r="P19" s="465" t="e">
        <f aca="false">N19-O19</f>
        <v>#VALUE!</v>
      </c>
      <c r="AU19" s="433"/>
      <c r="AV19" s="383"/>
      <c r="AW19" s="378"/>
      <c r="CM19" s="511"/>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2.96453068034357</v>
      </c>
      <c r="BW22" s="369" t="n">
        <v>2.9535</v>
      </c>
      <c r="BX22" s="370" t="n">
        <v>0.952435996987834</v>
      </c>
      <c r="BY22" s="370" t="n">
        <v>0.977962395882988</v>
      </c>
      <c r="BZ22" s="370" t="n">
        <v>0.984100521619944</v>
      </c>
      <c r="CA22" s="370" t="n">
        <v>0.0187659081571607</v>
      </c>
      <c r="CB22" s="370" t="n">
        <v>0.998364899395796</v>
      </c>
      <c r="CC22" s="505" t="n">
        <v>-0.025</v>
      </c>
      <c r="CD22" s="505" t="n">
        <v>0.0575</v>
      </c>
      <c r="CE22" s="505" t="n">
        <v>0.1325</v>
      </c>
      <c r="CF22" s="505" t="n">
        <v>-0.025</v>
      </c>
      <c r="CG22" s="505" t="n">
        <v>0.0192</v>
      </c>
      <c r="CH22" s="505" t="n">
        <v>3.20325377971141</v>
      </c>
      <c r="CI22" s="505" t="n">
        <v>2.846</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3.02838369482379</v>
      </c>
      <c r="BW23" s="369" t="n">
        <v>3.0155</v>
      </c>
      <c r="BX23" s="370" t="n">
        <v>0.906812181950228</v>
      </c>
      <c r="BY23" s="370" t="n">
        <v>0.919768992736763</v>
      </c>
      <c r="BZ23" s="370" t="n">
        <v>0.990238296282677</v>
      </c>
      <c r="CA23" s="370" t="n">
        <v>0.0193261872820063</v>
      </c>
      <c r="CB23" s="370" t="n">
        <v>0.996688029844541</v>
      </c>
      <c r="CC23" s="505" t="n">
        <v>-0.025</v>
      </c>
      <c r="CD23" s="505" t="n">
        <v>0.0575</v>
      </c>
      <c r="CE23" s="505" t="n">
        <v>0.1325</v>
      </c>
      <c r="CF23" s="505" t="n">
        <v>-0.025</v>
      </c>
      <c r="CG23" s="505" t="n">
        <v>0.0192</v>
      </c>
      <c r="CH23" s="505" t="n">
        <v>2.88840191048948</v>
      </c>
      <c r="CI23" s="505" t="n">
        <v>2.908</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3.02220437084183</v>
      </c>
      <c r="BW24" s="369" t="n">
        <v>2.997</v>
      </c>
      <c r="BX24" s="370" t="n">
        <v>0.79</v>
      </c>
      <c r="BY24" s="370" t="n">
        <v>0.79</v>
      </c>
      <c r="BZ24" s="370" t="n">
        <v>0.994567567567568</v>
      </c>
      <c r="CA24" s="370" t="n">
        <v>0.0192731753639035</v>
      </c>
      <c r="CB24" s="370" t="n">
        <v>0.99523258517239</v>
      </c>
      <c r="CC24" s="505" t="n">
        <v>-0.025</v>
      </c>
      <c r="CD24" s="505" t="n">
        <v>0.0575</v>
      </c>
      <c r="CE24" s="505" t="n">
        <v>0.12</v>
      </c>
      <c r="CF24" s="505" t="n">
        <v>-0.025</v>
      </c>
      <c r="CG24" s="505" t="n">
        <v>0.0192</v>
      </c>
      <c r="CH24" s="505" t="n">
        <v>3.19320374952561</v>
      </c>
      <c r="CI24" s="505" t="n">
        <v>2.902</v>
      </c>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2.96659045500422</v>
      </c>
      <c r="BW25" s="369" t="n">
        <v>2.973</v>
      </c>
      <c r="BX25" s="370" t="n">
        <v>0.600814487825059</v>
      </c>
      <c r="BY25" s="370" t="n">
        <v>0.606420927626525</v>
      </c>
      <c r="BZ25" s="370" t="n">
        <v>0.997566933978154</v>
      </c>
      <c r="CA25" s="370" t="n">
        <v>0.0194226401196236</v>
      </c>
      <c r="CB25" s="370" t="n">
        <v>0.993564587749983</v>
      </c>
      <c r="CC25" s="505" t="n">
        <v>-0.025</v>
      </c>
      <c r="CD25" s="505" t="n">
        <v>0.0575</v>
      </c>
      <c r="CE25" s="505" t="n">
        <v>0.15</v>
      </c>
      <c r="CF25" s="505" t="n">
        <v>-0.025</v>
      </c>
      <c r="CG25" s="505" t="n">
        <v>0.0192</v>
      </c>
      <c r="CH25" s="505" t="n">
        <v>3.0850180449637</v>
      </c>
      <c r="CI25" s="505" t="n">
        <v>2.848</v>
      </c>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3.01602504685987</v>
      </c>
      <c r="BW26" s="369" t="n">
        <v>3.001</v>
      </c>
      <c r="BX26" s="370" t="n">
        <v>0.57775293402001</v>
      </c>
      <c r="BY26" s="370" t="n">
        <v>0.57775293402001</v>
      </c>
      <c r="BZ26" s="370" t="n">
        <v>0.997964716171694</v>
      </c>
      <c r="CA26" s="370" t="n">
        <v>0.019712159578257</v>
      </c>
      <c r="CB26" s="370" t="n">
        <v>0.991870109542169</v>
      </c>
      <c r="CC26" s="505" t="n">
        <v>-0.025</v>
      </c>
      <c r="CD26" s="505" t="n">
        <v>0.0575</v>
      </c>
      <c r="CE26" s="505" t="n">
        <v>0.13</v>
      </c>
      <c r="CF26" s="505" t="n">
        <v>-0.025</v>
      </c>
      <c r="CG26" s="505" t="n">
        <v>0.0192</v>
      </c>
      <c r="CH26" s="505" t="n">
        <v>3.18241524646605</v>
      </c>
      <c r="CI26" s="505" t="n">
        <v>2.896</v>
      </c>
    </row>
    <row r="27" customFormat="false" ht="12.75" hidden="false" customHeight="false" outlineLevel="0" collapsed="false">
      <c r="A27" s="512"/>
      <c r="B27" s="512"/>
      <c r="C27" s="512"/>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3.06751941337618</v>
      </c>
      <c r="BW27" s="369" t="n">
        <v>3.071</v>
      </c>
      <c r="BX27" s="370" t="n">
        <v>0.550221330219268</v>
      </c>
      <c r="BY27" s="370" t="n">
        <v>0.554685115579688</v>
      </c>
      <c r="BZ27" s="370" t="n">
        <v>0.997746719216428</v>
      </c>
      <c r="CA27" s="370" t="n">
        <v>0.0200113297153544</v>
      </c>
      <c r="CB27" s="370" t="n">
        <v>0.990073216017117</v>
      </c>
      <c r="CC27" s="505" t="n">
        <v>-0.025</v>
      </c>
      <c r="CD27" s="505" t="n">
        <v>0.0575</v>
      </c>
      <c r="CE27" s="505" t="n">
        <v>0.15</v>
      </c>
      <c r="CF27" s="505" t="n">
        <v>-0.025</v>
      </c>
      <c r="CG27" s="505" t="n">
        <v>0.0192</v>
      </c>
      <c r="CH27" s="505" t="n">
        <v>3.07417733573315</v>
      </c>
      <c r="CI27" s="505" t="n">
        <v>2.946</v>
      </c>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3.10665513192857</v>
      </c>
      <c r="BW28" s="369" t="n">
        <v>3.124</v>
      </c>
      <c r="BX28" s="370" t="n">
        <v>0.549290255131369</v>
      </c>
      <c r="BY28" s="370" t="n">
        <v>0.549290255131369</v>
      </c>
      <c r="BZ28" s="370" t="n">
        <v>0.998098870470882</v>
      </c>
      <c r="CA28" s="370" t="n">
        <v>0.0204286298094831</v>
      </c>
      <c r="CB28" s="370" t="n">
        <v>0.988217193800728</v>
      </c>
      <c r="CC28" s="505" t="n">
        <v>-0.025</v>
      </c>
      <c r="CD28" s="505" t="n">
        <v>0.0575</v>
      </c>
      <c r="CE28" s="505" t="n">
        <v>0.165</v>
      </c>
      <c r="CF28" s="505" t="n">
        <v>-0.025</v>
      </c>
      <c r="CG28" s="505" t="n">
        <v>0.0192</v>
      </c>
      <c r="CH28" s="505" t="n">
        <v>3.17069486630964</v>
      </c>
      <c r="CI28" s="505" t="n">
        <v>2.984</v>
      </c>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3.14991039980226</v>
      </c>
      <c r="BW29" s="369" t="n">
        <v>3.166</v>
      </c>
      <c r="BX29" s="370" t="n">
        <v>0.549894268674422</v>
      </c>
      <c r="BY29" s="370" t="n">
        <v>0.549894268674422</v>
      </c>
      <c r="BZ29" s="370" t="n">
        <v>0.998069056188978</v>
      </c>
      <c r="CA29" s="370" t="n">
        <v>0.021065008234304</v>
      </c>
      <c r="CB29" s="370" t="n">
        <v>0.986098940667972</v>
      </c>
      <c r="CC29" s="505" t="n">
        <v>-0.025</v>
      </c>
      <c r="CD29" s="505" t="n">
        <v>0.0575</v>
      </c>
      <c r="CE29" s="505" t="n">
        <v>0.165</v>
      </c>
      <c r="CF29" s="505" t="n">
        <v>-0.025</v>
      </c>
      <c r="CG29" s="505" t="n">
        <v>0.0192</v>
      </c>
      <c r="CH29" s="505" t="n">
        <v>3.16389845113319</v>
      </c>
      <c r="CI29" s="505" t="n">
        <v>3.026</v>
      </c>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3.14167130115965</v>
      </c>
      <c r="BW30" s="369" t="n">
        <v>3.123</v>
      </c>
      <c r="BX30" s="370" t="n">
        <v>0.548527673591454</v>
      </c>
      <c r="BY30" s="370" t="n">
        <v>0.552009176042195</v>
      </c>
      <c r="BZ30" s="370" t="n">
        <v>0.99801368940955</v>
      </c>
      <c r="CA30" s="370" t="n">
        <v>0.0217013867962765</v>
      </c>
      <c r="CB30" s="370" t="n">
        <v>0.983880178541275</v>
      </c>
      <c r="CC30" s="505" t="n">
        <v>-0.025</v>
      </c>
      <c r="CD30" s="505" t="n">
        <v>0.0575</v>
      </c>
      <c r="CE30" s="505" t="n">
        <v>0.13</v>
      </c>
      <c r="CF30" s="505" t="n">
        <v>-0.025</v>
      </c>
      <c r="CG30" s="505" t="n">
        <v>0.0192</v>
      </c>
      <c r="CH30" s="505" t="n">
        <v>3.05494795437066</v>
      </c>
      <c r="CI30" s="505" t="n">
        <v>3.018</v>
      </c>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3.15505983645389</v>
      </c>
      <c r="BW31" s="369" t="n">
        <v>3.156</v>
      </c>
      <c r="BX31" s="370" t="n">
        <v>0.5511830669082</v>
      </c>
      <c r="BY31" s="370" t="n">
        <v>0.554635809260041</v>
      </c>
      <c r="BZ31" s="370" t="n">
        <v>0.997928874847998</v>
      </c>
      <c r="CA31" s="370" t="n">
        <v>0.022410164045374</v>
      </c>
      <c r="CB31" s="370" t="n">
        <v>0.981562668478235</v>
      </c>
      <c r="CC31" s="505" t="n">
        <v>-0.025</v>
      </c>
      <c r="CD31" s="505" t="n">
        <v>0.0575</v>
      </c>
      <c r="CE31" s="505" t="n">
        <v>0.15</v>
      </c>
      <c r="CF31" s="505" t="n">
        <v>-0.025</v>
      </c>
      <c r="CG31" s="505" t="n">
        <v>0.0192</v>
      </c>
      <c r="CH31" s="505" t="n">
        <v>3.14934382181242</v>
      </c>
      <c r="CI31" s="505" t="n">
        <v>3.031</v>
      </c>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3.34043955591258</v>
      </c>
      <c r="BW32" s="369" t="n">
        <v>3.381</v>
      </c>
      <c r="BX32" s="370" t="n">
        <v>0.557476031074478</v>
      </c>
      <c r="BY32" s="370" t="n">
        <v>0.560958272936821</v>
      </c>
      <c r="BZ32" s="370" t="n">
        <v>0.997663782198963</v>
      </c>
      <c r="CA32" s="370" t="n">
        <v>0.0232740649677528</v>
      </c>
      <c r="CB32" s="370" t="n">
        <v>0.97893835036076</v>
      </c>
      <c r="CC32" s="505" t="n">
        <v>-0.025</v>
      </c>
      <c r="CD32" s="505" t="n">
        <v>0.0575</v>
      </c>
      <c r="CE32" s="505" t="n">
        <v>0.195</v>
      </c>
      <c r="CF32" s="505" t="n">
        <v>-0.025</v>
      </c>
      <c r="CG32" s="505" t="n">
        <v>0.0192</v>
      </c>
      <c r="CH32" s="505" t="n">
        <v>3.03960357787016</v>
      </c>
      <c r="CI32" s="505" t="n">
        <v>3.211</v>
      </c>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3.50522152876475</v>
      </c>
      <c r="BW33" s="369" t="n">
        <v>3.561</v>
      </c>
      <c r="BX33" s="370" t="n">
        <v>0.570790000341453</v>
      </c>
      <c r="BY33" s="370" t="n">
        <v>0.574747977895737</v>
      </c>
      <c r="BZ33" s="370" t="n">
        <v>0.996893334232894</v>
      </c>
      <c r="CA33" s="370" t="n">
        <v>0.024110098358836</v>
      </c>
      <c r="CB33" s="370" t="n">
        <v>0.976270925999808</v>
      </c>
      <c r="CC33" s="505" t="n">
        <v>-0.025</v>
      </c>
      <c r="CD33" s="505" t="n">
        <v>0.0575</v>
      </c>
      <c r="CE33" s="505" t="n">
        <v>0.215</v>
      </c>
      <c r="CF33" s="505" t="n">
        <v>-0.025</v>
      </c>
      <c r="CG33" s="505" t="n">
        <v>0.0192</v>
      </c>
      <c r="CH33" s="505" t="n">
        <v>3.13236526607039</v>
      </c>
      <c r="CI33" s="505" t="n">
        <v>3.371</v>
      </c>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3.58246307853921</v>
      </c>
      <c r="BW34" s="369" t="n">
        <v>3.656</v>
      </c>
      <c r="BX34" s="370" t="n">
        <v>0.56836354878586</v>
      </c>
      <c r="BY34" s="370" t="n">
        <v>0.572132079209186</v>
      </c>
      <c r="BZ34" s="370" t="n">
        <v>0.996952789097852</v>
      </c>
      <c r="CA34" s="370" t="n">
        <v>0.0250384261928196</v>
      </c>
      <c r="CB34" s="370" t="n">
        <v>0.97331647833328</v>
      </c>
      <c r="CC34" s="505" t="n">
        <v>-0.025</v>
      </c>
      <c r="CD34" s="505" t="n">
        <v>0.0575</v>
      </c>
      <c r="CE34" s="505" t="n">
        <v>0.235</v>
      </c>
      <c r="CF34" s="505" t="n">
        <v>-0.025</v>
      </c>
      <c r="CG34" s="505" t="n">
        <v>0.0192</v>
      </c>
      <c r="CH34" s="505" t="n">
        <v>3.12288592073233</v>
      </c>
      <c r="CI34" s="505" t="n">
        <v>3.446</v>
      </c>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3.50522152876475</v>
      </c>
      <c r="BW35" s="369" t="n">
        <v>3.581</v>
      </c>
      <c r="BX35" s="370" t="n">
        <v>0.554353390063384</v>
      </c>
      <c r="BY35" s="370" t="n">
        <v>0.557603951793811</v>
      </c>
      <c r="BZ35" s="370" t="n">
        <v>0.997301936958744</v>
      </c>
      <c r="CA35" s="370" t="n">
        <v>0.0260449864197474</v>
      </c>
      <c r="CB35" s="370" t="n">
        <v>0.970132608451962</v>
      </c>
      <c r="CC35" s="505" t="n">
        <v>-0.025</v>
      </c>
      <c r="CD35" s="505" t="n">
        <v>0.0575</v>
      </c>
      <c r="CE35" s="505" t="n">
        <v>0.235</v>
      </c>
      <c r="CF35" s="505" t="n">
        <v>-0.025</v>
      </c>
      <c r="CG35" s="505" t="n">
        <v>0.0192</v>
      </c>
      <c r="CH35" s="505" t="n">
        <v>2.81144429929379</v>
      </c>
      <c r="CI35" s="505" t="n">
        <v>3.371</v>
      </c>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3.41253166903541</v>
      </c>
      <c r="BW36" s="369" t="n">
        <v>3.451</v>
      </c>
      <c r="BX36" s="370" t="n">
        <v>0.50293567145062</v>
      </c>
      <c r="BY36" s="370" t="n">
        <v>0.50293567145062</v>
      </c>
      <c r="BZ36" s="370" t="n">
        <v>0.998154551624308</v>
      </c>
      <c r="CA36" s="370" t="n">
        <v>0.0269541378866576</v>
      </c>
      <c r="CB36" s="370" t="n">
        <v>0.967126070368611</v>
      </c>
      <c r="CC36" s="505" t="n">
        <v>-0.025</v>
      </c>
      <c r="CD36" s="505" t="n">
        <v>0.0575</v>
      </c>
      <c r="CE36" s="505" t="n">
        <v>0.195</v>
      </c>
      <c r="CF36" s="505" t="n">
        <v>-0.025</v>
      </c>
      <c r="CG36" s="505" t="n">
        <v>0.0192</v>
      </c>
      <c r="CH36" s="505" t="n">
        <v>3.10302399677769</v>
      </c>
      <c r="CI36" s="505" t="n">
        <v>3.281</v>
      </c>
    </row>
    <row r="37" customFormat="false" ht="12.75" hidden="false" customHeight="false" outlineLevel="0" collapsed="false">
      <c r="A37" s="512"/>
      <c r="B37" s="512"/>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3.25289913283487</v>
      </c>
      <c r="BW37" s="369" t="n">
        <v>3.246</v>
      </c>
      <c r="BX37" s="370" t="n">
        <v>0.388875549675273</v>
      </c>
      <c r="BY37" s="370" t="n">
        <v>0.39066962859815</v>
      </c>
      <c r="BZ37" s="370" t="n">
        <v>0.998922485477816</v>
      </c>
      <c r="CA37" s="370" t="n">
        <v>0.0279745964320606</v>
      </c>
      <c r="CB37" s="370" t="n">
        <v>0.963636615990319</v>
      </c>
      <c r="CC37" s="505" t="n">
        <v>-0.025</v>
      </c>
      <c r="CD37" s="505" t="n">
        <v>0.0575</v>
      </c>
      <c r="CE37" s="505" t="n">
        <v>0.145</v>
      </c>
      <c r="CF37" s="505" t="n">
        <v>-0.025</v>
      </c>
      <c r="CG37" s="505" t="n">
        <v>0.0192</v>
      </c>
      <c r="CH37" s="505" t="n">
        <v>2.99209169264994</v>
      </c>
      <c r="CI37" s="505" t="n">
        <v>3.126</v>
      </c>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3.25392902016519</v>
      </c>
      <c r="BW38" s="369" t="n">
        <v>3.227</v>
      </c>
      <c r="BX38" s="370" t="n">
        <v>0.376159329765107</v>
      </c>
      <c r="BY38" s="370" t="n">
        <v>0.376159329765107</v>
      </c>
      <c r="BZ38" s="370" t="n">
        <v>0.999026464636225</v>
      </c>
      <c r="CA38" s="370" t="n">
        <v>0.0289631800763801</v>
      </c>
      <c r="CB38" s="370" t="n">
        <v>0.960114752892753</v>
      </c>
      <c r="CC38" s="505" t="n">
        <v>-0.025</v>
      </c>
      <c r="CD38" s="505" t="n">
        <v>0.0575</v>
      </c>
      <c r="CE38" s="505" t="n">
        <v>0.125</v>
      </c>
      <c r="CF38" s="505" t="n">
        <v>-0.025</v>
      </c>
      <c r="CG38" s="505" t="n">
        <v>0.0192</v>
      </c>
      <c r="CH38" s="505" t="n">
        <v>3.0805281846564</v>
      </c>
      <c r="CI38" s="505" t="n">
        <v>3.127</v>
      </c>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3.28997507672661</v>
      </c>
      <c r="BW39" s="369" t="n">
        <v>3.282</v>
      </c>
      <c r="BX39" s="370" t="n">
        <v>0.375845949287242</v>
      </c>
      <c r="BY39" s="370" t="n">
        <v>0.377677056513092</v>
      </c>
      <c r="BZ39" s="370" t="n">
        <v>0.998791864283484</v>
      </c>
      <c r="CA39" s="370" t="n">
        <v>0.0299847168551968</v>
      </c>
      <c r="CB39" s="370" t="n">
        <v>0.956328852591432</v>
      </c>
      <c r="CC39" s="505" t="n">
        <v>-0.025</v>
      </c>
      <c r="CD39" s="505" t="n">
        <v>0.0575</v>
      </c>
      <c r="CE39" s="505" t="n">
        <v>0.145</v>
      </c>
      <c r="CF39" s="505" t="n">
        <v>-0.025</v>
      </c>
      <c r="CG39" s="505" t="n">
        <v>0.0192</v>
      </c>
      <c r="CH39" s="505" t="n">
        <v>2.9694010872964</v>
      </c>
      <c r="CI39" s="505" t="n">
        <v>3.162</v>
      </c>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3.3332303446003</v>
      </c>
      <c r="BW40" s="369" t="n">
        <v>3.329</v>
      </c>
      <c r="BX40" s="370" t="n">
        <v>0.377568797335415</v>
      </c>
      <c r="BY40" s="370" t="n">
        <v>0.377568797335415</v>
      </c>
      <c r="BZ40" s="370" t="n">
        <v>0.998945934012993</v>
      </c>
      <c r="CA40" s="370" t="n">
        <v>0.0309652793004798</v>
      </c>
      <c r="CB40" s="370" t="n">
        <v>0.95253693379797</v>
      </c>
      <c r="CC40" s="505" t="n">
        <v>-0.025</v>
      </c>
      <c r="CD40" s="505" t="n">
        <v>0.0575</v>
      </c>
      <c r="CE40" s="505" t="n">
        <v>0.15</v>
      </c>
      <c r="CF40" s="505" t="n">
        <v>-0.025</v>
      </c>
      <c r="CG40" s="505" t="n">
        <v>0.0192</v>
      </c>
      <c r="CH40" s="505" t="n">
        <v>3.05621475209079</v>
      </c>
      <c r="CI40" s="505" t="n">
        <v>3.204</v>
      </c>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3.376485612474</v>
      </c>
      <c r="BW41" s="369" t="n">
        <v>3.371</v>
      </c>
      <c r="BX41" s="370" t="n">
        <v>0.37917572731747</v>
      </c>
      <c r="BY41" s="370" t="n">
        <v>0.37917572731747</v>
      </c>
      <c r="BZ41" s="370" t="n">
        <v>0.998811905581276</v>
      </c>
      <c r="CA41" s="370" t="n">
        <v>0.0319670833322725</v>
      </c>
      <c r="CB41" s="370" t="n">
        <v>0.948494893378275</v>
      </c>
      <c r="CC41" s="505" t="n">
        <v>-0.025</v>
      </c>
      <c r="CD41" s="505" t="n">
        <v>0.0575</v>
      </c>
      <c r="CE41" s="505" t="n">
        <v>0.15</v>
      </c>
      <c r="CF41" s="505" t="n">
        <v>-0.025</v>
      </c>
      <c r="CG41" s="505" t="n">
        <v>0.0192</v>
      </c>
      <c r="CH41" s="505" t="n">
        <v>3.0432458654042</v>
      </c>
      <c r="CI41" s="505" t="n">
        <v>3.246</v>
      </c>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3.37133617582237</v>
      </c>
      <c r="BW42" s="369" t="n">
        <v>3.341</v>
      </c>
      <c r="BX42" s="370" t="n">
        <v>0.376255879342064</v>
      </c>
      <c r="BY42" s="370" t="n">
        <v>0.378132573801484</v>
      </c>
      <c r="BZ42" s="370" t="n">
        <v>0.998604781079041</v>
      </c>
      <c r="CA42" s="370" t="n">
        <v>0.032968887702129</v>
      </c>
      <c r="CB42" s="370" t="n">
        <v>0.944312700032904</v>
      </c>
      <c r="CC42" s="505" t="n">
        <v>-0.025</v>
      </c>
      <c r="CD42" s="505" t="n">
        <v>0.0575</v>
      </c>
      <c r="CE42" s="505" t="n">
        <v>0.125</v>
      </c>
      <c r="CF42" s="505" t="n">
        <v>-0.025</v>
      </c>
      <c r="CG42" s="505" t="n">
        <v>0.0192</v>
      </c>
      <c r="CH42" s="505" t="n">
        <v>2.93209093360217</v>
      </c>
      <c r="CI42" s="505" t="n">
        <v>3.241</v>
      </c>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3.39811324641084</v>
      </c>
      <c r="BW43" s="369" t="n">
        <v>3.387</v>
      </c>
      <c r="BX43" s="370" t="n">
        <v>0.38041410598552</v>
      </c>
      <c r="BY43" s="370" t="n">
        <v>0.382396137086886</v>
      </c>
      <c r="BZ43" s="370" t="n">
        <v>0.998455606212173</v>
      </c>
      <c r="CA43" s="370" t="n">
        <v>0.0339067018220711</v>
      </c>
      <c r="CB43" s="370" t="n">
        <v>0.940187685777986</v>
      </c>
      <c r="CC43" s="505" t="n">
        <v>-0.025</v>
      </c>
      <c r="CD43" s="505" t="n">
        <v>0.0575</v>
      </c>
      <c r="CE43" s="505" t="n">
        <v>0.145</v>
      </c>
      <c r="CF43" s="505" t="n">
        <v>-0.025</v>
      </c>
      <c r="CG43" s="505" t="n">
        <v>0.0192</v>
      </c>
      <c r="CH43" s="505" t="n">
        <v>3.01659218981867</v>
      </c>
      <c r="CI43" s="505" t="n">
        <v>3.267</v>
      </c>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3.53714803600486</v>
      </c>
      <c r="BW44" s="369" t="n">
        <v>3.572</v>
      </c>
      <c r="BX44" s="370" t="n">
        <v>0.385609740274895</v>
      </c>
      <c r="BY44" s="370" t="n">
        <v>0.38797138408882</v>
      </c>
      <c r="BZ44" s="370" t="n">
        <v>0.997753709771421</v>
      </c>
      <c r="CA44" s="370" t="n">
        <v>0.0348361539671314</v>
      </c>
      <c r="CB44" s="370" t="n">
        <v>0.93586587426758</v>
      </c>
      <c r="CC44" s="505" t="n">
        <v>-0.025</v>
      </c>
      <c r="CD44" s="505" t="n">
        <v>0.0575</v>
      </c>
      <c r="CE44" s="505" t="n">
        <v>0.195</v>
      </c>
      <c r="CF44" s="505" t="n">
        <v>-0.025</v>
      </c>
      <c r="CG44" s="505" t="n">
        <v>0.0192</v>
      </c>
      <c r="CH44" s="505" t="n">
        <v>2.90586353960084</v>
      </c>
      <c r="CI44" s="505" t="n">
        <v>3.402</v>
      </c>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3.67618282559888</v>
      </c>
      <c r="BW45" s="369" t="n">
        <v>3.727</v>
      </c>
      <c r="BX45" s="370" t="n">
        <v>0.395540413143884</v>
      </c>
      <c r="BY45" s="370" t="n">
        <v>0.398352408852043</v>
      </c>
      <c r="BZ45" s="370" t="n">
        <v>0.996869385440336</v>
      </c>
      <c r="CA45" s="370" t="n">
        <v>0.0357356240616102</v>
      </c>
      <c r="CB45" s="370" t="n">
        <v>0.931565547567078</v>
      </c>
      <c r="CC45" s="505" t="n">
        <v>-0.025</v>
      </c>
      <c r="CD45" s="505" t="n">
        <v>0.0575</v>
      </c>
      <c r="CE45" s="505" t="n">
        <v>0.215</v>
      </c>
      <c r="CF45" s="505" t="n">
        <v>-0.025</v>
      </c>
      <c r="CG45" s="505" t="n">
        <v>0.0192</v>
      </c>
      <c r="CH45" s="505" t="n">
        <v>2.98892805936897</v>
      </c>
      <c r="CI45" s="505" t="n">
        <v>3.537</v>
      </c>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3.73797606541844</v>
      </c>
      <c r="BW46" s="369" t="n">
        <v>3.807</v>
      </c>
      <c r="BX46" s="370" t="n">
        <v>0.392965652353069</v>
      </c>
      <c r="BY46" s="370" t="n">
        <v>0.39560445076734</v>
      </c>
      <c r="BZ46" s="370" t="n">
        <v>0.997116788550599</v>
      </c>
      <c r="CA46" s="370" t="n">
        <v>0.0366293995889575</v>
      </c>
      <c r="CB46" s="370" t="n">
        <v>0.927069774742957</v>
      </c>
      <c r="CC46" s="505" t="n">
        <v>-0.025</v>
      </c>
      <c r="CD46" s="505" t="n">
        <v>0.0575</v>
      </c>
      <c r="CE46" s="505" t="n">
        <v>0.235</v>
      </c>
      <c r="CF46" s="505" t="n">
        <v>-0.025</v>
      </c>
      <c r="CG46" s="505" t="n">
        <v>0.0192</v>
      </c>
      <c r="CH46" s="505" t="n">
        <v>2.97450337226278</v>
      </c>
      <c r="CI46" s="505" t="n">
        <v>3.597</v>
      </c>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3.65043564234073</v>
      </c>
      <c r="BW47" s="369" t="n">
        <v>3.722</v>
      </c>
      <c r="BX47" s="370" t="n">
        <v>0.390732432296569</v>
      </c>
      <c r="BY47" s="370" t="n">
        <v>0.393121946123922</v>
      </c>
      <c r="BZ47" s="370" t="n">
        <v>0.99737164438652</v>
      </c>
      <c r="CA47" s="370" t="n">
        <v>0.0374851197051385</v>
      </c>
      <c r="CB47" s="370" t="n">
        <v>0.922533811762705</v>
      </c>
      <c r="CC47" s="505" t="n">
        <v>-0.025</v>
      </c>
      <c r="CD47" s="505" t="n">
        <v>0.0575</v>
      </c>
      <c r="CE47" s="505" t="n">
        <v>0.235</v>
      </c>
      <c r="CF47" s="505" t="n">
        <v>-0.025</v>
      </c>
      <c r="CG47" s="505" t="n">
        <v>0.0192</v>
      </c>
      <c r="CH47" s="505" t="n">
        <v>2.76898523600576</v>
      </c>
      <c r="CI47" s="505" t="n">
        <v>3.512</v>
      </c>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3.51655028939834</v>
      </c>
      <c r="BW48" s="369" t="n">
        <v>3.552</v>
      </c>
      <c r="BX48" s="370" t="n">
        <v>0.366388286442151</v>
      </c>
      <c r="BY48" s="370" t="n">
        <v>0.366388286442151</v>
      </c>
      <c r="BZ48" s="370" t="n">
        <v>0.998422615911158</v>
      </c>
      <c r="CA48" s="370" t="n">
        <v>0.0382856322945879</v>
      </c>
      <c r="CB48" s="370" t="n">
        <v>0.918192690834127</v>
      </c>
      <c r="CC48" s="505" t="n">
        <v>-0.025</v>
      </c>
      <c r="CD48" s="505" t="n">
        <v>0.0575</v>
      </c>
      <c r="CE48" s="505" t="n">
        <v>0.195</v>
      </c>
      <c r="CF48" s="505" t="n">
        <v>-0.025</v>
      </c>
      <c r="CG48" s="505" t="n">
        <v>0.0192</v>
      </c>
      <c r="CH48" s="505" t="n">
        <v>2.9460212485413</v>
      </c>
      <c r="CI48" s="505" t="n">
        <v>3.382</v>
      </c>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3.32602113328802</v>
      </c>
      <c r="BW49" s="369" t="n">
        <v>3.317</v>
      </c>
      <c r="BX49" s="370" t="n">
        <v>0.331357120013448</v>
      </c>
      <c r="BY49" s="370" t="n">
        <v>0.332481620699618</v>
      </c>
      <c r="BZ49" s="370" t="n">
        <v>0.99923250443996</v>
      </c>
      <c r="CA49" s="370" t="n">
        <v>0.0390847146165725</v>
      </c>
      <c r="CB49" s="370" t="n">
        <v>0.913567985593808</v>
      </c>
      <c r="CC49" s="505" t="n">
        <v>-0.025</v>
      </c>
      <c r="CD49" s="505" t="n">
        <v>0.0575</v>
      </c>
      <c r="CE49" s="505" t="n">
        <v>0.145</v>
      </c>
      <c r="CF49" s="505" t="n">
        <v>-0.025</v>
      </c>
      <c r="CG49" s="505" t="n">
        <v>0.0192</v>
      </c>
      <c r="CH49" s="505" t="n">
        <v>2.83662859526877</v>
      </c>
      <c r="CI49" s="505" t="n">
        <v>3.197</v>
      </c>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3.32087169663639</v>
      </c>
      <c r="BW50" s="369" t="n">
        <v>3.292</v>
      </c>
      <c r="BX50" s="370" t="n">
        <v>0.327601342960546</v>
      </c>
      <c r="BY50" s="370" t="n">
        <v>0.327601342960546</v>
      </c>
      <c r="BZ50" s="370" t="n">
        <v>0.999338701500497</v>
      </c>
      <c r="CA50" s="370" t="n">
        <v>0.0397995549683068</v>
      </c>
      <c r="CB50" s="370" t="n">
        <v>0.909126089677525</v>
      </c>
      <c r="CC50" s="505" t="n">
        <v>-0.025</v>
      </c>
      <c r="CD50" s="505" t="n">
        <v>0.0575</v>
      </c>
      <c r="CE50" s="505" t="n">
        <v>0.125</v>
      </c>
      <c r="CF50" s="505" t="n">
        <v>-0.025</v>
      </c>
      <c r="CG50" s="505" t="n">
        <v>0.0192</v>
      </c>
      <c r="CH50" s="505" t="n">
        <v>2.91693105873034</v>
      </c>
      <c r="CI50" s="505" t="n">
        <v>3.192</v>
      </c>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3.3569177531978</v>
      </c>
      <c r="BW51" s="369" t="n">
        <v>3.347</v>
      </c>
      <c r="BX51" s="370" t="n">
        <v>0.322553846057612</v>
      </c>
      <c r="BY51" s="370" t="n">
        <v>0.323758663407093</v>
      </c>
      <c r="BZ51" s="370" t="n">
        <v>0.999104310456046</v>
      </c>
      <c r="CA51" s="370" t="n">
        <v>0.0405382235118998</v>
      </c>
      <c r="CB51" s="370" t="n">
        <v>0.904449976505324</v>
      </c>
      <c r="CC51" s="505" t="n">
        <v>-0.025</v>
      </c>
      <c r="CD51" s="505" t="n">
        <v>0.0575</v>
      </c>
      <c r="CE51" s="505" t="n">
        <v>0.145</v>
      </c>
      <c r="CF51" s="505" t="n">
        <v>-0.025</v>
      </c>
      <c r="CG51" s="505" t="n">
        <v>0.0192</v>
      </c>
      <c r="CH51" s="505" t="n">
        <v>2.80831717704903</v>
      </c>
      <c r="CI51" s="505" t="n">
        <v>3.227</v>
      </c>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3.39811324641084</v>
      </c>
      <c r="BW52" s="369" t="n">
        <v>3.392</v>
      </c>
      <c r="BX52" s="370" t="n">
        <v>0.323758663407093</v>
      </c>
      <c r="BY52" s="370" t="n">
        <v>0.323758663407093</v>
      </c>
      <c r="BZ52" s="370" t="n">
        <v>0.999218016890835</v>
      </c>
      <c r="CA52" s="370" t="n">
        <v>0.0412152492802473</v>
      </c>
      <c r="CB52" s="370" t="n">
        <v>0.899929041596613</v>
      </c>
      <c r="CC52" s="505" t="n">
        <v>-0.025</v>
      </c>
      <c r="CD52" s="505" t="n">
        <v>0.0575</v>
      </c>
      <c r="CE52" s="505" t="n">
        <v>0.15</v>
      </c>
      <c r="CF52" s="505" t="n">
        <v>-0.025</v>
      </c>
      <c r="CG52" s="505" t="n">
        <v>0.0192</v>
      </c>
      <c r="CH52" s="505" t="n">
        <v>2.88742232996273</v>
      </c>
      <c r="CI52" s="505" t="n">
        <v>3.267</v>
      </c>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3.43930873962389</v>
      </c>
      <c r="BW53" s="369" t="n">
        <v>3.432</v>
      </c>
      <c r="BX53" s="370" t="n">
        <v>0.324924899747912</v>
      </c>
      <c r="BY53" s="370" t="n">
        <v>0.324924899747912</v>
      </c>
      <c r="BZ53" s="370" t="n">
        <v>0.999090403379791</v>
      </c>
      <c r="CA53" s="370" t="n">
        <v>0.0418733656308259</v>
      </c>
      <c r="CB53" s="370" t="n">
        <v>0.895276283112479</v>
      </c>
      <c r="CC53" s="505" t="n">
        <v>-0.025</v>
      </c>
      <c r="CD53" s="505" t="n">
        <v>0.0575</v>
      </c>
      <c r="CE53" s="505" t="n">
        <v>0.15</v>
      </c>
      <c r="CF53" s="505" t="n">
        <v>-0.025</v>
      </c>
      <c r="CG53" s="505" t="n">
        <v>0.0192</v>
      </c>
      <c r="CH53" s="505" t="n">
        <v>2.87249395436639</v>
      </c>
      <c r="CI53" s="505" t="n">
        <v>3.307</v>
      </c>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3.43415930297226</v>
      </c>
      <c r="BW54" s="369" t="n">
        <v>3.402</v>
      </c>
      <c r="BX54" s="370" t="n">
        <v>0.324623837003911</v>
      </c>
      <c r="BY54" s="370" t="n">
        <v>0.325940393354155</v>
      </c>
      <c r="BZ54" s="370" t="n">
        <v>0.998903062186623</v>
      </c>
      <c r="CA54" s="370" t="n">
        <v>0.0425314821265914</v>
      </c>
      <c r="CB54" s="370" t="n">
        <v>0.890550622336601</v>
      </c>
      <c r="CC54" s="505" t="n">
        <v>-0.025</v>
      </c>
      <c r="CD54" s="505" t="n">
        <v>0.0575</v>
      </c>
      <c r="CE54" s="505" t="n">
        <v>0.125</v>
      </c>
      <c r="CF54" s="505" t="n">
        <v>-0.025</v>
      </c>
      <c r="CG54" s="505" t="n">
        <v>0.0192</v>
      </c>
      <c r="CH54" s="505" t="n">
        <v>2.76515968235515</v>
      </c>
      <c r="CI54" s="505" t="n">
        <v>3.302</v>
      </c>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3.45990648623041</v>
      </c>
      <c r="BW55" s="369" t="n">
        <v>3.447</v>
      </c>
      <c r="BX55" s="370" t="n">
        <v>0.325957791635222</v>
      </c>
      <c r="BY55" s="370" t="n">
        <v>0.327386952805804</v>
      </c>
      <c r="BZ55" s="370" t="n">
        <v>0.998742590889324</v>
      </c>
      <c r="CA55" s="370" t="n">
        <v>0.0431331290786572</v>
      </c>
      <c r="CB55" s="370" t="n">
        <v>0.885996047822783</v>
      </c>
      <c r="CC55" s="505" t="n">
        <v>-0.025</v>
      </c>
      <c r="CD55" s="505" t="n">
        <v>0.0575</v>
      </c>
      <c r="CE55" s="505" t="n">
        <v>0.145</v>
      </c>
      <c r="CF55" s="505" t="n">
        <v>-0.025</v>
      </c>
      <c r="CG55" s="505" t="n">
        <v>0.0192</v>
      </c>
      <c r="CH55" s="505" t="n">
        <v>2.8427183194394</v>
      </c>
      <c r="CI55" s="505" t="n">
        <v>3.327</v>
      </c>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3.61644936043997</v>
      </c>
      <c r="BW56" s="369" t="n">
        <v>3.649</v>
      </c>
      <c r="BX56" s="370" t="n">
        <v>0.331587939765235</v>
      </c>
      <c r="BY56" s="370" t="n">
        <v>0.333330571149604</v>
      </c>
      <c r="BZ56" s="370" t="n">
        <v>0.998126734498764</v>
      </c>
      <c r="CA56" s="370" t="n">
        <v>0.0437209690349563</v>
      </c>
      <c r="CB56" s="370" t="n">
        <v>0.881310319234489</v>
      </c>
      <c r="CC56" s="505" t="n">
        <v>-0.025</v>
      </c>
      <c r="CD56" s="505" t="n">
        <v>0.0575</v>
      </c>
      <c r="CE56" s="505" t="n">
        <v>0.195</v>
      </c>
      <c r="CF56" s="505" t="n">
        <v>-0.025</v>
      </c>
      <c r="CG56" s="505" t="n">
        <v>0.0192</v>
      </c>
      <c r="CH56" s="505" t="n">
        <v>2.73646854122309</v>
      </c>
      <c r="CI56" s="505" t="n">
        <v>3.479</v>
      </c>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3.7637232486766</v>
      </c>
      <c r="BW57" s="369" t="n">
        <v>3.812</v>
      </c>
      <c r="BX57" s="370" t="n">
        <v>0.339212722084315</v>
      </c>
      <c r="BY57" s="370" t="n">
        <v>0.341337898891766</v>
      </c>
      <c r="BZ57" s="370" t="n">
        <v>0.997308031809176</v>
      </c>
      <c r="CA57" s="370" t="n">
        <v>0.044289846522211</v>
      </c>
      <c r="CB57" s="370" t="n">
        <v>0.876718225648428</v>
      </c>
      <c r="CC57" s="505" t="n">
        <v>-0.025</v>
      </c>
      <c r="CD57" s="505" t="n">
        <v>0.0575</v>
      </c>
      <c r="CE57" s="505" t="n">
        <v>0.215</v>
      </c>
      <c r="CF57" s="505" t="n">
        <v>-0.025</v>
      </c>
      <c r="CG57" s="505" t="n">
        <v>0.0192</v>
      </c>
      <c r="CH57" s="505" t="n">
        <v>2.81295042699298</v>
      </c>
      <c r="CI57" s="505" t="n">
        <v>3.622</v>
      </c>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3.82551648849616</v>
      </c>
      <c r="BW58" s="369" t="n">
        <v>3.892</v>
      </c>
      <c r="BX58" s="370" t="n">
        <v>0.338699959673164</v>
      </c>
      <c r="BY58" s="370" t="n">
        <v>0.340770096284093</v>
      </c>
      <c r="BZ58" s="370" t="n">
        <v>0.997373119119706</v>
      </c>
      <c r="CA58" s="370" t="n">
        <v>0.0448548874957364</v>
      </c>
      <c r="CB58" s="370" t="n">
        <v>0.871974921810256</v>
      </c>
      <c r="CC58" s="505" t="n">
        <v>-0.025</v>
      </c>
      <c r="CD58" s="505" t="n">
        <v>0.0575</v>
      </c>
      <c r="CE58" s="505" t="n">
        <v>0.235</v>
      </c>
      <c r="CF58" s="505" t="n">
        <v>-0.025</v>
      </c>
      <c r="CG58" s="505" t="n">
        <v>0.0192</v>
      </c>
      <c r="CH58" s="505" t="n">
        <v>2.79773153662821</v>
      </c>
      <c r="CI58" s="505" t="n">
        <v>3.682</v>
      </c>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3.73797606541844</v>
      </c>
      <c r="BW59" s="369" t="n">
        <v>3.807</v>
      </c>
      <c r="BX59" s="370" t="n">
        <v>0.334167550636186</v>
      </c>
      <c r="BY59" s="370" t="n">
        <v>0.336015011900667</v>
      </c>
      <c r="BZ59" s="370" t="n">
        <v>0.997621597937931</v>
      </c>
      <c r="CA59" s="370" t="n">
        <v>0.0454011527523237</v>
      </c>
      <c r="CB59" s="370" t="n">
        <v>0.867226855595254</v>
      </c>
      <c r="CC59" s="505" t="n">
        <v>-0.025</v>
      </c>
      <c r="CD59" s="505" t="n">
        <v>0.0575</v>
      </c>
      <c r="CE59" s="505" t="n">
        <v>0.235</v>
      </c>
      <c r="CF59" s="505" t="n">
        <v>-0.025</v>
      </c>
      <c r="CG59" s="505" t="n">
        <v>0.0192</v>
      </c>
      <c r="CH59" s="505" t="n">
        <v>2.51322342751505</v>
      </c>
      <c r="CI59" s="505" t="n">
        <v>3.597</v>
      </c>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3.60409071247606</v>
      </c>
      <c r="BW60" s="369" t="n">
        <v>3.637</v>
      </c>
      <c r="BX60" s="370" t="n">
        <v>0.317268038421172</v>
      </c>
      <c r="BY60" s="370" t="n">
        <v>0.317268038421172</v>
      </c>
      <c r="BZ60" s="370" t="n">
        <v>0.998542420043511</v>
      </c>
      <c r="CA60" s="370" t="n">
        <v>0.0458945537150708</v>
      </c>
      <c r="CB60" s="370" t="n">
        <v>0.862893591140207</v>
      </c>
      <c r="CC60" s="505" t="n">
        <v>-0.025</v>
      </c>
      <c r="CD60" s="505" t="n">
        <v>0.0575</v>
      </c>
      <c r="CE60" s="505" t="n">
        <v>0.195</v>
      </c>
      <c r="CF60" s="505" t="n">
        <v>-0.025</v>
      </c>
      <c r="CG60" s="505" t="n">
        <v>0.0192</v>
      </c>
      <c r="CH60" s="505" t="n">
        <v>2.76859408717335</v>
      </c>
      <c r="CI60" s="505" t="n">
        <v>3.467</v>
      </c>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3.41356155636573</v>
      </c>
      <c r="BW61" s="369" t="n">
        <v>3.402</v>
      </c>
      <c r="BX61" s="370" t="n">
        <v>0.29897490298836</v>
      </c>
      <c r="BY61" s="370" t="n">
        <v>0.299848232051068</v>
      </c>
      <c r="BZ61" s="370" t="n">
        <v>0.999338531682688</v>
      </c>
      <c r="CA61" s="370" t="n">
        <v>0.0464010564150716</v>
      </c>
      <c r="CB61" s="370" t="n">
        <v>0.85815886093194</v>
      </c>
      <c r="CC61" s="505" t="n">
        <v>-0.025</v>
      </c>
      <c r="CD61" s="505" t="n">
        <v>0.0575</v>
      </c>
      <c r="CE61" s="505" t="n">
        <v>0.145</v>
      </c>
      <c r="CF61" s="505" t="n">
        <v>-0.025</v>
      </c>
      <c r="CG61" s="505" t="n">
        <v>0.0192</v>
      </c>
      <c r="CH61" s="505" t="n">
        <v>2.66458326319367</v>
      </c>
      <c r="CI61" s="505" t="n">
        <v>3.282</v>
      </c>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3.4084121197141</v>
      </c>
      <c r="BW62" s="369" t="n">
        <v>3.377</v>
      </c>
      <c r="BX62" s="370" t="n">
        <v>0.292521362466059</v>
      </c>
      <c r="BY62" s="370" t="n">
        <v>0.292521362466059</v>
      </c>
      <c r="BZ62" s="370" t="n">
        <v>0.999412868628947</v>
      </c>
      <c r="CA62" s="370" t="n">
        <v>0.0468566770502532</v>
      </c>
      <c r="CB62" s="370" t="n">
        <v>0.853632083295416</v>
      </c>
      <c r="CC62" s="505" t="n">
        <v>-0.025</v>
      </c>
      <c r="CD62" s="505" t="n">
        <v>0.0575</v>
      </c>
      <c r="CE62" s="505" t="n">
        <v>0.125</v>
      </c>
      <c r="CF62" s="505" t="n">
        <v>-0.025</v>
      </c>
      <c r="CG62" s="505" t="n">
        <v>0.0192</v>
      </c>
      <c r="CH62" s="505" t="n">
        <v>2.73887853925334</v>
      </c>
      <c r="CI62" s="505" t="n">
        <v>3.277</v>
      </c>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3.44445817627552</v>
      </c>
      <c r="BW63" s="369" t="n">
        <v>3.432</v>
      </c>
      <c r="BX63" s="370" t="n">
        <v>0.292382455013977</v>
      </c>
      <c r="BY63" s="370" t="n">
        <v>0.293332815458823</v>
      </c>
      <c r="BZ63" s="370" t="n">
        <v>0.999219600859749</v>
      </c>
      <c r="CA63" s="370" t="n">
        <v>0.0473274851128664</v>
      </c>
      <c r="CB63" s="370" t="n">
        <v>0.848914575635623</v>
      </c>
      <c r="CC63" s="505" t="n">
        <v>-0.025</v>
      </c>
      <c r="CD63" s="505" t="n">
        <v>0.0575</v>
      </c>
      <c r="CE63" s="505" t="n">
        <v>0.145</v>
      </c>
      <c r="CF63" s="505" t="n">
        <v>-0.025</v>
      </c>
      <c r="CG63" s="505" t="n">
        <v>0.0192</v>
      </c>
      <c r="CH63" s="505" t="n">
        <v>2.63587975734861</v>
      </c>
      <c r="CI63" s="505" t="n">
        <v>3.312</v>
      </c>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3.48565366948856</v>
      </c>
      <c r="BW64" s="369" t="n">
        <v>3.477</v>
      </c>
      <c r="BX64" s="370" t="n">
        <v>0.288480838532972</v>
      </c>
      <c r="BY64" s="370" t="n">
        <v>0.288480838532972</v>
      </c>
      <c r="BZ64" s="370" t="n">
        <v>0.999289390950738</v>
      </c>
      <c r="CA64" s="370" t="n">
        <v>0.047760481058801</v>
      </c>
      <c r="CB64" s="370" t="n">
        <v>0.844378469838596</v>
      </c>
      <c r="CC64" s="505" t="n">
        <v>-0.025</v>
      </c>
      <c r="CD64" s="505" t="n">
        <v>0.0575</v>
      </c>
      <c r="CE64" s="505" t="n">
        <v>0.15</v>
      </c>
      <c r="CF64" s="505" t="n">
        <v>-0.025</v>
      </c>
      <c r="CG64" s="505" t="n">
        <v>0.0192</v>
      </c>
      <c r="CH64" s="505" t="n">
        <v>2.70918832047714</v>
      </c>
      <c r="CI64" s="505" t="n">
        <v>3.352</v>
      </c>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3.5268491627016</v>
      </c>
      <c r="BW65" s="369" t="n">
        <v>3.517</v>
      </c>
      <c r="BX65" s="370" t="n">
        <v>0.289450621554524</v>
      </c>
      <c r="BY65" s="370" t="n">
        <v>0.289450621554524</v>
      </c>
      <c r="BZ65" s="370" t="n">
        <v>0.99916565162808</v>
      </c>
      <c r="CA65" s="370" t="n">
        <v>0.0481861434694211</v>
      </c>
      <c r="CB65" s="370" t="n">
        <v>0.839721100096823</v>
      </c>
      <c r="CC65" s="505" t="n">
        <v>-0.025</v>
      </c>
      <c r="CD65" s="505" t="n">
        <v>0.0575</v>
      </c>
      <c r="CE65" s="505" t="n">
        <v>0.15</v>
      </c>
      <c r="CF65" s="505" t="n">
        <v>-0.025</v>
      </c>
      <c r="CG65" s="505" t="n">
        <v>0.0192</v>
      </c>
      <c r="CH65" s="505" t="n">
        <v>2.69424514966066</v>
      </c>
      <c r="CI65" s="505" t="n">
        <v>3.392</v>
      </c>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3.52169972604997</v>
      </c>
      <c r="BW66" s="369" t="n">
        <v>3.487</v>
      </c>
      <c r="BX66" s="370" t="n">
        <v>0.289213048318682</v>
      </c>
      <c r="BY66" s="370" t="n">
        <v>0.290297832635128</v>
      </c>
      <c r="BZ66" s="370" t="n">
        <v>0.998984786241246</v>
      </c>
      <c r="CA66" s="370" t="n">
        <v>0.0486118059405909</v>
      </c>
      <c r="CB66" s="370" t="n">
        <v>0.835030766033085</v>
      </c>
      <c r="CC66" s="505" t="n">
        <v>-0.025</v>
      </c>
      <c r="CD66" s="505" t="n">
        <v>0.0575</v>
      </c>
      <c r="CE66" s="505" t="n">
        <v>0.125</v>
      </c>
      <c r="CF66" s="505" t="n">
        <v>-0.025</v>
      </c>
      <c r="CG66" s="505" t="n">
        <v>0.0192</v>
      </c>
      <c r="CH66" s="505" t="n">
        <v>2.59277052853273</v>
      </c>
      <c r="CI66" s="505" t="n">
        <v>3.387</v>
      </c>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3.54744690930812</v>
      </c>
      <c r="BW67" s="369" t="n">
        <v>3.532</v>
      </c>
      <c r="BX67" s="370" t="n">
        <v>0.290354844679535</v>
      </c>
      <c r="BY67" s="370" t="n">
        <v>0.291541878066714</v>
      </c>
      <c r="BZ67" s="370" t="n">
        <v>0.998826785574767</v>
      </c>
      <c r="CA67" s="370" t="n">
        <v>0.0490091513549218</v>
      </c>
      <c r="CB67" s="370" t="n">
        <v>0.830506508545646</v>
      </c>
      <c r="CC67" s="505" t="n">
        <v>-0.025</v>
      </c>
      <c r="CD67" s="505" t="n">
        <v>0.0575</v>
      </c>
      <c r="CE67" s="505" t="n">
        <v>0.145</v>
      </c>
      <c r="CF67" s="505" t="n">
        <v>-0.025</v>
      </c>
      <c r="CG67" s="505" t="n">
        <v>0.0192</v>
      </c>
      <c r="CH67" s="505" t="n">
        <v>2.6646801326687</v>
      </c>
      <c r="CI67" s="505" t="n">
        <v>3.412</v>
      </c>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3.70398978351768</v>
      </c>
      <c r="BW68" s="369" t="n">
        <v>3.734</v>
      </c>
      <c r="BX68" s="370" t="n">
        <v>0.295083048619696</v>
      </c>
      <c r="BY68" s="370" t="n">
        <v>0.296542709414056</v>
      </c>
      <c r="BZ68" s="370" t="n">
        <v>0.998235777343204</v>
      </c>
      <c r="CA68" s="370" t="n">
        <v>0.0493920179871608</v>
      </c>
      <c r="CB68" s="370" t="n">
        <v>0.825889768863549</v>
      </c>
      <c r="CC68" s="505" t="n">
        <v>-0.025</v>
      </c>
      <c r="CD68" s="505" t="n">
        <v>0.0575</v>
      </c>
      <c r="CE68" s="505" t="n">
        <v>0.195</v>
      </c>
      <c r="CF68" s="505" t="n">
        <v>-0.025</v>
      </c>
      <c r="CG68" s="505" t="n">
        <v>0.0192</v>
      </c>
      <c r="CH68" s="505" t="n">
        <v>2.56438773232132</v>
      </c>
      <c r="CI68" s="505" t="n">
        <v>3.564</v>
      </c>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3.85126367175431</v>
      </c>
      <c r="BW69" s="369" t="n">
        <v>3.897</v>
      </c>
      <c r="BX69" s="370" t="n">
        <v>0.30158877782868</v>
      </c>
      <c r="BY69" s="370" t="n">
        <v>0.303383212158952</v>
      </c>
      <c r="BZ69" s="370" t="n">
        <v>0.997442091970869</v>
      </c>
      <c r="CA69" s="370" t="n">
        <v>0.0497625341294907</v>
      </c>
      <c r="CB69" s="370" t="n">
        <v>0.821397003079716</v>
      </c>
      <c r="CC69" s="505" t="n">
        <v>-0.025</v>
      </c>
      <c r="CD69" s="505" t="n">
        <v>0.0575</v>
      </c>
      <c r="CE69" s="505" t="n">
        <v>0.215</v>
      </c>
      <c r="CF69" s="505" t="n">
        <v>-0.025</v>
      </c>
      <c r="CG69" s="505" t="n">
        <v>0.0192</v>
      </c>
      <c r="CH69" s="505" t="n">
        <v>2.63545228438127</v>
      </c>
      <c r="CI69" s="505" t="n">
        <v>3.707</v>
      </c>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3.9099672495829</v>
      </c>
      <c r="BW70" s="369" t="n">
        <v>3.972</v>
      </c>
      <c r="BX70" s="370" t="n">
        <v>0.301253958992461</v>
      </c>
      <c r="BY70" s="370" t="n">
        <v>0.303013221458606</v>
      </c>
      <c r="BZ70" s="370" t="n">
        <v>0.997488985320829</v>
      </c>
      <c r="CA70" s="370" t="n">
        <v>0.0501238670100874</v>
      </c>
      <c r="CB70" s="370" t="n">
        <v>0.816799555121222</v>
      </c>
      <c r="CC70" s="505" t="n">
        <v>-0.023</v>
      </c>
      <c r="CD70" s="505" t="n">
        <v>0.0575</v>
      </c>
      <c r="CE70" s="505" t="n">
        <v>0.235</v>
      </c>
      <c r="CF70" s="505" t="n">
        <v>-0.025</v>
      </c>
      <c r="CG70" s="505" t="n">
        <v>0.0192</v>
      </c>
      <c r="CH70" s="505" t="n">
        <v>2.62070137260644</v>
      </c>
      <c r="CI70" s="505" t="n">
        <v>3.762</v>
      </c>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3.82242682650518</v>
      </c>
      <c r="BW71" s="369" t="n">
        <v>3.887</v>
      </c>
      <c r="BX71" s="370" t="n">
        <v>0.294730625711485</v>
      </c>
      <c r="BY71" s="370" t="n">
        <v>0.296323712824594</v>
      </c>
      <c r="BZ71" s="370" t="n">
        <v>0.99767417649028</v>
      </c>
      <c r="CA71" s="370" t="n">
        <v>0.0504460474790935</v>
      </c>
      <c r="CB71" s="370" t="n">
        <v>0.812308871993658</v>
      </c>
      <c r="CC71" s="505" t="n">
        <v>-0.023</v>
      </c>
      <c r="CD71" s="505" t="n">
        <v>0.0575</v>
      </c>
      <c r="CE71" s="505" t="n">
        <v>0.235</v>
      </c>
      <c r="CF71" s="505" t="n">
        <v>-0.025</v>
      </c>
      <c r="CG71" s="505" t="n">
        <v>0.0192</v>
      </c>
      <c r="CH71" s="505" t="n">
        <v>2.35407111103762</v>
      </c>
      <c r="CI71" s="505" t="n">
        <v>3.677</v>
      </c>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3.68854147356279</v>
      </c>
      <c r="BW72" s="369" t="n">
        <v>3.717</v>
      </c>
      <c r="BX72" s="370" t="n">
        <v>0.278899568705084</v>
      </c>
      <c r="BY72" s="370" t="n">
        <v>0.278899568705084</v>
      </c>
      <c r="BZ72" s="370" t="n">
        <v>0.998556963628035</v>
      </c>
      <c r="CA72" s="370" t="n">
        <v>0.0507370492228172</v>
      </c>
      <c r="CB72" s="370" t="n">
        <v>0.808237080144648</v>
      </c>
      <c r="CC72" s="505" t="n">
        <v>-0.023</v>
      </c>
      <c r="CD72" s="505" t="n">
        <v>0.0575</v>
      </c>
      <c r="CE72" s="505" t="n">
        <v>0.195</v>
      </c>
      <c r="CF72" s="505" t="n">
        <v>-0.025</v>
      </c>
      <c r="CG72" s="505" t="n">
        <v>0.0192</v>
      </c>
      <c r="CH72" s="505" t="n">
        <v>2.5932286716441</v>
      </c>
      <c r="CI72" s="505" t="n">
        <v>3.547</v>
      </c>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3.49801231745247</v>
      </c>
      <c r="BW73" s="369" t="n">
        <v>3.482</v>
      </c>
      <c r="BX73" s="370" t="n">
        <v>0.251839821026274</v>
      </c>
      <c r="BY73" s="370" t="n">
        <v>0.25263760127059</v>
      </c>
      <c r="BZ73" s="370" t="n">
        <v>0.999283137584406</v>
      </c>
      <c r="CA73" s="370" t="n">
        <v>0.0510592297577648</v>
      </c>
      <c r="CB73" s="370" t="n">
        <v>0.803712195296429</v>
      </c>
      <c r="CC73" s="505" t="n">
        <v>-0.023</v>
      </c>
      <c r="CD73" s="505" t="n">
        <v>0.0575</v>
      </c>
      <c r="CE73" s="505" t="n">
        <v>0.145</v>
      </c>
      <c r="CF73" s="505" t="n">
        <v>-0.025</v>
      </c>
      <c r="CG73" s="505" t="n">
        <v>0.0192</v>
      </c>
      <c r="CH73" s="505" t="n">
        <v>2.49552636639541</v>
      </c>
      <c r="CI73" s="505" t="n">
        <v>3.362</v>
      </c>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3.49286288080084</v>
      </c>
      <c r="BW74" s="369" t="n">
        <v>3.457</v>
      </c>
      <c r="BX74" s="370" t="n">
        <v>0.24777576676848</v>
      </c>
      <c r="BY74" s="370" t="n">
        <v>0.24777576676848</v>
      </c>
      <c r="BZ74" s="370" t="n">
        <v>0.999366668608782</v>
      </c>
      <c r="CA74" s="370" t="n">
        <v>0.051371017405212</v>
      </c>
      <c r="CB74" s="370" t="n">
        <v>0.799316971929618</v>
      </c>
      <c r="CC74" s="505" t="n">
        <v>-0.023</v>
      </c>
      <c r="CD74" s="505" t="n">
        <v>0.0575</v>
      </c>
      <c r="CE74" s="505" t="n">
        <v>0.125</v>
      </c>
      <c r="CF74" s="505" t="n">
        <v>-0.025</v>
      </c>
      <c r="CG74" s="505" t="n">
        <v>0.0192</v>
      </c>
      <c r="CH74" s="505" t="n">
        <v>2.56460850443618</v>
      </c>
      <c r="CI74" s="505" t="n">
        <v>3.357</v>
      </c>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3.52890893736225</v>
      </c>
      <c r="BW75" s="369" t="n">
        <v>3.512</v>
      </c>
      <c r="BX75" s="370" t="n">
        <v>0.250088358245823</v>
      </c>
      <c r="BY75" s="370" t="n">
        <v>0.250952819528252</v>
      </c>
      <c r="BZ75" s="370" t="n">
        <v>0.999170528199132</v>
      </c>
      <c r="CA75" s="370" t="n">
        <v>0.0516931980083157</v>
      </c>
      <c r="CB75" s="370" t="n">
        <v>0.794758967227619</v>
      </c>
      <c r="CC75" s="505" t="n">
        <v>-0.023</v>
      </c>
      <c r="CD75" s="505" t="n">
        <v>0.0575</v>
      </c>
      <c r="CE75" s="505" t="n">
        <v>0.145</v>
      </c>
      <c r="CF75" s="505" t="n">
        <v>-0.025</v>
      </c>
      <c r="CG75" s="505" t="n">
        <v>0.0192</v>
      </c>
      <c r="CH75" s="505" t="n">
        <v>2.46772659324176</v>
      </c>
      <c r="CI75" s="505" t="n">
        <v>3.392</v>
      </c>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3.5701044305753</v>
      </c>
      <c r="BW76" s="369" t="n">
        <v>3.557</v>
      </c>
      <c r="BX76" s="370" t="n">
        <v>0.251002615011208</v>
      </c>
      <c r="BY76" s="370" t="n">
        <v>0.251002615011208</v>
      </c>
      <c r="BZ76" s="370" t="n">
        <v>0.999265822994661</v>
      </c>
      <c r="CA76" s="370" t="n">
        <v>0.0520049857217106</v>
      </c>
      <c r="CB76" s="370" t="n">
        <v>0.790332792803782</v>
      </c>
      <c r="CC76" s="505" t="n">
        <v>-0.023</v>
      </c>
      <c r="CD76" s="505" t="n">
        <v>0.0575</v>
      </c>
      <c r="CE76" s="505" t="n">
        <v>0.15</v>
      </c>
      <c r="CF76" s="505" t="n">
        <v>-0.025</v>
      </c>
      <c r="CG76" s="505" t="n">
        <v>0.0192</v>
      </c>
      <c r="CH76" s="505" t="n">
        <v>2.53578276571094</v>
      </c>
      <c r="CI76" s="505" t="n">
        <v>3.432</v>
      </c>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3.61129992378834</v>
      </c>
      <c r="BW77" s="369" t="n">
        <v>3.597</v>
      </c>
      <c r="BX77" s="370" t="n">
        <v>0.251887767191014</v>
      </c>
      <c r="BY77" s="370" t="n">
        <v>0.251887767191014</v>
      </c>
      <c r="BZ77" s="370" t="n">
        <v>0.999133902815515</v>
      </c>
      <c r="CA77" s="370" t="n">
        <v>0.0523271663929492</v>
      </c>
      <c r="CB77" s="370" t="n">
        <v>0.785743940633574</v>
      </c>
      <c r="CC77" s="505" t="n">
        <v>-0.023</v>
      </c>
      <c r="CD77" s="505" t="n">
        <v>0.0575</v>
      </c>
      <c r="CE77" s="505" t="n">
        <v>0.15</v>
      </c>
      <c r="CF77" s="505" t="n">
        <v>-0.025</v>
      </c>
      <c r="CG77" s="505" t="n">
        <v>0.0192</v>
      </c>
      <c r="CH77" s="505" t="n">
        <v>2.52105943352282</v>
      </c>
      <c r="CI77" s="505" t="n">
        <v>3.472</v>
      </c>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3.60615048713671</v>
      </c>
      <c r="BW78" s="369" t="n">
        <v>3.567</v>
      </c>
      <c r="BX78" s="370" t="n">
        <v>0.251673457799918</v>
      </c>
      <c r="BY78" s="370" t="n">
        <v>0.252658020117181</v>
      </c>
      <c r="BZ78" s="370" t="n">
        <v>0.99894154034196</v>
      </c>
      <c r="CA78" s="370" t="n">
        <v>0.0526493470988063</v>
      </c>
      <c r="CB78" s="370" t="n">
        <v>0.781140280211496</v>
      </c>
      <c r="CC78" s="505" t="n">
        <v>-0.023</v>
      </c>
      <c r="CD78" s="505" t="n">
        <v>0.0575</v>
      </c>
      <c r="CE78" s="505" t="n">
        <v>0.125</v>
      </c>
      <c r="CF78" s="505" t="n">
        <v>-0.025</v>
      </c>
      <c r="CG78" s="505" t="n">
        <v>0.0192</v>
      </c>
      <c r="CH78" s="505" t="n">
        <v>2.42544057005669</v>
      </c>
      <c r="CI78" s="505" t="n">
        <v>3.467</v>
      </c>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3.63189767039486</v>
      </c>
      <c r="BW79" s="369" t="n">
        <v>3.612</v>
      </c>
      <c r="BX79" s="370" t="n">
        <v>0.252737151785216</v>
      </c>
      <c r="BY79" s="370" t="n">
        <v>0.253819145093197</v>
      </c>
      <c r="BZ79" s="370" t="n">
        <v>0.998771960515962</v>
      </c>
      <c r="CA79" s="370" t="n">
        <v>0.0529611349116244</v>
      </c>
      <c r="CB79" s="370" t="n">
        <v>0.776671575219578</v>
      </c>
      <c r="CC79" s="505" t="n">
        <v>-0.023</v>
      </c>
      <c r="CD79" s="505" t="n">
        <v>0.0575</v>
      </c>
      <c r="CE79" s="505" t="n">
        <v>0.145</v>
      </c>
      <c r="CF79" s="505" t="n">
        <v>-0.025</v>
      </c>
      <c r="CG79" s="505" t="n">
        <v>0.0192</v>
      </c>
      <c r="CH79" s="505" t="n">
        <v>2.49195074909201</v>
      </c>
      <c r="CI79" s="505" t="n">
        <v>3.492</v>
      </c>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3.78844054460442</v>
      </c>
      <c r="BW80" s="369" t="n">
        <v>3.814</v>
      </c>
      <c r="BX80" s="370" t="n">
        <v>0.257069016574414</v>
      </c>
      <c r="BY80" s="370" t="n">
        <v>0.25840422601253</v>
      </c>
      <c r="BZ80" s="370" t="n">
        <v>0.998148419660572</v>
      </c>
      <c r="CA80" s="370" t="n">
        <v>0.0532833156855848</v>
      </c>
      <c r="CB80" s="370" t="n">
        <v>0.772040478692847</v>
      </c>
      <c r="CC80" s="505" t="n">
        <v>-0.023</v>
      </c>
      <c r="CD80" s="505" t="n">
        <v>0.0575</v>
      </c>
      <c r="CE80" s="505" t="n">
        <v>0.195</v>
      </c>
      <c r="CF80" s="505" t="n">
        <v>-0.025</v>
      </c>
      <c r="CG80" s="505" t="n">
        <v>0.0192</v>
      </c>
      <c r="CH80" s="505" t="n">
        <v>2.39718568634129</v>
      </c>
      <c r="CI80" s="505" t="n">
        <v>3.644</v>
      </c>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3.93571443284105</v>
      </c>
      <c r="BW81" s="369" t="n">
        <v>3.977</v>
      </c>
      <c r="BX81" s="370" t="n">
        <v>0.263085311093791</v>
      </c>
      <c r="BY81" s="370" t="n">
        <v>0.264731491345957</v>
      </c>
      <c r="BZ81" s="370" t="n">
        <v>0.997311355580216</v>
      </c>
      <c r="CA81" s="370" t="n">
        <v>0.0535951035642985</v>
      </c>
      <c r="CB81" s="370" t="n">
        <v>0.767546312167612</v>
      </c>
      <c r="CC81" s="505" t="n">
        <v>-0.023</v>
      </c>
      <c r="CD81" s="505" t="n">
        <v>0.0575</v>
      </c>
      <c r="CE81" s="505" t="n">
        <v>0.215</v>
      </c>
      <c r="CF81" s="505" t="n">
        <v>-0.025</v>
      </c>
      <c r="CG81" s="505" t="n">
        <v>0.0192</v>
      </c>
      <c r="CH81" s="505" t="n">
        <v>2.46267234258978</v>
      </c>
      <c r="CI81" s="505" t="n">
        <v>3.787</v>
      </c>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3.99184329234382</v>
      </c>
      <c r="BW82" s="369" t="n">
        <v>4.0495</v>
      </c>
      <c r="BX82" s="370" t="n">
        <v>0.262833061218283</v>
      </c>
      <c r="BY82" s="370" t="n">
        <v>0.264453425790774</v>
      </c>
      <c r="BZ82" s="370" t="n">
        <v>0.997350576797998</v>
      </c>
      <c r="CA82" s="370" t="n">
        <v>0.0538548873933569</v>
      </c>
      <c r="CB82" s="370" t="n">
        <v>0.76312585991901</v>
      </c>
      <c r="CC82" s="505" t="n">
        <v>-0.021</v>
      </c>
      <c r="CD82" s="505" t="n">
        <v>0.0575</v>
      </c>
      <c r="CE82" s="505" t="n">
        <v>0.235</v>
      </c>
      <c r="CF82" s="505" t="n">
        <v>-0.025</v>
      </c>
      <c r="CG82" s="505" t="n">
        <v>0.0192</v>
      </c>
      <c r="CH82" s="505" t="n">
        <v>2.44848932155014</v>
      </c>
      <c r="CI82" s="505" t="n">
        <v>3.8395</v>
      </c>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3.9043028692661</v>
      </c>
      <c r="BW83" s="369" t="n">
        <v>3.9645</v>
      </c>
      <c r="BX83" s="370" t="n">
        <v>0.256479524122951</v>
      </c>
      <c r="BY83" s="370" t="n">
        <v>0.257956212351507</v>
      </c>
      <c r="BZ83" s="370" t="n">
        <v>0.997524024248171</v>
      </c>
      <c r="CA83" s="370" t="n">
        <v>0.0540389034386073</v>
      </c>
      <c r="CB83" s="370" t="n">
        <v>0.758987938070646</v>
      </c>
      <c r="CC83" s="505" t="n">
        <v>-0.021</v>
      </c>
      <c r="CD83" s="505" t="n">
        <v>0.0575</v>
      </c>
      <c r="CE83" s="505" t="n">
        <v>0.235</v>
      </c>
      <c r="CF83" s="505" t="n">
        <v>-0.025</v>
      </c>
      <c r="CG83" s="505" t="n">
        <v>0.0192</v>
      </c>
      <c r="CH83" s="505" t="n">
        <v>2.19954704452873</v>
      </c>
      <c r="CI83" s="505" t="n">
        <v>3.7545</v>
      </c>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3.77041751632371</v>
      </c>
      <c r="BW84" s="369" t="n">
        <v>3.7945</v>
      </c>
      <c r="BX84" s="370" t="n">
        <v>0.248352979651855</v>
      </c>
      <c r="BY84" s="370" t="n">
        <v>0.248352979651855</v>
      </c>
      <c r="BZ84" s="370" t="n">
        <v>0.998526386242722</v>
      </c>
      <c r="CA84" s="370" t="n">
        <v>0.054205111489178</v>
      </c>
      <c r="CB84" s="370" t="n">
        <v>0.755250058821463</v>
      </c>
      <c r="CC84" s="505" t="n">
        <v>-0.021</v>
      </c>
      <c r="CD84" s="505" t="n">
        <v>0.0575</v>
      </c>
      <c r="CE84" s="505" t="n">
        <v>0.195</v>
      </c>
      <c r="CF84" s="505" t="n">
        <v>-0.025</v>
      </c>
      <c r="CG84" s="505" t="n">
        <v>0.0192</v>
      </c>
      <c r="CH84" s="505" t="n">
        <v>2.42321981372866</v>
      </c>
      <c r="CI84" s="505" t="n">
        <v>3.6245</v>
      </c>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3.57988836021339</v>
      </c>
      <c r="BW85" s="369" t="n">
        <v>3.5595</v>
      </c>
      <c r="BX85" s="370" t="n">
        <v>0.241636289616694</v>
      </c>
      <c r="BY85" s="370" t="n">
        <v>0.242312169061989</v>
      </c>
      <c r="BZ85" s="370" t="n">
        <v>0.999366395692799</v>
      </c>
      <c r="CA85" s="370" t="n">
        <v>0.0543891275559032</v>
      </c>
      <c r="CB85" s="370" t="n">
        <v>0.751111483785009</v>
      </c>
      <c r="CC85" s="505" t="n">
        <v>-0.021</v>
      </c>
      <c r="CD85" s="505" t="n">
        <v>0.0575</v>
      </c>
      <c r="CE85" s="505" t="n">
        <v>0.145</v>
      </c>
      <c r="CF85" s="505" t="n">
        <v>-0.025</v>
      </c>
      <c r="CG85" s="505" t="n">
        <v>0.0192</v>
      </c>
      <c r="CH85" s="505" t="n">
        <v>2.33220115715245</v>
      </c>
      <c r="CI85" s="505" t="n">
        <v>3.4395</v>
      </c>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3.57473892356176</v>
      </c>
      <c r="BW86" s="369" t="n">
        <v>3.5345</v>
      </c>
      <c r="BX86" s="370" t="n">
        <v>0.242352232707182</v>
      </c>
      <c r="BY86" s="370" t="n">
        <v>0.242352232707182</v>
      </c>
      <c r="BZ86" s="370" t="n">
        <v>0.999460070365024</v>
      </c>
      <c r="CA86" s="370" t="n">
        <v>0.054567207631218</v>
      </c>
      <c r="CB86" s="370" t="n">
        <v>0.747106434315284</v>
      </c>
      <c r="CC86" s="505" t="n">
        <v>-0.021</v>
      </c>
      <c r="CD86" s="505" t="n">
        <v>0.0575</v>
      </c>
      <c r="CE86" s="505" t="n">
        <v>0.125</v>
      </c>
      <c r="CF86" s="505" t="n">
        <v>-0.025</v>
      </c>
      <c r="CG86" s="505" t="n">
        <v>0.0192</v>
      </c>
      <c r="CH86" s="505" t="n">
        <v>2.39709099450059</v>
      </c>
      <c r="CI86" s="505" t="n">
        <v>3.4345</v>
      </c>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3.61078498012318</v>
      </c>
      <c r="BW87" s="369" t="n">
        <v>3.5895</v>
      </c>
      <c r="BX87" s="370" t="n">
        <v>0.242242323477096</v>
      </c>
      <c r="BY87" s="370" t="n">
        <v>0.242972880987822</v>
      </c>
      <c r="BZ87" s="370" t="n">
        <v>0.999275487406417</v>
      </c>
      <c r="CA87" s="370" t="n">
        <v>0.0547512237201424</v>
      </c>
      <c r="CB87" s="370" t="n">
        <v>0.742968153544342</v>
      </c>
      <c r="CC87" s="505" t="n">
        <v>-0.021</v>
      </c>
      <c r="CD87" s="505" t="n">
        <v>0.0575</v>
      </c>
      <c r="CE87" s="505" t="n">
        <v>0.145</v>
      </c>
      <c r="CF87" s="505" t="n">
        <v>-0.025</v>
      </c>
      <c r="CG87" s="505" t="n">
        <v>0.0192</v>
      </c>
      <c r="CH87" s="505" t="n">
        <v>2.30691611675518</v>
      </c>
      <c r="CI87" s="505" t="n">
        <v>3.4695</v>
      </c>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3.65198047333622</v>
      </c>
      <c r="BW88" s="369" t="n">
        <v>3.6345</v>
      </c>
      <c r="BX88" s="370" t="n">
        <v>0.243025728130177</v>
      </c>
      <c r="BY88" s="370" t="n">
        <v>0.243025728130177</v>
      </c>
      <c r="BZ88" s="370" t="n">
        <v>0.999356926523669</v>
      </c>
      <c r="CA88" s="370" t="n">
        <v>0.0549293038169378</v>
      </c>
      <c r="CB88" s="370" t="n">
        <v>0.738963861865164</v>
      </c>
      <c r="CC88" s="505" t="n">
        <v>-0.021</v>
      </c>
      <c r="CD88" s="505" t="n">
        <v>0.0575</v>
      </c>
      <c r="CE88" s="505" t="n">
        <v>0.15</v>
      </c>
      <c r="CF88" s="505" t="n">
        <v>-0.025</v>
      </c>
      <c r="CG88" s="505" t="n">
        <v>0.0192</v>
      </c>
      <c r="CH88" s="505" t="n">
        <v>2.37096555079438</v>
      </c>
      <c r="CI88" s="505" t="n">
        <v>3.5095</v>
      </c>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3.69317596654926</v>
      </c>
      <c r="BW89" s="369" t="n">
        <v>3.6745</v>
      </c>
      <c r="BX89" s="370" t="n">
        <v>0.243787744560262</v>
      </c>
      <c r="BY89" s="370" t="n">
        <v>0.243787744560262</v>
      </c>
      <c r="BZ89" s="370" t="n">
        <v>0.999238309750244</v>
      </c>
      <c r="CA89" s="370" t="n">
        <v>0.0551133199280565</v>
      </c>
      <c r="CB89" s="370" t="n">
        <v>0.734826850083913</v>
      </c>
      <c r="CC89" s="505" t="n">
        <v>-0.021</v>
      </c>
      <c r="CD89" s="505" t="n">
        <v>0.0575</v>
      </c>
      <c r="CE89" s="505" t="n">
        <v>0.15</v>
      </c>
      <c r="CF89" s="505" t="n">
        <v>-0.025</v>
      </c>
      <c r="CG89" s="505" t="n">
        <v>0.0192</v>
      </c>
      <c r="CH89" s="505" t="n">
        <v>2.35769194849423</v>
      </c>
      <c r="CI89" s="505" t="n">
        <v>3.5495</v>
      </c>
    </row>
    <row r="90" customFormat="false" ht="12.75" hidden="false" customHeight="false" outlineLevel="0" collapsed="false">
      <c r="A90" s="500"/>
      <c r="B90" s="500"/>
      <c r="D90" s="361" t="e">
        <f aca="false">D89+AH89</f>
        <v>#VALUE!</v>
      </c>
      <c r="F90" s="362" t="e">
        <f aca="false">VLOOKUP(AG90,$AL$4:$AS$15,2)</f>
        <v>#VALUE!</v>
      </c>
      <c r="G90" s="362" t="e">
        <f aca="false">F90*$AU90</f>
        <v>#VALUE!</v>
      </c>
      <c r="H90" s="363" t="e">
        <f aca="false">(AL90+AM90+AN90)/(1-(AR90))</f>
        <v>#VALUE!</v>
      </c>
      <c r="I90" s="363" t="e">
        <f aca="false">(AL90+AO90+AP90)</f>
        <v>#VALUE!</v>
      </c>
      <c r="K90" s="363" t="e">
        <f aca="false">MAX(((I90-H90)-AQ90)*AU90*AH90,0)</f>
        <v>#VALUE!</v>
      </c>
      <c r="L90" s="501" t="e">
        <f aca="false">MAX(Q90-K90,0)</f>
        <v>#VALUE!</v>
      </c>
      <c r="N90" s="502" t="e">
        <f aca="false">SQRT(($AX90^2*($AH90/2)+$AW90^2*$AI90)/(($AH90/2)+$AI90))</f>
        <v>#VALUE!</v>
      </c>
      <c r="O90" s="502" t="e">
        <f aca="false">SQRT(($AY90^2*($AH90/2)+$AW90^2*$AI90)/(($AH90/2)+$AI90))</f>
        <v>#VALUE!</v>
      </c>
      <c r="P90" s="371" t="e">
        <f aca="false">(VLOOKUP(AI90,CorrelationTwo,2)*(AW90^2)*AI90+VLOOKUP(D90,CorrelationOne,$AK$9)*AX90*AY90*(AH90/2))/((AI90+(AH90/2))*O90*N90)*AF90</f>
        <v>#VALUE!</v>
      </c>
      <c r="Q90" s="501" t="e">
        <f aca="false">xSPRDOPT(I90,H90,AQ90,0,O90,N90,P90,D90-$G$5,1,0)*AH90*AU90</f>
        <v>#VALUE!</v>
      </c>
      <c r="R90" s="501"/>
      <c r="S90" s="365" t="e">
        <f aca="false">xSPRDOPT(I90,H90,AQ90,AT90,O90,N90,P90,D90-$G$5,1,2)*AF90*(F90/(1-AR90))*AH90</f>
        <v>#VALUE!</v>
      </c>
      <c r="T90" s="365" t="e">
        <f aca="false">xSPRDOPT(I90,H90,AQ90,AT90,O90,N90,P90,D90-$G$5,1,1)*AF90*F90*AH90</f>
        <v>#VALUE!</v>
      </c>
      <c r="U90" s="501"/>
      <c r="V90" s="503" t="e">
        <f aca="false">VLOOKUP($AG90,$AL$4:$AS$15,8)*AH90*AU90</f>
        <v>#VALUE!</v>
      </c>
      <c r="W90" s="503"/>
      <c r="X90" s="504" t="e">
        <f aca="false">((BM90*BC90)+(BL90*BB90))*AH90*F90</f>
        <v>#VALUE!</v>
      </c>
      <c r="Y90" s="504" t="e">
        <f aca="false">($F90*$AH90)*((($BG90/2)*($BC90)^2)+(($BF90/2)*($BB90)^2)+($BH90*$BC90*$BB90))</f>
        <v>#VALUE!</v>
      </c>
      <c r="Z90" s="504" t="e">
        <f aca="false">($BI90*$F90*$AH90*($G$5-$BV$5))/365.25</f>
        <v>#VALUE!</v>
      </c>
      <c r="AA90" s="504" t="e">
        <f aca="false">(($BK90*$BE90)+($BJ90*$BD90))*$F90*$AH90*$AF90</f>
        <v>#VALUE!</v>
      </c>
      <c r="AB90" s="504" t="e">
        <f aca="false">BN90*(AT90-CA90)*F90*AH90</f>
        <v>#VALUE!</v>
      </c>
      <c r="AC90" s="504" t="e">
        <f aca="false">BO90*CB90*F90*AH90*CA90*($G$5-$BV$5)/365.25</f>
        <v>#NAME?</v>
      </c>
      <c r="AF90" s="378" t="e">
        <f aca="false">IF(AND(D90&gt;=$G$7,D90&lt;=$G$8),1,0)</f>
        <v>#VALUE!</v>
      </c>
      <c r="AG90" s="378" t="e">
        <f aca="false">MONTH(D90)</f>
        <v>#VALUE!</v>
      </c>
      <c r="AH90" s="378" t="e">
        <f aca="false">(EOMONTH(D90,0)-EOMONTH(D90-DAY(D90),0))*AF90</f>
        <v>#VALUE!</v>
      </c>
      <c r="AI90" s="378" t="e">
        <f aca="false">AI89+AH89</f>
        <v>#VALUE!</v>
      </c>
      <c r="AJ90" s="378" t="e">
        <f aca="false">D90-$BV$5</f>
        <v>#VALUE!</v>
      </c>
      <c r="AL90" s="369" t="e">
        <f aca="false">VLOOKUP($D90,CurveTbl,$AK$4)</f>
        <v>#VALUE!</v>
      </c>
      <c r="AM90" s="505" t="e">
        <f aca="false">VLOOKUP($D90,CurveTbl,$AH$3)</f>
        <v>#VALUE!</v>
      </c>
      <c r="AN90" s="505" t="e">
        <f aca="false">VLOOKUP($D90,CurveTbl,$AH$4)+VLOOKUP($AG90,$AL$3:$AS$15,6)</f>
        <v>#VALUE!</v>
      </c>
      <c r="AO90" s="505" t="e">
        <f aca="false">VLOOKUP($D90,CurveTbl,$AH$5)</f>
        <v>#VALUE!</v>
      </c>
      <c r="AP90" s="505" t="e">
        <f aca="false">VLOOKUP($D90,CurveTbl,$AH$6)+VLOOKUP($AG90,$AL$3:$AS$15,7)</f>
        <v>#VALUE!</v>
      </c>
      <c r="AQ90" s="369" t="e">
        <f aca="false">VLOOKUP($AG90,$AL$4:$AS$15,3)+VLOOKUP($AG90,$AL$4:$AS$15,5)+($AH$10*VLOOKUP(D90,GRITable,2))</f>
        <v>#VALUE!</v>
      </c>
      <c r="AR90" s="370" t="e">
        <f aca="false">VLOOKUP($AG90,$AL$4:$AS$15,4)</f>
        <v>#VALUE!</v>
      </c>
      <c r="AS90" s="369" t="e">
        <f aca="false">(AL90+AM90+AN90)</f>
        <v>#VALUE!</v>
      </c>
      <c r="AT90" s="370" t="e">
        <f aca="false">VLOOKUP(D90,CurveTbl,$AK$6)</f>
        <v>#VALUE!</v>
      </c>
      <c r="AU90" s="370" t="e">
        <f aca="false">(1+$AT90/2)^(-2*($D90-$G$5)/365.25)*$AF90</f>
        <v>#VALUE!</v>
      </c>
      <c r="AV90" s="506" t="e">
        <f aca="false">ROUND((F90/(1-AR90))-F90,0)*AF90*AH90*AU90</f>
        <v>#VALUE!</v>
      </c>
      <c r="AW90" s="370" t="e">
        <f aca="false">VLOOKUP($D90,CurveTbl,$AK$8)</f>
        <v>#VALUE!</v>
      </c>
      <c r="AX90" s="370" t="e">
        <f aca="false">VLOOKUP($D90,CurveTbl,$AH$7)</f>
        <v>#VALUE!</v>
      </c>
      <c r="AY90" s="370" t="e">
        <f aca="false">VLOOKUP($D90,CurveTbl,$AH$8)</f>
        <v>#VALUE!</v>
      </c>
      <c r="AZ90" s="370"/>
      <c r="BA90" s="507"/>
      <c r="BB90" s="505" t="e">
        <f aca="false">$H90-$BV90</f>
        <v>#VALUE!</v>
      </c>
      <c r="BC90" s="505" t="e">
        <f aca="false">I90-BW90</f>
        <v>#VALUE!</v>
      </c>
      <c r="BD90" s="370" t="e">
        <f aca="false">N90-BX90</f>
        <v>#VALUE!</v>
      </c>
      <c r="BE90" s="370" t="e">
        <f aca="false">O90-BY90</f>
        <v>#VALUE!</v>
      </c>
      <c r="BF90" s="370" t="e">
        <f aca="false">xSPRDOPT($BW90,$BV90,$CG90,0,$BY90,$BX90,$BZ90,$AJ90,1,4)*$CB90</f>
        <v>#NAME?</v>
      </c>
      <c r="BG90" s="370" t="e">
        <f aca="false">xSPRDOPT($BW90,$BV90,$CG90,0,$BY90,$BX90,$BZ90,$AJ90,1,3)*$CB90</f>
        <v>#NAME?</v>
      </c>
      <c r="BH90" s="370" t="e">
        <f aca="false">IF(OR(BF90&lt;&gt;0,BG90&lt;&gt;0),xSPRDOPT($BW90,$BV90,$CG90,0,$BY90,$BX90,$BZ90,$AJ90,1,12)*$CB90,0)</f>
        <v>#NAME?</v>
      </c>
      <c r="BI90" s="370" t="e">
        <f aca="false">xSPRDOPT($BW90,$BV90,$CG90,2*LN(1+CA90/2),$BY90,$BX90,$BZ90,$AJ90,1,9)</f>
        <v>#NAME?</v>
      </c>
      <c r="BJ90" s="370" t="e">
        <f aca="false">xSPRDOPT($BW90,$BV90,$CG90,0,$BY90,$BX90,$BZ90,$AJ90,1,6)*$CB90</f>
        <v>#NAME?</v>
      </c>
      <c r="BK90" s="370" t="e">
        <f aca="false">xSPRDOPT($BW90,$BV90,$CG90,0,$BY90,$BX90,$BZ90,$AJ90,1,5)*$CB90</f>
        <v>#NAME?</v>
      </c>
      <c r="BL90" s="370" t="e">
        <f aca="false">xSPRDOPT(BW90,BV90,CG90,0,BY90,BX90,BZ90,AJ90,1,2)*CB90</f>
        <v>#NAME?</v>
      </c>
      <c r="BM90" s="370" t="e">
        <f aca="false">xSPRDOPT(BW90,BV90,CG90,0,BY90,BX90,BZ90,AJ90,1,1)*CB90</f>
        <v>#NAME?</v>
      </c>
      <c r="BN90" s="370" t="e">
        <f aca="false">IF(AH90&lt;&gt;0,xSPRDOPT($BW90,$BV90,$CG90,2*LN(1+CA90/2),$BY90,$BX90,$BZ90,$AJ90,1,8)+(AJ90/365.25)*CH90/AH90,0)</f>
        <v>#VALUE!</v>
      </c>
      <c r="BO90" s="370" t="e">
        <f aca="false">xSPRDOPT($BW90,$BV90,$CG90,0,$BY90,$BX90,$BZ90,$AJ90,1,0)</f>
        <v>#NAME?</v>
      </c>
      <c r="BP90" s="370"/>
      <c r="BQ90" s="370"/>
      <c r="BR90" s="370"/>
      <c r="BS90" s="370"/>
      <c r="BV90" s="508" t="n">
        <v>3.68802652989763</v>
      </c>
      <c r="BW90" s="369" t="n">
        <v>3.6445</v>
      </c>
      <c r="BX90" s="370" t="n">
        <v>0.243613672262119</v>
      </c>
      <c r="BY90" s="370" t="n">
        <v>0.244454381867993</v>
      </c>
      <c r="BZ90" s="370" t="n">
        <v>0.999065282776688</v>
      </c>
      <c r="CA90" s="370" t="n">
        <v>0.0552973360504536</v>
      </c>
      <c r="CB90" s="370" t="n">
        <v>0.730690853076224</v>
      </c>
      <c r="CC90" s="505" t="n">
        <v>-0.021</v>
      </c>
      <c r="CD90" s="505" t="n">
        <v>0.0575</v>
      </c>
      <c r="CE90" s="505" t="n">
        <v>0.125</v>
      </c>
      <c r="CF90" s="505" t="n">
        <v>-0.025</v>
      </c>
      <c r="CG90" s="505" t="n">
        <v>0.0192</v>
      </c>
      <c r="CH90" s="505" t="n">
        <v>2.26879509880167</v>
      </c>
      <c r="CI90" s="505" t="n">
        <v>3.5445</v>
      </c>
    </row>
    <row r="91" customFormat="false" ht="12.75" hidden="false" customHeight="false" outlineLevel="0" collapsed="false">
      <c r="A91" s="500"/>
      <c r="B91" s="500"/>
      <c r="D91" s="361" t="e">
        <f aca="false">D90+AH90</f>
        <v>#VALUE!</v>
      </c>
      <c r="F91" s="362" t="e">
        <f aca="false">VLOOKUP(AG91,$AL$4:$AS$15,2)</f>
        <v>#VALUE!</v>
      </c>
      <c r="G91" s="362" t="e">
        <f aca="false">F91*$AU91</f>
        <v>#VALUE!</v>
      </c>
      <c r="H91" s="363" t="e">
        <f aca="false">(AL91+AM91+AN91)/(1-(AR91))</f>
        <v>#VALUE!</v>
      </c>
      <c r="I91" s="363" t="e">
        <f aca="false">(AL91+AO91+AP91)</f>
        <v>#VALUE!</v>
      </c>
      <c r="K91" s="363" t="e">
        <f aca="false">MAX(((I91-H91)-AQ91)*AU91*AH91,0)</f>
        <v>#VALUE!</v>
      </c>
      <c r="L91" s="501" t="e">
        <f aca="false">MAX(Q91-K91,0)</f>
        <v>#VALUE!</v>
      </c>
      <c r="N91" s="502" t="e">
        <f aca="false">SQRT(($AX91^2*($AH91/2)+$AW91^2*$AI91)/(($AH91/2)+$AI91))</f>
        <v>#VALUE!</v>
      </c>
      <c r="O91" s="502" t="e">
        <f aca="false">SQRT(($AY91^2*($AH91/2)+$AW91^2*$AI91)/(($AH91/2)+$AI91))</f>
        <v>#VALUE!</v>
      </c>
      <c r="P91" s="371" t="e">
        <f aca="false">(VLOOKUP(AI91,CorrelationTwo,2)*(AW91^2)*AI91+VLOOKUP(D91,CorrelationOne,$AK$9)*AX91*AY91*(AH91/2))/((AI91+(AH91/2))*O91*N91)*AF91</f>
        <v>#VALUE!</v>
      </c>
      <c r="Q91" s="501" t="e">
        <f aca="false">xSPRDOPT(I91,H91,AQ91,0,O91,N91,P91,D91-$G$5,1,0)*AH91*AU91</f>
        <v>#VALUE!</v>
      </c>
      <c r="R91" s="501"/>
      <c r="S91" s="365" t="e">
        <f aca="false">xSPRDOPT(I91,H91,AQ91,AT91,O91,N91,P91,D91-$G$5,1,2)*AF91*(F91/(1-AR91))*AH91</f>
        <v>#VALUE!</v>
      </c>
      <c r="T91" s="365" t="e">
        <f aca="false">xSPRDOPT(I91,H91,AQ91,AT91,O91,N91,P91,D91-$G$5,1,1)*AF91*F91*AH91</f>
        <v>#VALUE!</v>
      </c>
      <c r="U91" s="501"/>
      <c r="V91" s="503" t="e">
        <f aca="false">VLOOKUP($AG91,$AL$4:$AS$15,8)*AH91*AU91</f>
        <v>#VALUE!</v>
      </c>
      <c r="W91" s="503"/>
      <c r="X91" s="504" t="e">
        <f aca="false">((BM91*BC91)+(BL91*BB91))*AH91*F91</f>
        <v>#VALUE!</v>
      </c>
      <c r="Y91" s="504" t="e">
        <f aca="false">($F91*$AH91)*((($BG91/2)*($BC91)^2)+(($BF91/2)*($BB91)^2)+($BH91*$BC91*$BB91))</f>
        <v>#VALUE!</v>
      </c>
      <c r="Z91" s="504" t="e">
        <f aca="false">($BI91*$F91*$AH91*($G$5-$BV$5))/365.25</f>
        <v>#VALUE!</v>
      </c>
      <c r="AA91" s="504" t="e">
        <f aca="false">(($BK91*$BE91)+($BJ91*$BD91))*$F91*$AH91*$AF91</f>
        <v>#VALUE!</v>
      </c>
      <c r="AB91" s="504" t="e">
        <f aca="false">BN91*(AT91-CA91)*F91*AH91</f>
        <v>#VALUE!</v>
      </c>
      <c r="AC91" s="504" t="e">
        <f aca="false">BO91*CB91*F91*AH91*CA91*($G$5-$BV$5)/365.25</f>
        <v>#NAME?</v>
      </c>
      <c r="AF91" s="378" t="e">
        <f aca="false">IF(AND(D91&gt;=$G$7,D91&lt;=$G$8),1,0)</f>
        <v>#VALUE!</v>
      </c>
      <c r="AG91" s="378" t="e">
        <f aca="false">MONTH(D91)</f>
        <v>#VALUE!</v>
      </c>
      <c r="AH91" s="378" t="e">
        <f aca="false">(EOMONTH(D91,0)-EOMONTH(D91-DAY(D91),0))*AF91</f>
        <v>#VALUE!</v>
      </c>
      <c r="AI91" s="378" t="e">
        <f aca="false">AI90+AH90</f>
        <v>#VALUE!</v>
      </c>
      <c r="AJ91" s="378" t="e">
        <f aca="false">D91-$BV$5</f>
        <v>#VALUE!</v>
      </c>
      <c r="AL91" s="369" t="e">
        <f aca="false">VLOOKUP($D91,CurveTbl,$AK$4)</f>
        <v>#VALUE!</v>
      </c>
      <c r="AM91" s="505" t="e">
        <f aca="false">VLOOKUP($D91,CurveTbl,$AH$3)</f>
        <v>#VALUE!</v>
      </c>
      <c r="AN91" s="505" t="e">
        <f aca="false">VLOOKUP($D91,CurveTbl,$AH$4)+VLOOKUP($AG91,$AL$3:$AS$15,6)</f>
        <v>#VALUE!</v>
      </c>
      <c r="AO91" s="505" t="e">
        <f aca="false">VLOOKUP($D91,CurveTbl,$AH$5)</f>
        <v>#VALUE!</v>
      </c>
      <c r="AP91" s="505" t="e">
        <f aca="false">VLOOKUP($D91,CurveTbl,$AH$6)+VLOOKUP($AG91,$AL$3:$AS$15,7)</f>
        <v>#VALUE!</v>
      </c>
      <c r="AQ91" s="369" t="e">
        <f aca="false">VLOOKUP($AG91,$AL$4:$AS$15,3)+VLOOKUP($AG91,$AL$4:$AS$15,5)+($AH$10*VLOOKUP(D91,GRITable,2))</f>
        <v>#VALUE!</v>
      </c>
      <c r="AR91" s="370" t="e">
        <f aca="false">VLOOKUP($AG91,$AL$4:$AS$15,4)</f>
        <v>#VALUE!</v>
      </c>
      <c r="AS91" s="369" t="e">
        <f aca="false">(AL91+AM91+AN91)</f>
        <v>#VALUE!</v>
      </c>
      <c r="AT91" s="370" t="e">
        <f aca="false">VLOOKUP(D91,CurveTbl,$AK$6)</f>
        <v>#VALUE!</v>
      </c>
      <c r="AU91" s="370" t="e">
        <f aca="false">(1+$AT91/2)^(-2*($D91-$G$5)/365.25)*$AF91</f>
        <v>#VALUE!</v>
      </c>
      <c r="AV91" s="506" t="e">
        <f aca="false">ROUND((F91/(1-AR91))-F91,0)*AF91*AH91*AU91</f>
        <v>#VALUE!</v>
      </c>
      <c r="AW91" s="370" t="e">
        <f aca="false">VLOOKUP($D91,CurveTbl,$AK$8)</f>
        <v>#VALUE!</v>
      </c>
      <c r="AX91" s="370" t="e">
        <f aca="false">VLOOKUP($D91,CurveTbl,$AH$7)</f>
        <v>#VALUE!</v>
      </c>
      <c r="AY91" s="370" t="e">
        <f aca="false">VLOOKUP($D91,CurveTbl,$AH$8)</f>
        <v>#VALUE!</v>
      </c>
      <c r="AZ91" s="370"/>
      <c r="BA91" s="507"/>
      <c r="BB91" s="505" t="e">
        <f aca="false">$H91-$BV91</f>
        <v>#VALUE!</v>
      </c>
      <c r="BC91" s="505" t="e">
        <f aca="false">I91-BW91</f>
        <v>#VALUE!</v>
      </c>
      <c r="BD91" s="370" t="e">
        <f aca="false">N91-BX91</f>
        <v>#VALUE!</v>
      </c>
      <c r="BE91" s="370" t="e">
        <f aca="false">O91-BY91</f>
        <v>#VALUE!</v>
      </c>
      <c r="BF91" s="370" t="e">
        <f aca="false">xSPRDOPT($BW91,$BV91,$CG91,0,$BY91,$BX91,$BZ91,$AJ91,1,4)*$CB91</f>
        <v>#NAME?</v>
      </c>
      <c r="BG91" s="370" t="e">
        <f aca="false">xSPRDOPT($BW91,$BV91,$CG91,0,$BY91,$BX91,$BZ91,$AJ91,1,3)*$CB91</f>
        <v>#NAME?</v>
      </c>
      <c r="BH91" s="370" t="e">
        <f aca="false">IF(OR(BF91&lt;&gt;0,BG91&lt;&gt;0),xSPRDOPT($BW91,$BV91,$CG91,0,$BY91,$BX91,$BZ91,$AJ91,1,12)*$CB91,0)</f>
        <v>#NAME?</v>
      </c>
      <c r="BI91" s="370" t="e">
        <f aca="false">xSPRDOPT($BW91,$BV91,$CG91,2*LN(1+CA91/2),$BY91,$BX91,$BZ91,$AJ91,1,9)</f>
        <v>#NAME?</v>
      </c>
      <c r="BJ91" s="370" t="e">
        <f aca="false">xSPRDOPT($BW91,$BV91,$CG91,0,$BY91,$BX91,$BZ91,$AJ91,1,6)*$CB91</f>
        <v>#NAME?</v>
      </c>
      <c r="BK91" s="370" t="e">
        <f aca="false">xSPRDOPT($BW91,$BV91,$CG91,0,$BY91,$BX91,$BZ91,$AJ91,1,5)*$CB91</f>
        <v>#NAME?</v>
      </c>
      <c r="BL91" s="370" t="e">
        <f aca="false">xSPRDOPT(BW91,BV91,CG91,0,BY91,BX91,BZ91,AJ91,1,2)*CB91</f>
        <v>#NAME?</v>
      </c>
      <c r="BM91" s="370" t="e">
        <f aca="false">xSPRDOPT(BW91,BV91,CG91,0,BY91,BX91,BZ91,AJ91,1,1)*CB91</f>
        <v>#NAME?</v>
      </c>
      <c r="BN91" s="370" t="e">
        <f aca="false">IF(AH91&lt;&gt;0,xSPRDOPT($BW91,$BV91,$CG91,2*LN(1+CA91/2),$BY91,$BX91,$BZ91,$AJ91,1,8)+(AJ91/365.25)*CH91/AH91,0)</f>
        <v>#VALUE!</v>
      </c>
      <c r="BO91" s="370" t="e">
        <f aca="false">xSPRDOPT($BW91,$BV91,$CG91,0,$BY91,$BX91,$BZ91,$AJ91,1,0)</f>
        <v>#NAME?</v>
      </c>
      <c r="BP91" s="370"/>
      <c r="BQ91" s="370"/>
      <c r="BR91" s="370"/>
      <c r="BS91" s="370"/>
      <c r="BV91" s="508" t="n">
        <v>3.71377371315578</v>
      </c>
      <c r="BW91" s="369" t="n">
        <v>3.6895</v>
      </c>
      <c r="BX91" s="370" t="n">
        <v>0.244536262315712</v>
      </c>
      <c r="BY91" s="370" t="n">
        <v>0.245463363055628</v>
      </c>
      <c r="BZ91" s="370" t="n">
        <v>0.998911284008585</v>
      </c>
      <c r="CA91" s="370" t="n">
        <v>0.0554754161796391</v>
      </c>
      <c r="CB91" s="370" t="n">
        <v>0.726689474408526</v>
      </c>
      <c r="CC91" s="505" t="n">
        <v>-0.021</v>
      </c>
      <c r="CD91" s="505" t="n">
        <v>0.0575</v>
      </c>
      <c r="CE91" s="505" t="n">
        <v>0.145</v>
      </c>
      <c r="CF91" s="505" t="n">
        <v>-0.025</v>
      </c>
      <c r="CG91" s="505" t="n">
        <v>0.0192</v>
      </c>
      <c r="CH91" s="505" t="n">
        <v>2.33158317863976</v>
      </c>
      <c r="CI91" s="505" t="n">
        <v>3.5695</v>
      </c>
    </row>
    <row r="92" customFormat="false" ht="12.75" hidden="false" customHeight="false" outlineLevel="0" collapsed="false">
      <c r="A92" s="500"/>
      <c r="B92" s="500"/>
      <c r="D92" s="361" t="e">
        <f aca="false">D91+AH91</f>
        <v>#VALUE!</v>
      </c>
      <c r="F92" s="362" t="e">
        <f aca="false">VLOOKUP(AG92,$AL$4:$AS$15,2)</f>
        <v>#VALUE!</v>
      </c>
      <c r="G92" s="362" t="e">
        <f aca="false">F92*$AU92</f>
        <v>#VALUE!</v>
      </c>
      <c r="H92" s="363" t="e">
        <f aca="false">(AL92+AM92+AN92)/(1-(AR92))</f>
        <v>#VALUE!</v>
      </c>
      <c r="I92" s="363" t="e">
        <f aca="false">(AL92+AO92+AP92)</f>
        <v>#VALUE!</v>
      </c>
      <c r="K92" s="363" t="e">
        <f aca="false">MAX(((I92-H92)-AQ92)*AU92*AH92,0)</f>
        <v>#VALUE!</v>
      </c>
      <c r="L92" s="501" t="e">
        <f aca="false">MAX(Q92-K92,0)</f>
        <v>#VALUE!</v>
      </c>
      <c r="N92" s="502" t="e">
        <f aca="false">SQRT(($AX92^2*($AH92/2)+$AW92^2*$AI92)/(($AH92/2)+$AI92))</f>
        <v>#VALUE!</v>
      </c>
      <c r="O92" s="502" t="e">
        <f aca="false">SQRT(($AY92^2*($AH92/2)+$AW92^2*$AI92)/(($AH92/2)+$AI92))</f>
        <v>#VALUE!</v>
      </c>
      <c r="P92" s="371" t="e">
        <f aca="false">(VLOOKUP(AI92,CorrelationTwo,2)*(AW92^2)*AI92+VLOOKUP(D92,CorrelationOne,$AK$9)*AX92*AY92*(AH92/2))/((AI92+(AH92/2))*O92*N92)*AF92</f>
        <v>#VALUE!</v>
      </c>
      <c r="Q92" s="501" t="e">
        <f aca="false">xSPRDOPT(I92,H92,AQ92,0,O92,N92,P92,D92-$G$5,1,0)*AH92*AU92</f>
        <v>#VALUE!</v>
      </c>
      <c r="R92" s="501"/>
      <c r="S92" s="365" t="e">
        <f aca="false">xSPRDOPT(I92,H92,AQ92,AT92,O92,N92,P92,D92-$G$5,1,2)*AF92*(F92/(1-AR92))*AH92</f>
        <v>#VALUE!</v>
      </c>
      <c r="T92" s="365" t="e">
        <f aca="false">xSPRDOPT(I92,H92,AQ92,AT92,O92,N92,P92,D92-$G$5,1,1)*AF92*F92*AH92</f>
        <v>#VALUE!</v>
      </c>
      <c r="U92" s="501"/>
      <c r="V92" s="503" t="e">
        <f aca="false">VLOOKUP($AG92,$AL$4:$AS$15,8)*AH92*AU92</f>
        <v>#VALUE!</v>
      </c>
      <c r="W92" s="503"/>
      <c r="X92" s="504" t="e">
        <f aca="false">((BM92*BC92)+(BL92*BB92))*AH92*F92</f>
        <v>#VALUE!</v>
      </c>
      <c r="Y92" s="504" t="e">
        <f aca="false">($F92*$AH92)*((($BG92/2)*($BC92)^2)+(($BF92/2)*($BB92)^2)+($BH92*$BC92*$BB92))</f>
        <v>#VALUE!</v>
      </c>
      <c r="Z92" s="504" t="e">
        <f aca="false">($BI92*$F92*$AH92*($G$5-$BV$5))/365.25</f>
        <v>#VALUE!</v>
      </c>
      <c r="AA92" s="504" t="e">
        <f aca="false">(($BK92*$BE92)+($BJ92*$BD92))*$F92*$AH92*$AF92</f>
        <v>#VALUE!</v>
      </c>
      <c r="AB92" s="504" t="e">
        <f aca="false">BN92*(AT92-CA92)*F92*AH92</f>
        <v>#VALUE!</v>
      </c>
      <c r="AC92" s="504" t="e">
        <f aca="false">BO92*CB92*F92*AH92*CA92*($G$5-$BV$5)/365.25</f>
        <v>#NAME?</v>
      </c>
      <c r="AF92" s="378" t="e">
        <f aca="false">IF(AND(D92&gt;=$G$7,D92&lt;=$G$8),1,0)</f>
        <v>#VALUE!</v>
      </c>
      <c r="AG92" s="378" t="e">
        <f aca="false">MONTH(D92)</f>
        <v>#VALUE!</v>
      </c>
      <c r="AH92" s="378" t="e">
        <f aca="false">(EOMONTH(D92,0)-EOMONTH(D92-DAY(D92),0))*AF92</f>
        <v>#VALUE!</v>
      </c>
      <c r="AI92" s="378" t="e">
        <f aca="false">AI91+AH91</f>
        <v>#VALUE!</v>
      </c>
      <c r="AJ92" s="378" t="e">
        <f aca="false">D92-$BV$5</f>
        <v>#VALUE!</v>
      </c>
      <c r="AL92" s="369" t="e">
        <f aca="false">VLOOKUP($D92,CurveTbl,$AK$4)</f>
        <v>#VALUE!</v>
      </c>
      <c r="AM92" s="505" t="e">
        <f aca="false">VLOOKUP($D92,CurveTbl,$AH$3)</f>
        <v>#VALUE!</v>
      </c>
      <c r="AN92" s="505" t="e">
        <f aca="false">VLOOKUP($D92,CurveTbl,$AH$4)+VLOOKUP($AG92,$AL$3:$AS$15,6)</f>
        <v>#VALUE!</v>
      </c>
      <c r="AO92" s="505" t="e">
        <f aca="false">VLOOKUP($D92,CurveTbl,$AH$5)</f>
        <v>#VALUE!</v>
      </c>
      <c r="AP92" s="505" t="e">
        <f aca="false">VLOOKUP($D92,CurveTbl,$AH$6)+VLOOKUP($AG92,$AL$3:$AS$15,7)</f>
        <v>#VALUE!</v>
      </c>
      <c r="AQ92" s="369" t="e">
        <f aca="false">VLOOKUP($AG92,$AL$4:$AS$15,3)+VLOOKUP($AG92,$AL$4:$AS$15,5)+($AH$10*VLOOKUP(D92,GRITable,2))</f>
        <v>#VALUE!</v>
      </c>
      <c r="AR92" s="370" t="e">
        <f aca="false">VLOOKUP($AG92,$AL$4:$AS$15,4)</f>
        <v>#VALUE!</v>
      </c>
      <c r="AS92" s="369" t="e">
        <f aca="false">(AL92+AM92+AN92)</f>
        <v>#VALUE!</v>
      </c>
      <c r="AT92" s="370" t="e">
        <f aca="false">VLOOKUP(D92,CurveTbl,$AK$6)</f>
        <v>#VALUE!</v>
      </c>
      <c r="AU92" s="370" t="e">
        <f aca="false">(1+$AT92/2)^(-2*($D92-$G$5)/365.25)*$AF92</f>
        <v>#VALUE!</v>
      </c>
      <c r="AV92" s="506" t="e">
        <f aca="false">ROUND((F92/(1-AR92))-F92,0)*AF92*AH92*AU92</f>
        <v>#VALUE!</v>
      </c>
      <c r="AW92" s="370" t="e">
        <f aca="false">VLOOKUP($D92,CurveTbl,$AK$8)</f>
        <v>#VALUE!</v>
      </c>
      <c r="AX92" s="370" t="e">
        <f aca="false">VLOOKUP($D92,CurveTbl,$AH$7)</f>
        <v>#VALUE!</v>
      </c>
      <c r="AY92" s="370" t="e">
        <f aca="false">VLOOKUP($D92,CurveTbl,$AH$8)</f>
        <v>#VALUE!</v>
      </c>
      <c r="AZ92" s="370"/>
      <c r="BA92" s="507"/>
      <c r="BB92" s="505" t="e">
        <f aca="false">$H92-$BV92</f>
        <v>#VALUE!</v>
      </c>
      <c r="BC92" s="505" t="e">
        <f aca="false">I92-BW92</f>
        <v>#VALUE!</v>
      </c>
      <c r="BD92" s="370" t="e">
        <f aca="false">N92-BX92</f>
        <v>#VALUE!</v>
      </c>
      <c r="BE92" s="370" t="e">
        <f aca="false">O92-BY92</f>
        <v>#VALUE!</v>
      </c>
      <c r="BF92" s="370" t="e">
        <f aca="false">xSPRDOPT($BW92,$BV92,$CG92,0,$BY92,$BX92,$BZ92,$AJ92,1,4)*$CB92</f>
        <v>#NAME?</v>
      </c>
      <c r="BG92" s="370" t="e">
        <f aca="false">xSPRDOPT($BW92,$BV92,$CG92,0,$BY92,$BX92,$BZ92,$AJ92,1,3)*$CB92</f>
        <v>#NAME?</v>
      </c>
      <c r="BH92" s="370" t="e">
        <f aca="false">IF(OR(BF92&lt;&gt;0,BG92&lt;&gt;0),xSPRDOPT($BW92,$BV92,$CG92,0,$BY92,$BX92,$BZ92,$AJ92,1,12)*$CB92,0)</f>
        <v>#NAME?</v>
      </c>
      <c r="BI92" s="370" t="e">
        <f aca="false">xSPRDOPT($BW92,$BV92,$CG92,2*LN(1+CA92/2),$BY92,$BX92,$BZ92,$AJ92,1,9)</f>
        <v>#NAME?</v>
      </c>
      <c r="BJ92" s="370" t="e">
        <f aca="false">xSPRDOPT($BW92,$BV92,$CG92,0,$BY92,$BX92,$BZ92,$AJ92,1,6)*$CB92</f>
        <v>#NAME?</v>
      </c>
      <c r="BK92" s="370" t="e">
        <f aca="false">xSPRDOPT($BW92,$BV92,$CG92,0,$BY92,$BX92,$BZ92,$AJ92,1,5)*$CB92</f>
        <v>#NAME?</v>
      </c>
      <c r="BL92" s="370" t="e">
        <f aca="false">xSPRDOPT(BW92,BV92,CG92,0,BY92,BX92,BZ92,AJ92,1,2)*CB92</f>
        <v>#NAME?</v>
      </c>
      <c r="BM92" s="370" t="e">
        <f aca="false">xSPRDOPT(BW92,BV92,CG92,0,BY92,BX92,BZ92,AJ92,1,1)*CB92</f>
        <v>#NAME?</v>
      </c>
      <c r="BN92" s="370" t="e">
        <f aca="false">IF(AH92&lt;&gt;0,xSPRDOPT($BW92,$BV92,$CG92,2*LN(1+CA92/2),$BY92,$BX92,$BZ92,$AJ92,1,8)+(AJ92/365.25)*CH92/AH92,0)</f>
        <v>#VALUE!</v>
      </c>
      <c r="BO92" s="370" t="e">
        <f aca="false">xSPRDOPT($BW92,$BV92,$CG92,0,$BY92,$BX92,$BZ92,$AJ92,1,0)</f>
        <v>#NAME?</v>
      </c>
      <c r="BP92" s="370"/>
      <c r="BQ92" s="370"/>
      <c r="BR92" s="370"/>
      <c r="BS92" s="370"/>
      <c r="BV92" s="508" t="n">
        <v>3.87031658736534</v>
      </c>
      <c r="BW92" s="369" t="n">
        <v>3.8915</v>
      </c>
      <c r="BX92" s="370" t="n">
        <v>0.248271695832321</v>
      </c>
      <c r="BY92" s="370" t="n">
        <v>0.249421244091519</v>
      </c>
      <c r="BZ92" s="370" t="n">
        <v>0.998347638231167</v>
      </c>
      <c r="CA92" s="370" t="n">
        <v>0.0556594323242252</v>
      </c>
      <c r="CB92" s="370" t="n">
        <v>0.722556194641321</v>
      </c>
      <c r="CC92" s="505" t="n">
        <v>-0.021</v>
      </c>
      <c r="CD92" s="505" t="n">
        <v>0.0575</v>
      </c>
      <c r="CE92" s="505" t="n">
        <v>0.195</v>
      </c>
      <c r="CF92" s="505" t="n">
        <v>-0.025</v>
      </c>
      <c r="CG92" s="505" t="n">
        <v>0.0192</v>
      </c>
      <c r="CH92" s="505" t="n">
        <v>2.2435369843613</v>
      </c>
      <c r="CI92" s="505" t="n">
        <v>3.7215</v>
      </c>
    </row>
    <row r="93" customFormat="false" ht="12.75" hidden="false" customHeight="false" outlineLevel="0" collapsed="false">
      <c r="A93" s="500"/>
      <c r="B93" s="500"/>
      <c r="D93" s="361" t="e">
        <f aca="false">D92+AH92</f>
        <v>#VALUE!</v>
      </c>
      <c r="F93" s="362" t="e">
        <f aca="false">VLOOKUP(AG93,$AL$4:$AS$15,2)</f>
        <v>#VALUE!</v>
      </c>
      <c r="G93" s="362" t="e">
        <f aca="false">F93*$AU93</f>
        <v>#VALUE!</v>
      </c>
      <c r="H93" s="363" t="e">
        <f aca="false">(AL93+AM93+AN93)/(1-(AR93))</f>
        <v>#VALUE!</v>
      </c>
      <c r="I93" s="363" t="e">
        <f aca="false">(AL93+AO93+AP93)</f>
        <v>#VALUE!</v>
      </c>
      <c r="K93" s="363" t="e">
        <f aca="false">MAX(((I93-H93)-AQ93)*AU93*AH93,0)</f>
        <v>#VALUE!</v>
      </c>
      <c r="L93" s="501" t="e">
        <f aca="false">MAX(Q93-K93,0)</f>
        <v>#VALUE!</v>
      </c>
      <c r="N93" s="502" t="e">
        <f aca="false">SQRT(($AX93^2*($AH93/2)+$AW93^2*$AI93)/(($AH93/2)+$AI93))</f>
        <v>#VALUE!</v>
      </c>
      <c r="O93" s="502" t="e">
        <f aca="false">SQRT(($AY93^2*($AH93/2)+$AW93^2*$AI93)/(($AH93/2)+$AI93))</f>
        <v>#VALUE!</v>
      </c>
      <c r="P93" s="371" t="e">
        <f aca="false">(VLOOKUP(AI93,CorrelationTwo,2)*(AW93^2)*AI93+VLOOKUP(D93,CorrelationOne,$AK$9)*AX93*AY93*(AH93/2))/((AI93+(AH93/2))*O93*N93)*AF93</f>
        <v>#VALUE!</v>
      </c>
      <c r="Q93" s="501" t="e">
        <f aca="false">xSPRDOPT(I93,H93,AQ93,0,O93,N93,P93,D93-$G$5,1,0)*AH93*AU93</f>
        <v>#VALUE!</v>
      </c>
      <c r="R93" s="501"/>
      <c r="S93" s="365" t="e">
        <f aca="false">xSPRDOPT(I93,H93,AQ93,AT93,O93,N93,P93,D93-$G$5,1,2)*AF93*(F93/(1-AR93))*AH93</f>
        <v>#VALUE!</v>
      </c>
      <c r="T93" s="365" t="e">
        <f aca="false">xSPRDOPT(I93,H93,AQ93,AT93,O93,N93,P93,D93-$G$5,1,1)*AF93*F93*AH93</f>
        <v>#VALUE!</v>
      </c>
      <c r="U93" s="501"/>
      <c r="V93" s="503" t="e">
        <f aca="false">VLOOKUP($AG93,$AL$4:$AS$15,8)*AH93*AU93</f>
        <v>#VALUE!</v>
      </c>
      <c r="W93" s="503"/>
      <c r="X93" s="504" t="e">
        <f aca="false">((BM93*BC93)+(BL93*BB93))*AH93*F93</f>
        <v>#VALUE!</v>
      </c>
      <c r="Y93" s="504" t="e">
        <f aca="false">($F93*$AH93)*((($BG93/2)*($BC93)^2)+(($BF93/2)*($BB93)^2)+($BH93*$BC93*$BB93))</f>
        <v>#VALUE!</v>
      </c>
      <c r="Z93" s="504" t="e">
        <f aca="false">($BI93*$F93*$AH93*($G$5-$BV$5))/365.25</f>
        <v>#VALUE!</v>
      </c>
      <c r="AA93" s="504" t="e">
        <f aca="false">(($BK93*$BE93)+($BJ93*$BD93))*$F93*$AH93*$AF93</f>
        <v>#VALUE!</v>
      </c>
      <c r="AB93" s="504" t="e">
        <f aca="false">BN93*(AT93-CA93)*F93*AH93</f>
        <v>#VALUE!</v>
      </c>
      <c r="AC93" s="504" t="e">
        <f aca="false">BO93*CB93*F93*AH93*CA93*($G$5-$BV$5)/365.25</f>
        <v>#NAME?</v>
      </c>
      <c r="AF93" s="378" t="e">
        <f aca="false">IF(AND(D93&gt;=$G$7,D93&lt;=$G$8),1,0)</f>
        <v>#VALUE!</v>
      </c>
      <c r="AG93" s="378" t="e">
        <f aca="false">MONTH(D93)</f>
        <v>#VALUE!</v>
      </c>
      <c r="AH93" s="378" t="e">
        <f aca="false">(EOMONTH(D93,0)-EOMONTH(D93-DAY(D93),0))*AF93</f>
        <v>#VALUE!</v>
      </c>
      <c r="AI93" s="378" t="e">
        <f aca="false">AI92+AH92</f>
        <v>#VALUE!</v>
      </c>
      <c r="AJ93" s="378" t="e">
        <f aca="false">D93-$BV$5</f>
        <v>#VALUE!</v>
      </c>
      <c r="AL93" s="369" t="e">
        <f aca="false">VLOOKUP($D93,CurveTbl,$AK$4)</f>
        <v>#VALUE!</v>
      </c>
      <c r="AM93" s="505" t="e">
        <f aca="false">VLOOKUP($D93,CurveTbl,$AH$3)</f>
        <v>#VALUE!</v>
      </c>
      <c r="AN93" s="505" t="e">
        <f aca="false">VLOOKUP($D93,CurveTbl,$AH$4)+VLOOKUP($AG93,$AL$3:$AS$15,6)</f>
        <v>#VALUE!</v>
      </c>
      <c r="AO93" s="505" t="e">
        <f aca="false">VLOOKUP($D93,CurveTbl,$AH$5)</f>
        <v>#VALUE!</v>
      </c>
      <c r="AP93" s="505" t="e">
        <f aca="false">VLOOKUP($D93,CurveTbl,$AH$6)+VLOOKUP($AG93,$AL$3:$AS$15,7)</f>
        <v>#VALUE!</v>
      </c>
      <c r="AQ93" s="369" t="e">
        <f aca="false">VLOOKUP($AG93,$AL$4:$AS$15,3)+VLOOKUP($AG93,$AL$4:$AS$15,5)+($AH$10*VLOOKUP(D93,GRITable,2))</f>
        <v>#VALUE!</v>
      </c>
      <c r="AR93" s="370" t="e">
        <f aca="false">VLOOKUP($AG93,$AL$4:$AS$15,4)</f>
        <v>#VALUE!</v>
      </c>
      <c r="AS93" s="369" t="e">
        <f aca="false">(AL93+AM93+AN93)</f>
        <v>#VALUE!</v>
      </c>
      <c r="AT93" s="370" t="e">
        <f aca="false">VLOOKUP(D93,CurveTbl,$AK$6)</f>
        <v>#VALUE!</v>
      </c>
      <c r="AU93" s="370" t="e">
        <f aca="false">(1+$AT93/2)^(-2*($D93-$G$5)/365.25)*$AF93</f>
        <v>#VALUE!</v>
      </c>
      <c r="AV93" s="506" t="e">
        <f aca="false">ROUND((F93/(1-AR93))-F93,0)*AF93*AH93*AU93</f>
        <v>#VALUE!</v>
      </c>
      <c r="AW93" s="370" t="e">
        <f aca="false">VLOOKUP($D93,CurveTbl,$AK$8)</f>
        <v>#VALUE!</v>
      </c>
      <c r="AX93" s="370" t="e">
        <f aca="false">VLOOKUP($D93,CurveTbl,$AH$7)</f>
        <v>#VALUE!</v>
      </c>
      <c r="AY93" s="370" t="e">
        <f aca="false">VLOOKUP($D93,CurveTbl,$AH$8)</f>
        <v>#VALUE!</v>
      </c>
      <c r="AZ93" s="370"/>
      <c r="BA93" s="507"/>
      <c r="BB93" s="505" t="e">
        <f aca="false">$H93-$BV93</f>
        <v>#VALUE!</v>
      </c>
      <c r="BC93" s="505" t="e">
        <f aca="false">I93-BW93</f>
        <v>#VALUE!</v>
      </c>
      <c r="BD93" s="370" t="e">
        <f aca="false">N93-BX93</f>
        <v>#VALUE!</v>
      </c>
      <c r="BE93" s="370" t="e">
        <f aca="false">O93-BY93</f>
        <v>#VALUE!</v>
      </c>
      <c r="BF93" s="370" t="e">
        <f aca="false">xSPRDOPT($BW93,$BV93,$CG93,0,$BY93,$BX93,$BZ93,$AJ93,1,4)*$CB93</f>
        <v>#NAME?</v>
      </c>
      <c r="BG93" s="370" t="e">
        <f aca="false">xSPRDOPT($BW93,$BV93,$CG93,0,$BY93,$BX93,$BZ93,$AJ93,1,3)*$CB93</f>
        <v>#NAME?</v>
      </c>
      <c r="BH93" s="370" t="e">
        <f aca="false">IF(OR(BF93&lt;&gt;0,BG93&lt;&gt;0),xSPRDOPT($BW93,$BV93,$CG93,0,$BY93,$BX93,$BZ93,$AJ93,1,12)*$CB93,0)</f>
        <v>#NAME?</v>
      </c>
      <c r="BI93" s="370" t="e">
        <f aca="false">xSPRDOPT($BW93,$BV93,$CG93,2*LN(1+CA93/2),$BY93,$BX93,$BZ93,$AJ93,1,9)</f>
        <v>#NAME?</v>
      </c>
      <c r="BJ93" s="370" t="e">
        <f aca="false">xSPRDOPT($BW93,$BV93,$CG93,0,$BY93,$BX93,$BZ93,$AJ93,1,6)*$CB93</f>
        <v>#NAME?</v>
      </c>
      <c r="BK93" s="370" t="e">
        <f aca="false">xSPRDOPT($BW93,$BV93,$CG93,0,$BY93,$BX93,$BZ93,$AJ93,1,5)*$CB93</f>
        <v>#NAME?</v>
      </c>
      <c r="BL93" s="370" t="e">
        <f aca="false">xSPRDOPT(BW93,BV93,CG93,0,BY93,BX93,BZ93,AJ93,1,2)*CB93</f>
        <v>#NAME?</v>
      </c>
      <c r="BM93" s="370" t="e">
        <f aca="false">xSPRDOPT(BW93,BV93,CG93,0,BY93,BX93,BZ93,AJ93,1,1)*CB93</f>
        <v>#NAME?</v>
      </c>
      <c r="BN93" s="370" t="e">
        <f aca="false">IF(AH93&lt;&gt;0,xSPRDOPT($BW93,$BV93,$CG93,2*LN(1+CA93/2),$BY93,$BX93,$BZ93,$AJ93,1,8)+(AJ93/365.25)*CH93/AH93,0)</f>
        <v>#VALUE!</v>
      </c>
      <c r="BO93" s="370" t="e">
        <f aca="false">xSPRDOPT($BW93,$BV93,$CG93,0,$BY93,$BX93,$BZ93,$AJ93,1,0)</f>
        <v>#NAME?</v>
      </c>
      <c r="BP93" s="370"/>
      <c r="BQ93" s="370"/>
      <c r="BR93" s="370"/>
      <c r="BS93" s="370"/>
      <c r="BV93" s="508" t="n">
        <v>4.01759047560197</v>
      </c>
      <c r="BW93" s="369" t="n">
        <v>4.0545</v>
      </c>
      <c r="BX93" s="370" t="n">
        <v>0.253494204277853</v>
      </c>
      <c r="BY93" s="370" t="n">
        <v>0.254918831528552</v>
      </c>
      <c r="BZ93" s="370" t="n">
        <v>0.997582636423897</v>
      </c>
      <c r="CA93" s="370" t="n">
        <v>0.0558375124748816</v>
      </c>
      <c r="CB93" s="370" t="n">
        <v>0.718557904444993</v>
      </c>
      <c r="CC93" s="505" t="n">
        <v>-0.021</v>
      </c>
      <c r="CD93" s="505" t="n">
        <v>0.0575</v>
      </c>
      <c r="CE93" s="505" t="n">
        <v>0.215</v>
      </c>
      <c r="CF93" s="505" t="n">
        <v>-0.025</v>
      </c>
      <c r="CG93" s="505" t="n">
        <v>0.0192</v>
      </c>
      <c r="CH93" s="505" t="n">
        <v>2.30549303641176</v>
      </c>
      <c r="CI93" s="505" t="n">
        <v>3.8645</v>
      </c>
    </row>
    <row r="94" customFormat="false" ht="12.75" hidden="false" customHeight="false" outlineLevel="0" collapsed="false">
      <c r="A94" s="500"/>
      <c r="B94" s="500"/>
      <c r="D94" s="361" t="e">
        <f aca="false">D93+AH93</f>
        <v>#VALUE!</v>
      </c>
      <c r="F94" s="362" t="e">
        <f aca="false">VLOOKUP(AG94,$AL$4:$AS$15,2)</f>
        <v>#VALUE!</v>
      </c>
      <c r="G94" s="362" t="e">
        <f aca="false">F94*$AU94</f>
        <v>#VALUE!</v>
      </c>
      <c r="H94" s="363" t="e">
        <f aca="false">(AL94+AM94+AN94)/(1-(AR94))</f>
        <v>#VALUE!</v>
      </c>
      <c r="I94" s="363" t="e">
        <f aca="false">(AL94+AO94+AP94)</f>
        <v>#VALUE!</v>
      </c>
      <c r="K94" s="363" t="e">
        <f aca="false">MAX(((I94-H94)-AQ94)*AU94*AH94,0)</f>
        <v>#VALUE!</v>
      </c>
      <c r="L94" s="501" t="e">
        <f aca="false">MAX(Q94-K94,0)</f>
        <v>#VALUE!</v>
      </c>
      <c r="N94" s="502" t="e">
        <f aca="false">SQRT(($AX94^2*($AH94/2)+$AW94^2*$AI94)/(($AH94/2)+$AI94))</f>
        <v>#VALUE!</v>
      </c>
      <c r="O94" s="502" t="e">
        <f aca="false">SQRT(($AY94^2*($AH94/2)+$AW94^2*$AI94)/(($AH94/2)+$AI94))</f>
        <v>#VALUE!</v>
      </c>
      <c r="P94" s="371" t="e">
        <f aca="false">(VLOOKUP(AI94,CorrelationTwo,2)*(AW94^2)*AI94+VLOOKUP(D94,CorrelationOne,$AK$9)*AX94*AY94*(AH94/2))/((AI94+(AH94/2))*O94*N94)*AF94</f>
        <v>#VALUE!</v>
      </c>
      <c r="Q94" s="501" t="e">
        <f aca="false">xSPRDOPT(I94,H94,AQ94,0,O94,N94,P94,D94-$G$5,1,0)*AH94*AU94</f>
        <v>#VALUE!</v>
      </c>
      <c r="R94" s="501"/>
      <c r="S94" s="365" t="e">
        <f aca="false">xSPRDOPT(I94,H94,AQ94,AT94,O94,N94,P94,D94-$G$5,1,2)*AF94*(F94/(1-AR94))*AH94</f>
        <v>#VALUE!</v>
      </c>
      <c r="T94" s="365" t="e">
        <f aca="false">xSPRDOPT(I94,H94,AQ94,AT94,O94,N94,P94,D94-$G$5,1,1)*AF94*F94*AH94</f>
        <v>#VALUE!</v>
      </c>
      <c r="U94" s="501"/>
      <c r="V94" s="503" t="e">
        <f aca="false">VLOOKUP($AG94,$AL$4:$AS$15,8)*AH94*AU94</f>
        <v>#VALUE!</v>
      </c>
      <c r="W94" s="503"/>
      <c r="X94" s="504" t="e">
        <f aca="false">((BM94*BC94)+(BL94*BB94))*AH94*F94</f>
        <v>#VALUE!</v>
      </c>
      <c r="Y94" s="504" t="e">
        <f aca="false">($F94*$AH94)*((($BG94/2)*($BC94)^2)+(($BF94/2)*($BB94)^2)+($BH94*$BC94*$BB94))</f>
        <v>#VALUE!</v>
      </c>
      <c r="Z94" s="504" t="e">
        <f aca="false">($BI94*$F94*$AH94*($G$5-$BV$5))/365.25</f>
        <v>#VALUE!</v>
      </c>
      <c r="AA94" s="504" t="e">
        <f aca="false">(($BK94*$BE94)+($BJ94*$BD94))*$F94*$AH94*$AF94</f>
        <v>#VALUE!</v>
      </c>
      <c r="AB94" s="504" t="e">
        <f aca="false">BN94*(AT94-CA94)*F94*AH94</f>
        <v>#VALUE!</v>
      </c>
      <c r="AC94" s="504" t="e">
        <f aca="false">BO94*CB94*F94*AH94*CA94*($G$5-$BV$5)/365.25</f>
        <v>#NAME?</v>
      </c>
      <c r="AF94" s="378" t="e">
        <f aca="false">IF(AND(D94&gt;=$G$7,D94&lt;=$G$8),1,0)</f>
        <v>#VALUE!</v>
      </c>
      <c r="AG94" s="378" t="e">
        <f aca="false">MONTH(D94)</f>
        <v>#VALUE!</v>
      </c>
      <c r="AH94" s="378" t="e">
        <f aca="false">(EOMONTH(D94,0)-EOMONTH(D94-DAY(D94),0))*AF94</f>
        <v>#VALUE!</v>
      </c>
      <c r="AI94" s="378" t="e">
        <f aca="false">AI93+AH93</f>
        <v>#VALUE!</v>
      </c>
      <c r="AJ94" s="378" t="e">
        <f aca="false">D94-$BV$5</f>
        <v>#VALUE!</v>
      </c>
      <c r="AL94" s="369" t="e">
        <f aca="false">VLOOKUP($D94,CurveTbl,$AK$4)</f>
        <v>#VALUE!</v>
      </c>
      <c r="AM94" s="505" t="e">
        <f aca="false">VLOOKUP($D94,CurveTbl,$AH$3)</f>
        <v>#VALUE!</v>
      </c>
      <c r="AN94" s="505" t="e">
        <f aca="false">VLOOKUP($D94,CurveTbl,$AH$4)+VLOOKUP($AG94,$AL$3:$AS$15,6)</f>
        <v>#VALUE!</v>
      </c>
      <c r="AO94" s="505" t="e">
        <f aca="false">VLOOKUP($D94,CurveTbl,$AH$5)</f>
        <v>#VALUE!</v>
      </c>
      <c r="AP94" s="505" t="e">
        <f aca="false">VLOOKUP($D94,CurveTbl,$AH$6)+VLOOKUP($AG94,$AL$3:$AS$15,7)</f>
        <v>#VALUE!</v>
      </c>
      <c r="AQ94" s="369" t="e">
        <f aca="false">VLOOKUP($AG94,$AL$4:$AS$15,3)+VLOOKUP($AG94,$AL$4:$AS$15,5)+($AH$10*VLOOKUP(D94,GRITable,2))</f>
        <v>#VALUE!</v>
      </c>
      <c r="AR94" s="370" t="e">
        <f aca="false">VLOOKUP($AG94,$AL$4:$AS$15,4)</f>
        <v>#VALUE!</v>
      </c>
      <c r="AS94" s="369" t="e">
        <f aca="false">(AL94+AM94+AN94)</f>
        <v>#VALUE!</v>
      </c>
      <c r="AT94" s="370" t="e">
        <f aca="false">VLOOKUP(D94,CurveTbl,$AK$6)</f>
        <v>#VALUE!</v>
      </c>
      <c r="AU94" s="370" t="e">
        <f aca="false">(1+$AT94/2)^(-2*($D94-$G$5)/365.25)*$AF94</f>
        <v>#VALUE!</v>
      </c>
      <c r="AV94" s="506" t="e">
        <f aca="false">ROUND((F94/(1-AR94))-F94,0)*AF94*AH94*AU94</f>
        <v>#VALUE!</v>
      </c>
      <c r="AW94" s="370" t="e">
        <f aca="false">VLOOKUP($D94,CurveTbl,$AK$8)</f>
        <v>#VALUE!</v>
      </c>
      <c r="AX94" s="370" t="e">
        <f aca="false">VLOOKUP($D94,CurveTbl,$AH$7)</f>
        <v>#VALUE!</v>
      </c>
      <c r="AY94" s="370" t="e">
        <f aca="false">VLOOKUP($D94,CurveTbl,$AH$8)</f>
        <v>#VALUE!</v>
      </c>
      <c r="AZ94" s="370"/>
      <c r="BA94" s="507"/>
      <c r="BB94" s="505" t="e">
        <f aca="false">$H94-$BV94</f>
        <v>#VALUE!</v>
      </c>
      <c r="BC94" s="505" t="e">
        <f aca="false">I94-BW94</f>
        <v>#VALUE!</v>
      </c>
      <c r="BD94" s="370" t="e">
        <f aca="false">N94-BX94</f>
        <v>#VALUE!</v>
      </c>
      <c r="BE94" s="370" t="e">
        <f aca="false">O94-BY94</f>
        <v>#VALUE!</v>
      </c>
      <c r="BF94" s="370" t="e">
        <f aca="false">xSPRDOPT($BW94,$BV94,$CG94,0,$BY94,$BX94,$BZ94,$AJ94,1,4)*$CB94</f>
        <v>#NAME?</v>
      </c>
      <c r="BG94" s="370" t="e">
        <f aca="false">xSPRDOPT($BW94,$BV94,$CG94,0,$BY94,$BX94,$BZ94,$AJ94,1,3)*$CB94</f>
        <v>#NAME?</v>
      </c>
      <c r="BH94" s="370" t="e">
        <f aca="false">IF(OR(BF94&lt;&gt;0,BG94&lt;&gt;0),xSPRDOPT($BW94,$BV94,$CG94,0,$BY94,$BX94,$BZ94,$AJ94,1,12)*$CB94,0)</f>
        <v>#NAME?</v>
      </c>
      <c r="BI94" s="370" t="e">
        <f aca="false">xSPRDOPT($BW94,$BV94,$CG94,2*LN(1+CA94/2),$BY94,$BX94,$BZ94,$AJ94,1,9)</f>
        <v>#NAME?</v>
      </c>
      <c r="BJ94" s="370" t="e">
        <f aca="false">xSPRDOPT($BW94,$BV94,$CG94,0,$BY94,$BX94,$BZ94,$AJ94,1,6)*$CB94</f>
        <v>#NAME?</v>
      </c>
      <c r="BK94" s="370" t="e">
        <f aca="false">xSPRDOPT($BW94,$BV94,$CG94,0,$BY94,$BX94,$BZ94,$AJ94,1,5)*$CB94</f>
        <v>#NAME?</v>
      </c>
      <c r="BL94" s="370" t="e">
        <f aca="false">xSPRDOPT(BW94,BV94,CG94,0,BY94,BX94,BZ94,AJ94,1,2)*CB94</f>
        <v>#NAME?</v>
      </c>
      <c r="BM94" s="370" t="e">
        <f aca="false">xSPRDOPT(BW94,BV94,CG94,0,BY94,BX94,BZ94,AJ94,1,1)*CB94</f>
        <v>#NAME?</v>
      </c>
      <c r="BN94" s="370" t="e">
        <f aca="false">IF(AH94&lt;&gt;0,xSPRDOPT($BW94,$BV94,$CG94,2*LN(1+CA94/2),$BY94,$BX94,$BZ94,$AJ94,1,8)+(AJ94/365.25)*CH94/AH94,0)</f>
        <v>#VALUE!</v>
      </c>
      <c r="BO94" s="370" t="e">
        <f aca="false">xSPRDOPT($BW94,$BV94,$CG94,0,$BY94,$BX94,$BZ94,$AJ94,1,0)</f>
        <v>#NAME?</v>
      </c>
      <c r="BP94" s="370"/>
      <c r="BQ94" s="370"/>
      <c r="BR94" s="370"/>
      <c r="BS94" s="370"/>
      <c r="BV94" s="508" t="n">
        <v>4.07114461677892</v>
      </c>
      <c r="BW94" s="369" t="n">
        <v>4.1245</v>
      </c>
      <c r="BX94" s="370" t="n">
        <v>0.253311091995473</v>
      </c>
      <c r="BY94" s="370" t="n">
        <v>0.254716930664931</v>
      </c>
      <c r="BZ94" s="370" t="n">
        <v>0.997612517301681</v>
      </c>
      <c r="CA94" s="370" t="n">
        <v>0.0560215286416526</v>
      </c>
      <c r="CB94" s="370" t="n">
        <v>0.714428287231</v>
      </c>
      <c r="CC94" s="505" t="n">
        <v>-0.019</v>
      </c>
      <c r="CD94" s="505" t="n">
        <v>0.0575</v>
      </c>
      <c r="CE94" s="505" t="n">
        <v>0.235</v>
      </c>
      <c r="CF94" s="505" t="n">
        <v>-0.025</v>
      </c>
      <c r="CG94" s="505" t="n">
        <v>0.0192</v>
      </c>
      <c r="CH94" s="505" t="n">
        <v>2.29224315958066</v>
      </c>
      <c r="CI94" s="505" t="n">
        <v>3.9145</v>
      </c>
    </row>
    <row r="95" customFormat="false" ht="12.75" hidden="false" customHeight="false" outlineLevel="0" collapsed="false">
      <c r="A95" s="500"/>
      <c r="B95" s="500"/>
      <c r="D95" s="361" t="e">
        <f aca="false">D94+AH94</f>
        <v>#VALUE!</v>
      </c>
      <c r="F95" s="362" t="e">
        <f aca="false">VLOOKUP(AG95,$AL$4:$AS$15,2)</f>
        <v>#VALUE!</v>
      </c>
      <c r="G95" s="362" t="e">
        <f aca="false">F95*$AU95</f>
        <v>#VALUE!</v>
      </c>
      <c r="H95" s="363" t="e">
        <f aca="false">(AL95+AM95+AN95)/(1-(AR95))</f>
        <v>#VALUE!</v>
      </c>
      <c r="I95" s="363" t="e">
        <f aca="false">(AL95+AO95+AP95)</f>
        <v>#VALUE!</v>
      </c>
      <c r="K95" s="363" t="e">
        <f aca="false">MAX(((I95-H95)-AQ95)*AU95*AH95,0)</f>
        <v>#VALUE!</v>
      </c>
      <c r="L95" s="501" t="e">
        <f aca="false">MAX(Q95-K95,0)</f>
        <v>#VALUE!</v>
      </c>
      <c r="N95" s="502" t="e">
        <f aca="false">SQRT(($AX95^2*($AH95/2)+$AW95^2*$AI95)/(($AH95/2)+$AI95))</f>
        <v>#VALUE!</v>
      </c>
      <c r="O95" s="502" t="e">
        <f aca="false">SQRT(($AY95^2*($AH95/2)+$AW95^2*$AI95)/(($AH95/2)+$AI95))</f>
        <v>#VALUE!</v>
      </c>
      <c r="P95" s="371" t="e">
        <f aca="false">(VLOOKUP(AI95,CorrelationTwo,2)*(AW95^2)*AI95+VLOOKUP(D95,CorrelationOne,$AK$9)*AX95*AY95*(AH95/2))/((AI95+(AH95/2))*O95*N95)*AF95</f>
        <v>#VALUE!</v>
      </c>
      <c r="Q95" s="501" t="e">
        <f aca="false">xSPRDOPT(I95,H95,AQ95,0,O95,N95,P95,D95-$G$5,1,0)*AH95*AU95</f>
        <v>#VALUE!</v>
      </c>
      <c r="R95" s="501"/>
      <c r="S95" s="365" t="e">
        <f aca="false">xSPRDOPT(I95,H95,AQ95,AT95,O95,N95,P95,D95-$G$5,1,2)*AF95*(F95/(1-AR95))*AH95</f>
        <v>#VALUE!</v>
      </c>
      <c r="T95" s="365" t="e">
        <f aca="false">xSPRDOPT(I95,H95,AQ95,AT95,O95,N95,P95,D95-$G$5,1,1)*AF95*F95*AH95</f>
        <v>#VALUE!</v>
      </c>
      <c r="U95" s="501"/>
      <c r="V95" s="503" t="e">
        <f aca="false">VLOOKUP($AG95,$AL$4:$AS$15,8)*AH95*AU95</f>
        <v>#VALUE!</v>
      </c>
      <c r="W95" s="503"/>
      <c r="X95" s="504" t="e">
        <f aca="false">((BM95*BC95)+(BL95*BB95))*AH95*F95</f>
        <v>#VALUE!</v>
      </c>
      <c r="Y95" s="504" t="e">
        <f aca="false">($F95*$AH95)*((($BG95/2)*($BC95)^2)+(($BF95/2)*($BB95)^2)+($BH95*$BC95*$BB95))</f>
        <v>#VALUE!</v>
      </c>
      <c r="Z95" s="504" t="e">
        <f aca="false">($BI95*$F95*$AH95*($G$5-$BV$5))/365.25</f>
        <v>#VALUE!</v>
      </c>
      <c r="AA95" s="504" t="e">
        <f aca="false">(($BK95*$BE95)+($BJ95*$BD95))*$F95*$AH95*$AF95</f>
        <v>#VALUE!</v>
      </c>
      <c r="AB95" s="504" t="e">
        <f aca="false">BN95*(AT95-CA95)*F95*AH95</f>
        <v>#VALUE!</v>
      </c>
      <c r="AC95" s="504" t="e">
        <f aca="false">BO95*CB95*F95*AH95*CA95*($G$5-$BV$5)/365.25</f>
        <v>#NAME?</v>
      </c>
      <c r="AF95" s="378" t="e">
        <f aca="false">IF(AND(D95&gt;=$G$7,D95&lt;=$G$8),1,0)</f>
        <v>#VALUE!</v>
      </c>
      <c r="AG95" s="378" t="e">
        <f aca="false">MONTH(D95)</f>
        <v>#VALUE!</v>
      </c>
      <c r="AH95" s="378" t="e">
        <f aca="false">(EOMONTH(D95,0)-EOMONTH(D95-DAY(D95),0))*AF95</f>
        <v>#VALUE!</v>
      </c>
      <c r="AI95" s="378" t="e">
        <f aca="false">AI94+AH94</f>
        <v>#VALUE!</v>
      </c>
      <c r="AJ95" s="378" t="e">
        <f aca="false">D95-$BV$5</f>
        <v>#VALUE!</v>
      </c>
      <c r="AL95" s="369" t="e">
        <f aca="false">VLOOKUP($D95,CurveTbl,$AK$4)</f>
        <v>#VALUE!</v>
      </c>
      <c r="AM95" s="505" t="e">
        <f aca="false">VLOOKUP($D95,CurveTbl,$AH$3)</f>
        <v>#VALUE!</v>
      </c>
      <c r="AN95" s="505" t="e">
        <f aca="false">VLOOKUP($D95,CurveTbl,$AH$4)+VLOOKUP($AG95,$AL$3:$AS$15,6)</f>
        <v>#VALUE!</v>
      </c>
      <c r="AO95" s="505" t="e">
        <f aca="false">VLOOKUP($D95,CurveTbl,$AH$5)</f>
        <v>#VALUE!</v>
      </c>
      <c r="AP95" s="505" t="e">
        <f aca="false">VLOOKUP($D95,CurveTbl,$AH$6)+VLOOKUP($AG95,$AL$3:$AS$15,7)</f>
        <v>#VALUE!</v>
      </c>
      <c r="AQ95" s="369" t="e">
        <f aca="false">VLOOKUP($AG95,$AL$4:$AS$15,3)+VLOOKUP($AG95,$AL$4:$AS$15,5)+($AH$10*VLOOKUP(D95,GRITable,2))</f>
        <v>#VALUE!</v>
      </c>
      <c r="AR95" s="370" t="e">
        <f aca="false">VLOOKUP($AG95,$AL$4:$AS$15,4)</f>
        <v>#VALUE!</v>
      </c>
      <c r="AS95" s="369" t="e">
        <f aca="false">(AL95+AM95+AN95)</f>
        <v>#VALUE!</v>
      </c>
      <c r="AT95" s="370" t="e">
        <f aca="false">VLOOKUP(D95,CurveTbl,$AK$6)</f>
        <v>#VALUE!</v>
      </c>
      <c r="AU95" s="370" t="e">
        <f aca="false">(1+$AT95/2)^(-2*($D95-$G$5)/365.25)*$AF95</f>
        <v>#VALUE!</v>
      </c>
      <c r="AV95" s="506" t="e">
        <f aca="false">ROUND((F95/(1-AR95))-F95,0)*AF95*AH95*AU95</f>
        <v>#VALUE!</v>
      </c>
      <c r="AW95" s="370" t="e">
        <f aca="false">VLOOKUP($D95,CurveTbl,$AK$8)</f>
        <v>#VALUE!</v>
      </c>
      <c r="AX95" s="370" t="e">
        <f aca="false">VLOOKUP($D95,CurveTbl,$AH$7)</f>
        <v>#VALUE!</v>
      </c>
      <c r="AY95" s="370" t="e">
        <f aca="false">VLOOKUP($D95,CurveTbl,$AH$8)</f>
        <v>#VALUE!</v>
      </c>
      <c r="AZ95" s="370"/>
      <c r="BA95" s="507"/>
      <c r="BB95" s="505" t="e">
        <f aca="false">$H95-$BV95</f>
        <v>#VALUE!</v>
      </c>
      <c r="BC95" s="505" t="e">
        <f aca="false">I95-BW95</f>
        <v>#VALUE!</v>
      </c>
      <c r="BD95" s="370" t="e">
        <f aca="false">N95-BX95</f>
        <v>#VALUE!</v>
      </c>
      <c r="BE95" s="370" t="e">
        <f aca="false">O95-BY95</f>
        <v>#VALUE!</v>
      </c>
      <c r="BF95" s="370" t="e">
        <f aca="false">xSPRDOPT($BW95,$BV95,$CG95,0,$BY95,$BX95,$BZ95,$AJ95,1,4)*$CB95</f>
        <v>#NAME?</v>
      </c>
      <c r="BG95" s="370" t="e">
        <f aca="false">xSPRDOPT($BW95,$BV95,$CG95,0,$BY95,$BX95,$BZ95,$AJ95,1,3)*$CB95</f>
        <v>#NAME?</v>
      </c>
      <c r="BH95" s="370" t="e">
        <f aca="false">IF(OR(BF95&lt;&gt;0,BG95&lt;&gt;0),xSPRDOPT($BW95,$BV95,$CG95,0,$BY95,$BX95,$BZ95,$AJ95,1,12)*$CB95,0)</f>
        <v>#NAME?</v>
      </c>
      <c r="BI95" s="370" t="e">
        <f aca="false">xSPRDOPT($BW95,$BV95,$CG95,2*LN(1+CA95/2),$BY95,$BX95,$BZ95,$AJ95,1,9)</f>
        <v>#NAME?</v>
      </c>
      <c r="BJ95" s="370" t="e">
        <f aca="false">xSPRDOPT($BW95,$BV95,$CG95,0,$BY95,$BX95,$BZ95,$AJ95,1,6)*$CB95</f>
        <v>#NAME?</v>
      </c>
      <c r="BK95" s="370" t="e">
        <f aca="false">xSPRDOPT($BW95,$BV95,$CG95,0,$BY95,$BX95,$BZ95,$AJ95,1,5)*$CB95</f>
        <v>#NAME?</v>
      </c>
      <c r="BL95" s="370" t="e">
        <f aca="false">xSPRDOPT(BW95,BV95,CG95,0,BY95,BX95,BZ95,AJ95,1,2)*CB95</f>
        <v>#NAME?</v>
      </c>
      <c r="BM95" s="370" t="e">
        <f aca="false">xSPRDOPT(BW95,BV95,CG95,0,BY95,BX95,BZ95,AJ95,1,1)*CB95</f>
        <v>#NAME?</v>
      </c>
      <c r="BN95" s="370" t="e">
        <f aca="false">IF(AH95&lt;&gt;0,xSPRDOPT($BW95,$BV95,$CG95,2*LN(1+CA95/2),$BY95,$BX95,$BZ95,$AJ95,1,8)+(AJ95/365.25)*CH95/AH95,0)</f>
        <v>#VALUE!</v>
      </c>
      <c r="BO95" s="370" t="e">
        <f aca="false">xSPRDOPT($BW95,$BV95,$CG95,0,$BY95,$BX95,$BZ95,$AJ95,1,0)</f>
        <v>#NAME?</v>
      </c>
      <c r="BP95" s="370"/>
      <c r="BQ95" s="370"/>
      <c r="BR95" s="370"/>
      <c r="BS95" s="370"/>
      <c r="BV95" s="508" t="n">
        <v>3.98360419370121</v>
      </c>
      <c r="BW95" s="369" t="n">
        <v>4.0395</v>
      </c>
      <c r="BX95" s="370" t="n">
        <v>0.252311557801153</v>
      </c>
      <c r="BY95" s="370" t="n">
        <v>0.253614588069056</v>
      </c>
      <c r="BZ95" s="370" t="n">
        <v>0.997776934206515</v>
      </c>
      <c r="CA95" s="370" t="n">
        <v>0.0562055448196963</v>
      </c>
      <c r="CB95" s="370" t="n">
        <v>0.710300889666288</v>
      </c>
      <c r="CC95" s="505" t="n">
        <v>-0.019</v>
      </c>
      <c r="CD95" s="505" t="n">
        <v>0.0575</v>
      </c>
      <c r="CE95" s="505" t="n">
        <v>0.235</v>
      </c>
      <c r="CF95" s="505" t="n">
        <v>-0.025</v>
      </c>
      <c r="CG95" s="505" t="n">
        <v>0.0192</v>
      </c>
      <c r="CH95" s="505" t="n">
        <v>2.13196812033336</v>
      </c>
      <c r="CI95" s="505" t="n">
        <v>3.8295</v>
      </c>
    </row>
    <row r="96" customFormat="false" ht="12.75" hidden="false" customHeight="false" outlineLevel="0" collapsed="false">
      <c r="A96" s="500"/>
      <c r="B96" s="500"/>
      <c r="D96" s="361" t="e">
        <f aca="false">D95+AH95</f>
        <v>#VALUE!</v>
      </c>
      <c r="F96" s="362" t="e">
        <f aca="false">VLOOKUP(AG96,$AL$4:$AS$15,2)</f>
        <v>#VALUE!</v>
      </c>
      <c r="G96" s="362" t="e">
        <f aca="false">F96*$AU96</f>
        <v>#VALUE!</v>
      </c>
      <c r="H96" s="363" t="e">
        <f aca="false">(AL96+AM96+AN96)/(1-(AR96))</f>
        <v>#VALUE!</v>
      </c>
      <c r="I96" s="363" t="e">
        <f aca="false">(AL96+AO96+AP96)</f>
        <v>#VALUE!</v>
      </c>
      <c r="K96" s="363" t="e">
        <f aca="false">MAX(((I96-H96)-AQ96)*AU96*AH96,0)</f>
        <v>#VALUE!</v>
      </c>
      <c r="L96" s="501" t="e">
        <f aca="false">MAX(Q96-K96,0)</f>
        <v>#VALUE!</v>
      </c>
      <c r="N96" s="502" t="e">
        <f aca="false">SQRT(($AX96^2*($AH96/2)+$AW96^2*$AI96)/(($AH96/2)+$AI96))</f>
        <v>#VALUE!</v>
      </c>
      <c r="O96" s="502" t="e">
        <f aca="false">SQRT(($AY96^2*($AH96/2)+$AW96^2*$AI96)/(($AH96/2)+$AI96))</f>
        <v>#VALUE!</v>
      </c>
      <c r="P96" s="371" t="e">
        <f aca="false">(VLOOKUP(AI96,CorrelationTwo,2)*(AW96^2)*AI96+VLOOKUP(D96,CorrelationOne,$AK$9)*AX96*AY96*(AH96/2))/((AI96+(AH96/2))*O96*N96)*AF96</f>
        <v>#VALUE!</v>
      </c>
      <c r="Q96" s="501" t="e">
        <f aca="false">xSPRDOPT(I96,H96,AQ96,0,O96,N96,P96,D96-$G$5,1,0)*AH96*AU96</f>
        <v>#VALUE!</v>
      </c>
      <c r="R96" s="501"/>
      <c r="S96" s="365" t="e">
        <f aca="false">xSPRDOPT(I96,H96,AQ96,AT96,O96,N96,P96,D96-$G$5,1,2)*AF96*(F96/(1-AR96))*AH96</f>
        <v>#VALUE!</v>
      </c>
      <c r="T96" s="365" t="e">
        <f aca="false">xSPRDOPT(I96,H96,AQ96,AT96,O96,N96,P96,D96-$G$5,1,1)*AF96*F96*AH96</f>
        <v>#VALUE!</v>
      </c>
      <c r="U96" s="501"/>
      <c r="V96" s="503" t="e">
        <f aca="false">VLOOKUP($AG96,$AL$4:$AS$15,8)*AH96*AU96</f>
        <v>#VALUE!</v>
      </c>
      <c r="W96" s="503"/>
      <c r="X96" s="504" t="e">
        <f aca="false">((BM96*BC96)+(BL96*BB96))*AH96*F96</f>
        <v>#VALUE!</v>
      </c>
      <c r="Y96" s="504" t="e">
        <f aca="false">($F96*$AH96)*((($BG96/2)*($BC96)^2)+(($BF96/2)*($BB96)^2)+($BH96*$BC96*$BB96))</f>
        <v>#VALUE!</v>
      </c>
      <c r="Z96" s="504" t="e">
        <f aca="false">($BI96*$F96*$AH96*($G$5-$BV$5))/365.25</f>
        <v>#VALUE!</v>
      </c>
      <c r="AA96" s="504" t="e">
        <f aca="false">(($BK96*$BE96)+($BJ96*$BD96))*$F96*$AH96*$AF96</f>
        <v>#VALUE!</v>
      </c>
      <c r="AB96" s="504" t="e">
        <f aca="false">BN96*(AT96-CA96)*F96*AH96</f>
        <v>#VALUE!</v>
      </c>
      <c r="AC96" s="504" t="e">
        <f aca="false">BO96*CB96*F96*AH96*CA96*($G$5-$BV$5)/365.25</f>
        <v>#NAME?</v>
      </c>
      <c r="AF96" s="378" t="e">
        <f aca="false">IF(AND(D96&gt;=$G$7,D96&lt;=$G$8),1,0)</f>
        <v>#VALUE!</v>
      </c>
      <c r="AG96" s="378" t="e">
        <f aca="false">MONTH(D96)</f>
        <v>#VALUE!</v>
      </c>
      <c r="AH96" s="378" t="e">
        <f aca="false">(EOMONTH(D96,0)-EOMONTH(D96-DAY(D96),0))*AF96</f>
        <v>#VALUE!</v>
      </c>
      <c r="AI96" s="378" t="e">
        <f aca="false">AI95+AH95</f>
        <v>#VALUE!</v>
      </c>
      <c r="AJ96" s="378" t="e">
        <f aca="false">D96-$BV$5</f>
        <v>#VALUE!</v>
      </c>
      <c r="AL96" s="369" t="e">
        <f aca="false">VLOOKUP($D96,CurveTbl,$AK$4)</f>
        <v>#VALUE!</v>
      </c>
      <c r="AM96" s="505" t="e">
        <f aca="false">VLOOKUP($D96,CurveTbl,$AH$3)</f>
        <v>#VALUE!</v>
      </c>
      <c r="AN96" s="505" t="e">
        <f aca="false">VLOOKUP($D96,CurveTbl,$AH$4)+VLOOKUP($AG96,$AL$3:$AS$15,6)</f>
        <v>#VALUE!</v>
      </c>
      <c r="AO96" s="505" t="e">
        <f aca="false">VLOOKUP($D96,CurveTbl,$AH$5)</f>
        <v>#VALUE!</v>
      </c>
      <c r="AP96" s="505" t="e">
        <f aca="false">VLOOKUP($D96,CurveTbl,$AH$6)+VLOOKUP($AG96,$AL$3:$AS$15,7)</f>
        <v>#VALUE!</v>
      </c>
      <c r="AQ96" s="369" t="e">
        <f aca="false">VLOOKUP($AG96,$AL$4:$AS$15,3)+VLOOKUP($AG96,$AL$4:$AS$15,5)+($AH$10*VLOOKUP(D96,GRITable,2))</f>
        <v>#VALUE!</v>
      </c>
      <c r="AR96" s="370" t="e">
        <f aca="false">VLOOKUP($AG96,$AL$4:$AS$15,4)</f>
        <v>#VALUE!</v>
      </c>
      <c r="AS96" s="369" t="e">
        <f aca="false">(AL96+AM96+AN96)</f>
        <v>#VALUE!</v>
      </c>
      <c r="AT96" s="370" t="e">
        <f aca="false">VLOOKUP(D96,CurveTbl,$AK$6)</f>
        <v>#VALUE!</v>
      </c>
      <c r="AU96" s="370" t="e">
        <f aca="false">(1+$AT96/2)^(-2*($D96-$G$5)/365.25)*$AF96</f>
        <v>#VALUE!</v>
      </c>
      <c r="AV96" s="506" t="e">
        <f aca="false">ROUND((F96/(1-AR96))-F96,0)*AF96*AH96*AU96</f>
        <v>#VALUE!</v>
      </c>
      <c r="AW96" s="370" t="e">
        <f aca="false">VLOOKUP($D96,CurveTbl,$AK$8)</f>
        <v>#VALUE!</v>
      </c>
      <c r="AX96" s="370" t="e">
        <f aca="false">VLOOKUP($D96,CurveTbl,$AH$7)</f>
        <v>#VALUE!</v>
      </c>
      <c r="AY96" s="370" t="e">
        <f aca="false">VLOOKUP($D96,CurveTbl,$AH$8)</f>
        <v>#VALUE!</v>
      </c>
      <c r="AZ96" s="370"/>
      <c r="BA96" s="507"/>
      <c r="BB96" s="505" t="e">
        <f aca="false">$H96-$BV96</f>
        <v>#VALUE!</v>
      </c>
      <c r="BC96" s="505" t="e">
        <f aca="false">I96-BW96</f>
        <v>#VALUE!</v>
      </c>
      <c r="BD96" s="370" t="e">
        <f aca="false">N96-BX96</f>
        <v>#VALUE!</v>
      </c>
      <c r="BE96" s="370" t="e">
        <f aca="false">O96-BY96</f>
        <v>#VALUE!</v>
      </c>
      <c r="BF96" s="370" t="e">
        <f aca="false">xSPRDOPT($BW96,$BV96,$CG96,0,$BY96,$BX96,$BZ96,$AJ96,1,4)*$CB96</f>
        <v>#NAME?</v>
      </c>
      <c r="BG96" s="370" t="e">
        <f aca="false">xSPRDOPT($BW96,$BV96,$CG96,0,$BY96,$BX96,$BZ96,$AJ96,1,3)*$CB96</f>
        <v>#NAME?</v>
      </c>
      <c r="BH96" s="370" t="e">
        <f aca="false">IF(OR(BF96&lt;&gt;0,BG96&lt;&gt;0),xSPRDOPT($BW96,$BV96,$CG96,0,$BY96,$BX96,$BZ96,$AJ96,1,12)*$CB96,0)</f>
        <v>#NAME?</v>
      </c>
      <c r="BI96" s="370" t="e">
        <f aca="false">xSPRDOPT($BW96,$BV96,$CG96,2*LN(1+CA96/2),$BY96,$BX96,$BZ96,$AJ96,1,9)</f>
        <v>#NAME?</v>
      </c>
      <c r="BJ96" s="370" t="e">
        <f aca="false">xSPRDOPT($BW96,$BV96,$CG96,0,$BY96,$BX96,$BZ96,$AJ96,1,6)*$CB96</f>
        <v>#NAME?</v>
      </c>
      <c r="BK96" s="370" t="e">
        <f aca="false">xSPRDOPT($BW96,$BV96,$CG96,0,$BY96,$BX96,$BZ96,$AJ96,1,5)*$CB96</f>
        <v>#NAME?</v>
      </c>
      <c r="BL96" s="370" t="e">
        <f aca="false">xSPRDOPT(BW96,BV96,CG96,0,BY96,BX96,BZ96,AJ96,1,2)*CB96</f>
        <v>#NAME?</v>
      </c>
      <c r="BM96" s="370" t="e">
        <f aca="false">xSPRDOPT(BW96,BV96,CG96,0,BY96,BX96,BZ96,AJ96,1,1)*CB96</f>
        <v>#NAME?</v>
      </c>
      <c r="BN96" s="370" t="e">
        <f aca="false">IF(AH96&lt;&gt;0,xSPRDOPT($BW96,$BV96,$CG96,2*LN(1+CA96/2),$BY96,$BX96,$BZ96,$AJ96,1,8)+(AJ96/365.25)*CH96/AH96,0)</f>
        <v>#VALUE!</v>
      </c>
      <c r="BO96" s="370" t="e">
        <f aca="false">xSPRDOPT($BW96,$BV96,$CG96,0,$BY96,$BX96,$BZ96,$AJ96,1,0)</f>
        <v>#NAME?</v>
      </c>
      <c r="BP96" s="370"/>
      <c r="BQ96" s="370"/>
      <c r="BR96" s="370"/>
      <c r="BS96" s="370"/>
      <c r="BV96" s="508" t="n">
        <v>3.84971884075882</v>
      </c>
      <c r="BW96" s="369" t="n">
        <v>3.8695</v>
      </c>
      <c r="BX96" s="370" t="n">
        <v>0.242212276821627</v>
      </c>
      <c r="BY96" s="370" t="n">
        <v>0.242212276821627</v>
      </c>
      <c r="BZ96" s="370" t="n">
        <v>0.998698929727469</v>
      </c>
      <c r="CA96" s="370" t="n">
        <v>0.056377688996458</v>
      </c>
      <c r="CB96" s="370" t="n">
        <v>0.706441997314755</v>
      </c>
      <c r="CC96" s="505" t="n">
        <v>-0.019</v>
      </c>
      <c r="CD96" s="505" t="n">
        <v>0.0575</v>
      </c>
      <c r="CE96" s="505" t="n">
        <v>0.195</v>
      </c>
      <c r="CF96" s="505" t="n">
        <v>-0.025</v>
      </c>
      <c r="CG96" s="505" t="n">
        <v>0.0192</v>
      </c>
      <c r="CH96" s="505" t="n">
        <v>2.26661914838439</v>
      </c>
      <c r="CI96" s="505" t="n">
        <v>3.6995</v>
      </c>
    </row>
    <row r="97" customFormat="false" ht="12.75" hidden="false" customHeight="false" outlineLevel="0" collapsed="false">
      <c r="A97" s="500"/>
      <c r="B97" s="500"/>
      <c r="D97" s="361" t="e">
        <f aca="false">D96+AH96</f>
        <v>#VALUE!</v>
      </c>
      <c r="F97" s="362" t="e">
        <f aca="false">VLOOKUP(AG97,$AL$4:$AS$15,2)</f>
        <v>#VALUE!</v>
      </c>
      <c r="G97" s="362" t="e">
        <f aca="false">F97*$AU97</f>
        <v>#VALUE!</v>
      </c>
      <c r="H97" s="363" t="e">
        <f aca="false">(AL97+AM97+AN97)/(1-(AR97))</f>
        <v>#VALUE!</v>
      </c>
      <c r="I97" s="363" t="e">
        <f aca="false">(AL97+AO97+AP97)</f>
        <v>#VALUE!</v>
      </c>
      <c r="K97" s="363" t="e">
        <f aca="false">MAX(((I97-H97)-AQ97)*AU97*AH97,0)</f>
        <v>#VALUE!</v>
      </c>
      <c r="L97" s="501" t="e">
        <f aca="false">MAX(Q97-K97,0)</f>
        <v>#VALUE!</v>
      </c>
      <c r="N97" s="502" t="e">
        <f aca="false">SQRT(($AX97^2*($AH97/2)+$AW97^2*$AI97)/(($AH97/2)+$AI97))</f>
        <v>#VALUE!</v>
      </c>
      <c r="O97" s="502" t="e">
        <f aca="false">SQRT(($AY97^2*($AH97/2)+$AW97^2*$AI97)/(($AH97/2)+$AI97))</f>
        <v>#VALUE!</v>
      </c>
      <c r="P97" s="371" t="e">
        <f aca="false">(VLOOKUP(AI97,CorrelationTwo,2)*(AW97^2)*AI97+VLOOKUP(D97,CorrelationOne,$AK$9)*AX97*AY97*(AH97/2))/((AI97+(AH97/2))*O97*N97)*AF97</f>
        <v>#VALUE!</v>
      </c>
      <c r="Q97" s="501" t="e">
        <f aca="false">xSPRDOPT(I97,H97,AQ97,0,O97,N97,P97,D97-$G$5,1,0)*AH97*AU97</f>
        <v>#VALUE!</v>
      </c>
      <c r="R97" s="501"/>
      <c r="S97" s="365" t="e">
        <f aca="false">xSPRDOPT(I97,H97,AQ97,AT97,O97,N97,P97,D97-$G$5,1,2)*AF97*(F97/(1-AR97))*AH97</f>
        <v>#VALUE!</v>
      </c>
      <c r="T97" s="365" t="e">
        <f aca="false">xSPRDOPT(I97,H97,AQ97,AT97,O97,N97,P97,D97-$G$5,1,1)*AF97*F97*AH97</f>
        <v>#VALUE!</v>
      </c>
      <c r="U97" s="501"/>
      <c r="V97" s="503" t="e">
        <f aca="false">VLOOKUP($AG97,$AL$4:$AS$15,8)*AH97*AU97</f>
        <v>#VALUE!</v>
      </c>
      <c r="W97" s="503"/>
      <c r="X97" s="504" t="e">
        <f aca="false">((BM97*BC97)+(BL97*BB97))*AH97*F97</f>
        <v>#VALUE!</v>
      </c>
      <c r="Y97" s="504" t="e">
        <f aca="false">($F97*$AH97)*((($BG97/2)*($BC97)^2)+(($BF97/2)*($BB97)^2)+($BH97*$BC97*$BB97))</f>
        <v>#VALUE!</v>
      </c>
      <c r="Z97" s="504" t="e">
        <f aca="false">($BI97*$F97*$AH97*($G$5-$BV$5))/365.25</f>
        <v>#VALUE!</v>
      </c>
      <c r="AA97" s="504" t="e">
        <f aca="false">(($BK97*$BE97)+($BJ97*$BD97))*$F97*$AH97*$AF97</f>
        <v>#VALUE!</v>
      </c>
      <c r="AB97" s="504" t="e">
        <f aca="false">BN97*(AT97-CA97)*F97*AH97</f>
        <v>#VALUE!</v>
      </c>
      <c r="AC97" s="504" t="e">
        <f aca="false">BO97*CB97*F97*AH97*CA97*($G$5-$BV$5)/365.25</f>
        <v>#NAME?</v>
      </c>
      <c r="AF97" s="378" t="e">
        <f aca="false">IF(AND(D97&gt;=$G$7,D97&lt;=$G$8),1,0)</f>
        <v>#VALUE!</v>
      </c>
      <c r="AG97" s="378" t="e">
        <f aca="false">MONTH(D97)</f>
        <v>#VALUE!</v>
      </c>
      <c r="AH97" s="378" t="e">
        <f aca="false">(EOMONTH(D97,0)-EOMONTH(D97-DAY(D97),0))*AF97</f>
        <v>#VALUE!</v>
      </c>
      <c r="AI97" s="378" t="e">
        <f aca="false">AI96+AH96</f>
        <v>#VALUE!</v>
      </c>
      <c r="AJ97" s="378" t="e">
        <f aca="false">D97-$BV$5</f>
        <v>#VALUE!</v>
      </c>
      <c r="AL97" s="369" t="e">
        <f aca="false">VLOOKUP($D97,CurveTbl,$AK$4)</f>
        <v>#VALUE!</v>
      </c>
      <c r="AM97" s="505" t="e">
        <f aca="false">VLOOKUP($D97,CurveTbl,$AH$3)</f>
        <v>#VALUE!</v>
      </c>
      <c r="AN97" s="505" t="e">
        <f aca="false">VLOOKUP($D97,CurveTbl,$AH$4)+VLOOKUP($AG97,$AL$3:$AS$15,6)</f>
        <v>#VALUE!</v>
      </c>
      <c r="AO97" s="505" t="e">
        <f aca="false">VLOOKUP($D97,CurveTbl,$AH$5)</f>
        <v>#VALUE!</v>
      </c>
      <c r="AP97" s="505" t="e">
        <f aca="false">VLOOKUP($D97,CurveTbl,$AH$6)+VLOOKUP($AG97,$AL$3:$AS$15,7)</f>
        <v>#VALUE!</v>
      </c>
      <c r="AQ97" s="369" t="e">
        <f aca="false">VLOOKUP($AG97,$AL$4:$AS$15,3)+VLOOKUP($AG97,$AL$4:$AS$15,5)+($AH$10*VLOOKUP(D97,GRITable,2))</f>
        <v>#VALUE!</v>
      </c>
      <c r="AR97" s="370" t="e">
        <f aca="false">VLOOKUP($AG97,$AL$4:$AS$15,4)</f>
        <v>#VALUE!</v>
      </c>
      <c r="AS97" s="369" t="e">
        <f aca="false">(AL97+AM97+AN97)</f>
        <v>#VALUE!</v>
      </c>
      <c r="AT97" s="370" t="e">
        <f aca="false">VLOOKUP(D97,CurveTbl,$AK$6)</f>
        <v>#VALUE!</v>
      </c>
      <c r="AU97" s="370" t="e">
        <f aca="false">(1+$AT97/2)^(-2*($D97-$G$5)/365.25)*$AF97</f>
        <v>#VALUE!</v>
      </c>
      <c r="AV97" s="506" t="e">
        <f aca="false">ROUND((F97/(1-AR97))-F97,0)*AF97*AH97*AU97</f>
        <v>#VALUE!</v>
      </c>
      <c r="AW97" s="370" t="e">
        <f aca="false">VLOOKUP($D97,CurveTbl,$AK$8)</f>
        <v>#VALUE!</v>
      </c>
      <c r="AX97" s="370" t="e">
        <f aca="false">VLOOKUP($D97,CurveTbl,$AH$7)</f>
        <v>#VALUE!</v>
      </c>
      <c r="AY97" s="370" t="e">
        <f aca="false">VLOOKUP($D97,CurveTbl,$AH$8)</f>
        <v>#VALUE!</v>
      </c>
      <c r="AZ97" s="370"/>
      <c r="BA97" s="507"/>
      <c r="BB97" s="505" t="e">
        <f aca="false">$H97-$BV97</f>
        <v>#VALUE!</v>
      </c>
      <c r="BC97" s="505" t="e">
        <f aca="false">I97-BW97</f>
        <v>#VALUE!</v>
      </c>
      <c r="BD97" s="370" t="e">
        <f aca="false">N97-BX97</f>
        <v>#VALUE!</v>
      </c>
      <c r="BE97" s="370" t="e">
        <f aca="false">O97-BY97</f>
        <v>#VALUE!</v>
      </c>
      <c r="BF97" s="370" t="e">
        <f aca="false">xSPRDOPT($BW97,$BV97,$CG97,0,$BY97,$BX97,$BZ97,$AJ97,1,4)*$CB97</f>
        <v>#NAME?</v>
      </c>
      <c r="BG97" s="370" t="e">
        <f aca="false">xSPRDOPT($BW97,$BV97,$CG97,0,$BY97,$BX97,$BZ97,$AJ97,1,3)*$CB97</f>
        <v>#NAME?</v>
      </c>
      <c r="BH97" s="370" t="e">
        <f aca="false">IF(OR(BF97&lt;&gt;0,BG97&lt;&gt;0),xSPRDOPT($BW97,$BV97,$CG97,0,$BY97,$BX97,$BZ97,$AJ97,1,12)*$CB97,0)</f>
        <v>#NAME?</v>
      </c>
      <c r="BI97" s="370" t="e">
        <f aca="false">xSPRDOPT($BW97,$BV97,$CG97,2*LN(1+CA97/2),$BY97,$BX97,$BZ97,$AJ97,1,9)</f>
        <v>#NAME?</v>
      </c>
      <c r="BJ97" s="370" t="e">
        <f aca="false">xSPRDOPT($BW97,$BV97,$CG97,0,$BY97,$BX97,$BZ97,$AJ97,1,6)*$CB97</f>
        <v>#NAME?</v>
      </c>
      <c r="BK97" s="370" t="e">
        <f aca="false">xSPRDOPT($BW97,$BV97,$CG97,0,$BY97,$BX97,$BZ97,$AJ97,1,5)*$CB97</f>
        <v>#NAME?</v>
      </c>
      <c r="BL97" s="370" t="e">
        <f aca="false">xSPRDOPT(BW97,BV97,CG97,0,BY97,BX97,BZ97,AJ97,1,2)*CB97</f>
        <v>#NAME?</v>
      </c>
      <c r="BM97" s="370" t="e">
        <f aca="false">xSPRDOPT(BW97,BV97,CG97,0,BY97,BX97,BZ97,AJ97,1,1)*CB97</f>
        <v>#NAME?</v>
      </c>
      <c r="BN97" s="370" t="e">
        <f aca="false">IF(AH97&lt;&gt;0,xSPRDOPT($BW97,$BV97,$CG97,2*LN(1+CA97/2),$BY97,$BX97,$BZ97,$AJ97,1,8)+(AJ97/365.25)*CH97/AH97,0)</f>
        <v>#VALUE!</v>
      </c>
      <c r="BO97" s="370" t="e">
        <f aca="false">xSPRDOPT($BW97,$BV97,$CG97,0,$BY97,$BX97,$BZ97,$AJ97,1,0)</f>
        <v>#NAME?</v>
      </c>
      <c r="BP97" s="370"/>
      <c r="BQ97" s="370"/>
      <c r="BR97" s="370"/>
      <c r="BS97" s="370"/>
      <c r="BV97" s="508" t="n">
        <v>3.6591896846485</v>
      </c>
      <c r="BW97" s="369" t="n">
        <v>3.6345</v>
      </c>
      <c r="BX97" s="370" t="n">
        <v>0.231503677041643</v>
      </c>
      <c r="BY97" s="370" t="n">
        <v>0.232097674382066</v>
      </c>
      <c r="BZ97" s="370" t="n">
        <v>0.999418421412658</v>
      </c>
      <c r="CA97" s="370" t="n">
        <v>0.0565617051963172</v>
      </c>
      <c r="CB97" s="370" t="n">
        <v>0.702319574274981</v>
      </c>
      <c r="CC97" s="505" t="n">
        <v>-0.019</v>
      </c>
      <c r="CD97" s="505" t="n">
        <v>0.0575</v>
      </c>
      <c r="CE97" s="505" t="n">
        <v>0.145</v>
      </c>
      <c r="CF97" s="505" t="n">
        <v>-0.025</v>
      </c>
      <c r="CG97" s="505" t="n">
        <v>0.0192</v>
      </c>
      <c r="CH97" s="505" t="n">
        <v>2.18070227812382</v>
      </c>
      <c r="CI97" s="505" t="n">
        <v>3.5145</v>
      </c>
    </row>
    <row r="98" customFormat="false" ht="12.75" hidden="false" customHeight="false" outlineLevel="0" collapsed="false">
      <c r="A98" s="500"/>
      <c r="B98" s="500"/>
      <c r="D98" s="361" t="e">
        <f aca="false">D97+AH97</f>
        <v>#VALUE!</v>
      </c>
      <c r="F98" s="362" t="e">
        <f aca="false">VLOOKUP(AG98,$AL$4:$AS$15,2)</f>
        <v>#VALUE!</v>
      </c>
      <c r="G98" s="362" t="e">
        <f aca="false">F98*$AU98</f>
        <v>#VALUE!</v>
      </c>
      <c r="H98" s="363" t="e">
        <f aca="false">(AL98+AM98+AN98)/(1-(AR98))</f>
        <v>#VALUE!</v>
      </c>
      <c r="I98" s="363" t="e">
        <f aca="false">(AL98+AO98+AP98)</f>
        <v>#VALUE!</v>
      </c>
      <c r="K98" s="363" t="e">
        <f aca="false">MAX(((I98-H98)-AQ98)*AU98*AH98,0)</f>
        <v>#VALUE!</v>
      </c>
      <c r="L98" s="501" t="e">
        <f aca="false">MAX(Q98-K98,0)</f>
        <v>#VALUE!</v>
      </c>
      <c r="N98" s="502" t="e">
        <f aca="false">SQRT(($AX98^2*($AH98/2)+$AW98^2*$AI98)/(($AH98/2)+$AI98))</f>
        <v>#VALUE!</v>
      </c>
      <c r="O98" s="502" t="e">
        <f aca="false">SQRT(($AY98^2*($AH98/2)+$AW98^2*$AI98)/(($AH98/2)+$AI98))</f>
        <v>#VALUE!</v>
      </c>
      <c r="P98" s="371" t="e">
        <f aca="false">(VLOOKUP(AI98,CorrelationTwo,2)*(AW98^2)*AI98+VLOOKUP(D98,CorrelationOne,$AK$9)*AX98*AY98*(AH98/2))/((AI98+(AH98/2))*O98*N98)*AF98</f>
        <v>#VALUE!</v>
      </c>
      <c r="Q98" s="501" t="e">
        <f aca="false">xSPRDOPT(I98,H98,AQ98,0,O98,N98,P98,D98-$G$5,1,0)*AH98*AU98</f>
        <v>#VALUE!</v>
      </c>
      <c r="R98" s="501"/>
      <c r="S98" s="365" t="e">
        <f aca="false">xSPRDOPT(I98,H98,AQ98,AT98,O98,N98,P98,D98-$G$5,1,2)*AF98*(F98/(1-AR98))*AH98</f>
        <v>#VALUE!</v>
      </c>
      <c r="T98" s="365" t="e">
        <f aca="false">xSPRDOPT(I98,H98,AQ98,AT98,O98,N98,P98,D98-$G$5,1,1)*AF98*F98*AH98</f>
        <v>#VALUE!</v>
      </c>
      <c r="U98" s="501"/>
      <c r="V98" s="503" t="e">
        <f aca="false">VLOOKUP($AG98,$AL$4:$AS$15,8)*AH98*AU98</f>
        <v>#VALUE!</v>
      </c>
      <c r="W98" s="503"/>
      <c r="X98" s="504" t="e">
        <f aca="false">((BM98*BC98)+(BL98*BB98))*AH98*F98</f>
        <v>#VALUE!</v>
      </c>
      <c r="Y98" s="504" t="e">
        <f aca="false">($F98*$AH98)*((($BG98/2)*($BC98)^2)+(($BF98/2)*($BB98)^2)+($BH98*$BC98*$BB98))</f>
        <v>#VALUE!</v>
      </c>
      <c r="Z98" s="504" t="e">
        <f aca="false">($BI98*$F98*$AH98*($G$5-$BV$5))/365.25</f>
        <v>#VALUE!</v>
      </c>
      <c r="AA98" s="504" t="e">
        <f aca="false">(($BK98*$BE98)+($BJ98*$BD98))*$F98*$AH98*$AF98</f>
        <v>#VALUE!</v>
      </c>
      <c r="AB98" s="504" t="e">
        <f aca="false">BN98*(AT98-CA98)*F98*AH98</f>
        <v>#VALUE!</v>
      </c>
      <c r="AC98" s="504" t="e">
        <f aca="false">BO98*CB98*F98*AH98*CA98*($G$5-$BV$5)/365.25</f>
        <v>#NAME?</v>
      </c>
      <c r="AF98" s="378" t="e">
        <f aca="false">IF(AND(D98&gt;=$G$7,D98&lt;=$G$8),1,0)</f>
        <v>#VALUE!</v>
      </c>
      <c r="AG98" s="378" t="e">
        <f aca="false">MONTH(D98)</f>
        <v>#VALUE!</v>
      </c>
      <c r="AH98" s="378" t="e">
        <f aca="false">(EOMONTH(D98,0)-EOMONTH(D98-DAY(D98),0))*AF98</f>
        <v>#VALUE!</v>
      </c>
      <c r="AI98" s="378" t="e">
        <f aca="false">AI97+AH97</f>
        <v>#VALUE!</v>
      </c>
      <c r="AJ98" s="378" t="e">
        <f aca="false">D98-$BV$5</f>
        <v>#VALUE!</v>
      </c>
      <c r="AL98" s="369" t="e">
        <f aca="false">VLOOKUP($D98,CurveTbl,$AK$4)</f>
        <v>#VALUE!</v>
      </c>
      <c r="AM98" s="505" t="e">
        <f aca="false">VLOOKUP($D98,CurveTbl,$AH$3)</f>
        <v>#VALUE!</v>
      </c>
      <c r="AN98" s="505" t="e">
        <f aca="false">VLOOKUP($D98,CurveTbl,$AH$4)+VLOOKUP($AG98,$AL$3:$AS$15,6)</f>
        <v>#VALUE!</v>
      </c>
      <c r="AO98" s="505" t="e">
        <f aca="false">VLOOKUP($D98,CurveTbl,$AH$5)</f>
        <v>#VALUE!</v>
      </c>
      <c r="AP98" s="505" t="e">
        <f aca="false">VLOOKUP($D98,CurveTbl,$AH$6)+VLOOKUP($AG98,$AL$3:$AS$15,7)</f>
        <v>#VALUE!</v>
      </c>
      <c r="AQ98" s="369" t="e">
        <f aca="false">VLOOKUP($AG98,$AL$4:$AS$15,3)+VLOOKUP($AG98,$AL$4:$AS$15,5)+($AH$10*VLOOKUP(D98,GRITable,2))</f>
        <v>#VALUE!</v>
      </c>
      <c r="AR98" s="370" t="e">
        <f aca="false">VLOOKUP($AG98,$AL$4:$AS$15,4)</f>
        <v>#VALUE!</v>
      </c>
      <c r="AS98" s="369" t="e">
        <f aca="false">(AL98+AM98+AN98)</f>
        <v>#VALUE!</v>
      </c>
      <c r="AT98" s="370" t="e">
        <f aca="false">VLOOKUP(D98,CurveTbl,$AK$6)</f>
        <v>#VALUE!</v>
      </c>
      <c r="AU98" s="370" t="e">
        <f aca="false">(1+$AT98/2)^(-2*($D98-$G$5)/365.25)*$AF98</f>
        <v>#VALUE!</v>
      </c>
      <c r="AV98" s="506" t="e">
        <f aca="false">ROUND((F98/(1-AR98))-F98,0)*AF98*AH98*AU98</f>
        <v>#VALUE!</v>
      </c>
      <c r="AW98" s="370" t="e">
        <f aca="false">VLOOKUP($D98,CurveTbl,$AK$8)</f>
        <v>#VALUE!</v>
      </c>
      <c r="AX98" s="370" t="e">
        <f aca="false">VLOOKUP($D98,CurveTbl,$AH$7)</f>
        <v>#VALUE!</v>
      </c>
      <c r="AY98" s="370" t="e">
        <f aca="false">VLOOKUP($D98,CurveTbl,$AH$8)</f>
        <v>#VALUE!</v>
      </c>
      <c r="AZ98" s="370"/>
      <c r="BA98" s="507"/>
      <c r="BB98" s="505" t="e">
        <f aca="false">$H98-$BV98</f>
        <v>#VALUE!</v>
      </c>
      <c r="BC98" s="505" t="e">
        <f aca="false">I98-BW98</f>
        <v>#VALUE!</v>
      </c>
      <c r="BD98" s="370" t="e">
        <f aca="false">N98-BX98</f>
        <v>#VALUE!</v>
      </c>
      <c r="BE98" s="370" t="e">
        <f aca="false">O98-BY98</f>
        <v>#VALUE!</v>
      </c>
      <c r="BF98" s="370" t="e">
        <f aca="false">xSPRDOPT($BW98,$BV98,$CG98,0,$BY98,$BX98,$BZ98,$AJ98,1,4)*$CB98</f>
        <v>#NAME?</v>
      </c>
      <c r="BG98" s="370" t="e">
        <f aca="false">xSPRDOPT($BW98,$BV98,$CG98,0,$BY98,$BX98,$BZ98,$AJ98,1,3)*$CB98</f>
        <v>#NAME?</v>
      </c>
      <c r="BH98" s="370" t="e">
        <f aca="false">IF(OR(BF98&lt;&gt;0,BG98&lt;&gt;0),xSPRDOPT($BW98,$BV98,$CG98,0,$BY98,$BX98,$BZ98,$AJ98,1,12)*$CB98,0)</f>
        <v>#NAME?</v>
      </c>
      <c r="BI98" s="370" t="e">
        <f aca="false">xSPRDOPT($BW98,$BV98,$CG98,2*LN(1+CA98/2),$BY98,$BX98,$BZ98,$AJ98,1,9)</f>
        <v>#NAME?</v>
      </c>
      <c r="BJ98" s="370" t="e">
        <f aca="false">xSPRDOPT($BW98,$BV98,$CG98,0,$BY98,$BX98,$BZ98,$AJ98,1,6)*$CB98</f>
        <v>#NAME?</v>
      </c>
      <c r="BK98" s="370" t="e">
        <f aca="false">xSPRDOPT($BW98,$BV98,$CG98,0,$BY98,$BX98,$BZ98,$AJ98,1,5)*$CB98</f>
        <v>#NAME?</v>
      </c>
      <c r="BL98" s="370" t="e">
        <f aca="false">xSPRDOPT(BW98,BV98,CG98,0,BY98,BX98,BZ98,AJ98,1,2)*CB98</f>
        <v>#NAME?</v>
      </c>
      <c r="BM98" s="370" t="e">
        <f aca="false">xSPRDOPT(BW98,BV98,CG98,0,BY98,BX98,BZ98,AJ98,1,1)*CB98</f>
        <v>#NAME?</v>
      </c>
      <c r="BN98" s="370" t="e">
        <f aca="false">IF(AH98&lt;&gt;0,xSPRDOPT($BW98,$BV98,$CG98,2*LN(1+CA98/2),$BY98,$BX98,$BZ98,$AJ98,1,8)+(AJ98/365.25)*CH98/AH98,0)</f>
        <v>#VALUE!</v>
      </c>
      <c r="BO98" s="370" t="e">
        <f aca="false">xSPRDOPT($BW98,$BV98,$CG98,0,$BY98,$BX98,$BZ98,$AJ98,1,0)</f>
        <v>#NAME?</v>
      </c>
      <c r="BP98" s="370"/>
      <c r="BQ98" s="370"/>
      <c r="BR98" s="370"/>
      <c r="BS98" s="370"/>
      <c r="BV98" s="508" t="n">
        <v>3.65404024799687</v>
      </c>
      <c r="BW98" s="369" t="n">
        <v>3.6095</v>
      </c>
      <c r="BX98" s="370" t="n">
        <v>0.23213921792683</v>
      </c>
      <c r="BY98" s="370" t="n">
        <v>0.23213921792683</v>
      </c>
      <c r="BZ98" s="370" t="n">
        <v>0.999503345642555</v>
      </c>
      <c r="CA98" s="370" t="n">
        <v>0.0567397854004592</v>
      </c>
      <c r="CB98" s="370" t="n">
        <v>0.698332908048983</v>
      </c>
      <c r="CC98" s="505" t="n">
        <v>-0.019</v>
      </c>
      <c r="CD98" s="505" t="n">
        <v>0.0575</v>
      </c>
      <c r="CE98" s="505" t="n">
        <v>0.125</v>
      </c>
      <c r="CF98" s="505" t="n">
        <v>-0.025</v>
      </c>
      <c r="CG98" s="505" t="n">
        <v>0.0192</v>
      </c>
      <c r="CH98" s="505" t="n">
        <v>2.24060113547516</v>
      </c>
      <c r="CI98" s="505" t="n">
        <v>3.5095</v>
      </c>
    </row>
    <row r="99" customFormat="false" ht="12.75" hidden="false" customHeight="false" outlineLevel="0" collapsed="false">
      <c r="A99" s="500"/>
      <c r="B99" s="500"/>
      <c r="D99" s="361" t="e">
        <f aca="false">D98+AH98</f>
        <v>#VALUE!</v>
      </c>
      <c r="F99" s="362" t="e">
        <f aca="false">VLOOKUP(AG99,$AL$4:$AS$15,2)</f>
        <v>#VALUE!</v>
      </c>
      <c r="G99" s="362" t="e">
        <f aca="false">F99*$AU99</f>
        <v>#VALUE!</v>
      </c>
      <c r="H99" s="363" t="e">
        <f aca="false">(AL99+AM99+AN99)/(1-(AR99))</f>
        <v>#VALUE!</v>
      </c>
      <c r="I99" s="363" t="e">
        <f aca="false">(AL99+AO99+AP99)</f>
        <v>#VALUE!</v>
      </c>
      <c r="K99" s="363" t="e">
        <f aca="false">MAX(((I99-H99)-AQ99)*AU99*AH99,0)</f>
        <v>#VALUE!</v>
      </c>
      <c r="L99" s="501" t="e">
        <f aca="false">MAX(Q99-K99,0)</f>
        <v>#VALUE!</v>
      </c>
      <c r="N99" s="502" t="e">
        <f aca="false">SQRT(($AX99^2*($AH99/2)+$AW99^2*$AI99)/(($AH99/2)+$AI99))</f>
        <v>#VALUE!</v>
      </c>
      <c r="O99" s="502" t="e">
        <f aca="false">SQRT(($AY99^2*($AH99/2)+$AW99^2*$AI99)/(($AH99/2)+$AI99))</f>
        <v>#VALUE!</v>
      </c>
      <c r="P99" s="371" t="e">
        <f aca="false">(VLOOKUP(AI99,CorrelationTwo,2)*(AW99^2)*AI99+VLOOKUP(D99,CorrelationOne,$AK$9)*AX99*AY99*(AH99/2))/((AI99+(AH99/2))*O99*N99)*AF99</f>
        <v>#VALUE!</v>
      </c>
      <c r="Q99" s="501" t="e">
        <f aca="false">xSPRDOPT(I99,H99,AQ99,0,O99,N99,P99,D99-$G$5,1,0)*AH99*AU99</f>
        <v>#VALUE!</v>
      </c>
      <c r="R99" s="501"/>
      <c r="S99" s="365" t="e">
        <f aca="false">xSPRDOPT(I99,H99,AQ99,AT99,O99,N99,P99,D99-$G$5,1,2)*AF99*(F99/(1-AR99))*AH99</f>
        <v>#VALUE!</v>
      </c>
      <c r="T99" s="365" t="e">
        <f aca="false">xSPRDOPT(I99,H99,AQ99,AT99,O99,N99,P99,D99-$G$5,1,1)*AF99*F99*AH99</f>
        <v>#VALUE!</v>
      </c>
      <c r="U99" s="501"/>
      <c r="V99" s="503" t="e">
        <f aca="false">VLOOKUP($AG99,$AL$4:$AS$15,8)*AH99*AU99</f>
        <v>#VALUE!</v>
      </c>
      <c r="W99" s="503"/>
      <c r="X99" s="504" t="e">
        <f aca="false">((BM99*BC99)+(BL99*BB99))*AH99*F99</f>
        <v>#VALUE!</v>
      </c>
      <c r="Y99" s="504" t="e">
        <f aca="false">($F99*$AH99)*((($BG99/2)*($BC99)^2)+(($BF99/2)*($BB99)^2)+($BH99*$BC99*$BB99))</f>
        <v>#VALUE!</v>
      </c>
      <c r="Z99" s="504" t="e">
        <f aca="false">($BI99*$F99*$AH99*($G$5-$BV$5))/365.25</f>
        <v>#VALUE!</v>
      </c>
      <c r="AA99" s="504" t="e">
        <f aca="false">(($BK99*$BE99)+($BJ99*$BD99))*$F99*$AH99*$AF99</f>
        <v>#VALUE!</v>
      </c>
      <c r="AB99" s="504" t="e">
        <f aca="false">BN99*(AT99-CA99)*F99*AH99</f>
        <v>#VALUE!</v>
      </c>
      <c r="AC99" s="504" t="e">
        <f aca="false">BO99*CB99*F99*AH99*CA99*($G$5-$BV$5)/365.25</f>
        <v>#NAME?</v>
      </c>
      <c r="AF99" s="378" t="e">
        <f aca="false">IF(AND(D99&gt;=$G$7,D99&lt;=$G$8),1,0)</f>
        <v>#VALUE!</v>
      </c>
      <c r="AG99" s="378" t="e">
        <f aca="false">MONTH(D99)</f>
        <v>#VALUE!</v>
      </c>
      <c r="AH99" s="378" t="e">
        <f aca="false">(EOMONTH(D99,0)-EOMONTH(D99-DAY(D99),0))*AF99</f>
        <v>#VALUE!</v>
      </c>
      <c r="AI99" s="378" t="e">
        <f aca="false">AI98+AH98</f>
        <v>#VALUE!</v>
      </c>
      <c r="AJ99" s="378" t="e">
        <f aca="false">D99-$BV$5</f>
        <v>#VALUE!</v>
      </c>
      <c r="AL99" s="369" t="e">
        <f aca="false">VLOOKUP($D99,CurveTbl,$AK$4)</f>
        <v>#VALUE!</v>
      </c>
      <c r="AM99" s="505" t="e">
        <f aca="false">VLOOKUP($D99,CurveTbl,$AH$3)</f>
        <v>#VALUE!</v>
      </c>
      <c r="AN99" s="505" t="e">
        <f aca="false">VLOOKUP($D99,CurveTbl,$AH$4)+VLOOKUP($AG99,$AL$3:$AS$15,6)</f>
        <v>#VALUE!</v>
      </c>
      <c r="AO99" s="505" t="e">
        <f aca="false">VLOOKUP($D99,CurveTbl,$AH$5)</f>
        <v>#VALUE!</v>
      </c>
      <c r="AP99" s="505" t="e">
        <f aca="false">VLOOKUP($D99,CurveTbl,$AH$6)+VLOOKUP($AG99,$AL$3:$AS$15,7)</f>
        <v>#VALUE!</v>
      </c>
      <c r="AQ99" s="369" t="e">
        <f aca="false">VLOOKUP($AG99,$AL$4:$AS$15,3)+VLOOKUP($AG99,$AL$4:$AS$15,5)+($AH$10*VLOOKUP(D99,GRITable,2))</f>
        <v>#VALUE!</v>
      </c>
      <c r="AR99" s="370" t="e">
        <f aca="false">VLOOKUP($AG99,$AL$4:$AS$15,4)</f>
        <v>#VALUE!</v>
      </c>
      <c r="AS99" s="369" t="e">
        <f aca="false">(AL99+AM99+AN99)</f>
        <v>#VALUE!</v>
      </c>
      <c r="AT99" s="370" t="e">
        <f aca="false">VLOOKUP(D99,CurveTbl,$AK$6)</f>
        <v>#VALUE!</v>
      </c>
      <c r="AU99" s="370" t="e">
        <f aca="false">(1+$AT99/2)^(-2*($D99-$G$5)/365.25)*$AF99</f>
        <v>#VALUE!</v>
      </c>
      <c r="AV99" s="506" t="e">
        <f aca="false">ROUND((F99/(1-AR99))-F99,0)*AF99*AH99*AU99</f>
        <v>#VALUE!</v>
      </c>
      <c r="AW99" s="370" t="e">
        <f aca="false">VLOOKUP($D99,CurveTbl,$AK$8)</f>
        <v>#VALUE!</v>
      </c>
      <c r="AX99" s="370" t="e">
        <f aca="false">VLOOKUP($D99,CurveTbl,$AH$7)</f>
        <v>#VALUE!</v>
      </c>
      <c r="AY99" s="370" t="e">
        <f aca="false">VLOOKUP($D99,CurveTbl,$AH$8)</f>
        <v>#VALUE!</v>
      </c>
      <c r="AZ99" s="370"/>
      <c r="BA99" s="507"/>
      <c r="BB99" s="505" t="e">
        <f aca="false">$H99-$BV99</f>
        <v>#VALUE!</v>
      </c>
      <c r="BC99" s="505" t="e">
        <f aca="false">I99-BW99</f>
        <v>#VALUE!</v>
      </c>
      <c r="BD99" s="370" t="e">
        <f aca="false">N99-BX99</f>
        <v>#VALUE!</v>
      </c>
      <c r="BE99" s="370" t="e">
        <f aca="false">O99-BY99</f>
        <v>#VALUE!</v>
      </c>
      <c r="BF99" s="370" t="e">
        <f aca="false">xSPRDOPT($BW99,$BV99,$CG99,0,$BY99,$BX99,$BZ99,$AJ99,1,4)*$CB99</f>
        <v>#NAME?</v>
      </c>
      <c r="BG99" s="370" t="e">
        <f aca="false">xSPRDOPT($BW99,$BV99,$CG99,0,$BY99,$BX99,$BZ99,$AJ99,1,3)*$CB99</f>
        <v>#NAME?</v>
      </c>
      <c r="BH99" s="370" t="e">
        <f aca="false">IF(OR(BF99&lt;&gt;0,BG99&lt;&gt;0),xSPRDOPT($BW99,$BV99,$CG99,0,$BY99,$BX99,$BZ99,$AJ99,1,12)*$CB99,0)</f>
        <v>#NAME?</v>
      </c>
      <c r="BI99" s="370" t="e">
        <f aca="false">xSPRDOPT($BW99,$BV99,$CG99,2*LN(1+CA99/2),$BY99,$BX99,$BZ99,$AJ99,1,9)</f>
        <v>#NAME?</v>
      </c>
      <c r="BJ99" s="370" t="e">
        <f aca="false">xSPRDOPT($BW99,$BV99,$CG99,0,$BY99,$BX99,$BZ99,$AJ99,1,6)*$CB99</f>
        <v>#NAME?</v>
      </c>
      <c r="BK99" s="370" t="e">
        <f aca="false">xSPRDOPT($BW99,$BV99,$CG99,0,$BY99,$BX99,$BZ99,$AJ99,1,5)*$CB99</f>
        <v>#NAME?</v>
      </c>
      <c r="BL99" s="370" t="e">
        <f aca="false">xSPRDOPT(BW99,BV99,CG99,0,BY99,BX99,BZ99,AJ99,1,2)*CB99</f>
        <v>#NAME?</v>
      </c>
      <c r="BM99" s="370" t="e">
        <f aca="false">xSPRDOPT(BW99,BV99,CG99,0,BY99,BX99,BZ99,AJ99,1,1)*CB99</f>
        <v>#NAME?</v>
      </c>
      <c r="BN99" s="370" t="e">
        <f aca="false">IF(AH99&lt;&gt;0,xSPRDOPT($BW99,$BV99,$CG99,2*LN(1+CA99/2),$BY99,$BX99,$BZ99,$AJ99,1,8)+(AJ99/365.25)*CH99/AH99,0)</f>
        <v>#VALUE!</v>
      </c>
      <c r="BO99" s="370" t="e">
        <f aca="false">xSPRDOPT($BW99,$BV99,$CG99,0,$BY99,$BX99,$BZ99,$AJ99,1,0)</f>
        <v>#NAME?</v>
      </c>
      <c r="BP99" s="370"/>
      <c r="BQ99" s="370"/>
      <c r="BR99" s="370"/>
      <c r="BS99" s="370"/>
      <c r="BV99" s="508" t="n">
        <v>3.69008630455828</v>
      </c>
      <c r="BW99" s="369" t="n">
        <v>3.6645</v>
      </c>
      <c r="BX99" s="370" t="n">
        <v>0.232044057119428</v>
      </c>
      <c r="BY99" s="370" t="n">
        <v>0.232689316862245</v>
      </c>
      <c r="BZ99" s="370" t="n">
        <v>0.999331551482533</v>
      </c>
      <c r="CA99" s="370" t="n">
        <v>0.056923801622494</v>
      </c>
      <c r="CB99" s="370" t="n">
        <v>0.694216449063231</v>
      </c>
      <c r="CC99" s="505" t="n">
        <v>-0.019</v>
      </c>
      <c r="CD99" s="505" t="n">
        <v>0.0575</v>
      </c>
      <c r="CE99" s="505" t="n">
        <v>0.145</v>
      </c>
      <c r="CF99" s="505" t="n">
        <v>-0.025</v>
      </c>
      <c r="CG99" s="505" t="n">
        <v>0.0192</v>
      </c>
      <c r="CH99" s="505" t="n">
        <v>2.15554207434133</v>
      </c>
      <c r="CI99" s="505" t="n">
        <v>3.5445</v>
      </c>
    </row>
    <row r="100" customFormat="false" ht="12.75" hidden="false" customHeight="false" outlineLevel="0" collapsed="false">
      <c r="A100" s="500"/>
      <c r="B100" s="500"/>
      <c r="D100" s="361" t="e">
        <f aca="false">D99+AH99</f>
        <v>#VALUE!</v>
      </c>
      <c r="F100" s="362" t="e">
        <f aca="false">VLOOKUP(AG100,$AL$4:$AS$15,2)</f>
        <v>#VALUE!</v>
      </c>
      <c r="G100" s="362" t="e">
        <f aca="false">F100*$AU100</f>
        <v>#VALUE!</v>
      </c>
      <c r="H100" s="363" t="e">
        <f aca="false">(AL100+AM100+AN100)/(1-(AR100))</f>
        <v>#VALUE!</v>
      </c>
      <c r="I100" s="363" t="e">
        <f aca="false">(AL100+AO100+AP100)</f>
        <v>#VALUE!</v>
      </c>
      <c r="K100" s="363" t="e">
        <f aca="false">MAX(((I100-H100)-AQ100)*AU100*AH100,0)</f>
        <v>#VALUE!</v>
      </c>
      <c r="L100" s="501" t="e">
        <f aca="false">MAX(Q100-K100,0)</f>
        <v>#VALUE!</v>
      </c>
      <c r="N100" s="502" t="e">
        <f aca="false">SQRT(($AX100^2*($AH100/2)+$AW100^2*$AI100)/(($AH100/2)+$AI100))</f>
        <v>#VALUE!</v>
      </c>
      <c r="O100" s="502" t="e">
        <f aca="false">SQRT(($AY100^2*($AH100/2)+$AW100^2*$AI100)/(($AH100/2)+$AI100))</f>
        <v>#VALUE!</v>
      </c>
      <c r="P100" s="371" t="e">
        <f aca="false">(VLOOKUP(AI100,CorrelationTwo,2)*(AW100^2)*AI100+VLOOKUP(D100,CorrelationOne,$AK$9)*AX100*AY100*(AH100/2))/((AI100+(AH100/2))*O100*N100)*AF100</f>
        <v>#VALUE!</v>
      </c>
      <c r="Q100" s="501" t="e">
        <f aca="false">xSPRDOPT(I100,H100,AQ100,0,O100,N100,P100,D100-$G$5,1,0)*AH100*AU100</f>
        <v>#VALUE!</v>
      </c>
      <c r="R100" s="501"/>
      <c r="S100" s="365" t="e">
        <f aca="false">xSPRDOPT(I100,H100,AQ100,AT100,O100,N100,P100,D100-$G$5,1,2)*AF100*(F100/(1-AR100))*AH100</f>
        <v>#VALUE!</v>
      </c>
      <c r="T100" s="365" t="e">
        <f aca="false">xSPRDOPT(I100,H100,AQ100,AT100,O100,N100,P100,D100-$G$5,1,1)*AF100*F100*AH100</f>
        <v>#VALUE!</v>
      </c>
      <c r="U100" s="501"/>
      <c r="V100" s="503" t="e">
        <f aca="false">VLOOKUP($AG100,$AL$4:$AS$15,8)*AH100*AU100</f>
        <v>#VALUE!</v>
      </c>
      <c r="W100" s="503"/>
      <c r="X100" s="504" t="e">
        <f aca="false">((BM100*BC100)+(BL100*BB100))*AH100*F100</f>
        <v>#VALUE!</v>
      </c>
      <c r="Y100" s="504" t="e">
        <f aca="false">($F100*$AH100)*((($BG100/2)*($BC100)^2)+(($BF100/2)*($BB100)^2)+($BH100*$BC100*$BB100))</f>
        <v>#VALUE!</v>
      </c>
      <c r="Z100" s="504" t="e">
        <f aca="false">($BI100*$F100*$AH100*($G$5-$BV$5))/365.25</f>
        <v>#VALUE!</v>
      </c>
      <c r="AA100" s="504" t="e">
        <f aca="false">(($BK100*$BE100)+($BJ100*$BD100))*$F100*$AH100*$AF100</f>
        <v>#VALUE!</v>
      </c>
      <c r="AB100" s="504" t="e">
        <f aca="false">BN100*(AT100-CA100)*F100*AH100</f>
        <v>#VALUE!</v>
      </c>
      <c r="AC100" s="504" t="e">
        <f aca="false">BO100*CB100*F100*AH100*CA100*($G$5-$BV$5)/365.25</f>
        <v>#NAME?</v>
      </c>
      <c r="AF100" s="378" t="e">
        <f aca="false">IF(AND(D100&gt;=$G$7,D100&lt;=$G$8),1,0)</f>
        <v>#VALUE!</v>
      </c>
      <c r="AG100" s="378" t="e">
        <f aca="false">MONTH(D100)</f>
        <v>#VALUE!</v>
      </c>
      <c r="AH100" s="378" t="e">
        <f aca="false">(EOMONTH(D100,0)-EOMONTH(D100-DAY(D100),0))*AF100</f>
        <v>#VALUE!</v>
      </c>
      <c r="AI100" s="378" t="e">
        <f aca="false">AI99+AH99</f>
        <v>#VALUE!</v>
      </c>
      <c r="AJ100" s="378" t="e">
        <f aca="false">D100-$BV$5</f>
        <v>#VALUE!</v>
      </c>
      <c r="AL100" s="369" t="e">
        <f aca="false">VLOOKUP($D100,CurveTbl,$AK$4)</f>
        <v>#VALUE!</v>
      </c>
      <c r="AM100" s="505" t="e">
        <f aca="false">VLOOKUP($D100,CurveTbl,$AH$3)</f>
        <v>#VALUE!</v>
      </c>
      <c r="AN100" s="505" t="e">
        <f aca="false">VLOOKUP($D100,CurveTbl,$AH$4)+VLOOKUP($AG100,$AL$3:$AS$15,6)</f>
        <v>#VALUE!</v>
      </c>
      <c r="AO100" s="505" t="e">
        <f aca="false">VLOOKUP($D100,CurveTbl,$AH$5)</f>
        <v>#VALUE!</v>
      </c>
      <c r="AP100" s="505" t="e">
        <f aca="false">VLOOKUP($D100,CurveTbl,$AH$6)+VLOOKUP($AG100,$AL$3:$AS$15,7)</f>
        <v>#VALUE!</v>
      </c>
      <c r="AQ100" s="369" t="e">
        <f aca="false">VLOOKUP($AG100,$AL$4:$AS$15,3)+VLOOKUP($AG100,$AL$4:$AS$15,5)+($AH$10*VLOOKUP(D100,GRITable,2))</f>
        <v>#VALUE!</v>
      </c>
      <c r="AR100" s="370" t="e">
        <f aca="false">VLOOKUP($AG100,$AL$4:$AS$15,4)</f>
        <v>#VALUE!</v>
      </c>
      <c r="AS100" s="369" t="e">
        <f aca="false">(AL100+AM100+AN100)</f>
        <v>#VALUE!</v>
      </c>
      <c r="AT100" s="370" t="e">
        <f aca="false">VLOOKUP(D100,CurveTbl,$AK$6)</f>
        <v>#VALUE!</v>
      </c>
      <c r="AU100" s="370" t="e">
        <f aca="false">(1+$AT100/2)^(-2*($D100-$G$5)/365.25)*$AF100</f>
        <v>#VALUE!</v>
      </c>
      <c r="AV100" s="506" t="e">
        <f aca="false">ROUND((F100/(1-AR100))-F100,0)*AF100*AH100*AU100</f>
        <v>#VALUE!</v>
      </c>
      <c r="AW100" s="370" t="e">
        <f aca="false">VLOOKUP($D100,CurveTbl,$AK$8)</f>
        <v>#VALUE!</v>
      </c>
      <c r="AX100" s="370" t="e">
        <f aca="false">VLOOKUP($D100,CurveTbl,$AH$7)</f>
        <v>#VALUE!</v>
      </c>
      <c r="AY100" s="370" t="e">
        <f aca="false">VLOOKUP($D100,CurveTbl,$AH$8)</f>
        <v>#VALUE!</v>
      </c>
      <c r="AZ100" s="370"/>
      <c r="BA100" s="507"/>
      <c r="BB100" s="505" t="e">
        <f aca="false">$H100-$BV100</f>
        <v>#VALUE!</v>
      </c>
      <c r="BC100" s="505" t="e">
        <f aca="false">I100-BW100</f>
        <v>#VALUE!</v>
      </c>
      <c r="BD100" s="370" t="e">
        <f aca="false">N100-BX100</f>
        <v>#VALUE!</v>
      </c>
      <c r="BE100" s="370" t="e">
        <f aca="false">O100-BY100</f>
        <v>#VALUE!</v>
      </c>
      <c r="BF100" s="370" t="e">
        <f aca="false">xSPRDOPT($BW100,$BV100,$CG100,0,$BY100,$BX100,$BZ100,$AJ100,1,4)*$CB100</f>
        <v>#NAME?</v>
      </c>
      <c r="BG100" s="370" t="e">
        <f aca="false">xSPRDOPT($BW100,$BV100,$CG100,0,$BY100,$BX100,$BZ100,$AJ100,1,3)*$CB100</f>
        <v>#NAME?</v>
      </c>
      <c r="BH100" s="370" t="e">
        <f aca="false">IF(OR(BF100&lt;&gt;0,BG100&lt;&gt;0),xSPRDOPT($BW100,$BV100,$CG100,0,$BY100,$BX100,$BZ100,$AJ100,1,12)*$CB100,0)</f>
        <v>#NAME?</v>
      </c>
      <c r="BI100" s="370" t="e">
        <f aca="false">xSPRDOPT($BW100,$BV100,$CG100,2*LN(1+CA100/2),$BY100,$BX100,$BZ100,$AJ100,1,9)</f>
        <v>#NAME?</v>
      </c>
      <c r="BJ100" s="370" t="e">
        <f aca="false">xSPRDOPT($BW100,$BV100,$CG100,0,$BY100,$BX100,$BZ100,$AJ100,1,6)*$CB100</f>
        <v>#NAME?</v>
      </c>
      <c r="BK100" s="370" t="e">
        <f aca="false">xSPRDOPT($BW100,$BV100,$CG100,0,$BY100,$BX100,$BZ100,$AJ100,1,5)*$CB100</f>
        <v>#NAME?</v>
      </c>
      <c r="BL100" s="370" t="e">
        <f aca="false">xSPRDOPT(BW100,BV100,CG100,0,BY100,BX100,BZ100,AJ100,1,2)*CB100</f>
        <v>#NAME?</v>
      </c>
      <c r="BM100" s="370" t="e">
        <f aca="false">xSPRDOPT(BW100,BV100,CG100,0,BY100,BX100,BZ100,AJ100,1,1)*CB100</f>
        <v>#NAME?</v>
      </c>
      <c r="BN100" s="370" t="e">
        <f aca="false">IF(AH100&lt;&gt;0,xSPRDOPT($BW100,$BV100,$CG100,2*LN(1+CA100/2),$BY100,$BX100,$BZ100,$AJ100,1,8)+(AJ100/365.25)*CH100/AH100,0)</f>
        <v>#VALUE!</v>
      </c>
      <c r="BO100" s="370" t="e">
        <f aca="false">xSPRDOPT($BW100,$BV100,$CG100,0,$BY100,$BX100,$BZ100,$AJ100,1,0)</f>
        <v>#NAME?</v>
      </c>
      <c r="BP100" s="370"/>
      <c r="BQ100" s="370"/>
      <c r="BR100" s="370"/>
      <c r="BS100" s="370"/>
      <c r="BV100" s="508" t="n">
        <v>3.73128179777132</v>
      </c>
      <c r="BW100" s="369" t="n">
        <v>3.7095</v>
      </c>
      <c r="BX100" s="370" t="n">
        <v>0.232743419397419</v>
      </c>
      <c r="BY100" s="370" t="n">
        <v>0.232743419397419</v>
      </c>
      <c r="BZ100" s="370" t="n">
        <v>0.999405487465758</v>
      </c>
      <c r="CA100" s="370" t="n">
        <v>0.0571018818480948</v>
      </c>
      <c r="CB100" s="370" t="n">
        <v>0.690235992159944</v>
      </c>
      <c r="CC100" s="505" t="n">
        <v>-0.019</v>
      </c>
      <c r="CD100" s="505" t="n">
        <v>0.0575</v>
      </c>
      <c r="CE100" s="505" t="n">
        <v>0.15</v>
      </c>
      <c r="CF100" s="505" t="n">
        <v>-0.025</v>
      </c>
      <c r="CG100" s="505" t="n">
        <v>0.0192</v>
      </c>
      <c r="CH100" s="505" t="n">
        <v>2.21462218084518</v>
      </c>
      <c r="CI100" s="505" t="n">
        <v>3.5845</v>
      </c>
    </row>
    <row r="101" customFormat="false" ht="12.75" hidden="false" customHeight="false" outlineLevel="0" collapsed="false">
      <c r="A101" s="500"/>
      <c r="B101" s="500"/>
      <c r="D101" s="361" t="e">
        <f aca="false">D100+AH100</f>
        <v>#VALUE!</v>
      </c>
      <c r="F101" s="362" t="e">
        <f aca="false">VLOOKUP(AG101,$AL$4:$AS$15,2)</f>
        <v>#VALUE!</v>
      </c>
      <c r="G101" s="362" t="e">
        <f aca="false">F101*$AU101</f>
        <v>#VALUE!</v>
      </c>
      <c r="H101" s="363" t="e">
        <f aca="false">(AL101+AM101+AN101)/(1-(AR101))</f>
        <v>#VALUE!</v>
      </c>
      <c r="I101" s="363" t="e">
        <f aca="false">(AL101+AO101+AP101)</f>
        <v>#VALUE!</v>
      </c>
      <c r="K101" s="363" t="e">
        <f aca="false">MAX(((I101-H101)-AQ101)*AU101*AH101,0)</f>
        <v>#VALUE!</v>
      </c>
      <c r="L101" s="501" t="e">
        <f aca="false">MAX(Q101-K101,0)</f>
        <v>#VALUE!</v>
      </c>
      <c r="N101" s="502" t="e">
        <f aca="false">SQRT(($AX101^2*($AH101/2)+$AW101^2*$AI101)/(($AH101/2)+$AI101))</f>
        <v>#VALUE!</v>
      </c>
      <c r="O101" s="502" t="e">
        <f aca="false">SQRT(($AY101^2*($AH101/2)+$AW101^2*$AI101)/(($AH101/2)+$AI101))</f>
        <v>#VALUE!</v>
      </c>
      <c r="P101" s="371" t="e">
        <f aca="false">(VLOOKUP(AI101,CorrelationTwo,2)*(AW101^2)*AI101+VLOOKUP(D101,CorrelationOne,$AK$9)*AX101*AY101*(AH101/2))/((AI101+(AH101/2))*O101*N101)*AF101</f>
        <v>#VALUE!</v>
      </c>
      <c r="Q101" s="501" t="e">
        <f aca="false">xSPRDOPT(I101,H101,AQ101,0,O101,N101,P101,D101-$G$5,1,0)*AH101*AU101</f>
        <v>#VALUE!</v>
      </c>
      <c r="R101" s="501"/>
      <c r="S101" s="365" t="e">
        <f aca="false">xSPRDOPT(I101,H101,AQ101,AT101,O101,N101,P101,D101-$G$5,1,2)*AF101*(F101/(1-AR101))*AH101</f>
        <v>#VALUE!</v>
      </c>
      <c r="T101" s="365" t="e">
        <f aca="false">xSPRDOPT(I101,H101,AQ101,AT101,O101,N101,P101,D101-$G$5,1,1)*AF101*F101*AH101</f>
        <v>#VALUE!</v>
      </c>
      <c r="U101" s="501"/>
      <c r="V101" s="503" t="e">
        <f aca="false">VLOOKUP($AG101,$AL$4:$AS$15,8)*AH101*AU101</f>
        <v>#VALUE!</v>
      </c>
      <c r="W101" s="503"/>
      <c r="X101" s="504" t="e">
        <f aca="false">((BM101*BC101)+(BL101*BB101))*AH101*F101</f>
        <v>#VALUE!</v>
      </c>
      <c r="Y101" s="504" t="e">
        <f aca="false">($F101*$AH101)*((($BG101/2)*($BC101)^2)+(($BF101/2)*($BB101)^2)+($BH101*$BC101*$BB101))</f>
        <v>#VALUE!</v>
      </c>
      <c r="Z101" s="504" t="e">
        <f aca="false">($BI101*$F101*$AH101*($G$5-$BV$5))/365.25</f>
        <v>#VALUE!</v>
      </c>
      <c r="AA101" s="504" t="e">
        <f aca="false">(($BK101*$BE101)+($BJ101*$BD101))*$F101*$AH101*$AF101</f>
        <v>#VALUE!</v>
      </c>
      <c r="AB101" s="504" t="e">
        <f aca="false">BN101*(AT101-CA101)*F101*AH101</f>
        <v>#VALUE!</v>
      </c>
      <c r="AC101" s="504" t="e">
        <f aca="false">BO101*CB101*F101*AH101*CA101*($G$5-$BV$5)/365.25</f>
        <v>#NAME?</v>
      </c>
      <c r="AF101" s="378" t="e">
        <f aca="false">IF(AND(D101&gt;=$G$7,D101&lt;=$G$8),1,0)</f>
        <v>#VALUE!</v>
      </c>
      <c r="AG101" s="378" t="e">
        <f aca="false">MONTH(D101)</f>
        <v>#VALUE!</v>
      </c>
      <c r="AH101" s="378" t="e">
        <f aca="false">(EOMONTH(D101,0)-EOMONTH(D101-DAY(D101),0))*AF101</f>
        <v>#VALUE!</v>
      </c>
      <c r="AI101" s="378" t="e">
        <f aca="false">AI100+AH100</f>
        <v>#VALUE!</v>
      </c>
      <c r="AJ101" s="378" t="e">
        <f aca="false">D101-$BV$5</f>
        <v>#VALUE!</v>
      </c>
      <c r="AL101" s="369" t="e">
        <f aca="false">VLOOKUP($D101,CurveTbl,$AK$4)</f>
        <v>#VALUE!</v>
      </c>
      <c r="AM101" s="505" t="e">
        <f aca="false">VLOOKUP($D101,CurveTbl,$AH$3)</f>
        <v>#VALUE!</v>
      </c>
      <c r="AN101" s="505" t="e">
        <f aca="false">VLOOKUP($D101,CurveTbl,$AH$4)+VLOOKUP($AG101,$AL$3:$AS$15,6)</f>
        <v>#VALUE!</v>
      </c>
      <c r="AO101" s="505" t="e">
        <f aca="false">VLOOKUP($D101,CurveTbl,$AH$5)</f>
        <v>#VALUE!</v>
      </c>
      <c r="AP101" s="505" t="e">
        <f aca="false">VLOOKUP($D101,CurveTbl,$AH$6)+VLOOKUP($AG101,$AL$3:$AS$15,7)</f>
        <v>#VALUE!</v>
      </c>
      <c r="AQ101" s="369" t="e">
        <f aca="false">VLOOKUP($AG101,$AL$4:$AS$15,3)+VLOOKUP($AG101,$AL$4:$AS$15,5)+($AH$10*VLOOKUP(D101,GRITable,2))</f>
        <v>#VALUE!</v>
      </c>
      <c r="AR101" s="370" t="e">
        <f aca="false">VLOOKUP($AG101,$AL$4:$AS$15,4)</f>
        <v>#VALUE!</v>
      </c>
      <c r="AS101" s="369" t="e">
        <f aca="false">(AL101+AM101+AN101)</f>
        <v>#VALUE!</v>
      </c>
      <c r="AT101" s="370" t="e">
        <f aca="false">VLOOKUP(D101,CurveTbl,$AK$6)</f>
        <v>#VALUE!</v>
      </c>
      <c r="AU101" s="370" t="e">
        <f aca="false">(1+$AT101/2)^(-2*($D101-$G$5)/365.25)*$AF101</f>
        <v>#VALUE!</v>
      </c>
      <c r="AV101" s="506" t="e">
        <f aca="false">ROUND((F101/(1-AR101))-F101,0)*AF101*AH101*AU101</f>
        <v>#VALUE!</v>
      </c>
      <c r="AW101" s="370" t="e">
        <f aca="false">VLOOKUP($D101,CurveTbl,$AK$8)</f>
        <v>#VALUE!</v>
      </c>
      <c r="AX101" s="370" t="e">
        <f aca="false">VLOOKUP($D101,CurveTbl,$AH$7)</f>
        <v>#VALUE!</v>
      </c>
      <c r="AY101" s="370" t="e">
        <f aca="false">VLOOKUP($D101,CurveTbl,$AH$8)</f>
        <v>#VALUE!</v>
      </c>
      <c r="AZ101" s="370"/>
      <c r="BA101" s="507"/>
      <c r="BB101" s="505" t="e">
        <f aca="false">$H101-$BV101</f>
        <v>#VALUE!</v>
      </c>
      <c r="BC101" s="505" t="e">
        <f aca="false">I101-BW101</f>
        <v>#VALUE!</v>
      </c>
      <c r="BD101" s="370" t="e">
        <f aca="false">N101-BX101</f>
        <v>#VALUE!</v>
      </c>
      <c r="BE101" s="370" t="e">
        <f aca="false">O101-BY101</f>
        <v>#VALUE!</v>
      </c>
      <c r="BF101" s="370" t="e">
        <f aca="false">xSPRDOPT($BW101,$BV101,$CG101,0,$BY101,$BX101,$BZ101,$AJ101,1,4)*$CB101</f>
        <v>#NAME?</v>
      </c>
      <c r="BG101" s="370" t="e">
        <f aca="false">xSPRDOPT($BW101,$BV101,$CG101,0,$BY101,$BX101,$BZ101,$AJ101,1,3)*$CB101</f>
        <v>#NAME?</v>
      </c>
      <c r="BH101" s="370" t="e">
        <f aca="false">IF(OR(BF101&lt;&gt;0,BG101&lt;&gt;0),xSPRDOPT($BW101,$BV101,$CG101,0,$BY101,$BX101,$BZ101,$AJ101,1,12)*$CB101,0)</f>
        <v>#NAME?</v>
      </c>
      <c r="BI101" s="370" t="e">
        <f aca="false">xSPRDOPT($BW101,$BV101,$CG101,2*LN(1+CA101/2),$BY101,$BX101,$BZ101,$AJ101,1,9)</f>
        <v>#NAME?</v>
      </c>
      <c r="BJ101" s="370" t="e">
        <f aca="false">xSPRDOPT($BW101,$BV101,$CG101,0,$BY101,$BX101,$BZ101,$AJ101,1,6)*$CB101</f>
        <v>#NAME?</v>
      </c>
      <c r="BK101" s="370" t="e">
        <f aca="false">xSPRDOPT($BW101,$BV101,$CG101,0,$BY101,$BX101,$BZ101,$AJ101,1,5)*$CB101</f>
        <v>#NAME?</v>
      </c>
      <c r="BL101" s="370" t="e">
        <f aca="false">xSPRDOPT(BW101,BV101,CG101,0,BY101,BX101,BZ101,AJ101,1,2)*CB101</f>
        <v>#NAME?</v>
      </c>
      <c r="BM101" s="370" t="e">
        <f aca="false">xSPRDOPT(BW101,BV101,CG101,0,BY101,BX101,BZ101,AJ101,1,1)*CB101</f>
        <v>#NAME?</v>
      </c>
      <c r="BN101" s="370" t="e">
        <f aca="false">IF(AH101&lt;&gt;0,xSPRDOPT($BW101,$BV101,$CG101,2*LN(1+CA101/2),$BY101,$BX101,$BZ101,$AJ101,1,8)+(AJ101/365.25)*CH101/AH101,0)</f>
        <v>#VALUE!</v>
      </c>
      <c r="BO101" s="370" t="e">
        <f aca="false">xSPRDOPT($BW101,$BV101,$CG101,0,$BY101,$BX101,$BZ101,$AJ101,1,0)</f>
        <v>#NAME?</v>
      </c>
      <c r="BP101" s="370"/>
      <c r="BQ101" s="370"/>
      <c r="BR101" s="370"/>
      <c r="BS101" s="370"/>
      <c r="BV101" s="508" t="n">
        <v>3.77247729098437</v>
      </c>
      <c r="BW101" s="369" t="n">
        <v>3.7495</v>
      </c>
      <c r="BX101" s="370" t="n">
        <v>0.233424934400762</v>
      </c>
      <c r="BY101" s="370" t="n">
        <v>0.233424934400762</v>
      </c>
      <c r="BZ101" s="370" t="n">
        <v>0.99929392967758</v>
      </c>
      <c r="CA101" s="370" t="n">
        <v>0.0572858980923008</v>
      </c>
      <c r="CB101" s="370" t="n">
        <v>0.686126398420888</v>
      </c>
      <c r="CC101" s="505" t="n">
        <v>-0.019</v>
      </c>
      <c r="CD101" s="505" t="n">
        <v>0.0575</v>
      </c>
      <c r="CE101" s="505" t="n">
        <v>0.15</v>
      </c>
      <c r="CF101" s="505" t="n">
        <v>-0.025</v>
      </c>
      <c r="CG101" s="505" t="n">
        <v>0.0192</v>
      </c>
      <c r="CH101" s="505" t="n">
        <v>2.20143654933342</v>
      </c>
      <c r="CI101" s="505" t="n">
        <v>3.6245</v>
      </c>
    </row>
    <row r="102" customFormat="false" ht="12.75" hidden="false" customHeight="false" outlineLevel="0" collapsed="false">
      <c r="A102" s="500"/>
      <c r="B102" s="500"/>
      <c r="D102" s="361" t="e">
        <f aca="false">D101+AH101</f>
        <v>#VALUE!</v>
      </c>
      <c r="F102" s="362" t="e">
        <f aca="false">VLOOKUP(AG102,$AL$4:$AS$15,2)</f>
        <v>#VALUE!</v>
      </c>
      <c r="G102" s="362" t="e">
        <f aca="false">F102*$AU102</f>
        <v>#VALUE!</v>
      </c>
      <c r="H102" s="363" t="e">
        <f aca="false">(AL102+AM102+AN102)/(1-(AR102))</f>
        <v>#VALUE!</v>
      </c>
      <c r="I102" s="363" t="e">
        <f aca="false">(AL102+AO102+AP102)</f>
        <v>#VALUE!</v>
      </c>
      <c r="K102" s="363" t="e">
        <f aca="false">MAX(((I102-H102)-AQ102)*AU102*AH102,0)</f>
        <v>#VALUE!</v>
      </c>
      <c r="L102" s="501" t="e">
        <f aca="false">MAX(Q102-K102,0)</f>
        <v>#VALUE!</v>
      </c>
      <c r="N102" s="502" t="e">
        <f aca="false">SQRT(($AX102^2*($AH102/2)+$AW102^2*$AI102)/(($AH102/2)+$AI102))</f>
        <v>#VALUE!</v>
      </c>
      <c r="O102" s="502" t="e">
        <f aca="false">SQRT(($AY102^2*($AH102/2)+$AW102^2*$AI102)/(($AH102/2)+$AI102))</f>
        <v>#VALUE!</v>
      </c>
      <c r="P102" s="371" t="e">
        <f aca="false">(VLOOKUP(AI102,CorrelationTwo,2)*(AW102^2)*AI102+VLOOKUP(D102,CorrelationOne,$AK$9)*AX102*AY102*(AH102/2))/((AI102+(AH102/2))*O102*N102)*AF102</f>
        <v>#VALUE!</v>
      </c>
      <c r="Q102" s="501" t="e">
        <f aca="false">xSPRDOPT(I102,H102,AQ102,0,O102,N102,P102,D102-$G$5,1,0)*AH102*AU102</f>
        <v>#VALUE!</v>
      </c>
      <c r="R102" s="501"/>
      <c r="S102" s="365" t="e">
        <f aca="false">xSPRDOPT(I102,H102,AQ102,AT102,O102,N102,P102,D102-$G$5,1,2)*AF102*(F102/(1-AR102))*AH102</f>
        <v>#VALUE!</v>
      </c>
      <c r="T102" s="365" t="e">
        <f aca="false">xSPRDOPT(I102,H102,AQ102,AT102,O102,N102,P102,D102-$G$5,1,1)*AF102*F102*AH102</f>
        <v>#VALUE!</v>
      </c>
      <c r="U102" s="501"/>
      <c r="V102" s="503" t="e">
        <f aca="false">VLOOKUP($AG102,$AL$4:$AS$15,8)*AH102*AU102</f>
        <v>#VALUE!</v>
      </c>
      <c r="W102" s="503"/>
      <c r="X102" s="504" t="e">
        <f aca="false">((BM102*BC102)+(BL102*BB102))*AH102*F102</f>
        <v>#VALUE!</v>
      </c>
      <c r="Y102" s="504" t="e">
        <f aca="false">($F102*$AH102)*((($BG102/2)*($BC102)^2)+(($BF102/2)*($BB102)^2)+($BH102*$BC102*$BB102))</f>
        <v>#VALUE!</v>
      </c>
      <c r="Z102" s="504" t="e">
        <f aca="false">($BI102*$F102*$AH102*($G$5-$BV$5))/365.25</f>
        <v>#VALUE!</v>
      </c>
      <c r="AA102" s="504" t="e">
        <f aca="false">(($BK102*$BE102)+($BJ102*$BD102))*$F102*$AH102*$AF102</f>
        <v>#VALUE!</v>
      </c>
      <c r="AB102" s="504" t="e">
        <f aca="false">BN102*(AT102-CA102)*F102*AH102</f>
        <v>#VALUE!</v>
      </c>
      <c r="AC102" s="504" t="e">
        <f aca="false">BO102*CB102*F102*AH102*CA102*($G$5-$BV$5)/365.25</f>
        <v>#NAME?</v>
      </c>
      <c r="AF102" s="378" t="e">
        <f aca="false">IF(AND(D102&gt;=$G$7,D102&lt;=$G$8),1,0)</f>
        <v>#VALUE!</v>
      </c>
      <c r="AG102" s="378" t="e">
        <f aca="false">MONTH(D102)</f>
        <v>#VALUE!</v>
      </c>
      <c r="AH102" s="378" t="e">
        <f aca="false">(EOMONTH(D102,0)-EOMONTH(D102-DAY(D102),0))*AF102</f>
        <v>#VALUE!</v>
      </c>
      <c r="AI102" s="378" t="e">
        <f aca="false">AI101+AH101</f>
        <v>#VALUE!</v>
      </c>
      <c r="AJ102" s="378" t="e">
        <f aca="false">D102-$BV$5</f>
        <v>#VALUE!</v>
      </c>
      <c r="AL102" s="369" t="e">
        <f aca="false">VLOOKUP($D102,CurveTbl,$AK$4)</f>
        <v>#VALUE!</v>
      </c>
      <c r="AM102" s="505" t="e">
        <f aca="false">VLOOKUP($D102,CurveTbl,$AH$3)</f>
        <v>#VALUE!</v>
      </c>
      <c r="AN102" s="505" t="e">
        <f aca="false">VLOOKUP($D102,CurveTbl,$AH$4)+VLOOKUP($AG102,$AL$3:$AS$15,6)</f>
        <v>#VALUE!</v>
      </c>
      <c r="AO102" s="505" t="e">
        <f aca="false">VLOOKUP($D102,CurveTbl,$AH$5)</f>
        <v>#VALUE!</v>
      </c>
      <c r="AP102" s="505" t="e">
        <f aca="false">VLOOKUP($D102,CurveTbl,$AH$6)+VLOOKUP($AG102,$AL$3:$AS$15,7)</f>
        <v>#VALUE!</v>
      </c>
      <c r="AQ102" s="369" t="e">
        <f aca="false">VLOOKUP($AG102,$AL$4:$AS$15,3)+VLOOKUP($AG102,$AL$4:$AS$15,5)+($AH$10*VLOOKUP(D102,GRITable,2))</f>
        <v>#VALUE!</v>
      </c>
      <c r="AR102" s="370" t="e">
        <f aca="false">VLOOKUP($AG102,$AL$4:$AS$15,4)</f>
        <v>#VALUE!</v>
      </c>
      <c r="AS102" s="369" t="e">
        <f aca="false">(AL102+AM102+AN102)</f>
        <v>#VALUE!</v>
      </c>
      <c r="AT102" s="370" t="e">
        <f aca="false">VLOOKUP(D102,CurveTbl,$AK$6)</f>
        <v>#VALUE!</v>
      </c>
      <c r="AU102" s="370" t="e">
        <f aca="false">(1+$AT102/2)^(-2*($D102-$G$5)/365.25)*$AF102</f>
        <v>#VALUE!</v>
      </c>
      <c r="AV102" s="506" t="e">
        <f aca="false">ROUND((F102/(1-AR102))-F102,0)*AF102*AH102*AU102</f>
        <v>#VALUE!</v>
      </c>
      <c r="AW102" s="370" t="e">
        <f aca="false">VLOOKUP($D102,CurveTbl,$AK$8)</f>
        <v>#VALUE!</v>
      </c>
      <c r="AX102" s="370" t="e">
        <f aca="false">VLOOKUP($D102,CurveTbl,$AH$7)</f>
        <v>#VALUE!</v>
      </c>
      <c r="AY102" s="370" t="e">
        <f aca="false">VLOOKUP($D102,CurveTbl,$AH$8)</f>
        <v>#VALUE!</v>
      </c>
      <c r="AZ102" s="370"/>
      <c r="BA102" s="507"/>
      <c r="BB102" s="505" t="e">
        <f aca="false">$H102-$BV102</f>
        <v>#VALUE!</v>
      </c>
      <c r="BC102" s="505" t="e">
        <f aca="false">I102-BW102</f>
        <v>#VALUE!</v>
      </c>
      <c r="BD102" s="370" t="e">
        <f aca="false">N102-BX102</f>
        <v>#VALUE!</v>
      </c>
      <c r="BE102" s="370" t="e">
        <f aca="false">O102-BY102</f>
        <v>#VALUE!</v>
      </c>
      <c r="BF102" s="370" t="e">
        <f aca="false">xSPRDOPT($BW102,$BV102,$CG102,0,$BY102,$BX102,$BZ102,$AJ102,1,4)*$CB102</f>
        <v>#NAME?</v>
      </c>
      <c r="BG102" s="370" t="e">
        <f aca="false">xSPRDOPT($BW102,$BV102,$CG102,0,$BY102,$BX102,$BZ102,$AJ102,1,3)*$CB102</f>
        <v>#NAME?</v>
      </c>
      <c r="BH102" s="370" t="e">
        <f aca="false">IF(OR(BF102&lt;&gt;0,BG102&lt;&gt;0),xSPRDOPT($BW102,$BV102,$CG102,0,$BY102,$BX102,$BZ102,$AJ102,1,12)*$CB102,0)</f>
        <v>#NAME?</v>
      </c>
      <c r="BI102" s="370" t="e">
        <f aca="false">xSPRDOPT($BW102,$BV102,$CG102,2*LN(1+CA102/2),$BY102,$BX102,$BZ102,$AJ102,1,9)</f>
        <v>#NAME?</v>
      </c>
      <c r="BJ102" s="370" t="e">
        <f aca="false">xSPRDOPT($BW102,$BV102,$CG102,0,$BY102,$BX102,$BZ102,$AJ102,1,6)*$CB102</f>
        <v>#NAME?</v>
      </c>
      <c r="BK102" s="370" t="e">
        <f aca="false">xSPRDOPT($BW102,$BV102,$CG102,0,$BY102,$BX102,$BZ102,$AJ102,1,5)*$CB102</f>
        <v>#NAME?</v>
      </c>
      <c r="BL102" s="370" t="e">
        <f aca="false">xSPRDOPT(BW102,BV102,CG102,0,BY102,BX102,BZ102,AJ102,1,2)*CB102</f>
        <v>#NAME?</v>
      </c>
      <c r="BM102" s="370" t="e">
        <f aca="false">xSPRDOPT(BW102,BV102,CG102,0,BY102,BX102,BZ102,AJ102,1,1)*CB102</f>
        <v>#NAME?</v>
      </c>
      <c r="BN102" s="370" t="e">
        <f aca="false">IF(AH102&lt;&gt;0,xSPRDOPT($BW102,$BV102,$CG102,2*LN(1+CA102/2),$BY102,$BX102,$BZ102,$AJ102,1,8)+(AJ102/365.25)*CH102/AH102,0)</f>
        <v>#VALUE!</v>
      </c>
      <c r="BO102" s="370" t="e">
        <f aca="false">xSPRDOPT($BW102,$BV102,$CG102,0,$BY102,$BX102,$BZ102,$AJ102,1,0)</f>
        <v>#NAME?</v>
      </c>
      <c r="BP102" s="370"/>
      <c r="BQ102" s="370"/>
      <c r="BR102" s="370"/>
      <c r="BS102" s="370"/>
      <c r="BV102" s="508" t="n">
        <v>3.76732785433274</v>
      </c>
      <c r="BW102" s="369" t="n">
        <v>3.7195</v>
      </c>
      <c r="BX102" s="370" t="n">
        <v>0.233274554609372</v>
      </c>
      <c r="BY102" s="370" t="n">
        <v>0.234022415776565</v>
      </c>
      <c r="BZ102" s="370" t="n">
        <v>0.999131163814058</v>
      </c>
      <c r="CA102" s="370" t="n">
        <v>0.0574699143477724</v>
      </c>
      <c r="CB102" s="370" t="n">
        <v>0.682020634704181</v>
      </c>
      <c r="CC102" s="505" t="n">
        <v>-0.019</v>
      </c>
      <c r="CD102" s="505" t="n">
        <v>0.0575</v>
      </c>
      <c r="CE102" s="505" t="n">
        <v>0.125</v>
      </c>
      <c r="CF102" s="505" t="n">
        <v>-0.025</v>
      </c>
      <c r="CG102" s="505" t="n">
        <v>0.0192</v>
      </c>
      <c r="CH102" s="505" t="n">
        <v>2.11767407075648</v>
      </c>
      <c r="CI102" s="505" t="n">
        <v>3.6195</v>
      </c>
    </row>
    <row r="103" customFormat="false" ht="12.75" hidden="false" customHeight="false" outlineLevel="0" collapsed="false">
      <c r="A103" s="500"/>
      <c r="B103" s="500"/>
      <c r="D103" s="361" t="e">
        <f aca="false">D102+AH102</f>
        <v>#VALUE!</v>
      </c>
      <c r="F103" s="362" t="e">
        <f aca="false">VLOOKUP(AG103,$AL$4:$AS$15,2)</f>
        <v>#VALUE!</v>
      </c>
      <c r="G103" s="362" t="e">
        <f aca="false">F103*$AU103</f>
        <v>#VALUE!</v>
      </c>
      <c r="H103" s="363" t="e">
        <f aca="false">(AL103+AM103+AN103)/(1-(AR103))</f>
        <v>#VALUE!</v>
      </c>
      <c r="I103" s="363" t="e">
        <f aca="false">(AL103+AO103+AP103)</f>
        <v>#VALUE!</v>
      </c>
      <c r="K103" s="363" t="e">
        <f aca="false">MAX(((I103-H103)-AQ103)*AU103*AH103,0)</f>
        <v>#VALUE!</v>
      </c>
      <c r="L103" s="501" t="e">
        <f aca="false">MAX(Q103-K103,0)</f>
        <v>#VALUE!</v>
      </c>
      <c r="N103" s="502" t="e">
        <f aca="false">SQRT(($AX103^2*($AH103/2)+$AW103^2*$AI103)/(($AH103/2)+$AI103))</f>
        <v>#VALUE!</v>
      </c>
      <c r="O103" s="502" t="e">
        <f aca="false">SQRT(($AY103^2*($AH103/2)+$AW103^2*$AI103)/(($AH103/2)+$AI103))</f>
        <v>#VALUE!</v>
      </c>
      <c r="P103" s="371" t="e">
        <f aca="false">(VLOOKUP(AI103,CorrelationTwo,2)*(AW103^2)*AI103+VLOOKUP(D103,CorrelationOne,$AK$9)*AX103*AY103*(AH103/2))/((AI103+(AH103/2))*O103*N103)*AF103</f>
        <v>#VALUE!</v>
      </c>
      <c r="Q103" s="501" t="e">
        <f aca="false">xSPRDOPT(I103,H103,AQ103,0,O103,N103,P103,D103-$G$5,1,0)*AH103*AU103</f>
        <v>#VALUE!</v>
      </c>
      <c r="R103" s="501"/>
      <c r="S103" s="365" t="e">
        <f aca="false">xSPRDOPT(I103,H103,AQ103,AT103,O103,N103,P103,D103-$G$5,1,2)*AF103*(F103/(1-AR103))*AH103</f>
        <v>#VALUE!</v>
      </c>
      <c r="T103" s="365" t="e">
        <f aca="false">xSPRDOPT(I103,H103,AQ103,AT103,O103,N103,P103,D103-$G$5,1,1)*AF103*F103*AH103</f>
        <v>#VALUE!</v>
      </c>
      <c r="U103" s="501"/>
      <c r="V103" s="503" t="e">
        <f aca="false">VLOOKUP($AG103,$AL$4:$AS$15,8)*AH103*AU103</f>
        <v>#VALUE!</v>
      </c>
      <c r="W103" s="503"/>
      <c r="X103" s="504" t="e">
        <f aca="false">((BM103*BC103)+(BL103*BB103))*AH103*F103</f>
        <v>#VALUE!</v>
      </c>
      <c r="Y103" s="504" t="e">
        <f aca="false">($F103*$AH103)*((($BG103/2)*($BC103)^2)+(($BF103/2)*($BB103)^2)+($BH103*$BC103*$BB103))</f>
        <v>#VALUE!</v>
      </c>
      <c r="Z103" s="504" t="e">
        <f aca="false">($BI103*$F103*$AH103*($G$5-$BV$5))/365.25</f>
        <v>#VALUE!</v>
      </c>
      <c r="AA103" s="504" t="e">
        <f aca="false">(($BK103*$BE103)+($BJ103*$BD103))*$F103*$AH103*$AF103</f>
        <v>#VALUE!</v>
      </c>
      <c r="AB103" s="504" t="e">
        <f aca="false">BN103*(AT103-CA103)*F103*AH103</f>
        <v>#VALUE!</v>
      </c>
      <c r="AC103" s="504" t="e">
        <f aca="false">BO103*CB103*F103*AH103*CA103*($G$5-$BV$5)/365.25</f>
        <v>#NAME?</v>
      </c>
      <c r="AF103" s="378" t="e">
        <f aca="false">IF(AND(D103&gt;=$G$7,D103&lt;=$G$8),1,0)</f>
        <v>#VALUE!</v>
      </c>
      <c r="AG103" s="378" t="e">
        <f aca="false">MONTH(D103)</f>
        <v>#VALUE!</v>
      </c>
      <c r="AH103" s="378" t="e">
        <f aca="false">(EOMONTH(D103,0)-EOMONTH(D103-DAY(D103),0))*AF103</f>
        <v>#VALUE!</v>
      </c>
      <c r="AI103" s="378" t="e">
        <f aca="false">AI102+AH102</f>
        <v>#VALUE!</v>
      </c>
      <c r="AJ103" s="378" t="e">
        <f aca="false">D103-$BV$5</f>
        <v>#VALUE!</v>
      </c>
      <c r="AL103" s="369" t="e">
        <f aca="false">VLOOKUP($D103,CurveTbl,$AK$4)</f>
        <v>#VALUE!</v>
      </c>
      <c r="AM103" s="505" t="e">
        <f aca="false">VLOOKUP($D103,CurveTbl,$AH$3)</f>
        <v>#VALUE!</v>
      </c>
      <c r="AN103" s="505" t="e">
        <f aca="false">VLOOKUP($D103,CurveTbl,$AH$4)+VLOOKUP($AG103,$AL$3:$AS$15,6)</f>
        <v>#VALUE!</v>
      </c>
      <c r="AO103" s="505" t="e">
        <f aca="false">VLOOKUP($D103,CurveTbl,$AH$5)</f>
        <v>#VALUE!</v>
      </c>
      <c r="AP103" s="505" t="e">
        <f aca="false">VLOOKUP($D103,CurveTbl,$AH$6)+VLOOKUP($AG103,$AL$3:$AS$15,7)</f>
        <v>#VALUE!</v>
      </c>
      <c r="AQ103" s="369" t="e">
        <f aca="false">VLOOKUP($AG103,$AL$4:$AS$15,3)+VLOOKUP($AG103,$AL$4:$AS$15,5)+($AH$10*VLOOKUP(D103,GRITable,2))</f>
        <v>#VALUE!</v>
      </c>
      <c r="AR103" s="370" t="e">
        <f aca="false">VLOOKUP($AG103,$AL$4:$AS$15,4)</f>
        <v>#VALUE!</v>
      </c>
      <c r="AS103" s="369" t="e">
        <f aca="false">(AL103+AM103+AN103)</f>
        <v>#VALUE!</v>
      </c>
      <c r="AT103" s="370" t="e">
        <f aca="false">VLOOKUP(D103,CurveTbl,$AK$6)</f>
        <v>#VALUE!</v>
      </c>
      <c r="AU103" s="370" t="e">
        <f aca="false">(1+$AT103/2)^(-2*($D103-$G$5)/365.25)*$AF103</f>
        <v>#VALUE!</v>
      </c>
      <c r="AV103" s="506" t="e">
        <f aca="false">ROUND((F103/(1-AR103))-F103,0)*AF103*AH103*AU103</f>
        <v>#VALUE!</v>
      </c>
      <c r="AW103" s="370" t="e">
        <f aca="false">VLOOKUP($D103,CurveTbl,$AK$8)</f>
        <v>#VALUE!</v>
      </c>
      <c r="AX103" s="370" t="e">
        <f aca="false">VLOOKUP($D103,CurveTbl,$AH$7)</f>
        <v>#VALUE!</v>
      </c>
      <c r="AY103" s="370" t="e">
        <f aca="false">VLOOKUP($D103,CurveTbl,$AH$8)</f>
        <v>#VALUE!</v>
      </c>
      <c r="AZ103" s="370"/>
      <c r="BA103" s="507"/>
      <c r="BB103" s="505" t="e">
        <f aca="false">$H103-$BV103</f>
        <v>#VALUE!</v>
      </c>
      <c r="BC103" s="505" t="e">
        <f aca="false">I103-BW103</f>
        <v>#VALUE!</v>
      </c>
      <c r="BD103" s="370" t="e">
        <f aca="false">N103-BX103</f>
        <v>#VALUE!</v>
      </c>
      <c r="BE103" s="370" t="e">
        <f aca="false">O103-BY103</f>
        <v>#VALUE!</v>
      </c>
      <c r="BF103" s="370" t="e">
        <f aca="false">xSPRDOPT($BW103,$BV103,$CG103,0,$BY103,$BX103,$BZ103,$AJ103,1,4)*$CB103</f>
        <v>#NAME?</v>
      </c>
      <c r="BG103" s="370" t="e">
        <f aca="false">xSPRDOPT($BW103,$BV103,$CG103,0,$BY103,$BX103,$BZ103,$AJ103,1,3)*$CB103</f>
        <v>#NAME?</v>
      </c>
      <c r="BH103" s="370" t="e">
        <f aca="false">IF(OR(BF103&lt;&gt;0,BG103&lt;&gt;0),xSPRDOPT($BW103,$BV103,$CG103,0,$BY103,$BX103,$BZ103,$AJ103,1,12)*$CB103,0)</f>
        <v>#NAME?</v>
      </c>
      <c r="BI103" s="370" t="e">
        <f aca="false">xSPRDOPT($BW103,$BV103,$CG103,2*LN(1+CA103/2),$BY103,$BX103,$BZ103,$AJ103,1,9)</f>
        <v>#NAME?</v>
      </c>
      <c r="BJ103" s="370" t="e">
        <f aca="false">xSPRDOPT($BW103,$BV103,$CG103,0,$BY103,$BX103,$BZ103,$AJ103,1,6)*$CB103</f>
        <v>#NAME?</v>
      </c>
      <c r="BK103" s="370" t="e">
        <f aca="false">xSPRDOPT($BW103,$BV103,$CG103,0,$BY103,$BX103,$BZ103,$AJ103,1,5)*$CB103</f>
        <v>#NAME?</v>
      </c>
      <c r="BL103" s="370" t="e">
        <f aca="false">xSPRDOPT(BW103,BV103,CG103,0,BY103,BX103,BZ103,AJ103,1,2)*CB103</f>
        <v>#NAME?</v>
      </c>
      <c r="BM103" s="370" t="e">
        <f aca="false">xSPRDOPT(BW103,BV103,CG103,0,BY103,BX103,BZ103,AJ103,1,1)*CB103</f>
        <v>#NAME?</v>
      </c>
      <c r="BN103" s="370" t="e">
        <f aca="false">IF(AH103&lt;&gt;0,xSPRDOPT($BW103,$BV103,$CG103,2*LN(1+CA103/2),$BY103,$BX103,$BZ103,$AJ103,1,8)+(AJ103/365.25)*CH103/AH103,0)</f>
        <v>#VALUE!</v>
      </c>
      <c r="BO103" s="370" t="e">
        <f aca="false">xSPRDOPT($BW103,$BV103,$CG103,0,$BY103,$BX103,$BZ103,$AJ103,1,0)</f>
        <v>#NAME?</v>
      </c>
      <c r="BP103" s="370"/>
      <c r="BQ103" s="370"/>
      <c r="BR103" s="370"/>
      <c r="BS103" s="370"/>
      <c r="BV103" s="508" t="n">
        <v>3.79307503759089</v>
      </c>
      <c r="BW103" s="369" t="n">
        <v>3.7645</v>
      </c>
      <c r="BX103" s="370" t="n">
        <v>0.234105025785135</v>
      </c>
      <c r="BY103" s="370" t="n">
        <v>0.234931683128186</v>
      </c>
      <c r="BZ103" s="370" t="n">
        <v>0.998985393882529</v>
      </c>
      <c r="CA103" s="370" t="n">
        <v>0.0576479946057291</v>
      </c>
      <c r="CB103" s="370" t="n">
        <v>0.678051176020484</v>
      </c>
      <c r="CC103" s="505" t="n">
        <v>-0.019</v>
      </c>
      <c r="CD103" s="505" t="n">
        <v>0.0575</v>
      </c>
      <c r="CE103" s="505" t="n">
        <v>0.145</v>
      </c>
      <c r="CF103" s="505" t="n">
        <v>-0.025</v>
      </c>
      <c r="CG103" s="505" t="n">
        <v>0.0192</v>
      </c>
      <c r="CH103" s="505" t="n">
        <v>2.17552719826172</v>
      </c>
      <c r="CI103" s="505" t="n">
        <v>3.6445</v>
      </c>
    </row>
    <row r="104" customFormat="false" ht="12.75" hidden="false" customHeight="false" outlineLevel="0" collapsed="false">
      <c r="A104" s="500"/>
      <c r="B104" s="500"/>
      <c r="D104" s="361" t="e">
        <f aca="false">D103+AH103</f>
        <v>#VALUE!</v>
      </c>
      <c r="F104" s="362" t="e">
        <f aca="false">VLOOKUP(AG104,$AL$4:$AS$15,2)</f>
        <v>#VALUE!</v>
      </c>
      <c r="G104" s="362" t="e">
        <f aca="false">F104*$AU104</f>
        <v>#VALUE!</v>
      </c>
      <c r="H104" s="363" t="e">
        <f aca="false">(AL104+AM104+AN104)/(1-(AR104))</f>
        <v>#VALUE!</v>
      </c>
      <c r="I104" s="363" t="e">
        <f aca="false">(AL104+AO104+AP104)</f>
        <v>#VALUE!</v>
      </c>
      <c r="K104" s="363" t="e">
        <f aca="false">MAX(((I104-H104)-AQ104)*AU104*AH104,0)</f>
        <v>#VALUE!</v>
      </c>
      <c r="L104" s="501" t="e">
        <f aca="false">MAX(Q104-K104,0)</f>
        <v>#VALUE!</v>
      </c>
      <c r="N104" s="502" t="e">
        <f aca="false">SQRT(($AX104^2*($AH104/2)+$AW104^2*$AI104)/(($AH104/2)+$AI104))</f>
        <v>#VALUE!</v>
      </c>
      <c r="O104" s="502" t="e">
        <f aca="false">SQRT(($AY104^2*($AH104/2)+$AW104^2*$AI104)/(($AH104/2)+$AI104))</f>
        <v>#VALUE!</v>
      </c>
      <c r="P104" s="371" t="e">
        <f aca="false">(VLOOKUP(AI104,CorrelationTwo,2)*(AW104^2)*AI104+VLOOKUP(D104,CorrelationOne,$AK$9)*AX104*AY104*(AH104/2))/((AI104+(AH104/2))*O104*N104)*AF104</f>
        <v>#VALUE!</v>
      </c>
      <c r="Q104" s="501" t="e">
        <f aca="false">xSPRDOPT(I104,H104,AQ104,0,O104,N104,P104,D104-$G$5,1,0)*AH104*AU104</f>
        <v>#VALUE!</v>
      </c>
      <c r="R104" s="501"/>
      <c r="S104" s="365" t="e">
        <f aca="false">xSPRDOPT(I104,H104,AQ104,AT104,O104,N104,P104,D104-$G$5,1,2)*AF104*(F104/(1-AR104))*AH104</f>
        <v>#VALUE!</v>
      </c>
      <c r="T104" s="365" t="e">
        <f aca="false">xSPRDOPT(I104,H104,AQ104,AT104,O104,N104,P104,D104-$G$5,1,1)*AF104*F104*AH104</f>
        <v>#VALUE!</v>
      </c>
      <c r="U104" s="501"/>
      <c r="V104" s="503" t="e">
        <f aca="false">VLOOKUP($AG104,$AL$4:$AS$15,8)*AH104*AU104</f>
        <v>#VALUE!</v>
      </c>
      <c r="W104" s="503"/>
      <c r="X104" s="504" t="e">
        <f aca="false">((BM104*BC104)+(BL104*BB104))*AH104*F104</f>
        <v>#VALUE!</v>
      </c>
      <c r="Y104" s="504" t="e">
        <f aca="false">($F104*$AH104)*((($BG104/2)*($BC104)^2)+(($BF104/2)*($BB104)^2)+($BH104*$BC104*$BB104))</f>
        <v>#VALUE!</v>
      </c>
      <c r="Z104" s="504" t="e">
        <f aca="false">($BI104*$F104*$AH104*($G$5-$BV$5))/365.25</f>
        <v>#VALUE!</v>
      </c>
      <c r="AA104" s="504" t="e">
        <f aca="false">(($BK104*$BE104)+($BJ104*$BD104))*$F104*$AH104*$AF104</f>
        <v>#VALUE!</v>
      </c>
      <c r="AB104" s="504" t="e">
        <f aca="false">BN104*(AT104-CA104)*F104*AH104</f>
        <v>#VALUE!</v>
      </c>
      <c r="AC104" s="504" t="e">
        <f aca="false">BO104*CB104*F104*AH104*CA104*($G$5-$BV$5)/365.25</f>
        <v>#NAME?</v>
      </c>
      <c r="AF104" s="378" t="e">
        <f aca="false">IF(AND(D104&gt;=$G$7,D104&lt;=$G$8),1,0)</f>
        <v>#VALUE!</v>
      </c>
      <c r="AG104" s="378" t="e">
        <f aca="false">MONTH(D104)</f>
        <v>#VALUE!</v>
      </c>
      <c r="AH104" s="378" t="e">
        <f aca="false">(EOMONTH(D104,0)-EOMONTH(D104-DAY(D104),0))*AF104</f>
        <v>#VALUE!</v>
      </c>
      <c r="AI104" s="378" t="e">
        <f aca="false">AI103+AH103</f>
        <v>#VALUE!</v>
      </c>
      <c r="AJ104" s="378" t="e">
        <f aca="false">D104-$BV$5</f>
        <v>#VALUE!</v>
      </c>
      <c r="AL104" s="369" t="e">
        <f aca="false">VLOOKUP($D104,CurveTbl,$AK$4)</f>
        <v>#VALUE!</v>
      </c>
      <c r="AM104" s="505" t="e">
        <f aca="false">VLOOKUP($D104,CurveTbl,$AH$3)</f>
        <v>#VALUE!</v>
      </c>
      <c r="AN104" s="505" t="e">
        <f aca="false">VLOOKUP($D104,CurveTbl,$AH$4)+VLOOKUP($AG104,$AL$3:$AS$15,6)</f>
        <v>#VALUE!</v>
      </c>
      <c r="AO104" s="505" t="e">
        <f aca="false">VLOOKUP($D104,CurveTbl,$AH$5)</f>
        <v>#VALUE!</v>
      </c>
      <c r="AP104" s="505" t="e">
        <f aca="false">VLOOKUP($D104,CurveTbl,$AH$6)+VLOOKUP($AG104,$AL$3:$AS$15,7)</f>
        <v>#VALUE!</v>
      </c>
      <c r="AQ104" s="369" t="e">
        <f aca="false">VLOOKUP($AG104,$AL$4:$AS$15,3)+VLOOKUP($AG104,$AL$4:$AS$15,5)+($AH$10*VLOOKUP(D104,GRITable,2))</f>
        <v>#VALUE!</v>
      </c>
      <c r="AR104" s="370" t="e">
        <f aca="false">VLOOKUP($AG104,$AL$4:$AS$15,4)</f>
        <v>#VALUE!</v>
      </c>
      <c r="AS104" s="369" t="e">
        <f aca="false">(AL104+AM104+AN104)</f>
        <v>#VALUE!</v>
      </c>
      <c r="AT104" s="370" t="e">
        <f aca="false">VLOOKUP(D104,CurveTbl,$AK$6)</f>
        <v>#VALUE!</v>
      </c>
      <c r="AU104" s="370" t="e">
        <f aca="false">(1+$AT104/2)^(-2*($D104-$G$5)/365.25)*$AF104</f>
        <v>#VALUE!</v>
      </c>
      <c r="AV104" s="506" t="e">
        <f aca="false">ROUND((F104/(1-AR104))-F104,0)*AF104*AH104*AU104</f>
        <v>#VALUE!</v>
      </c>
      <c r="AW104" s="370" t="e">
        <f aca="false">VLOOKUP($D104,CurveTbl,$AK$8)</f>
        <v>#VALUE!</v>
      </c>
      <c r="AX104" s="370" t="e">
        <f aca="false">VLOOKUP($D104,CurveTbl,$AH$7)</f>
        <v>#VALUE!</v>
      </c>
      <c r="AY104" s="370" t="e">
        <f aca="false">VLOOKUP($D104,CurveTbl,$AH$8)</f>
        <v>#VALUE!</v>
      </c>
      <c r="AZ104" s="370"/>
      <c r="BA104" s="507"/>
      <c r="BB104" s="505" t="e">
        <f aca="false">$H104-$BV104</f>
        <v>#VALUE!</v>
      </c>
      <c r="BC104" s="505" t="e">
        <f aca="false">I104-BW104</f>
        <v>#VALUE!</v>
      </c>
      <c r="BD104" s="370" t="e">
        <f aca="false">N104-BX104</f>
        <v>#VALUE!</v>
      </c>
      <c r="BE104" s="370" t="e">
        <f aca="false">O104-BY104</f>
        <v>#VALUE!</v>
      </c>
      <c r="BF104" s="370" t="e">
        <f aca="false">xSPRDOPT($BW104,$BV104,$CG104,0,$BY104,$BX104,$BZ104,$AJ104,1,4)*$CB104</f>
        <v>#NAME?</v>
      </c>
      <c r="BG104" s="370" t="e">
        <f aca="false">xSPRDOPT($BW104,$BV104,$CG104,0,$BY104,$BX104,$BZ104,$AJ104,1,3)*$CB104</f>
        <v>#NAME?</v>
      </c>
      <c r="BH104" s="370" t="e">
        <f aca="false">IF(OR(BF104&lt;&gt;0,BG104&lt;&gt;0),xSPRDOPT($BW104,$BV104,$CG104,0,$BY104,$BX104,$BZ104,$AJ104,1,12)*$CB104,0)</f>
        <v>#NAME?</v>
      </c>
      <c r="BI104" s="370" t="e">
        <f aca="false">xSPRDOPT($BW104,$BV104,$CG104,2*LN(1+CA104/2),$BY104,$BX104,$BZ104,$AJ104,1,9)</f>
        <v>#NAME?</v>
      </c>
      <c r="BJ104" s="370" t="e">
        <f aca="false">xSPRDOPT($BW104,$BV104,$CG104,0,$BY104,$BX104,$BZ104,$AJ104,1,6)*$CB104</f>
        <v>#NAME?</v>
      </c>
      <c r="BK104" s="370" t="e">
        <f aca="false">xSPRDOPT($BW104,$BV104,$CG104,0,$BY104,$BX104,$BZ104,$AJ104,1,5)*$CB104</f>
        <v>#NAME?</v>
      </c>
      <c r="BL104" s="370" t="e">
        <f aca="false">xSPRDOPT(BW104,BV104,CG104,0,BY104,BX104,BZ104,AJ104,1,2)*CB104</f>
        <v>#NAME?</v>
      </c>
      <c r="BM104" s="370" t="e">
        <f aca="false">xSPRDOPT(BW104,BV104,CG104,0,BY104,BX104,BZ104,AJ104,1,1)*CB104</f>
        <v>#NAME?</v>
      </c>
      <c r="BN104" s="370" t="e">
        <f aca="false">IF(AH104&lt;&gt;0,xSPRDOPT($BW104,$BV104,$CG104,2*LN(1+CA104/2),$BY104,$BX104,$BZ104,$AJ104,1,8)+(AJ104/365.25)*CH104/AH104,0)</f>
        <v>#VALUE!</v>
      </c>
      <c r="BO104" s="370" t="e">
        <f aca="false">xSPRDOPT($BW104,$BV104,$CG104,0,$BY104,$BX104,$BZ104,$AJ104,1,0)</f>
        <v>#NAME?</v>
      </c>
      <c r="BP104" s="370"/>
      <c r="BQ104" s="370"/>
      <c r="BR104" s="370"/>
      <c r="BS104" s="370"/>
      <c r="BV104" s="508" t="n">
        <v>3.94961791180045</v>
      </c>
      <c r="BW104" s="369" t="n">
        <v>3.9665</v>
      </c>
      <c r="BX104" s="370" t="n">
        <v>0.237449376511487</v>
      </c>
      <c r="BY104" s="370" t="n">
        <v>0.238477525668794</v>
      </c>
      <c r="BZ104" s="370" t="n">
        <v>0.998453904193577</v>
      </c>
      <c r="CA104" s="370" t="n">
        <v>0.0578320108833665</v>
      </c>
      <c r="CB104" s="370" t="n">
        <v>0.673953611565774</v>
      </c>
      <c r="CC104" s="505" t="n">
        <v>-0.019</v>
      </c>
      <c r="CD104" s="505" t="n">
        <v>0.0575</v>
      </c>
      <c r="CE104" s="505" t="n">
        <v>0.195</v>
      </c>
      <c r="CF104" s="505" t="n">
        <v>-0.025</v>
      </c>
      <c r="CG104" s="505" t="n">
        <v>0.0192</v>
      </c>
      <c r="CH104" s="505" t="n">
        <v>2.09262596391173</v>
      </c>
      <c r="CI104" s="505" t="n">
        <v>3.7965</v>
      </c>
    </row>
    <row r="105" customFormat="false" ht="12.75" hidden="false" customHeight="false" outlineLevel="0" collapsed="false">
      <c r="A105" s="500"/>
      <c r="B105" s="500"/>
      <c r="D105" s="361" t="e">
        <f aca="false">D104+AH104</f>
        <v>#VALUE!</v>
      </c>
      <c r="F105" s="362" t="e">
        <f aca="false">VLOOKUP(AG105,$AL$4:$AS$15,2)</f>
        <v>#VALUE!</v>
      </c>
      <c r="G105" s="362" t="e">
        <f aca="false">F105*$AU105</f>
        <v>#VALUE!</v>
      </c>
      <c r="H105" s="363" t="e">
        <f aca="false">(AL105+AM105+AN105)/(1-(AR105))</f>
        <v>#VALUE!</v>
      </c>
      <c r="I105" s="363" t="e">
        <f aca="false">(AL105+AO105+AP105)</f>
        <v>#VALUE!</v>
      </c>
      <c r="K105" s="363" t="e">
        <f aca="false">MAX(((I105-H105)-AQ105)*AU105*AH105,0)</f>
        <v>#VALUE!</v>
      </c>
      <c r="L105" s="501" t="e">
        <f aca="false">MAX(Q105-K105,0)</f>
        <v>#VALUE!</v>
      </c>
      <c r="N105" s="502" t="e">
        <f aca="false">SQRT(($AX105^2*($AH105/2)+$AW105^2*$AI105)/(($AH105/2)+$AI105))</f>
        <v>#VALUE!</v>
      </c>
      <c r="O105" s="502" t="e">
        <f aca="false">SQRT(($AY105^2*($AH105/2)+$AW105^2*$AI105)/(($AH105/2)+$AI105))</f>
        <v>#VALUE!</v>
      </c>
      <c r="P105" s="371" t="e">
        <f aca="false">(VLOOKUP(AI105,CorrelationTwo,2)*(AW105^2)*AI105+VLOOKUP(D105,CorrelationOne,$AK$9)*AX105*AY105*(AH105/2))/((AI105+(AH105/2))*O105*N105)*AF105</f>
        <v>#VALUE!</v>
      </c>
      <c r="Q105" s="501" t="e">
        <f aca="false">xSPRDOPT(I105,H105,AQ105,0,O105,N105,P105,D105-$G$5,1,0)*AH105*AU105</f>
        <v>#VALUE!</v>
      </c>
      <c r="R105" s="501"/>
      <c r="S105" s="365" t="e">
        <f aca="false">xSPRDOPT(I105,H105,AQ105,AT105,O105,N105,P105,D105-$G$5,1,2)*AF105*(F105/(1-AR105))*AH105</f>
        <v>#VALUE!</v>
      </c>
      <c r="T105" s="365" t="e">
        <f aca="false">xSPRDOPT(I105,H105,AQ105,AT105,O105,N105,P105,D105-$G$5,1,1)*AF105*F105*AH105</f>
        <v>#VALUE!</v>
      </c>
      <c r="U105" s="501"/>
      <c r="V105" s="503" t="e">
        <f aca="false">VLOOKUP($AG105,$AL$4:$AS$15,8)*AH105*AU105</f>
        <v>#VALUE!</v>
      </c>
      <c r="W105" s="503"/>
      <c r="X105" s="504" t="e">
        <f aca="false">((BM105*BC105)+(BL105*BB105))*AH105*F105</f>
        <v>#VALUE!</v>
      </c>
      <c r="Y105" s="504" t="e">
        <f aca="false">($F105*$AH105)*((($BG105/2)*($BC105)^2)+(($BF105/2)*($BB105)^2)+($BH105*$BC105*$BB105))</f>
        <v>#VALUE!</v>
      </c>
      <c r="Z105" s="504" t="e">
        <f aca="false">($BI105*$F105*$AH105*($G$5-$BV$5))/365.25</f>
        <v>#VALUE!</v>
      </c>
      <c r="AA105" s="504" t="e">
        <f aca="false">(($BK105*$BE105)+($BJ105*$BD105))*$F105*$AH105*$AF105</f>
        <v>#VALUE!</v>
      </c>
      <c r="AB105" s="504" t="e">
        <f aca="false">BN105*(AT105-CA105)*F105*AH105</f>
        <v>#VALUE!</v>
      </c>
      <c r="AC105" s="504" t="e">
        <f aca="false">BO105*CB105*F105*AH105*CA105*($G$5-$BV$5)/365.25</f>
        <v>#NAME?</v>
      </c>
      <c r="AF105" s="378" t="e">
        <f aca="false">IF(AND(D105&gt;=$G$7,D105&lt;=$G$8),1,0)</f>
        <v>#VALUE!</v>
      </c>
      <c r="AG105" s="378" t="e">
        <f aca="false">MONTH(D105)</f>
        <v>#VALUE!</v>
      </c>
      <c r="AH105" s="378" t="e">
        <f aca="false">(EOMONTH(D105,0)-EOMONTH(D105-DAY(D105),0))*AF105</f>
        <v>#VALUE!</v>
      </c>
      <c r="AI105" s="378" t="e">
        <f aca="false">AI104+AH104</f>
        <v>#VALUE!</v>
      </c>
      <c r="AJ105" s="378" t="e">
        <f aca="false">D105-$BV$5</f>
        <v>#VALUE!</v>
      </c>
      <c r="AL105" s="369" t="e">
        <f aca="false">VLOOKUP($D105,CurveTbl,$AK$4)</f>
        <v>#VALUE!</v>
      </c>
      <c r="AM105" s="505" t="e">
        <f aca="false">VLOOKUP($D105,CurveTbl,$AH$3)</f>
        <v>#VALUE!</v>
      </c>
      <c r="AN105" s="505" t="e">
        <f aca="false">VLOOKUP($D105,CurveTbl,$AH$4)+VLOOKUP($AG105,$AL$3:$AS$15,6)</f>
        <v>#VALUE!</v>
      </c>
      <c r="AO105" s="505" t="e">
        <f aca="false">VLOOKUP($D105,CurveTbl,$AH$5)</f>
        <v>#VALUE!</v>
      </c>
      <c r="AP105" s="505" t="e">
        <f aca="false">VLOOKUP($D105,CurveTbl,$AH$6)+VLOOKUP($AG105,$AL$3:$AS$15,7)</f>
        <v>#VALUE!</v>
      </c>
      <c r="AQ105" s="369" t="e">
        <f aca="false">VLOOKUP($AG105,$AL$4:$AS$15,3)+VLOOKUP($AG105,$AL$4:$AS$15,5)+($AH$10*VLOOKUP(D105,GRITable,2))</f>
        <v>#VALUE!</v>
      </c>
      <c r="AR105" s="370" t="e">
        <f aca="false">VLOOKUP($AG105,$AL$4:$AS$15,4)</f>
        <v>#VALUE!</v>
      </c>
      <c r="AS105" s="369" t="e">
        <f aca="false">(AL105+AM105+AN105)</f>
        <v>#VALUE!</v>
      </c>
      <c r="AT105" s="370" t="e">
        <f aca="false">VLOOKUP(D105,CurveTbl,$AK$6)</f>
        <v>#VALUE!</v>
      </c>
      <c r="AU105" s="370" t="e">
        <f aca="false">(1+$AT105/2)^(-2*($D105-$G$5)/365.25)*$AF105</f>
        <v>#VALUE!</v>
      </c>
      <c r="AV105" s="506" t="e">
        <f aca="false">ROUND((F105/(1-AR105))-F105,0)*AF105*AH105*AU105</f>
        <v>#VALUE!</v>
      </c>
      <c r="AW105" s="370" t="e">
        <f aca="false">VLOOKUP($D105,CurveTbl,$AK$8)</f>
        <v>#VALUE!</v>
      </c>
      <c r="AX105" s="370" t="e">
        <f aca="false">VLOOKUP($D105,CurveTbl,$AH$7)</f>
        <v>#VALUE!</v>
      </c>
      <c r="AY105" s="370" t="e">
        <f aca="false">VLOOKUP($D105,CurveTbl,$AH$8)</f>
        <v>#VALUE!</v>
      </c>
      <c r="AZ105" s="370"/>
      <c r="BA105" s="507"/>
      <c r="BB105" s="505" t="e">
        <f aca="false">$H105-$BV105</f>
        <v>#VALUE!</v>
      </c>
      <c r="BC105" s="505" t="e">
        <f aca="false">I105-BW105</f>
        <v>#VALUE!</v>
      </c>
      <c r="BD105" s="370" t="e">
        <f aca="false">N105-BX105</f>
        <v>#VALUE!</v>
      </c>
      <c r="BE105" s="370" t="e">
        <f aca="false">O105-BY105</f>
        <v>#VALUE!</v>
      </c>
      <c r="BF105" s="370" t="e">
        <f aca="false">xSPRDOPT($BW105,$BV105,$CG105,0,$BY105,$BX105,$BZ105,$AJ105,1,4)*$CB105</f>
        <v>#NAME?</v>
      </c>
      <c r="BG105" s="370" t="e">
        <f aca="false">xSPRDOPT($BW105,$BV105,$CG105,0,$BY105,$BX105,$BZ105,$AJ105,1,3)*$CB105</f>
        <v>#NAME?</v>
      </c>
      <c r="BH105" s="370" t="e">
        <f aca="false">IF(OR(BF105&lt;&gt;0,BG105&lt;&gt;0),xSPRDOPT($BW105,$BV105,$CG105,0,$BY105,$BX105,$BZ105,$AJ105,1,12)*$CB105,0)</f>
        <v>#NAME?</v>
      </c>
      <c r="BI105" s="370" t="e">
        <f aca="false">xSPRDOPT($BW105,$BV105,$CG105,2*LN(1+CA105/2),$BY105,$BX105,$BZ105,$AJ105,1,9)</f>
        <v>#NAME?</v>
      </c>
      <c r="BJ105" s="370" t="e">
        <f aca="false">xSPRDOPT($BW105,$BV105,$CG105,0,$BY105,$BX105,$BZ105,$AJ105,1,6)*$CB105</f>
        <v>#NAME?</v>
      </c>
      <c r="BK105" s="370" t="e">
        <f aca="false">xSPRDOPT($BW105,$BV105,$CG105,0,$BY105,$BX105,$BZ105,$AJ105,1,5)*$CB105</f>
        <v>#NAME?</v>
      </c>
      <c r="BL105" s="370" t="e">
        <f aca="false">xSPRDOPT(BW105,BV105,CG105,0,BY105,BX105,BZ105,AJ105,1,2)*CB105</f>
        <v>#NAME?</v>
      </c>
      <c r="BM105" s="370" t="e">
        <f aca="false">xSPRDOPT(BW105,BV105,CG105,0,BY105,BX105,BZ105,AJ105,1,1)*CB105</f>
        <v>#NAME?</v>
      </c>
      <c r="BN105" s="370" t="e">
        <f aca="false">IF(AH105&lt;&gt;0,xSPRDOPT($BW105,$BV105,$CG105,2*LN(1+CA105/2),$BY105,$BX105,$BZ105,$AJ105,1,8)+(AJ105/365.25)*CH105/AH105,0)</f>
        <v>#VALUE!</v>
      </c>
      <c r="BO105" s="370" t="e">
        <f aca="false">xSPRDOPT($BW105,$BV105,$CG105,0,$BY105,$BX105,$BZ105,$AJ105,1,0)</f>
        <v>#NAME?</v>
      </c>
      <c r="BP105" s="370"/>
      <c r="BQ105" s="370"/>
      <c r="BR105" s="370"/>
      <c r="BS105" s="370"/>
      <c r="BV105" s="508" t="n">
        <v>4.09689180003708</v>
      </c>
      <c r="BW105" s="369" t="n">
        <v>4.1295</v>
      </c>
      <c r="BX105" s="370" t="n">
        <v>0.242147712665171</v>
      </c>
      <c r="BY105" s="370" t="n">
        <v>0.243426049249888</v>
      </c>
      <c r="BZ105" s="370" t="n">
        <v>0.997727951429015</v>
      </c>
      <c r="CA105" s="370" t="n">
        <v>0.0580100911627719</v>
      </c>
      <c r="CB105" s="370" t="n">
        <v>0.669992509061986</v>
      </c>
      <c r="CC105" s="505" t="n">
        <v>-0.019</v>
      </c>
      <c r="CD105" s="505" t="n">
        <v>0.0575</v>
      </c>
      <c r="CE105" s="505" t="n">
        <v>0.215</v>
      </c>
      <c r="CF105" s="505" t="n">
        <v>-0.025</v>
      </c>
      <c r="CG105" s="505" t="n">
        <v>0.0192</v>
      </c>
      <c r="CH105" s="505" t="n">
        <v>2.14967096532538</v>
      </c>
      <c r="CI105" s="505" t="n">
        <v>3.9395</v>
      </c>
    </row>
    <row r="106" customFormat="false" ht="12.75" hidden="false" customHeight="false" outlineLevel="0" collapsed="false">
      <c r="A106" s="500"/>
      <c r="B106" s="500"/>
      <c r="D106" s="361" t="e">
        <f aca="false">D105+AH105</f>
        <v>#VALUE!</v>
      </c>
      <c r="F106" s="362" t="e">
        <f aca="false">VLOOKUP(AG106,$AL$4:$AS$15,2)</f>
        <v>#VALUE!</v>
      </c>
      <c r="G106" s="362" t="e">
        <f aca="false">F106*$AU106</f>
        <v>#VALUE!</v>
      </c>
      <c r="H106" s="363" t="e">
        <f aca="false">(AL106+AM106+AN106)/(1-(AR106))</f>
        <v>#VALUE!</v>
      </c>
      <c r="I106" s="363" t="e">
        <f aca="false">(AL106+AO106+AP106)</f>
        <v>#VALUE!</v>
      </c>
      <c r="K106" s="363" t="e">
        <f aca="false">MAX(((I106-H106)-AQ106)*AU106*AH106,0)</f>
        <v>#VALUE!</v>
      </c>
      <c r="L106" s="501" t="e">
        <f aca="false">MAX(Q106-K106,0)</f>
        <v>#VALUE!</v>
      </c>
      <c r="N106" s="502" t="e">
        <f aca="false">SQRT(($AX106^2*($AH106/2)+$AW106^2*$AI106)/(($AH106/2)+$AI106))</f>
        <v>#VALUE!</v>
      </c>
      <c r="O106" s="502" t="e">
        <f aca="false">SQRT(($AY106^2*($AH106/2)+$AW106^2*$AI106)/(($AH106/2)+$AI106))</f>
        <v>#VALUE!</v>
      </c>
      <c r="P106" s="371" t="e">
        <f aca="false">(VLOOKUP(AI106,CorrelationTwo,2)*(AW106^2)*AI106+VLOOKUP(D106,CorrelationOne,$AK$9)*AX106*AY106*(AH106/2))/((AI106+(AH106/2))*O106*N106)*AF106</f>
        <v>#VALUE!</v>
      </c>
      <c r="Q106" s="501" t="e">
        <f aca="false">xSPRDOPT(I106,H106,AQ106,0,O106,N106,P106,D106-$G$5,1,0)*AH106*AU106</f>
        <v>#VALUE!</v>
      </c>
      <c r="R106" s="501"/>
      <c r="S106" s="365" t="e">
        <f aca="false">xSPRDOPT(I106,H106,AQ106,AT106,O106,N106,P106,D106-$G$5,1,2)*AF106*(F106/(1-AR106))*AH106</f>
        <v>#VALUE!</v>
      </c>
      <c r="T106" s="365" t="e">
        <f aca="false">xSPRDOPT(I106,H106,AQ106,AT106,O106,N106,P106,D106-$G$5,1,1)*AF106*F106*AH106</f>
        <v>#VALUE!</v>
      </c>
      <c r="U106" s="501"/>
      <c r="V106" s="503" t="e">
        <f aca="false">VLOOKUP($AG106,$AL$4:$AS$15,8)*AH106*AU106</f>
        <v>#VALUE!</v>
      </c>
      <c r="W106" s="503"/>
      <c r="X106" s="504" t="e">
        <f aca="false">((BM106*BC106)+(BL106*BB106))*AH106*F106</f>
        <v>#VALUE!</v>
      </c>
      <c r="Y106" s="504" t="e">
        <f aca="false">($F106*$AH106)*((($BG106/2)*($BC106)^2)+(($BF106/2)*($BB106)^2)+($BH106*$BC106*$BB106))</f>
        <v>#VALUE!</v>
      </c>
      <c r="Z106" s="504" t="e">
        <f aca="false">($BI106*$F106*$AH106*($G$5-$BV$5))/365.25</f>
        <v>#VALUE!</v>
      </c>
      <c r="AA106" s="504" t="e">
        <f aca="false">(($BK106*$BE106)+($BJ106*$BD106))*$F106*$AH106*$AF106</f>
        <v>#VALUE!</v>
      </c>
      <c r="AB106" s="504" t="e">
        <f aca="false">BN106*(AT106-CA106)*F106*AH106</f>
        <v>#VALUE!</v>
      </c>
      <c r="AC106" s="504" t="e">
        <f aca="false">BO106*CB106*F106*AH106*CA106*($G$5-$BV$5)/365.25</f>
        <v>#NAME?</v>
      </c>
      <c r="AF106" s="378" t="e">
        <f aca="false">IF(AND(D106&gt;=$G$7,D106&lt;=$G$8),1,0)</f>
        <v>#VALUE!</v>
      </c>
      <c r="AG106" s="378" t="e">
        <f aca="false">MONTH(D106)</f>
        <v>#VALUE!</v>
      </c>
      <c r="AH106" s="378" t="e">
        <f aca="false">(EOMONTH(D106,0)-EOMONTH(D106-DAY(D106),0))*AF106</f>
        <v>#VALUE!</v>
      </c>
      <c r="AI106" s="378" t="e">
        <f aca="false">AI105+AH105</f>
        <v>#VALUE!</v>
      </c>
      <c r="AJ106" s="378" t="e">
        <f aca="false">D106-$BV$5</f>
        <v>#VALUE!</v>
      </c>
      <c r="AL106" s="369" t="e">
        <f aca="false">VLOOKUP($D106,CurveTbl,$AK$4)</f>
        <v>#VALUE!</v>
      </c>
      <c r="AM106" s="505" t="e">
        <f aca="false">VLOOKUP($D106,CurveTbl,$AH$3)</f>
        <v>#VALUE!</v>
      </c>
      <c r="AN106" s="505" t="e">
        <f aca="false">VLOOKUP($D106,CurveTbl,$AH$4)+VLOOKUP($AG106,$AL$3:$AS$15,6)</f>
        <v>#VALUE!</v>
      </c>
      <c r="AO106" s="505" t="e">
        <f aca="false">VLOOKUP($D106,CurveTbl,$AH$5)</f>
        <v>#VALUE!</v>
      </c>
      <c r="AP106" s="505" t="e">
        <f aca="false">VLOOKUP($D106,CurveTbl,$AH$6)+VLOOKUP($AG106,$AL$3:$AS$15,7)</f>
        <v>#VALUE!</v>
      </c>
      <c r="AQ106" s="369" t="e">
        <f aca="false">VLOOKUP($AG106,$AL$4:$AS$15,3)+VLOOKUP($AG106,$AL$4:$AS$15,5)+($AH$10*VLOOKUP(D106,GRITable,2))</f>
        <v>#VALUE!</v>
      </c>
      <c r="AR106" s="370" t="e">
        <f aca="false">VLOOKUP($AG106,$AL$4:$AS$15,4)</f>
        <v>#VALUE!</v>
      </c>
      <c r="AS106" s="369" t="e">
        <f aca="false">(AL106+AM106+AN106)</f>
        <v>#VALUE!</v>
      </c>
      <c r="AT106" s="370" t="e">
        <f aca="false">VLOOKUP(D106,CurveTbl,$AK$6)</f>
        <v>#VALUE!</v>
      </c>
      <c r="AU106" s="370" t="e">
        <f aca="false">(1+$AT106/2)^(-2*($D106-$G$5)/365.25)*$AF106</f>
        <v>#VALUE!</v>
      </c>
      <c r="AV106" s="506" t="e">
        <f aca="false">ROUND((F106/(1-AR106))-F106,0)*AF106*AH106*AU106</f>
        <v>#VALUE!</v>
      </c>
      <c r="AW106" s="370" t="e">
        <f aca="false">VLOOKUP($D106,CurveTbl,$AK$8)</f>
        <v>#VALUE!</v>
      </c>
      <c r="AX106" s="370" t="e">
        <f aca="false">VLOOKUP($D106,CurveTbl,$AH$7)</f>
        <v>#VALUE!</v>
      </c>
      <c r="AY106" s="370" t="e">
        <f aca="false">VLOOKUP($D106,CurveTbl,$AH$8)</f>
        <v>#VALUE!</v>
      </c>
      <c r="AZ106" s="370"/>
      <c r="BA106" s="507"/>
      <c r="BB106" s="505" t="e">
        <f aca="false">$H106-$BV106</f>
        <v>#VALUE!</v>
      </c>
      <c r="BC106" s="505" t="e">
        <f aca="false">I106-BW106</f>
        <v>#VALUE!</v>
      </c>
      <c r="BD106" s="370" t="e">
        <f aca="false">N106-BX106</f>
        <v>#VALUE!</v>
      </c>
      <c r="BE106" s="370" t="e">
        <f aca="false">O106-BY106</f>
        <v>#VALUE!</v>
      </c>
      <c r="BF106" s="370" t="e">
        <f aca="false">xSPRDOPT($BW106,$BV106,$CG106,0,$BY106,$BX106,$BZ106,$AJ106,1,4)*$CB106</f>
        <v>#NAME?</v>
      </c>
      <c r="BG106" s="370" t="e">
        <f aca="false">xSPRDOPT($BW106,$BV106,$CG106,0,$BY106,$BX106,$BZ106,$AJ106,1,3)*$CB106</f>
        <v>#NAME?</v>
      </c>
      <c r="BH106" s="370" t="e">
        <f aca="false">IF(OR(BF106&lt;&gt;0,BG106&lt;&gt;0),xSPRDOPT($BW106,$BV106,$CG106,0,$BY106,$BX106,$BZ106,$AJ106,1,12)*$CB106,0)</f>
        <v>#NAME?</v>
      </c>
      <c r="BI106" s="370" t="e">
        <f aca="false">xSPRDOPT($BW106,$BV106,$CG106,2*LN(1+CA106/2),$BY106,$BX106,$BZ106,$AJ106,1,9)</f>
        <v>#NAME?</v>
      </c>
      <c r="BJ106" s="370" t="e">
        <f aca="false">xSPRDOPT($BW106,$BV106,$CG106,0,$BY106,$BX106,$BZ106,$AJ106,1,6)*$CB106</f>
        <v>#NAME?</v>
      </c>
      <c r="BK106" s="370" t="e">
        <f aca="false">xSPRDOPT($BW106,$BV106,$CG106,0,$BY106,$BX106,$BZ106,$AJ106,1,5)*$CB106</f>
        <v>#NAME?</v>
      </c>
      <c r="BL106" s="370" t="e">
        <f aca="false">xSPRDOPT(BW106,BV106,CG106,0,BY106,BX106,BZ106,AJ106,1,2)*CB106</f>
        <v>#NAME?</v>
      </c>
      <c r="BM106" s="370" t="e">
        <f aca="false">xSPRDOPT(BW106,BV106,CG106,0,BY106,BX106,BZ106,AJ106,1,1)*CB106</f>
        <v>#NAME?</v>
      </c>
      <c r="BN106" s="370" t="e">
        <f aca="false">IF(AH106&lt;&gt;0,xSPRDOPT($BW106,$BV106,$CG106,2*LN(1+CA106/2),$BY106,$BX106,$BZ106,$AJ106,1,8)+(AJ106/365.25)*CH106/AH106,0)</f>
        <v>#VALUE!</v>
      </c>
      <c r="BO106" s="370" t="e">
        <f aca="false">xSPRDOPT($BW106,$BV106,$CG106,0,$BY106,$BX106,$BZ106,$AJ106,1,0)</f>
        <v>#NAME?</v>
      </c>
      <c r="BP106" s="370"/>
      <c r="BQ106" s="370"/>
      <c r="BR106" s="370"/>
      <c r="BS106" s="370"/>
      <c r="BV106" s="508" t="n">
        <v>4.15302065953985</v>
      </c>
      <c r="BW106" s="369" t="n">
        <v>4.202</v>
      </c>
      <c r="BX106" s="370" t="n">
        <v>0.242005948234525</v>
      </c>
      <c r="BY106" s="370" t="n">
        <v>0.243269762962636</v>
      </c>
      <c r="BZ106" s="370" t="n">
        <v>0.997752235089491</v>
      </c>
      <c r="CA106" s="370" t="n">
        <v>0.0581602801293144</v>
      </c>
      <c r="CB106" s="370" t="n">
        <v>0.666059185357402</v>
      </c>
      <c r="CC106" s="505" t="n">
        <v>-0.017</v>
      </c>
      <c r="CD106" s="505" t="n">
        <v>0.0575</v>
      </c>
      <c r="CE106" s="505" t="n">
        <v>0.235</v>
      </c>
      <c r="CF106" s="505" t="n">
        <v>-0.025</v>
      </c>
      <c r="CG106" s="505" t="n">
        <v>0.0192</v>
      </c>
      <c r="CH106" s="505" t="n">
        <v>2.13705089621923</v>
      </c>
      <c r="CI106" s="505" t="n">
        <v>3.992</v>
      </c>
    </row>
    <row r="107" customFormat="false" ht="12.75" hidden="false" customHeight="false" outlineLevel="0" collapsed="false">
      <c r="A107" s="500"/>
      <c r="B107" s="500"/>
      <c r="D107" s="361" t="e">
        <f aca="false">D106+AH106</f>
        <v>#VALUE!</v>
      </c>
      <c r="F107" s="362" t="e">
        <f aca="false">VLOOKUP(AG107,$AL$4:$AS$15,2)</f>
        <v>#VALUE!</v>
      </c>
      <c r="G107" s="362" t="e">
        <f aca="false">F107*$AU107</f>
        <v>#VALUE!</v>
      </c>
      <c r="H107" s="363" t="e">
        <f aca="false">(AL107+AM107+AN107)/(1-(AR107))</f>
        <v>#VALUE!</v>
      </c>
      <c r="I107" s="363" t="e">
        <f aca="false">(AL107+AO107+AP107)</f>
        <v>#VALUE!</v>
      </c>
      <c r="K107" s="363" t="e">
        <f aca="false">MAX(((I107-H107)-AQ107)*AU107*AH107,0)</f>
        <v>#VALUE!</v>
      </c>
      <c r="L107" s="501" t="e">
        <f aca="false">MAX(Q107-K107,0)</f>
        <v>#VALUE!</v>
      </c>
      <c r="N107" s="502" t="e">
        <f aca="false">SQRT(($AX107^2*($AH107/2)+$AW107^2*$AI107)/(($AH107/2)+$AI107))</f>
        <v>#VALUE!</v>
      </c>
      <c r="O107" s="502" t="e">
        <f aca="false">SQRT(($AY107^2*($AH107/2)+$AW107^2*$AI107)/(($AH107/2)+$AI107))</f>
        <v>#VALUE!</v>
      </c>
      <c r="P107" s="371" t="e">
        <f aca="false">(VLOOKUP(AI107,CorrelationTwo,2)*(AW107^2)*AI107+VLOOKUP(D107,CorrelationOne,$AK$9)*AX107*AY107*(AH107/2))/((AI107+(AH107/2))*O107*N107)*AF107</f>
        <v>#VALUE!</v>
      </c>
      <c r="Q107" s="501" t="e">
        <f aca="false">xSPRDOPT(I107,H107,AQ107,0,O107,N107,P107,D107-$G$5,1,0)*AH107*AU107</f>
        <v>#VALUE!</v>
      </c>
      <c r="R107" s="501"/>
      <c r="S107" s="365" t="e">
        <f aca="false">xSPRDOPT(I107,H107,AQ107,AT107,O107,N107,P107,D107-$G$5,1,2)*AF107*(F107/(1-AR107))*AH107</f>
        <v>#VALUE!</v>
      </c>
      <c r="T107" s="365" t="e">
        <f aca="false">xSPRDOPT(I107,H107,AQ107,AT107,O107,N107,P107,D107-$G$5,1,1)*AF107*F107*AH107</f>
        <v>#VALUE!</v>
      </c>
      <c r="U107" s="501"/>
      <c r="V107" s="503" t="e">
        <f aca="false">VLOOKUP($AG107,$AL$4:$AS$15,8)*AH107*AU107</f>
        <v>#VALUE!</v>
      </c>
      <c r="W107" s="503"/>
      <c r="X107" s="504" t="e">
        <f aca="false">((BM107*BC107)+(BL107*BB107))*AH107*F107</f>
        <v>#VALUE!</v>
      </c>
      <c r="Y107" s="504" t="e">
        <f aca="false">($F107*$AH107)*((($BG107/2)*($BC107)^2)+(($BF107/2)*($BB107)^2)+($BH107*$BC107*$BB107))</f>
        <v>#VALUE!</v>
      </c>
      <c r="Z107" s="504" t="e">
        <f aca="false">($BI107*$F107*$AH107*($G$5-$BV$5))/365.25</f>
        <v>#VALUE!</v>
      </c>
      <c r="AA107" s="504" t="e">
        <f aca="false">(($BK107*$BE107)+($BJ107*$BD107))*$F107*$AH107*$AF107</f>
        <v>#VALUE!</v>
      </c>
      <c r="AB107" s="504" t="e">
        <f aca="false">BN107*(AT107-CA107)*F107*AH107</f>
        <v>#VALUE!</v>
      </c>
      <c r="AC107" s="504" t="e">
        <f aca="false">BO107*CB107*F107*AH107*CA107*($G$5-$BV$5)/365.25</f>
        <v>#NAME?</v>
      </c>
      <c r="AF107" s="378" t="e">
        <f aca="false">IF(AND(D107&gt;=$G$7,D107&lt;=$G$8),1,0)</f>
        <v>#VALUE!</v>
      </c>
      <c r="AG107" s="378" t="e">
        <f aca="false">MONTH(D107)</f>
        <v>#VALUE!</v>
      </c>
      <c r="AH107" s="378" t="e">
        <f aca="false">(EOMONTH(D107,0)-EOMONTH(D107-DAY(D107),0))*AF107</f>
        <v>#VALUE!</v>
      </c>
      <c r="AI107" s="378" t="e">
        <f aca="false">AI106+AH106</f>
        <v>#VALUE!</v>
      </c>
      <c r="AJ107" s="378" t="e">
        <f aca="false">D107-$BV$5</f>
        <v>#VALUE!</v>
      </c>
      <c r="AL107" s="369" t="e">
        <f aca="false">VLOOKUP($D107,CurveTbl,$AK$4)</f>
        <v>#VALUE!</v>
      </c>
      <c r="AM107" s="505" t="e">
        <f aca="false">VLOOKUP($D107,CurveTbl,$AH$3)</f>
        <v>#VALUE!</v>
      </c>
      <c r="AN107" s="505" t="e">
        <f aca="false">VLOOKUP($D107,CurveTbl,$AH$4)+VLOOKUP($AG107,$AL$3:$AS$15,6)</f>
        <v>#VALUE!</v>
      </c>
      <c r="AO107" s="505" t="e">
        <f aca="false">VLOOKUP($D107,CurveTbl,$AH$5)</f>
        <v>#VALUE!</v>
      </c>
      <c r="AP107" s="505" t="e">
        <f aca="false">VLOOKUP($D107,CurveTbl,$AH$6)+VLOOKUP($AG107,$AL$3:$AS$15,7)</f>
        <v>#VALUE!</v>
      </c>
      <c r="AQ107" s="369" t="e">
        <f aca="false">VLOOKUP($AG107,$AL$4:$AS$15,3)+VLOOKUP($AG107,$AL$4:$AS$15,5)+($AH$10*VLOOKUP(D107,GRITable,2))</f>
        <v>#VALUE!</v>
      </c>
      <c r="AR107" s="370" t="e">
        <f aca="false">VLOOKUP($AG107,$AL$4:$AS$15,4)</f>
        <v>#VALUE!</v>
      </c>
      <c r="AS107" s="369" t="e">
        <f aca="false">(AL107+AM107+AN107)</f>
        <v>#VALUE!</v>
      </c>
      <c r="AT107" s="370" t="e">
        <f aca="false">VLOOKUP(D107,CurveTbl,$AK$6)</f>
        <v>#VALUE!</v>
      </c>
      <c r="AU107" s="370" t="e">
        <f aca="false">(1+$AT107/2)^(-2*($D107-$G$5)/365.25)*$AF107</f>
        <v>#VALUE!</v>
      </c>
      <c r="AV107" s="506" t="e">
        <f aca="false">ROUND((F107/(1-AR107))-F107,0)*AF107*AH107*AU107</f>
        <v>#VALUE!</v>
      </c>
      <c r="AW107" s="370" t="e">
        <f aca="false">VLOOKUP($D107,CurveTbl,$AK$8)</f>
        <v>#VALUE!</v>
      </c>
      <c r="AX107" s="370" t="e">
        <f aca="false">VLOOKUP($D107,CurveTbl,$AH$7)</f>
        <v>#VALUE!</v>
      </c>
      <c r="AY107" s="370" t="e">
        <f aca="false">VLOOKUP($D107,CurveTbl,$AH$8)</f>
        <v>#VALUE!</v>
      </c>
      <c r="AZ107" s="370"/>
      <c r="BA107" s="507"/>
      <c r="BB107" s="505" t="e">
        <f aca="false">$H107-$BV107</f>
        <v>#VALUE!</v>
      </c>
      <c r="BC107" s="505" t="e">
        <f aca="false">I107-BW107</f>
        <v>#VALUE!</v>
      </c>
      <c r="BD107" s="370" t="e">
        <f aca="false">N107-BX107</f>
        <v>#VALUE!</v>
      </c>
      <c r="BE107" s="370" t="e">
        <f aca="false">O107-BY107</f>
        <v>#VALUE!</v>
      </c>
      <c r="BF107" s="370" t="e">
        <f aca="false">xSPRDOPT($BW107,$BV107,$CG107,0,$BY107,$BX107,$BZ107,$AJ107,1,4)*$CB107</f>
        <v>#NAME?</v>
      </c>
      <c r="BG107" s="370" t="e">
        <f aca="false">xSPRDOPT($BW107,$BV107,$CG107,0,$BY107,$BX107,$BZ107,$AJ107,1,3)*$CB107</f>
        <v>#NAME?</v>
      </c>
      <c r="BH107" s="370" t="e">
        <f aca="false">IF(OR(BF107&lt;&gt;0,BG107&lt;&gt;0),xSPRDOPT($BW107,$BV107,$CG107,0,$BY107,$BX107,$BZ107,$AJ107,1,12)*$CB107,0)</f>
        <v>#NAME?</v>
      </c>
      <c r="BI107" s="370" t="e">
        <f aca="false">xSPRDOPT($BW107,$BV107,$CG107,2*LN(1+CA107/2),$BY107,$BX107,$BZ107,$AJ107,1,9)</f>
        <v>#NAME?</v>
      </c>
      <c r="BJ107" s="370" t="e">
        <f aca="false">xSPRDOPT($BW107,$BV107,$CG107,0,$BY107,$BX107,$BZ107,$AJ107,1,6)*$CB107</f>
        <v>#NAME?</v>
      </c>
      <c r="BK107" s="370" t="e">
        <f aca="false">xSPRDOPT($BW107,$BV107,$CG107,0,$BY107,$BX107,$BZ107,$AJ107,1,5)*$CB107</f>
        <v>#NAME?</v>
      </c>
      <c r="BL107" s="370" t="e">
        <f aca="false">xSPRDOPT(BW107,BV107,CG107,0,BY107,BX107,BZ107,AJ107,1,2)*CB107</f>
        <v>#NAME?</v>
      </c>
      <c r="BM107" s="370" t="e">
        <f aca="false">xSPRDOPT(BW107,BV107,CG107,0,BY107,BX107,BZ107,AJ107,1,1)*CB107</f>
        <v>#NAME?</v>
      </c>
      <c r="BN107" s="370" t="e">
        <f aca="false">IF(AH107&lt;&gt;0,xSPRDOPT($BW107,$BV107,$CG107,2*LN(1+CA107/2),$BY107,$BX107,$BZ107,$AJ107,1,8)+(AJ107/365.25)*CH107/AH107,0)</f>
        <v>#VALUE!</v>
      </c>
      <c r="BO107" s="370" t="e">
        <f aca="false">xSPRDOPT($BW107,$BV107,$CG107,0,$BY107,$BX107,$BZ107,$AJ107,1,0)</f>
        <v>#NAME?</v>
      </c>
      <c r="BP107" s="370"/>
      <c r="BQ107" s="370"/>
      <c r="BR107" s="370"/>
      <c r="BS107" s="370"/>
      <c r="BV107" s="508" t="n">
        <v>4.06548023646213</v>
      </c>
      <c r="BW107" s="369" t="n">
        <v>4.117</v>
      </c>
      <c r="BX107" s="370" t="n">
        <v>0.238376176108012</v>
      </c>
      <c r="BY107" s="370" t="n">
        <v>0.239522256292692</v>
      </c>
      <c r="BZ107" s="370" t="n">
        <v>0.997929179758925</v>
      </c>
      <c r="CA107" s="370" t="n">
        <v>0.0582693930542924</v>
      </c>
      <c r="CB107" s="370" t="n">
        <v>0.662322195804784</v>
      </c>
      <c r="CC107" s="505" t="n">
        <v>-0.017</v>
      </c>
      <c r="CD107" s="505" t="n">
        <v>0.0575</v>
      </c>
      <c r="CE107" s="505" t="n">
        <v>0.235</v>
      </c>
      <c r="CF107" s="505" t="n">
        <v>-0.025</v>
      </c>
      <c r="CG107" s="505" t="n">
        <v>0.0192</v>
      </c>
      <c r="CH107" s="505" t="n">
        <v>1.91940972344226</v>
      </c>
      <c r="CI107" s="505" t="n">
        <v>3.907</v>
      </c>
    </row>
    <row r="108" customFormat="false" ht="12.75" hidden="false" customHeight="false" outlineLevel="0" collapsed="false">
      <c r="A108" s="500"/>
      <c r="B108" s="500"/>
      <c r="D108" s="361" t="e">
        <f aca="false">D107+AH107</f>
        <v>#VALUE!</v>
      </c>
      <c r="F108" s="362" t="e">
        <f aca="false">VLOOKUP(AG108,$AL$4:$AS$15,2)</f>
        <v>#VALUE!</v>
      </c>
      <c r="G108" s="362" t="e">
        <f aca="false">F108*$AU108</f>
        <v>#VALUE!</v>
      </c>
      <c r="H108" s="363" t="e">
        <f aca="false">(AL108+AM108+AN108)/(1-(AR108))</f>
        <v>#VALUE!</v>
      </c>
      <c r="I108" s="363" t="e">
        <f aca="false">(AL108+AO108+AP108)</f>
        <v>#VALUE!</v>
      </c>
      <c r="K108" s="363" t="e">
        <f aca="false">MAX(((I108-H108)-AQ108)*AU108*AH108,0)</f>
        <v>#VALUE!</v>
      </c>
      <c r="L108" s="501" t="e">
        <f aca="false">MAX(Q108-K108,0)</f>
        <v>#VALUE!</v>
      </c>
      <c r="N108" s="502" t="e">
        <f aca="false">SQRT(($AX108^2*($AH108/2)+$AW108^2*$AI108)/(($AH108/2)+$AI108))</f>
        <v>#VALUE!</v>
      </c>
      <c r="O108" s="502" t="e">
        <f aca="false">SQRT(($AY108^2*($AH108/2)+$AW108^2*$AI108)/(($AH108/2)+$AI108))</f>
        <v>#VALUE!</v>
      </c>
      <c r="P108" s="371" t="e">
        <f aca="false">(VLOOKUP(AI108,CorrelationTwo,2)*(AW108^2)*AI108+VLOOKUP(D108,CorrelationOne,$AK$9)*AX108*AY108*(AH108/2))/((AI108+(AH108/2))*O108*N108)*AF108</f>
        <v>#VALUE!</v>
      </c>
      <c r="Q108" s="501" t="e">
        <f aca="false">xSPRDOPT(I108,H108,AQ108,0,O108,N108,P108,D108-$G$5,1,0)*AH108*AU108</f>
        <v>#VALUE!</v>
      </c>
      <c r="R108" s="501"/>
      <c r="S108" s="365" t="e">
        <f aca="false">xSPRDOPT(I108,H108,AQ108,AT108,O108,N108,P108,D108-$G$5,1,2)*AF108*(F108/(1-AR108))*AH108</f>
        <v>#VALUE!</v>
      </c>
      <c r="T108" s="365" t="e">
        <f aca="false">xSPRDOPT(I108,H108,AQ108,AT108,O108,N108,P108,D108-$G$5,1,1)*AF108*F108*AH108</f>
        <v>#VALUE!</v>
      </c>
      <c r="U108" s="501"/>
      <c r="V108" s="503" t="e">
        <f aca="false">VLOOKUP($AG108,$AL$4:$AS$15,8)*AH108*AU108</f>
        <v>#VALUE!</v>
      </c>
      <c r="W108" s="503"/>
      <c r="X108" s="504" t="e">
        <f aca="false">((BM108*BC108)+(BL108*BB108))*AH108*F108</f>
        <v>#VALUE!</v>
      </c>
      <c r="Y108" s="504" t="e">
        <f aca="false">($F108*$AH108)*((($BG108/2)*($BC108)^2)+(($BF108/2)*($BB108)^2)+($BH108*$BC108*$BB108))</f>
        <v>#VALUE!</v>
      </c>
      <c r="Z108" s="504" t="e">
        <f aca="false">($BI108*$F108*$AH108*($G$5-$BV$5))/365.25</f>
        <v>#VALUE!</v>
      </c>
      <c r="AA108" s="504" t="e">
        <f aca="false">(($BK108*$BE108)+($BJ108*$BD108))*$F108*$AH108*$AF108</f>
        <v>#VALUE!</v>
      </c>
      <c r="AB108" s="504" t="e">
        <f aca="false">BN108*(AT108-CA108)*F108*AH108</f>
        <v>#VALUE!</v>
      </c>
      <c r="AC108" s="504" t="e">
        <f aca="false">BO108*CB108*F108*AH108*CA108*($G$5-$BV$5)/365.25</f>
        <v>#NAME?</v>
      </c>
      <c r="AF108" s="378" t="e">
        <f aca="false">IF(AND(D108&gt;=$G$7,D108&lt;=$G$8),1,0)</f>
        <v>#VALUE!</v>
      </c>
      <c r="AG108" s="378" t="e">
        <f aca="false">MONTH(D108)</f>
        <v>#VALUE!</v>
      </c>
      <c r="AH108" s="378" t="e">
        <f aca="false">(EOMONTH(D108,0)-EOMONTH(D108-DAY(D108),0))*AF108</f>
        <v>#VALUE!</v>
      </c>
      <c r="AI108" s="378" t="e">
        <f aca="false">AI107+AH107</f>
        <v>#VALUE!</v>
      </c>
      <c r="AJ108" s="378" t="e">
        <f aca="false">D108-$BV$5</f>
        <v>#VALUE!</v>
      </c>
      <c r="AL108" s="369" t="e">
        <f aca="false">VLOOKUP($D108,CurveTbl,$AK$4)</f>
        <v>#VALUE!</v>
      </c>
      <c r="AM108" s="505" t="e">
        <f aca="false">VLOOKUP($D108,CurveTbl,$AH$3)</f>
        <v>#VALUE!</v>
      </c>
      <c r="AN108" s="505" t="e">
        <f aca="false">VLOOKUP($D108,CurveTbl,$AH$4)+VLOOKUP($AG108,$AL$3:$AS$15,6)</f>
        <v>#VALUE!</v>
      </c>
      <c r="AO108" s="505" t="e">
        <f aca="false">VLOOKUP($D108,CurveTbl,$AH$5)</f>
        <v>#VALUE!</v>
      </c>
      <c r="AP108" s="505" t="e">
        <f aca="false">VLOOKUP($D108,CurveTbl,$AH$6)+VLOOKUP($AG108,$AL$3:$AS$15,7)</f>
        <v>#VALUE!</v>
      </c>
      <c r="AQ108" s="369" t="e">
        <f aca="false">VLOOKUP($AG108,$AL$4:$AS$15,3)+VLOOKUP($AG108,$AL$4:$AS$15,5)+($AH$10*VLOOKUP(D108,GRITable,2))</f>
        <v>#VALUE!</v>
      </c>
      <c r="AR108" s="370" t="e">
        <f aca="false">VLOOKUP($AG108,$AL$4:$AS$15,4)</f>
        <v>#VALUE!</v>
      </c>
      <c r="AS108" s="369" t="e">
        <f aca="false">(AL108+AM108+AN108)</f>
        <v>#VALUE!</v>
      </c>
      <c r="AT108" s="370" t="e">
        <f aca="false">VLOOKUP(D108,CurveTbl,$AK$6)</f>
        <v>#VALUE!</v>
      </c>
      <c r="AU108" s="370" t="e">
        <f aca="false">(1+$AT108/2)^(-2*($D108-$G$5)/365.25)*$AF108</f>
        <v>#VALUE!</v>
      </c>
      <c r="AV108" s="506" t="e">
        <f aca="false">ROUND((F108/(1-AR108))-F108,0)*AF108*AH108*AU108</f>
        <v>#VALUE!</v>
      </c>
      <c r="AW108" s="370" t="e">
        <f aca="false">VLOOKUP($D108,CurveTbl,$AK$8)</f>
        <v>#VALUE!</v>
      </c>
      <c r="AX108" s="370" t="e">
        <f aca="false">VLOOKUP($D108,CurveTbl,$AH$7)</f>
        <v>#VALUE!</v>
      </c>
      <c r="AY108" s="370" t="e">
        <f aca="false">VLOOKUP($D108,CurveTbl,$AH$8)</f>
        <v>#VALUE!</v>
      </c>
      <c r="AZ108" s="370"/>
      <c r="BA108" s="507"/>
      <c r="BB108" s="505" t="e">
        <f aca="false">$H108-$BV108</f>
        <v>#VALUE!</v>
      </c>
      <c r="BC108" s="505" t="e">
        <f aca="false">I108-BW108</f>
        <v>#VALUE!</v>
      </c>
      <c r="BD108" s="370" t="e">
        <f aca="false">N108-BX108</f>
        <v>#VALUE!</v>
      </c>
      <c r="BE108" s="370" t="e">
        <f aca="false">O108-BY108</f>
        <v>#VALUE!</v>
      </c>
      <c r="BF108" s="370" t="e">
        <f aca="false">xSPRDOPT($BW108,$BV108,$CG108,0,$BY108,$BX108,$BZ108,$AJ108,1,4)*$CB108</f>
        <v>#NAME?</v>
      </c>
      <c r="BG108" s="370" t="e">
        <f aca="false">xSPRDOPT($BW108,$BV108,$CG108,0,$BY108,$BX108,$BZ108,$AJ108,1,3)*$CB108</f>
        <v>#NAME?</v>
      </c>
      <c r="BH108" s="370" t="e">
        <f aca="false">IF(OR(BF108&lt;&gt;0,BG108&lt;&gt;0),xSPRDOPT($BW108,$BV108,$CG108,0,$BY108,$BX108,$BZ108,$AJ108,1,12)*$CB108,0)</f>
        <v>#NAME?</v>
      </c>
      <c r="BI108" s="370" t="e">
        <f aca="false">xSPRDOPT($BW108,$BV108,$CG108,2*LN(1+CA108/2),$BY108,$BX108,$BZ108,$AJ108,1,9)</f>
        <v>#NAME?</v>
      </c>
      <c r="BJ108" s="370" t="e">
        <f aca="false">xSPRDOPT($BW108,$BV108,$CG108,0,$BY108,$BX108,$BZ108,$AJ108,1,6)*$CB108</f>
        <v>#NAME?</v>
      </c>
      <c r="BK108" s="370" t="e">
        <f aca="false">xSPRDOPT($BW108,$BV108,$CG108,0,$BY108,$BX108,$BZ108,$AJ108,1,5)*$CB108</f>
        <v>#NAME?</v>
      </c>
      <c r="BL108" s="370" t="e">
        <f aca="false">xSPRDOPT(BW108,BV108,CG108,0,BY108,BX108,BZ108,AJ108,1,2)*CB108</f>
        <v>#NAME?</v>
      </c>
      <c r="BM108" s="370" t="e">
        <f aca="false">xSPRDOPT(BW108,BV108,CG108,0,BY108,BX108,BZ108,AJ108,1,1)*CB108</f>
        <v>#NAME?</v>
      </c>
      <c r="BN108" s="370" t="e">
        <f aca="false">IF(AH108&lt;&gt;0,xSPRDOPT($BW108,$BV108,$CG108,2*LN(1+CA108/2),$BY108,$BX108,$BZ108,$AJ108,1,8)+(AJ108/365.25)*CH108/AH108,0)</f>
        <v>#VALUE!</v>
      </c>
      <c r="BO108" s="370" t="e">
        <f aca="false">xSPRDOPT($BW108,$BV108,$CG108,0,$BY108,$BX108,$BZ108,$AJ108,1,0)</f>
        <v>#NAME?</v>
      </c>
      <c r="BP108" s="370"/>
      <c r="BQ108" s="370"/>
      <c r="BR108" s="370"/>
      <c r="BS108" s="370"/>
      <c r="BV108" s="508" t="n">
        <v>3.93159488351974</v>
      </c>
      <c r="BW108" s="369" t="n">
        <v>3.947</v>
      </c>
      <c r="BX108" s="370" t="n">
        <v>0.226732369690698</v>
      </c>
      <c r="BY108" s="370" t="n">
        <v>0.226732369690698</v>
      </c>
      <c r="BZ108" s="370" t="n">
        <v>0.998719754545284</v>
      </c>
      <c r="CA108" s="370" t="n">
        <v>0.058367946667353</v>
      </c>
      <c r="CB108" s="370" t="n">
        <v>0.658954704378408</v>
      </c>
      <c r="CC108" s="505" t="n">
        <v>-0.017</v>
      </c>
      <c r="CD108" s="505" t="n">
        <v>0.0575</v>
      </c>
      <c r="CE108" s="505" t="n">
        <v>0.195</v>
      </c>
      <c r="CF108" s="505" t="n">
        <v>-0.025</v>
      </c>
      <c r="CG108" s="505" t="n">
        <v>0.0192</v>
      </c>
      <c r="CH108" s="505" t="n">
        <v>2.11425616899812</v>
      </c>
      <c r="CI108" s="505" t="n">
        <v>3.777</v>
      </c>
    </row>
    <row r="109" customFormat="false" ht="12.75" hidden="false" customHeight="false" outlineLevel="0" collapsed="false">
      <c r="A109" s="500"/>
      <c r="B109" s="500"/>
      <c r="D109" s="361" t="e">
        <f aca="false">D108+AH108</f>
        <v>#VALUE!</v>
      </c>
      <c r="F109" s="362" t="e">
        <f aca="false">VLOOKUP(AG109,$AL$4:$AS$15,2)</f>
        <v>#VALUE!</v>
      </c>
      <c r="G109" s="362" t="e">
        <f aca="false">F109*$AU109</f>
        <v>#VALUE!</v>
      </c>
      <c r="H109" s="363" t="e">
        <f aca="false">(AL109+AM109+AN109)/(1-(AR109))</f>
        <v>#VALUE!</v>
      </c>
      <c r="I109" s="363" t="e">
        <f aca="false">(AL109+AO109+AP109)</f>
        <v>#VALUE!</v>
      </c>
      <c r="K109" s="363" t="e">
        <f aca="false">MAX(((I109-H109)-AQ109)*AU109*AH109,0)</f>
        <v>#VALUE!</v>
      </c>
      <c r="L109" s="501" t="e">
        <f aca="false">MAX(Q109-K109,0)</f>
        <v>#VALUE!</v>
      </c>
      <c r="N109" s="502" t="e">
        <f aca="false">SQRT(($AX109^2*($AH109/2)+$AW109^2*$AI109)/(($AH109/2)+$AI109))</f>
        <v>#VALUE!</v>
      </c>
      <c r="O109" s="502" t="e">
        <f aca="false">SQRT(($AY109^2*($AH109/2)+$AW109^2*$AI109)/(($AH109/2)+$AI109))</f>
        <v>#VALUE!</v>
      </c>
      <c r="P109" s="371" t="e">
        <f aca="false">(VLOOKUP(AI109,CorrelationTwo,2)*(AW109^2)*AI109+VLOOKUP(D109,CorrelationOne,$AK$9)*AX109*AY109*(AH109/2))/((AI109+(AH109/2))*O109*N109)*AF109</f>
        <v>#VALUE!</v>
      </c>
      <c r="Q109" s="501" t="e">
        <f aca="false">xSPRDOPT(I109,H109,AQ109,0,O109,N109,P109,D109-$G$5,1,0)*AH109*AU109</f>
        <v>#VALUE!</v>
      </c>
      <c r="R109" s="501"/>
      <c r="S109" s="365" t="e">
        <f aca="false">xSPRDOPT(I109,H109,AQ109,AT109,O109,N109,P109,D109-$G$5,1,2)*AF109*(F109/(1-AR109))*AH109</f>
        <v>#VALUE!</v>
      </c>
      <c r="T109" s="365" t="e">
        <f aca="false">xSPRDOPT(I109,H109,AQ109,AT109,O109,N109,P109,D109-$G$5,1,1)*AF109*F109*AH109</f>
        <v>#VALUE!</v>
      </c>
      <c r="U109" s="501"/>
      <c r="V109" s="503" t="e">
        <f aca="false">VLOOKUP($AG109,$AL$4:$AS$15,8)*AH109*AU109</f>
        <v>#VALUE!</v>
      </c>
      <c r="W109" s="503"/>
      <c r="X109" s="504" t="e">
        <f aca="false">((BM109*BC109)+(BL109*BB109))*AH109*F109</f>
        <v>#VALUE!</v>
      </c>
      <c r="Y109" s="504" t="e">
        <f aca="false">($F109*$AH109)*((($BG109/2)*($BC109)^2)+(($BF109/2)*($BB109)^2)+($BH109*$BC109*$BB109))</f>
        <v>#VALUE!</v>
      </c>
      <c r="Z109" s="504" t="e">
        <f aca="false">($BI109*$F109*$AH109*($G$5-$BV$5))/365.25</f>
        <v>#VALUE!</v>
      </c>
      <c r="AA109" s="504" t="e">
        <f aca="false">(($BK109*$BE109)+($BJ109*$BD109))*$F109*$AH109*$AF109</f>
        <v>#VALUE!</v>
      </c>
      <c r="AB109" s="504" t="e">
        <f aca="false">BN109*(AT109-CA109)*F109*AH109</f>
        <v>#VALUE!</v>
      </c>
      <c r="AC109" s="504" t="e">
        <f aca="false">BO109*CB109*F109*AH109*CA109*($G$5-$BV$5)/365.25</f>
        <v>#NAME?</v>
      </c>
      <c r="AF109" s="378" t="e">
        <f aca="false">IF(AND(D109&gt;=$G$7,D109&lt;=$G$8),1,0)</f>
        <v>#VALUE!</v>
      </c>
      <c r="AG109" s="378" t="e">
        <f aca="false">MONTH(D109)</f>
        <v>#VALUE!</v>
      </c>
      <c r="AH109" s="378" t="e">
        <f aca="false">(EOMONTH(D109,0)-EOMONTH(D109-DAY(D109),0))*AF109</f>
        <v>#VALUE!</v>
      </c>
      <c r="AI109" s="378" t="e">
        <f aca="false">AI108+AH108</f>
        <v>#VALUE!</v>
      </c>
      <c r="AJ109" s="378" t="e">
        <f aca="false">D109-$BV$5</f>
        <v>#VALUE!</v>
      </c>
      <c r="AL109" s="369" t="e">
        <f aca="false">VLOOKUP($D109,CurveTbl,$AK$4)</f>
        <v>#VALUE!</v>
      </c>
      <c r="AM109" s="505" t="e">
        <f aca="false">VLOOKUP($D109,CurveTbl,$AH$3)</f>
        <v>#VALUE!</v>
      </c>
      <c r="AN109" s="505" t="e">
        <f aca="false">VLOOKUP($D109,CurveTbl,$AH$4)+VLOOKUP($AG109,$AL$3:$AS$15,6)</f>
        <v>#VALUE!</v>
      </c>
      <c r="AO109" s="505" t="e">
        <f aca="false">VLOOKUP($D109,CurveTbl,$AH$5)</f>
        <v>#VALUE!</v>
      </c>
      <c r="AP109" s="505" t="e">
        <f aca="false">VLOOKUP($D109,CurveTbl,$AH$6)+VLOOKUP($AG109,$AL$3:$AS$15,7)</f>
        <v>#VALUE!</v>
      </c>
      <c r="AQ109" s="369" t="e">
        <f aca="false">VLOOKUP($AG109,$AL$4:$AS$15,3)+VLOOKUP($AG109,$AL$4:$AS$15,5)+($AH$10*VLOOKUP(D109,GRITable,2))</f>
        <v>#VALUE!</v>
      </c>
      <c r="AR109" s="370" t="e">
        <f aca="false">VLOOKUP($AG109,$AL$4:$AS$15,4)</f>
        <v>#VALUE!</v>
      </c>
      <c r="AS109" s="369" t="e">
        <f aca="false">(AL109+AM109+AN109)</f>
        <v>#VALUE!</v>
      </c>
      <c r="AT109" s="370" t="e">
        <f aca="false">VLOOKUP(D109,CurveTbl,$AK$6)</f>
        <v>#VALUE!</v>
      </c>
      <c r="AU109" s="370" t="e">
        <f aca="false">(1+$AT109/2)^(-2*($D109-$G$5)/365.25)*$AF109</f>
        <v>#VALUE!</v>
      </c>
      <c r="AV109" s="506" t="e">
        <f aca="false">ROUND((F109/(1-AR109))-F109,0)*AF109*AH109*AU109</f>
        <v>#VALUE!</v>
      </c>
      <c r="AW109" s="370" t="e">
        <f aca="false">VLOOKUP($D109,CurveTbl,$AK$8)</f>
        <v>#VALUE!</v>
      </c>
      <c r="AX109" s="370" t="e">
        <f aca="false">VLOOKUP($D109,CurveTbl,$AH$7)</f>
        <v>#VALUE!</v>
      </c>
      <c r="AY109" s="370" t="e">
        <f aca="false">VLOOKUP($D109,CurveTbl,$AH$8)</f>
        <v>#VALUE!</v>
      </c>
      <c r="AZ109" s="370"/>
      <c r="BA109" s="507"/>
      <c r="BB109" s="505" t="e">
        <f aca="false">$H109-$BV109</f>
        <v>#VALUE!</v>
      </c>
      <c r="BC109" s="505" t="e">
        <f aca="false">I109-BW109</f>
        <v>#VALUE!</v>
      </c>
      <c r="BD109" s="370" t="e">
        <f aca="false">N109-BX109</f>
        <v>#VALUE!</v>
      </c>
      <c r="BE109" s="370" t="e">
        <f aca="false">O109-BY109</f>
        <v>#VALUE!</v>
      </c>
      <c r="BF109" s="370" t="e">
        <f aca="false">xSPRDOPT($BW109,$BV109,$CG109,0,$BY109,$BX109,$BZ109,$AJ109,1,4)*$CB109</f>
        <v>#NAME?</v>
      </c>
      <c r="BG109" s="370" t="e">
        <f aca="false">xSPRDOPT($BW109,$BV109,$CG109,0,$BY109,$BX109,$BZ109,$AJ109,1,3)*$CB109</f>
        <v>#NAME?</v>
      </c>
      <c r="BH109" s="370" t="e">
        <f aca="false">IF(OR(BF109&lt;&gt;0,BG109&lt;&gt;0),xSPRDOPT($BW109,$BV109,$CG109,0,$BY109,$BX109,$BZ109,$AJ109,1,12)*$CB109,0)</f>
        <v>#NAME?</v>
      </c>
      <c r="BI109" s="370" t="e">
        <f aca="false">xSPRDOPT($BW109,$BV109,$CG109,2*LN(1+CA109/2),$BY109,$BX109,$BZ109,$AJ109,1,9)</f>
        <v>#NAME?</v>
      </c>
      <c r="BJ109" s="370" t="e">
        <f aca="false">xSPRDOPT($BW109,$BV109,$CG109,0,$BY109,$BX109,$BZ109,$AJ109,1,6)*$CB109</f>
        <v>#NAME?</v>
      </c>
      <c r="BK109" s="370" t="e">
        <f aca="false">xSPRDOPT($BW109,$BV109,$CG109,0,$BY109,$BX109,$BZ109,$AJ109,1,5)*$CB109</f>
        <v>#NAME?</v>
      </c>
      <c r="BL109" s="370" t="e">
        <f aca="false">xSPRDOPT(BW109,BV109,CG109,0,BY109,BX109,BZ109,AJ109,1,2)*CB109</f>
        <v>#NAME?</v>
      </c>
      <c r="BM109" s="370" t="e">
        <f aca="false">xSPRDOPT(BW109,BV109,CG109,0,BY109,BX109,BZ109,AJ109,1,1)*CB109</f>
        <v>#NAME?</v>
      </c>
      <c r="BN109" s="370" t="e">
        <f aca="false">IF(AH109&lt;&gt;0,xSPRDOPT($BW109,$BV109,$CG109,2*LN(1+CA109/2),$BY109,$BX109,$BZ109,$AJ109,1,8)+(AJ109/365.25)*CH109/AH109,0)</f>
        <v>#VALUE!</v>
      </c>
      <c r="BO109" s="370" t="e">
        <f aca="false">xSPRDOPT($BW109,$BV109,$CG109,0,$BY109,$BX109,$BZ109,$AJ109,1,0)</f>
        <v>#NAME?</v>
      </c>
      <c r="BP109" s="370"/>
      <c r="BQ109" s="370"/>
      <c r="BR109" s="370"/>
      <c r="BS109" s="370"/>
      <c r="BV109" s="508" t="n">
        <v>3.74106572740942</v>
      </c>
      <c r="BW109" s="369" t="n">
        <v>3.712</v>
      </c>
      <c r="BX109" s="370" t="n">
        <v>0.204137845082131</v>
      </c>
      <c r="BY109" s="370" t="n">
        <v>0.204719644707352</v>
      </c>
      <c r="BZ109" s="370" t="n">
        <v>0.999354495956491</v>
      </c>
      <c r="CA109" s="370" t="n">
        <v>0.0584770595998663</v>
      </c>
      <c r="CB109" s="370" t="n">
        <v>0.655235182244367</v>
      </c>
      <c r="CC109" s="505" t="n">
        <v>-0.017</v>
      </c>
      <c r="CD109" s="505" t="n">
        <v>0.0575</v>
      </c>
      <c r="CE109" s="505" t="n">
        <v>0.145</v>
      </c>
      <c r="CF109" s="505" t="n">
        <v>-0.025</v>
      </c>
      <c r="CG109" s="505" t="n">
        <v>0.0192</v>
      </c>
      <c r="CH109" s="505" t="n">
        <v>2.03450524086876</v>
      </c>
      <c r="CI109" s="505" t="n">
        <v>3.592</v>
      </c>
    </row>
    <row r="110" customFormat="false" ht="12.75" hidden="false" customHeight="false" outlineLevel="0" collapsed="false">
      <c r="A110" s="500"/>
      <c r="B110" s="500"/>
      <c r="D110" s="361" t="e">
        <f aca="false">D109+AH109</f>
        <v>#VALUE!</v>
      </c>
      <c r="F110" s="362" t="e">
        <f aca="false">VLOOKUP(AG110,$AL$4:$AS$15,2)</f>
        <v>#VALUE!</v>
      </c>
      <c r="G110" s="362" t="e">
        <f aca="false">F110*$AU110</f>
        <v>#VALUE!</v>
      </c>
      <c r="H110" s="363" t="e">
        <f aca="false">(AL110+AM110+AN110)/(1-(AR110))</f>
        <v>#VALUE!</v>
      </c>
      <c r="I110" s="363" t="e">
        <f aca="false">(AL110+AO110+AP110)</f>
        <v>#VALUE!</v>
      </c>
      <c r="K110" s="363" t="e">
        <f aca="false">MAX(((I110-H110)-AQ110)*AU110*AH110,0)</f>
        <v>#VALUE!</v>
      </c>
      <c r="L110" s="501" t="e">
        <f aca="false">MAX(Q110-K110,0)</f>
        <v>#VALUE!</v>
      </c>
      <c r="N110" s="502" t="e">
        <f aca="false">SQRT(($AX110^2*($AH110/2)+$AW110^2*$AI110)/(($AH110/2)+$AI110))</f>
        <v>#VALUE!</v>
      </c>
      <c r="O110" s="502" t="e">
        <f aca="false">SQRT(($AY110^2*($AH110/2)+$AW110^2*$AI110)/(($AH110/2)+$AI110))</f>
        <v>#VALUE!</v>
      </c>
      <c r="P110" s="371" t="e">
        <f aca="false">(VLOOKUP(AI110,CorrelationTwo,2)*(AW110^2)*AI110+VLOOKUP(D110,CorrelationOne,$AK$9)*AX110*AY110*(AH110/2))/((AI110+(AH110/2))*O110*N110)*AF110</f>
        <v>#VALUE!</v>
      </c>
      <c r="Q110" s="501" t="e">
        <f aca="false">xSPRDOPT(I110,H110,AQ110,0,O110,N110,P110,D110-$G$5,1,0)*AH110*AU110</f>
        <v>#VALUE!</v>
      </c>
      <c r="R110" s="501"/>
      <c r="S110" s="365" t="e">
        <f aca="false">xSPRDOPT(I110,H110,AQ110,AT110,O110,N110,P110,D110-$G$5,1,2)*AF110*(F110/(1-AR110))*AH110</f>
        <v>#VALUE!</v>
      </c>
      <c r="T110" s="365" t="e">
        <f aca="false">xSPRDOPT(I110,H110,AQ110,AT110,O110,N110,P110,D110-$G$5,1,1)*AF110*F110*AH110</f>
        <v>#VALUE!</v>
      </c>
      <c r="U110" s="501"/>
      <c r="V110" s="503" t="e">
        <f aca="false">VLOOKUP($AG110,$AL$4:$AS$15,8)*AH110*AU110</f>
        <v>#VALUE!</v>
      </c>
      <c r="W110" s="503"/>
      <c r="X110" s="504" t="e">
        <f aca="false">((BM110*BC110)+(BL110*BB110))*AH110*F110</f>
        <v>#VALUE!</v>
      </c>
      <c r="Y110" s="504" t="e">
        <f aca="false">($F110*$AH110)*((($BG110/2)*($BC110)^2)+(($BF110/2)*($BB110)^2)+($BH110*$BC110*$BB110))</f>
        <v>#VALUE!</v>
      </c>
      <c r="Z110" s="504" t="e">
        <f aca="false">($BI110*$F110*$AH110*($G$5-$BV$5))/365.25</f>
        <v>#VALUE!</v>
      </c>
      <c r="AA110" s="504" t="e">
        <f aca="false">(($BK110*$BE110)+($BJ110*$BD110))*$F110*$AH110*$AF110</f>
        <v>#VALUE!</v>
      </c>
      <c r="AB110" s="504" t="e">
        <f aca="false">BN110*(AT110-CA110)*F110*AH110</f>
        <v>#VALUE!</v>
      </c>
      <c r="AC110" s="504" t="e">
        <f aca="false">BO110*CB110*F110*AH110*CA110*($G$5-$BV$5)/365.25</f>
        <v>#NAME?</v>
      </c>
      <c r="AF110" s="378" t="e">
        <f aca="false">IF(AND(D110&gt;=$G$7,D110&lt;=$G$8),1,0)</f>
        <v>#VALUE!</v>
      </c>
      <c r="AG110" s="378" t="e">
        <f aca="false">MONTH(D110)</f>
        <v>#VALUE!</v>
      </c>
      <c r="AH110" s="378" t="e">
        <f aca="false">(EOMONTH(D110,0)-EOMONTH(D110-DAY(D110),0))*AF110</f>
        <v>#VALUE!</v>
      </c>
      <c r="AI110" s="378" t="e">
        <f aca="false">AI109+AH109</f>
        <v>#VALUE!</v>
      </c>
      <c r="AJ110" s="378" t="e">
        <f aca="false">D110-$BV$5</f>
        <v>#VALUE!</v>
      </c>
      <c r="AL110" s="369" t="e">
        <f aca="false">VLOOKUP($D110,CurveTbl,$AK$4)</f>
        <v>#VALUE!</v>
      </c>
      <c r="AM110" s="505" t="e">
        <f aca="false">VLOOKUP($D110,CurveTbl,$AH$3)</f>
        <v>#VALUE!</v>
      </c>
      <c r="AN110" s="505" t="e">
        <f aca="false">VLOOKUP($D110,CurveTbl,$AH$4)+VLOOKUP($AG110,$AL$3:$AS$15,6)</f>
        <v>#VALUE!</v>
      </c>
      <c r="AO110" s="505" t="e">
        <f aca="false">VLOOKUP($D110,CurveTbl,$AH$5)</f>
        <v>#VALUE!</v>
      </c>
      <c r="AP110" s="505" t="e">
        <f aca="false">VLOOKUP($D110,CurveTbl,$AH$6)+VLOOKUP($AG110,$AL$3:$AS$15,7)</f>
        <v>#VALUE!</v>
      </c>
      <c r="AQ110" s="369" t="e">
        <f aca="false">VLOOKUP($AG110,$AL$4:$AS$15,3)+VLOOKUP($AG110,$AL$4:$AS$15,5)+($AH$10*VLOOKUP(D110,GRITable,2))</f>
        <v>#VALUE!</v>
      </c>
      <c r="AR110" s="370" t="e">
        <f aca="false">VLOOKUP($AG110,$AL$4:$AS$15,4)</f>
        <v>#VALUE!</v>
      </c>
      <c r="AS110" s="369" t="e">
        <f aca="false">(AL110+AM110+AN110)</f>
        <v>#VALUE!</v>
      </c>
      <c r="AT110" s="370" t="e">
        <f aca="false">VLOOKUP(D110,CurveTbl,$AK$6)</f>
        <v>#VALUE!</v>
      </c>
      <c r="AU110" s="370" t="e">
        <f aca="false">(1+$AT110/2)^(-2*($D110-$G$5)/365.25)*$AF110</f>
        <v>#VALUE!</v>
      </c>
      <c r="AV110" s="506" t="e">
        <f aca="false">ROUND((F110/(1-AR110))-F110,0)*AF110*AH110*AU110</f>
        <v>#VALUE!</v>
      </c>
      <c r="AW110" s="370" t="e">
        <f aca="false">VLOOKUP($D110,CurveTbl,$AK$8)</f>
        <v>#VALUE!</v>
      </c>
      <c r="AX110" s="370" t="e">
        <f aca="false">VLOOKUP($D110,CurveTbl,$AH$7)</f>
        <v>#VALUE!</v>
      </c>
      <c r="AY110" s="370" t="e">
        <f aca="false">VLOOKUP($D110,CurveTbl,$AH$8)</f>
        <v>#VALUE!</v>
      </c>
      <c r="AZ110" s="370"/>
      <c r="BA110" s="507"/>
      <c r="BB110" s="505" t="e">
        <f aca="false">$H110-$BV110</f>
        <v>#VALUE!</v>
      </c>
      <c r="BC110" s="505" t="e">
        <f aca="false">I110-BW110</f>
        <v>#VALUE!</v>
      </c>
      <c r="BD110" s="370" t="e">
        <f aca="false">N110-BX110</f>
        <v>#VALUE!</v>
      </c>
      <c r="BE110" s="370" t="e">
        <f aca="false">O110-BY110</f>
        <v>#VALUE!</v>
      </c>
      <c r="BF110" s="370" t="e">
        <f aca="false">xSPRDOPT($BW110,$BV110,$CG110,0,$BY110,$BX110,$BZ110,$AJ110,1,4)*$CB110</f>
        <v>#NAME?</v>
      </c>
      <c r="BG110" s="370" t="e">
        <f aca="false">xSPRDOPT($BW110,$BV110,$CG110,0,$BY110,$BX110,$BZ110,$AJ110,1,3)*$CB110</f>
        <v>#NAME?</v>
      </c>
      <c r="BH110" s="370" t="e">
        <f aca="false">IF(OR(BF110&lt;&gt;0,BG110&lt;&gt;0),xSPRDOPT($BW110,$BV110,$CG110,0,$BY110,$BX110,$BZ110,$AJ110,1,12)*$CB110,0)</f>
        <v>#NAME?</v>
      </c>
      <c r="BI110" s="370" t="e">
        <f aca="false">xSPRDOPT($BW110,$BV110,$CG110,2*LN(1+CA110/2),$BY110,$BX110,$BZ110,$AJ110,1,9)</f>
        <v>#NAME?</v>
      </c>
      <c r="BJ110" s="370" t="e">
        <f aca="false">xSPRDOPT($BW110,$BV110,$CG110,0,$BY110,$BX110,$BZ110,$AJ110,1,6)*$CB110</f>
        <v>#NAME?</v>
      </c>
      <c r="BK110" s="370" t="e">
        <f aca="false">xSPRDOPT($BW110,$BV110,$CG110,0,$BY110,$BX110,$BZ110,$AJ110,1,5)*$CB110</f>
        <v>#NAME?</v>
      </c>
      <c r="BL110" s="370" t="e">
        <f aca="false">xSPRDOPT(BW110,BV110,CG110,0,BY110,BX110,BZ110,AJ110,1,2)*CB110</f>
        <v>#NAME?</v>
      </c>
      <c r="BM110" s="370" t="e">
        <f aca="false">xSPRDOPT(BW110,BV110,CG110,0,BY110,BX110,BZ110,AJ110,1,1)*CB110</f>
        <v>#NAME?</v>
      </c>
      <c r="BN110" s="370" t="e">
        <f aca="false">IF(AH110&lt;&gt;0,xSPRDOPT($BW110,$BV110,$CG110,2*LN(1+CA110/2),$BY110,$BX110,$BZ110,$AJ110,1,8)+(AJ110/365.25)*CH110/AH110,0)</f>
        <v>#VALUE!</v>
      </c>
      <c r="BO110" s="370" t="e">
        <f aca="false">xSPRDOPT($BW110,$BV110,$CG110,0,$BY110,$BX110,$BZ110,$AJ110,1,0)</f>
        <v>#NAME?</v>
      </c>
      <c r="BP110" s="370"/>
      <c r="BQ110" s="370"/>
      <c r="BR110" s="370"/>
      <c r="BS110" s="370"/>
      <c r="BV110" s="508" t="n">
        <v>3.73591629075779</v>
      </c>
      <c r="BW110" s="369" t="n">
        <v>3.687</v>
      </c>
      <c r="BX110" s="370" t="n">
        <v>0.204767556883322</v>
      </c>
      <c r="BY110" s="370" t="n">
        <v>0.204767556883322</v>
      </c>
      <c r="BZ110" s="370" t="n">
        <v>0.999447649168133</v>
      </c>
      <c r="CA110" s="370" t="n">
        <v>0.0585826527641324</v>
      </c>
      <c r="CB110" s="370" t="n">
        <v>0.651644496236389</v>
      </c>
      <c r="CC110" s="505" t="n">
        <v>-0.017</v>
      </c>
      <c r="CD110" s="505" t="n">
        <v>0.0575</v>
      </c>
      <c r="CE110" s="505" t="n">
        <v>0.125</v>
      </c>
      <c r="CF110" s="505" t="n">
        <v>-0.025</v>
      </c>
      <c r="CG110" s="505" t="n">
        <v>0.0192</v>
      </c>
      <c r="CH110" s="505" t="n">
        <v>2.09080136617445</v>
      </c>
      <c r="CI110" s="505" t="n">
        <v>3.587</v>
      </c>
    </row>
    <row r="111" customFormat="false" ht="12.75" hidden="false" customHeight="false" outlineLevel="0" collapsed="false">
      <c r="A111" s="500"/>
      <c r="B111" s="500"/>
      <c r="D111" s="361" t="e">
        <f aca="false">D110+AH110</f>
        <v>#VALUE!</v>
      </c>
      <c r="F111" s="362" t="e">
        <f aca="false">VLOOKUP(AG111,$AL$4:$AS$15,2)</f>
        <v>#VALUE!</v>
      </c>
      <c r="G111" s="362" t="e">
        <f aca="false">F111*$AU111</f>
        <v>#VALUE!</v>
      </c>
      <c r="H111" s="363" t="e">
        <f aca="false">(AL111+AM111+AN111)/(1-(AR111))</f>
        <v>#VALUE!</v>
      </c>
      <c r="I111" s="363" t="e">
        <f aca="false">(AL111+AO111+AP111)</f>
        <v>#VALUE!</v>
      </c>
      <c r="K111" s="363" t="e">
        <f aca="false">MAX(((I111-H111)-AQ111)*AU111*AH111,0)</f>
        <v>#VALUE!</v>
      </c>
      <c r="L111" s="501" t="e">
        <f aca="false">MAX(Q111-K111,0)</f>
        <v>#VALUE!</v>
      </c>
      <c r="N111" s="502" t="e">
        <f aca="false">SQRT(($AX111^2*($AH111/2)+$AW111^2*$AI111)/(($AH111/2)+$AI111))</f>
        <v>#VALUE!</v>
      </c>
      <c r="O111" s="502" t="e">
        <f aca="false">SQRT(($AY111^2*($AH111/2)+$AW111^2*$AI111)/(($AH111/2)+$AI111))</f>
        <v>#VALUE!</v>
      </c>
      <c r="P111" s="371" t="e">
        <f aca="false">(VLOOKUP(AI111,CorrelationTwo,2)*(AW111^2)*AI111+VLOOKUP(D111,CorrelationOne,$AK$9)*AX111*AY111*(AH111/2))/((AI111+(AH111/2))*O111*N111)*AF111</f>
        <v>#VALUE!</v>
      </c>
      <c r="Q111" s="501" t="e">
        <f aca="false">xSPRDOPT(I111,H111,AQ111,0,O111,N111,P111,D111-$G$5,1,0)*AH111*AU111</f>
        <v>#VALUE!</v>
      </c>
      <c r="R111" s="501"/>
      <c r="S111" s="365" t="e">
        <f aca="false">xSPRDOPT(I111,H111,AQ111,AT111,O111,N111,P111,D111-$G$5,1,2)*AF111*(F111/(1-AR111))*AH111</f>
        <v>#VALUE!</v>
      </c>
      <c r="T111" s="365" t="e">
        <f aca="false">xSPRDOPT(I111,H111,AQ111,AT111,O111,N111,P111,D111-$G$5,1,1)*AF111*F111*AH111</f>
        <v>#VALUE!</v>
      </c>
      <c r="U111" s="501"/>
      <c r="V111" s="503" t="e">
        <f aca="false">VLOOKUP($AG111,$AL$4:$AS$15,8)*AH111*AU111</f>
        <v>#VALUE!</v>
      </c>
      <c r="W111" s="503"/>
      <c r="X111" s="504" t="e">
        <f aca="false">((BM111*BC111)+(BL111*BB111))*AH111*F111</f>
        <v>#VALUE!</v>
      </c>
      <c r="Y111" s="504" t="e">
        <f aca="false">($F111*$AH111)*((($BG111/2)*($BC111)^2)+(($BF111/2)*($BB111)^2)+($BH111*$BC111*$BB111))</f>
        <v>#VALUE!</v>
      </c>
      <c r="Z111" s="504" t="e">
        <f aca="false">($BI111*$F111*$AH111*($G$5-$BV$5))/365.25</f>
        <v>#VALUE!</v>
      </c>
      <c r="AA111" s="504" t="e">
        <f aca="false">(($BK111*$BE111)+($BJ111*$BD111))*$F111*$AH111*$AF111</f>
        <v>#VALUE!</v>
      </c>
      <c r="AB111" s="504" t="e">
        <f aca="false">BN111*(AT111-CA111)*F111*AH111</f>
        <v>#VALUE!</v>
      </c>
      <c r="AC111" s="504" t="e">
        <f aca="false">BO111*CB111*F111*AH111*CA111*($G$5-$BV$5)/365.25</f>
        <v>#NAME?</v>
      </c>
      <c r="AF111" s="378" t="e">
        <f aca="false">IF(AND(D111&gt;=$G$7,D111&lt;=$G$8),1,0)</f>
        <v>#VALUE!</v>
      </c>
      <c r="AG111" s="378" t="e">
        <f aca="false">MONTH(D111)</f>
        <v>#VALUE!</v>
      </c>
      <c r="AH111" s="378" t="e">
        <f aca="false">(EOMONTH(D111,0)-EOMONTH(D111-DAY(D111),0))*AF111</f>
        <v>#VALUE!</v>
      </c>
      <c r="AI111" s="378" t="e">
        <f aca="false">AI110+AH110</f>
        <v>#VALUE!</v>
      </c>
      <c r="AJ111" s="378" t="e">
        <f aca="false">D111-$BV$5</f>
        <v>#VALUE!</v>
      </c>
      <c r="AL111" s="369" t="e">
        <f aca="false">VLOOKUP($D111,CurveTbl,$AK$4)</f>
        <v>#VALUE!</v>
      </c>
      <c r="AM111" s="505" t="e">
        <f aca="false">VLOOKUP($D111,CurveTbl,$AH$3)</f>
        <v>#VALUE!</v>
      </c>
      <c r="AN111" s="505" t="e">
        <f aca="false">VLOOKUP($D111,CurveTbl,$AH$4)+VLOOKUP($AG111,$AL$3:$AS$15,6)</f>
        <v>#VALUE!</v>
      </c>
      <c r="AO111" s="505" t="e">
        <f aca="false">VLOOKUP($D111,CurveTbl,$AH$5)</f>
        <v>#VALUE!</v>
      </c>
      <c r="AP111" s="505" t="e">
        <f aca="false">VLOOKUP($D111,CurveTbl,$AH$6)+VLOOKUP($AG111,$AL$3:$AS$15,7)</f>
        <v>#VALUE!</v>
      </c>
      <c r="AQ111" s="369" t="e">
        <f aca="false">VLOOKUP($AG111,$AL$4:$AS$15,3)+VLOOKUP($AG111,$AL$4:$AS$15,5)+($AH$10*VLOOKUP(D111,GRITable,2))</f>
        <v>#VALUE!</v>
      </c>
      <c r="AR111" s="370" t="e">
        <f aca="false">VLOOKUP($AG111,$AL$4:$AS$15,4)</f>
        <v>#VALUE!</v>
      </c>
      <c r="AS111" s="369" t="e">
        <f aca="false">(AL111+AM111+AN111)</f>
        <v>#VALUE!</v>
      </c>
      <c r="AT111" s="370" t="e">
        <f aca="false">VLOOKUP(D111,CurveTbl,$AK$6)</f>
        <v>#VALUE!</v>
      </c>
      <c r="AU111" s="370" t="e">
        <f aca="false">(1+$AT111/2)^(-2*($D111-$G$5)/365.25)*$AF111</f>
        <v>#VALUE!</v>
      </c>
      <c r="AV111" s="506" t="e">
        <f aca="false">ROUND((F111/(1-AR111))-F111,0)*AF111*AH111*AU111</f>
        <v>#VALUE!</v>
      </c>
      <c r="AW111" s="370" t="e">
        <f aca="false">VLOOKUP($D111,CurveTbl,$AK$8)</f>
        <v>#VALUE!</v>
      </c>
      <c r="AX111" s="370" t="e">
        <f aca="false">VLOOKUP($D111,CurveTbl,$AH$7)</f>
        <v>#VALUE!</v>
      </c>
      <c r="AY111" s="370" t="e">
        <f aca="false">VLOOKUP($D111,CurveTbl,$AH$8)</f>
        <v>#VALUE!</v>
      </c>
      <c r="AZ111" s="370"/>
      <c r="BA111" s="507"/>
      <c r="BB111" s="505" t="e">
        <f aca="false">$H111-$BV111</f>
        <v>#VALUE!</v>
      </c>
      <c r="BC111" s="505" t="e">
        <f aca="false">I111-BW111</f>
        <v>#VALUE!</v>
      </c>
      <c r="BD111" s="370" t="e">
        <f aca="false">N111-BX111</f>
        <v>#VALUE!</v>
      </c>
      <c r="BE111" s="370" t="e">
        <f aca="false">O111-BY111</f>
        <v>#VALUE!</v>
      </c>
      <c r="BF111" s="370" t="e">
        <f aca="false">xSPRDOPT($BW111,$BV111,$CG111,0,$BY111,$BX111,$BZ111,$AJ111,1,4)*$CB111</f>
        <v>#NAME?</v>
      </c>
      <c r="BG111" s="370" t="e">
        <f aca="false">xSPRDOPT($BW111,$BV111,$CG111,0,$BY111,$BX111,$BZ111,$AJ111,1,3)*$CB111</f>
        <v>#NAME?</v>
      </c>
      <c r="BH111" s="370" t="e">
        <f aca="false">IF(OR(BF111&lt;&gt;0,BG111&lt;&gt;0),xSPRDOPT($BW111,$BV111,$CG111,0,$BY111,$BX111,$BZ111,$AJ111,1,12)*$CB111,0)</f>
        <v>#NAME?</v>
      </c>
      <c r="BI111" s="370" t="e">
        <f aca="false">xSPRDOPT($BW111,$BV111,$CG111,2*LN(1+CA111/2),$BY111,$BX111,$BZ111,$AJ111,1,9)</f>
        <v>#NAME?</v>
      </c>
      <c r="BJ111" s="370" t="e">
        <f aca="false">xSPRDOPT($BW111,$BV111,$CG111,0,$BY111,$BX111,$BZ111,$AJ111,1,6)*$CB111</f>
        <v>#NAME?</v>
      </c>
      <c r="BK111" s="370" t="e">
        <f aca="false">xSPRDOPT($BW111,$BV111,$CG111,0,$BY111,$BX111,$BZ111,$AJ111,1,5)*$CB111</f>
        <v>#NAME?</v>
      </c>
      <c r="BL111" s="370" t="e">
        <f aca="false">xSPRDOPT(BW111,BV111,CG111,0,BY111,BX111,BZ111,AJ111,1,2)*CB111</f>
        <v>#NAME?</v>
      </c>
      <c r="BM111" s="370" t="e">
        <f aca="false">xSPRDOPT(BW111,BV111,CG111,0,BY111,BX111,BZ111,AJ111,1,1)*CB111</f>
        <v>#NAME?</v>
      </c>
      <c r="BN111" s="370" t="e">
        <f aca="false">IF(AH111&lt;&gt;0,xSPRDOPT($BW111,$BV111,$CG111,2*LN(1+CA111/2),$BY111,$BX111,$BZ111,$AJ111,1,8)+(AJ111/365.25)*CH111/AH111,0)</f>
        <v>#VALUE!</v>
      </c>
      <c r="BO111" s="370" t="e">
        <f aca="false">xSPRDOPT($BW111,$BV111,$CG111,0,$BY111,$BX111,$BZ111,$AJ111,1,0)</f>
        <v>#NAME?</v>
      </c>
      <c r="BP111" s="370"/>
      <c r="BQ111" s="370"/>
      <c r="BR111" s="370"/>
      <c r="BS111" s="370"/>
      <c r="BV111" s="508" t="n">
        <v>3.7719623473192</v>
      </c>
      <c r="BW111" s="369" t="n">
        <v>3.742</v>
      </c>
      <c r="BX111" s="370" t="n">
        <v>0.204670509183521</v>
      </c>
      <c r="BY111" s="370" t="n">
        <v>0.205304551719111</v>
      </c>
      <c r="BZ111" s="370" t="n">
        <v>0.999255931189003</v>
      </c>
      <c r="CA111" s="370" t="n">
        <v>0.0586917657044355</v>
      </c>
      <c r="CB111" s="370" t="n">
        <v>0.647943346263286</v>
      </c>
      <c r="CC111" s="505" t="n">
        <v>-0.017</v>
      </c>
      <c r="CD111" s="505" t="n">
        <v>0.0575</v>
      </c>
      <c r="CE111" s="505" t="n">
        <v>0.145</v>
      </c>
      <c r="CF111" s="505" t="n">
        <v>-0.025</v>
      </c>
      <c r="CG111" s="505" t="n">
        <v>0.0192</v>
      </c>
      <c r="CH111" s="505" t="n">
        <v>2.0118640901475</v>
      </c>
      <c r="CI111" s="505" t="n">
        <v>3.622</v>
      </c>
    </row>
    <row r="112" customFormat="false" ht="12.75" hidden="false" customHeight="false" outlineLevel="0" collapsed="false">
      <c r="A112" s="500"/>
      <c r="B112" s="500"/>
      <c r="D112" s="361" t="e">
        <f aca="false">D111+AH111</f>
        <v>#VALUE!</v>
      </c>
      <c r="F112" s="362" t="e">
        <f aca="false">VLOOKUP(AG112,$AL$4:$AS$15,2)</f>
        <v>#VALUE!</v>
      </c>
      <c r="G112" s="362" t="e">
        <f aca="false">F112*$AU112</f>
        <v>#VALUE!</v>
      </c>
      <c r="H112" s="363" t="e">
        <f aca="false">(AL112+AM112+AN112)/(1-(AR112))</f>
        <v>#VALUE!</v>
      </c>
      <c r="I112" s="363" t="e">
        <f aca="false">(AL112+AO112+AP112)</f>
        <v>#VALUE!</v>
      </c>
      <c r="K112" s="363" t="e">
        <f aca="false">MAX(((I112-H112)-AQ112)*AU112*AH112,0)</f>
        <v>#VALUE!</v>
      </c>
      <c r="L112" s="501" t="e">
        <f aca="false">MAX(Q112-K112,0)</f>
        <v>#VALUE!</v>
      </c>
      <c r="N112" s="502" t="e">
        <f aca="false">SQRT(($AX112^2*($AH112/2)+$AW112^2*$AI112)/(($AH112/2)+$AI112))</f>
        <v>#VALUE!</v>
      </c>
      <c r="O112" s="502" t="e">
        <f aca="false">SQRT(($AY112^2*($AH112/2)+$AW112^2*$AI112)/(($AH112/2)+$AI112))</f>
        <v>#VALUE!</v>
      </c>
      <c r="P112" s="371" t="e">
        <f aca="false">(VLOOKUP(AI112,CorrelationTwo,2)*(AW112^2)*AI112+VLOOKUP(D112,CorrelationOne,$AK$9)*AX112*AY112*(AH112/2))/((AI112+(AH112/2))*O112*N112)*AF112</f>
        <v>#VALUE!</v>
      </c>
      <c r="Q112" s="501" t="e">
        <f aca="false">xSPRDOPT(I112,H112,AQ112,0,O112,N112,P112,D112-$G$5,1,0)*AH112*AU112</f>
        <v>#VALUE!</v>
      </c>
      <c r="R112" s="501"/>
      <c r="S112" s="365" t="e">
        <f aca="false">xSPRDOPT(I112,H112,AQ112,AT112,O112,N112,P112,D112-$G$5,1,2)*AF112*(F112/(1-AR112))*AH112</f>
        <v>#VALUE!</v>
      </c>
      <c r="T112" s="365" t="e">
        <f aca="false">xSPRDOPT(I112,H112,AQ112,AT112,O112,N112,P112,D112-$G$5,1,1)*AF112*F112*AH112</f>
        <v>#VALUE!</v>
      </c>
      <c r="U112" s="501"/>
      <c r="V112" s="503" t="e">
        <f aca="false">VLOOKUP($AG112,$AL$4:$AS$15,8)*AH112*AU112</f>
        <v>#VALUE!</v>
      </c>
      <c r="W112" s="503"/>
      <c r="X112" s="504" t="e">
        <f aca="false">((BM112*BC112)+(BL112*BB112))*AH112*F112</f>
        <v>#VALUE!</v>
      </c>
      <c r="Y112" s="504" t="e">
        <f aca="false">($F112*$AH112)*((($BG112/2)*($BC112)^2)+(($BF112/2)*($BB112)^2)+($BH112*$BC112*$BB112))</f>
        <v>#VALUE!</v>
      </c>
      <c r="Z112" s="504" t="e">
        <f aca="false">($BI112*$F112*$AH112*($G$5-$BV$5))/365.25</f>
        <v>#VALUE!</v>
      </c>
      <c r="AA112" s="504" t="e">
        <f aca="false">(($BK112*$BE112)+($BJ112*$BD112))*$F112*$AH112*$AF112</f>
        <v>#VALUE!</v>
      </c>
      <c r="AB112" s="504" t="e">
        <f aca="false">BN112*(AT112-CA112)*F112*AH112</f>
        <v>#VALUE!</v>
      </c>
      <c r="AC112" s="504" t="e">
        <f aca="false">BO112*CB112*F112*AH112*CA112*($G$5-$BV$5)/365.25</f>
        <v>#NAME?</v>
      </c>
      <c r="AF112" s="378" t="e">
        <f aca="false">IF(AND(D112&gt;=$G$7,D112&lt;=$G$8),1,0)</f>
        <v>#VALUE!</v>
      </c>
      <c r="AG112" s="378" t="e">
        <f aca="false">MONTH(D112)</f>
        <v>#VALUE!</v>
      </c>
      <c r="AH112" s="378" t="e">
        <f aca="false">(EOMONTH(D112,0)-EOMONTH(D112-DAY(D112),0))*AF112</f>
        <v>#VALUE!</v>
      </c>
      <c r="AI112" s="378" t="e">
        <f aca="false">AI111+AH111</f>
        <v>#VALUE!</v>
      </c>
      <c r="AJ112" s="378" t="e">
        <f aca="false">D112-$BV$5</f>
        <v>#VALUE!</v>
      </c>
      <c r="AL112" s="369" t="e">
        <f aca="false">VLOOKUP($D112,CurveTbl,$AK$4)</f>
        <v>#VALUE!</v>
      </c>
      <c r="AM112" s="505" t="e">
        <f aca="false">VLOOKUP($D112,CurveTbl,$AH$3)</f>
        <v>#VALUE!</v>
      </c>
      <c r="AN112" s="505" t="e">
        <f aca="false">VLOOKUP($D112,CurveTbl,$AH$4)+VLOOKUP($AG112,$AL$3:$AS$15,6)</f>
        <v>#VALUE!</v>
      </c>
      <c r="AO112" s="505" t="e">
        <f aca="false">VLOOKUP($D112,CurveTbl,$AH$5)</f>
        <v>#VALUE!</v>
      </c>
      <c r="AP112" s="505" t="e">
        <f aca="false">VLOOKUP($D112,CurveTbl,$AH$6)+VLOOKUP($AG112,$AL$3:$AS$15,7)</f>
        <v>#VALUE!</v>
      </c>
      <c r="AQ112" s="369" t="e">
        <f aca="false">VLOOKUP($AG112,$AL$4:$AS$15,3)+VLOOKUP($AG112,$AL$4:$AS$15,5)+($AH$10*VLOOKUP(D112,GRITable,2))</f>
        <v>#VALUE!</v>
      </c>
      <c r="AR112" s="370" t="e">
        <f aca="false">VLOOKUP($AG112,$AL$4:$AS$15,4)</f>
        <v>#VALUE!</v>
      </c>
      <c r="AS112" s="369" t="e">
        <f aca="false">(AL112+AM112+AN112)</f>
        <v>#VALUE!</v>
      </c>
      <c r="AT112" s="370" t="e">
        <f aca="false">VLOOKUP(D112,CurveTbl,$AK$6)</f>
        <v>#VALUE!</v>
      </c>
      <c r="AU112" s="370" t="e">
        <f aca="false">(1+$AT112/2)^(-2*($D112-$G$5)/365.25)*$AF112</f>
        <v>#VALUE!</v>
      </c>
      <c r="AV112" s="506" t="e">
        <f aca="false">ROUND((F112/(1-AR112))-F112,0)*AF112*AH112*AU112</f>
        <v>#VALUE!</v>
      </c>
      <c r="AW112" s="370" t="e">
        <f aca="false">VLOOKUP($D112,CurveTbl,$AK$8)</f>
        <v>#VALUE!</v>
      </c>
      <c r="AX112" s="370" t="e">
        <f aca="false">VLOOKUP($D112,CurveTbl,$AH$7)</f>
        <v>#VALUE!</v>
      </c>
      <c r="AY112" s="370" t="e">
        <f aca="false">VLOOKUP($D112,CurveTbl,$AH$8)</f>
        <v>#VALUE!</v>
      </c>
      <c r="AZ112" s="370"/>
      <c r="BA112" s="507"/>
      <c r="BB112" s="505" t="e">
        <f aca="false">$H112-$BV112</f>
        <v>#VALUE!</v>
      </c>
      <c r="BC112" s="505" t="e">
        <f aca="false">I112-BW112</f>
        <v>#VALUE!</v>
      </c>
      <c r="BD112" s="370" t="e">
        <f aca="false">N112-BX112</f>
        <v>#VALUE!</v>
      </c>
      <c r="BE112" s="370" t="e">
        <f aca="false">O112-BY112</f>
        <v>#VALUE!</v>
      </c>
      <c r="BF112" s="370" t="e">
        <f aca="false">xSPRDOPT($BW112,$BV112,$CG112,0,$BY112,$BX112,$BZ112,$AJ112,1,4)*$CB112</f>
        <v>#NAME?</v>
      </c>
      <c r="BG112" s="370" t="e">
        <f aca="false">xSPRDOPT($BW112,$BV112,$CG112,0,$BY112,$BX112,$BZ112,$AJ112,1,3)*$CB112</f>
        <v>#NAME?</v>
      </c>
      <c r="BH112" s="370" t="e">
        <f aca="false">IF(OR(BF112&lt;&gt;0,BG112&lt;&gt;0),xSPRDOPT($BW112,$BV112,$CG112,0,$BY112,$BX112,$BZ112,$AJ112,1,12)*$CB112,0)</f>
        <v>#NAME?</v>
      </c>
      <c r="BI112" s="370" t="e">
        <f aca="false">xSPRDOPT($BW112,$BV112,$CG112,2*LN(1+CA112/2),$BY112,$BX112,$BZ112,$AJ112,1,9)</f>
        <v>#NAME?</v>
      </c>
      <c r="BJ112" s="370" t="e">
        <f aca="false">xSPRDOPT($BW112,$BV112,$CG112,0,$BY112,$BX112,$BZ112,$AJ112,1,6)*$CB112</f>
        <v>#NAME?</v>
      </c>
      <c r="BK112" s="370" t="e">
        <f aca="false">xSPRDOPT($BW112,$BV112,$CG112,0,$BY112,$BX112,$BZ112,$AJ112,1,5)*$CB112</f>
        <v>#NAME?</v>
      </c>
      <c r="BL112" s="370" t="e">
        <f aca="false">xSPRDOPT(BW112,BV112,CG112,0,BY112,BX112,BZ112,AJ112,1,2)*CB112</f>
        <v>#NAME?</v>
      </c>
      <c r="BM112" s="370" t="e">
        <f aca="false">xSPRDOPT(BW112,BV112,CG112,0,BY112,BX112,BZ112,AJ112,1,1)*CB112</f>
        <v>#NAME?</v>
      </c>
      <c r="BN112" s="370" t="e">
        <f aca="false">IF(AH112&lt;&gt;0,xSPRDOPT($BW112,$BV112,$CG112,2*LN(1+CA112/2),$BY112,$BX112,$BZ112,$AJ112,1,8)+(AJ112/365.25)*CH112/AH112,0)</f>
        <v>#VALUE!</v>
      </c>
      <c r="BO112" s="370" t="e">
        <f aca="false">xSPRDOPT($BW112,$BV112,$CG112,0,$BY112,$BX112,$BZ112,$AJ112,1,0)</f>
        <v>#NAME?</v>
      </c>
      <c r="BP112" s="370"/>
      <c r="BQ112" s="370"/>
      <c r="BR112" s="370"/>
      <c r="BS112" s="370"/>
      <c r="BV112" s="508" t="n">
        <v>3.81315784053225</v>
      </c>
      <c r="BW112" s="369" t="n">
        <v>3.787</v>
      </c>
      <c r="BX112" s="370" t="n">
        <v>0.205365714454194</v>
      </c>
      <c r="BY112" s="370" t="n">
        <v>0.205365714454194</v>
      </c>
      <c r="BZ112" s="370" t="n">
        <v>0.999336973420548</v>
      </c>
      <c r="CA112" s="370" t="n">
        <v>0.0587973588762392</v>
      </c>
      <c r="CB112" s="370" t="n">
        <v>0.644370590893921</v>
      </c>
      <c r="CC112" s="505" t="n">
        <v>-0.017</v>
      </c>
      <c r="CD112" s="505" t="n">
        <v>0.0575</v>
      </c>
      <c r="CE112" s="505" t="n">
        <v>0.15</v>
      </c>
      <c r="CF112" s="505" t="n">
        <v>-0.025</v>
      </c>
      <c r="CG112" s="505" t="n">
        <v>0.0192</v>
      </c>
      <c r="CH112" s="505" t="n">
        <v>2.06746304088315</v>
      </c>
      <c r="CI112" s="505" t="n">
        <v>3.662</v>
      </c>
    </row>
    <row r="113" customFormat="false" ht="12.75" hidden="false" customHeight="false" outlineLevel="0" collapsed="false">
      <c r="A113" s="500"/>
      <c r="B113" s="500"/>
      <c r="D113" s="361" t="e">
        <f aca="false">D112+AH112</f>
        <v>#VALUE!</v>
      </c>
      <c r="F113" s="362" t="e">
        <f aca="false">VLOOKUP(AG113,$AL$4:$AS$15,2)</f>
        <v>#VALUE!</v>
      </c>
      <c r="G113" s="362" t="e">
        <f aca="false">F113*$AU113</f>
        <v>#VALUE!</v>
      </c>
      <c r="H113" s="363" t="e">
        <f aca="false">(AL113+AM113+AN113)/(1-(AR113))</f>
        <v>#VALUE!</v>
      </c>
      <c r="I113" s="363" t="e">
        <f aca="false">(AL113+AO113+AP113)</f>
        <v>#VALUE!</v>
      </c>
      <c r="K113" s="363" t="e">
        <f aca="false">MAX(((I113-H113)-AQ113)*AU113*AH113,0)</f>
        <v>#VALUE!</v>
      </c>
      <c r="L113" s="501" t="e">
        <f aca="false">MAX(Q113-K113,0)</f>
        <v>#VALUE!</v>
      </c>
      <c r="N113" s="502" t="e">
        <f aca="false">SQRT(($AX113^2*($AH113/2)+$AW113^2*$AI113)/(($AH113/2)+$AI113))</f>
        <v>#VALUE!</v>
      </c>
      <c r="O113" s="502" t="e">
        <f aca="false">SQRT(($AY113^2*($AH113/2)+$AW113^2*$AI113)/(($AH113/2)+$AI113))</f>
        <v>#VALUE!</v>
      </c>
      <c r="P113" s="371" t="e">
        <f aca="false">(VLOOKUP(AI113,CorrelationTwo,2)*(AW113^2)*AI113+VLOOKUP(D113,CorrelationOne,$AK$9)*AX113*AY113*(AH113/2))/((AI113+(AH113/2))*O113*N113)*AF113</f>
        <v>#VALUE!</v>
      </c>
      <c r="Q113" s="501" t="e">
        <f aca="false">xSPRDOPT(I113,H113,AQ113,0,O113,N113,P113,D113-$G$5,1,0)*AH113*AU113</f>
        <v>#VALUE!</v>
      </c>
      <c r="R113" s="501"/>
      <c r="S113" s="365" t="e">
        <f aca="false">xSPRDOPT(I113,H113,AQ113,AT113,O113,N113,P113,D113-$G$5,1,2)*AF113*(F113/(1-AR113))*AH113</f>
        <v>#VALUE!</v>
      </c>
      <c r="T113" s="365" t="e">
        <f aca="false">xSPRDOPT(I113,H113,AQ113,AT113,O113,N113,P113,D113-$G$5,1,1)*AF113*F113*AH113</f>
        <v>#VALUE!</v>
      </c>
      <c r="U113" s="501"/>
      <c r="V113" s="503" t="e">
        <f aca="false">VLOOKUP($AG113,$AL$4:$AS$15,8)*AH113*AU113</f>
        <v>#VALUE!</v>
      </c>
      <c r="W113" s="503"/>
      <c r="X113" s="504" t="e">
        <f aca="false">((BM113*BC113)+(BL113*BB113))*AH113*F113</f>
        <v>#VALUE!</v>
      </c>
      <c r="Y113" s="504" t="e">
        <f aca="false">($F113*$AH113)*((($BG113/2)*($BC113)^2)+(($BF113/2)*($BB113)^2)+($BH113*$BC113*$BB113))</f>
        <v>#VALUE!</v>
      </c>
      <c r="Z113" s="504" t="e">
        <f aca="false">($BI113*$F113*$AH113*($G$5-$BV$5))/365.25</f>
        <v>#VALUE!</v>
      </c>
      <c r="AA113" s="504" t="e">
        <f aca="false">(($BK113*$BE113)+($BJ113*$BD113))*$F113*$AH113*$AF113</f>
        <v>#VALUE!</v>
      </c>
      <c r="AB113" s="504" t="e">
        <f aca="false">BN113*(AT113-CA113)*F113*AH113</f>
        <v>#VALUE!</v>
      </c>
      <c r="AC113" s="504" t="e">
        <f aca="false">BO113*CB113*F113*AH113*CA113*($G$5-$BV$5)/365.25</f>
        <v>#NAME?</v>
      </c>
      <c r="AF113" s="378" t="e">
        <f aca="false">IF(AND(D113&gt;=$G$7,D113&lt;=$G$8),1,0)</f>
        <v>#VALUE!</v>
      </c>
      <c r="AG113" s="378" t="e">
        <f aca="false">MONTH(D113)</f>
        <v>#VALUE!</v>
      </c>
      <c r="AH113" s="378" t="e">
        <f aca="false">(EOMONTH(D113,0)-EOMONTH(D113-DAY(D113),0))*AF113</f>
        <v>#VALUE!</v>
      </c>
      <c r="AI113" s="378" t="e">
        <f aca="false">AI112+AH112</f>
        <v>#VALUE!</v>
      </c>
      <c r="AJ113" s="378" t="e">
        <f aca="false">D113-$BV$5</f>
        <v>#VALUE!</v>
      </c>
      <c r="AL113" s="369" t="e">
        <f aca="false">VLOOKUP($D113,CurveTbl,$AK$4)</f>
        <v>#VALUE!</v>
      </c>
      <c r="AM113" s="505" t="e">
        <f aca="false">VLOOKUP($D113,CurveTbl,$AH$3)</f>
        <v>#VALUE!</v>
      </c>
      <c r="AN113" s="505" t="e">
        <f aca="false">VLOOKUP($D113,CurveTbl,$AH$4)+VLOOKUP($AG113,$AL$3:$AS$15,6)</f>
        <v>#VALUE!</v>
      </c>
      <c r="AO113" s="505" t="e">
        <f aca="false">VLOOKUP($D113,CurveTbl,$AH$5)</f>
        <v>#VALUE!</v>
      </c>
      <c r="AP113" s="505" t="e">
        <f aca="false">VLOOKUP($D113,CurveTbl,$AH$6)+VLOOKUP($AG113,$AL$3:$AS$15,7)</f>
        <v>#VALUE!</v>
      </c>
      <c r="AQ113" s="369" t="e">
        <f aca="false">VLOOKUP($AG113,$AL$4:$AS$15,3)+VLOOKUP($AG113,$AL$4:$AS$15,5)+($AH$10*VLOOKUP(D113,GRITable,2))</f>
        <v>#VALUE!</v>
      </c>
      <c r="AR113" s="370" t="e">
        <f aca="false">VLOOKUP($AG113,$AL$4:$AS$15,4)</f>
        <v>#VALUE!</v>
      </c>
      <c r="AS113" s="369" t="e">
        <f aca="false">(AL113+AM113+AN113)</f>
        <v>#VALUE!</v>
      </c>
      <c r="AT113" s="370" t="e">
        <f aca="false">VLOOKUP(D113,CurveTbl,$AK$6)</f>
        <v>#VALUE!</v>
      </c>
      <c r="AU113" s="370" t="e">
        <f aca="false">(1+$AT113/2)^(-2*($D113-$G$5)/365.25)*$AF113</f>
        <v>#VALUE!</v>
      </c>
      <c r="AV113" s="506" t="e">
        <f aca="false">ROUND((F113/(1-AR113))-F113,0)*AF113*AH113*AU113</f>
        <v>#VALUE!</v>
      </c>
      <c r="AW113" s="370" t="e">
        <f aca="false">VLOOKUP($D113,CurveTbl,$AK$8)</f>
        <v>#VALUE!</v>
      </c>
      <c r="AX113" s="370" t="e">
        <f aca="false">VLOOKUP($D113,CurveTbl,$AH$7)</f>
        <v>#VALUE!</v>
      </c>
      <c r="AY113" s="370" t="e">
        <f aca="false">VLOOKUP($D113,CurveTbl,$AH$8)</f>
        <v>#VALUE!</v>
      </c>
      <c r="AZ113" s="370"/>
      <c r="BA113" s="507"/>
      <c r="BB113" s="505" t="e">
        <f aca="false">$H113-$BV113</f>
        <v>#VALUE!</v>
      </c>
      <c r="BC113" s="505" t="e">
        <f aca="false">I113-BW113</f>
        <v>#VALUE!</v>
      </c>
      <c r="BD113" s="370" t="e">
        <f aca="false">N113-BX113</f>
        <v>#VALUE!</v>
      </c>
      <c r="BE113" s="370" t="e">
        <f aca="false">O113-BY113</f>
        <v>#VALUE!</v>
      </c>
      <c r="BF113" s="370" t="e">
        <f aca="false">xSPRDOPT($BW113,$BV113,$CG113,0,$BY113,$BX113,$BZ113,$AJ113,1,4)*$CB113</f>
        <v>#NAME?</v>
      </c>
      <c r="BG113" s="370" t="e">
        <f aca="false">xSPRDOPT($BW113,$BV113,$CG113,0,$BY113,$BX113,$BZ113,$AJ113,1,3)*$CB113</f>
        <v>#NAME?</v>
      </c>
      <c r="BH113" s="370" t="e">
        <f aca="false">IF(OR(BF113&lt;&gt;0,BG113&lt;&gt;0),xSPRDOPT($BW113,$BV113,$CG113,0,$BY113,$BX113,$BZ113,$AJ113,1,12)*$CB113,0)</f>
        <v>#NAME?</v>
      </c>
      <c r="BI113" s="370" t="e">
        <f aca="false">xSPRDOPT($BW113,$BV113,$CG113,2*LN(1+CA113/2),$BY113,$BX113,$BZ113,$AJ113,1,9)</f>
        <v>#NAME?</v>
      </c>
      <c r="BJ113" s="370" t="e">
        <f aca="false">xSPRDOPT($BW113,$BV113,$CG113,0,$BY113,$BX113,$BZ113,$AJ113,1,6)*$CB113</f>
        <v>#NAME?</v>
      </c>
      <c r="BK113" s="370" t="e">
        <f aca="false">xSPRDOPT($BW113,$BV113,$CG113,0,$BY113,$BX113,$BZ113,$AJ113,1,5)*$CB113</f>
        <v>#NAME?</v>
      </c>
      <c r="BL113" s="370" t="e">
        <f aca="false">xSPRDOPT(BW113,BV113,CG113,0,BY113,BX113,BZ113,AJ113,1,2)*CB113</f>
        <v>#NAME?</v>
      </c>
      <c r="BM113" s="370" t="e">
        <f aca="false">xSPRDOPT(BW113,BV113,CG113,0,BY113,BX113,BZ113,AJ113,1,1)*CB113</f>
        <v>#NAME?</v>
      </c>
      <c r="BN113" s="370" t="e">
        <f aca="false">IF(AH113&lt;&gt;0,xSPRDOPT($BW113,$BV113,$CG113,2*LN(1+CA113/2),$BY113,$BX113,$BZ113,$AJ113,1,8)+(AJ113/365.25)*CH113/AH113,0)</f>
        <v>#VALUE!</v>
      </c>
      <c r="BO113" s="370" t="e">
        <f aca="false">xSPRDOPT($BW113,$BV113,$CG113,0,$BY113,$BX113,$BZ113,$AJ113,1,0)</f>
        <v>#NAME?</v>
      </c>
      <c r="BP113" s="370"/>
      <c r="BQ113" s="370"/>
      <c r="BR113" s="370"/>
      <c r="BS113" s="370"/>
      <c r="BV113" s="508" t="n">
        <v>3.85435333374529</v>
      </c>
      <c r="BW113" s="369" t="n">
        <v>3.827</v>
      </c>
      <c r="BX113" s="370" t="n">
        <v>0.206040077123141</v>
      </c>
      <c r="BY113" s="370" t="n">
        <v>0.206040077123141</v>
      </c>
      <c r="BZ113" s="370" t="n">
        <v>0.999211797071682</v>
      </c>
      <c r="CA113" s="370" t="n">
        <v>0.0589064718243306</v>
      </c>
      <c r="CB113" s="370" t="n">
        <v>0.640688123536613</v>
      </c>
      <c r="CC113" s="505" t="n">
        <v>-0.017</v>
      </c>
      <c r="CD113" s="505" t="n">
        <v>0.0575</v>
      </c>
      <c r="CE113" s="505" t="n">
        <v>0.15</v>
      </c>
      <c r="CF113" s="505" t="n">
        <v>-0.025</v>
      </c>
      <c r="CG113" s="505" t="n">
        <v>0.0192</v>
      </c>
      <c r="CH113" s="505" t="n">
        <v>2.05564784436722</v>
      </c>
      <c r="CI113" s="505" t="n">
        <v>3.702</v>
      </c>
    </row>
    <row r="114" customFormat="false" ht="12.75" hidden="false" customHeight="false" outlineLevel="0" collapsed="false">
      <c r="A114" s="500"/>
      <c r="B114" s="500"/>
      <c r="D114" s="361" t="e">
        <f aca="false">D113+AH113</f>
        <v>#VALUE!</v>
      </c>
      <c r="F114" s="362" t="e">
        <f aca="false">VLOOKUP(AG114,$AL$4:$AS$15,2)</f>
        <v>#VALUE!</v>
      </c>
      <c r="G114" s="362" t="e">
        <f aca="false">F114*$AU114</f>
        <v>#VALUE!</v>
      </c>
      <c r="H114" s="363" t="e">
        <f aca="false">(AL114+AM114+AN114)/(1-(AR114))</f>
        <v>#VALUE!</v>
      </c>
      <c r="I114" s="363" t="e">
        <f aca="false">(AL114+AO114+AP114)</f>
        <v>#VALUE!</v>
      </c>
      <c r="K114" s="363" t="e">
        <f aca="false">MAX(((I114-H114)-AQ114)*AU114*AH114,0)</f>
        <v>#VALUE!</v>
      </c>
      <c r="L114" s="501" t="e">
        <f aca="false">MAX(Q114-K114,0)</f>
        <v>#VALUE!</v>
      </c>
      <c r="N114" s="502" t="e">
        <f aca="false">SQRT(($AX114^2*($AH114/2)+$AW114^2*$AI114)/(($AH114/2)+$AI114))</f>
        <v>#VALUE!</v>
      </c>
      <c r="O114" s="502" t="e">
        <f aca="false">SQRT(($AY114^2*($AH114/2)+$AW114^2*$AI114)/(($AH114/2)+$AI114))</f>
        <v>#VALUE!</v>
      </c>
      <c r="P114" s="371" t="e">
        <f aca="false">(VLOOKUP(AI114,CorrelationTwo,2)*(AW114^2)*AI114+VLOOKUP(D114,CorrelationOne,$AK$9)*AX114*AY114*(AH114/2))/((AI114+(AH114/2))*O114*N114)*AF114</f>
        <v>#VALUE!</v>
      </c>
      <c r="Q114" s="501" t="e">
        <f aca="false">xSPRDOPT(I114,H114,AQ114,0,O114,N114,P114,D114-$G$5,1,0)*AH114*AU114</f>
        <v>#VALUE!</v>
      </c>
      <c r="R114" s="501"/>
      <c r="S114" s="365" t="e">
        <f aca="false">xSPRDOPT(I114,H114,AQ114,AT114,O114,N114,P114,D114-$G$5,1,2)*AF114*(F114/(1-AR114))*AH114</f>
        <v>#VALUE!</v>
      </c>
      <c r="T114" s="365" t="e">
        <f aca="false">xSPRDOPT(I114,H114,AQ114,AT114,O114,N114,P114,D114-$G$5,1,1)*AF114*F114*AH114</f>
        <v>#VALUE!</v>
      </c>
      <c r="U114" s="501"/>
      <c r="V114" s="503" t="e">
        <f aca="false">VLOOKUP($AG114,$AL$4:$AS$15,8)*AH114*AU114</f>
        <v>#VALUE!</v>
      </c>
      <c r="W114" s="503"/>
      <c r="X114" s="504" t="e">
        <f aca="false">((BM114*BC114)+(BL114*BB114))*AH114*F114</f>
        <v>#VALUE!</v>
      </c>
      <c r="Y114" s="504" t="e">
        <f aca="false">($F114*$AH114)*((($BG114/2)*($BC114)^2)+(($BF114/2)*($BB114)^2)+($BH114*$BC114*$BB114))</f>
        <v>#VALUE!</v>
      </c>
      <c r="Z114" s="504" t="e">
        <f aca="false">($BI114*$F114*$AH114*($G$5-$BV$5))/365.25</f>
        <v>#VALUE!</v>
      </c>
      <c r="AA114" s="504" t="e">
        <f aca="false">(($BK114*$BE114)+($BJ114*$BD114))*$F114*$AH114*$AF114</f>
        <v>#VALUE!</v>
      </c>
      <c r="AB114" s="504" t="e">
        <f aca="false">BN114*(AT114-CA114)*F114*AH114</f>
        <v>#VALUE!</v>
      </c>
      <c r="AC114" s="504" t="e">
        <f aca="false">BO114*CB114*F114*AH114*CA114*($G$5-$BV$5)/365.25</f>
        <v>#NAME?</v>
      </c>
      <c r="AF114" s="378" t="e">
        <f aca="false">IF(AND(D114&gt;=$G$7,D114&lt;=$G$8),1,0)</f>
        <v>#VALUE!</v>
      </c>
      <c r="AG114" s="378" t="e">
        <f aca="false">MONTH(D114)</f>
        <v>#VALUE!</v>
      </c>
      <c r="AH114" s="378" t="e">
        <f aca="false">(EOMONTH(D114,0)-EOMONTH(D114-DAY(D114),0))*AF114</f>
        <v>#VALUE!</v>
      </c>
      <c r="AI114" s="378" t="e">
        <f aca="false">AI113+AH113</f>
        <v>#VALUE!</v>
      </c>
      <c r="AJ114" s="378" t="e">
        <f aca="false">D114-$BV$5</f>
        <v>#VALUE!</v>
      </c>
      <c r="AL114" s="369" t="e">
        <f aca="false">VLOOKUP($D114,CurveTbl,$AK$4)</f>
        <v>#VALUE!</v>
      </c>
      <c r="AM114" s="505" t="e">
        <f aca="false">VLOOKUP($D114,CurveTbl,$AH$3)</f>
        <v>#VALUE!</v>
      </c>
      <c r="AN114" s="505" t="e">
        <f aca="false">VLOOKUP($D114,CurveTbl,$AH$4)+VLOOKUP($AG114,$AL$3:$AS$15,6)</f>
        <v>#VALUE!</v>
      </c>
      <c r="AO114" s="505" t="e">
        <f aca="false">VLOOKUP($D114,CurveTbl,$AH$5)</f>
        <v>#VALUE!</v>
      </c>
      <c r="AP114" s="505" t="e">
        <f aca="false">VLOOKUP($D114,CurveTbl,$AH$6)+VLOOKUP($AG114,$AL$3:$AS$15,7)</f>
        <v>#VALUE!</v>
      </c>
      <c r="AQ114" s="369" t="e">
        <f aca="false">VLOOKUP($AG114,$AL$4:$AS$15,3)+VLOOKUP($AG114,$AL$4:$AS$15,5)+($AH$10*VLOOKUP(D114,GRITable,2))</f>
        <v>#VALUE!</v>
      </c>
      <c r="AR114" s="370" t="e">
        <f aca="false">VLOOKUP($AG114,$AL$4:$AS$15,4)</f>
        <v>#VALUE!</v>
      </c>
      <c r="AS114" s="369" t="e">
        <f aca="false">(AL114+AM114+AN114)</f>
        <v>#VALUE!</v>
      </c>
      <c r="AT114" s="370" t="e">
        <f aca="false">VLOOKUP(D114,CurveTbl,$AK$6)</f>
        <v>#VALUE!</v>
      </c>
      <c r="AU114" s="370" t="e">
        <f aca="false">(1+$AT114/2)^(-2*($D114-$G$5)/365.25)*$AF114</f>
        <v>#VALUE!</v>
      </c>
      <c r="AV114" s="506" t="e">
        <f aca="false">ROUND((F114/(1-AR114))-F114,0)*AF114*AH114*AU114</f>
        <v>#VALUE!</v>
      </c>
      <c r="AW114" s="370" t="e">
        <f aca="false">VLOOKUP($D114,CurveTbl,$AK$8)</f>
        <v>#VALUE!</v>
      </c>
      <c r="AX114" s="370" t="e">
        <f aca="false">VLOOKUP($D114,CurveTbl,$AH$7)</f>
        <v>#VALUE!</v>
      </c>
      <c r="AY114" s="370" t="e">
        <f aca="false">VLOOKUP($D114,CurveTbl,$AH$8)</f>
        <v>#VALUE!</v>
      </c>
      <c r="AZ114" s="370"/>
      <c r="BA114" s="507"/>
      <c r="BB114" s="505" t="e">
        <f aca="false">$H114-$BV114</f>
        <v>#VALUE!</v>
      </c>
      <c r="BC114" s="505" t="e">
        <f aca="false">I114-BW114</f>
        <v>#VALUE!</v>
      </c>
      <c r="BD114" s="370" t="e">
        <f aca="false">N114-BX114</f>
        <v>#VALUE!</v>
      </c>
      <c r="BE114" s="370" t="e">
        <f aca="false">O114-BY114</f>
        <v>#VALUE!</v>
      </c>
      <c r="BF114" s="370" t="e">
        <f aca="false">xSPRDOPT($BW114,$BV114,$CG114,0,$BY114,$BX114,$BZ114,$AJ114,1,4)*$CB114</f>
        <v>#NAME?</v>
      </c>
      <c r="BG114" s="370" t="e">
        <f aca="false">xSPRDOPT($BW114,$BV114,$CG114,0,$BY114,$BX114,$BZ114,$AJ114,1,3)*$CB114</f>
        <v>#NAME?</v>
      </c>
      <c r="BH114" s="370" t="e">
        <f aca="false">IF(OR(BF114&lt;&gt;0,BG114&lt;&gt;0),xSPRDOPT($BW114,$BV114,$CG114,0,$BY114,$BX114,$BZ114,$AJ114,1,12)*$CB114,0)</f>
        <v>#NAME?</v>
      </c>
      <c r="BI114" s="370" t="e">
        <f aca="false">xSPRDOPT($BW114,$BV114,$CG114,2*LN(1+CA114/2),$BY114,$BX114,$BZ114,$AJ114,1,9)</f>
        <v>#NAME?</v>
      </c>
      <c r="BJ114" s="370" t="e">
        <f aca="false">xSPRDOPT($BW114,$BV114,$CG114,0,$BY114,$BX114,$BZ114,$AJ114,1,6)*$CB114</f>
        <v>#NAME?</v>
      </c>
      <c r="BK114" s="370" t="e">
        <f aca="false">xSPRDOPT($BW114,$BV114,$CG114,0,$BY114,$BX114,$BZ114,$AJ114,1,5)*$CB114</f>
        <v>#NAME?</v>
      </c>
      <c r="BL114" s="370" t="e">
        <f aca="false">xSPRDOPT(BW114,BV114,CG114,0,BY114,BX114,BZ114,AJ114,1,2)*CB114</f>
        <v>#NAME?</v>
      </c>
      <c r="BM114" s="370" t="e">
        <f aca="false">xSPRDOPT(BW114,BV114,CG114,0,BY114,BX114,BZ114,AJ114,1,1)*CB114</f>
        <v>#NAME?</v>
      </c>
      <c r="BN114" s="370" t="e">
        <f aca="false">IF(AH114&lt;&gt;0,xSPRDOPT($BW114,$BV114,$CG114,2*LN(1+CA114/2),$BY114,$BX114,$BZ114,$AJ114,1,8)+(AJ114/365.25)*CH114/AH114,0)</f>
        <v>#VALUE!</v>
      </c>
      <c r="BO114" s="370" t="e">
        <f aca="false">xSPRDOPT($BW114,$BV114,$CG114,0,$BY114,$BX114,$BZ114,$AJ114,1,0)</f>
        <v>#NAME?</v>
      </c>
      <c r="BP114" s="370"/>
      <c r="BQ114" s="370"/>
      <c r="BR114" s="370"/>
      <c r="BS114" s="370"/>
      <c r="BV114" s="508" t="n">
        <v>3.84920389709366</v>
      </c>
      <c r="BW114" s="369" t="n">
        <v>3.797</v>
      </c>
      <c r="BX114" s="370" t="n">
        <v>0.205890241545619</v>
      </c>
      <c r="BY114" s="370" t="n">
        <v>0.206628263182416</v>
      </c>
      <c r="BZ114" s="370" t="n">
        <v>0.999029414361139</v>
      </c>
      <c r="CA114" s="370" t="n">
        <v>0.0590155847763798</v>
      </c>
      <c r="CB114" s="370" t="n">
        <v>0.637015267207259</v>
      </c>
      <c r="CC114" s="505" t="n">
        <v>-0.017</v>
      </c>
      <c r="CD114" s="505" t="n">
        <v>0.0575</v>
      </c>
      <c r="CE114" s="505" t="n">
        <v>0.125</v>
      </c>
      <c r="CF114" s="505" t="n">
        <v>-0.025</v>
      </c>
      <c r="CG114" s="505" t="n">
        <v>0.0192</v>
      </c>
      <c r="CH114" s="505" t="n">
        <v>1.97793240467854</v>
      </c>
      <c r="CI114" s="505" t="n">
        <v>3.697</v>
      </c>
    </row>
    <row r="115" customFormat="false" ht="12.75" hidden="false" customHeight="false" outlineLevel="0" collapsed="false">
      <c r="A115" s="500"/>
      <c r="B115" s="500"/>
      <c r="D115" s="361" t="e">
        <f aca="false">D114+AH114</f>
        <v>#VALUE!</v>
      </c>
      <c r="F115" s="362" t="e">
        <f aca="false">VLOOKUP(AG115,$AL$4:$AS$15,2)</f>
        <v>#VALUE!</v>
      </c>
      <c r="G115" s="362" t="e">
        <f aca="false">F115*$AU115</f>
        <v>#VALUE!</v>
      </c>
      <c r="H115" s="363" t="e">
        <f aca="false">(AL115+AM115+AN115)/(1-(AR115))</f>
        <v>#VALUE!</v>
      </c>
      <c r="I115" s="363" t="e">
        <f aca="false">(AL115+AO115+AP115)</f>
        <v>#VALUE!</v>
      </c>
      <c r="K115" s="363" t="e">
        <f aca="false">MAX(((I115-H115)-AQ115)*AU115*AH115,0)</f>
        <v>#VALUE!</v>
      </c>
      <c r="L115" s="501" t="e">
        <f aca="false">MAX(Q115-K115,0)</f>
        <v>#VALUE!</v>
      </c>
      <c r="N115" s="502" t="e">
        <f aca="false">SQRT(($AX115^2*($AH115/2)+$AW115^2*$AI115)/(($AH115/2)+$AI115))</f>
        <v>#VALUE!</v>
      </c>
      <c r="O115" s="502" t="e">
        <f aca="false">SQRT(($AY115^2*($AH115/2)+$AW115^2*$AI115)/(($AH115/2)+$AI115))</f>
        <v>#VALUE!</v>
      </c>
      <c r="P115" s="371" t="e">
        <f aca="false">(VLOOKUP(AI115,CorrelationTwo,2)*(AW115^2)*AI115+VLOOKUP(D115,CorrelationOne,$AK$9)*AX115*AY115*(AH115/2))/((AI115+(AH115/2))*O115*N115)*AF115</f>
        <v>#VALUE!</v>
      </c>
      <c r="Q115" s="501" t="e">
        <f aca="false">xSPRDOPT(I115,H115,AQ115,0,O115,N115,P115,D115-$G$5,1,0)*AH115*AU115</f>
        <v>#VALUE!</v>
      </c>
      <c r="R115" s="501"/>
      <c r="S115" s="365" t="e">
        <f aca="false">xSPRDOPT(I115,H115,AQ115,AT115,O115,N115,P115,D115-$G$5,1,2)*AF115*(F115/(1-AR115))*AH115</f>
        <v>#VALUE!</v>
      </c>
      <c r="T115" s="365" t="e">
        <f aca="false">xSPRDOPT(I115,H115,AQ115,AT115,O115,N115,P115,D115-$G$5,1,1)*AF115*F115*AH115</f>
        <v>#VALUE!</v>
      </c>
      <c r="U115" s="501"/>
      <c r="V115" s="503" t="e">
        <f aca="false">VLOOKUP($AG115,$AL$4:$AS$15,8)*AH115*AU115</f>
        <v>#VALUE!</v>
      </c>
      <c r="W115" s="503"/>
      <c r="X115" s="504" t="e">
        <f aca="false">((BM115*BC115)+(BL115*BB115))*AH115*F115</f>
        <v>#VALUE!</v>
      </c>
      <c r="Y115" s="504" t="e">
        <f aca="false">($F115*$AH115)*((($BG115/2)*($BC115)^2)+(($BF115/2)*($BB115)^2)+($BH115*$BC115*$BB115))</f>
        <v>#VALUE!</v>
      </c>
      <c r="Z115" s="504" t="e">
        <f aca="false">($BI115*$F115*$AH115*($G$5-$BV$5))/365.25</f>
        <v>#VALUE!</v>
      </c>
      <c r="AA115" s="504" t="e">
        <f aca="false">(($BK115*$BE115)+($BJ115*$BD115))*$F115*$AH115*$AF115</f>
        <v>#VALUE!</v>
      </c>
      <c r="AB115" s="504" t="e">
        <f aca="false">BN115*(AT115-CA115)*F115*AH115</f>
        <v>#VALUE!</v>
      </c>
      <c r="AC115" s="504" t="e">
        <f aca="false">BO115*CB115*F115*AH115*CA115*($G$5-$BV$5)/365.25</f>
        <v>#NAME?</v>
      </c>
      <c r="AF115" s="378" t="e">
        <f aca="false">IF(AND(D115&gt;=$G$7,D115&lt;=$G$8),1,0)</f>
        <v>#VALUE!</v>
      </c>
      <c r="AG115" s="378" t="e">
        <f aca="false">MONTH(D115)</f>
        <v>#VALUE!</v>
      </c>
      <c r="AH115" s="378" t="e">
        <f aca="false">(EOMONTH(D115,0)-EOMONTH(D115-DAY(D115),0))*AF115</f>
        <v>#VALUE!</v>
      </c>
      <c r="AI115" s="378" t="e">
        <f aca="false">AI114+AH114</f>
        <v>#VALUE!</v>
      </c>
      <c r="AJ115" s="378" t="e">
        <f aca="false">D115-$BV$5</f>
        <v>#VALUE!</v>
      </c>
      <c r="AL115" s="369" t="e">
        <f aca="false">VLOOKUP($D115,CurveTbl,$AK$4)</f>
        <v>#VALUE!</v>
      </c>
      <c r="AM115" s="505" t="e">
        <f aca="false">VLOOKUP($D115,CurveTbl,$AH$3)</f>
        <v>#VALUE!</v>
      </c>
      <c r="AN115" s="505" t="e">
        <f aca="false">VLOOKUP($D115,CurveTbl,$AH$4)+VLOOKUP($AG115,$AL$3:$AS$15,6)</f>
        <v>#VALUE!</v>
      </c>
      <c r="AO115" s="505" t="e">
        <f aca="false">VLOOKUP($D115,CurveTbl,$AH$5)</f>
        <v>#VALUE!</v>
      </c>
      <c r="AP115" s="505" t="e">
        <f aca="false">VLOOKUP($D115,CurveTbl,$AH$6)+VLOOKUP($AG115,$AL$3:$AS$15,7)</f>
        <v>#VALUE!</v>
      </c>
      <c r="AQ115" s="369" t="e">
        <f aca="false">VLOOKUP($AG115,$AL$4:$AS$15,3)+VLOOKUP($AG115,$AL$4:$AS$15,5)+($AH$10*VLOOKUP(D115,GRITable,2))</f>
        <v>#VALUE!</v>
      </c>
      <c r="AR115" s="370" t="e">
        <f aca="false">VLOOKUP($AG115,$AL$4:$AS$15,4)</f>
        <v>#VALUE!</v>
      </c>
      <c r="AS115" s="369" t="e">
        <f aca="false">(AL115+AM115+AN115)</f>
        <v>#VALUE!</v>
      </c>
      <c r="AT115" s="370" t="e">
        <f aca="false">VLOOKUP(D115,CurveTbl,$AK$6)</f>
        <v>#VALUE!</v>
      </c>
      <c r="AU115" s="370" t="e">
        <f aca="false">(1+$AT115/2)^(-2*($D115-$G$5)/365.25)*$AF115</f>
        <v>#VALUE!</v>
      </c>
      <c r="AV115" s="506" t="e">
        <f aca="false">ROUND((F115/(1-AR115))-F115,0)*AF115*AH115*AU115</f>
        <v>#VALUE!</v>
      </c>
      <c r="AW115" s="370" t="e">
        <f aca="false">VLOOKUP($D115,CurveTbl,$AK$8)</f>
        <v>#VALUE!</v>
      </c>
      <c r="AX115" s="370" t="e">
        <f aca="false">VLOOKUP($D115,CurveTbl,$AH$7)</f>
        <v>#VALUE!</v>
      </c>
      <c r="AY115" s="370" t="e">
        <f aca="false">VLOOKUP($D115,CurveTbl,$AH$8)</f>
        <v>#VALUE!</v>
      </c>
      <c r="AZ115" s="370"/>
      <c r="BA115" s="507"/>
      <c r="BB115" s="505" t="e">
        <f aca="false">$H115-$BV115</f>
        <v>#VALUE!</v>
      </c>
      <c r="BC115" s="505" t="e">
        <f aca="false">I115-BW115</f>
        <v>#VALUE!</v>
      </c>
      <c r="BD115" s="370" t="e">
        <f aca="false">N115-BX115</f>
        <v>#VALUE!</v>
      </c>
      <c r="BE115" s="370" t="e">
        <f aca="false">O115-BY115</f>
        <v>#VALUE!</v>
      </c>
      <c r="BF115" s="370" t="e">
        <f aca="false">xSPRDOPT($BW115,$BV115,$CG115,0,$BY115,$BX115,$BZ115,$AJ115,1,4)*$CB115</f>
        <v>#NAME?</v>
      </c>
      <c r="BG115" s="370" t="e">
        <f aca="false">xSPRDOPT($BW115,$BV115,$CG115,0,$BY115,$BX115,$BZ115,$AJ115,1,3)*$CB115</f>
        <v>#NAME?</v>
      </c>
      <c r="BH115" s="370" t="e">
        <f aca="false">IF(OR(BF115&lt;&gt;0,BG115&lt;&gt;0),xSPRDOPT($BW115,$BV115,$CG115,0,$BY115,$BX115,$BZ115,$AJ115,1,12)*$CB115,0)</f>
        <v>#NAME?</v>
      </c>
      <c r="BI115" s="370" t="e">
        <f aca="false">xSPRDOPT($BW115,$BV115,$CG115,2*LN(1+CA115/2),$BY115,$BX115,$BZ115,$AJ115,1,9)</f>
        <v>#NAME?</v>
      </c>
      <c r="BJ115" s="370" t="e">
        <f aca="false">xSPRDOPT($BW115,$BV115,$CG115,0,$BY115,$BX115,$BZ115,$AJ115,1,6)*$CB115</f>
        <v>#NAME?</v>
      </c>
      <c r="BK115" s="370" t="e">
        <f aca="false">xSPRDOPT($BW115,$BV115,$CG115,0,$BY115,$BX115,$BZ115,$AJ115,1,5)*$CB115</f>
        <v>#NAME?</v>
      </c>
      <c r="BL115" s="370" t="e">
        <f aca="false">xSPRDOPT(BW115,BV115,CG115,0,BY115,BX115,BZ115,AJ115,1,2)*CB115</f>
        <v>#NAME?</v>
      </c>
      <c r="BM115" s="370" t="e">
        <f aca="false">xSPRDOPT(BW115,BV115,CG115,0,BY115,BX115,BZ115,AJ115,1,1)*CB115</f>
        <v>#NAME?</v>
      </c>
      <c r="BN115" s="370" t="e">
        <f aca="false">IF(AH115&lt;&gt;0,xSPRDOPT($BW115,$BV115,$CG115,2*LN(1+CA115/2),$BY115,$BX115,$BZ115,$AJ115,1,8)+(AJ115/365.25)*CH115/AH115,0)</f>
        <v>#VALUE!</v>
      </c>
      <c r="BO115" s="370" t="e">
        <f aca="false">xSPRDOPT($BW115,$BV115,$CG115,0,$BY115,$BX115,$BZ115,$AJ115,1,0)</f>
        <v>#NAME?</v>
      </c>
      <c r="BP115" s="370"/>
      <c r="BQ115" s="370"/>
      <c r="BR115" s="370"/>
      <c r="BS115" s="370"/>
      <c r="BV115" s="508" t="n">
        <v>3.87495108035181</v>
      </c>
      <c r="BW115" s="369" t="n">
        <v>3.842</v>
      </c>
      <c r="BX115" s="370" t="n">
        <v>0.206719493972041</v>
      </c>
      <c r="BY115" s="370" t="n">
        <v>0.207536162990547</v>
      </c>
      <c r="BZ115" s="370" t="n">
        <v>0.998865926078472</v>
      </c>
      <c r="CA115" s="370" t="n">
        <v>0.0591211779595508</v>
      </c>
      <c r="CB115" s="370" t="n">
        <v>0.633470113882277</v>
      </c>
      <c r="CC115" s="505" t="n">
        <v>-0.017</v>
      </c>
      <c r="CD115" s="505" t="n">
        <v>0.0575</v>
      </c>
      <c r="CE115" s="505" t="n">
        <v>0.145</v>
      </c>
      <c r="CF115" s="505" t="n">
        <v>-0.025</v>
      </c>
      <c r="CG115" s="505" t="n">
        <v>0.0192</v>
      </c>
      <c r="CH115" s="505" t="n">
        <v>2.03248886039129</v>
      </c>
      <c r="CI115" s="505" t="n">
        <v>3.722</v>
      </c>
    </row>
    <row r="116" customFormat="false" ht="12.75" hidden="false" customHeight="false" outlineLevel="0" collapsed="false">
      <c r="A116" s="500"/>
      <c r="B116" s="500"/>
      <c r="D116" s="361" t="e">
        <f aca="false">D115+AH115</f>
        <v>#VALUE!</v>
      </c>
      <c r="F116" s="362" t="e">
        <f aca="false">VLOOKUP(AG116,$AL$4:$AS$15,2)</f>
        <v>#VALUE!</v>
      </c>
      <c r="G116" s="362" t="e">
        <f aca="false">F116*$AU116</f>
        <v>#VALUE!</v>
      </c>
      <c r="H116" s="363" t="e">
        <f aca="false">(AL116+AM116+AN116)/(1-(AR116))</f>
        <v>#VALUE!</v>
      </c>
      <c r="I116" s="363" t="e">
        <f aca="false">(AL116+AO116+AP116)</f>
        <v>#VALUE!</v>
      </c>
      <c r="K116" s="363" t="e">
        <f aca="false">MAX(((I116-H116)-AQ116)*AU116*AH116,0)</f>
        <v>#VALUE!</v>
      </c>
      <c r="L116" s="501" t="e">
        <f aca="false">MAX(Q116-K116,0)</f>
        <v>#VALUE!</v>
      </c>
      <c r="N116" s="502" t="e">
        <f aca="false">SQRT(($AX116^2*($AH116/2)+$AW116^2*$AI116)/(($AH116/2)+$AI116))</f>
        <v>#VALUE!</v>
      </c>
      <c r="O116" s="502" t="e">
        <f aca="false">SQRT(($AY116^2*($AH116/2)+$AW116^2*$AI116)/(($AH116/2)+$AI116))</f>
        <v>#VALUE!</v>
      </c>
      <c r="P116" s="371" t="e">
        <f aca="false">(VLOOKUP(AI116,CorrelationTwo,2)*(AW116^2)*AI116+VLOOKUP(D116,CorrelationOne,$AK$9)*AX116*AY116*(AH116/2))/((AI116+(AH116/2))*O116*N116)*AF116</f>
        <v>#VALUE!</v>
      </c>
      <c r="Q116" s="501" t="e">
        <f aca="false">xSPRDOPT(I116,H116,AQ116,0,O116,N116,P116,D116-$G$5,1,0)*AH116*AU116</f>
        <v>#VALUE!</v>
      </c>
      <c r="R116" s="501"/>
      <c r="S116" s="365" t="e">
        <f aca="false">xSPRDOPT(I116,H116,AQ116,AT116,O116,N116,P116,D116-$G$5,1,2)*AF116*(F116/(1-AR116))*AH116</f>
        <v>#VALUE!</v>
      </c>
      <c r="T116" s="365" t="e">
        <f aca="false">xSPRDOPT(I116,H116,AQ116,AT116,O116,N116,P116,D116-$G$5,1,1)*AF116*F116*AH116</f>
        <v>#VALUE!</v>
      </c>
      <c r="U116" s="501"/>
      <c r="V116" s="503" t="e">
        <f aca="false">VLOOKUP($AG116,$AL$4:$AS$15,8)*AH116*AU116</f>
        <v>#VALUE!</v>
      </c>
      <c r="W116" s="503"/>
      <c r="X116" s="504" t="e">
        <f aca="false">((BM116*BC116)+(BL116*BB116))*AH116*F116</f>
        <v>#VALUE!</v>
      </c>
      <c r="Y116" s="504" t="e">
        <f aca="false">($F116*$AH116)*((($BG116/2)*($BC116)^2)+(($BF116/2)*($BB116)^2)+($BH116*$BC116*$BB116))</f>
        <v>#VALUE!</v>
      </c>
      <c r="Z116" s="504" t="e">
        <f aca="false">($BI116*$F116*$AH116*($G$5-$BV$5))/365.25</f>
        <v>#VALUE!</v>
      </c>
      <c r="AA116" s="504" t="e">
        <f aca="false">(($BK116*$BE116)+($BJ116*$BD116))*$F116*$AH116*$AF116</f>
        <v>#VALUE!</v>
      </c>
      <c r="AB116" s="504" t="e">
        <f aca="false">BN116*(AT116-CA116)*F116*AH116</f>
        <v>#VALUE!</v>
      </c>
      <c r="AC116" s="504" t="e">
        <f aca="false">BO116*CB116*F116*AH116*CA116*($G$5-$BV$5)/365.25</f>
        <v>#NAME?</v>
      </c>
      <c r="AF116" s="378" t="e">
        <f aca="false">IF(AND(D116&gt;=$G$7,D116&lt;=$G$8),1,0)</f>
        <v>#VALUE!</v>
      </c>
      <c r="AG116" s="378" t="e">
        <f aca="false">MONTH(D116)</f>
        <v>#VALUE!</v>
      </c>
      <c r="AH116" s="378" t="e">
        <f aca="false">(EOMONTH(D116,0)-EOMONTH(D116-DAY(D116),0))*AF116</f>
        <v>#VALUE!</v>
      </c>
      <c r="AI116" s="378" t="e">
        <f aca="false">AI115+AH115</f>
        <v>#VALUE!</v>
      </c>
      <c r="AJ116" s="378" t="e">
        <f aca="false">D116-$BV$5</f>
        <v>#VALUE!</v>
      </c>
      <c r="AL116" s="369" t="e">
        <f aca="false">VLOOKUP($D116,CurveTbl,$AK$4)</f>
        <v>#VALUE!</v>
      </c>
      <c r="AM116" s="505" t="e">
        <f aca="false">VLOOKUP($D116,CurveTbl,$AH$3)</f>
        <v>#VALUE!</v>
      </c>
      <c r="AN116" s="505" t="e">
        <f aca="false">VLOOKUP($D116,CurveTbl,$AH$4)+VLOOKUP($AG116,$AL$3:$AS$15,6)</f>
        <v>#VALUE!</v>
      </c>
      <c r="AO116" s="505" t="e">
        <f aca="false">VLOOKUP($D116,CurveTbl,$AH$5)</f>
        <v>#VALUE!</v>
      </c>
      <c r="AP116" s="505" t="e">
        <f aca="false">VLOOKUP($D116,CurveTbl,$AH$6)+VLOOKUP($AG116,$AL$3:$AS$15,7)</f>
        <v>#VALUE!</v>
      </c>
      <c r="AQ116" s="369" t="e">
        <f aca="false">VLOOKUP($AG116,$AL$4:$AS$15,3)+VLOOKUP($AG116,$AL$4:$AS$15,5)+($AH$10*VLOOKUP(D116,GRITable,2))</f>
        <v>#VALUE!</v>
      </c>
      <c r="AR116" s="370" t="e">
        <f aca="false">VLOOKUP($AG116,$AL$4:$AS$15,4)</f>
        <v>#VALUE!</v>
      </c>
      <c r="AS116" s="369" t="e">
        <f aca="false">(AL116+AM116+AN116)</f>
        <v>#VALUE!</v>
      </c>
      <c r="AT116" s="370" t="e">
        <f aca="false">VLOOKUP(D116,CurveTbl,$AK$6)</f>
        <v>#VALUE!</v>
      </c>
      <c r="AU116" s="370" t="e">
        <f aca="false">(1+$AT116/2)^(-2*($D116-$G$5)/365.25)*$AF116</f>
        <v>#VALUE!</v>
      </c>
      <c r="AV116" s="506" t="e">
        <f aca="false">ROUND((F116/(1-AR116))-F116,0)*AF116*AH116*AU116</f>
        <v>#VALUE!</v>
      </c>
      <c r="AW116" s="370" t="e">
        <f aca="false">VLOOKUP($D116,CurveTbl,$AK$8)</f>
        <v>#VALUE!</v>
      </c>
      <c r="AX116" s="370" t="e">
        <f aca="false">VLOOKUP($D116,CurveTbl,$AH$7)</f>
        <v>#VALUE!</v>
      </c>
      <c r="AY116" s="370" t="e">
        <f aca="false">VLOOKUP($D116,CurveTbl,$AH$8)</f>
        <v>#VALUE!</v>
      </c>
      <c r="AZ116" s="370"/>
      <c r="BA116" s="507"/>
      <c r="BB116" s="505" t="e">
        <f aca="false">$H116-$BV116</f>
        <v>#VALUE!</v>
      </c>
      <c r="BC116" s="505" t="e">
        <f aca="false">I116-BW116</f>
        <v>#VALUE!</v>
      </c>
      <c r="BD116" s="370" t="e">
        <f aca="false">N116-BX116</f>
        <v>#VALUE!</v>
      </c>
      <c r="BE116" s="370" t="e">
        <f aca="false">O116-BY116</f>
        <v>#VALUE!</v>
      </c>
      <c r="BF116" s="370" t="e">
        <f aca="false">xSPRDOPT($BW116,$BV116,$CG116,0,$BY116,$BX116,$BZ116,$AJ116,1,4)*$CB116</f>
        <v>#NAME?</v>
      </c>
      <c r="BG116" s="370" t="e">
        <f aca="false">xSPRDOPT($BW116,$BV116,$CG116,0,$BY116,$BX116,$BZ116,$AJ116,1,3)*$CB116</f>
        <v>#NAME?</v>
      </c>
      <c r="BH116" s="370" t="e">
        <f aca="false">IF(OR(BF116&lt;&gt;0,BG116&lt;&gt;0),xSPRDOPT($BW116,$BV116,$CG116,0,$BY116,$BX116,$BZ116,$AJ116,1,12)*$CB116,0)</f>
        <v>#NAME?</v>
      </c>
      <c r="BI116" s="370" t="e">
        <f aca="false">xSPRDOPT($BW116,$BV116,$CG116,2*LN(1+CA116/2),$BY116,$BX116,$BZ116,$AJ116,1,9)</f>
        <v>#NAME?</v>
      </c>
      <c r="BJ116" s="370" t="e">
        <f aca="false">xSPRDOPT($BW116,$BV116,$CG116,0,$BY116,$BX116,$BZ116,$AJ116,1,6)*$CB116</f>
        <v>#NAME?</v>
      </c>
      <c r="BK116" s="370" t="e">
        <f aca="false">xSPRDOPT($BW116,$BV116,$CG116,0,$BY116,$BX116,$BZ116,$AJ116,1,5)*$CB116</f>
        <v>#NAME?</v>
      </c>
      <c r="BL116" s="370" t="e">
        <f aca="false">xSPRDOPT(BW116,BV116,CG116,0,BY116,BX116,BZ116,AJ116,1,2)*CB116</f>
        <v>#NAME?</v>
      </c>
      <c r="BM116" s="370" t="e">
        <f aca="false">xSPRDOPT(BW116,BV116,CG116,0,BY116,BX116,BZ116,AJ116,1,1)*CB116</f>
        <v>#NAME?</v>
      </c>
      <c r="BN116" s="370" t="e">
        <f aca="false">IF(AH116&lt;&gt;0,xSPRDOPT($BW116,$BV116,$CG116,2*LN(1+CA116/2),$BY116,$BX116,$BZ116,$AJ116,1,8)+(AJ116/365.25)*CH116/AH116,0)</f>
        <v>#VALUE!</v>
      </c>
      <c r="BO116" s="370" t="e">
        <f aca="false">xSPRDOPT($BW116,$BV116,$CG116,0,$BY116,$BX116,$BZ116,$AJ116,1,0)</f>
        <v>#NAME?</v>
      </c>
      <c r="BP116" s="370"/>
      <c r="BQ116" s="370"/>
      <c r="BR116" s="370"/>
      <c r="BS116" s="370"/>
      <c r="BV116" s="508" t="n">
        <v>4.03149395456137</v>
      </c>
      <c r="BW116" s="369" t="n">
        <v>4.044</v>
      </c>
      <c r="BX116" s="370" t="n">
        <v>0.2025</v>
      </c>
      <c r="BY116" s="370" t="n">
        <v>0.2025</v>
      </c>
      <c r="BZ116" s="370" t="n">
        <v>0</v>
      </c>
      <c r="CA116" s="370" t="n">
        <v>0.0592302909193876</v>
      </c>
      <c r="CB116" s="370" t="n">
        <v>0</v>
      </c>
      <c r="CC116" s="505" t="n">
        <v>-0.017</v>
      </c>
      <c r="CD116" s="505" t="n">
        <v>0.0575</v>
      </c>
      <c r="CE116" s="505" t="n">
        <v>0.195</v>
      </c>
      <c r="CF116" s="505" t="n">
        <v>-0.025</v>
      </c>
      <c r="CG116" s="505" t="n">
        <v>0.0192</v>
      </c>
      <c r="CH116" s="505" t="n">
        <v>0</v>
      </c>
      <c r="CI116" s="505" t="n">
        <v>3.874</v>
      </c>
    </row>
    <row r="117" customFormat="false" ht="12.75" hidden="false" customHeight="false" outlineLevel="0" collapsed="false">
      <c r="A117" s="500"/>
      <c r="B117" s="500"/>
      <c r="D117" s="361" t="e">
        <f aca="false">D116+AH116</f>
        <v>#VALUE!</v>
      </c>
      <c r="F117" s="362" t="e">
        <f aca="false">VLOOKUP(AG117,$AL$4:$AS$15,2)</f>
        <v>#VALUE!</v>
      </c>
      <c r="G117" s="362" t="e">
        <f aca="false">F117*$AU117</f>
        <v>#VALUE!</v>
      </c>
      <c r="H117" s="363" t="e">
        <f aca="false">(AL117+AM117+AN117)/(1-(AR117))</f>
        <v>#VALUE!</v>
      </c>
      <c r="I117" s="363" t="e">
        <f aca="false">(AL117+AO117+AP117)</f>
        <v>#VALUE!</v>
      </c>
      <c r="K117" s="363" t="e">
        <f aca="false">MAX(((I117-H117)-AQ117)*AU117*AH117,0)</f>
        <v>#VALUE!</v>
      </c>
      <c r="L117" s="501" t="e">
        <f aca="false">MAX(Q117-K117,0)</f>
        <v>#VALUE!</v>
      </c>
      <c r="N117" s="502" t="e">
        <f aca="false">SQRT(($AX117^2*($AH117/2)+$AW117^2*$AI117)/(($AH117/2)+$AI117))</f>
        <v>#VALUE!</v>
      </c>
      <c r="O117" s="502" t="e">
        <f aca="false">SQRT(($AY117^2*($AH117/2)+$AW117^2*$AI117)/(($AH117/2)+$AI117))</f>
        <v>#VALUE!</v>
      </c>
      <c r="P117" s="371" t="e">
        <f aca="false">(VLOOKUP(AI117,CorrelationTwo,2)*(AW117^2)*AI117+VLOOKUP(D117,CorrelationOne,$AK$9)*AX117*AY117*(AH117/2))/((AI117+(AH117/2))*O117*N117)*AF117</f>
        <v>#VALUE!</v>
      </c>
      <c r="Q117" s="501" t="e">
        <f aca="false">xSPRDOPT(I117,H117,AQ117,0,O117,N117,P117,D117-$G$5,1,0)*AH117*AU117</f>
        <v>#VALUE!</v>
      </c>
      <c r="R117" s="501"/>
      <c r="S117" s="365" t="e">
        <f aca="false">xSPRDOPT(I117,H117,AQ117,AT117,O117,N117,P117,D117-$G$5,1,2)*AF117*(F117/(1-AR117))*AH117</f>
        <v>#VALUE!</v>
      </c>
      <c r="T117" s="365" t="e">
        <f aca="false">xSPRDOPT(I117,H117,AQ117,AT117,O117,N117,P117,D117-$G$5,1,1)*AF117*F117*AH117</f>
        <v>#VALUE!</v>
      </c>
      <c r="U117" s="501"/>
      <c r="V117" s="503" t="e">
        <f aca="false">VLOOKUP($AG117,$AL$4:$AS$15,8)*AH117*AU117</f>
        <v>#VALUE!</v>
      </c>
      <c r="W117" s="503"/>
      <c r="X117" s="504" t="e">
        <f aca="false">((BM117*BC117)+(BL117*BB117))*AH117*F117</f>
        <v>#VALUE!</v>
      </c>
      <c r="Y117" s="504" t="e">
        <f aca="false">($F117*$AH117)*((($BG117/2)*($BC117)^2)+(($BF117/2)*($BB117)^2)+($BH117*$BC117*$BB117))</f>
        <v>#VALUE!</v>
      </c>
      <c r="Z117" s="504" t="e">
        <f aca="false">($BI117*$F117*$AH117*($G$5-$BV$5))/365.25</f>
        <v>#VALUE!</v>
      </c>
      <c r="AA117" s="504" t="e">
        <f aca="false">(($BK117*$BE117)+($BJ117*$BD117))*$F117*$AH117*$AF117</f>
        <v>#VALUE!</v>
      </c>
      <c r="AB117" s="504" t="e">
        <f aca="false">BN117*(AT117-CA117)*F117*AH117</f>
        <v>#VALUE!</v>
      </c>
      <c r="AC117" s="504" t="e">
        <f aca="false">BO117*CB117*F117*AH117*CA117*($G$5-$BV$5)/365.25</f>
        <v>#NAME?</v>
      </c>
      <c r="AF117" s="378" t="e">
        <f aca="false">IF(AND(D117&gt;=$G$7,D117&lt;=$G$8),1,0)</f>
        <v>#VALUE!</v>
      </c>
      <c r="AG117" s="378" t="e">
        <f aca="false">MONTH(D117)</f>
        <v>#VALUE!</v>
      </c>
      <c r="AH117" s="378" t="e">
        <f aca="false">(EOMONTH(D117,0)-EOMONTH(D117-DAY(D117),0))*AF117</f>
        <v>#VALUE!</v>
      </c>
      <c r="AI117" s="378" t="e">
        <f aca="false">AI116+AH116</f>
        <v>#VALUE!</v>
      </c>
      <c r="AJ117" s="378" t="e">
        <f aca="false">D117-$BV$5</f>
        <v>#VALUE!</v>
      </c>
      <c r="AL117" s="369" t="e">
        <f aca="false">VLOOKUP($D117,CurveTbl,$AK$4)</f>
        <v>#VALUE!</v>
      </c>
      <c r="AM117" s="505" t="e">
        <f aca="false">VLOOKUP($D117,CurveTbl,$AH$3)</f>
        <v>#VALUE!</v>
      </c>
      <c r="AN117" s="505" t="e">
        <f aca="false">VLOOKUP($D117,CurveTbl,$AH$4)+VLOOKUP($AG117,$AL$3:$AS$15,6)</f>
        <v>#VALUE!</v>
      </c>
      <c r="AO117" s="505" t="e">
        <f aca="false">VLOOKUP($D117,CurveTbl,$AH$5)</f>
        <v>#VALUE!</v>
      </c>
      <c r="AP117" s="505" t="e">
        <f aca="false">VLOOKUP($D117,CurveTbl,$AH$6)+VLOOKUP($AG117,$AL$3:$AS$15,7)</f>
        <v>#VALUE!</v>
      </c>
      <c r="AQ117" s="369" t="e">
        <f aca="false">VLOOKUP($AG117,$AL$4:$AS$15,3)+VLOOKUP($AG117,$AL$4:$AS$15,5)+($AH$10*VLOOKUP(D117,GRITable,2))</f>
        <v>#VALUE!</v>
      </c>
      <c r="AR117" s="370" t="e">
        <f aca="false">VLOOKUP($AG117,$AL$4:$AS$15,4)</f>
        <v>#VALUE!</v>
      </c>
      <c r="AS117" s="369" t="e">
        <f aca="false">(AL117+AM117+AN117)</f>
        <v>#VALUE!</v>
      </c>
      <c r="AT117" s="370" t="e">
        <f aca="false">VLOOKUP(D117,CurveTbl,$AK$6)</f>
        <v>#VALUE!</v>
      </c>
      <c r="AU117" s="370" t="e">
        <f aca="false">(1+$AT117/2)^(-2*($D117-$G$5)/365.25)*$AF117</f>
        <v>#VALUE!</v>
      </c>
      <c r="AV117" s="506" t="e">
        <f aca="false">ROUND((F117/(1-AR117))-F117,0)*AF117*AH117*AU117</f>
        <v>#VALUE!</v>
      </c>
      <c r="AW117" s="370" t="e">
        <f aca="false">VLOOKUP($D117,CurveTbl,$AK$8)</f>
        <v>#VALUE!</v>
      </c>
      <c r="AX117" s="370" t="e">
        <f aca="false">VLOOKUP($D117,CurveTbl,$AH$7)</f>
        <v>#VALUE!</v>
      </c>
      <c r="AY117" s="370" t="e">
        <f aca="false">VLOOKUP($D117,CurveTbl,$AH$8)</f>
        <v>#VALUE!</v>
      </c>
      <c r="AZ117" s="370"/>
      <c r="BA117" s="507"/>
      <c r="BB117" s="505" t="e">
        <f aca="false">$H117-$BV117</f>
        <v>#VALUE!</v>
      </c>
      <c r="BC117" s="505" t="e">
        <f aca="false">I117-BW117</f>
        <v>#VALUE!</v>
      </c>
      <c r="BD117" s="370" t="e">
        <f aca="false">N117-BX117</f>
        <v>#VALUE!</v>
      </c>
      <c r="BE117" s="370" t="e">
        <f aca="false">O117-BY117</f>
        <v>#VALUE!</v>
      </c>
      <c r="BF117" s="370" t="e">
        <f aca="false">xSPRDOPT($BW117,$BV117,$CG117,0,$BY117,$BX117,$BZ117,$AJ117,1,4)*$CB117</f>
        <v>#NAME?</v>
      </c>
      <c r="BG117" s="370" t="e">
        <f aca="false">xSPRDOPT($BW117,$BV117,$CG117,0,$BY117,$BX117,$BZ117,$AJ117,1,3)*$CB117</f>
        <v>#NAME?</v>
      </c>
      <c r="BH117" s="370" t="e">
        <f aca="false">IF(OR(BF117&lt;&gt;0,BG117&lt;&gt;0),xSPRDOPT($BW117,$BV117,$CG117,0,$BY117,$BX117,$BZ117,$AJ117,1,12)*$CB117,0)</f>
        <v>#NAME?</v>
      </c>
      <c r="BI117" s="370" t="e">
        <f aca="false">xSPRDOPT($BW117,$BV117,$CG117,2*LN(1+CA117/2),$BY117,$BX117,$BZ117,$AJ117,1,9)</f>
        <v>#NAME?</v>
      </c>
      <c r="BJ117" s="370" t="e">
        <f aca="false">xSPRDOPT($BW117,$BV117,$CG117,0,$BY117,$BX117,$BZ117,$AJ117,1,6)*$CB117</f>
        <v>#NAME?</v>
      </c>
      <c r="BK117" s="370" t="e">
        <f aca="false">xSPRDOPT($BW117,$BV117,$CG117,0,$BY117,$BX117,$BZ117,$AJ117,1,5)*$CB117</f>
        <v>#NAME?</v>
      </c>
      <c r="BL117" s="370" t="e">
        <f aca="false">xSPRDOPT(BW117,BV117,CG117,0,BY117,BX117,BZ117,AJ117,1,2)*CB117</f>
        <v>#NAME?</v>
      </c>
      <c r="BM117" s="370" t="e">
        <f aca="false">xSPRDOPT(BW117,BV117,CG117,0,BY117,BX117,BZ117,AJ117,1,1)*CB117</f>
        <v>#NAME?</v>
      </c>
      <c r="BN117" s="370" t="e">
        <f aca="false">IF(AH117&lt;&gt;0,xSPRDOPT($BW117,$BV117,$CG117,2*LN(1+CA117/2),$BY117,$BX117,$BZ117,$AJ117,1,8)+(AJ117/365.25)*CH117/AH117,0)</f>
        <v>#VALUE!</v>
      </c>
      <c r="BO117" s="370" t="e">
        <f aca="false">xSPRDOPT($BW117,$BV117,$CG117,0,$BY117,$BX117,$BZ117,$AJ117,1,0)</f>
        <v>#NAME?</v>
      </c>
      <c r="BP117" s="370"/>
      <c r="BQ117" s="370"/>
      <c r="BR117" s="370"/>
      <c r="BS117" s="370"/>
      <c r="BV117" s="508" t="n">
        <v>4.03149395456137</v>
      </c>
      <c r="BW117" s="369" t="n">
        <v>4.044</v>
      </c>
      <c r="BX117" s="370" t="n">
        <v>0.2025</v>
      </c>
      <c r="BY117" s="370" t="n">
        <v>0.2025</v>
      </c>
      <c r="BZ117" s="370" t="n">
        <v>0</v>
      </c>
      <c r="CA117" s="370" t="n">
        <v>0.0592302909193876</v>
      </c>
      <c r="CB117" s="370" t="n">
        <v>0</v>
      </c>
      <c r="CC117" s="505" t="n">
        <v>-0.017</v>
      </c>
      <c r="CD117" s="505" t="n">
        <v>0.0575</v>
      </c>
      <c r="CE117" s="505" t="n">
        <v>0.195</v>
      </c>
      <c r="CF117" s="505" t="n">
        <v>-0.025</v>
      </c>
      <c r="CG117" s="505" t="n">
        <v>0.0192</v>
      </c>
      <c r="CH117" s="505" t="n">
        <v>0</v>
      </c>
      <c r="CI117" s="505" t="n">
        <v>3.874</v>
      </c>
    </row>
    <row r="118" customFormat="false" ht="12.75" hidden="false" customHeight="false" outlineLevel="0" collapsed="false">
      <c r="A118" s="500"/>
      <c r="B118" s="500"/>
      <c r="D118" s="361" t="e">
        <f aca="false">D117+AH117</f>
        <v>#VALUE!</v>
      </c>
      <c r="F118" s="362" t="e">
        <f aca="false">VLOOKUP(AG118,$AL$4:$AS$15,2)</f>
        <v>#VALUE!</v>
      </c>
      <c r="G118" s="362" t="e">
        <f aca="false">F118*$AU118</f>
        <v>#VALUE!</v>
      </c>
      <c r="H118" s="363" t="e">
        <f aca="false">(AL118+AM118+AN118)/(1-(AR118))</f>
        <v>#VALUE!</v>
      </c>
      <c r="I118" s="363" t="e">
        <f aca="false">(AL118+AO118+AP118)</f>
        <v>#VALUE!</v>
      </c>
      <c r="K118" s="363" t="e">
        <f aca="false">MAX(((I118-H118)-AQ118)*AU118*AH118,0)</f>
        <v>#VALUE!</v>
      </c>
      <c r="L118" s="501" t="e">
        <f aca="false">MAX(Q118-K118,0)</f>
        <v>#VALUE!</v>
      </c>
      <c r="N118" s="502" t="e">
        <f aca="false">SQRT(($AX118^2*($AH118/2)+$AW118^2*$AI118)/(($AH118/2)+$AI118))</f>
        <v>#VALUE!</v>
      </c>
      <c r="O118" s="502" t="e">
        <f aca="false">SQRT(($AY118^2*($AH118/2)+$AW118^2*$AI118)/(($AH118/2)+$AI118))</f>
        <v>#VALUE!</v>
      </c>
      <c r="P118" s="371" t="e">
        <f aca="false">(VLOOKUP(AI118,CorrelationTwo,2)*(AW118^2)*AI118+VLOOKUP(D118,CorrelationOne,$AK$9)*AX118*AY118*(AH118/2))/((AI118+(AH118/2))*O118*N118)*AF118</f>
        <v>#VALUE!</v>
      </c>
      <c r="Q118" s="501" t="e">
        <f aca="false">xSPRDOPT(I118,H118,AQ118,0,O118,N118,P118,D118-$G$5,1,0)*AH118*AU118</f>
        <v>#VALUE!</v>
      </c>
      <c r="R118" s="501"/>
      <c r="S118" s="365" t="e">
        <f aca="false">xSPRDOPT(I118,H118,AQ118,AT118,O118,N118,P118,D118-$G$5,1,2)*AF118*(F118/(1-AR118))*AH118</f>
        <v>#VALUE!</v>
      </c>
      <c r="T118" s="365" t="e">
        <f aca="false">xSPRDOPT(I118,H118,AQ118,AT118,O118,N118,P118,D118-$G$5,1,1)*AF118*F118*AH118</f>
        <v>#VALUE!</v>
      </c>
      <c r="U118" s="501"/>
      <c r="V118" s="503" t="e">
        <f aca="false">VLOOKUP($AG118,$AL$4:$AS$15,8)*AH118*AU118</f>
        <v>#VALUE!</v>
      </c>
      <c r="W118" s="503"/>
      <c r="X118" s="504" t="e">
        <f aca="false">((BM118*BC118)+(BL118*BB118))*AH118*F118</f>
        <v>#VALUE!</v>
      </c>
      <c r="Y118" s="504" t="e">
        <f aca="false">($F118*$AH118)*((($BG118/2)*($BC118)^2)+(($BF118/2)*($BB118)^2)+($BH118*$BC118*$BB118))</f>
        <v>#VALUE!</v>
      </c>
      <c r="Z118" s="504" t="e">
        <f aca="false">($BI118*$F118*$AH118*($G$5-$BV$5))/365.25</f>
        <v>#VALUE!</v>
      </c>
      <c r="AA118" s="504" t="e">
        <f aca="false">(($BK118*$BE118)+($BJ118*$BD118))*$F118*$AH118*$AF118</f>
        <v>#VALUE!</v>
      </c>
      <c r="AB118" s="504" t="e">
        <f aca="false">BN118*(AT118-CA118)*F118*AH118</f>
        <v>#VALUE!</v>
      </c>
      <c r="AC118" s="504" t="e">
        <f aca="false">BO118*CB118*F118*AH118*CA118*($G$5-$BV$5)/365.25</f>
        <v>#NAME?</v>
      </c>
      <c r="AF118" s="378" t="e">
        <f aca="false">IF(AND(D118&gt;=$G$7,D118&lt;=$G$8),1,0)</f>
        <v>#VALUE!</v>
      </c>
      <c r="AG118" s="378" t="e">
        <f aca="false">MONTH(D118)</f>
        <v>#VALUE!</v>
      </c>
      <c r="AH118" s="378" t="e">
        <f aca="false">(EOMONTH(D118,0)-EOMONTH(D118-DAY(D118),0))*AF118</f>
        <v>#VALUE!</v>
      </c>
      <c r="AI118" s="378" t="e">
        <f aca="false">AI117+AH117</f>
        <v>#VALUE!</v>
      </c>
      <c r="AJ118" s="378" t="e">
        <f aca="false">D118-$BV$5</f>
        <v>#VALUE!</v>
      </c>
      <c r="AL118" s="369" t="e">
        <f aca="false">VLOOKUP($D118,CurveTbl,$AK$4)</f>
        <v>#VALUE!</v>
      </c>
      <c r="AM118" s="505" t="e">
        <f aca="false">VLOOKUP($D118,CurveTbl,$AH$3)</f>
        <v>#VALUE!</v>
      </c>
      <c r="AN118" s="505" t="e">
        <f aca="false">VLOOKUP($D118,CurveTbl,$AH$4)+VLOOKUP($AG118,$AL$3:$AS$15,6)</f>
        <v>#VALUE!</v>
      </c>
      <c r="AO118" s="505" t="e">
        <f aca="false">VLOOKUP($D118,CurveTbl,$AH$5)</f>
        <v>#VALUE!</v>
      </c>
      <c r="AP118" s="505" t="e">
        <f aca="false">VLOOKUP($D118,CurveTbl,$AH$6)+VLOOKUP($AG118,$AL$3:$AS$15,7)</f>
        <v>#VALUE!</v>
      </c>
      <c r="AQ118" s="369" t="e">
        <f aca="false">VLOOKUP($AG118,$AL$4:$AS$15,3)+VLOOKUP($AG118,$AL$4:$AS$15,5)+($AH$10*VLOOKUP(D118,GRITable,2))</f>
        <v>#VALUE!</v>
      </c>
      <c r="AR118" s="370" t="e">
        <f aca="false">VLOOKUP($AG118,$AL$4:$AS$15,4)</f>
        <v>#VALUE!</v>
      </c>
      <c r="AS118" s="369" t="e">
        <f aca="false">(AL118+AM118+AN118)</f>
        <v>#VALUE!</v>
      </c>
      <c r="AT118" s="370" t="e">
        <f aca="false">VLOOKUP(D118,CurveTbl,$AK$6)</f>
        <v>#VALUE!</v>
      </c>
      <c r="AU118" s="370" t="e">
        <f aca="false">(1+$AT118/2)^(-2*($D118-$G$5)/365.25)*$AF118</f>
        <v>#VALUE!</v>
      </c>
      <c r="AV118" s="506" t="e">
        <f aca="false">ROUND((F118/(1-AR118))-F118,0)*AF118*AH118*AU118</f>
        <v>#VALUE!</v>
      </c>
      <c r="AW118" s="370" t="e">
        <f aca="false">VLOOKUP($D118,CurveTbl,$AK$8)</f>
        <v>#VALUE!</v>
      </c>
      <c r="AX118" s="370" t="e">
        <f aca="false">VLOOKUP($D118,CurveTbl,$AH$7)</f>
        <v>#VALUE!</v>
      </c>
      <c r="AY118" s="370" t="e">
        <f aca="false">VLOOKUP($D118,CurveTbl,$AH$8)</f>
        <v>#VALUE!</v>
      </c>
      <c r="AZ118" s="370"/>
      <c r="BA118" s="507"/>
      <c r="BB118" s="505" t="e">
        <f aca="false">$H118-$BV118</f>
        <v>#VALUE!</v>
      </c>
      <c r="BC118" s="505" t="e">
        <f aca="false">I118-BW118</f>
        <v>#VALUE!</v>
      </c>
      <c r="BD118" s="370" t="e">
        <f aca="false">N118-BX118</f>
        <v>#VALUE!</v>
      </c>
      <c r="BE118" s="370" t="e">
        <f aca="false">O118-BY118</f>
        <v>#VALUE!</v>
      </c>
      <c r="BF118" s="370" t="e">
        <f aca="false">xSPRDOPT($BW118,$BV118,$CG118,0,$BY118,$BX118,$BZ118,$AJ118,1,4)*$CB118</f>
        <v>#NAME?</v>
      </c>
      <c r="BG118" s="370" t="e">
        <f aca="false">xSPRDOPT($BW118,$BV118,$CG118,0,$BY118,$BX118,$BZ118,$AJ118,1,3)*$CB118</f>
        <v>#NAME?</v>
      </c>
      <c r="BH118" s="370" t="e">
        <f aca="false">IF(OR(BF118&lt;&gt;0,BG118&lt;&gt;0),xSPRDOPT($BW118,$BV118,$CG118,0,$BY118,$BX118,$BZ118,$AJ118,1,12)*$CB118,0)</f>
        <v>#NAME?</v>
      </c>
      <c r="BI118" s="370" t="e">
        <f aca="false">xSPRDOPT($BW118,$BV118,$CG118,2*LN(1+CA118/2),$BY118,$BX118,$BZ118,$AJ118,1,9)</f>
        <v>#NAME?</v>
      </c>
      <c r="BJ118" s="370" t="e">
        <f aca="false">xSPRDOPT($BW118,$BV118,$CG118,0,$BY118,$BX118,$BZ118,$AJ118,1,6)*$CB118</f>
        <v>#NAME?</v>
      </c>
      <c r="BK118" s="370" t="e">
        <f aca="false">xSPRDOPT($BW118,$BV118,$CG118,0,$BY118,$BX118,$BZ118,$AJ118,1,5)*$CB118</f>
        <v>#NAME?</v>
      </c>
      <c r="BL118" s="370" t="e">
        <f aca="false">xSPRDOPT(BW118,BV118,CG118,0,BY118,BX118,BZ118,AJ118,1,2)*CB118</f>
        <v>#NAME?</v>
      </c>
      <c r="BM118" s="370" t="e">
        <f aca="false">xSPRDOPT(BW118,BV118,CG118,0,BY118,BX118,BZ118,AJ118,1,1)*CB118</f>
        <v>#NAME?</v>
      </c>
      <c r="BN118" s="370" t="e">
        <f aca="false">IF(AH118&lt;&gt;0,xSPRDOPT($BW118,$BV118,$CG118,2*LN(1+CA118/2),$BY118,$BX118,$BZ118,$AJ118,1,8)+(AJ118/365.25)*CH118/AH118,0)</f>
        <v>#VALUE!</v>
      </c>
      <c r="BO118" s="370" t="e">
        <f aca="false">xSPRDOPT($BW118,$BV118,$CG118,0,$BY118,$BX118,$BZ118,$AJ118,1,0)</f>
        <v>#NAME?</v>
      </c>
      <c r="BP118" s="370"/>
      <c r="BQ118" s="370"/>
      <c r="BR118" s="370"/>
      <c r="BS118" s="370"/>
      <c r="BV118" s="508" t="n">
        <v>4.03149395456137</v>
      </c>
      <c r="BW118" s="369" t="n">
        <v>4.044</v>
      </c>
      <c r="BX118" s="370" t="n">
        <v>0.2025</v>
      </c>
      <c r="BY118" s="370" t="n">
        <v>0.2025</v>
      </c>
      <c r="BZ118" s="370" t="n">
        <v>0</v>
      </c>
      <c r="CA118" s="370" t="n">
        <v>0.0592302909193876</v>
      </c>
      <c r="CB118" s="370" t="n">
        <v>0</v>
      </c>
      <c r="CC118" s="505" t="n">
        <v>-0.017</v>
      </c>
      <c r="CD118" s="505" t="n">
        <v>0.0575</v>
      </c>
      <c r="CE118" s="505" t="n">
        <v>0.195</v>
      </c>
      <c r="CF118" s="505" t="n">
        <v>-0.025</v>
      </c>
      <c r="CG118" s="505" t="n">
        <v>0.0192</v>
      </c>
      <c r="CH118" s="505" t="n">
        <v>0</v>
      </c>
      <c r="CI118" s="505" t="n">
        <v>3.874</v>
      </c>
    </row>
    <row r="119" customFormat="false" ht="12.75" hidden="false" customHeight="false" outlineLevel="0" collapsed="false">
      <c r="A119" s="500"/>
      <c r="B119" s="500"/>
      <c r="D119" s="361" t="e">
        <f aca="false">D118+AH118</f>
        <v>#VALUE!</v>
      </c>
      <c r="F119" s="362" t="e">
        <f aca="false">VLOOKUP(AG119,$AL$4:$AS$15,2)</f>
        <v>#VALUE!</v>
      </c>
      <c r="G119" s="362" t="e">
        <f aca="false">F119*$AU119</f>
        <v>#VALUE!</v>
      </c>
      <c r="H119" s="363" t="e">
        <f aca="false">(AL119+AM119+AN119)/(1-(AR119))</f>
        <v>#VALUE!</v>
      </c>
      <c r="I119" s="363" t="e">
        <f aca="false">(AL119+AO119+AP119)</f>
        <v>#VALUE!</v>
      </c>
      <c r="K119" s="363" t="e">
        <f aca="false">MAX(((I119-H119)-AQ119)*AU119*AH119,0)</f>
        <v>#VALUE!</v>
      </c>
      <c r="L119" s="501" t="e">
        <f aca="false">MAX(Q119-K119,0)</f>
        <v>#VALUE!</v>
      </c>
      <c r="N119" s="502" t="e">
        <f aca="false">SQRT(($AX119^2*($AH119/2)+$AW119^2*$AI119)/(($AH119/2)+$AI119))</f>
        <v>#VALUE!</v>
      </c>
      <c r="O119" s="502" t="e">
        <f aca="false">SQRT(($AY119^2*($AH119/2)+$AW119^2*$AI119)/(($AH119/2)+$AI119))</f>
        <v>#VALUE!</v>
      </c>
      <c r="P119" s="371" t="e">
        <f aca="false">(VLOOKUP(AI119,CorrelationTwo,2)*(AW119^2)*AI119+VLOOKUP(D119,CorrelationOne,$AK$9)*AX119*AY119*(AH119/2))/((AI119+(AH119/2))*O119*N119)*AF119</f>
        <v>#VALUE!</v>
      </c>
      <c r="Q119" s="501" t="e">
        <f aca="false">xSPRDOPT(I119,H119,AQ119,0,O119,N119,P119,D119-$G$5,1,0)*AH119*AU119</f>
        <v>#VALUE!</v>
      </c>
      <c r="R119" s="501"/>
      <c r="S119" s="365" t="e">
        <f aca="false">xSPRDOPT(I119,H119,AQ119,AT119,O119,N119,P119,D119-$G$5,1,2)*AF119*(F119/(1-AR119))*AH119</f>
        <v>#VALUE!</v>
      </c>
      <c r="T119" s="365" t="e">
        <f aca="false">xSPRDOPT(I119,H119,AQ119,AT119,O119,N119,P119,D119-$G$5,1,1)*AF119*F119*AH119</f>
        <v>#VALUE!</v>
      </c>
      <c r="U119" s="501"/>
      <c r="V119" s="503" t="e">
        <f aca="false">VLOOKUP($AG119,$AL$4:$AS$15,8)*AH119*AU119</f>
        <v>#VALUE!</v>
      </c>
      <c r="W119" s="503"/>
      <c r="X119" s="504" t="e">
        <f aca="false">((BM119*BC119)+(BL119*BB119))*AH119*F119</f>
        <v>#VALUE!</v>
      </c>
      <c r="Y119" s="504" t="e">
        <f aca="false">($F119*$AH119)*((($BG119/2)*($BC119)^2)+(($BF119/2)*($BB119)^2)+($BH119*$BC119*$BB119))</f>
        <v>#VALUE!</v>
      </c>
      <c r="Z119" s="504" t="e">
        <f aca="false">($BI119*$F119*$AH119*($G$5-$BV$5))/365.25</f>
        <v>#VALUE!</v>
      </c>
      <c r="AA119" s="504" t="e">
        <f aca="false">(($BK119*$BE119)+($BJ119*$BD119))*$F119*$AH119*$AF119</f>
        <v>#VALUE!</v>
      </c>
      <c r="AB119" s="504" t="e">
        <f aca="false">BN119*(AT119-CA119)*F119*AH119</f>
        <v>#VALUE!</v>
      </c>
      <c r="AC119" s="504" t="e">
        <f aca="false">BO119*CB119*F119*AH119*CA119*($G$5-$BV$5)/365.25</f>
        <v>#NAME?</v>
      </c>
      <c r="AF119" s="378" t="e">
        <f aca="false">IF(AND(D119&gt;=$G$7,D119&lt;=$G$8),1,0)</f>
        <v>#VALUE!</v>
      </c>
      <c r="AG119" s="378" t="e">
        <f aca="false">MONTH(D119)</f>
        <v>#VALUE!</v>
      </c>
      <c r="AH119" s="378" t="e">
        <f aca="false">(EOMONTH(D119,0)-EOMONTH(D119-DAY(D119),0))*AF119</f>
        <v>#VALUE!</v>
      </c>
      <c r="AI119" s="378" t="e">
        <f aca="false">AI118+AH118</f>
        <v>#VALUE!</v>
      </c>
      <c r="AJ119" s="378" t="e">
        <f aca="false">D119-$BV$5</f>
        <v>#VALUE!</v>
      </c>
      <c r="AL119" s="369" t="e">
        <f aca="false">VLOOKUP($D119,CurveTbl,$AK$4)</f>
        <v>#VALUE!</v>
      </c>
      <c r="AM119" s="505" t="e">
        <f aca="false">VLOOKUP($D119,CurveTbl,$AH$3)</f>
        <v>#VALUE!</v>
      </c>
      <c r="AN119" s="505" t="e">
        <f aca="false">VLOOKUP($D119,CurveTbl,$AH$4)+VLOOKUP($AG119,$AL$3:$AS$15,6)</f>
        <v>#VALUE!</v>
      </c>
      <c r="AO119" s="505" t="e">
        <f aca="false">VLOOKUP($D119,CurveTbl,$AH$5)</f>
        <v>#VALUE!</v>
      </c>
      <c r="AP119" s="505" t="e">
        <f aca="false">VLOOKUP($D119,CurveTbl,$AH$6)+VLOOKUP($AG119,$AL$3:$AS$15,7)</f>
        <v>#VALUE!</v>
      </c>
      <c r="AQ119" s="369" t="e">
        <f aca="false">VLOOKUP($AG119,$AL$4:$AS$15,3)+VLOOKUP($AG119,$AL$4:$AS$15,5)+($AH$10*VLOOKUP(D119,GRITable,2))</f>
        <v>#VALUE!</v>
      </c>
      <c r="AR119" s="370" t="e">
        <f aca="false">VLOOKUP($AG119,$AL$4:$AS$15,4)</f>
        <v>#VALUE!</v>
      </c>
      <c r="AS119" s="369" t="e">
        <f aca="false">(AL119+AM119+AN119)</f>
        <v>#VALUE!</v>
      </c>
      <c r="AT119" s="370" t="e">
        <f aca="false">VLOOKUP(D119,CurveTbl,$AK$6)</f>
        <v>#VALUE!</v>
      </c>
      <c r="AU119" s="370" t="e">
        <f aca="false">(1+$AT119/2)^(-2*($D119-$G$5)/365.25)*$AF119</f>
        <v>#VALUE!</v>
      </c>
      <c r="AV119" s="506" t="e">
        <f aca="false">ROUND((F119/(1-AR119))-F119,0)*AF119*AH119*AU119</f>
        <v>#VALUE!</v>
      </c>
      <c r="AW119" s="370" t="e">
        <f aca="false">VLOOKUP($D119,CurveTbl,$AK$8)</f>
        <v>#VALUE!</v>
      </c>
      <c r="AX119" s="370" t="e">
        <f aca="false">VLOOKUP($D119,CurveTbl,$AH$7)</f>
        <v>#VALUE!</v>
      </c>
      <c r="AY119" s="370" t="e">
        <f aca="false">VLOOKUP($D119,CurveTbl,$AH$8)</f>
        <v>#VALUE!</v>
      </c>
      <c r="AZ119" s="370"/>
      <c r="BA119" s="507"/>
      <c r="BB119" s="505" t="e">
        <f aca="false">$H119-$BV119</f>
        <v>#VALUE!</v>
      </c>
      <c r="BC119" s="505" t="e">
        <f aca="false">I119-BW119</f>
        <v>#VALUE!</v>
      </c>
      <c r="BD119" s="370" t="e">
        <f aca="false">N119-BX119</f>
        <v>#VALUE!</v>
      </c>
      <c r="BE119" s="370" t="e">
        <f aca="false">O119-BY119</f>
        <v>#VALUE!</v>
      </c>
      <c r="BF119" s="370" t="e">
        <f aca="false">xSPRDOPT($BW119,$BV119,$CG119,0,$BY119,$BX119,$BZ119,$AJ119,1,4)*$CB119</f>
        <v>#NAME?</v>
      </c>
      <c r="BG119" s="370" t="e">
        <f aca="false">xSPRDOPT($BW119,$BV119,$CG119,0,$BY119,$BX119,$BZ119,$AJ119,1,3)*$CB119</f>
        <v>#NAME?</v>
      </c>
      <c r="BH119" s="370" t="e">
        <f aca="false">IF(OR(BF119&lt;&gt;0,BG119&lt;&gt;0),xSPRDOPT($BW119,$BV119,$CG119,0,$BY119,$BX119,$BZ119,$AJ119,1,12)*$CB119,0)</f>
        <v>#NAME?</v>
      </c>
      <c r="BI119" s="370" t="e">
        <f aca="false">xSPRDOPT($BW119,$BV119,$CG119,2*LN(1+CA119/2),$BY119,$BX119,$BZ119,$AJ119,1,9)</f>
        <v>#NAME?</v>
      </c>
      <c r="BJ119" s="370" t="e">
        <f aca="false">xSPRDOPT($BW119,$BV119,$CG119,0,$BY119,$BX119,$BZ119,$AJ119,1,6)*$CB119</f>
        <v>#NAME?</v>
      </c>
      <c r="BK119" s="370" t="e">
        <f aca="false">xSPRDOPT($BW119,$BV119,$CG119,0,$BY119,$BX119,$BZ119,$AJ119,1,5)*$CB119</f>
        <v>#NAME?</v>
      </c>
      <c r="BL119" s="370" t="e">
        <f aca="false">xSPRDOPT(BW119,BV119,CG119,0,BY119,BX119,BZ119,AJ119,1,2)*CB119</f>
        <v>#NAME?</v>
      </c>
      <c r="BM119" s="370" t="e">
        <f aca="false">xSPRDOPT(BW119,BV119,CG119,0,BY119,BX119,BZ119,AJ119,1,1)*CB119</f>
        <v>#NAME?</v>
      </c>
      <c r="BN119" s="370" t="e">
        <f aca="false">IF(AH119&lt;&gt;0,xSPRDOPT($BW119,$BV119,$CG119,2*LN(1+CA119/2),$BY119,$BX119,$BZ119,$AJ119,1,8)+(AJ119/365.25)*CH119/AH119,0)</f>
        <v>#VALUE!</v>
      </c>
      <c r="BO119" s="370" t="e">
        <f aca="false">xSPRDOPT($BW119,$BV119,$CG119,0,$BY119,$BX119,$BZ119,$AJ119,1,0)</f>
        <v>#NAME?</v>
      </c>
      <c r="BP119" s="370"/>
      <c r="BQ119" s="370"/>
      <c r="BR119" s="370"/>
      <c r="BS119" s="370"/>
      <c r="BV119" s="508" t="n">
        <v>4.03149395456137</v>
      </c>
      <c r="BW119" s="369" t="n">
        <v>4.044</v>
      </c>
      <c r="BX119" s="370" t="n">
        <v>0.2025</v>
      </c>
      <c r="BY119" s="370" t="n">
        <v>0.2025</v>
      </c>
      <c r="BZ119" s="370" t="n">
        <v>0</v>
      </c>
      <c r="CA119" s="370" t="n">
        <v>0.0592302909193876</v>
      </c>
      <c r="CB119" s="370" t="n">
        <v>0</v>
      </c>
      <c r="CC119" s="505" t="n">
        <v>-0.017</v>
      </c>
      <c r="CD119" s="505" t="n">
        <v>0.0575</v>
      </c>
      <c r="CE119" s="505" t="n">
        <v>0.195</v>
      </c>
      <c r="CF119" s="505" t="n">
        <v>-0.025</v>
      </c>
      <c r="CG119" s="505" t="n">
        <v>0.0192</v>
      </c>
      <c r="CH119" s="505" t="n">
        <v>0</v>
      </c>
      <c r="CI119" s="505" t="n">
        <v>3.874</v>
      </c>
    </row>
    <row r="120" customFormat="false" ht="12.75" hidden="false" customHeight="false" outlineLevel="0" collapsed="false">
      <c r="A120" s="500"/>
      <c r="B120" s="500"/>
      <c r="D120" s="361" t="e">
        <f aca="false">D119+AH119</f>
        <v>#VALUE!</v>
      </c>
      <c r="F120" s="362" t="e">
        <f aca="false">VLOOKUP(AG120,$AL$4:$AS$15,2)</f>
        <v>#VALUE!</v>
      </c>
      <c r="G120" s="362" t="e">
        <f aca="false">F120*$AU120</f>
        <v>#VALUE!</v>
      </c>
      <c r="H120" s="363" t="e">
        <f aca="false">(AL120+AM120+AN120)/(1-(AR120))</f>
        <v>#VALUE!</v>
      </c>
      <c r="I120" s="363" t="e">
        <f aca="false">(AL120+AO120+AP120)</f>
        <v>#VALUE!</v>
      </c>
      <c r="K120" s="363" t="e">
        <f aca="false">MAX(((I120-H120)-AQ120)*AU120*AH120,0)</f>
        <v>#VALUE!</v>
      </c>
      <c r="L120" s="501" t="e">
        <f aca="false">MAX(Q120-K120,0)</f>
        <v>#VALUE!</v>
      </c>
      <c r="N120" s="502" t="e">
        <f aca="false">SQRT(($AX120^2*($AH120/2)+$AW120^2*$AI120)/(($AH120/2)+$AI120))</f>
        <v>#VALUE!</v>
      </c>
      <c r="O120" s="502" t="e">
        <f aca="false">SQRT(($AY120^2*($AH120/2)+$AW120^2*$AI120)/(($AH120/2)+$AI120))</f>
        <v>#VALUE!</v>
      </c>
      <c r="P120" s="371" t="e">
        <f aca="false">(VLOOKUP(AI120,CorrelationTwo,2)*(AW120^2)*AI120+VLOOKUP(D120,CorrelationOne,$AK$9)*AX120*AY120*(AH120/2))/((AI120+(AH120/2))*O120*N120)*AF120</f>
        <v>#VALUE!</v>
      </c>
      <c r="Q120" s="501" t="e">
        <f aca="false">xSPRDOPT(I120,H120,AQ120,0,O120,N120,P120,D120-$G$5,1,0)*AH120*AU120</f>
        <v>#VALUE!</v>
      </c>
      <c r="R120" s="501"/>
      <c r="S120" s="365" t="e">
        <f aca="false">xSPRDOPT(I120,H120,AQ120,AT120,O120,N120,P120,D120-$G$5,1,2)*AF120*(F120/(1-AR120))*AH120</f>
        <v>#VALUE!</v>
      </c>
      <c r="T120" s="365" t="e">
        <f aca="false">xSPRDOPT(I120,H120,AQ120,AT120,O120,N120,P120,D120-$G$5,1,1)*AF120*F120*AH120</f>
        <v>#VALUE!</v>
      </c>
      <c r="U120" s="501"/>
      <c r="V120" s="503" t="e">
        <f aca="false">VLOOKUP($AG120,$AL$4:$AS$15,8)*AH120*AU120</f>
        <v>#VALUE!</v>
      </c>
      <c r="W120" s="503"/>
      <c r="X120" s="504" t="e">
        <f aca="false">((BM120*BC120)+(BL120*BB120))*AH120*F120</f>
        <v>#VALUE!</v>
      </c>
      <c r="Y120" s="504" t="e">
        <f aca="false">($F120*$AH120)*((($BG120/2)*($BC120)^2)+(($BF120/2)*($BB120)^2)+($BH120*$BC120*$BB120))</f>
        <v>#VALUE!</v>
      </c>
      <c r="Z120" s="504" t="e">
        <f aca="false">($BI120*$F120*$AH120*($G$5-$BV$5))/365.25</f>
        <v>#VALUE!</v>
      </c>
      <c r="AA120" s="504" t="e">
        <f aca="false">(($BK120*$BE120)+($BJ120*$BD120))*$F120*$AH120*$AF120</f>
        <v>#VALUE!</v>
      </c>
      <c r="AB120" s="504" t="e">
        <f aca="false">BN120*(AT120-CA120)*F120*AH120</f>
        <v>#VALUE!</v>
      </c>
      <c r="AC120" s="504" t="e">
        <f aca="false">BO120*CB120*F120*AH120*CA120*($G$5-$BV$5)/365.25</f>
        <v>#NAME?</v>
      </c>
      <c r="AF120" s="378" t="e">
        <f aca="false">IF(AND(D120&gt;=$G$7,D120&lt;=$G$8),1,0)</f>
        <v>#VALUE!</v>
      </c>
      <c r="AG120" s="378" t="e">
        <f aca="false">MONTH(D120)</f>
        <v>#VALUE!</v>
      </c>
      <c r="AH120" s="378" t="e">
        <f aca="false">(EOMONTH(D120,0)-EOMONTH(D120-DAY(D120),0))*AF120</f>
        <v>#VALUE!</v>
      </c>
      <c r="AI120" s="378" t="e">
        <f aca="false">AI119+AH119</f>
        <v>#VALUE!</v>
      </c>
      <c r="AJ120" s="378" t="e">
        <f aca="false">D120-$BV$5</f>
        <v>#VALUE!</v>
      </c>
      <c r="AL120" s="369" t="e">
        <f aca="false">VLOOKUP($D120,CurveTbl,$AK$4)</f>
        <v>#VALUE!</v>
      </c>
      <c r="AM120" s="505" t="e">
        <f aca="false">VLOOKUP($D120,CurveTbl,$AH$3)</f>
        <v>#VALUE!</v>
      </c>
      <c r="AN120" s="505" t="e">
        <f aca="false">VLOOKUP($D120,CurveTbl,$AH$4)+VLOOKUP($AG120,$AL$3:$AS$15,6)</f>
        <v>#VALUE!</v>
      </c>
      <c r="AO120" s="505" t="e">
        <f aca="false">VLOOKUP($D120,CurveTbl,$AH$5)</f>
        <v>#VALUE!</v>
      </c>
      <c r="AP120" s="505" t="e">
        <f aca="false">VLOOKUP($D120,CurveTbl,$AH$6)+VLOOKUP($AG120,$AL$3:$AS$15,7)</f>
        <v>#VALUE!</v>
      </c>
      <c r="AQ120" s="369" t="e">
        <f aca="false">VLOOKUP($AG120,$AL$4:$AS$15,3)+VLOOKUP($AG120,$AL$4:$AS$15,5)+($AH$10*VLOOKUP(D120,GRITable,2))</f>
        <v>#VALUE!</v>
      </c>
      <c r="AR120" s="370" t="e">
        <f aca="false">VLOOKUP($AG120,$AL$4:$AS$15,4)</f>
        <v>#VALUE!</v>
      </c>
      <c r="AS120" s="369" t="e">
        <f aca="false">(AL120+AM120+AN120)</f>
        <v>#VALUE!</v>
      </c>
      <c r="AT120" s="370" t="e">
        <f aca="false">VLOOKUP(D120,CurveTbl,$AK$6)</f>
        <v>#VALUE!</v>
      </c>
      <c r="AU120" s="370" t="e">
        <f aca="false">(1+$AT120/2)^(-2*($D120-$G$5)/365.25)*$AF120</f>
        <v>#VALUE!</v>
      </c>
      <c r="AV120" s="506" t="e">
        <f aca="false">ROUND((F120/(1-AR120))-F120,0)*AF120*AH120*AU120</f>
        <v>#VALUE!</v>
      </c>
      <c r="AW120" s="370" t="e">
        <f aca="false">VLOOKUP($D120,CurveTbl,$AK$8)</f>
        <v>#VALUE!</v>
      </c>
      <c r="AX120" s="370" t="e">
        <f aca="false">VLOOKUP($D120,CurveTbl,$AH$7)</f>
        <v>#VALUE!</v>
      </c>
      <c r="AY120" s="370" t="e">
        <f aca="false">VLOOKUP($D120,CurveTbl,$AH$8)</f>
        <v>#VALUE!</v>
      </c>
      <c r="AZ120" s="370"/>
      <c r="BA120" s="507"/>
      <c r="BB120" s="505" t="e">
        <f aca="false">$H120-$BV120</f>
        <v>#VALUE!</v>
      </c>
      <c r="BC120" s="505" t="e">
        <f aca="false">I120-BW120</f>
        <v>#VALUE!</v>
      </c>
      <c r="BD120" s="370" t="e">
        <f aca="false">N120-BX120</f>
        <v>#VALUE!</v>
      </c>
      <c r="BE120" s="370" t="e">
        <f aca="false">O120-BY120</f>
        <v>#VALUE!</v>
      </c>
      <c r="BF120" s="370" t="e">
        <f aca="false">xSPRDOPT($BW120,$BV120,$CG120,0,$BY120,$BX120,$BZ120,$AJ120,1,4)*$CB120</f>
        <v>#NAME?</v>
      </c>
      <c r="BG120" s="370" t="e">
        <f aca="false">xSPRDOPT($BW120,$BV120,$CG120,0,$BY120,$BX120,$BZ120,$AJ120,1,3)*$CB120</f>
        <v>#NAME?</v>
      </c>
      <c r="BH120" s="370" t="e">
        <f aca="false">IF(OR(BF120&lt;&gt;0,BG120&lt;&gt;0),xSPRDOPT($BW120,$BV120,$CG120,0,$BY120,$BX120,$BZ120,$AJ120,1,12)*$CB120,0)</f>
        <v>#NAME?</v>
      </c>
      <c r="BI120" s="370" t="e">
        <f aca="false">xSPRDOPT($BW120,$BV120,$CG120,2*LN(1+CA120/2),$BY120,$BX120,$BZ120,$AJ120,1,9)</f>
        <v>#NAME?</v>
      </c>
      <c r="BJ120" s="370" t="e">
        <f aca="false">xSPRDOPT($BW120,$BV120,$CG120,0,$BY120,$BX120,$BZ120,$AJ120,1,6)*$CB120</f>
        <v>#NAME?</v>
      </c>
      <c r="BK120" s="370" t="e">
        <f aca="false">xSPRDOPT($BW120,$BV120,$CG120,0,$BY120,$BX120,$BZ120,$AJ120,1,5)*$CB120</f>
        <v>#NAME?</v>
      </c>
      <c r="BL120" s="370" t="e">
        <f aca="false">xSPRDOPT(BW120,BV120,CG120,0,BY120,BX120,BZ120,AJ120,1,2)*CB120</f>
        <v>#NAME?</v>
      </c>
      <c r="BM120" s="370" t="e">
        <f aca="false">xSPRDOPT(BW120,BV120,CG120,0,BY120,BX120,BZ120,AJ120,1,1)*CB120</f>
        <v>#NAME?</v>
      </c>
      <c r="BN120" s="370" t="e">
        <f aca="false">IF(AH120&lt;&gt;0,xSPRDOPT($BW120,$BV120,$CG120,2*LN(1+CA120/2),$BY120,$BX120,$BZ120,$AJ120,1,8)+(AJ120/365.25)*CH120/AH120,0)</f>
        <v>#VALUE!</v>
      </c>
      <c r="BO120" s="370" t="e">
        <f aca="false">xSPRDOPT($BW120,$BV120,$CG120,0,$BY120,$BX120,$BZ120,$AJ120,1,0)</f>
        <v>#NAME?</v>
      </c>
      <c r="BP120" s="370"/>
      <c r="BQ120" s="370"/>
      <c r="BR120" s="370"/>
      <c r="BS120" s="370"/>
      <c r="BV120" s="508" t="n">
        <v>4.03149395456137</v>
      </c>
      <c r="BW120" s="369" t="n">
        <v>4.044</v>
      </c>
      <c r="BX120" s="370" t="n">
        <v>0.2025</v>
      </c>
      <c r="BY120" s="370" t="n">
        <v>0.2025</v>
      </c>
      <c r="BZ120" s="370" t="n">
        <v>0</v>
      </c>
      <c r="CA120" s="370" t="n">
        <v>0.0592302909193876</v>
      </c>
      <c r="CB120" s="370" t="n">
        <v>0</v>
      </c>
      <c r="CC120" s="505" t="n">
        <v>-0.017</v>
      </c>
      <c r="CD120" s="505" t="n">
        <v>0.0575</v>
      </c>
      <c r="CE120" s="505" t="n">
        <v>0.195</v>
      </c>
      <c r="CF120" s="505" t="n">
        <v>-0.025</v>
      </c>
      <c r="CG120" s="505" t="n">
        <v>0.0192</v>
      </c>
      <c r="CH120" s="505" t="n">
        <v>0</v>
      </c>
      <c r="CI120" s="505" t="n">
        <v>3.874</v>
      </c>
    </row>
    <row r="121" customFormat="false" ht="12.75" hidden="false" customHeight="false" outlineLevel="0" collapsed="false">
      <c r="A121" s="500"/>
      <c r="B121" s="500"/>
      <c r="D121" s="361" t="e">
        <f aca="false">D120+AH120</f>
        <v>#VALUE!</v>
      </c>
      <c r="F121" s="362" t="e">
        <f aca="false">VLOOKUP(AG121,$AL$4:$AS$15,2)</f>
        <v>#VALUE!</v>
      </c>
      <c r="G121" s="362" t="e">
        <f aca="false">F121*$AU121</f>
        <v>#VALUE!</v>
      </c>
      <c r="H121" s="363" t="e">
        <f aca="false">(AL121+AM121+AN121)/(1-(AR121))</f>
        <v>#VALUE!</v>
      </c>
      <c r="I121" s="363" t="e">
        <f aca="false">(AL121+AO121+AP121)</f>
        <v>#VALUE!</v>
      </c>
      <c r="K121" s="363" t="e">
        <f aca="false">MAX(((I121-H121)-AQ121)*AU121*AH121,0)</f>
        <v>#VALUE!</v>
      </c>
      <c r="L121" s="501" t="e">
        <f aca="false">MAX(Q121-K121,0)</f>
        <v>#VALUE!</v>
      </c>
      <c r="N121" s="502" t="e">
        <f aca="false">SQRT(($AX121^2*($AH121/2)+$AW121^2*$AI121)/(($AH121/2)+$AI121))</f>
        <v>#VALUE!</v>
      </c>
      <c r="O121" s="502" t="e">
        <f aca="false">SQRT(($AY121^2*($AH121/2)+$AW121^2*$AI121)/(($AH121/2)+$AI121))</f>
        <v>#VALUE!</v>
      </c>
      <c r="P121" s="371" t="e">
        <f aca="false">(VLOOKUP(AI121,CorrelationTwo,2)*(AW121^2)*AI121+VLOOKUP(D121,CorrelationOne,$AK$9)*AX121*AY121*(AH121/2))/((AI121+(AH121/2))*O121*N121)*AF121</f>
        <v>#VALUE!</v>
      </c>
      <c r="Q121" s="501" t="e">
        <f aca="false">xSPRDOPT(I121,H121,AQ121,0,O121,N121,P121,D121-$G$5,1,0)*AH121*AU121</f>
        <v>#VALUE!</v>
      </c>
      <c r="R121" s="501"/>
      <c r="S121" s="365" t="e">
        <f aca="false">xSPRDOPT(I121,H121,AQ121,AT121,O121,N121,P121,D121-$G$5,1,2)*AF121*(F121/(1-AR121))*AH121</f>
        <v>#VALUE!</v>
      </c>
      <c r="T121" s="365" t="e">
        <f aca="false">xSPRDOPT(I121,H121,AQ121,AT121,O121,N121,P121,D121-$G$5,1,1)*AF121*F121*AH121</f>
        <v>#VALUE!</v>
      </c>
      <c r="U121" s="501"/>
      <c r="V121" s="503" t="e">
        <f aca="false">VLOOKUP($AG121,$AL$4:$AS$15,8)*AH121*AU121</f>
        <v>#VALUE!</v>
      </c>
      <c r="W121" s="503"/>
      <c r="X121" s="504" t="e">
        <f aca="false">((BM121*BC121)+(BL121*BB121))*AH121*F121</f>
        <v>#VALUE!</v>
      </c>
      <c r="Y121" s="504" t="e">
        <f aca="false">($F121*$AH121)*((($BG121/2)*($BC121)^2)+(($BF121/2)*($BB121)^2)+($BH121*$BC121*$BB121))</f>
        <v>#VALUE!</v>
      </c>
      <c r="Z121" s="504" t="e">
        <f aca="false">($BI121*$F121*$AH121*($G$5-$BV$5))/365.25</f>
        <v>#VALUE!</v>
      </c>
      <c r="AA121" s="504" t="e">
        <f aca="false">(($BK121*$BE121)+($BJ121*$BD121))*$F121*$AH121*$AF121</f>
        <v>#VALUE!</v>
      </c>
      <c r="AB121" s="504" t="e">
        <f aca="false">BN121*(AT121-CA121)*F121*AH121</f>
        <v>#VALUE!</v>
      </c>
      <c r="AC121" s="504" t="e">
        <f aca="false">BO121*CB121*F121*AH121*CA121*($G$5-$BV$5)/365.25</f>
        <v>#NAME?</v>
      </c>
      <c r="AF121" s="378" t="e">
        <f aca="false">IF(AND(D121&gt;=$G$7,D121&lt;=$G$8),1,0)</f>
        <v>#VALUE!</v>
      </c>
      <c r="AG121" s="378" t="e">
        <f aca="false">MONTH(D121)</f>
        <v>#VALUE!</v>
      </c>
      <c r="AH121" s="378" t="e">
        <f aca="false">(EOMONTH(D121,0)-EOMONTH(D121-DAY(D121),0))*AF121</f>
        <v>#VALUE!</v>
      </c>
      <c r="AI121" s="378" t="e">
        <f aca="false">AI120+AH120</f>
        <v>#VALUE!</v>
      </c>
      <c r="AJ121" s="378" t="e">
        <f aca="false">D121-$BV$5</f>
        <v>#VALUE!</v>
      </c>
      <c r="AL121" s="369" t="e">
        <f aca="false">VLOOKUP($D121,CurveTbl,$AK$4)</f>
        <v>#VALUE!</v>
      </c>
      <c r="AM121" s="505" t="e">
        <f aca="false">VLOOKUP($D121,CurveTbl,$AH$3)</f>
        <v>#VALUE!</v>
      </c>
      <c r="AN121" s="505" t="e">
        <f aca="false">VLOOKUP($D121,CurveTbl,$AH$4)+VLOOKUP($AG121,$AL$3:$AS$15,6)</f>
        <v>#VALUE!</v>
      </c>
      <c r="AO121" s="505" t="e">
        <f aca="false">VLOOKUP($D121,CurveTbl,$AH$5)</f>
        <v>#VALUE!</v>
      </c>
      <c r="AP121" s="505" t="e">
        <f aca="false">VLOOKUP($D121,CurveTbl,$AH$6)+VLOOKUP($AG121,$AL$3:$AS$15,7)</f>
        <v>#VALUE!</v>
      </c>
      <c r="AQ121" s="369" t="e">
        <f aca="false">VLOOKUP($AG121,$AL$4:$AS$15,3)+VLOOKUP($AG121,$AL$4:$AS$15,5)+($AH$10*VLOOKUP(D121,GRITable,2))</f>
        <v>#VALUE!</v>
      </c>
      <c r="AR121" s="370" t="e">
        <f aca="false">VLOOKUP($AG121,$AL$4:$AS$15,4)</f>
        <v>#VALUE!</v>
      </c>
      <c r="AS121" s="369" t="e">
        <f aca="false">(AL121+AM121+AN121)</f>
        <v>#VALUE!</v>
      </c>
      <c r="AT121" s="370" t="e">
        <f aca="false">VLOOKUP(D121,CurveTbl,$AK$6)</f>
        <v>#VALUE!</v>
      </c>
      <c r="AU121" s="370" t="e">
        <f aca="false">(1+$AT121/2)^(-2*($D121-$G$5)/365.25)*$AF121</f>
        <v>#VALUE!</v>
      </c>
      <c r="AV121" s="506" t="e">
        <f aca="false">ROUND((F121/(1-AR121))-F121,0)*AF121*AH121*AU121</f>
        <v>#VALUE!</v>
      </c>
      <c r="AW121" s="370" t="e">
        <f aca="false">VLOOKUP($D121,CurveTbl,$AK$8)</f>
        <v>#VALUE!</v>
      </c>
      <c r="AX121" s="370" t="e">
        <f aca="false">VLOOKUP($D121,CurveTbl,$AH$7)</f>
        <v>#VALUE!</v>
      </c>
      <c r="AY121" s="370" t="e">
        <f aca="false">VLOOKUP($D121,CurveTbl,$AH$8)</f>
        <v>#VALUE!</v>
      </c>
      <c r="AZ121" s="370"/>
      <c r="BA121" s="507"/>
      <c r="BB121" s="505" t="e">
        <f aca="false">$H121-$BV121</f>
        <v>#VALUE!</v>
      </c>
      <c r="BC121" s="505" t="e">
        <f aca="false">I121-BW121</f>
        <v>#VALUE!</v>
      </c>
      <c r="BD121" s="370" t="e">
        <f aca="false">N121-BX121</f>
        <v>#VALUE!</v>
      </c>
      <c r="BE121" s="370" t="e">
        <f aca="false">O121-BY121</f>
        <v>#VALUE!</v>
      </c>
      <c r="BF121" s="370" t="e">
        <f aca="false">xSPRDOPT($BW121,$BV121,$CG121,0,$BY121,$BX121,$BZ121,$AJ121,1,4)*$CB121</f>
        <v>#NAME?</v>
      </c>
      <c r="BG121" s="370" t="e">
        <f aca="false">xSPRDOPT($BW121,$BV121,$CG121,0,$BY121,$BX121,$BZ121,$AJ121,1,3)*$CB121</f>
        <v>#NAME?</v>
      </c>
      <c r="BH121" s="370" t="e">
        <f aca="false">IF(OR(BF121&lt;&gt;0,BG121&lt;&gt;0),xSPRDOPT($BW121,$BV121,$CG121,0,$BY121,$BX121,$BZ121,$AJ121,1,12)*$CB121,0)</f>
        <v>#NAME?</v>
      </c>
      <c r="BI121" s="370" t="e">
        <f aca="false">xSPRDOPT($BW121,$BV121,$CG121,2*LN(1+CA121/2),$BY121,$BX121,$BZ121,$AJ121,1,9)</f>
        <v>#NAME?</v>
      </c>
      <c r="BJ121" s="370" t="e">
        <f aca="false">xSPRDOPT($BW121,$BV121,$CG121,0,$BY121,$BX121,$BZ121,$AJ121,1,6)*$CB121</f>
        <v>#NAME?</v>
      </c>
      <c r="BK121" s="370" t="e">
        <f aca="false">xSPRDOPT($BW121,$BV121,$CG121,0,$BY121,$BX121,$BZ121,$AJ121,1,5)*$CB121</f>
        <v>#NAME?</v>
      </c>
      <c r="BL121" s="370" t="e">
        <f aca="false">xSPRDOPT(BW121,BV121,CG121,0,BY121,BX121,BZ121,AJ121,1,2)*CB121</f>
        <v>#NAME?</v>
      </c>
      <c r="BM121" s="370" t="e">
        <f aca="false">xSPRDOPT(BW121,BV121,CG121,0,BY121,BX121,BZ121,AJ121,1,1)*CB121</f>
        <v>#NAME?</v>
      </c>
      <c r="BN121" s="370" t="e">
        <f aca="false">IF(AH121&lt;&gt;0,xSPRDOPT($BW121,$BV121,$CG121,2*LN(1+CA121/2),$BY121,$BX121,$BZ121,$AJ121,1,8)+(AJ121/365.25)*CH121/AH121,0)</f>
        <v>#VALUE!</v>
      </c>
      <c r="BO121" s="370" t="e">
        <f aca="false">xSPRDOPT($BW121,$BV121,$CG121,0,$BY121,$BX121,$BZ121,$AJ121,1,0)</f>
        <v>#NAME?</v>
      </c>
      <c r="BP121" s="370"/>
      <c r="BQ121" s="370"/>
      <c r="BR121" s="370"/>
      <c r="BS121" s="370"/>
      <c r="BV121" s="508" t="n">
        <v>4.03149395456137</v>
      </c>
      <c r="BW121" s="369" t="n">
        <v>4.044</v>
      </c>
      <c r="BX121" s="370" t="n">
        <v>0.2025</v>
      </c>
      <c r="BY121" s="370" t="n">
        <v>0.2025</v>
      </c>
      <c r="BZ121" s="370" t="n">
        <v>0</v>
      </c>
      <c r="CA121" s="370" t="n">
        <v>0.0592302909193876</v>
      </c>
      <c r="CB121" s="370" t="n">
        <v>0</v>
      </c>
      <c r="CC121" s="505" t="n">
        <v>-0.017</v>
      </c>
      <c r="CD121" s="505" t="n">
        <v>0.0575</v>
      </c>
      <c r="CE121" s="505" t="n">
        <v>0.195</v>
      </c>
      <c r="CF121" s="505" t="n">
        <v>-0.025</v>
      </c>
      <c r="CG121" s="505" t="n">
        <v>0.0192</v>
      </c>
      <c r="CH121" s="505" t="n">
        <v>0</v>
      </c>
      <c r="CI121" s="505" t="n">
        <v>3.874</v>
      </c>
    </row>
    <row r="122" customFormat="false" ht="12.75" hidden="false" customHeight="false" outlineLevel="0" collapsed="false">
      <c r="A122" s="500"/>
      <c r="B122" s="500"/>
      <c r="D122" s="361" t="e">
        <f aca="false">D121+AH121</f>
        <v>#VALUE!</v>
      </c>
      <c r="F122" s="362" t="e">
        <f aca="false">VLOOKUP(AG122,$AL$4:$AS$15,2)</f>
        <v>#VALUE!</v>
      </c>
      <c r="G122" s="362" t="e">
        <f aca="false">F122*$AU122</f>
        <v>#VALUE!</v>
      </c>
      <c r="H122" s="363" t="e">
        <f aca="false">(AL122+AM122+AN122)/(1-(AR122))</f>
        <v>#VALUE!</v>
      </c>
      <c r="I122" s="363" t="e">
        <f aca="false">(AL122+AO122+AP122)</f>
        <v>#VALUE!</v>
      </c>
      <c r="K122" s="363" t="e">
        <f aca="false">MAX(((I122-H122)-AQ122)*AU122*AH122,0)</f>
        <v>#VALUE!</v>
      </c>
      <c r="L122" s="501" t="e">
        <f aca="false">MAX(Q122-K122,0)</f>
        <v>#VALUE!</v>
      </c>
      <c r="N122" s="502" t="e">
        <f aca="false">SQRT(($AX122^2*($AH122/2)+$AW122^2*$AI122)/(($AH122/2)+$AI122))</f>
        <v>#VALUE!</v>
      </c>
      <c r="O122" s="502" t="e">
        <f aca="false">SQRT(($AY122^2*($AH122/2)+$AW122^2*$AI122)/(($AH122/2)+$AI122))</f>
        <v>#VALUE!</v>
      </c>
      <c r="P122" s="371" t="e">
        <f aca="false">(VLOOKUP(AI122,CorrelationTwo,2)*(AW122^2)*AI122+VLOOKUP(D122,CorrelationOne,$AK$9)*AX122*AY122*(AH122/2))/((AI122+(AH122/2))*O122*N122)*AF122</f>
        <v>#VALUE!</v>
      </c>
      <c r="Q122" s="501" t="e">
        <f aca="false">xSPRDOPT(I122,H122,AQ122,0,O122,N122,P122,D122-$G$5,1,0)*AH122*AU122</f>
        <v>#VALUE!</v>
      </c>
      <c r="R122" s="501"/>
      <c r="S122" s="365" t="e">
        <f aca="false">xSPRDOPT(I122,H122,AQ122,AT122,O122,N122,P122,D122-$G$5,1,2)*AF122*(F122/(1-AR122))*AH122</f>
        <v>#VALUE!</v>
      </c>
      <c r="T122" s="365" t="e">
        <f aca="false">xSPRDOPT(I122,H122,AQ122,AT122,O122,N122,P122,D122-$G$5,1,1)*AF122*F122*AH122</f>
        <v>#VALUE!</v>
      </c>
      <c r="U122" s="501"/>
      <c r="V122" s="503" t="e">
        <f aca="false">VLOOKUP($AG122,$AL$4:$AS$15,8)*AH122*AU122</f>
        <v>#VALUE!</v>
      </c>
      <c r="W122" s="503"/>
      <c r="X122" s="504" t="e">
        <f aca="false">((BM122*BC122)+(BL122*BB122))*AH122*F122</f>
        <v>#VALUE!</v>
      </c>
      <c r="Y122" s="504" t="e">
        <f aca="false">($F122*$AH122)*((($BG122/2)*($BC122)^2)+(($BF122/2)*($BB122)^2)+($BH122*$BC122*$BB122))</f>
        <v>#VALUE!</v>
      </c>
      <c r="Z122" s="504" t="e">
        <f aca="false">($BI122*$F122*$AH122*($G$5-$BV$5))/365.25</f>
        <v>#VALUE!</v>
      </c>
      <c r="AA122" s="504" t="e">
        <f aca="false">(($BK122*$BE122)+($BJ122*$BD122))*$F122*$AH122*$AF122</f>
        <v>#VALUE!</v>
      </c>
      <c r="AB122" s="504" t="e">
        <f aca="false">BN122*(AT122-CA122)*F122*AH122</f>
        <v>#VALUE!</v>
      </c>
      <c r="AC122" s="504" t="e">
        <f aca="false">BO122*CB122*F122*AH122*CA122*($G$5-$BV$5)/365.25</f>
        <v>#NAME?</v>
      </c>
      <c r="AF122" s="378" t="e">
        <f aca="false">IF(AND(D122&gt;=$G$7,D122&lt;=$G$8),1,0)</f>
        <v>#VALUE!</v>
      </c>
      <c r="AG122" s="378" t="e">
        <f aca="false">MONTH(D122)</f>
        <v>#VALUE!</v>
      </c>
      <c r="AH122" s="378" t="e">
        <f aca="false">(EOMONTH(D122,0)-EOMONTH(D122-DAY(D122),0))*AF122</f>
        <v>#VALUE!</v>
      </c>
      <c r="AI122" s="378" t="e">
        <f aca="false">AI121+AH121</f>
        <v>#VALUE!</v>
      </c>
      <c r="AJ122" s="378" t="e">
        <f aca="false">D122-$BV$5</f>
        <v>#VALUE!</v>
      </c>
      <c r="AL122" s="369" t="e">
        <f aca="false">VLOOKUP($D122,CurveTbl,$AK$4)</f>
        <v>#VALUE!</v>
      </c>
      <c r="AM122" s="505" t="e">
        <f aca="false">VLOOKUP($D122,CurveTbl,$AH$3)</f>
        <v>#VALUE!</v>
      </c>
      <c r="AN122" s="505" t="e">
        <f aca="false">VLOOKUP($D122,CurveTbl,$AH$4)+VLOOKUP($AG122,$AL$3:$AS$15,6)</f>
        <v>#VALUE!</v>
      </c>
      <c r="AO122" s="505" t="e">
        <f aca="false">VLOOKUP($D122,CurveTbl,$AH$5)</f>
        <v>#VALUE!</v>
      </c>
      <c r="AP122" s="505" t="e">
        <f aca="false">VLOOKUP($D122,CurveTbl,$AH$6)+VLOOKUP($AG122,$AL$3:$AS$15,7)</f>
        <v>#VALUE!</v>
      </c>
      <c r="AQ122" s="369" t="e">
        <f aca="false">VLOOKUP($AG122,$AL$4:$AS$15,3)+VLOOKUP($AG122,$AL$4:$AS$15,5)+($AH$10*VLOOKUP(D122,GRITable,2))</f>
        <v>#VALUE!</v>
      </c>
      <c r="AR122" s="370" t="e">
        <f aca="false">VLOOKUP($AG122,$AL$4:$AS$15,4)</f>
        <v>#VALUE!</v>
      </c>
      <c r="AS122" s="369" t="e">
        <f aca="false">(AL122+AM122+AN122)</f>
        <v>#VALUE!</v>
      </c>
      <c r="AT122" s="370" t="e">
        <f aca="false">VLOOKUP(D122,CurveTbl,$AK$6)</f>
        <v>#VALUE!</v>
      </c>
      <c r="AU122" s="370" t="e">
        <f aca="false">(1+$AT122/2)^(-2*($D122-$G$5)/365.25)*$AF122</f>
        <v>#VALUE!</v>
      </c>
      <c r="AV122" s="506" t="e">
        <f aca="false">ROUND((F122/(1-AR122))-F122,0)*AF122*AH122*AU122</f>
        <v>#VALUE!</v>
      </c>
      <c r="AW122" s="370" t="e">
        <f aca="false">VLOOKUP($D122,CurveTbl,$AK$8)</f>
        <v>#VALUE!</v>
      </c>
      <c r="AX122" s="370" t="e">
        <f aca="false">VLOOKUP($D122,CurveTbl,$AH$7)</f>
        <v>#VALUE!</v>
      </c>
      <c r="AY122" s="370" t="e">
        <f aca="false">VLOOKUP($D122,CurveTbl,$AH$8)</f>
        <v>#VALUE!</v>
      </c>
      <c r="AZ122" s="370"/>
      <c r="BA122" s="507"/>
      <c r="BB122" s="505" t="e">
        <f aca="false">$H122-$BV122</f>
        <v>#VALUE!</v>
      </c>
      <c r="BC122" s="505" t="e">
        <f aca="false">I122-BW122</f>
        <v>#VALUE!</v>
      </c>
      <c r="BD122" s="370" t="e">
        <f aca="false">N122-BX122</f>
        <v>#VALUE!</v>
      </c>
      <c r="BE122" s="370" t="e">
        <f aca="false">O122-BY122</f>
        <v>#VALUE!</v>
      </c>
      <c r="BF122" s="370" t="e">
        <f aca="false">xSPRDOPT($BW122,$BV122,$CG122,0,$BY122,$BX122,$BZ122,$AJ122,1,4)*$CB122</f>
        <v>#NAME?</v>
      </c>
      <c r="BG122" s="370" t="e">
        <f aca="false">xSPRDOPT($BW122,$BV122,$CG122,0,$BY122,$BX122,$BZ122,$AJ122,1,3)*$CB122</f>
        <v>#NAME?</v>
      </c>
      <c r="BH122" s="370" t="e">
        <f aca="false">IF(OR(BF122&lt;&gt;0,BG122&lt;&gt;0),xSPRDOPT($BW122,$BV122,$CG122,0,$BY122,$BX122,$BZ122,$AJ122,1,12)*$CB122,0)</f>
        <v>#NAME?</v>
      </c>
      <c r="BI122" s="370" t="e">
        <f aca="false">xSPRDOPT($BW122,$BV122,$CG122,2*LN(1+CA122/2),$BY122,$BX122,$BZ122,$AJ122,1,9)</f>
        <v>#NAME?</v>
      </c>
      <c r="BJ122" s="370" t="e">
        <f aca="false">xSPRDOPT($BW122,$BV122,$CG122,0,$BY122,$BX122,$BZ122,$AJ122,1,6)*$CB122</f>
        <v>#NAME?</v>
      </c>
      <c r="BK122" s="370" t="e">
        <f aca="false">xSPRDOPT($BW122,$BV122,$CG122,0,$BY122,$BX122,$BZ122,$AJ122,1,5)*$CB122</f>
        <v>#NAME?</v>
      </c>
      <c r="BL122" s="370" t="e">
        <f aca="false">xSPRDOPT(BW122,BV122,CG122,0,BY122,BX122,BZ122,AJ122,1,2)*CB122</f>
        <v>#NAME?</v>
      </c>
      <c r="BM122" s="370" t="e">
        <f aca="false">xSPRDOPT(BW122,BV122,CG122,0,BY122,BX122,BZ122,AJ122,1,1)*CB122</f>
        <v>#NAME?</v>
      </c>
      <c r="BN122" s="370" t="e">
        <f aca="false">IF(AH122&lt;&gt;0,xSPRDOPT($BW122,$BV122,$CG122,2*LN(1+CA122/2),$BY122,$BX122,$BZ122,$AJ122,1,8)+(AJ122/365.25)*CH122/AH122,0)</f>
        <v>#VALUE!</v>
      </c>
      <c r="BO122" s="370" t="e">
        <f aca="false">xSPRDOPT($BW122,$BV122,$CG122,0,$BY122,$BX122,$BZ122,$AJ122,1,0)</f>
        <v>#NAME?</v>
      </c>
      <c r="BP122" s="370"/>
      <c r="BQ122" s="370"/>
      <c r="BR122" s="370"/>
      <c r="BS122" s="370"/>
      <c r="BV122" s="508" t="n">
        <v>4.03149395456137</v>
      </c>
      <c r="BW122" s="369" t="n">
        <v>4.044</v>
      </c>
      <c r="BX122" s="370" t="n">
        <v>0.2025</v>
      </c>
      <c r="BY122" s="370" t="n">
        <v>0.2025</v>
      </c>
      <c r="BZ122" s="370" t="n">
        <v>0</v>
      </c>
      <c r="CA122" s="370" t="n">
        <v>0.0592302909193876</v>
      </c>
      <c r="CB122" s="370" t="n">
        <v>0</v>
      </c>
      <c r="CC122" s="505" t="n">
        <v>-0.017</v>
      </c>
      <c r="CD122" s="505" t="n">
        <v>0.0575</v>
      </c>
      <c r="CE122" s="505" t="n">
        <v>0.195</v>
      </c>
      <c r="CF122" s="505" t="n">
        <v>-0.025</v>
      </c>
      <c r="CG122" s="505" t="n">
        <v>0.0192</v>
      </c>
      <c r="CH122" s="505" t="n">
        <v>0</v>
      </c>
      <c r="CI122" s="505" t="n">
        <v>3.874</v>
      </c>
    </row>
    <row r="123" customFormat="false" ht="12.75" hidden="false" customHeight="false" outlineLevel="0" collapsed="false">
      <c r="A123" s="500"/>
      <c r="B123" s="500"/>
      <c r="K123" s="363"/>
      <c r="L123" s="501"/>
      <c r="N123" s="502"/>
      <c r="O123" s="502"/>
      <c r="P123" s="371"/>
      <c r="Q123" s="501"/>
      <c r="R123" s="501"/>
      <c r="U123" s="501"/>
      <c r="V123" s="503"/>
      <c r="W123" s="503"/>
      <c r="X123" s="504"/>
      <c r="Y123" s="504"/>
      <c r="Z123" s="504"/>
      <c r="AA123" s="504"/>
      <c r="AB123" s="504"/>
      <c r="AC123" s="504"/>
      <c r="AF123" s="378"/>
      <c r="AG123" s="378"/>
      <c r="AH123" s="378"/>
      <c r="AI123" s="378"/>
      <c r="AJ123" s="378"/>
      <c r="AM123" s="505"/>
      <c r="AN123" s="505"/>
      <c r="AO123" s="505"/>
      <c r="AP123" s="505"/>
      <c r="AR123" s="370"/>
      <c r="AT123" s="370"/>
      <c r="AV123" s="134"/>
      <c r="AW123" s="370"/>
      <c r="AX123" s="370"/>
      <c r="AY123" s="370"/>
      <c r="AZ123" s="370"/>
      <c r="BA123" s="507"/>
      <c r="BB123" s="505"/>
      <c r="BC123" s="505"/>
      <c r="BD123" s="370"/>
      <c r="BE123" s="370"/>
      <c r="BF123" s="370"/>
      <c r="BG123" s="370"/>
      <c r="BH123" s="370"/>
      <c r="BI123" s="370"/>
      <c r="BJ123" s="370"/>
      <c r="BK123" s="370"/>
      <c r="BL123" s="370"/>
      <c r="BM123" s="370"/>
      <c r="BN123" s="370"/>
      <c r="BO123" s="370"/>
      <c r="BP123" s="370"/>
      <c r="BQ123" s="370"/>
      <c r="BR123" s="370"/>
      <c r="BS123" s="370"/>
      <c r="BV123" s="508"/>
      <c r="BW123" s="369"/>
      <c r="BX123" s="370"/>
      <c r="BY123" s="370"/>
      <c r="BZ123" s="370"/>
      <c r="CA123" s="370"/>
      <c r="CB123" s="370"/>
      <c r="CC123" s="505"/>
      <c r="CD123" s="505"/>
      <c r="CE123" s="505"/>
      <c r="CF123" s="505"/>
      <c r="CG123" s="505"/>
      <c r="CH123" s="505"/>
      <c r="CI123" s="505"/>
    </row>
    <row r="124" customFormat="false" ht="12.75" hidden="false" customHeight="false" outlineLevel="0" collapsed="false">
      <c r="A124" s="500"/>
      <c r="B124" s="500"/>
      <c r="P124" s="371"/>
      <c r="Q124" s="371"/>
      <c r="R124" s="371"/>
      <c r="U124" s="371"/>
      <c r="V124" s="371"/>
      <c r="W124" s="371"/>
      <c r="X124" s="371"/>
      <c r="AO124" s="369"/>
      <c r="AQ124" s="370"/>
      <c r="AS124" s="370"/>
      <c r="AU124" s="530"/>
      <c r="AV124" s="369"/>
      <c r="AW124" s="370"/>
    </row>
    <row r="125" customFormat="false" ht="12.75" hidden="false" customHeight="false" outlineLevel="0" collapsed="false">
      <c r="A125" s="500"/>
      <c r="B125" s="500"/>
      <c r="P125" s="371"/>
      <c r="Q125" s="371"/>
      <c r="R125" s="371"/>
      <c r="U125" s="371"/>
      <c r="V125" s="371"/>
      <c r="W125" s="371"/>
      <c r="X125" s="371"/>
      <c r="AO125" s="369"/>
      <c r="AQ125" s="370"/>
      <c r="AS125" s="370"/>
      <c r="AU125" s="530"/>
      <c r="AV125" s="369"/>
      <c r="AW125" s="370"/>
    </row>
    <row r="126" customFormat="false" ht="12.75" hidden="false" customHeight="false" outlineLevel="0" collapsed="false">
      <c r="A126" s="500"/>
      <c r="B126" s="500"/>
      <c r="P126" s="371"/>
      <c r="Q126" s="371"/>
      <c r="R126" s="371"/>
      <c r="U126" s="371"/>
      <c r="V126" s="371"/>
      <c r="W126" s="371"/>
      <c r="X126" s="371"/>
      <c r="AO126" s="369"/>
      <c r="AQ126" s="370"/>
      <c r="AS126" s="370"/>
      <c r="AU126" s="530"/>
      <c r="AV126" s="369"/>
      <c r="AW126" s="370"/>
    </row>
    <row r="127" customFormat="false" ht="12.75" hidden="false" customHeight="false" outlineLevel="0" collapsed="false">
      <c r="A127" s="500"/>
      <c r="B127" s="500"/>
      <c r="P127" s="371"/>
      <c r="Q127" s="371"/>
      <c r="R127" s="371"/>
      <c r="U127" s="371"/>
      <c r="V127" s="371"/>
      <c r="W127" s="371"/>
      <c r="X127" s="371"/>
      <c r="AO127" s="369"/>
      <c r="AQ127" s="370"/>
      <c r="AS127" s="370"/>
      <c r="AU127" s="530"/>
      <c r="AV127" s="369"/>
      <c r="AW127" s="370"/>
    </row>
    <row r="128" customFormat="false" ht="12.75" hidden="false" customHeight="false" outlineLevel="0" collapsed="false">
      <c r="A128" s="500"/>
      <c r="B128" s="500"/>
      <c r="P128" s="371"/>
      <c r="Q128" s="371"/>
      <c r="R128" s="371"/>
      <c r="U128" s="371"/>
      <c r="V128" s="371"/>
      <c r="W128" s="371"/>
      <c r="X128" s="371"/>
      <c r="AO128" s="369"/>
      <c r="AQ128" s="370"/>
      <c r="AS128" s="370"/>
      <c r="AU128" s="530"/>
      <c r="AV128" s="369"/>
      <c r="AW128" s="370"/>
    </row>
    <row r="129" customFormat="false" ht="12.75" hidden="false" customHeight="false" outlineLevel="0" collapsed="false">
      <c r="A129" s="500"/>
      <c r="B129" s="500"/>
      <c r="P129" s="371"/>
      <c r="Q129" s="371"/>
      <c r="R129" s="371"/>
      <c r="U129" s="371"/>
      <c r="V129" s="371"/>
      <c r="W129" s="371"/>
      <c r="X129" s="371"/>
      <c r="AO129" s="369"/>
      <c r="AQ129" s="370"/>
      <c r="AS129" s="370"/>
      <c r="AU129" s="530"/>
      <c r="AV129" s="369"/>
      <c r="AW129" s="370"/>
    </row>
    <row r="130" customFormat="false" ht="12.75" hidden="false" customHeight="false" outlineLevel="0" collapsed="false">
      <c r="P130" s="371"/>
      <c r="Q130" s="371"/>
      <c r="R130" s="371"/>
      <c r="U130" s="371"/>
      <c r="V130" s="371"/>
      <c r="W130" s="371"/>
      <c r="X130" s="371"/>
      <c r="AO130" s="369"/>
      <c r="AQ130" s="370"/>
      <c r="AS130" s="370"/>
      <c r="AU130" s="530"/>
      <c r="AV130" s="369"/>
      <c r="AW130" s="370"/>
    </row>
    <row r="131" customFormat="false" ht="12.75" hidden="false" customHeight="false" outlineLevel="0" collapsed="false">
      <c r="P131" s="371"/>
      <c r="Q131" s="371"/>
      <c r="R131" s="371"/>
      <c r="U131" s="371"/>
      <c r="V131" s="371"/>
      <c r="W131" s="371"/>
      <c r="X131" s="371"/>
      <c r="AO131" s="369"/>
      <c r="AQ131" s="370"/>
      <c r="AS131" s="370"/>
      <c r="AU131" s="530"/>
      <c r="AV131" s="369"/>
      <c r="AW131" s="370"/>
    </row>
    <row r="132" customFormat="false" ht="12.75" hidden="false" customHeight="false" outlineLevel="0" collapsed="false">
      <c r="P132" s="371"/>
      <c r="Q132" s="371"/>
      <c r="R132" s="371"/>
      <c r="U132" s="371"/>
      <c r="V132" s="371"/>
      <c r="W132" s="371"/>
      <c r="X132" s="371"/>
      <c r="AO132" s="369"/>
      <c r="AQ132" s="370"/>
      <c r="AS132" s="370"/>
      <c r="AU132" s="530"/>
      <c r="AV132" s="369"/>
      <c r="AW132" s="370"/>
    </row>
    <row r="133" customFormat="false" ht="12.75" hidden="false" customHeight="false" outlineLevel="0" collapsed="false">
      <c r="P133" s="371"/>
      <c r="Q133" s="371"/>
      <c r="R133" s="371"/>
      <c r="U133" s="371"/>
      <c r="V133" s="371"/>
      <c r="W133" s="371"/>
      <c r="X133" s="371"/>
      <c r="AO133" s="369"/>
      <c r="AQ133" s="370"/>
      <c r="AS133" s="370"/>
      <c r="AU133" s="530"/>
      <c r="AV133" s="369"/>
      <c r="AW133" s="370"/>
    </row>
    <row r="134" customFormat="false" ht="12.75" hidden="false" customHeight="false" outlineLevel="0" collapsed="false">
      <c r="P134" s="371"/>
      <c r="Q134" s="371"/>
      <c r="R134" s="371"/>
      <c r="U134" s="371"/>
      <c r="V134" s="371"/>
      <c r="W134" s="371"/>
      <c r="X134" s="371"/>
      <c r="AO134" s="369"/>
      <c r="AQ134" s="370"/>
      <c r="AS134" s="370"/>
      <c r="AU134" s="530"/>
      <c r="AV134" s="369"/>
      <c r="AW134" s="370"/>
    </row>
    <row r="135" customFormat="false" ht="12.75" hidden="false" customHeight="false" outlineLevel="0" collapsed="false">
      <c r="P135" s="371"/>
      <c r="Q135" s="371"/>
      <c r="R135" s="371"/>
      <c r="U135" s="371"/>
      <c r="V135" s="371"/>
      <c r="W135" s="371"/>
      <c r="X135" s="371"/>
      <c r="AO135" s="369"/>
      <c r="AQ135" s="370"/>
      <c r="AS135" s="370"/>
      <c r="AU135" s="530"/>
      <c r="AV135" s="369"/>
      <c r="AW135" s="370"/>
    </row>
    <row r="136" customFormat="false" ht="12.75" hidden="false" customHeight="false" outlineLevel="0" collapsed="false">
      <c r="P136" s="371"/>
      <c r="Q136" s="371"/>
      <c r="R136" s="371"/>
      <c r="U136" s="371"/>
      <c r="V136" s="371"/>
      <c r="W136" s="371"/>
      <c r="X136" s="371"/>
      <c r="AO136" s="369"/>
      <c r="AQ136" s="370"/>
      <c r="AS136" s="370"/>
      <c r="AU136" s="530"/>
      <c r="AV136" s="369"/>
      <c r="AW136" s="370"/>
    </row>
    <row r="137" customFormat="false" ht="12.75" hidden="false" customHeight="false" outlineLevel="0" collapsed="false">
      <c r="P137" s="371"/>
      <c r="Q137" s="371"/>
      <c r="R137" s="371"/>
      <c r="U137" s="371"/>
      <c r="V137" s="371"/>
      <c r="W137" s="371"/>
      <c r="X137" s="371"/>
      <c r="AO137" s="369"/>
      <c r="AQ137" s="370"/>
      <c r="AS137" s="370"/>
      <c r="AU137" s="530"/>
      <c r="AV137" s="369"/>
      <c r="AW137" s="370"/>
    </row>
    <row r="138" customFormat="false" ht="12.75" hidden="false" customHeight="false" outlineLevel="0" collapsed="false">
      <c r="P138" s="371"/>
      <c r="Q138" s="371"/>
      <c r="R138" s="371"/>
      <c r="U138" s="371"/>
      <c r="V138" s="371"/>
      <c r="W138" s="371"/>
      <c r="X138" s="371"/>
      <c r="AO138" s="369"/>
      <c r="AQ138" s="370"/>
      <c r="AS138" s="370"/>
      <c r="AU138" s="530"/>
      <c r="AV138" s="369"/>
      <c r="AW138" s="370"/>
    </row>
    <row r="139" customFormat="false" ht="12.75" hidden="false" customHeight="false" outlineLevel="0" collapsed="false">
      <c r="P139" s="371"/>
      <c r="Q139" s="371"/>
      <c r="R139" s="371"/>
      <c r="U139" s="371"/>
      <c r="V139" s="371"/>
      <c r="W139" s="371"/>
      <c r="X139" s="371"/>
      <c r="AO139" s="369"/>
      <c r="AQ139" s="370"/>
      <c r="AS139" s="370"/>
      <c r="AU139" s="530"/>
      <c r="AV139" s="369"/>
      <c r="AW139" s="370"/>
    </row>
    <row r="140" customFormat="false" ht="12.75" hidden="false" customHeight="false" outlineLevel="0" collapsed="false">
      <c r="P140" s="371"/>
      <c r="Q140" s="371"/>
      <c r="R140" s="371"/>
      <c r="U140" s="371"/>
      <c r="V140" s="371"/>
      <c r="W140" s="371"/>
      <c r="X140" s="371"/>
      <c r="AO140" s="369"/>
      <c r="AQ140" s="370"/>
      <c r="AS140" s="370"/>
      <c r="AU140" s="530"/>
      <c r="AV140" s="369"/>
      <c r="AW140" s="370"/>
    </row>
    <row r="141" customFormat="false" ht="12.75" hidden="false" customHeight="false" outlineLevel="0" collapsed="false">
      <c r="P141" s="371"/>
      <c r="Q141" s="371"/>
      <c r="R141" s="371"/>
      <c r="U141" s="371"/>
      <c r="V141" s="371"/>
      <c r="W141" s="371"/>
      <c r="X141" s="371"/>
      <c r="AO141" s="369"/>
      <c r="AQ141" s="370"/>
      <c r="AS141" s="370"/>
      <c r="AU141" s="530"/>
      <c r="AV141" s="369"/>
      <c r="AW141" s="370"/>
    </row>
    <row r="142" customFormat="false" ht="12.75" hidden="false" customHeight="false" outlineLevel="0" collapsed="false">
      <c r="P142" s="371"/>
      <c r="Q142" s="371"/>
      <c r="R142" s="371"/>
      <c r="U142" s="371"/>
      <c r="V142" s="371"/>
      <c r="W142" s="371"/>
      <c r="X142" s="371"/>
      <c r="AO142" s="369"/>
      <c r="AQ142" s="370"/>
      <c r="AS142" s="370"/>
      <c r="AU142" s="530"/>
      <c r="AV142" s="369"/>
      <c r="AW142" s="370"/>
    </row>
    <row r="143" customFormat="false" ht="12.75" hidden="false" customHeight="false" outlineLevel="0" collapsed="false">
      <c r="P143" s="371"/>
      <c r="Q143" s="371"/>
      <c r="R143" s="371"/>
      <c r="U143" s="371"/>
      <c r="V143" s="371"/>
      <c r="W143" s="371"/>
      <c r="X143" s="371"/>
      <c r="AO143" s="369"/>
      <c r="AQ143" s="370"/>
      <c r="AS143" s="370"/>
      <c r="AU143" s="530"/>
      <c r="AV143" s="369"/>
      <c r="AW143" s="370"/>
    </row>
    <row r="144" customFormat="false" ht="12.75" hidden="false" customHeight="false" outlineLevel="0" collapsed="false">
      <c r="P144" s="371"/>
      <c r="Q144" s="371"/>
      <c r="R144" s="371"/>
      <c r="U144" s="371"/>
      <c r="V144" s="371"/>
      <c r="W144" s="371"/>
      <c r="X144" s="371"/>
      <c r="AO144" s="369"/>
      <c r="AQ144" s="370"/>
      <c r="AS144" s="370"/>
      <c r="AU144" s="530"/>
      <c r="AV144" s="369"/>
      <c r="AW144" s="370"/>
    </row>
    <row r="145" customFormat="false" ht="12.75" hidden="false" customHeight="false" outlineLevel="0" collapsed="false">
      <c r="P145" s="371"/>
      <c r="Q145" s="371"/>
      <c r="R145" s="371"/>
      <c r="U145" s="371"/>
      <c r="V145" s="371"/>
      <c r="W145" s="371"/>
      <c r="X145" s="371"/>
      <c r="AO145" s="369"/>
      <c r="AQ145" s="370"/>
      <c r="AS145" s="370"/>
      <c r="AU145" s="530"/>
      <c r="AV145" s="369"/>
      <c r="AW145" s="370"/>
    </row>
    <row r="146" customFormat="false" ht="12.75" hidden="false" customHeight="false" outlineLevel="0" collapsed="false">
      <c r="P146" s="371"/>
      <c r="Q146" s="371"/>
      <c r="R146" s="371"/>
      <c r="U146" s="371"/>
      <c r="V146" s="371"/>
      <c r="W146" s="371"/>
      <c r="X146" s="371"/>
      <c r="AO146" s="369"/>
      <c r="AQ146" s="370"/>
      <c r="AS146" s="370"/>
      <c r="AU146" s="530"/>
      <c r="AV146" s="369"/>
      <c r="AW146" s="370"/>
    </row>
    <row r="147" customFormat="false" ht="12.75" hidden="false" customHeight="false" outlineLevel="0" collapsed="false">
      <c r="P147" s="371"/>
      <c r="Q147" s="371"/>
      <c r="R147" s="371"/>
      <c r="U147" s="371"/>
      <c r="V147" s="371"/>
      <c r="W147" s="371"/>
      <c r="X147" s="371"/>
      <c r="AO147" s="369"/>
      <c r="AQ147" s="370"/>
      <c r="AS147" s="370"/>
      <c r="AU147" s="530"/>
      <c r="AV147" s="369"/>
      <c r="AW147" s="370"/>
    </row>
    <row r="148" customFormat="false" ht="12.75" hidden="false" customHeight="false" outlineLevel="0" collapsed="false">
      <c r="P148" s="371"/>
      <c r="Q148" s="371"/>
      <c r="R148" s="371"/>
      <c r="U148" s="371"/>
      <c r="V148" s="371"/>
      <c r="W148" s="371"/>
      <c r="X148" s="371"/>
      <c r="AO148" s="369"/>
      <c r="AQ148" s="370"/>
      <c r="AS148" s="370"/>
      <c r="AU148" s="530"/>
      <c r="AV148" s="369"/>
      <c r="AW148" s="370"/>
    </row>
    <row r="149" customFormat="false" ht="12.75" hidden="false" customHeight="false" outlineLevel="0" collapsed="false">
      <c r="P149" s="371"/>
      <c r="Q149" s="371"/>
      <c r="R149" s="371"/>
      <c r="U149" s="371"/>
      <c r="V149" s="371"/>
      <c r="W149" s="371"/>
      <c r="X149" s="371"/>
      <c r="AO149" s="369"/>
      <c r="AQ149" s="370"/>
      <c r="AS149" s="370"/>
      <c r="AU149" s="530"/>
      <c r="AV149" s="369"/>
      <c r="AW149" s="370"/>
    </row>
    <row r="150" customFormat="false" ht="12.75" hidden="false" customHeight="false" outlineLevel="0" collapsed="false">
      <c r="P150" s="371"/>
      <c r="Q150" s="371"/>
      <c r="R150" s="371"/>
      <c r="U150" s="371"/>
      <c r="V150" s="371"/>
      <c r="W150" s="371"/>
      <c r="X150" s="371"/>
      <c r="AO150" s="369"/>
      <c r="AQ150" s="370"/>
      <c r="AS150" s="370"/>
      <c r="AU150" s="530"/>
      <c r="AV150" s="369"/>
      <c r="AW150" s="370"/>
    </row>
    <row r="151" customFormat="false" ht="12.75" hidden="false" customHeight="false" outlineLevel="0" collapsed="false">
      <c r="P151" s="371"/>
      <c r="Q151" s="371"/>
      <c r="R151" s="371"/>
      <c r="U151" s="371"/>
      <c r="V151" s="371"/>
      <c r="W151" s="371"/>
      <c r="X151" s="371"/>
      <c r="AO151" s="369"/>
      <c r="AQ151" s="370"/>
      <c r="AS151" s="370"/>
      <c r="AU151" s="530"/>
      <c r="AV151" s="369"/>
      <c r="AW151" s="370"/>
    </row>
    <row r="152" customFormat="false" ht="12.75" hidden="false" customHeight="false" outlineLevel="0" collapsed="false">
      <c r="P152" s="371"/>
      <c r="Q152" s="371"/>
      <c r="R152" s="371"/>
      <c r="U152" s="371"/>
      <c r="V152" s="371"/>
      <c r="W152" s="371"/>
      <c r="X152" s="371"/>
      <c r="AO152" s="369"/>
      <c r="AQ152" s="370"/>
      <c r="AS152" s="370"/>
      <c r="AU152" s="530"/>
      <c r="AV152" s="369"/>
      <c r="AW152" s="370"/>
    </row>
    <row r="153" customFormat="false" ht="12.75" hidden="false" customHeight="false" outlineLevel="0" collapsed="false">
      <c r="P153" s="371"/>
      <c r="Q153" s="371"/>
      <c r="R153" s="371"/>
      <c r="U153" s="371"/>
      <c r="V153" s="371"/>
      <c r="W153" s="371"/>
      <c r="X153" s="371"/>
      <c r="AO153" s="369"/>
      <c r="AQ153" s="370"/>
      <c r="AS153" s="370"/>
      <c r="AU153" s="530"/>
      <c r="AV153" s="369"/>
      <c r="AW153" s="370"/>
    </row>
    <row r="154" customFormat="false" ht="12.75" hidden="false" customHeight="false" outlineLevel="0" collapsed="false">
      <c r="P154" s="371"/>
      <c r="Q154" s="371"/>
      <c r="R154" s="371"/>
      <c r="U154" s="371"/>
      <c r="V154" s="371"/>
      <c r="W154" s="371"/>
      <c r="X154" s="371"/>
      <c r="AO154" s="369"/>
      <c r="AQ154" s="370"/>
      <c r="AS154" s="370"/>
      <c r="AU154" s="530"/>
      <c r="AV154" s="369"/>
      <c r="AW154" s="370"/>
    </row>
    <row r="155" customFormat="false" ht="12.75" hidden="false" customHeight="false" outlineLevel="0" collapsed="false">
      <c r="P155" s="371"/>
      <c r="Q155" s="371"/>
      <c r="R155" s="371"/>
      <c r="U155" s="371"/>
      <c r="V155" s="371"/>
      <c r="W155" s="371"/>
      <c r="X155" s="371"/>
      <c r="AO155" s="369"/>
      <c r="AQ155" s="370"/>
      <c r="AS155" s="370"/>
      <c r="AU155" s="530"/>
      <c r="AV155" s="369"/>
      <c r="AW155" s="370"/>
    </row>
    <row r="156" customFormat="false" ht="12.75" hidden="false" customHeight="false" outlineLevel="0" collapsed="false">
      <c r="P156" s="371"/>
      <c r="Q156" s="371"/>
      <c r="R156" s="371"/>
      <c r="U156" s="371"/>
      <c r="V156" s="371"/>
      <c r="W156" s="371"/>
      <c r="X156" s="371"/>
      <c r="AO156" s="369"/>
      <c r="AQ156" s="370"/>
      <c r="AS156" s="370"/>
      <c r="AU156" s="530"/>
      <c r="AV156" s="369"/>
      <c r="AW156" s="370"/>
    </row>
    <row r="157" customFormat="false" ht="12.75" hidden="false" customHeight="false" outlineLevel="0" collapsed="false">
      <c r="P157" s="371"/>
      <c r="Q157" s="371"/>
      <c r="R157" s="371"/>
      <c r="U157" s="371"/>
      <c r="V157" s="371"/>
      <c r="W157" s="371"/>
      <c r="X157" s="371"/>
      <c r="AO157" s="369"/>
      <c r="AQ157" s="370"/>
      <c r="AS157" s="370"/>
      <c r="AU157" s="530"/>
      <c r="AV157" s="369"/>
      <c r="AW157" s="370"/>
    </row>
    <row r="158" customFormat="false" ht="12.75" hidden="false" customHeight="false" outlineLevel="0" collapsed="false">
      <c r="P158" s="371"/>
      <c r="Q158" s="371"/>
      <c r="R158" s="371"/>
      <c r="U158" s="371"/>
      <c r="V158" s="371"/>
      <c r="W158" s="371"/>
      <c r="X158" s="371"/>
      <c r="AO158" s="369"/>
      <c r="AQ158" s="370"/>
      <c r="AS158" s="370"/>
      <c r="AU158" s="530"/>
      <c r="AV158" s="369"/>
      <c r="AW158" s="370"/>
    </row>
    <row r="159" customFormat="false" ht="12.75" hidden="false" customHeight="false" outlineLevel="0" collapsed="false">
      <c r="P159" s="371"/>
      <c r="Q159" s="371"/>
      <c r="R159" s="371"/>
      <c r="U159" s="371"/>
      <c r="V159" s="371"/>
      <c r="W159" s="371"/>
      <c r="X159" s="371"/>
      <c r="AO159" s="369"/>
      <c r="AQ159" s="370"/>
      <c r="AS159" s="370"/>
      <c r="AU159" s="530"/>
      <c r="AV159" s="369"/>
      <c r="AW159" s="370"/>
    </row>
    <row r="160" customFormat="false" ht="12.75" hidden="false" customHeight="false" outlineLevel="0" collapsed="false">
      <c r="P160" s="371"/>
      <c r="Q160" s="371"/>
      <c r="R160" s="371"/>
      <c r="U160" s="371"/>
      <c r="V160" s="371"/>
      <c r="W160" s="371"/>
      <c r="X160" s="371"/>
      <c r="AO160" s="369"/>
      <c r="AQ160" s="370"/>
      <c r="AS160" s="370"/>
      <c r="AU160" s="530"/>
      <c r="AV160" s="369"/>
      <c r="AW160" s="370"/>
    </row>
    <row r="161" customFormat="false" ht="12.75" hidden="false" customHeight="false" outlineLevel="0" collapsed="false">
      <c r="P161" s="371"/>
      <c r="Q161" s="371"/>
      <c r="R161" s="371"/>
      <c r="U161" s="371"/>
      <c r="V161" s="371"/>
      <c r="W161" s="371"/>
      <c r="X161" s="371"/>
      <c r="AO161" s="369"/>
      <c r="AQ161" s="370"/>
      <c r="AS161" s="370"/>
      <c r="AU161" s="530"/>
      <c r="AV161" s="369"/>
      <c r="AW161" s="370"/>
    </row>
    <row r="162" customFormat="false" ht="12.75" hidden="false" customHeight="false" outlineLevel="0" collapsed="false">
      <c r="P162" s="371"/>
      <c r="Q162" s="371"/>
      <c r="R162" s="371"/>
      <c r="U162" s="371"/>
      <c r="V162" s="371"/>
      <c r="W162" s="371"/>
      <c r="X162" s="371"/>
      <c r="AO162" s="369"/>
      <c r="AQ162" s="370"/>
      <c r="AS162" s="370"/>
      <c r="AU162" s="530"/>
      <c r="AV162" s="369"/>
      <c r="AW162" s="370"/>
    </row>
    <row r="163" customFormat="false" ht="12.75" hidden="false" customHeight="false" outlineLevel="0" collapsed="false">
      <c r="P163" s="371"/>
      <c r="Q163" s="371"/>
      <c r="R163" s="371"/>
      <c r="U163" s="371"/>
      <c r="V163" s="371"/>
      <c r="W163" s="371"/>
      <c r="X163" s="371"/>
      <c r="AO163" s="369"/>
      <c r="AQ163" s="370"/>
      <c r="AS163" s="370"/>
      <c r="AU163" s="530"/>
      <c r="AV163" s="369"/>
      <c r="AW163" s="370"/>
    </row>
    <row r="164" customFormat="false" ht="12.75" hidden="false" customHeight="false" outlineLevel="0" collapsed="false">
      <c r="P164" s="371"/>
      <c r="Q164" s="371"/>
      <c r="R164" s="371"/>
      <c r="U164" s="371"/>
      <c r="V164" s="371"/>
      <c r="W164" s="371"/>
      <c r="X164" s="371"/>
      <c r="AO164" s="369"/>
      <c r="AQ164" s="370"/>
      <c r="AS164" s="370"/>
      <c r="AU164" s="530"/>
      <c r="AV164" s="369"/>
      <c r="AW164" s="370"/>
    </row>
    <row r="165" customFormat="false" ht="12.75" hidden="false" customHeight="false" outlineLevel="0" collapsed="false">
      <c r="P165" s="371"/>
      <c r="Q165" s="371"/>
      <c r="R165" s="371"/>
      <c r="U165" s="371"/>
      <c r="V165" s="371"/>
      <c r="W165" s="371"/>
      <c r="X165" s="371"/>
      <c r="AO165" s="369"/>
      <c r="AQ165" s="370"/>
      <c r="AS165" s="370"/>
      <c r="AU165" s="530"/>
      <c r="AV165" s="369"/>
      <c r="AW165" s="370"/>
    </row>
    <row r="166" customFormat="false" ht="12.75" hidden="false" customHeight="false" outlineLevel="0" collapsed="false">
      <c r="P166" s="371"/>
      <c r="Q166" s="371"/>
      <c r="R166" s="371"/>
      <c r="U166" s="371"/>
      <c r="V166" s="371"/>
      <c r="W166" s="371"/>
      <c r="X166" s="371"/>
      <c r="AO166" s="369"/>
      <c r="AQ166" s="370"/>
      <c r="AS166" s="370"/>
      <c r="AU166" s="530"/>
      <c r="AV166" s="369"/>
      <c r="AW166" s="370"/>
    </row>
    <row r="167" customFormat="false" ht="12.75" hidden="false" customHeight="false" outlineLevel="0" collapsed="false">
      <c r="P167" s="371"/>
      <c r="Q167" s="371"/>
      <c r="R167" s="371"/>
      <c r="U167" s="371"/>
      <c r="V167" s="371"/>
      <c r="W167" s="371"/>
      <c r="X167" s="371"/>
    </row>
    <row r="168" customFormat="false" ht="12.75" hidden="false" customHeight="false" outlineLevel="0" collapsed="false">
      <c r="P168" s="371"/>
      <c r="Q168" s="371"/>
      <c r="R168" s="371"/>
      <c r="U168" s="371"/>
      <c r="V168" s="371"/>
      <c r="W168" s="371"/>
      <c r="X168" s="371"/>
    </row>
    <row r="169" customFormat="false" ht="12.75" hidden="false" customHeight="false" outlineLevel="0" collapsed="false">
      <c r="P169" s="371"/>
      <c r="Q169" s="371"/>
      <c r="R169" s="371"/>
      <c r="U169" s="371"/>
      <c r="V169" s="371"/>
      <c r="W169" s="371"/>
      <c r="X169" s="371"/>
    </row>
    <row r="170" customFormat="false" ht="12.75" hidden="false" customHeight="false" outlineLevel="0" collapsed="false">
      <c r="P170" s="371"/>
      <c r="Q170" s="371"/>
      <c r="R170" s="371"/>
      <c r="U170" s="371"/>
      <c r="V170" s="371"/>
      <c r="W170" s="371"/>
      <c r="X170" s="371"/>
    </row>
    <row r="171" customFormat="false" ht="12.75" hidden="false" customHeight="false" outlineLevel="0" collapsed="false">
      <c r="P171" s="371"/>
      <c r="Q171" s="371"/>
      <c r="R171" s="371"/>
      <c r="U171" s="371"/>
      <c r="V171" s="371"/>
      <c r="W171" s="371"/>
      <c r="X171" s="371"/>
    </row>
    <row r="172" customFormat="false" ht="12.75" hidden="false" customHeight="false" outlineLevel="0" collapsed="false">
      <c r="P172" s="371"/>
      <c r="Q172" s="371"/>
      <c r="R172" s="371"/>
      <c r="U172" s="371"/>
      <c r="V172" s="371"/>
      <c r="W172" s="371"/>
      <c r="X172" s="371"/>
    </row>
    <row r="173" customFormat="false" ht="12.75" hidden="false" customHeight="false" outlineLevel="0" collapsed="false">
      <c r="P173" s="371"/>
      <c r="Q173" s="371"/>
      <c r="R173" s="371"/>
      <c r="U173" s="371"/>
      <c r="V173" s="371"/>
      <c r="W173" s="371"/>
      <c r="X173" s="371"/>
    </row>
    <row r="174" customFormat="false" ht="12.75" hidden="false" customHeight="false" outlineLevel="0" collapsed="false">
      <c r="P174" s="371"/>
      <c r="Q174" s="371"/>
      <c r="R174" s="371"/>
      <c r="U174" s="371"/>
      <c r="V174" s="371"/>
      <c r="W174" s="371"/>
      <c r="X174" s="371"/>
    </row>
    <row r="175" customFormat="false" ht="12.75" hidden="false" customHeight="false" outlineLevel="0" collapsed="false">
      <c r="P175" s="371"/>
      <c r="Q175" s="371"/>
      <c r="R175" s="371"/>
      <c r="U175" s="371"/>
      <c r="V175" s="371"/>
      <c r="W175" s="371"/>
      <c r="X175" s="371"/>
    </row>
    <row r="176" customFormat="false" ht="12.75" hidden="false" customHeight="false" outlineLevel="0" collapsed="false">
      <c r="P176" s="371"/>
      <c r="Q176" s="371"/>
      <c r="R176" s="371"/>
      <c r="U176" s="371"/>
      <c r="V176" s="371"/>
      <c r="W176" s="371"/>
      <c r="X176" s="371"/>
    </row>
    <row r="177" customFormat="false" ht="12.75" hidden="false" customHeight="false" outlineLevel="0" collapsed="false">
      <c r="P177" s="371"/>
      <c r="Q177" s="371"/>
      <c r="R177" s="371"/>
      <c r="U177" s="371"/>
      <c r="V177" s="371"/>
      <c r="W177" s="371"/>
      <c r="X177" s="371"/>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row r="404" customFormat="false" ht="12.75" hidden="false" customHeight="false" outlineLevel="0" collapsed="false">
      <c r="P404" s="371"/>
      <c r="Q404" s="371"/>
      <c r="R404" s="371"/>
      <c r="U404" s="371"/>
      <c r="V404" s="371"/>
      <c r="W404" s="371"/>
      <c r="X404" s="371"/>
    </row>
    <row r="405" customFormat="false" ht="12.75" hidden="false" customHeight="false" outlineLevel="0" collapsed="false">
      <c r="P405" s="371"/>
      <c r="Q405" s="371"/>
      <c r="R405" s="371"/>
      <c r="U405" s="371"/>
      <c r="V405" s="371"/>
      <c r="W405" s="371"/>
      <c r="X405" s="371"/>
    </row>
    <row r="406" customFormat="false" ht="12.75" hidden="false" customHeight="false" outlineLevel="0" collapsed="false">
      <c r="P406" s="371"/>
      <c r="Q406" s="371"/>
      <c r="R406" s="371"/>
      <c r="U406" s="371"/>
      <c r="V406" s="371"/>
      <c r="W406" s="371"/>
      <c r="X406" s="371"/>
    </row>
    <row r="407" customFormat="false" ht="12.75" hidden="false" customHeight="false" outlineLevel="0" collapsed="false">
      <c r="P407" s="371"/>
      <c r="Q407" s="371"/>
      <c r="R407" s="371"/>
      <c r="U407" s="371"/>
      <c r="V407" s="371"/>
      <c r="W407" s="371"/>
      <c r="X407" s="371"/>
    </row>
    <row r="408" customFormat="false" ht="12.75" hidden="false" customHeight="false" outlineLevel="0" collapsed="false">
      <c r="P408" s="371"/>
      <c r="Q408" s="371"/>
      <c r="R408" s="371"/>
      <c r="U408" s="371"/>
      <c r="V408" s="371"/>
      <c r="W408" s="371"/>
      <c r="X408" s="371"/>
    </row>
    <row r="409" customFormat="false" ht="12.75" hidden="false" customHeight="false" outlineLevel="0" collapsed="false">
      <c r="P409" s="371"/>
      <c r="Q409" s="371"/>
      <c r="R409" s="371"/>
      <c r="U409" s="371"/>
      <c r="V409" s="371"/>
      <c r="W409" s="371"/>
      <c r="X409" s="371"/>
    </row>
    <row r="410" customFormat="false" ht="12.75" hidden="false" customHeight="false" outlineLevel="0" collapsed="false">
      <c r="P410" s="371"/>
      <c r="Q410" s="371"/>
      <c r="R410" s="371"/>
      <c r="U410" s="371"/>
      <c r="V410" s="371"/>
      <c r="W410" s="371"/>
      <c r="X410" s="371"/>
    </row>
    <row r="411" customFormat="false" ht="12.75" hidden="false" customHeight="false" outlineLevel="0" collapsed="false">
      <c r="P411" s="371"/>
      <c r="Q411" s="371"/>
      <c r="R411" s="371"/>
      <c r="U411" s="371"/>
      <c r="V411" s="371"/>
      <c r="W411" s="371"/>
      <c r="X411" s="371"/>
    </row>
    <row r="412" customFormat="false" ht="12.75" hidden="false" customHeight="false" outlineLevel="0" collapsed="false">
      <c r="P412" s="371"/>
      <c r="Q412" s="371"/>
      <c r="R412" s="371"/>
      <c r="U412" s="371"/>
      <c r="V412" s="371"/>
      <c r="W412" s="371"/>
      <c r="X412" s="371"/>
    </row>
    <row r="413" customFormat="false" ht="12.75" hidden="false" customHeight="false" outlineLevel="0" collapsed="false">
      <c r="P413" s="371"/>
      <c r="Q413" s="371"/>
      <c r="R413" s="371"/>
      <c r="U413" s="371"/>
      <c r="V413" s="371"/>
      <c r="W413" s="371"/>
      <c r="X413" s="371"/>
    </row>
    <row r="414" customFormat="false" ht="12.75" hidden="false" customHeight="false" outlineLevel="0" collapsed="false">
      <c r="P414" s="371"/>
      <c r="Q414" s="371"/>
      <c r="R414" s="371"/>
      <c r="U414" s="371"/>
      <c r="V414" s="371"/>
      <c r="W414" s="371"/>
      <c r="X414" s="371"/>
    </row>
    <row r="415" customFormat="false" ht="12.75" hidden="false" customHeight="false" outlineLevel="0" collapsed="false">
      <c r="P415" s="371"/>
      <c r="Q415" s="371"/>
      <c r="R415" s="371"/>
      <c r="U415" s="371"/>
      <c r="V415" s="371"/>
      <c r="W415" s="371"/>
      <c r="X415" s="371"/>
    </row>
    <row r="416" customFormat="false" ht="12.75" hidden="false" customHeight="false" outlineLevel="0" collapsed="false">
      <c r="P416" s="371"/>
      <c r="Q416" s="371"/>
      <c r="R416" s="371"/>
      <c r="U416" s="371"/>
      <c r="V416" s="371"/>
      <c r="W416" s="371"/>
      <c r="X416" s="371"/>
    </row>
    <row r="417" customFormat="false" ht="12.75" hidden="false" customHeight="false" outlineLevel="0" collapsed="false">
      <c r="P417" s="371"/>
      <c r="Q417" s="371"/>
      <c r="R417" s="371"/>
      <c r="U417" s="371"/>
      <c r="V417" s="371"/>
      <c r="W417" s="371"/>
      <c r="X417" s="371"/>
    </row>
    <row r="418" customFormat="false" ht="12.75" hidden="false" customHeight="false" outlineLevel="0" collapsed="false">
      <c r="P418" s="371"/>
      <c r="Q418" s="371"/>
      <c r="R418" s="371"/>
      <c r="U418" s="371"/>
      <c r="V418" s="371"/>
      <c r="W418" s="371"/>
      <c r="X418" s="371"/>
    </row>
    <row r="419" customFormat="false" ht="12.75" hidden="false" customHeight="false" outlineLevel="0" collapsed="false">
      <c r="P419" s="371"/>
      <c r="Q419" s="371"/>
      <c r="R419" s="371"/>
      <c r="U419" s="371"/>
      <c r="V419" s="371"/>
      <c r="W419" s="371"/>
      <c r="X419" s="371"/>
    </row>
    <row r="420" customFormat="false" ht="12.75" hidden="false" customHeight="false" outlineLevel="0" collapsed="false">
      <c r="P420" s="371"/>
      <c r="Q420" s="371"/>
      <c r="R420" s="371"/>
      <c r="U420" s="371"/>
      <c r="V420" s="371"/>
      <c r="W420" s="371"/>
      <c r="X420" s="371"/>
    </row>
    <row r="421" customFormat="false" ht="12.75" hidden="false" customHeight="false" outlineLevel="0" collapsed="false">
      <c r="P421" s="371"/>
      <c r="Q421" s="371"/>
      <c r="R421" s="371"/>
      <c r="U421" s="371"/>
      <c r="V421" s="371"/>
      <c r="W421" s="371"/>
      <c r="X421" s="371"/>
    </row>
    <row r="422" customFormat="false" ht="12.75" hidden="false" customHeight="false" outlineLevel="0" collapsed="false">
      <c r="P422" s="371"/>
      <c r="Q422" s="371"/>
      <c r="R422" s="371"/>
      <c r="U422" s="371"/>
      <c r="V422" s="371"/>
      <c r="W422" s="371"/>
      <c r="X422" s="371"/>
    </row>
    <row r="423" customFormat="false" ht="12.75" hidden="false" customHeight="false" outlineLevel="0" collapsed="false">
      <c r="P423" s="371"/>
      <c r="Q423" s="371"/>
      <c r="R423" s="371"/>
      <c r="U423" s="371"/>
      <c r="V423" s="371"/>
      <c r="W423" s="371"/>
      <c r="X423" s="371"/>
    </row>
    <row r="424" customFormat="false" ht="12.75" hidden="false" customHeight="false" outlineLevel="0" collapsed="false">
      <c r="P424" s="371"/>
      <c r="Q424" s="371"/>
      <c r="R424" s="371"/>
      <c r="U424" s="371"/>
      <c r="V424" s="371"/>
      <c r="W424" s="371"/>
      <c r="X424" s="371"/>
    </row>
    <row r="425" customFormat="false" ht="12.75" hidden="false" customHeight="false" outlineLevel="0" collapsed="false">
      <c r="P425" s="371"/>
      <c r="Q425" s="371"/>
      <c r="R425" s="371"/>
      <c r="U425" s="371"/>
      <c r="V425" s="371"/>
      <c r="W425" s="371"/>
      <c r="X425" s="371"/>
    </row>
    <row r="426" customFormat="false" ht="12.75" hidden="false" customHeight="false" outlineLevel="0" collapsed="false">
      <c r="P426" s="371"/>
      <c r="Q426" s="371"/>
      <c r="R426" s="371"/>
      <c r="U426" s="371"/>
      <c r="V426" s="371"/>
      <c r="W426" s="371"/>
      <c r="X426" s="371"/>
    </row>
    <row r="427" customFormat="false" ht="12.75" hidden="false" customHeight="false" outlineLevel="0" collapsed="false">
      <c r="P427" s="371"/>
      <c r="Q427" s="371"/>
      <c r="R427" s="371"/>
      <c r="U427" s="371"/>
      <c r="V427" s="371"/>
      <c r="W427" s="371"/>
      <c r="X427" s="371"/>
    </row>
    <row r="428" customFormat="false" ht="12.75" hidden="false" customHeight="false" outlineLevel="0" collapsed="false">
      <c r="P428" s="371"/>
      <c r="Q428" s="371"/>
      <c r="R428" s="371"/>
      <c r="U428" s="371"/>
      <c r="V428" s="371"/>
      <c r="W428" s="371"/>
      <c r="X428" s="371"/>
    </row>
    <row r="429" customFormat="false" ht="12.75" hidden="false" customHeight="false" outlineLevel="0" collapsed="false">
      <c r="P429" s="371"/>
      <c r="Q429" s="371"/>
      <c r="R429" s="371"/>
      <c r="U429" s="371"/>
      <c r="V429" s="371"/>
      <c r="W429" s="371"/>
      <c r="X429" s="371"/>
    </row>
    <row r="430" customFormat="false" ht="12.75" hidden="false" customHeight="false" outlineLevel="0" collapsed="false">
      <c r="P430" s="371"/>
      <c r="Q430" s="371"/>
      <c r="R430" s="371"/>
      <c r="U430" s="371"/>
      <c r="V430" s="371"/>
      <c r="W430" s="371"/>
      <c r="X430" s="371"/>
    </row>
    <row r="431" customFormat="false" ht="12.75" hidden="false" customHeight="false" outlineLevel="0" collapsed="false">
      <c r="P431" s="371"/>
      <c r="Q431" s="371"/>
      <c r="R431" s="371"/>
      <c r="U431" s="371"/>
      <c r="V431" s="371"/>
      <c r="W431" s="371"/>
      <c r="X431" s="371"/>
    </row>
    <row r="432" customFormat="false" ht="12.75" hidden="false" customHeight="false" outlineLevel="0" collapsed="false">
      <c r="P432" s="371"/>
      <c r="Q432" s="371"/>
      <c r="R432" s="371"/>
      <c r="U432" s="371"/>
      <c r="V432" s="371"/>
      <c r="W432" s="371"/>
      <c r="X432" s="371"/>
    </row>
    <row r="433" customFormat="false" ht="12.75" hidden="false" customHeight="false" outlineLevel="0" collapsed="false">
      <c r="P433" s="371"/>
      <c r="Q433" s="371"/>
      <c r="R433" s="371"/>
      <c r="U433" s="371"/>
      <c r="V433" s="371"/>
      <c r="W433" s="371"/>
      <c r="X433" s="371"/>
    </row>
    <row r="434" customFormat="false" ht="12.75" hidden="false" customHeight="false" outlineLevel="0" collapsed="false">
      <c r="P434" s="371"/>
      <c r="Q434" s="371"/>
      <c r="R434" s="371"/>
      <c r="U434" s="371"/>
      <c r="V434" s="371"/>
      <c r="W434" s="371"/>
      <c r="X434" s="371"/>
    </row>
    <row r="435" customFormat="false" ht="12.75" hidden="false" customHeight="false" outlineLevel="0" collapsed="false">
      <c r="P435" s="371"/>
      <c r="Q435" s="371"/>
      <c r="R435" s="371"/>
      <c r="U435" s="371"/>
      <c r="V435" s="371"/>
      <c r="W435" s="371"/>
      <c r="X435" s="371"/>
    </row>
    <row r="436" customFormat="false" ht="12.75" hidden="false" customHeight="false" outlineLevel="0" collapsed="false">
      <c r="P436" s="371"/>
      <c r="Q436" s="371"/>
      <c r="R436" s="371"/>
      <c r="U436" s="371"/>
      <c r="V436" s="371"/>
      <c r="W436" s="371"/>
      <c r="X436" s="371"/>
    </row>
    <row r="437" customFormat="false" ht="12.75" hidden="false" customHeight="false" outlineLevel="0" collapsed="false">
      <c r="P437" s="371"/>
      <c r="Q437" s="371"/>
      <c r="R437" s="371"/>
      <c r="U437" s="371"/>
      <c r="V437" s="371"/>
      <c r="W437" s="371"/>
      <c r="X437" s="371"/>
    </row>
    <row r="438" customFormat="false" ht="12.75" hidden="false" customHeight="false" outlineLevel="0" collapsed="false">
      <c r="P438" s="371"/>
      <c r="Q438" s="371"/>
      <c r="R438" s="371"/>
      <c r="U438" s="371"/>
      <c r="V438" s="371"/>
      <c r="W438" s="371"/>
      <c r="X438" s="371"/>
    </row>
    <row r="439" customFormat="false" ht="12.75" hidden="false" customHeight="false" outlineLevel="0" collapsed="false">
      <c r="P439" s="371"/>
      <c r="Q439" s="371"/>
      <c r="R439" s="371"/>
      <c r="U439" s="371"/>
      <c r="V439" s="371"/>
      <c r="W439" s="371"/>
      <c r="X439" s="371"/>
    </row>
    <row r="440" customFormat="false" ht="12.75" hidden="false" customHeight="false" outlineLevel="0" collapsed="false">
      <c r="P440" s="371"/>
      <c r="Q440" s="371"/>
      <c r="R440" s="371"/>
      <c r="U440" s="371"/>
      <c r="V440" s="371"/>
      <c r="W440" s="371"/>
      <c r="X440" s="371"/>
    </row>
    <row r="441" customFormat="false" ht="12.75" hidden="false" customHeight="false" outlineLevel="0" collapsed="false">
      <c r="P441" s="371"/>
      <c r="Q441" s="371"/>
      <c r="R441" s="371"/>
      <c r="U441" s="371"/>
      <c r="V441" s="371"/>
      <c r="W441" s="371"/>
      <c r="X441" s="371"/>
    </row>
    <row r="442" customFormat="false" ht="12.75" hidden="false" customHeight="false" outlineLevel="0" collapsed="false">
      <c r="P442" s="371"/>
      <c r="Q442" s="371"/>
      <c r="R442" s="371"/>
      <c r="U442" s="371"/>
      <c r="V442" s="371"/>
      <c r="W442" s="371"/>
      <c r="X442" s="371"/>
    </row>
    <row r="443" customFormat="false" ht="12.75" hidden="false" customHeight="false" outlineLevel="0" collapsed="false">
      <c r="P443" s="371"/>
      <c r="Q443" s="371"/>
      <c r="R443" s="371"/>
      <c r="U443" s="371"/>
      <c r="V443" s="371"/>
      <c r="W443" s="371"/>
      <c r="X443" s="371"/>
    </row>
    <row r="444" customFormat="false" ht="12.75" hidden="false" customHeight="false" outlineLevel="0" collapsed="false">
      <c r="P444" s="371"/>
      <c r="Q444" s="371"/>
      <c r="R444" s="371"/>
      <c r="U444" s="371"/>
      <c r="V444" s="371"/>
      <c r="W444" s="371"/>
      <c r="X444" s="371"/>
    </row>
    <row r="445" customFormat="false" ht="12.75" hidden="false" customHeight="false" outlineLevel="0" collapsed="false">
      <c r="P445" s="371"/>
      <c r="Q445" s="371"/>
      <c r="R445" s="371"/>
      <c r="U445" s="371"/>
      <c r="V445" s="371"/>
      <c r="W445" s="371"/>
      <c r="X445" s="371"/>
    </row>
    <row r="446" customFormat="false" ht="12.75" hidden="false" customHeight="false" outlineLevel="0" collapsed="false">
      <c r="P446" s="371"/>
      <c r="Q446" s="371"/>
      <c r="R446" s="371"/>
      <c r="U446" s="371"/>
      <c r="V446" s="371"/>
      <c r="W446" s="371"/>
      <c r="X446" s="371"/>
    </row>
    <row r="447" customFormat="false" ht="12.75" hidden="false" customHeight="false" outlineLevel="0" collapsed="false">
      <c r="P447" s="371"/>
      <c r="Q447" s="371"/>
      <c r="R447" s="371"/>
      <c r="U447" s="371"/>
      <c r="V447" s="371"/>
      <c r="W447" s="371"/>
      <c r="X447" s="371"/>
    </row>
    <row r="448" customFormat="false" ht="12.75" hidden="false" customHeight="false" outlineLevel="0" collapsed="false">
      <c r="P448" s="371"/>
      <c r="Q448" s="371"/>
      <c r="R448" s="371"/>
      <c r="U448" s="371"/>
      <c r="V448" s="371"/>
      <c r="W448" s="371"/>
      <c r="X448" s="371"/>
    </row>
    <row r="449" customFormat="false" ht="12.75" hidden="false" customHeight="false" outlineLevel="0" collapsed="false">
      <c r="P449" s="371"/>
      <c r="Q449" s="371"/>
      <c r="R449" s="371"/>
      <c r="U449" s="371"/>
      <c r="V449" s="371"/>
      <c r="W449" s="371"/>
      <c r="X449" s="371"/>
    </row>
    <row r="450" customFormat="false" ht="12.75" hidden="false" customHeight="false" outlineLevel="0" collapsed="false">
      <c r="P450" s="371"/>
      <c r="Q450" s="371"/>
      <c r="R450" s="371"/>
      <c r="U450" s="371"/>
      <c r="V450" s="371"/>
      <c r="W450" s="371"/>
      <c r="X450" s="371"/>
    </row>
    <row r="451" customFormat="false" ht="12.75" hidden="false" customHeight="false" outlineLevel="0" collapsed="false">
      <c r="P451" s="371"/>
      <c r="Q451" s="371"/>
      <c r="R451" s="371"/>
      <c r="U451" s="371"/>
      <c r="V451" s="371"/>
      <c r="W451" s="371"/>
      <c r="X451" s="371"/>
    </row>
    <row r="452" customFormat="false" ht="12.75" hidden="false" customHeight="false" outlineLevel="0" collapsed="false">
      <c r="P452" s="371"/>
      <c r="Q452" s="371"/>
      <c r="R452" s="371"/>
      <c r="U452" s="371"/>
      <c r="V452" s="371"/>
      <c r="W452" s="371"/>
      <c r="X452" s="371"/>
    </row>
    <row r="453" customFormat="false" ht="12.75" hidden="false" customHeight="false" outlineLevel="0" collapsed="false">
      <c r="P453" s="371"/>
      <c r="Q453" s="371"/>
      <c r="R453" s="371"/>
      <c r="U453" s="371"/>
      <c r="V453" s="371"/>
      <c r="W453" s="371"/>
      <c r="X453" s="371"/>
    </row>
    <row r="454" customFormat="false" ht="12.75" hidden="false" customHeight="false" outlineLevel="0" collapsed="false">
      <c r="P454" s="371"/>
      <c r="Q454" s="371"/>
      <c r="R454" s="371"/>
      <c r="U454" s="371"/>
      <c r="V454" s="371"/>
      <c r="W454" s="371"/>
      <c r="X454" s="371"/>
    </row>
    <row r="455" customFormat="false" ht="12.75" hidden="false" customHeight="false" outlineLevel="0" collapsed="false">
      <c r="P455" s="371"/>
      <c r="Q455" s="371"/>
      <c r="R455" s="371"/>
      <c r="U455" s="371"/>
      <c r="V455" s="371"/>
      <c r="W455" s="371"/>
      <c r="X455" s="371"/>
    </row>
    <row r="456" customFormat="false" ht="12.75" hidden="false" customHeight="false" outlineLevel="0" collapsed="false">
      <c r="P456" s="371"/>
      <c r="Q456" s="371"/>
      <c r="R456" s="371"/>
      <c r="U456" s="371"/>
      <c r="V456" s="371"/>
      <c r="W456" s="371"/>
      <c r="X456" s="371"/>
    </row>
    <row r="457" customFormat="false" ht="12.75" hidden="false" customHeight="false" outlineLevel="0" collapsed="false">
      <c r="P457" s="371"/>
      <c r="Q457" s="371"/>
      <c r="R457" s="371"/>
      <c r="U457" s="371"/>
      <c r="V457" s="371"/>
      <c r="W457" s="371"/>
      <c r="X457" s="371"/>
    </row>
    <row r="458" customFormat="false" ht="12.75" hidden="false" customHeight="false" outlineLevel="0" collapsed="false">
      <c r="P458" s="371"/>
      <c r="Q458" s="371"/>
      <c r="R458" s="371"/>
      <c r="U458" s="371"/>
      <c r="V458" s="371"/>
      <c r="W458" s="371"/>
      <c r="X458" s="371"/>
    </row>
    <row r="459" customFormat="false" ht="12.75" hidden="false" customHeight="false" outlineLevel="0" collapsed="false">
      <c r="P459" s="371"/>
      <c r="Q459" s="371"/>
      <c r="R459" s="371"/>
      <c r="U459" s="371"/>
      <c r="V459" s="371"/>
      <c r="W459" s="371"/>
      <c r="X459" s="371"/>
    </row>
    <row r="460" customFormat="false" ht="12.75" hidden="false" customHeight="false" outlineLevel="0" collapsed="false">
      <c r="P460" s="371"/>
      <c r="Q460" s="371"/>
      <c r="R460" s="371"/>
      <c r="U460" s="371"/>
      <c r="V460" s="371"/>
      <c r="W460" s="371"/>
      <c r="X460" s="371"/>
    </row>
    <row r="461" customFormat="false" ht="12.75" hidden="false" customHeight="false" outlineLevel="0" collapsed="false">
      <c r="P461" s="371"/>
      <c r="Q461" s="371"/>
      <c r="R461" s="371"/>
      <c r="U461" s="371"/>
      <c r="V461" s="371"/>
      <c r="W461" s="371"/>
      <c r="X461" s="371"/>
    </row>
    <row r="462" customFormat="false" ht="12.75" hidden="false" customHeight="false" outlineLevel="0" collapsed="false">
      <c r="P462" s="371"/>
      <c r="Q462" s="371"/>
      <c r="R462" s="371"/>
      <c r="U462" s="371"/>
      <c r="V462" s="371"/>
      <c r="W462" s="371"/>
      <c r="X462" s="371"/>
    </row>
    <row r="463" customFormat="false" ht="12.75" hidden="false" customHeight="false" outlineLevel="0" collapsed="false">
      <c r="P463" s="371"/>
      <c r="Q463" s="371"/>
      <c r="R463" s="371"/>
      <c r="U463" s="371"/>
      <c r="V463" s="371"/>
      <c r="W463" s="371"/>
      <c r="X463" s="371"/>
    </row>
    <row r="464" customFormat="false" ht="12.75" hidden="false" customHeight="false" outlineLevel="0" collapsed="false">
      <c r="P464" s="371"/>
      <c r="Q464" s="371"/>
      <c r="R464" s="371"/>
      <c r="U464" s="371"/>
      <c r="V464" s="371"/>
      <c r="W464" s="371"/>
      <c r="X464" s="371"/>
    </row>
    <row r="465" customFormat="false" ht="12.75" hidden="false" customHeight="false" outlineLevel="0" collapsed="false">
      <c r="P465" s="371"/>
      <c r="Q465" s="371"/>
      <c r="R465" s="371"/>
      <c r="U465" s="371"/>
      <c r="V465" s="371"/>
      <c r="W465" s="371"/>
      <c r="X465" s="371"/>
    </row>
    <row r="466" customFormat="false" ht="12.75" hidden="false" customHeight="false" outlineLevel="0" collapsed="false">
      <c r="P466" s="371"/>
      <c r="Q466" s="371"/>
      <c r="R466" s="371"/>
      <c r="U466" s="371"/>
      <c r="V466" s="371"/>
      <c r="W466" s="371"/>
      <c r="X466" s="371"/>
    </row>
    <row r="467" customFormat="false" ht="12.75" hidden="false" customHeight="false" outlineLevel="0" collapsed="false">
      <c r="P467" s="371"/>
      <c r="Q467" s="371"/>
      <c r="R467" s="371"/>
      <c r="U467" s="371"/>
      <c r="V467" s="371"/>
      <c r="W467" s="371"/>
      <c r="X467" s="371"/>
    </row>
    <row r="468" customFormat="false" ht="12.75" hidden="false" customHeight="false" outlineLevel="0" collapsed="false">
      <c r="P468" s="371"/>
      <c r="Q468" s="371"/>
      <c r="R468" s="371"/>
      <c r="U468" s="371"/>
      <c r="V468" s="371"/>
      <c r="W468" s="371"/>
      <c r="X468" s="371"/>
    </row>
    <row r="469" customFormat="false" ht="12.75" hidden="false" customHeight="false" outlineLevel="0" collapsed="false">
      <c r="P469" s="371"/>
      <c r="Q469" s="371"/>
      <c r="R469" s="371"/>
      <c r="U469" s="371"/>
      <c r="V469" s="371"/>
      <c r="W469" s="371"/>
      <c r="X469" s="371"/>
    </row>
    <row r="470" customFormat="false" ht="12.75" hidden="false" customHeight="false" outlineLevel="0" collapsed="false">
      <c r="P470" s="371"/>
      <c r="Q470" s="371"/>
      <c r="R470" s="371"/>
      <c r="U470" s="371"/>
      <c r="V470" s="371"/>
      <c r="W470" s="371"/>
      <c r="X470" s="371"/>
    </row>
    <row r="471" customFormat="false" ht="12.75" hidden="false" customHeight="false" outlineLevel="0" collapsed="false">
      <c r="P471" s="371"/>
      <c r="Q471" s="371"/>
      <c r="R471" s="371"/>
      <c r="U471" s="371"/>
      <c r="V471" s="371"/>
      <c r="W471" s="371"/>
      <c r="X471" s="371"/>
    </row>
    <row r="472" customFormat="false" ht="12.75" hidden="false" customHeight="false" outlineLevel="0" collapsed="false">
      <c r="P472" s="371"/>
      <c r="Q472" s="371"/>
      <c r="R472" s="371"/>
      <c r="U472" s="371"/>
      <c r="V472" s="371"/>
      <c r="W472" s="371"/>
      <c r="X472" s="371"/>
    </row>
    <row r="473" customFormat="false" ht="12.75" hidden="false" customHeight="false" outlineLevel="0" collapsed="false">
      <c r="P473" s="371"/>
      <c r="Q473" s="371"/>
      <c r="R473" s="371"/>
      <c r="U473" s="371"/>
      <c r="V473" s="371"/>
      <c r="W473" s="371"/>
      <c r="X473" s="371"/>
    </row>
    <row r="474" customFormat="false" ht="12.75" hidden="false" customHeight="false" outlineLevel="0" collapsed="false">
      <c r="P474" s="371"/>
      <c r="Q474" s="371"/>
      <c r="R474" s="371"/>
      <c r="U474" s="371"/>
      <c r="V474" s="371"/>
      <c r="W474" s="371"/>
      <c r="X474" s="371"/>
    </row>
    <row r="475" customFormat="false" ht="12.75" hidden="false" customHeight="false" outlineLevel="0" collapsed="false">
      <c r="P475" s="371"/>
      <c r="Q475" s="371"/>
      <c r="R475" s="371"/>
      <c r="U475" s="371"/>
      <c r="V475" s="371"/>
      <c r="W475" s="371"/>
      <c r="X475" s="371"/>
    </row>
    <row r="476" customFormat="false" ht="12.75" hidden="false" customHeight="false" outlineLevel="0" collapsed="false">
      <c r="P476" s="371"/>
      <c r="Q476" s="371"/>
      <c r="R476" s="371"/>
      <c r="U476" s="371"/>
      <c r="V476" s="371"/>
      <c r="W476" s="371"/>
      <c r="X476" s="371"/>
    </row>
    <row r="477" customFormat="false" ht="12.75" hidden="false" customHeight="false" outlineLevel="0" collapsed="false">
      <c r="P477" s="371"/>
      <c r="Q477" s="371"/>
      <c r="R477" s="371"/>
      <c r="U477" s="371"/>
      <c r="V477" s="371"/>
      <c r="W477" s="371"/>
      <c r="X477" s="371"/>
    </row>
    <row r="478" customFormat="false" ht="12.75" hidden="false" customHeight="false" outlineLevel="0" collapsed="false">
      <c r="P478" s="371"/>
      <c r="Q478" s="371"/>
      <c r="R478" s="371"/>
      <c r="U478" s="371"/>
      <c r="V478" s="371"/>
      <c r="W478" s="371"/>
      <c r="X478" s="371"/>
    </row>
    <row r="479" customFormat="false" ht="12.75" hidden="false" customHeight="false" outlineLevel="0" collapsed="false">
      <c r="P479" s="371"/>
      <c r="Q479" s="371"/>
      <c r="R479" s="371"/>
      <c r="U479" s="371"/>
      <c r="V479" s="371"/>
      <c r="W479" s="371"/>
      <c r="X479" s="371"/>
    </row>
    <row r="480" customFormat="false" ht="12.75" hidden="false" customHeight="false" outlineLevel="0" collapsed="false">
      <c r="P480" s="371"/>
      <c r="Q480" s="371"/>
      <c r="R480" s="371"/>
      <c r="U480" s="371"/>
      <c r="V480" s="371"/>
      <c r="W480" s="371"/>
      <c r="X480" s="371"/>
    </row>
    <row r="481" customFormat="false" ht="12.75" hidden="false" customHeight="false" outlineLevel="0" collapsed="false">
      <c r="P481" s="371"/>
      <c r="Q481" s="371"/>
      <c r="R481" s="371"/>
      <c r="U481" s="371"/>
      <c r="V481" s="371"/>
      <c r="W481" s="371"/>
      <c r="X481" s="371"/>
    </row>
    <row r="482" customFormat="false" ht="12.75" hidden="false" customHeight="false" outlineLevel="0" collapsed="false">
      <c r="P482" s="371"/>
      <c r="Q482" s="371"/>
      <c r="R482" s="371"/>
      <c r="U482" s="371"/>
      <c r="V482" s="371"/>
      <c r="W482" s="371"/>
      <c r="X482" s="371"/>
    </row>
    <row r="483" customFormat="false" ht="12.75" hidden="false" customHeight="false" outlineLevel="0" collapsed="false">
      <c r="P483" s="371"/>
      <c r="Q483" s="371"/>
      <c r="R483" s="371"/>
      <c r="U483" s="371"/>
      <c r="V483" s="371"/>
      <c r="W483" s="371"/>
      <c r="X483" s="371"/>
    </row>
    <row r="484" customFormat="false" ht="12.75" hidden="false" customHeight="false" outlineLevel="0" collapsed="false">
      <c r="P484" s="371"/>
      <c r="Q484" s="371"/>
      <c r="R484" s="371"/>
      <c r="U484" s="371"/>
      <c r="V484" s="371"/>
      <c r="W484" s="371"/>
      <c r="X484" s="371"/>
    </row>
    <row r="485" customFormat="false" ht="12.75" hidden="false" customHeight="false" outlineLevel="0" collapsed="false">
      <c r="P485" s="371"/>
      <c r="Q485" s="371"/>
      <c r="R485" s="371"/>
      <c r="U485" s="371"/>
      <c r="V485" s="371"/>
      <c r="W485" s="371"/>
      <c r="X485" s="371"/>
    </row>
    <row r="486" customFormat="false" ht="12.75" hidden="false" customHeight="false" outlineLevel="0" collapsed="false">
      <c r="P486" s="371"/>
      <c r="Q486" s="371"/>
      <c r="R486" s="371"/>
      <c r="U486" s="371"/>
      <c r="V486" s="371"/>
      <c r="W486" s="371"/>
      <c r="X486" s="371"/>
    </row>
    <row r="487" customFormat="false" ht="12.75" hidden="false" customHeight="false" outlineLevel="0" collapsed="false">
      <c r="P487" s="371"/>
      <c r="Q487" s="371"/>
      <c r="R487" s="371"/>
      <c r="U487" s="371"/>
      <c r="V487" s="371"/>
      <c r="W487" s="371"/>
      <c r="X487" s="371"/>
    </row>
    <row r="488" customFormat="false" ht="12.75" hidden="false" customHeight="false" outlineLevel="0" collapsed="false">
      <c r="P488" s="371"/>
      <c r="Q488" s="371"/>
      <c r="R488" s="371"/>
      <c r="U488" s="371"/>
      <c r="V488" s="371"/>
      <c r="W488" s="371"/>
      <c r="X488" s="371"/>
    </row>
    <row r="489" customFormat="false" ht="12.75" hidden="false" customHeight="false" outlineLevel="0" collapsed="false">
      <c r="P489" s="371"/>
      <c r="Q489" s="371"/>
      <c r="R489" s="371"/>
      <c r="U489" s="371"/>
      <c r="V489" s="371"/>
      <c r="W489" s="371"/>
      <c r="X489" s="371"/>
    </row>
    <row r="490" customFormat="false" ht="12.75" hidden="false" customHeight="false" outlineLevel="0" collapsed="false">
      <c r="P490" s="371"/>
      <c r="Q490" s="371"/>
      <c r="R490" s="371"/>
      <c r="U490" s="371"/>
      <c r="V490" s="371"/>
      <c r="W490" s="371"/>
      <c r="X490" s="371"/>
    </row>
    <row r="491" customFormat="false" ht="12.75" hidden="false" customHeight="false" outlineLevel="0" collapsed="false">
      <c r="P491" s="371"/>
      <c r="Q491" s="371"/>
      <c r="R491" s="371"/>
      <c r="U491" s="371"/>
      <c r="V491" s="371"/>
      <c r="W491" s="371"/>
      <c r="X491" s="371"/>
    </row>
    <row r="492" customFormat="false" ht="12.75" hidden="false" customHeight="false" outlineLevel="0" collapsed="false">
      <c r="P492" s="371"/>
      <c r="Q492" s="371"/>
      <c r="R492" s="371"/>
      <c r="U492" s="371"/>
      <c r="V492" s="371"/>
      <c r="W492" s="371"/>
      <c r="X492" s="371"/>
    </row>
    <row r="493" customFormat="false" ht="12.75" hidden="false" customHeight="false" outlineLevel="0" collapsed="false">
      <c r="P493" s="371"/>
      <c r="Q493" s="371"/>
      <c r="R493" s="371"/>
      <c r="U493" s="371"/>
      <c r="V493" s="371"/>
      <c r="W493" s="371"/>
      <c r="X493" s="371"/>
    </row>
    <row r="494" customFormat="false" ht="12.75" hidden="false" customHeight="false" outlineLevel="0" collapsed="false">
      <c r="P494" s="371"/>
      <c r="Q494" s="371"/>
      <c r="R494" s="371"/>
      <c r="U494" s="371"/>
      <c r="V494" s="371"/>
      <c r="W494" s="371"/>
      <c r="X494" s="371"/>
    </row>
    <row r="495" customFormat="false" ht="12.75" hidden="false" customHeight="false" outlineLevel="0" collapsed="false">
      <c r="P495" s="371"/>
      <c r="Q495" s="371"/>
      <c r="R495" s="371"/>
      <c r="U495" s="371"/>
      <c r="V495" s="371"/>
      <c r="W495" s="371"/>
      <c r="X495" s="371"/>
    </row>
    <row r="496" customFormat="false" ht="12.75" hidden="false" customHeight="false" outlineLevel="0" collapsed="false">
      <c r="P496" s="371"/>
      <c r="Q496" s="371"/>
      <c r="R496" s="371"/>
      <c r="U496" s="371"/>
      <c r="V496" s="371"/>
      <c r="W496" s="371"/>
      <c r="X496" s="371"/>
    </row>
    <row r="497" customFormat="false" ht="12.75" hidden="false" customHeight="false" outlineLevel="0" collapsed="false">
      <c r="P497" s="371"/>
      <c r="Q497" s="371"/>
      <c r="R497" s="371"/>
      <c r="U497" s="371"/>
      <c r="V497" s="371"/>
      <c r="W497" s="371"/>
      <c r="X497" s="371"/>
    </row>
    <row r="498" customFormat="false" ht="12.75" hidden="false" customHeight="false" outlineLevel="0" collapsed="false">
      <c r="P498" s="371"/>
      <c r="Q498" s="371"/>
      <c r="R498" s="371"/>
      <c r="U498" s="371"/>
      <c r="V498" s="371"/>
      <c r="W498" s="371"/>
      <c r="X498" s="371"/>
    </row>
    <row r="499" customFormat="false" ht="12.75" hidden="false" customHeight="false" outlineLevel="0" collapsed="false">
      <c r="P499" s="371"/>
      <c r="Q499" s="371"/>
      <c r="R499" s="371"/>
      <c r="U499" s="371"/>
      <c r="V499" s="371"/>
      <c r="W499" s="371"/>
      <c r="X499" s="371"/>
    </row>
    <row r="500" customFormat="false" ht="12.75" hidden="false" customHeight="false" outlineLevel="0" collapsed="false">
      <c r="P500" s="371"/>
      <c r="Q500" s="371"/>
      <c r="R500" s="371"/>
      <c r="U500" s="371"/>
      <c r="V500" s="371"/>
      <c r="W500" s="371"/>
      <c r="X500" s="371"/>
    </row>
    <row r="501" customFormat="false" ht="12.75" hidden="false" customHeight="false" outlineLevel="0" collapsed="false">
      <c r="P501" s="371"/>
      <c r="Q501" s="371"/>
      <c r="R501" s="371"/>
      <c r="U501" s="371"/>
      <c r="V501" s="371"/>
      <c r="W501" s="371"/>
      <c r="X501" s="371"/>
    </row>
    <row r="502" customFormat="false" ht="12.75" hidden="false" customHeight="false" outlineLevel="0" collapsed="false">
      <c r="P502" s="371"/>
      <c r="Q502" s="371"/>
      <c r="R502" s="371"/>
      <c r="U502" s="371"/>
      <c r="V502" s="371"/>
      <c r="W502" s="371"/>
      <c r="X502" s="371"/>
    </row>
    <row r="503" customFormat="false" ht="12.75" hidden="false" customHeight="false" outlineLevel="0" collapsed="false">
      <c r="P503" s="371"/>
      <c r="Q503" s="371"/>
      <c r="R503" s="371"/>
      <c r="U503" s="371"/>
      <c r="V503" s="371"/>
      <c r="W503" s="371"/>
      <c r="X503" s="371"/>
    </row>
    <row r="504" customFormat="false" ht="12.75" hidden="false" customHeight="false" outlineLevel="0" collapsed="false">
      <c r="P504" s="371"/>
      <c r="Q504" s="371"/>
      <c r="R504" s="371"/>
      <c r="U504" s="371"/>
      <c r="V504" s="371"/>
      <c r="W504" s="371"/>
      <c r="X504" s="371"/>
    </row>
    <row r="505" customFormat="false" ht="12.75" hidden="false" customHeight="false" outlineLevel="0" collapsed="false">
      <c r="P505" s="371"/>
      <c r="Q505" s="371"/>
      <c r="R505" s="371"/>
      <c r="U505" s="371"/>
      <c r="V505" s="371"/>
      <c r="W505" s="371"/>
      <c r="X505" s="371"/>
    </row>
    <row r="506" customFormat="false" ht="12.75" hidden="false" customHeight="false" outlineLevel="0" collapsed="false">
      <c r="P506" s="371"/>
      <c r="Q506" s="371"/>
      <c r="R506" s="371"/>
      <c r="U506" s="371"/>
      <c r="V506" s="371"/>
      <c r="W506" s="371"/>
      <c r="X506" s="371"/>
    </row>
    <row r="507" customFormat="false" ht="12.75" hidden="false" customHeight="false" outlineLevel="0" collapsed="false">
      <c r="P507" s="371"/>
      <c r="Q507" s="371"/>
      <c r="R507" s="371"/>
      <c r="U507" s="371"/>
      <c r="V507" s="371"/>
      <c r="W507" s="371"/>
      <c r="X507" s="371"/>
    </row>
    <row r="508" customFormat="false" ht="12.75" hidden="false" customHeight="false" outlineLevel="0" collapsed="false">
      <c r="P508" s="371"/>
      <c r="Q508" s="371"/>
      <c r="R508" s="371"/>
      <c r="U508" s="371"/>
      <c r="V508" s="371"/>
      <c r="W508" s="371"/>
      <c r="X508" s="371"/>
    </row>
    <row r="509" customFormat="false" ht="12.75" hidden="false" customHeight="false" outlineLevel="0" collapsed="false">
      <c r="P509" s="371"/>
      <c r="Q509" s="371"/>
      <c r="R509" s="371"/>
      <c r="U509" s="371"/>
      <c r="V509" s="371"/>
      <c r="W509" s="371"/>
      <c r="X509" s="371"/>
    </row>
    <row r="510" customFormat="false" ht="12.75" hidden="false" customHeight="false" outlineLevel="0" collapsed="false">
      <c r="P510" s="371"/>
      <c r="Q510" s="371"/>
      <c r="R510" s="371"/>
      <c r="U510" s="371"/>
      <c r="V510" s="371"/>
      <c r="W510" s="371"/>
      <c r="X510" s="371"/>
    </row>
    <row r="511" customFormat="false" ht="12.75" hidden="false" customHeight="false" outlineLevel="0" collapsed="false">
      <c r="P511" s="371"/>
      <c r="Q511" s="371"/>
      <c r="R511" s="371"/>
      <c r="U511" s="371"/>
      <c r="V511" s="371"/>
      <c r="W511" s="371"/>
      <c r="X511" s="371"/>
    </row>
    <row r="512" customFormat="false" ht="12.75" hidden="false" customHeight="false" outlineLevel="0" collapsed="false">
      <c r="P512" s="371"/>
      <c r="Q512" s="371"/>
      <c r="R512" s="371"/>
      <c r="U512" s="371"/>
      <c r="V512" s="371"/>
      <c r="W512" s="371"/>
      <c r="X512" s="371"/>
    </row>
    <row r="513" customFormat="false" ht="12.75" hidden="false" customHeight="false" outlineLevel="0" collapsed="false">
      <c r="P513" s="371"/>
      <c r="Q513" s="371"/>
      <c r="R513" s="371"/>
      <c r="U513" s="371"/>
      <c r="V513" s="371"/>
      <c r="W513" s="371"/>
      <c r="X513" s="371"/>
    </row>
    <row r="514" customFormat="false" ht="12.75" hidden="false" customHeight="false" outlineLevel="0" collapsed="false">
      <c r="P514" s="371"/>
      <c r="Q514" s="371"/>
      <c r="R514" s="371"/>
      <c r="U514" s="371"/>
      <c r="V514" s="371"/>
      <c r="W514" s="371"/>
      <c r="X514" s="371"/>
    </row>
    <row r="515" customFormat="false" ht="12.75" hidden="false" customHeight="false" outlineLevel="0" collapsed="false">
      <c r="P515" s="371"/>
      <c r="Q515" s="371"/>
      <c r="R515" s="371"/>
      <c r="U515" s="371"/>
      <c r="V515" s="371"/>
      <c r="W515" s="371"/>
      <c r="X515" s="371"/>
    </row>
    <row r="516" customFormat="false" ht="12.75" hidden="false" customHeight="false" outlineLevel="0" collapsed="false">
      <c r="P516" s="371"/>
      <c r="Q516" s="371"/>
      <c r="R516" s="371"/>
      <c r="U516" s="371"/>
      <c r="V516" s="371"/>
      <c r="W516" s="371"/>
      <c r="X516" s="371"/>
    </row>
    <row r="517" customFormat="false" ht="12.75" hidden="false" customHeight="false" outlineLevel="0" collapsed="false">
      <c r="P517" s="371"/>
      <c r="Q517" s="371"/>
      <c r="R517" s="371"/>
      <c r="U517" s="371"/>
      <c r="V517" s="371"/>
      <c r="W517" s="371"/>
      <c r="X517" s="371"/>
    </row>
    <row r="518" customFormat="false" ht="12.75" hidden="false" customHeight="false" outlineLevel="0" collapsed="false">
      <c r="P518" s="371"/>
      <c r="Q518" s="371"/>
      <c r="R518" s="371"/>
      <c r="U518" s="371"/>
      <c r="V518" s="371"/>
      <c r="W518" s="371"/>
      <c r="X518" s="371"/>
    </row>
    <row r="519" customFormat="false" ht="12.75" hidden="false" customHeight="false" outlineLevel="0" collapsed="false">
      <c r="P519" s="371"/>
      <c r="Q519" s="371"/>
      <c r="R519" s="371"/>
      <c r="U519" s="371"/>
      <c r="V519" s="371"/>
      <c r="W519" s="371"/>
      <c r="X519" s="371"/>
    </row>
    <row r="520" customFormat="false" ht="12.75" hidden="false" customHeight="false" outlineLevel="0" collapsed="false">
      <c r="P520" s="371"/>
      <c r="Q520" s="371"/>
      <c r="R520" s="371"/>
      <c r="U520" s="371"/>
      <c r="V520" s="371"/>
      <c r="W520" s="371"/>
      <c r="X520" s="371"/>
    </row>
    <row r="521" customFormat="false" ht="12.75" hidden="false" customHeight="false" outlineLevel="0" collapsed="false">
      <c r="P521" s="371"/>
      <c r="Q521" s="371"/>
      <c r="R521" s="371"/>
      <c r="U521" s="371"/>
      <c r="V521" s="371"/>
      <c r="W521" s="371"/>
      <c r="X521" s="371"/>
    </row>
    <row r="522" customFormat="false" ht="12.75" hidden="false" customHeight="false" outlineLevel="0" collapsed="false">
      <c r="P522" s="371"/>
      <c r="Q522" s="371"/>
      <c r="R522" s="371"/>
      <c r="U522" s="371"/>
      <c r="V522" s="371"/>
      <c r="W522" s="371"/>
      <c r="X522" s="371"/>
    </row>
    <row r="523" customFormat="false" ht="12.75" hidden="false" customHeight="false" outlineLevel="0" collapsed="false">
      <c r="P523" s="371"/>
      <c r="Q523" s="371"/>
      <c r="R523" s="371"/>
      <c r="U523" s="371"/>
      <c r="V523" s="371"/>
      <c r="W523" s="371"/>
      <c r="X523" s="371"/>
    </row>
    <row r="524" customFormat="false" ht="12.75" hidden="false" customHeight="false" outlineLevel="0" collapsed="false">
      <c r="P524" s="371"/>
      <c r="Q524" s="371"/>
      <c r="R524" s="371"/>
      <c r="U524" s="371"/>
      <c r="V524" s="371"/>
      <c r="W524" s="371"/>
      <c r="X524" s="371"/>
    </row>
    <row r="525" customFormat="false" ht="12.75" hidden="false" customHeight="false" outlineLevel="0" collapsed="false">
      <c r="P525" s="371"/>
      <c r="Q525" s="371"/>
      <c r="R525" s="371"/>
      <c r="U525" s="371"/>
      <c r="V525" s="371"/>
      <c r="W525" s="371"/>
      <c r="X525" s="371"/>
    </row>
    <row r="526" customFormat="false" ht="12.75" hidden="false" customHeight="false" outlineLevel="0" collapsed="false">
      <c r="P526" s="371"/>
      <c r="Q526" s="371"/>
      <c r="R526" s="371"/>
      <c r="U526" s="371"/>
      <c r="V526" s="371"/>
      <c r="W526" s="371"/>
      <c r="X526" s="371"/>
    </row>
    <row r="527" customFormat="false" ht="12.75" hidden="false" customHeight="false" outlineLevel="0" collapsed="false">
      <c r="P527" s="371"/>
      <c r="Q527" s="371"/>
      <c r="R527" s="371"/>
      <c r="U527" s="371"/>
      <c r="V527" s="371"/>
      <c r="W527" s="371"/>
      <c r="X527" s="371"/>
    </row>
    <row r="528" customFormat="false" ht="12.75" hidden="false" customHeight="false" outlineLevel="0" collapsed="false">
      <c r="P528" s="371"/>
      <c r="Q528" s="371"/>
      <c r="R528" s="371"/>
      <c r="U528" s="371"/>
      <c r="V528" s="371"/>
      <c r="W528" s="371"/>
      <c r="X528" s="371"/>
    </row>
    <row r="529" customFormat="false" ht="12.75" hidden="false" customHeight="false" outlineLevel="0" collapsed="false">
      <c r="P529" s="371"/>
      <c r="Q529" s="371"/>
      <c r="R529" s="371"/>
      <c r="U529" s="371"/>
      <c r="V529" s="371"/>
      <c r="W529" s="371"/>
      <c r="X529" s="371"/>
    </row>
    <row r="530" customFormat="false" ht="12.75" hidden="false" customHeight="false" outlineLevel="0" collapsed="false">
      <c r="P530" s="371"/>
      <c r="Q530" s="371"/>
      <c r="R530" s="371"/>
      <c r="U530" s="371"/>
      <c r="V530" s="371"/>
      <c r="W530" s="371"/>
      <c r="X530" s="371"/>
    </row>
    <row r="531" customFormat="false" ht="12.75" hidden="false" customHeight="false" outlineLevel="0" collapsed="false">
      <c r="P531" s="371"/>
      <c r="Q531" s="371"/>
      <c r="R531" s="371"/>
      <c r="U531" s="371"/>
      <c r="V531" s="371"/>
      <c r="W531" s="371"/>
      <c r="X531" s="371"/>
    </row>
    <row r="532" customFormat="false" ht="12.75" hidden="false" customHeight="false" outlineLevel="0" collapsed="false">
      <c r="P532" s="371"/>
      <c r="Q532" s="371"/>
      <c r="R532" s="371"/>
      <c r="U532" s="371"/>
      <c r="V532" s="371"/>
      <c r="W532" s="371"/>
      <c r="X532" s="371"/>
    </row>
    <row r="533" customFormat="false" ht="12.75" hidden="false" customHeight="false" outlineLevel="0" collapsed="false">
      <c r="P533" s="371"/>
      <c r="Q533" s="371"/>
      <c r="R533" s="371"/>
      <c r="U533" s="371"/>
      <c r="V533" s="371"/>
      <c r="W533" s="371"/>
      <c r="X533" s="371"/>
    </row>
    <row r="534" customFormat="false" ht="12.75" hidden="false" customHeight="false" outlineLevel="0" collapsed="false">
      <c r="P534" s="371"/>
      <c r="Q534" s="371"/>
      <c r="R534" s="371"/>
      <c r="U534" s="371"/>
      <c r="V534" s="371"/>
      <c r="W534" s="371"/>
      <c r="X534" s="371"/>
    </row>
    <row r="535" customFormat="false" ht="12.75" hidden="false" customHeight="false" outlineLevel="0" collapsed="false">
      <c r="P535" s="371"/>
      <c r="Q535" s="371"/>
      <c r="R535" s="371"/>
      <c r="U535" s="371"/>
      <c r="V535" s="371"/>
      <c r="W535" s="371"/>
      <c r="X535" s="371"/>
    </row>
    <row r="536" customFormat="false" ht="12.75" hidden="false" customHeight="false" outlineLevel="0" collapsed="false">
      <c r="P536" s="371"/>
      <c r="Q536" s="371"/>
      <c r="R536" s="371"/>
      <c r="U536" s="371"/>
      <c r="V536" s="371"/>
      <c r="W536" s="371"/>
      <c r="X536" s="371"/>
    </row>
    <row r="537" customFormat="false" ht="12.75" hidden="false" customHeight="false" outlineLevel="0" collapsed="false">
      <c r="P537" s="371"/>
      <c r="Q537" s="371"/>
      <c r="R537" s="371"/>
      <c r="U537" s="371"/>
      <c r="V537" s="371"/>
      <c r="W537" s="371"/>
      <c r="X537" s="371"/>
    </row>
    <row r="538" customFormat="false" ht="12.75" hidden="false" customHeight="false" outlineLevel="0" collapsed="false">
      <c r="P538" s="371"/>
      <c r="Q538" s="371"/>
      <c r="R538" s="371"/>
      <c r="U538" s="371"/>
      <c r="V538" s="371"/>
      <c r="W538" s="371"/>
      <c r="X538" s="371"/>
    </row>
    <row r="539" customFormat="false" ht="12.75" hidden="false" customHeight="false" outlineLevel="0" collapsed="false">
      <c r="P539" s="371"/>
      <c r="Q539" s="371"/>
      <c r="R539" s="371"/>
      <c r="U539" s="371"/>
      <c r="V539" s="371"/>
      <c r="W539" s="371"/>
      <c r="X539" s="371"/>
    </row>
    <row r="540" customFormat="false" ht="12.75" hidden="false" customHeight="false" outlineLevel="0" collapsed="false">
      <c r="P540" s="371"/>
      <c r="Q540" s="371"/>
      <c r="R540" s="371"/>
      <c r="U540" s="371"/>
      <c r="V540" s="371"/>
      <c r="W540" s="371"/>
      <c r="X540" s="371"/>
    </row>
    <row r="541" customFormat="false" ht="12.75" hidden="false" customHeight="false" outlineLevel="0" collapsed="false">
      <c r="P541" s="371"/>
      <c r="Q541" s="371"/>
      <c r="R541" s="371"/>
      <c r="U541" s="371"/>
      <c r="V541" s="371"/>
      <c r="W541" s="371"/>
      <c r="X541" s="371"/>
    </row>
    <row r="542" customFormat="false" ht="12.75" hidden="false" customHeight="false" outlineLevel="0" collapsed="false">
      <c r="P542" s="371"/>
      <c r="Q542" s="371"/>
      <c r="R542" s="371"/>
      <c r="U542" s="371"/>
      <c r="V542" s="371"/>
      <c r="W542" s="371"/>
      <c r="X542" s="371"/>
    </row>
    <row r="543" customFormat="false" ht="12.75" hidden="false" customHeight="false" outlineLevel="0" collapsed="false">
      <c r="P543" s="371"/>
      <c r="Q543" s="371"/>
      <c r="R543" s="371"/>
      <c r="U543" s="371"/>
      <c r="V543" s="371"/>
      <c r="W543" s="371"/>
      <c r="X543" s="371"/>
    </row>
    <row r="544" customFormat="false" ht="12.75" hidden="false" customHeight="false" outlineLevel="0" collapsed="false">
      <c r="P544" s="371"/>
      <c r="Q544" s="371"/>
      <c r="R544" s="371"/>
      <c r="U544" s="371"/>
      <c r="V544" s="371"/>
      <c r="W544" s="371"/>
      <c r="X544" s="371"/>
    </row>
    <row r="545" customFormat="false" ht="12.75" hidden="false" customHeight="false" outlineLevel="0" collapsed="false">
      <c r="P545" s="371"/>
      <c r="Q545" s="371"/>
      <c r="R545" s="371"/>
      <c r="U545" s="371"/>
      <c r="V545" s="371"/>
      <c r="W545" s="371"/>
      <c r="X545" s="371"/>
    </row>
    <row r="546" customFormat="false" ht="12.75" hidden="false" customHeight="false" outlineLevel="0" collapsed="false">
      <c r="P546" s="371"/>
      <c r="Q546" s="371"/>
      <c r="R546" s="371"/>
      <c r="U546" s="371"/>
      <c r="V546" s="371"/>
      <c r="W546" s="371"/>
      <c r="X546" s="371"/>
    </row>
    <row r="547" customFormat="false" ht="12.75" hidden="false" customHeight="false" outlineLevel="0" collapsed="false">
      <c r="P547" s="371"/>
      <c r="Q547" s="371"/>
      <c r="R547" s="371"/>
      <c r="U547" s="371"/>
      <c r="V547" s="371"/>
      <c r="W547" s="371"/>
      <c r="X547" s="371"/>
    </row>
    <row r="548" customFormat="false" ht="12.75" hidden="false" customHeight="false" outlineLevel="0" collapsed="false">
      <c r="P548" s="371"/>
      <c r="Q548" s="371"/>
      <c r="R548" s="371"/>
      <c r="U548" s="371"/>
      <c r="V548" s="371"/>
      <c r="W548" s="371"/>
      <c r="X548" s="371"/>
    </row>
    <row r="549" customFormat="false" ht="12.75" hidden="false" customHeight="false" outlineLevel="0" collapsed="false">
      <c r="P549" s="371"/>
      <c r="Q549" s="371"/>
      <c r="R549" s="371"/>
      <c r="U549" s="371"/>
      <c r="V549" s="371"/>
      <c r="W549" s="371"/>
      <c r="X549" s="371"/>
    </row>
    <row r="550" customFormat="false" ht="12.75" hidden="false" customHeight="false" outlineLevel="0" collapsed="false">
      <c r="P550" s="371"/>
      <c r="Q550" s="371"/>
      <c r="R550" s="371"/>
      <c r="U550" s="371"/>
      <c r="V550" s="371"/>
      <c r="W550" s="371"/>
      <c r="X550" s="371"/>
    </row>
    <row r="551" customFormat="false" ht="12.75" hidden="false" customHeight="false" outlineLevel="0" collapsed="false">
      <c r="P551" s="371"/>
      <c r="Q551" s="371"/>
      <c r="R551" s="371"/>
      <c r="U551" s="371"/>
      <c r="V551" s="371"/>
      <c r="W551" s="371"/>
      <c r="X551" s="371"/>
    </row>
    <row r="552" customFormat="false" ht="12.75" hidden="false" customHeight="false" outlineLevel="0" collapsed="false">
      <c r="P552" s="371"/>
      <c r="Q552" s="371"/>
      <c r="R552" s="371"/>
      <c r="U552" s="371"/>
      <c r="V552" s="371"/>
      <c r="W552" s="371"/>
      <c r="X552" s="371"/>
    </row>
    <row r="553" customFormat="false" ht="12.75" hidden="false" customHeight="false" outlineLevel="0" collapsed="false">
      <c r="P553" s="371"/>
      <c r="Q553" s="371"/>
      <c r="R553" s="371"/>
      <c r="U553" s="371"/>
      <c r="V553" s="371"/>
      <c r="W553" s="371"/>
      <c r="X553" s="371"/>
    </row>
    <row r="554" customFormat="false" ht="12.75" hidden="false" customHeight="false" outlineLevel="0" collapsed="false">
      <c r="P554" s="371"/>
      <c r="Q554" s="371"/>
      <c r="R554" s="371"/>
      <c r="U554" s="371"/>
      <c r="V554" s="371"/>
      <c r="W554" s="371"/>
      <c r="X554" s="371"/>
    </row>
    <row r="555" customFormat="false" ht="12.75" hidden="false" customHeight="false" outlineLevel="0" collapsed="false">
      <c r="P555" s="371"/>
      <c r="Q555" s="371"/>
      <c r="R555" s="371"/>
      <c r="U555" s="371"/>
      <c r="V555" s="371"/>
      <c r="W555" s="371"/>
      <c r="X555" s="371"/>
    </row>
    <row r="556" customFormat="false" ht="12.75" hidden="false" customHeight="false" outlineLevel="0" collapsed="false">
      <c r="P556" s="371"/>
      <c r="Q556" s="371"/>
      <c r="R556" s="371"/>
      <c r="U556" s="371"/>
      <c r="V556" s="371"/>
      <c r="W556" s="371"/>
      <c r="X556" s="371"/>
    </row>
    <row r="557" customFormat="false" ht="12.75" hidden="false" customHeight="false" outlineLevel="0" collapsed="false">
      <c r="P557" s="371"/>
      <c r="Q557" s="371"/>
      <c r="R557" s="371"/>
      <c r="U557" s="371"/>
      <c r="V557" s="371"/>
      <c r="W557" s="371"/>
      <c r="X557" s="371"/>
    </row>
    <row r="558" customFormat="false" ht="12.75" hidden="false" customHeight="false" outlineLevel="0" collapsed="false">
      <c r="P558" s="371"/>
      <c r="Q558" s="371"/>
      <c r="R558" s="371"/>
      <c r="U558" s="371"/>
      <c r="V558" s="371"/>
      <c r="W558" s="371"/>
      <c r="X558" s="371"/>
    </row>
    <row r="559" customFormat="false" ht="12.75" hidden="false" customHeight="false" outlineLevel="0" collapsed="false">
      <c r="P559" s="371"/>
      <c r="Q559" s="371"/>
      <c r="R559" s="371"/>
      <c r="U559" s="371"/>
      <c r="V559" s="371"/>
      <c r="W559" s="371"/>
      <c r="X559" s="371"/>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558"/>
  <sheetViews>
    <sheetView showFormulas="false" showGridLines="true" showRowColHeaders="true" showZeros="true" rightToLeft="false" tabSelected="false" showOutlineSymbols="true" defaultGridColor="true" view="normal" topLeftCell="J1" colorId="64" zoomScale="80" zoomScaleNormal="80" zoomScalePageLayoutView="100" workbookViewId="0">
      <selection pane="topLeft" activeCell="CI21" activeCellId="0" sqref="CI21:CI51"/>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257" min="8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19</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1030553.4</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1125931.3</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-95377.9</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9016.69</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17502.6</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-592040.44</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-109044</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13483.72</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63.38</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-1555.01</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3111.27</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85.72</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67.43</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807179.15</v>
      </c>
      <c r="P18" s="415" t="e">
        <f aca="false">N18-O18</f>
        <v>#VALUE!</v>
      </c>
      <c r="AU18" s="433"/>
      <c r="AV18" s="383"/>
      <c r="AW18" s="378"/>
      <c r="AX18" s="383" t="str">
        <f aca="false">ADDRESS(ROW($CI$22),COLUMN($CI$22))</f>
        <v>$CI$22</v>
      </c>
      <c r="AY18" s="378" t="e">
        <f aca="false">GetEnd($AV$1,AX18)</f>
        <v>#VALUE!</v>
      </c>
      <c r="CM18" s="511"/>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223374.25</v>
      </c>
      <c r="P19" s="465" t="e">
        <f aca="false">N19-O19</f>
        <v>#VALUE!</v>
      </c>
      <c r="AU19" s="433"/>
      <c r="AV19" s="383"/>
      <c r="AW19" s="378"/>
      <c r="CM19" s="511"/>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2.84080037863912</v>
      </c>
      <c r="BW22" s="369" t="n">
        <v>2.8785</v>
      </c>
      <c r="BX22" s="370" t="n">
        <v>0.952435996987834</v>
      </c>
      <c r="BY22" s="370" t="n">
        <v>0.952435996987834</v>
      </c>
      <c r="BZ22" s="370" t="n">
        <v>0.993199705156471</v>
      </c>
      <c r="CA22" s="370" t="n">
        <v>0.0187659081571607</v>
      </c>
      <c r="CB22" s="370" t="n">
        <v>0.998364899395796</v>
      </c>
      <c r="CC22" s="505" t="n">
        <v>-0.025</v>
      </c>
      <c r="CD22" s="505" t="n">
        <v>0</v>
      </c>
      <c r="CE22" s="505" t="n">
        <v>-0.025</v>
      </c>
      <c r="CF22" s="505" t="n">
        <v>0.0575</v>
      </c>
      <c r="CG22" s="505" t="n">
        <v>0.0039</v>
      </c>
      <c r="CH22" s="505" t="n">
        <v>1.28130151188456</v>
      </c>
      <c r="CI22" s="505" t="n">
        <v>2.846</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2.90323555179602</v>
      </c>
      <c r="BW23" s="369" t="n">
        <v>2.9405</v>
      </c>
      <c r="BX23" s="370" t="n">
        <v>0.906812181950228</v>
      </c>
      <c r="BY23" s="370" t="n">
        <v>0.906812181950228</v>
      </c>
      <c r="BZ23" s="370" t="n">
        <v>0.995233834969986</v>
      </c>
      <c r="CA23" s="370" t="n">
        <v>0.0193261872820063</v>
      </c>
      <c r="CB23" s="370" t="n">
        <v>0.996688029844541</v>
      </c>
      <c r="CC23" s="505" t="n">
        <v>-0.025</v>
      </c>
      <c r="CD23" s="505" t="n">
        <v>0</v>
      </c>
      <c r="CE23" s="505" t="n">
        <v>-0.025</v>
      </c>
      <c r="CF23" s="505" t="n">
        <v>0.0575</v>
      </c>
      <c r="CG23" s="505" t="n">
        <v>0.0039</v>
      </c>
      <c r="CH23" s="505" t="n">
        <v>1.15536076419579</v>
      </c>
      <c r="CI23" s="505" t="n">
        <v>2.908</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2.89719343826471</v>
      </c>
      <c r="BW24" s="369" t="n">
        <v>2.9345</v>
      </c>
      <c r="BX24" s="370" t="n">
        <v>0.79</v>
      </c>
      <c r="BY24" s="370" t="n">
        <v>0.79</v>
      </c>
      <c r="BZ24" s="370" t="n">
        <v>0.997215135135135</v>
      </c>
      <c r="CA24" s="370" t="n">
        <v>0.0192731753639035</v>
      </c>
      <c r="CB24" s="370" t="n">
        <v>0.99523258517239</v>
      </c>
      <c r="CC24" s="505" t="n">
        <v>-0.025</v>
      </c>
      <c r="CD24" s="505" t="n">
        <v>0</v>
      </c>
      <c r="CE24" s="505" t="n">
        <v>-0.025</v>
      </c>
      <c r="CF24" s="505" t="n">
        <v>0.0575</v>
      </c>
      <c r="CG24" s="505" t="n">
        <v>0.0039</v>
      </c>
      <c r="CH24" s="505" t="n">
        <v>1.27728149981025</v>
      </c>
      <c r="CI24" s="505" t="n">
        <v>2.902</v>
      </c>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2.8453319637876</v>
      </c>
      <c r="BW25" s="369" t="n">
        <v>2.8805</v>
      </c>
      <c r="BX25" s="370" t="n">
        <v>0.600814487825059</v>
      </c>
      <c r="BY25" s="370" t="n">
        <v>0.600814487825059</v>
      </c>
      <c r="BZ25" s="370" t="n">
        <v>0.999601428368727</v>
      </c>
      <c r="CA25" s="370" t="n">
        <v>0.0194226401196236</v>
      </c>
      <c r="CB25" s="370" t="n">
        <v>0.993564587749983</v>
      </c>
      <c r="CC25" s="505" t="n">
        <v>-0.025</v>
      </c>
      <c r="CD25" s="505" t="n">
        <v>0.0025</v>
      </c>
      <c r="CE25" s="505" t="n">
        <v>-0.025</v>
      </c>
      <c r="CF25" s="505" t="n">
        <v>0.0575</v>
      </c>
      <c r="CG25" s="505" t="n">
        <v>0.0039</v>
      </c>
      <c r="CH25" s="505" t="n">
        <v>1.23400721798548</v>
      </c>
      <c r="CI25" s="505" t="n">
        <v>2.848</v>
      </c>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2.89366887203811</v>
      </c>
      <c r="BW26" s="369" t="n">
        <v>2.9285</v>
      </c>
      <c r="BX26" s="370" t="n">
        <v>0.57775293402001</v>
      </c>
      <c r="BY26" s="370" t="n">
        <v>0.57775293402001</v>
      </c>
      <c r="BZ26" s="370" t="n">
        <v>0.999572590396056</v>
      </c>
      <c r="CA26" s="370" t="n">
        <v>0.019712159578257</v>
      </c>
      <c r="CB26" s="370" t="n">
        <v>0.991870109542169</v>
      </c>
      <c r="CC26" s="505" t="n">
        <v>-0.025</v>
      </c>
      <c r="CD26" s="505" t="n">
        <v>0.0025</v>
      </c>
      <c r="CE26" s="505" t="n">
        <v>-0.025</v>
      </c>
      <c r="CF26" s="505" t="n">
        <v>0.0575</v>
      </c>
      <c r="CG26" s="505" t="n">
        <v>0.0039</v>
      </c>
      <c r="CH26" s="505" t="n">
        <v>1.27296609858642</v>
      </c>
      <c r="CI26" s="505" t="n">
        <v>2.896</v>
      </c>
    </row>
    <row r="27" customFormat="false" ht="12.75" hidden="false" customHeight="false" outlineLevel="0" collapsed="false">
      <c r="A27" s="512"/>
      <c r="B27" s="512"/>
      <c r="C27" s="512"/>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2.94401981813238</v>
      </c>
      <c r="BW27" s="369" t="n">
        <v>2.9785</v>
      </c>
      <c r="BX27" s="370" t="n">
        <v>0.550221330219268</v>
      </c>
      <c r="BY27" s="370" t="n">
        <v>0.550221330219268</v>
      </c>
      <c r="BZ27" s="370" t="n">
        <v>0.999619544498461</v>
      </c>
      <c r="CA27" s="370" t="n">
        <v>0.0200113297153544</v>
      </c>
      <c r="CB27" s="370" t="n">
        <v>0.990073216017117</v>
      </c>
      <c r="CC27" s="505" t="n">
        <v>-0.025</v>
      </c>
      <c r="CD27" s="505" t="n">
        <v>0.0025</v>
      </c>
      <c r="CE27" s="505" t="n">
        <v>-0.025</v>
      </c>
      <c r="CF27" s="505" t="n">
        <v>0.0575</v>
      </c>
      <c r="CG27" s="505" t="n">
        <v>0.0039</v>
      </c>
      <c r="CH27" s="505" t="n">
        <v>1.22967093429326</v>
      </c>
      <c r="CI27" s="505" t="n">
        <v>2.946</v>
      </c>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2.98228653716403</v>
      </c>
      <c r="BW28" s="369" t="n">
        <v>3.0165</v>
      </c>
      <c r="BX28" s="370" t="n">
        <v>0.549290255131369</v>
      </c>
      <c r="BY28" s="370" t="n">
        <v>0.549290255131369</v>
      </c>
      <c r="BZ28" s="370" t="n">
        <v>0.999600762798885</v>
      </c>
      <c r="CA28" s="370" t="n">
        <v>0.0204286298094831</v>
      </c>
      <c r="CB28" s="370" t="n">
        <v>0.988217193800728</v>
      </c>
      <c r="CC28" s="505" t="n">
        <v>-0.025</v>
      </c>
      <c r="CD28" s="505" t="n">
        <v>0.0025</v>
      </c>
      <c r="CE28" s="505" t="n">
        <v>-0.025</v>
      </c>
      <c r="CF28" s="505" t="n">
        <v>0.0575</v>
      </c>
      <c r="CG28" s="505" t="n">
        <v>0.0039</v>
      </c>
      <c r="CH28" s="505" t="n">
        <v>1.26827794652385</v>
      </c>
      <c r="CI28" s="505" t="n">
        <v>2.984</v>
      </c>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3.02458133188323</v>
      </c>
      <c r="BW29" s="369" t="n">
        <v>3.0585</v>
      </c>
      <c r="BX29" s="370" t="n">
        <v>0.549894268674422</v>
      </c>
      <c r="BY29" s="370" t="n">
        <v>0.549894268674422</v>
      </c>
      <c r="BZ29" s="370" t="n">
        <v>0.999594501799685</v>
      </c>
      <c r="CA29" s="370" t="n">
        <v>0.021065008234304</v>
      </c>
      <c r="CB29" s="370" t="n">
        <v>0.986098940667972</v>
      </c>
      <c r="CC29" s="505" t="n">
        <v>-0.025</v>
      </c>
      <c r="CD29" s="505" t="n">
        <v>0.0025</v>
      </c>
      <c r="CE29" s="505" t="n">
        <v>-0.025</v>
      </c>
      <c r="CF29" s="505" t="n">
        <v>0.0575</v>
      </c>
      <c r="CG29" s="505" t="n">
        <v>0.0039</v>
      </c>
      <c r="CH29" s="505" t="n">
        <v>1.26555938045328</v>
      </c>
      <c r="CI29" s="505" t="n">
        <v>3.026</v>
      </c>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3.01652518050814</v>
      </c>
      <c r="BW30" s="369" t="n">
        <v>3.0505</v>
      </c>
      <c r="BX30" s="370" t="n">
        <v>0.548527673591454</v>
      </c>
      <c r="BY30" s="370" t="n">
        <v>0.548527673591454</v>
      </c>
      <c r="BZ30" s="370" t="n">
        <v>0.999649205959279</v>
      </c>
      <c r="CA30" s="370" t="n">
        <v>0.0217013867962765</v>
      </c>
      <c r="CB30" s="370" t="n">
        <v>0.983880178541275</v>
      </c>
      <c r="CC30" s="505" t="n">
        <v>-0.025</v>
      </c>
      <c r="CD30" s="505" t="n">
        <v>0.0025</v>
      </c>
      <c r="CE30" s="505" t="n">
        <v>-0.025</v>
      </c>
      <c r="CF30" s="505" t="n">
        <v>0.0575</v>
      </c>
      <c r="CG30" s="505" t="n">
        <v>0.0039</v>
      </c>
      <c r="CH30" s="505" t="n">
        <v>1.22197918174826</v>
      </c>
      <c r="CI30" s="505" t="n">
        <v>3.018</v>
      </c>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3.02961642649265</v>
      </c>
      <c r="BW31" s="369" t="n">
        <v>3.0635</v>
      </c>
      <c r="BX31" s="370" t="n">
        <v>0.5511830669082</v>
      </c>
      <c r="BY31" s="370" t="n">
        <v>0.5511830669082</v>
      </c>
      <c r="BZ31" s="370" t="n">
        <v>0.999627432904601</v>
      </c>
      <c r="CA31" s="370" t="n">
        <v>0.022410164045374</v>
      </c>
      <c r="CB31" s="370" t="n">
        <v>0.981562668478235</v>
      </c>
      <c r="CC31" s="505" t="n">
        <v>-0.025</v>
      </c>
      <c r="CD31" s="505" t="n">
        <v>0.0025</v>
      </c>
      <c r="CE31" s="505" t="n">
        <v>-0.025</v>
      </c>
      <c r="CF31" s="505" t="n">
        <v>0.0575</v>
      </c>
      <c r="CG31" s="505" t="n">
        <v>0.0039</v>
      </c>
      <c r="CH31" s="505" t="n">
        <v>1.25973752872497</v>
      </c>
      <c r="CI31" s="505" t="n">
        <v>3.031</v>
      </c>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3.21087983243205</v>
      </c>
      <c r="BW32" s="369" t="n">
        <v>3.2435</v>
      </c>
      <c r="BX32" s="370" t="n">
        <v>0.557476031074478</v>
      </c>
      <c r="BY32" s="370" t="n">
        <v>0.557476031074478</v>
      </c>
      <c r="BZ32" s="370" t="n">
        <v>0.99956539361632</v>
      </c>
      <c r="CA32" s="370" t="n">
        <v>0.0232740649677528</v>
      </c>
      <c r="CB32" s="370" t="n">
        <v>0.97893835036076</v>
      </c>
      <c r="CC32" s="505" t="n">
        <v>-0.025</v>
      </c>
      <c r="CD32" s="505" t="n">
        <v>0.0025</v>
      </c>
      <c r="CE32" s="505" t="n">
        <v>-0.025</v>
      </c>
      <c r="CF32" s="505" t="n">
        <v>0.0575</v>
      </c>
      <c r="CG32" s="505" t="n">
        <v>0.0039</v>
      </c>
      <c r="CH32" s="505" t="n">
        <v>1.21584143114806</v>
      </c>
      <c r="CI32" s="505" t="n">
        <v>3.211</v>
      </c>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3.37200285993374</v>
      </c>
      <c r="BW33" s="369" t="n">
        <v>3.4035</v>
      </c>
      <c r="BX33" s="370" t="n">
        <v>0.570790000341453</v>
      </c>
      <c r="BY33" s="370" t="n">
        <v>0.570790000341453</v>
      </c>
      <c r="BZ33" s="370" t="n">
        <v>0.999400554739149</v>
      </c>
      <c r="CA33" s="370" t="n">
        <v>0.024110098358836</v>
      </c>
      <c r="CB33" s="370" t="n">
        <v>0.976270925999808</v>
      </c>
      <c r="CC33" s="505" t="n">
        <v>-0.025</v>
      </c>
      <c r="CD33" s="505" t="n">
        <v>0.0025</v>
      </c>
      <c r="CE33" s="505" t="n">
        <v>-0.025</v>
      </c>
      <c r="CF33" s="505" t="n">
        <v>0.0575</v>
      </c>
      <c r="CG33" s="505" t="n">
        <v>0.0039</v>
      </c>
      <c r="CH33" s="505" t="n">
        <v>1.25294610642815</v>
      </c>
      <c r="CI33" s="505" t="n">
        <v>3.371</v>
      </c>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3.44752927907515</v>
      </c>
      <c r="BW34" s="369" t="n">
        <v>3.4785</v>
      </c>
      <c r="BX34" s="370" t="n">
        <v>0.56836354878586</v>
      </c>
      <c r="BY34" s="370" t="n">
        <v>0.56836354878586</v>
      </c>
      <c r="BZ34" s="370" t="n">
        <v>0.99941014163964</v>
      </c>
      <c r="CA34" s="370" t="n">
        <v>0.0250384261928196</v>
      </c>
      <c r="CB34" s="370" t="n">
        <v>0.97331647833328</v>
      </c>
      <c r="CC34" s="505" t="n">
        <v>-0.025</v>
      </c>
      <c r="CD34" s="505" t="n">
        <v>0.0025</v>
      </c>
      <c r="CE34" s="505" t="n">
        <v>-0.025</v>
      </c>
      <c r="CF34" s="505" t="n">
        <v>0.0575</v>
      </c>
      <c r="CG34" s="505" t="n">
        <v>0.0039</v>
      </c>
      <c r="CH34" s="505" t="n">
        <v>1.24915436829293</v>
      </c>
      <c r="CI34" s="505" t="n">
        <v>3.446</v>
      </c>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3.37200285993374</v>
      </c>
      <c r="BW35" s="369" t="n">
        <v>3.4035</v>
      </c>
      <c r="BX35" s="370" t="n">
        <v>0.554353390063384</v>
      </c>
      <c r="BY35" s="370" t="n">
        <v>0.554353390063384</v>
      </c>
      <c r="BZ35" s="370" t="n">
        <v>0.999478556026464</v>
      </c>
      <c r="CA35" s="370" t="n">
        <v>0.0260449864197474</v>
      </c>
      <c r="CB35" s="370" t="n">
        <v>0.970132608451962</v>
      </c>
      <c r="CC35" s="505" t="n">
        <v>-0.025</v>
      </c>
      <c r="CD35" s="505" t="n">
        <v>0.0025</v>
      </c>
      <c r="CE35" s="505" t="n">
        <v>-0.025</v>
      </c>
      <c r="CF35" s="505" t="n">
        <v>0.0575</v>
      </c>
      <c r="CG35" s="505" t="n">
        <v>0.0039</v>
      </c>
      <c r="CH35" s="505" t="n">
        <v>1.12457771971751</v>
      </c>
      <c r="CI35" s="505" t="n">
        <v>3.371</v>
      </c>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3.28137115696404</v>
      </c>
      <c r="BW36" s="369" t="n">
        <v>3.3135</v>
      </c>
      <c r="BX36" s="370" t="n">
        <v>0.50293567145062</v>
      </c>
      <c r="BY36" s="370" t="n">
        <v>0.50293567145062</v>
      </c>
      <c r="BZ36" s="370" t="n">
        <v>0.999612455841105</v>
      </c>
      <c r="CA36" s="370" t="n">
        <v>0.0269541378866576</v>
      </c>
      <c r="CB36" s="370" t="n">
        <v>0.967126070368611</v>
      </c>
      <c r="CC36" s="505" t="n">
        <v>-0.025</v>
      </c>
      <c r="CD36" s="505" t="n">
        <v>0.0025</v>
      </c>
      <c r="CE36" s="505" t="n">
        <v>-0.025</v>
      </c>
      <c r="CF36" s="505" t="n">
        <v>0.0575</v>
      </c>
      <c r="CG36" s="505" t="n">
        <v>0.0039</v>
      </c>
      <c r="CH36" s="505" t="n">
        <v>1.24120959871108</v>
      </c>
      <c r="CI36" s="505" t="n">
        <v>3.281</v>
      </c>
    </row>
    <row r="37" customFormat="false" ht="12.75" hidden="false" customHeight="false" outlineLevel="0" collapsed="false">
      <c r="A37" s="512"/>
      <c r="B37" s="512"/>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3.12528322407178</v>
      </c>
      <c r="BW37" s="369" t="n">
        <v>3.1585</v>
      </c>
      <c r="BX37" s="370" t="n">
        <v>0.388875549675273</v>
      </c>
      <c r="BY37" s="370" t="n">
        <v>0.388875549675273</v>
      </c>
      <c r="BZ37" s="370" t="n">
        <v>0.999842152988947</v>
      </c>
      <c r="CA37" s="370" t="n">
        <v>0.0279745964320606</v>
      </c>
      <c r="CB37" s="370" t="n">
        <v>0.963636615990319</v>
      </c>
      <c r="CC37" s="505" t="n">
        <v>-0.025</v>
      </c>
      <c r="CD37" s="505" t="n">
        <v>0.0025</v>
      </c>
      <c r="CE37" s="505" t="n">
        <v>-0.025</v>
      </c>
      <c r="CF37" s="505" t="n">
        <v>0.0575</v>
      </c>
      <c r="CG37" s="505" t="n">
        <v>0.0039</v>
      </c>
      <c r="CH37" s="505" t="n">
        <v>1.19683667705998</v>
      </c>
      <c r="CI37" s="505" t="n">
        <v>3.126</v>
      </c>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3.12629024299367</v>
      </c>
      <c r="BW38" s="369" t="n">
        <v>3.1595</v>
      </c>
      <c r="BX38" s="370" t="n">
        <v>0.376159329765107</v>
      </c>
      <c r="BY38" s="370" t="n">
        <v>0.376159329765107</v>
      </c>
      <c r="BZ38" s="370" t="n">
        <v>0.999795557573607</v>
      </c>
      <c r="CA38" s="370" t="n">
        <v>0.0289631800763801</v>
      </c>
      <c r="CB38" s="370" t="n">
        <v>0.960114752892753</v>
      </c>
      <c r="CC38" s="505" t="n">
        <v>-0.025</v>
      </c>
      <c r="CD38" s="505" t="n">
        <v>0.0025</v>
      </c>
      <c r="CE38" s="505" t="n">
        <v>-0.025</v>
      </c>
      <c r="CF38" s="505" t="n">
        <v>0.0575</v>
      </c>
      <c r="CG38" s="505" t="n">
        <v>0.0039</v>
      </c>
      <c r="CH38" s="505" t="n">
        <v>1.23221127386256</v>
      </c>
      <c r="CI38" s="505" t="n">
        <v>3.127</v>
      </c>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3.16153590525966</v>
      </c>
      <c r="BW39" s="369" t="n">
        <v>3.1945</v>
      </c>
      <c r="BX39" s="370" t="n">
        <v>0.375845949287242</v>
      </c>
      <c r="BY39" s="370" t="n">
        <v>0.375845949287242</v>
      </c>
      <c r="BZ39" s="370" t="n">
        <v>0.999812832287823</v>
      </c>
      <c r="CA39" s="370" t="n">
        <v>0.0299847168551968</v>
      </c>
      <c r="CB39" s="370" t="n">
        <v>0.956328852591432</v>
      </c>
      <c r="CC39" s="505" t="n">
        <v>-0.025</v>
      </c>
      <c r="CD39" s="505" t="n">
        <v>0.0025</v>
      </c>
      <c r="CE39" s="505" t="n">
        <v>-0.025</v>
      </c>
      <c r="CF39" s="505" t="n">
        <v>0.0575</v>
      </c>
      <c r="CG39" s="505" t="n">
        <v>0.0039</v>
      </c>
      <c r="CH39" s="505" t="n">
        <v>1.18776043491856</v>
      </c>
      <c r="CI39" s="505" t="n">
        <v>3.162</v>
      </c>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3.20383069997885</v>
      </c>
      <c r="BW40" s="369" t="n">
        <v>3.2365</v>
      </c>
      <c r="BX40" s="370" t="n">
        <v>0.377568797335415</v>
      </c>
      <c r="BY40" s="370" t="n">
        <v>0.377568797335415</v>
      </c>
      <c r="BZ40" s="370" t="n">
        <v>0.999778646142728</v>
      </c>
      <c r="CA40" s="370" t="n">
        <v>0.0309652793004798</v>
      </c>
      <c r="CB40" s="370" t="n">
        <v>0.95253693379797</v>
      </c>
      <c r="CC40" s="505" t="n">
        <v>-0.025</v>
      </c>
      <c r="CD40" s="505" t="n">
        <v>0.0025</v>
      </c>
      <c r="CE40" s="505" t="n">
        <v>-0.025</v>
      </c>
      <c r="CF40" s="505" t="n">
        <v>0.0575</v>
      </c>
      <c r="CG40" s="505" t="n">
        <v>0.0039</v>
      </c>
      <c r="CH40" s="505" t="n">
        <v>1.22248590083632</v>
      </c>
      <c r="CI40" s="505" t="n">
        <v>3.204</v>
      </c>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3.24612549469805</v>
      </c>
      <c r="BW41" s="369" t="n">
        <v>3.2785</v>
      </c>
      <c r="BX41" s="370" t="n">
        <v>0.37917572731747</v>
      </c>
      <c r="BY41" s="370" t="n">
        <v>0.37917572731747</v>
      </c>
      <c r="BZ41" s="370" t="n">
        <v>0.999750500172068</v>
      </c>
      <c r="CA41" s="370" t="n">
        <v>0.0319670833322725</v>
      </c>
      <c r="CB41" s="370" t="n">
        <v>0.948494893378275</v>
      </c>
      <c r="CC41" s="505" t="n">
        <v>-0.025</v>
      </c>
      <c r="CD41" s="505" t="n">
        <v>0.0025</v>
      </c>
      <c r="CE41" s="505" t="n">
        <v>-0.025</v>
      </c>
      <c r="CF41" s="505" t="n">
        <v>0.0575</v>
      </c>
      <c r="CG41" s="505" t="n">
        <v>0.0039</v>
      </c>
      <c r="CH41" s="505" t="n">
        <v>1.21729834616168</v>
      </c>
      <c r="CI41" s="505" t="n">
        <v>3.246</v>
      </c>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3.24109040008862</v>
      </c>
      <c r="BW42" s="369" t="n">
        <v>3.2735</v>
      </c>
      <c r="BX42" s="370" t="n">
        <v>0.376255879342064</v>
      </c>
      <c r="BY42" s="370" t="n">
        <v>0.376255879342064</v>
      </c>
      <c r="BZ42" s="370" t="n">
        <v>0.999766454277572</v>
      </c>
      <c r="CA42" s="370" t="n">
        <v>0.032968887702129</v>
      </c>
      <c r="CB42" s="370" t="n">
        <v>0.944312700032904</v>
      </c>
      <c r="CC42" s="505" t="n">
        <v>-0.025</v>
      </c>
      <c r="CD42" s="505" t="n">
        <v>0.0025</v>
      </c>
      <c r="CE42" s="505" t="n">
        <v>-0.025</v>
      </c>
      <c r="CF42" s="505" t="n">
        <v>0.0575</v>
      </c>
      <c r="CG42" s="505" t="n">
        <v>0.0039</v>
      </c>
      <c r="CH42" s="505" t="n">
        <v>1.17283637344087</v>
      </c>
      <c r="CI42" s="505" t="n">
        <v>3.241</v>
      </c>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3.26727289205764</v>
      </c>
      <c r="BW43" s="369" t="n">
        <v>3.2995</v>
      </c>
      <c r="BX43" s="370" t="n">
        <v>0.38041410598552</v>
      </c>
      <c r="BY43" s="370" t="n">
        <v>0.38041410598552</v>
      </c>
      <c r="BZ43" s="370" t="n">
        <v>0.999734109484796</v>
      </c>
      <c r="CA43" s="370" t="n">
        <v>0.0339067018220711</v>
      </c>
      <c r="CB43" s="370" t="n">
        <v>0.940187685777986</v>
      </c>
      <c r="CC43" s="505" t="n">
        <v>-0.025</v>
      </c>
      <c r="CD43" s="505" t="n">
        <v>0.0025</v>
      </c>
      <c r="CE43" s="505" t="n">
        <v>-0.025</v>
      </c>
      <c r="CF43" s="505" t="n">
        <v>0.0575</v>
      </c>
      <c r="CG43" s="505" t="n">
        <v>0.0039</v>
      </c>
      <c r="CH43" s="505" t="n">
        <v>1.20663687592747</v>
      </c>
      <c r="CI43" s="505" t="n">
        <v>3.267</v>
      </c>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3.40322044651219</v>
      </c>
      <c r="BW44" s="369" t="n">
        <v>3.4345</v>
      </c>
      <c r="BX44" s="370" t="n">
        <v>0.385609740274895</v>
      </c>
      <c r="BY44" s="370" t="n">
        <v>0.385609740274895</v>
      </c>
      <c r="BZ44" s="370" t="n">
        <v>0.999584219965167</v>
      </c>
      <c r="CA44" s="370" t="n">
        <v>0.0348361539671314</v>
      </c>
      <c r="CB44" s="370" t="n">
        <v>0.93586587426758</v>
      </c>
      <c r="CC44" s="505" t="n">
        <v>-0.025</v>
      </c>
      <c r="CD44" s="505" t="n">
        <v>0.0025</v>
      </c>
      <c r="CE44" s="505" t="n">
        <v>-0.025</v>
      </c>
      <c r="CF44" s="505" t="n">
        <v>0.0575</v>
      </c>
      <c r="CG44" s="505" t="n">
        <v>0.0039</v>
      </c>
      <c r="CH44" s="505" t="n">
        <v>1.16234541584033</v>
      </c>
      <c r="CI44" s="505" t="n">
        <v>3.402</v>
      </c>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3.53916800096674</v>
      </c>
      <c r="BW45" s="369" t="n">
        <v>3.5695</v>
      </c>
      <c r="BX45" s="370" t="n">
        <v>0.37</v>
      </c>
      <c r="BY45" s="370" t="n">
        <v>0.37</v>
      </c>
      <c r="BZ45" s="370" t="n">
        <v>0</v>
      </c>
      <c r="CA45" s="370" t="n">
        <v>0.0357356240616102</v>
      </c>
      <c r="CB45" s="370" t="n">
        <v>0</v>
      </c>
      <c r="CC45" s="505" t="n">
        <v>-0.025</v>
      </c>
      <c r="CD45" s="505" t="n">
        <v>0.0025</v>
      </c>
      <c r="CE45" s="505" t="n">
        <v>-0.025</v>
      </c>
      <c r="CF45" s="505" t="n">
        <v>0.0575</v>
      </c>
      <c r="CG45" s="505" t="n">
        <v>0.0039</v>
      </c>
      <c r="CH45" s="505" t="n">
        <v>0</v>
      </c>
      <c r="CI45" s="505" t="n">
        <v>3.537</v>
      </c>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3.53916800096674</v>
      </c>
      <c r="BW46" s="369" t="n">
        <v>3.5695</v>
      </c>
      <c r="BX46" s="370" t="n">
        <v>0.37</v>
      </c>
      <c r="BY46" s="370" t="n">
        <v>0.37</v>
      </c>
      <c r="BZ46" s="370" t="n">
        <v>0</v>
      </c>
      <c r="CA46" s="370" t="n">
        <v>0.0357356240616102</v>
      </c>
      <c r="CB46" s="370" t="n">
        <v>0</v>
      </c>
      <c r="CC46" s="505" t="n">
        <v>-0.025</v>
      </c>
      <c r="CD46" s="505" t="n">
        <v>0.0025</v>
      </c>
      <c r="CE46" s="505" t="n">
        <v>-0.025</v>
      </c>
      <c r="CF46" s="505" t="n">
        <v>0.0575</v>
      </c>
      <c r="CG46" s="505" t="n">
        <v>0.0039</v>
      </c>
      <c r="CH46" s="505" t="n">
        <v>0</v>
      </c>
      <c r="CI46" s="505" t="n">
        <v>3.537</v>
      </c>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3.53916800096674</v>
      </c>
      <c r="BW47" s="369" t="n">
        <v>3.5695</v>
      </c>
      <c r="BX47" s="370" t="n">
        <v>0.37</v>
      </c>
      <c r="BY47" s="370" t="n">
        <v>0.37</v>
      </c>
      <c r="BZ47" s="370" t="n">
        <v>0</v>
      </c>
      <c r="CA47" s="370" t="n">
        <v>0.0357356240616102</v>
      </c>
      <c r="CB47" s="370" t="n">
        <v>0</v>
      </c>
      <c r="CC47" s="505" t="n">
        <v>-0.025</v>
      </c>
      <c r="CD47" s="505" t="n">
        <v>0.0025</v>
      </c>
      <c r="CE47" s="505" t="n">
        <v>-0.025</v>
      </c>
      <c r="CF47" s="505" t="n">
        <v>0.0575</v>
      </c>
      <c r="CG47" s="505" t="n">
        <v>0.0039</v>
      </c>
      <c r="CH47" s="505" t="n">
        <v>0</v>
      </c>
      <c r="CI47" s="505" t="n">
        <v>3.537</v>
      </c>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3.53916800096674</v>
      </c>
      <c r="BW48" s="369" t="n">
        <v>3.5695</v>
      </c>
      <c r="BX48" s="370" t="n">
        <v>0.37</v>
      </c>
      <c r="BY48" s="370" t="n">
        <v>0.37</v>
      </c>
      <c r="BZ48" s="370" t="n">
        <v>0</v>
      </c>
      <c r="CA48" s="370" t="n">
        <v>0.0357356240616102</v>
      </c>
      <c r="CB48" s="370" t="n">
        <v>0</v>
      </c>
      <c r="CC48" s="505" t="n">
        <v>-0.025</v>
      </c>
      <c r="CD48" s="505" t="n">
        <v>0.0025</v>
      </c>
      <c r="CE48" s="505" t="n">
        <v>-0.025</v>
      </c>
      <c r="CF48" s="505" t="n">
        <v>0.0575</v>
      </c>
      <c r="CG48" s="505" t="n">
        <v>0.0039</v>
      </c>
      <c r="CH48" s="505" t="n">
        <v>0</v>
      </c>
      <c r="CI48" s="505" t="n">
        <v>3.537</v>
      </c>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3.53916800096674</v>
      </c>
      <c r="BW49" s="369" t="n">
        <v>3.5695</v>
      </c>
      <c r="BX49" s="370" t="n">
        <v>0.37</v>
      </c>
      <c r="BY49" s="370" t="n">
        <v>0.37</v>
      </c>
      <c r="BZ49" s="370" t="n">
        <v>0</v>
      </c>
      <c r="CA49" s="370" t="n">
        <v>0.0357356240616102</v>
      </c>
      <c r="CB49" s="370" t="n">
        <v>0</v>
      </c>
      <c r="CC49" s="505" t="n">
        <v>-0.025</v>
      </c>
      <c r="CD49" s="505" t="n">
        <v>0.0025</v>
      </c>
      <c r="CE49" s="505" t="n">
        <v>-0.025</v>
      </c>
      <c r="CF49" s="505" t="n">
        <v>0.0575</v>
      </c>
      <c r="CG49" s="505" t="n">
        <v>0.0039</v>
      </c>
      <c r="CH49" s="505" t="n">
        <v>0</v>
      </c>
      <c r="CI49" s="505" t="n">
        <v>3.537</v>
      </c>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3.53916800096674</v>
      </c>
      <c r="BW50" s="369" t="n">
        <v>3.5695</v>
      </c>
      <c r="BX50" s="370" t="n">
        <v>0.37</v>
      </c>
      <c r="BY50" s="370" t="n">
        <v>0.37</v>
      </c>
      <c r="BZ50" s="370" t="n">
        <v>0</v>
      </c>
      <c r="CA50" s="370" t="n">
        <v>0.0357356240616102</v>
      </c>
      <c r="CB50" s="370" t="n">
        <v>0</v>
      </c>
      <c r="CC50" s="505" t="n">
        <v>-0.025</v>
      </c>
      <c r="CD50" s="505" t="n">
        <v>0.0025</v>
      </c>
      <c r="CE50" s="505" t="n">
        <v>-0.025</v>
      </c>
      <c r="CF50" s="505" t="n">
        <v>0.0575</v>
      </c>
      <c r="CG50" s="505" t="n">
        <v>0.0039</v>
      </c>
      <c r="CH50" s="505" t="n">
        <v>0</v>
      </c>
      <c r="CI50" s="505" t="n">
        <v>3.537</v>
      </c>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3.53916800096674</v>
      </c>
      <c r="BW51" s="369" t="n">
        <v>3.5695</v>
      </c>
      <c r="BX51" s="370" t="n">
        <v>0.37</v>
      </c>
      <c r="BY51" s="370" t="n">
        <v>0.37</v>
      </c>
      <c r="BZ51" s="370" t="n">
        <v>0</v>
      </c>
      <c r="CA51" s="370" t="n">
        <v>0.0357356240616102</v>
      </c>
      <c r="CB51" s="370" t="n">
        <v>0</v>
      </c>
      <c r="CC51" s="505" t="n">
        <v>-0.025</v>
      </c>
      <c r="CD51" s="505" t="n">
        <v>0.0025</v>
      </c>
      <c r="CE51" s="505" t="n">
        <v>-0.025</v>
      </c>
      <c r="CF51" s="505" t="n">
        <v>0.0575</v>
      </c>
      <c r="CG51" s="505" t="n">
        <v>0.0039</v>
      </c>
      <c r="CH51" s="505" t="n">
        <v>0</v>
      </c>
      <c r="CI51" s="505" t="n">
        <v>3.537</v>
      </c>
    </row>
    <row r="52" customFormat="false" ht="12.75" hidden="false" customHeight="false" outlineLevel="0" collapsed="false">
      <c r="A52" s="500"/>
      <c r="B52" s="500"/>
      <c r="K52" s="363"/>
      <c r="L52" s="501"/>
      <c r="N52" s="502"/>
      <c r="O52" s="502"/>
      <c r="P52" s="371"/>
      <c r="Q52" s="501"/>
      <c r="R52" s="501"/>
      <c r="U52" s="501"/>
      <c r="V52" s="503"/>
      <c r="W52" s="503"/>
      <c r="X52" s="503"/>
      <c r="Y52" s="504"/>
      <c r="Z52" s="504"/>
      <c r="AA52" s="504"/>
      <c r="AB52" s="504"/>
      <c r="AC52" s="504"/>
      <c r="AF52" s="378"/>
      <c r="AG52" s="378"/>
      <c r="AH52" s="378"/>
      <c r="AI52" s="378"/>
      <c r="AL52" s="505"/>
      <c r="AM52" s="505"/>
      <c r="AN52" s="505"/>
      <c r="AO52" s="505"/>
      <c r="AQ52" s="370"/>
      <c r="AT52" s="370"/>
      <c r="AV52" s="134"/>
      <c r="AW52" s="370"/>
      <c r="AX52" s="370"/>
      <c r="AY52" s="370"/>
      <c r="AZ52" s="370"/>
      <c r="BA52" s="507"/>
      <c r="BB52" s="505"/>
      <c r="BC52" s="505"/>
      <c r="BD52" s="370"/>
      <c r="BE52" s="370"/>
      <c r="BF52" s="370"/>
      <c r="BG52" s="370"/>
      <c r="BH52" s="370"/>
      <c r="BI52" s="370"/>
      <c r="BJ52" s="370"/>
      <c r="BK52" s="370"/>
      <c r="BL52" s="370"/>
      <c r="BM52" s="370"/>
      <c r="BO52" s="370"/>
      <c r="BP52" s="370"/>
      <c r="BQ52" s="370"/>
      <c r="BR52" s="370"/>
      <c r="BS52" s="370"/>
      <c r="BV52" s="508"/>
      <c r="BW52" s="369"/>
      <c r="BX52" s="370"/>
      <c r="BY52" s="370"/>
      <c r="BZ52" s="370"/>
      <c r="CA52" s="370"/>
      <c r="CB52" s="370"/>
      <c r="CC52" s="505"/>
      <c r="CD52" s="505"/>
      <c r="CE52" s="505"/>
      <c r="CF52" s="505"/>
    </row>
    <row r="53" customFormat="false" ht="12.75" hidden="false" customHeight="false" outlineLevel="0" collapsed="false">
      <c r="A53" s="500"/>
      <c r="B53" s="500"/>
      <c r="K53" s="363"/>
      <c r="L53" s="501"/>
      <c r="N53" s="502"/>
      <c r="O53" s="502"/>
      <c r="P53" s="371"/>
      <c r="Q53" s="501"/>
      <c r="R53" s="501"/>
      <c r="U53" s="501"/>
      <c r="V53" s="503"/>
      <c r="W53" s="503"/>
      <c r="X53" s="503"/>
      <c r="Y53" s="504"/>
      <c r="Z53" s="504"/>
      <c r="AA53" s="504"/>
      <c r="AB53" s="504"/>
      <c r="AC53" s="504"/>
      <c r="AF53" s="378"/>
      <c r="AG53" s="378"/>
      <c r="AH53" s="378"/>
      <c r="AI53" s="378"/>
      <c r="AL53" s="505"/>
      <c r="AM53" s="505"/>
      <c r="AN53" s="505"/>
      <c r="AO53" s="505"/>
      <c r="AQ53" s="370"/>
      <c r="AT53" s="370"/>
      <c r="AV53" s="134"/>
      <c r="AW53" s="370"/>
      <c r="AX53" s="370"/>
      <c r="AY53" s="370"/>
      <c r="AZ53" s="370"/>
      <c r="BA53" s="507"/>
      <c r="BB53" s="505"/>
      <c r="BC53" s="505"/>
      <c r="BD53" s="370"/>
      <c r="BE53" s="370"/>
      <c r="BF53" s="370"/>
      <c r="BG53" s="370"/>
      <c r="BH53" s="370"/>
      <c r="BI53" s="370"/>
      <c r="BJ53" s="370"/>
      <c r="BK53" s="370"/>
      <c r="BL53" s="370"/>
      <c r="BM53" s="370"/>
      <c r="BO53" s="370"/>
      <c r="BP53" s="370"/>
      <c r="BQ53" s="370"/>
      <c r="BR53" s="370"/>
      <c r="BS53" s="370"/>
      <c r="BV53" s="508"/>
      <c r="BW53" s="369"/>
      <c r="BX53" s="370"/>
      <c r="BY53" s="370"/>
      <c r="BZ53" s="370"/>
      <c r="CA53" s="370"/>
      <c r="CB53" s="370"/>
      <c r="CC53" s="505"/>
      <c r="CD53" s="505"/>
      <c r="CE53" s="505"/>
      <c r="CF53" s="505"/>
    </row>
    <row r="54" customFormat="false" ht="12.75" hidden="false" customHeight="false" outlineLevel="0" collapsed="false">
      <c r="A54" s="500"/>
      <c r="B54" s="500"/>
      <c r="K54" s="363"/>
      <c r="L54" s="501"/>
      <c r="N54" s="502"/>
      <c r="O54" s="502"/>
      <c r="P54" s="371"/>
      <c r="Q54" s="501"/>
      <c r="R54" s="501"/>
      <c r="U54" s="501"/>
      <c r="V54" s="503"/>
      <c r="W54" s="503"/>
      <c r="X54" s="503"/>
      <c r="Y54" s="504"/>
      <c r="Z54" s="504"/>
      <c r="AA54" s="504"/>
      <c r="AB54" s="504"/>
      <c r="AC54" s="504"/>
      <c r="AF54" s="378"/>
      <c r="AG54" s="378"/>
      <c r="AH54" s="378"/>
      <c r="AI54" s="378"/>
      <c r="AL54" s="505"/>
      <c r="AM54" s="505"/>
      <c r="AN54" s="505"/>
      <c r="AO54" s="505"/>
      <c r="AQ54" s="370"/>
      <c r="AT54" s="370"/>
      <c r="AV54" s="134"/>
      <c r="AW54" s="370"/>
      <c r="AX54" s="370"/>
      <c r="AY54" s="370"/>
      <c r="AZ54" s="370"/>
      <c r="BA54" s="507"/>
      <c r="BB54" s="505"/>
      <c r="BC54" s="505"/>
      <c r="BD54" s="370"/>
      <c r="BE54" s="370"/>
      <c r="BF54" s="370"/>
      <c r="BG54" s="370"/>
      <c r="BH54" s="370"/>
      <c r="BI54" s="370"/>
      <c r="BJ54" s="370"/>
      <c r="BK54" s="370"/>
      <c r="BL54" s="370"/>
      <c r="BM54" s="370"/>
      <c r="BO54" s="370"/>
      <c r="BP54" s="370"/>
      <c r="BQ54" s="370"/>
      <c r="BR54" s="370"/>
      <c r="BS54" s="370"/>
      <c r="BV54" s="508"/>
      <c r="BW54" s="369"/>
      <c r="BX54" s="370"/>
      <c r="BY54" s="370"/>
      <c r="BZ54" s="370"/>
      <c r="CA54" s="370"/>
      <c r="CB54" s="370"/>
      <c r="CC54" s="505"/>
      <c r="CD54" s="505"/>
      <c r="CE54" s="505"/>
      <c r="CF54" s="505"/>
    </row>
    <row r="55" customFormat="false" ht="12.75" hidden="false" customHeight="false" outlineLevel="0" collapsed="false">
      <c r="A55" s="500"/>
      <c r="B55" s="500"/>
      <c r="K55" s="363"/>
      <c r="L55" s="501"/>
      <c r="N55" s="502"/>
      <c r="O55" s="502"/>
      <c r="P55" s="371"/>
      <c r="Q55" s="501"/>
      <c r="R55" s="501"/>
      <c r="U55" s="501"/>
      <c r="V55" s="503"/>
      <c r="W55" s="503"/>
      <c r="X55" s="503"/>
      <c r="Y55" s="504"/>
      <c r="Z55" s="504"/>
      <c r="AA55" s="504"/>
      <c r="AB55" s="504"/>
      <c r="AC55" s="504"/>
      <c r="AF55" s="378"/>
      <c r="AG55" s="378"/>
      <c r="AH55" s="378"/>
      <c r="AI55" s="378"/>
      <c r="AL55" s="505"/>
      <c r="AM55" s="505"/>
      <c r="AN55" s="505"/>
      <c r="AO55" s="505"/>
      <c r="AQ55" s="370"/>
      <c r="AT55" s="370"/>
      <c r="AV55" s="134"/>
      <c r="AW55" s="370"/>
      <c r="AX55" s="370"/>
      <c r="AY55" s="370"/>
      <c r="AZ55" s="370"/>
      <c r="BA55" s="507"/>
      <c r="BB55" s="505"/>
      <c r="BC55" s="505"/>
      <c r="BD55" s="370"/>
      <c r="BE55" s="370"/>
      <c r="BF55" s="370"/>
      <c r="BG55" s="370"/>
      <c r="BH55" s="370"/>
      <c r="BI55" s="370"/>
      <c r="BJ55" s="370"/>
      <c r="BK55" s="370"/>
      <c r="BL55" s="370"/>
      <c r="BM55" s="370"/>
      <c r="BO55" s="370"/>
      <c r="BP55" s="370"/>
      <c r="BQ55" s="370"/>
      <c r="BR55" s="370"/>
      <c r="BS55" s="370"/>
      <c r="BV55" s="508"/>
      <c r="BW55" s="369"/>
      <c r="BX55" s="370"/>
      <c r="BY55" s="370"/>
      <c r="BZ55" s="370"/>
      <c r="CA55" s="370"/>
      <c r="CB55" s="370"/>
      <c r="CC55" s="505"/>
      <c r="CD55" s="505"/>
      <c r="CE55" s="505"/>
      <c r="CF55" s="505"/>
    </row>
    <row r="56" customFormat="false" ht="12.75" hidden="false" customHeight="false" outlineLevel="0" collapsed="false">
      <c r="A56" s="500"/>
      <c r="B56" s="500"/>
      <c r="K56" s="363"/>
      <c r="L56" s="501"/>
      <c r="N56" s="502"/>
      <c r="O56" s="502"/>
      <c r="P56" s="371"/>
      <c r="Q56" s="501"/>
      <c r="R56" s="501"/>
      <c r="U56" s="501"/>
      <c r="V56" s="503"/>
      <c r="W56" s="503"/>
      <c r="X56" s="503"/>
      <c r="Y56" s="504"/>
      <c r="Z56" s="504"/>
      <c r="AA56" s="504"/>
      <c r="AB56" s="504"/>
      <c r="AC56" s="504"/>
      <c r="AF56" s="378"/>
      <c r="AG56" s="378"/>
      <c r="AH56" s="378"/>
      <c r="AI56" s="378"/>
      <c r="AL56" s="505"/>
      <c r="AM56" s="505"/>
      <c r="AN56" s="505"/>
      <c r="AO56" s="505"/>
      <c r="AQ56" s="370"/>
      <c r="AT56" s="370"/>
      <c r="AV56" s="134"/>
      <c r="AW56" s="370"/>
      <c r="AX56" s="370"/>
      <c r="AY56" s="370"/>
      <c r="AZ56" s="370"/>
      <c r="BA56" s="507"/>
      <c r="BB56" s="505"/>
      <c r="BC56" s="505"/>
      <c r="BD56" s="370"/>
      <c r="BE56" s="370"/>
      <c r="BF56" s="370"/>
      <c r="BG56" s="370"/>
      <c r="BH56" s="370"/>
      <c r="BI56" s="370"/>
      <c r="BJ56" s="370"/>
      <c r="BK56" s="370"/>
      <c r="BL56" s="370"/>
      <c r="BM56" s="370"/>
      <c r="BO56" s="370"/>
      <c r="BP56" s="370"/>
      <c r="BQ56" s="370"/>
      <c r="BR56" s="370"/>
      <c r="BS56" s="370"/>
      <c r="BV56" s="508"/>
      <c r="BW56" s="369"/>
      <c r="BX56" s="370"/>
      <c r="BY56" s="370"/>
      <c r="BZ56" s="370"/>
      <c r="CA56" s="370"/>
      <c r="CB56" s="370"/>
      <c r="CC56" s="505"/>
      <c r="CD56" s="505"/>
      <c r="CE56" s="505"/>
      <c r="CF56" s="505"/>
    </row>
    <row r="57" customFormat="false" ht="12.75" hidden="false" customHeight="false" outlineLevel="0" collapsed="false">
      <c r="A57" s="500"/>
      <c r="B57" s="500"/>
      <c r="K57" s="363"/>
      <c r="L57" s="501"/>
      <c r="N57" s="502"/>
      <c r="O57" s="502"/>
      <c r="P57" s="371"/>
      <c r="Q57" s="501"/>
      <c r="R57" s="501"/>
      <c r="U57" s="501"/>
      <c r="V57" s="503"/>
      <c r="W57" s="503"/>
      <c r="X57" s="503"/>
      <c r="Y57" s="504"/>
      <c r="Z57" s="504"/>
      <c r="AA57" s="504"/>
      <c r="AB57" s="504"/>
      <c r="AC57" s="504"/>
      <c r="AF57" s="378"/>
      <c r="AG57" s="378"/>
      <c r="AH57" s="378"/>
      <c r="AI57" s="378"/>
      <c r="AL57" s="505"/>
      <c r="AM57" s="505"/>
      <c r="AN57" s="505"/>
      <c r="AO57" s="505"/>
      <c r="AQ57" s="370"/>
      <c r="AT57" s="370"/>
      <c r="AV57" s="134"/>
      <c r="AW57" s="370"/>
      <c r="AX57" s="370"/>
      <c r="AY57" s="370"/>
      <c r="AZ57" s="370"/>
      <c r="BA57" s="507"/>
      <c r="BB57" s="505"/>
      <c r="BC57" s="505"/>
      <c r="BD57" s="370"/>
      <c r="BE57" s="370"/>
      <c r="BF57" s="370"/>
      <c r="BG57" s="370"/>
      <c r="BH57" s="370"/>
      <c r="BI57" s="370"/>
      <c r="BJ57" s="370"/>
      <c r="BK57" s="370"/>
      <c r="BL57" s="370"/>
      <c r="BM57" s="370"/>
      <c r="BO57" s="370"/>
      <c r="BP57" s="370"/>
      <c r="BQ57" s="370"/>
      <c r="BR57" s="370"/>
      <c r="BS57" s="370"/>
      <c r="BV57" s="508"/>
      <c r="BW57" s="369"/>
      <c r="BX57" s="370"/>
      <c r="BY57" s="370"/>
      <c r="BZ57" s="370"/>
      <c r="CA57" s="370"/>
      <c r="CB57" s="370"/>
      <c r="CC57" s="505"/>
      <c r="CD57" s="505"/>
      <c r="CE57" s="505"/>
      <c r="CF57" s="505"/>
    </row>
    <row r="58" customFormat="false" ht="12.75" hidden="false" customHeight="false" outlineLevel="0" collapsed="false">
      <c r="A58" s="500"/>
      <c r="B58" s="500"/>
      <c r="K58" s="363"/>
      <c r="L58" s="501"/>
      <c r="N58" s="502"/>
      <c r="O58" s="502"/>
      <c r="P58" s="371"/>
      <c r="Q58" s="501"/>
      <c r="R58" s="501"/>
      <c r="U58" s="501"/>
      <c r="V58" s="503"/>
      <c r="W58" s="503"/>
      <c r="X58" s="503"/>
      <c r="Y58" s="504"/>
      <c r="Z58" s="504"/>
      <c r="AA58" s="504"/>
      <c r="AB58" s="504"/>
      <c r="AC58" s="504"/>
      <c r="AF58" s="378"/>
      <c r="AG58" s="378"/>
      <c r="AH58" s="378"/>
      <c r="AI58" s="378"/>
      <c r="AL58" s="505"/>
      <c r="AM58" s="505"/>
      <c r="AN58" s="505"/>
      <c r="AO58" s="505"/>
      <c r="AQ58" s="370"/>
      <c r="AT58" s="370"/>
      <c r="AV58" s="134"/>
      <c r="AW58" s="370"/>
      <c r="AX58" s="370"/>
      <c r="AY58" s="370"/>
      <c r="AZ58" s="370"/>
      <c r="BA58" s="507"/>
      <c r="BB58" s="505"/>
      <c r="BC58" s="505"/>
      <c r="BD58" s="370"/>
      <c r="BE58" s="370"/>
      <c r="BF58" s="370"/>
      <c r="BG58" s="370"/>
      <c r="BH58" s="370"/>
      <c r="BI58" s="370"/>
      <c r="BJ58" s="370"/>
      <c r="BK58" s="370"/>
      <c r="BL58" s="370"/>
      <c r="BM58" s="370"/>
      <c r="BO58" s="370"/>
      <c r="BP58" s="370"/>
      <c r="BQ58" s="370"/>
      <c r="BR58" s="370"/>
      <c r="BS58" s="370"/>
      <c r="BV58" s="508"/>
      <c r="BW58" s="369"/>
      <c r="BX58" s="370"/>
      <c r="BY58" s="370"/>
      <c r="BZ58" s="370"/>
      <c r="CA58" s="370"/>
      <c r="CB58" s="370"/>
      <c r="CC58" s="505"/>
      <c r="CD58" s="505"/>
      <c r="CE58" s="505"/>
      <c r="CF58" s="505"/>
    </row>
    <row r="59" customFormat="false" ht="12.75" hidden="false" customHeight="false" outlineLevel="0" collapsed="false">
      <c r="A59" s="500"/>
      <c r="B59" s="500"/>
      <c r="K59" s="363"/>
      <c r="L59" s="501"/>
      <c r="N59" s="502"/>
      <c r="O59" s="502"/>
      <c r="P59" s="371"/>
      <c r="Q59" s="501"/>
      <c r="R59" s="501"/>
      <c r="U59" s="501"/>
      <c r="V59" s="503"/>
      <c r="W59" s="503"/>
      <c r="X59" s="503"/>
      <c r="Y59" s="504"/>
      <c r="Z59" s="504"/>
      <c r="AA59" s="504"/>
      <c r="AB59" s="504"/>
      <c r="AC59" s="504"/>
      <c r="AF59" s="378"/>
      <c r="AG59" s="378"/>
      <c r="AH59" s="378"/>
      <c r="AI59" s="378"/>
      <c r="AL59" s="505"/>
      <c r="AM59" s="505"/>
      <c r="AN59" s="505"/>
      <c r="AO59" s="505"/>
      <c r="AQ59" s="370"/>
      <c r="AT59" s="370"/>
      <c r="AV59" s="134"/>
      <c r="AW59" s="370"/>
      <c r="AX59" s="370"/>
      <c r="AY59" s="370"/>
      <c r="AZ59" s="370"/>
      <c r="BA59" s="507"/>
      <c r="BB59" s="505"/>
      <c r="BC59" s="505"/>
      <c r="BD59" s="370"/>
      <c r="BE59" s="370"/>
      <c r="BF59" s="370"/>
      <c r="BG59" s="370"/>
      <c r="BH59" s="370"/>
      <c r="BI59" s="370"/>
      <c r="BJ59" s="370"/>
      <c r="BK59" s="370"/>
      <c r="BL59" s="370"/>
      <c r="BM59" s="370"/>
      <c r="BO59" s="370"/>
      <c r="BP59" s="370"/>
      <c r="BQ59" s="370"/>
      <c r="BR59" s="370"/>
      <c r="BS59" s="370"/>
      <c r="BV59" s="508"/>
      <c r="BW59" s="369"/>
      <c r="BX59" s="370"/>
      <c r="BY59" s="370"/>
      <c r="BZ59" s="370"/>
      <c r="CA59" s="370"/>
      <c r="CB59" s="370"/>
      <c r="CC59" s="505"/>
      <c r="CD59" s="505"/>
      <c r="CE59" s="505"/>
      <c r="CF59" s="505"/>
    </row>
    <row r="60" customFormat="false" ht="12.75" hidden="false" customHeight="false" outlineLevel="0" collapsed="false">
      <c r="A60" s="500"/>
      <c r="B60" s="500"/>
      <c r="K60" s="363"/>
      <c r="L60" s="501"/>
      <c r="N60" s="502"/>
      <c r="O60" s="502"/>
      <c r="P60" s="371"/>
      <c r="Q60" s="501"/>
      <c r="R60" s="501"/>
      <c r="U60" s="501"/>
      <c r="V60" s="503"/>
      <c r="W60" s="503"/>
      <c r="X60" s="503"/>
      <c r="Y60" s="504"/>
      <c r="Z60" s="504"/>
      <c r="AA60" s="504"/>
      <c r="AB60" s="504"/>
      <c r="AC60" s="504"/>
      <c r="AF60" s="378"/>
      <c r="AG60" s="378"/>
      <c r="AH60" s="378"/>
      <c r="AI60" s="378"/>
      <c r="AL60" s="505"/>
      <c r="AM60" s="505"/>
      <c r="AN60" s="505"/>
      <c r="AO60" s="505"/>
      <c r="AQ60" s="370"/>
      <c r="AT60" s="370"/>
      <c r="AV60" s="134"/>
      <c r="AW60" s="370"/>
      <c r="AX60" s="370"/>
      <c r="AY60" s="370"/>
      <c r="AZ60" s="370"/>
      <c r="BA60" s="507"/>
      <c r="BB60" s="505"/>
      <c r="BC60" s="505"/>
      <c r="BD60" s="370"/>
      <c r="BE60" s="370"/>
      <c r="BF60" s="370"/>
      <c r="BG60" s="370"/>
      <c r="BH60" s="370"/>
      <c r="BI60" s="370"/>
      <c r="BJ60" s="370"/>
      <c r="BK60" s="370"/>
      <c r="BL60" s="370"/>
      <c r="BM60" s="370"/>
      <c r="BO60" s="370"/>
      <c r="BP60" s="370"/>
      <c r="BQ60" s="370"/>
      <c r="BR60" s="370"/>
      <c r="BS60" s="370"/>
      <c r="BV60" s="508"/>
      <c r="BW60" s="369"/>
      <c r="BX60" s="370"/>
      <c r="BY60" s="370"/>
      <c r="BZ60" s="370"/>
      <c r="CA60" s="370"/>
      <c r="CB60" s="370"/>
      <c r="CC60" s="505"/>
      <c r="CD60" s="505"/>
      <c r="CE60" s="505"/>
      <c r="CF60" s="505"/>
    </row>
    <row r="61" customFormat="false" ht="12.75" hidden="false" customHeight="false" outlineLevel="0" collapsed="false">
      <c r="A61" s="500"/>
      <c r="B61" s="500"/>
      <c r="K61" s="363"/>
      <c r="L61" s="501"/>
      <c r="N61" s="502"/>
      <c r="O61" s="502"/>
      <c r="P61" s="371"/>
      <c r="Q61" s="501"/>
      <c r="R61" s="501"/>
      <c r="U61" s="501"/>
      <c r="V61" s="503"/>
      <c r="W61" s="503"/>
      <c r="X61" s="503"/>
      <c r="Y61" s="504"/>
      <c r="Z61" s="504"/>
      <c r="AA61" s="504"/>
      <c r="AB61" s="504"/>
      <c r="AC61" s="504"/>
      <c r="AF61" s="378"/>
      <c r="AG61" s="378"/>
      <c r="AH61" s="378"/>
      <c r="AI61" s="378"/>
      <c r="AL61" s="505"/>
      <c r="AM61" s="505"/>
      <c r="AN61" s="505"/>
      <c r="AO61" s="505"/>
      <c r="AQ61" s="370"/>
      <c r="AT61" s="370"/>
      <c r="AV61" s="134"/>
      <c r="AW61" s="370"/>
      <c r="AX61" s="370"/>
      <c r="AY61" s="370"/>
      <c r="AZ61" s="370"/>
      <c r="BA61" s="507"/>
      <c r="BB61" s="505"/>
      <c r="BC61" s="505"/>
      <c r="BD61" s="370"/>
      <c r="BE61" s="370"/>
      <c r="BF61" s="370"/>
      <c r="BG61" s="370"/>
      <c r="BH61" s="370"/>
      <c r="BI61" s="370"/>
      <c r="BJ61" s="370"/>
      <c r="BK61" s="370"/>
      <c r="BL61" s="370"/>
      <c r="BM61" s="370"/>
      <c r="BO61" s="370"/>
      <c r="BP61" s="370"/>
      <c r="BQ61" s="370"/>
      <c r="BR61" s="370"/>
      <c r="BS61" s="370"/>
      <c r="BV61" s="508"/>
      <c r="BW61" s="369"/>
      <c r="BX61" s="370"/>
      <c r="BY61" s="370"/>
      <c r="BZ61" s="370"/>
      <c r="CA61" s="370"/>
      <c r="CB61" s="370"/>
      <c r="CC61" s="505"/>
      <c r="CD61" s="505"/>
      <c r="CE61" s="505"/>
      <c r="CF61" s="505"/>
    </row>
    <row r="62" customFormat="false" ht="12.75" hidden="false" customHeight="false" outlineLevel="0" collapsed="false">
      <c r="A62" s="500"/>
      <c r="B62" s="500"/>
      <c r="K62" s="363"/>
      <c r="L62" s="501"/>
      <c r="N62" s="502"/>
      <c r="O62" s="502"/>
      <c r="P62" s="371"/>
      <c r="Q62" s="501"/>
      <c r="R62" s="501"/>
      <c r="U62" s="501"/>
      <c r="V62" s="503"/>
      <c r="W62" s="503"/>
      <c r="X62" s="503"/>
      <c r="Y62" s="504"/>
      <c r="Z62" s="504"/>
      <c r="AA62" s="504"/>
      <c r="AB62" s="504"/>
      <c r="AC62" s="504"/>
      <c r="AF62" s="378"/>
      <c r="AG62" s="378"/>
      <c r="AH62" s="378"/>
      <c r="AI62" s="378"/>
      <c r="AL62" s="505"/>
      <c r="AM62" s="505"/>
      <c r="AN62" s="505"/>
      <c r="AO62" s="505"/>
      <c r="AQ62" s="370"/>
      <c r="AT62" s="370"/>
      <c r="AV62" s="134"/>
      <c r="AW62" s="370"/>
      <c r="AX62" s="370"/>
      <c r="AY62" s="370"/>
      <c r="AZ62" s="370"/>
      <c r="BA62" s="507"/>
      <c r="BB62" s="505"/>
      <c r="BC62" s="505"/>
      <c r="BD62" s="370"/>
      <c r="BE62" s="370"/>
      <c r="BF62" s="370"/>
      <c r="BG62" s="370"/>
      <c r="BH62" s="370"/>
      <c r="BI62" s="370"/>
      <c r="BJ62" s="370"/>
      <c r="BK62" s="370"/>
      <c r="BL62" s="370"/>
      <c r="BM62" s="370"/>
      <c r="BO62" s="370"/>
      <c r="BP62" s="370"/>
      <c r="BQ62" s="370"/>
      <c r="BR62" s="370"/>
      <c r="BS62" s="370"/>
      <c r="BV62" s="508"/>
      <c r="BW62" s="369"/>
      <c r="BX62" s="370"/>
      <c r="BY62" s="370"/>
      <c r="BZ62" s="370"/>
      <c r="CA62" s="370"/>
      <c r="CB62" s="370"/>
      <c r="CC62" s="505"/>
      <c r="CD62" s="505"/>
      <c r="CE62" s="505"/>
      <c r="CF62" s="505"/>
    </row>
    <row r="63" customFormat="false" ht="12.75" hidden="false" customHeight="false" outlineLevel="0" collapsed="false">
      <c r="A63" s="500"/>
      <c r="B63" s="500"/>
      <c r="K63" s="363"/>
      <c r="L63" s="501"/>
      <c r="N63" s="502"/>
      <c r="O63" s="502"/>
      <c r="P63" s="371"/>
      <c r="Q63" s="501"/>
      <c r="R63" s="501"/>
      <c r="U63" s="501"/>
      <c r="V63" s="503"/>
      <c r="W63" s="503"/>
      <c r="X63" s="503"/>
      <c r="Y63" s="504"/>
      <c r="Z63" s="504"/>
      <c r="AA63" s="504"/>
      <c r="AB63" s="504"/>
      <c r="AC63" s="504"/>
      <c r="AF63" s="378"/>
      <c r="AG63" s="378"/>
      <c r="AH63" s="378"/>
      <c r="AI63" s="378"/>
      <c r="AL63" s="505"/>
      <c r="AM63" s="505"/>
      <c r="AN63" s="505"/>
      <c r="AO63" s="505"/>
      <c r="AQ63" s="370"/>
      <c r="AT63" s="370"/>
      <c r="AV63" s="134"/>
      <c r="AW63" s="370"/>
      <c r="AX63" s="370"/>
      <c r="AY63" s="370"/>
      <c r="AZ63" s="370"/>
      <c r="BA63" s="507"/>
      <c r="BB63" s="505"/>
      <c r="BC63" s="505"/>
      <c r="BD63" s="370"/>
      <c r="BE63" s="370"/>
      <c r="BF63" s="370"/>
      <c r="BG63" s="370"/>
      <c r="BH63" s="370"/>
      <c r="BI63" s="370"/>
      <c r="BJ63" s="370"/>
      <c r="BK63" s="370"/>
      <c r="BL63" s="370"/>
      <c r="BM63" s="370"/>
      <c r="BO63" s="370"/>
      <c r="BP63" s="370"/>
      <c r="BQ63" s="370"/>
      <c r="BR63" s="370"/>
      <c r="BS63" s="370"/>
      <c r="BV63" s="508"/>
      <c r="BW63" s="369"/>
      <c r="BX63" s="370"/>
      <c r="BY63" s="370"/>
      <c r="BZ63" s="370"/>
      <c r="CA63" s="370"/>
      <c r="CB63" s="370"/>
      <c r="CC63" s="505"/>
      <c r="CD63" s="505"/>
      <c r="CE63" s="505"/>
      <c r="CF63" s="505"/>
    </row>
    <row r="64" customFormat="false" ht="12.75" hidden="false" customHeight="false" outlineLevel="0" collapsed="false">
      <c r="A64" s="500"/>
      <c r="B64" s="500"/>
      <c r="K64" s="363"/>
      <c r="L64" s="501"/>
      <c r="N64" s="502"/>
      <c r="O64" s="502"/>
      <c r="P64" s="371"/>
      <c r="Q64" s="501"/>
      <c r="R64" s="501"/>
      <c r="U64" s="501"/>
      <c r="V64" s="503"/>
      <c r="W64" s="503"/>
      <c r="X64" s="503"/>
      <c r="Y64" s="504"/>
      <c r="Z64" s="504"/>
      <c r="AA64" s="504"/>
      <c r="AB64" s="504"/>
      <c r="AC64" s="504"/>
      <c r="AF64" s="378"/>
      <c r="AG64" s="378"/>
      <c r="AH64" s="378"/>
      <c r="AI64" s="378"/>
      <c r="AL64" s="505"/>
      <c r="AM64" s="505"/>
      <c r="AN64" s="505"/>
      <c r="AO64" s="505"/>
      <c r="AQ64" s="370"/>
      <c r="AT64" s="370"/>
      <c r="AV64" s="134"/>
      <c r="AW64" s="370"/>
      <c r="AX64" s="370"/>
      <c r="AY64" s="370"/>
      <c r="AZ64" s="370"/>
      <c r="BA64" s="507"/>
      <c r="BB64" s="505"/>
      <c r="BC64" s="505"/>
      <c r="BD64" s="370"/>
      <c r="BE64" s="370"/>
      <c r="BF64" s="370"/>
      <c r="BG64" s="370"/>
      <c r="BH64" s="370"/>
      <c r="BI64" s="370"/>
      <c r="BJ64" s="370"/>
      <c r="BK64" s="370"/>
      <c r="BL64" s="370"/>
      <c r="BM64" s="370"/>
      <c r="BO64" s="370"/>
      <c r="BP64" s="370"/>
      <c r="BQ64" s="370"/>
      <c r="BR64" s="370"/>
      <c r="BS64" s="370"/>
      <c r="BV64" s="508"/>
      <c r="BW64" s="369"/>
      <c r="BX64" s="370"/>
      <c r="BY64" s="370"/>
      <c r="BZ64" s="370"/>
      <c r="CA64" s="370"/>
      <c r="CB64" s="370"/>
      <c r="CC64" s="505"/>
      <c r="CD64" s="505"/>
      <c r="CE64" s="505"/>
      <c r="CF64" s="505"/>
    </row>
    <row r="65" customFormat="false" ht="12.75" hidden="false" customHeight="false" outlineLevel="0" collapsed="false">
      <c r="A65" s="500"/>
      <c r="B65" s="500"/>
      <c r="K65" s="363"/>
      <c r="L65" s="501"/>
      <c r="N65" s="502"/>
      <c r="O65" s="502"/>
      <c r="P65" s="371"/>
      <c r="Q65" s="501"/>
      <c r="R65" s="501"/>
      <c r="U65" s="501"/>
      <c r="V65" s="503"/>
      <c r="W65" s="503"/>
      <c r="X65" s="503"/>
      <c r="Y65" s="504"/>
      <c r="Z65" s="504"/>
      <c r="AA65" s="504"/>
      <c r="AB65" s="504"/>
      <c r="AC65" s="504"/>
      <c r="AF65" s="378"/>
      <c r="AG65" s="378"/>
      <c r="AH65" s="378"/>
      <c r="AI65" s="378"/>
      <c r="AL65" s="505"/>
      <c r="AM65" s="505"/>
      <c r="AN65" s="505"/>
      <c r="AO65" s="505"/>
      <c r="AQ65" s="370"/>
      <c r="AT65" s="370"/>
      <c r="AV65" s="134"/>
      <c r="AW65" s="370"/>
      <c r="AX65" s="370"/>
      <c r="AY65" s="370"/>
      <c r="AZ65" s="370"/>
      <c r="BA65" s="507"/>
      <c r="BB65" s="505"/>
      <c r="BC65" s="505"/>
      <c r="BD65" s="370"/>
      <c r="BE65" s="370"/>
      <c r="BF65" s="370"/>
      <c r="BG65" s="370"/>
      <c r="BH65" s="370"/>
      <c r="BI65" s="370"/>
      <c r="BJ65" s="370"/>
      <c r="BK65" s="370"/>
      <c r="BL65" s="370"/>
      <c r="BM65" s="370"/>
      <c r="BO65" s="370"/>
      <c r="BP65" s="370"/>
      <c r="BQ65" s="370"/>
      <c r="BR65" s="370"/>
      <c r="BS65" s="370"/>
      <c r="BV65" s="508"/>
      <c r="BW65" s="369"/>
      <c r="BX65" s="370"/>
      <c r="BY65" s="370"/>
      <c r="BZ65" s="370"/>
      <c r="CA65" s="370"/>
      <c r="CB65" s="370"/>
      <c r="CC65" s="505"/>
      <c r="CD65" s="505"/>
      <c r="CE65" s="505"/>
      <c r="CF65" s="505"/>
    </row>
    <row r="66" customFormat="false" ht="12.75" hidden="false" customHeight="false" outlineLevel="0" collapsed="false">
      <c r="A66" s="500"/>
      <c r="B66" s="500"/>
      <c r="K66" s="363"/>
      <c r="L66" s="501"/>
      <c r="N66" s="502"/>
      <c r="O66" s="502"/>
      <c r="P66" s="371"/>
      <c r="Q66" s="501"/>
      <c r="R66" s="501"/>
      <c r="U66" s="501"/>
      <c r="V66" s="503"/>
      <c r="W66" s="503"/>
      <c r="X66" s="503"/>
      <c r="Y66" s="504"/>
      <c r="Z66" s="504"/>
      <c r="AA66" s="504"/>
      <c r="AB66" s="504"/>
      <c r="AC66" s="504"/>
      <c r="AF66" s="378"/>
      <c r="AG66" s="378"/>
      <c r="AH66" s="378"/>
      <c r="AI66" s="378"/>
      <c r="AL66" s="505"/>
      <c r="AM66" s="505"/>
      <c r="AN66" s="505"/>
      <c r="AO66" s="505"/>
      <c r="AQ66" s="370"/>
      <c r="AT66" s="370"/>
      <c r="AV66" s="134"/>
      <c r="AW66" s="370"/>
      <c r="AX66" s="370"/>
      <c r="AY66" s="370"/>
      <c r="AZ66" s="370"/>
      <c r="BA66" s="507"/>
      <c r="BB66" s="505"/>
      <c r="BC66" s="505"/>
      <c r="BD66" s="370"/>
      <c r="BE66" s="370"/>
      <c r="BF66" s="370"/>
      <c r="BG66" s="370"/>
      <c r="BH66" s="370"/>
      <c r="BI66" s="370"/>
      <c r="BJ66" s="370"/>
      <c r="BK66" s="370"/>
      <c r="BL66" s="370"/>
      <c r="BM66" s="370"/>
      <c r="BO66" s="370"/>
      <c r="BP66" s="370"/>
      <c r="BQ66" s="370"/>
      <c r="BR66" s="370"/>
      <c r="BS66" s="370"/>
      <c r="BV66" s="508"/>
      <c r="BW66" s="369"/>
      <c r="BX66" s="370"/>
      <c r="BY66" s="370"/>
      <c r="BZ66" s="370"/>
      <c r="CA66" s="370"/>
      <c r="CB66" s="370"/>
      <c r="CC66" s="505"/>
      <c r="CD66" s="505"/>
      <c r="CE66" s="505"/>
      <c r="CF66" s="505"/>
    </row>
    <row r="67" customFormat="false" ht="12.75" hidden="false" customHeight="false" outlineLevel="0" collapsed="false">
      <c r="A67" s="500"/>
      <c r="B67" s="500"/>
      <c r="K67" s="363"/>
      <c r="L67" s="501"/>
      <c r="N67" s="502"/>
      <c r="O67" s="502"/>
      <c r="P67" s="371"/>
      <c r="Q67" s="501"/>
      <c r="R67" s="501"/>
      <c r="U67" s="501"/>
      <c r="V67" s="503"/>
      <c r="W67" s="503"/>
      <c r="X67" s="503"/>
      <c r="Y67" s="504"/>
      <c r="Z67" s="504"/>
      <c r="AA67" s="504"/>
      <c r="AB67" s="504"/>
      <c r="AC67" s="504"/>
      <c r="AF67" s="378"/>
      <c r="AG67" s="378"/>
      <c r="AH67" s="378"/>
      <c r="AI67" s="378"/>
      <c r="AL67" s="505"/>
      <c r="AM67" s="505"/>
      <c r="AN67" s="505"/>
      <c r="AO67" s="505"/>
      <c r="AQ67" s="370"/>
      <c r="AT67" s="370"/>
      <c r="AV67" s="134"/>
      <c r="AW67" s="370"/>
      <c r="AX67" s="370"/>
      <c r="AY67" s="370"/>
      <c r="AZ67" s="370"/>
      <c r="BA67" s="507"/>
      <c r="BB67" s="505"/>
      <c r="BC67" s="505"/>
      <c r="BD67" s="370"/>
      <c r="BE67" s="370"/>
      <c r="BF67" s="370"/>
      <c r="BG67" s="370"/>
      <c r="BH67" s="370"/>
      <c r="BI67" s="370"/>
      <c r="BJ67" s="370"/>
      <c r="BK67" s="370"/>
      <c r="BL67" s="370"/>
      <c r="BM67" s="370"/>
      <c r="BO67" s="370"/>
      <c r="BP67" s="370"/>
      <c r="BQ67" s="370"/>
      <c r="BR67" s="370"/>
      <c r="BS67" s="370"/>
      <c r="BV67" s="508"/>
      <c r="BW67" s="369"/>
      <c r="BX67" s="370"/>
      <c r="BY67" s="370"/>
      <c r="BZ67" s="370"/>
      <c r="CA67" s="370"/>
      <c r="CB67" s="370"/>
      <c r="CC67" s="505"/>
      <c r="CD67" s="505"/>
      <c r="CE67" s="505"/>
      <c r="CF67" s="505"/>
    </row>
    <row r="68" customFormat="false" ht="12.75" hidden="false" customHeight="false" outlineLevel="0" collapsed="false">
      <c r="A68" s="500"/>
      <c r="B68" s="500"/>
      <c r="K68" s="363"/>
      <c r="L68" s="501"/>
      <c r="N68" s="502"/>
      <c r="O68" s="502"/>
      <c r="P68" s="371"/>
      <c r="Q68" s="501"/>
      <c r="R68" s="501"/>
      <c r="U68" s="501"/>
      <c r="V68" s="503"/>
      <c r="W68" s="503"/>
      <c r="X68" s="503"/>
      <c r="Y68" s="504"/>
      <c r="Z68" s="504"/>
      <c r="AA68" s="504"/>
      <c r="AB68" s="504"/>
      <c r="AC68" s="504"/>
      <c r="AF68" s="378"/>
      <c r="AG68" s="378"/>
      <c r="AH68" s="378"/>
      <c r="AI68" s="378"/>
      <c r="AL68" s="505"/>
      <c r="AM68" s="505"/>
      <c r="AN68" s="505"/>
      <c r="AO68" s="505"/>
      <c r="AQ68" s="370"/>
      <c r="AT68" s="370"/>
      <c r="AV68" s="134"/>
      <c r="AW68" s="370"/>
      <c r="AX68" s="370"/>
      <c r="AY68" s="370"/>
      <c r="AZ68" s="370"/>
      <c r="BA68" s="507"/>
      <c r="BB68" s="505"/>
      <c r="BC68" s="505"/>
      <c r="BD68" s="370"/>
      <c r="BE68" s="370"/>
      <c r="BF68" s="370"/>
      <c r="BG68" s="370"/>
      <c r="BH68" s="370"/>
      <c r="BI68" s="370"/>
      <c r="BJ68" s="370"/>
      <c r="BK68" s="370"/>
      <c r="BL68" s="370"/>
      <c r="BM68" s="370"/>
      <c r="BO68" s="370"/>
      <c r="BP68" s="370"/>
      <c r="BQ68" s="370"/>
      <c r="BR68" s="370"/>
      <c r="BS68" s="370"/>
      <c r="BV68" s="508"/>
      <c r="BW68" s="369"/>
      <c r="BX68" s="370"/>
      <c r="BY68" s="370"/>
      <c r="BZ68" s="370"/>
      <c r="CA68" s="370"/>
      <c r="CB68" s="370"/>
      <c r="CC68" s="505"/>
      <c r="CD68" s="505"/>
      <c r="CE68" s="505"/>
      <c r="CF68" s="505"/>
    </row>
    <row r="69" customFormat="false" ht="12.75" hidden="false" customHeight="false" outlineLevel="0" collapsed="false">
      <c r="A69" s="500"/>
      <c r="B69" s="500"/>
      <c r="K69" s="363"/>
      <c r="L69" s="501"/>
      <c r="N69" s="502"/>
      <c r="O69" s="502"/>
      <c r="P69" s="371"/>
      <c r="Q69" s="501"/>
      <c r="R69" s="501"/>
      <c r="U69" s="501"/>
      <c r="V69" s="503"/>
      <c r="W69" s="503"/>
      <c r="X69" s="503"/>
      <c r="Y69" s="504"/>
      <c r="Z69" s="504"/>
      <c r="AA69" s="504"/>
      <c r="AB69" s="504"/>
      <c r="AC69" s="504"/>
      <c r="AF69" s="378"/>
      <c r="AG69" s="378"/>
      <c r="AH69" s="378"/>
      <c r="AI69" s="378"/>
      <c r="AL69" s="505"/>
      <c r="AM69" s="505"/>
      <c r="AN69" s="505"/>
      <c r="AO69" s="505"/>
      <c r="AQ69" s="370"/>
      <c r="AT69" s="370"/>
      <c r="AV69" s="134"/>
      <c r="AW69" s="370"/>
      <c r="AX69" s="370"/>
      <c r="AY69" s="370"/>
      <c r="AZ69" s="370"/>
      <c r="BA69" s="507"/>
      <c r="BB69" s="505"/>
      <c r="BC69" s="505"/>
      <c r="BD69" s="370"/>
      <c r="BE69" s="370"/>
      <c r="BF69" s="370"/>
      <c r="BG69" s="370"/>
      <c r="BH69" s="370"/>
      <c r="BI69" s="370"/>
      <c r="BJ69" s="370"/>
      <c r="BK69" s="370"/>
      <c r="BL69" s="370"/>
      <c r="BM69" s="370"/>
      <c r="BO69" s="370"/>
      <c r="BP69" s="370"/>
      <c r="BQ69" s="370"/>
      <c r="BR69" s="370"/>
      <c r="BS69" s="370"/>
      <c r="BV69" s="508"/>
      <c r="BW69" s="369"/>
      <c r="BX69" s="370"/>
      <c r="BY69" s="370"/>
      <c r="BZ69" s="370"/>
      <c r="CA69" s="370"/>
      <c r="CB69" s="370"/>
      <c r="CC69" s="505"/>
      <c r="CD69" s="505"/>
      <c r="CE69" s="505"/>
      <c r="CF69" s="505"/>
    </row>
    <row r="70" customFormat="false" ht="12.75" hidden="false" customHeight="false" outlineLevel="0" collapsed="false">
      <c r="A70" s="500"/>
      <c r="B70" s="500"/>
      <c r="K70" s="363"/>
      <c r="L70" s="501"/>
      <c r="N70" s="502"/>
      <c r="O70" s="502"/>
      <c r="P70" s="371"/>
      <c r="Q70" s="501"/>
      <c r="R70" s="501"/>
      <c r="U70" s="501"/>
      <c r="V70" s="503"/>
      <c r="W70" s="503"/>
      <c r="X70" s="503"/>
      <c r="Y70" s="504"/>
      <c r="Z70" s="504"/>
      <c r="AA70" s="504"/>
      <c r="AB70" s="504"/>
      <c r="AC70" s="504"/>
      <c r="AF70" s="378"/>
      <c r="AG70" s="378"/>
      <c r="AH70" s="378"/>
      <c r="AI70" s="378"/>
      <c r="AL70" s="505"/>
      <c r="AM70" s="505"/>
      <c r="AN70" s="505"/>
      <c r="AO70" s="505"/>
      <c r="AQ70" s="370"/>
      <c r="AT70" s="370"/>
      <c r="AV70" s="134"/>
      <c r="AW70" s="370"/>
      <c r="AX70" s="370"/>
      <c r="AY70" s="370"/>
      <c r="AZ70" s="370"/>
      <c r="BA70" s="507"/>
      <c r="BB70" s="505"/>
      <c r="BC70" s="505"/>
      <c r="BD70" s="370"/>
      <c r="BE70" s="370"/>
      <c r="BF70" s="370"/>
      <c r="BG70" s="370"/>
      <c r="BH70" s="370"/>
      <c r="BI70" s="370"/>
      <c r="BJ70" s="370"/>
      <c r="BK70" s="370"/>
      <c r="BL70" s="370"/>
      <c r="BM70" s="370"/>
      <c r="BO70" s="370"/>
      <c r="BP70" s="370"/>
      <c r="BQ70" s="370"/>
      <c r="BR70" s="370"/>
      <c r="BS70" s="370"/>
      <c r="BV70" s="508"/>
      <c r="BW70" s="369"/>
      <c r="BX70" s="370"/>
      <c r="BY70" s="370"/>
      <c r="BZ70" s="370"/>
      <c r="CA70" s="370"/>
      <c r="CB70" s="370"/>
      <c r="CC70" s="505"/>
      <c r="CD70" s="505"/>
      <c r="CE70" s="505"/>
      <c r="CF70" s="505"/>
    </row>
    <row r="71" customFormat="false" ht="12.75" hidden="false" customHeight="false" outlineLevel="0" collapsed="false">
      <c r="A71" s="500"/>
      <c r="B71" s="500"/>
      <c r="K71" s="363"/>
      <c r="L71" s="501"/>
      <c r="N71" s="502"/>
      <c r="O71" s="502"/>
      <c r="P71" s="371"/>
      <c r="Q71" s="501"/>
      <c r="R71" s="501"/>
      <c r="U71" s="501"/>
      <c r="V71" s="503"/>
      <c r="W71" s="503"/>
      <c r="X71" s="503"/>
      <c r="Y71" s="504"/>
      <c r="Z71" s="504"/>
      <c r="AA71" s="504"/>
      <c r="AB71" s="504"/>
      <c r="AC71" s="504"/>
      <c r="AF71" s="378"/>
      <c r="AG71" s="378"/>
      <c r="AH71" s="378"/>
      <c r="AI71" s="378"/>
      <c r="AL71" s="505"/>
      <c r="AM71" s="505"/>
      <c r="AN71" s="505"/>
      <c r="AO71" s="505"/>
      <c r="AQ71" s="370"/>
      <c r="AT71" s="370"/>
      <c r="AV71" s="134"/>
      <c r="AW71" s="370"/>
      <c r="AX71" s="370"/>
      <c r="AY71" s="370"/>
      <c r="AZ71" s="370"/>
      <c r="BA71" s="507"/>
      <c r="BB71" s="505"/>
      <c r="BC71" s="505"/>
      <c r="BD71" s="370"/>
      <c r="BE71" s="370"/>
      <c r="BF71" s="370"/>
      <c r="BG71" s="370"/>
      <c r="BH71" s="370"/>
      <c r="BI71" s="370"/>
      <c r="BJ71" s="370"/>
      <c r="BK71" s="370"/>
      <c r="BL71" s="370"/>
      <c r="BM71" s="370"/>
      <c r="BO71" s="370"/>
      <c r="BP71" s="370"/>
      <c r="BQ71" s="370"/>
      <c r="BR71" s="370"/>
      <c r="BS71" s="370"/>
      <c r="BV71" s="508"/>
      <c r="BW71" s="369"/>
      <c r="BX71" s="370"/>
      <c r="BY71" s="370"/>
      <c r="BZ71" s="370"/>
      <c r="CA71" s="370"/>
      <c r="CB71" s="370"/>
      <c r="CC71" s="505"/>
      <c r="CD71" s="505"/>
      <c r="CE71" s="505"/>
      <c r="CF71" s="505"/>
    </row>
    <row r="72" customFormat="false" ht="12.75" hidden="false" customHeight="false" outlineLevel="0" collapsed="false">
      <c r="A72" s="500"/>
      <c r="B72" s="500"/>
      <c r="K72" s="363"/>
      <c r="L72" s="501"/>
      <c r="N72" s="502"/>
      <c r="O72" s="502"/>
      <c r="P72" s="371"/>
      <c r="Q72" s="501"/>
      <c r="R72" s="501"/>
      <c r="U72" s="501"/>
      <c r="V72" s="503"/>
      <c r="W72" s="503"/>
      <c r="X72" s="503"/>
      <c r="Y72" s="504"/>
      <c r="Z72" s="504"/>
      <c r="AA72" s="504"/>
      <c r="AB72" s="504"/>
      <c r="AC72" s="504"/>
      <c r="AF72" s="378"/>
      <c r="AG72" s="378"/>
      <c r="AH72" s="378"/>
      <c r="AI72" s="378"/>
      <c r="AL72" s="505"/>
      <c r="AM72" s="505"/>
      <c r="AN72" s="505"/>
      <c r="AO72" s="505"/>
      <c r="AQ72" s="370"/>
      <c r="AT72" s="370"/>
      <c r="AV72" s="134"/>
      <c r="AW72" s="370"/>
      <c r="AX72" s="370"/>
      <c r="AY72" s="370"/>
      <c r="AZ72" s="370"/>
      <c r="BA72" s="507"/>
      <c r="BB72" s="505"/>
      <c r="BC72" s="505"/>
      <c r="BD72" s="370"/>
      <c r="BE72" s="370"/>
      <c r="BF72" s="370"/>
      <c r="BG72" s="370"/>
      <c r="BH72" s="370"/>
      <c r="BI72" s="370"/>
      <c r="BJ72" s="370"/>
      <c r="BK72" s="370"/>
      <c r="BL72" s="370"/>
      <c r="BM72" s="370"/>
      <c r="BO72" s="370"/>
      <c r="BP72" s="370"/>
      <c r="BQ72" s="370"/>
      <c r="BR72" s="370"/>
      <c r="BS72" s="370"/>
      <c r="BV72" s="508"/>
      <c r="BW72" s="369"/>
      <c r="BX72" s="370"/>
      <c r="BY72" s="370"/>
      <c r="BZ72" s="370"/>
      <c r="CA72" s="370"/>
      <c r="CB72" s="370"/>
      <c r="CC72" s="505"/>
      <c r="CD72" s="505"/>
      <c r="CE72" s="505"/>
      <c r="CF72" s="505"/>
    </row>
    <row r="73" customFormat="false" ht="12.75" hidden="false" customHeight="false" outlineLevel="0" collapsed="false">
      <c r="A73" s="500"/>
      <c r="B73" s="500"/>
      <c r="K73" s="363"/>
      <c r="L73" s="501"/>
      <c r="N73" s="502"/>
      <c r="O73" s="502"/>
      <c r="P73" s="371"/>
      <c r="Q73" s="501"/>
      <c r="R73" s="501"/>
      <c r="U73" s="501"/>
      <c r="V73" s="503"/>
      <c r="W73" s="503"/>
      <c r="X73" s="503"/>
      <c r="Y73" s="504"/>
      <c r="Z73" s="504"/>
      <c r="AA73" s="504"/>
      <c r="AB73" s="504"/>
      <c r="AC73" s="504"/>
      <c r="AF73" s="378"/>
      <c r="AG73" s="378"/>
      <c r="AH73" s="378"/>
      <c r="AI73" s="378"/>
      <c r="AL73" s="505"/>
      <c r="AM73" s="505"/>
      <c r="AN73" s="505"/>
      <c r="AO73" s="505"/>
      <c r="AQ73" s="370"/>
      <c r="AT73" s="370"/>
      <c r="AV73" s="134"/>
      <c r="AW73" s="370"/>
      <c r="AX73" s="370"/>
      <c r="AY73" s="370"/>
      <c r="AZ73" s="370"/>
      <c r="BA73" s="507"/>
      <c r="BB73" s="505"/>
      <c r="BC73" s="505"/>
      <c r="BD73" s="370"/>
      <c r="BE73" s="370"/>
      <c r="BF73" s="370"/>
      <c r="BG73" s="370"/>
      <c r="BH73" s="370"/>
      <c r="BI73" s="370"/>
      <c r="BJ73" s="370"/>
      <c r="BK73" s="370"/>
      <c r="BL73" s="370"/>
      <c r="BM73" s="370"/>
      <c r="BO73" s="370"/>
      <c r="BP73" s="370"/>
      <c r="BQ73" s="370"/>
      <c r="BR73" s="370"/>
      <c r="BS73" s="370"/>
      <c r="BV73" s="508"/>
      <c r="BW73" s="369"/>
      <c r="BX73" s="370"/>
      <c r="BY73" s="370"/>
      <c r="BZ73" s="370"/>
      <c r="CA73" s="370"/>
      <c r="CB73" s="370"/>
      <c r="CC73" s="505"/>
      <c r="CD73" s="505"/>
      <c r="CE73" s="505"/>
      <c r="CF73" s="505"/>
    </row>
    <row r="74" customFormat="false" ht="12.75" hidden="false" customHeight="false" outlineLevel="0" collapsed="false">
      <c r="A74" s="500"/>
      <c r="B74" s="500"/>
      <c r="K74" s="363"/>
      <c r="L74" s="501"/>
      <c r="N74" s="502"/>
      <c r="O74" s="502"/>
      <c r="P74" s="371"/>
      <c r="Q74" s="501"/>
      <c r="R74" s="501"/>
      <c r="U74" s="501"/>
      <c r="V74" s="503"/>
      <c r="W74" s="503"/>
      <c r="X74" s="503"/>
      <c r="Y74" s="504"/>
      <c r="Z74" s="504"/>
      <c r="AA74" s="504"/>
      <c r="AB74" s="504"/>
      <c r="AC74" s="504"/>
      <c r="AF74" s="378"/>
      <c r="AG74" s="378"/>
      <c r="AH74" s="378"/>
      <c r="AI74" s="378"/>
      <c r="AL74" s="505"/>
      <c r="AM74" s="505"/>
      <c r="AN74" s="505"/>
      <c r="AO74" s="505"/>
      <c r="AQ74" s="370"/>
      <c r="AT74" s="370"/>
      <c r="AV74" s="134"/>
      <c r="AW74" s="370"/>
      <c r="AX74" s="370"/>
      <c r="AY74" s="370"/>
      <c r="AZ74" s="370"/>
      <c r="BA74" s="507"/>
      <c r="BB74" s="505"/>
      <c r="BC74" s="505"/>
      <c r="BD74" s="370"/>
      <c r="BE74" s="370"/>
      <c r="BF74" s="370"/>
      <c r="BG74" s="370"/>
      <c r="BH74" s="370"/>
      <c r="BI74" s="370"/>
      <c r="BJ74" s="370"/>
      <c r="BK74" s="370"/>
      <c r="BL74" s="370"/>
      <c r="BM74" s="370"/>
      <c r="BO74" s="370"/>
      <c r="BP74" s="370"/>
      <c r="BQ74" s="370"/>
      <c r="BR74" s="370"/>
      <c r="BS74" s="370"/>
      <c r="BV74" s="508"/>
      <c r="BW74" s="369"/>
      <c r="BX74" s="370"/>
      <c r="BY74" s="370"/>
      <c r="BZ74" s="370"/>
      <c r="CA74" s="370"/>
      <c r="CB74" s="370"/>
      <c r="CC74" s="505"/>
      <c r="CD74" s="505"/>
      <c r="CE74" s="505"/>
      <c r="CF74" s="505"/>
    </row>
    <row r="75" customFormat="false" ht="12.75" hidden="false" customHeight="false" outlineLevel="0" collapsed="false">
      <c r="A75" s="500"/>
      <c r="B75" s="500"/>
      <c r="K75" s="363"/>
      <c r="L75" s="501"/>
      <c r="N75" s="502"/>
      <c r="O75" s="502"/>
      <c r="P75" s="371"/>
      <c r="Q75" s="501"/>
      <c r="R75" s="501"/>
      <c r="U75" s="501"/>
      <c r="V75" s="503"/>
      <c r="W75" s="503"/>
      <c r="X75" s="503"/>
      <c r="Y75" s="504"/>
      <c r="Z75" s="504"/>
      <c r="AA75" s="504"/>
      <c r="AB75" s="504"/>
      <c r="AC75" s="504"/>
      <c r="AF75" s="378"/>
      <c r="AG75" s="378"/>
      <c r="AH75" s="378"/>
      <c r="AI75" s="378"/>
      <c r="AL75" s="505"/>
      <c r="AM75" s="505"/>
      <c r="AN75" s="505"/>
      <c r="AO75" s="505"/>
      <c r="AQ75" s="370"/>
      <c r="AT75" s="370"/>
      <c r="AV75" s="134"/>
      <c r="AW75" s="370"/>
      <c r="AX75" s="370"/>
      <c r="AY75" s="370"/>
      <c r="AZ75" s="370"/>
      <c r="BA75" s="507"/>
      <c r="BB75" s="505"/>
      <c r="BC75" s="505"/>
      <c r="BD75" s="370"/>
      <c r="BE75" s="370"/>
      <c r="BF75" s="370"/>
      <c r="BG75" s="370"/>
      <c r="BH75" s="370"/>
      <c r="BI75" s="370"/>
      <c r="BJ75" s="370"/>
      <c r="BK75" s="370"/>
      <c r="BL75" s="370"/>
      <c r="BM75" s="370"/>
      <c r="BO75" s="370"/>
      <c r="BP75" s="370"/>
      <c r="BQ75" s="370"/>
      <c r="BR75" s="370"/>
      <c r="BS75" s="370"/>
      <c r="BV75" s="508"/>
      <c r="BW75" s="369"/>
      <c r="BX75" s="370"/>
      <c r="BY75" s="370"/>
      <c r="BZ75" s="370"/>
      <c r="CA75" s="370"/>
      <c r="CB75" s="370"/>
      <c r="CC75" s="505"/>
      <c r="CD75" s="505"/>
      <c r="CE75" s="505"/>
      <c r="CF75" s="505"/>
    </row>
    <row r="76" customFormat="false" ht="12.75" hidden="false" customHeight="false" outlineLevel="0" collapsed="false">
      <c r="A76" s="500"/>
      <c r="B76" s="500"/>
      <c r="K76" s="363"/>
      <c r="L76" s="501"/>
      <c r="N76" s="502"/>
      <c r="O76" s="502"/>
      <c r="P76" s="371"/>
      <c r="Q76" s="501"/>
      <c r="R76" s="501"/>
      <c r="U76" s="501"/>
      <c r="V76" s="503"/>
      <c r="W76" s="503"/>
      <c r="X76" s="503"/>
      <c r="Y76" s="504"/>
      <c r="Z76" s="504"/>
      <c r="AA76" s="504"/>
      <c r="AB76" s="504"/>
      <c r="AC76" s="504"/>
      <c r="AF76" s="378"/>
      <c r="AG76" s="378"/>
      <c r="AH76" s="378"/>
      <c r="AI76" s="378"/>
      <c r="AL76" s="505"/>
      <c r="AM76" s="505"/>
      <c r="AN76" s="505"/>
      <c r="AO76" s="505"/>
      <c r="AQ76" s="370"/>
      <c r="AT76" s="370"/>
      <c r="AV76" s="134"/>
      <c r="AW76" s="370"/>
      <c r="AX76" s="370"/>
      <c r="AY76" s="370"/>
      <c r="AZ76" s="370"/>
      <c r="BA76" s="507"/>
      <c r="BB76" s="505"/>
      <c r="BC76" s="505"/>
      <c r="BD76" s="370"/>
      <c r="BE76" s="370"/>
      <c r="BF76" s="370"/>
      <c r="BG76" s="370"/>
      <c r="BH76" s="370"/>
      <c r="BI76" s="370"/>
      <c r="BJ76" s="370"/>
      <c r="BK76" s="370"/>
      <c r="BL76" s="370"/>
      <c r="BM76" s="370"/>
      <c r="BO76" s="370"/>
      <c r="BP76" s="370"/>
      <c r="BQ76" s="370"/>
      <c r="BR76" s="370"/>
      <c r="BS76" s="370"/>
      <c r="BV76" s="508"/>
      <c r="BW76" s="369"/>
      <c r="BX76" s="370"/>
      <c r="BY76" s="370"/>
      <c r="BZ76" s="370"/>
      <c r="CA76" s="370"/>
      <c r="CB76" s="370"/>
      <c r="CC76" s="505"/>
      <c r="CD76" s="505"/>
      <c r="CE76" s="505"/>
      <c r="CF76" s="505"/>
    </row>
    <row r="77" customFormat="false" ht="12.75" hidden="false" customHeight="false" outlineLevel="0" collapsed="false">
      <c r="A77" s="500"/>
      <c r="B77" s="500"/>
      <c r="K77" s="363"/>
      <c r="L77" s="501"/>
      <c r="N77" s="502"/>
      <c r="O77" s="502"/>
      <c r="P77" s="371"/>
      <c r="Q77" s="501"/>
      <c r="R77" s="501"/>
      <c r="U77" s="501"/>
      <c r="V77" s="503"/>
      <c r="W77" s="503"/>
      <c r="X77" s="503"/>
      <c r="Y77" s="504"/>
      <c r="Z77" s="504"/>
      <c r="AA77" s="504"/>
      <c r="AB77" s="504"/>
      <c r="AC77" s="504"/>
      <c r="AF77" s="378"/>
      <c r="AG77" s="378"/>
      <c r="AH77" s="378"/>
      <c r="AI77" s="378"/>
      <c r="AL77" s="505"/>
      <c r="AM77" s="505"/>
      <c r="AN77" s="505"/>
      <c r="AO77" s="505"/>
      <c r="AQ77" s="370"/>
      <c r="AT77" s="370"/>
      <c r="AV77" s="134"/>
      <c r="AW77" s="370"/>
      <c r="AX77" s="370"/>
      <c r="AY77" s="370"/>
      <c r="AZ77" s="370"/>
      <c r="BA77" s="507"/>
      <c r="BB77" s="505"/>
      <c r="BC77" s="505"/>
      <c r="BD77" s="370"/>
      <c r="BE77" s="370"/>
      <c r="BF77" s="370"/>
      <c r="BG77" s="370"/>
      <c r="BH77" s="370"/>
      <c r="BI77" s="370"/>
      <c r="BJ77" s="370"/>
      <c r="BK77" s="370"/>
      <c r="BL77" s="370"/>
      <c r="BM77" s="370"/>
      <c r="BO77" s="370"/>
      <c r="BP77" s="370"/>
      <c r="BQ77" s="370"/>
      <c r="BR77" s="370"/>
      <c r="BS77" s="370"/>
      <c r="BV77" s="508"/>
      <c r="BW77" s="369"/>
      <c r="BX77" s="370"/>
      <c r="BY77" s="370"/>
      <c r="BZ77" s="370"/>
      <c r="CA77" s="370"/>
      <c r="CB77" s="370"/>
      <c r="CC77" s="505"/>
      <c r="CD77" s="505"/>
      <c r="CE77" s="505"/>
      <c r="CF77" s="505"/>
    </row>
    <row r="78" customFormat="false" ht="12.75" hidden="false" customHeight="false" outlineLevel="0" collapsed="false">
      <c r="A78" s="500"/>
      <c r="B78" s="500"/>
      <c r="K78" s="363"/>
      <c r="L78" s="501"/>
      <c r="N78" s="502"/>
      <c r="O78" s="502"/>
      <c r="P78" s="371"/>
      <c r="Q78" s="501"/>
      <c r="R78" s="501"/>
      <c r="U78" s="501"/>
      <c r="V78" s="503"/>
      <c r="W78" s="503"/>
      <c r="X78" s="503"/>
      <c r="Y78" s="504"/>
      <c r="Z78" s="504"/>
      <c r="AA78" s="504"/>
      <c r="AB78" s="504"/>
      <c r="AC78" s="504"/>
      <c r="AF78" s="378"/>
      <c r="AG78" s="378"/>
      <c r="AH78" s="378"/>
      <c r="AI78" s="378"/>
      <c r="AL78" s="505"/>
      <c r="AM78" s="505"/>
      <c r="AN78" s="505"/>
      <c r="AO78" s="505"/>
      <c r="AQ78" s="370"/>
      <c r="AT78" s="370"/>
      <c r="AV78" s="134"/>
      <c r="AW78" s="370"/>
      <c r="AX78" s="370"/>
      <c r="AY78" s="370"/>
      <c r="AZ78" s="370"/>
      <c r="BA78" s="507"/>
      <c r="BB78" s="505"/>
      <c r="BC78" s="505"/>
      <c r="BD78" s="370"/>
      <c r="BE78" s="370"/>
      <c r="BF78" s="370"/>
      <c r="BG78" s="370"/>
      <c r="BH78" s="370"/>
      <c r="BI78" s="370"/>
      <c r="BJ78" s="370"/>
      <c r="BK78" s="370"/>
      <c r="BL78" s="370"/>
      <c r="BM78" s="370"/>
      <c r="BO78" s="370"/>
      <c r="BP78" s="370"/>
      <c r="BQ78" s="370"/>
      <c r="BR78" s="370"/>
      <c r="BS78" s="370"/>
      <c r="BV78" s="508"/>
      <c r="BW78" s="369"/>
      <c r="BX78" s="370"/>
      <c r="BY78" s="370"/>
      <c r="BZ78" s="370"/>
      <c r="CA78" s="370"/>
      <c r="CB78" s="370"/>
      <c r="CC78" s="505"/>
      <c r="CD78" s="505"/>
      <c r="CE78" s="505"/>
      <c r="CF78" s="505"/>
    </row>
    <row r="79" customFormat="false" ht="12.75" hidden="false" customHeight="false" outlineLevel="0" collapsed="false">
      <c r="A79" s="500"/>
      <c r="B79" s="500"/>
      <c r="K79" s="363"/>
      <c r="L79" s="501"/>
      <c r="N79" s="502"/>
      <c r="O79" s="502"/>
      <c r="P79" s="371"/>
      <c r="Q79" s="501"/>
      <c r="R79" s="501"/>
      <c r="U79" s="501"/>
      <c r="V79" s="503"/>
      <c r="W79" s="503"/>
      <c r="X79" s="503"/>
      <c r="Y79" s="504"/>
      <c r="Z79" s="504"/>
      <c r="AA79" s="504"/>
      <c r="AB79" s="504"/>
      <c r="AC79" s="504"/>
      <c r="AF79" s="378"/>
      <c r="AG79" s="378"/>
      <c r="AH79" s="378"/>
      <c r="AI79" s="378"/>
      <c r="AL79" s="505"/>
      <c r="AM79" s="505"/>
      <c r="AN79" s="505"/>
      <c r="AO79" s="505"/>
      <c r="AQ79" s="370"/>
      <c r="AT79" s="370"/>
      <c r="AV79" s="134"/>
      <c r="AW79" s="370"/>
      <c r="AX79" s="370"/>
      <c r="AY79" s="370"/>
      <c r="AZ79" s="370"/>
      <c r="BA79" s="507"/>
      <c r="BB79" s="505"/>
      <c r="BC79" s="505"/>
      <c r="BD79" s="370"/>
      <c r="BE79" s="370"/>
      <c r="BF79" s="370"/>
      <c r="BG79" s="370"/>
      <c r="BH79" s="370"/>
      <c r="BI79" s="370"/>
      <c r="BJ79" s="370"/>
      <c r="BK79" s="370"/>
      <c r="BL79" s="370"/>
      <c r="BM79" s="370"/>
      <c r="BO79" s="370"/>
      <c r="BP79" s="370"/>
      <c r="BQ79" s="370"/>
      <c r="BR79" s="370"/>
      <c r="BS79" s="370"/>
      <c r="BV79" s="508"/>
      <c r="BW79" s="369"/>
      <c r="BX79" s="370"/>
      <c r="BY79" s="370"/>
      <c r="BZ79" s="370"/>
      <c r="CA79" s="370"/>
      <c r="CB79" s="370"/>
      <c r="CC79" s="505"/>
      <c r="CD79" s="505"/>
      <c r="CE79" s="505"/>
      <c r="CF79" s="505"/>
    </row>
    <row r="80" customFormat="false" ht="12.75" hidden="false" customHeight="false" outlineLevel="0" collapsed="false">
      <c r="A80" s="500"/>
      <c r="B80" s="500"/>
      <c r="K80" s="363"/>
      <c r="L80" s="501"/>
      <c r="N80" s="502"/>
      <c r="O80" s="502"/>
      <c r="P80" s="371"/>
      <c r="Q80" s="501"/>
      <c r="R80" s="501"/>
      <c r="U80" s="501"/>
      <c r="V80" s="503"/>
      <c r="W80" s="503"/>
      <c r="X80" s="503"/>
      <c r="Y80" s="504"/>
      <c r="Z80" s="504"/>
      <c r="AA80" s="504"/>
      <c r="AB80" s="504"/>
      <c r="AC80" s="504"/>
      <c r="AF80" s="378"/>
      <c r="AG80" s="378"/>
      <c r="AH80" s="378"/>
      <c r="AI80" s="378"/>
      <c r="AL80" s="505"/>
      <c r="AM80" s="505"/>
      <c r="AN80" s="505"/>
      <c r="AO80" s="505"/>
      <c r="AQ80" s="370"/>
      <c r="AT80" s="370"/>
      <c r="AV80" s="134"/>
      <c r="AW80" s="370"/>
      <c r="AX80" s="370"/>
      <c r="AY80" s="370"/>
      <c r="AZ80" s="370"/>
      <c r="BA80" s="507"/>
      <c r="BB80" s="505"/>
      <c r="BC80" s="505"/>
      <c r="BD80" s="370"/>
      <c r="BE80" s="370"/>
      <c r="BF80" s="370"/>
      <c r="BG80" s="370"/>
      <c r="BH80" s="370"/>
      <c r="BI80" s="370"/>
      <c r="BJ80" s="370"/>
      <c r="BK80" s="370"/>
      <c r="BL80" s="370"/>
      <c r="BM80" s="370"/>
      <c r="BO80" s="370"/>
      <c r="BP80" s="370"/>
      <c r="BQ80" s="370"/>
      <c r="BR80" s="370"/>
      <c r="BS80" s="370"/>
      <c r="BV80" s="508"/>
      <c r="BW80" s="369"/>
      <c r="BX80" s="370"/>
      <c r="BY80" s="370"/>
      <c r="BZ80" s="370"/>
      <c r="CA80" s="370"/>
      <c r="CB80" s="370"/>
      <c r="CC80" s="505"/>
      <c r="CD80" s="505"/>
      <c r="CE80" s="505"/>
      <c r="CF80" s="505"/>
    </row>
    <row r="81" customFormat="false" ht="12.75" hidden="false" customHeight="false" outlineLevel="0" collapsed="false">
      <c r="A81" s="500"/>
      <c r="B81" s="500"/>
      <c r="K81" s="363"/>
      <c r="L81" s="501"/>
      <c r="N81" s="502"/>
      <c r="O81" s="502"/>
      <c r="P81" s="371"/>
      <c r="Q81" s="501"/>
      <c r="R81" s="501"/>
      <c r="U81" s="501"/>
      <c r="V81" s="503"/>
      <c r="W81" s="503"/>
      <c r="X81" s="503"/>
      <c r="Y81" s="504"/>
      <c r="Z81" s="504"/>
      <c r="AA81" s="504"/>
      <c r="AB81" s="504"/>
      <c r="AC81" s="504"/>
      <c r="AF81" s="378"/>
      <c r="AG81" s="378"/>
      <c r="AH81" s="378"/>
      <c r="AI81" s="378"/>
      <c r="AL81" s="505"/>
      <c r="AM81" s="505"/>
      <c r="AN81" s="505"/>
      <c r="AO81" s="505"/>
      <c r="AQ81" s="370"/>
      <c r="AT81" s="370"/>
      <c r="AV81" s="134"/>
      <c r="AW81" s="370"/>
      <c r="AX81" s="370"/>
      <c r="AY81" s="370"/>
      <c r="AZ81" s="370"/>
      <c r="BA81" s="507"/>
      <c r="BB81" s="505"/>
      <c r="BC81" s="505"/>
      <c r="BD81" s="370"/>
      <c r="BE81" s="370"/>
      <c r="BF81" s="370"/>
      <c r="BG81" s="370"/>
      <c r="BH81" s="370"/>
      <c r="BI81" s="370"/>
      <c r="BJ81" s="370"/>
      <c r="BK81" s="370"/>
      <c r="BL81" s="370"/>
      <c r="BM81" s="370"/>
      <c r="BO81" s="370"/>
      <c r="BP81" s="370"/>
      <c r="BQ81" s="370"/>
      <c r="BR81" s="370"/>
      <c r="BS81" s="370"/>
      <c r="BV81" s="508"/>
      <c r="BW81" s="369"/>
      <c r="BX81" s="370"/>
      <c r="BY81" s="370"/>
      <c r="BZ81" s="370"/>
      <c r="CA81" s="370"/>
      <c r="CB81" s="370"/>
      <c r="CC81" s="505"/>
      <c r="CD81" s="505"/>
      <c r="CE81" s="505"/>
      <c r="CF81" s="505"/>
    </row>
    <row r="82" customFormat="false" ht="12.75" hidden="false" customHeight="false" outlineLevel="0" collapsed="false">
      <c r="A82" s="500"/>
      <c r="B82" s="500"/>
      <c r="K82" s="363"/>
      <c r="L82" s="501"/>
      <c r="N82" s="502"/>
      <c r="O82" s="502"/>
      <c r="P82" s="371"/>
      <c r="Q82" s="501"/>
      <c r="R82" s="501"/>
      <c r="U82" s="501"/>
      <c r="V82" s="503"/>
      <c r="W82" s="503"/>
      <c r="X82" s="503"/>
      <c r="Y82" s="504"/>
      <c r="Z82" s="504"/>
      <c r="AA82" s="504"/>
      <c r="AB82" s="504"/>
      <c r="AC82" s="504"/>
      <c r="AF82" s="378"/>
      <c r="AG82" s="378"/>
      <c r="AH82" s="378"/>
      <c r="AI82" s="378"/>
      <c r="AL82" s="505"/>
      <c r="AM82" s="505"/>
      <c r="AN82" s="505"/>
      <c r="AO82" s="505"/>
      <c r="AQ82" s="370"/>
      <c r="AT82" s="370"/>
      <c r="AV82" s="134"/>
      <c r="AW82" s="370"/>
      <c r="AX82" s="370"/>
      <c r="AY82" s="370"/>
      <c r="AZ82" s="370"/>
      <c r="BA82" s="507"/>
      <c r="BB82" s="505"/>
      <c r="BC82" s="505"/>
      <c r="BD82" s="370"/>
      <c r="BE82" s="370"/>
      <c r="BF82" s="370"/>
      <c r="BG82" s="370"/>
      <c r="BH82" s="370"/>
      <c r="BI82" s="370"/>
      <c r="BJ82" s="370"/>
      <c r="BK82" s="370"/>
      <c r="BL82" s="370"/>
      <c r="BM82" s="370"/>
      <c r="BO82" s="370"/>
      <c r="BP82" s="370"/>
      <c r="BQ82" s="370"/>
      <c r="BR82" s="370"/>
      <c r="BS82" s="370"/>
      <c r="BV82" s="508"/>
      <c r="BW82" s="369"/>
      <c r="BX82" s="370"/>
      <c r="BY82" s="370"/>
      <c r="BZ82" s="370"/>
      <c r="CA82" s="370"/>
      <c r="CB82" s="370"/>
      <c r="CC82" s="505"/>
      <c r="CD82" s="505"/>
      <c r="CE82" s="505"/>
      <c r="CF82" s="505"/>
    </row>
    <row r="83" customFormat="false" ht="12.75" hidden="false" customHeight="false" outlineLevel="0" collapsed="false">
      <c r="A83" s="500"/>
      <c r="B83" s="500"/>
      <c r="K83" s="363"/>
      <c r="L83" s="501"/>
      <c r="N83" s="502"/>
      <c r="O83" s="502"/>
      <c r="P83" s="371"/>
      <c r="Q83" s="501"/>
      <c r="R83" s="501"/>
      <c r="U83" s="501"/>
      <c r="V83" s="503"/>
      <c r="W83" s="503"/>
      <c r="X83" s="503"/>
      <c r="Y83" s="504"/>
      <c r="Z83" s="504"/>
      <c r="AA83" s="504"/>
      <c r="AB83" s="504"/>
      <c r="AC83" s="504"/>
      <c r="AF83" s="378"/>
      <c r="AG83" s="378"/>
      <c r="AH83" s="378"/>
      <c r="AI83" s="378"/>
      <c r="AL83" s="505"/>
      <c r="AM83" s="505"/>
      <c r="AN83" s="505"/>
      <c r="AO83" s="505"/>
      <c r="AQ83" s="370"/>
      <c r="AT83" s="370"/>
      <c r="AV83" s="134"/>
      <c r="AW83" s="370"/>
      <c r="AX83" s="370"/>
      <c r="AY83" s="370"/>
      <c r="AZ83" s="370"/>
      <c r="BA83" s="507"/>
      <c r="BB83" s="505"/>
      <c r="BC83" s="505"/>
      <c r="BD83" s="370"/>
      <c r="BE83" s="370"/>
      <c r="BF83" s="370"/>
      <c r="BG83" s="370"/>
      <c r="BH83" s="370"/>
      <c r="BI83" s="370"/>
      <c r="BJ83" s="370"/>
      <c r="BK83" s="370"/>
      <c r="BL83" s="370"/>
      <c r="BM83" s="370"/>
      <c r="BO83" s="370"/>
      <c r="BP83" s="370"/>
      <c r="BQ83" s="370"/>
      <c r="BR83" s="370"/>
      <c r="BS83" s="370"/>
      <c r="BV83" s="508"/>
      <c r="BW83" s="369"/>
      <c r="BX83" s="370"/>
      <c r="BY83" s="370"/>
      <c r="BZ83" s="370"/>
      <c r="CA83" s="370"/>
      <c r="CB83" s="370"/>
      <c r="CC83" s="505"/>
      <c r="CD83" s="505"/>
      <c r="CE83" s="505"/>
      <c r="CF83" s="505"/>
    </row>
    <row r="84" customFormat="false" ht="12.75" hidden="false" customHeight="false" outlineLevel="0" collapsed="false">
      <c r="A84" s="500"/>
      <c r="B84" s="500"/>
      <c r="L84" s="501"/>
      <c r="P84" s="371"/>
      <c r="Q84" s="501"/>
      <c r="R84" s="371"/>
      <c r="U84" s="371"/>
      <c r="V84" s="371"/>
      <c r="W84" s="371"/>
      <c r="X84" s="371"/>
      <c r="AO84" s="369"/>
      <c r="AQ84" s="370"/>
      <c r="AU84" s="530"/>
      <c r="AV84" s="134"/>
      <c r="AW84" s="370"/>
    </row>
    <row r="85" customFormat="false" ht="12.75" hidden="false" customHeight="false" outlineLevel="0" collapsed="false">
      <c r="A85" s="500"/>
      <c r="B85" s="500"/>
      <c r="L85" s="501"/>
      <c r="P85" s="371"/>
      <c r="Q85" s="501"/>
      <c r="R85" s="371"/>
      <c r="U85" s="371"/>
      <c r="V85" s="371"/>
      <c r="W85" s="371"/>
      <c r="X85" s="371"/>
      <c r="AO85" s="369"/>
      <c r="AQ85" s="370"/>
      <c r="AU85" s="530"/>
      <c r="AV85" s="134"/>
      <c r="AW85" s="370"/>
    </row>
    <row r="86" customFormat="false" ht="12.75" hidden="false" customHeight="false" outlineLevel="0" collapsed="false">
      <c r="A86" s="500"/>
      <c r="B86" s="500"/>
      <c r="L86" s="501"/>
      <c r="P86" s="371"/>
      <c r="Q86" s="501"/>
      <c r="R86" s="371"/>
      <c r="U86" s="371"/>
      <c r="V86" s="371"/>
      <c r="W86" s="371"/>
      <c r="X86" s="371"/>
      <c r="AO86" s="369"/>
      <c r="AQ86" s="370"/>
      <c r="AU86" s="530"/>
      <c r="AV86" s="134"/>
      <c r="AW86" s="370"/>
    </row>
    <row r="87" customFormat="false" ht="12.75" hidden="false" customHeight="false" outlineLevel="0" collapsed="false">
      <c r="A87" s="500"/>
      <c r="B87" s="500"/>
      <c r="L87" s="501"/>
      <c r="P87" s="371"/>
      <c r="Q87" s="501"/>
      <c r="R87" s="371"/>
      <c r="U87" s="371"/>
      <c r="V87" s="371"/>
      <c r="W87" s="371"/>
      <c r="X87" s="371"/>
      <c r="AO87" s="369"/>
      <c r="AQ87" s="370"/>
      <c r="AU87" s="530"/>
      <c r="AV87" s="134"/>
      <c r="AW87" s="370"/>
    </row>
    <row r="88" customFormat="false" ht="12.75" hidden="false" customHeight="false" outlineLevel="0" collapsed="false">
      <c r="A88" s="500"/>
      <c r="B88" s="500"/>
      <c r="L88" s="501"/>
      <c r="P88" s="371"/>
      <c r="Q88" s="501"/>
      <c r="R88" s="371"/>
      <c r="U88" s="371"/>
      <c r="V88" s="371"/>
      <c r="W88" s="371"/>
      <c r="X88" s="371"/>
      <c r="AO88" s="369"/>
      <c r="AQ88" s="370"/>
      <c r="AU88" s="530"/>
      <c r="AV88" s="134"/>
      <c r="AW88" s="370"/>
    </row>
    <row r="89" customFormat="false" ht="12.75" hidden="false" customHeight="false" outlineLevel="0" collapsed="false">
      <c r="A89" s="500"/>
      <c r="B89" s="500"/>
      <c r="L89" s="501"/>
      <c r="P89" s="371"/>
      <c r="Q89" s="501"/>
      <c r="R89" s="371"/>
      <c r="U89" s="371"/>
      <c r="V89" s="371"/>
      <c r="W89" s="371"/>
      <c r="X89" s="371"/>
      <c r="AO89" s="369"/>
      <c r="AQ89" s="370"/>
      <c r="AU89" s="530"/>
      <c r="AV89" s="134"/>
      <c r="AW89" s="370"/>
    </row>
    <row r="90" customFormat="false" ht="12.75" hidden="false" customHeight="false" outlineLevel="0" collapsed="false">
      <c r="A90" s="500"/>
      <c r="B90" s="500"/>
      <c r="L90" s="501"/>
      <c r="P90" s="371"/>
      <c r="Q90" s="501"/>
      <c r="R90" s="371"/>
      <c r="U90" s="371"/>
      <c r="V90" s="371"/>
      <c r="W90" s="371"/>
      <c r="X90" s="371"/>
      <c r="AO90" s="369"/>
      <c r="AQ90" s="370"/>
      <c r="AU90" s="530"/>
      <c r="AV90" s="134"/>
      <c r="AW90" s="370"/>
    </row>
    <row r="91" customFormat="false" ht="12.75" hidden="false" customHeight="false" outlineLevel="0" collapsed="false">
      <c r="A91" s="500"/>
      <c r="B91" s="500"/>
      <c r="L91" s="501"/>
      <c r="P91" s="371"/>
      <c r="Q91" s="501"/>
      <c r="R91" s="371"/>
      <c r="U91" s="371"/>
      <c r="V91" s="371"/>
      <c r="W91" s="371"/>
      <c r="X91" s="371"/>
      <c r="AO91" s="369"/>
      <c r="AQ91" s="370"/>
      <c r="AU91" s="530"/>
      <c r="AV91" s="134"/>
      <c r="AW91" s="370"/>
    </row>
    <row r="92" customFormat="false" ht="12.75" hidden="false" customHeight="false" outlineLevel="0" collapsed="false">
      <c r="A92" s="500"/>
      <c r="B92" s="500"/>
      <c r="L92" s="501"/>
      <c r="P92" s="371"/>
      <c r="Q92" s="501"/>
      <c r="R92" s="371"/>
      <c r="U92" s="371"/>
      <c r="V92" s="371"/>
      <c r="W92" s="371"/>
      <c r="X92" s="371"/>
      <c r="AO92" s="369"/>
      <c r="AQ92" s="370"/>
      <c r="AU92" s="530"/>
      <c r="AV92" s="134"/>
      <c r="AW92" s="370"/>
    </row>
    <row r="93" customFormat="false" ht="12.75" hidden="false" customHeight="false" outlineLevel="0" collapsed="false">
      <c r="A93" s="500"/>
      <c r="B93" s="500"/>
      <c r="L93" s="501"/>
      <c r="P93" s="371"/>
      <c r="Q93" s="501"/>
      <c r="R93" s="371"/>
      <c r="U93" s="371"/>
      <c r="V93" s="371"/>
      <c r="W93" s="371"/>
      <c r="X93" s="371"/>
      <c r="AO93" s="369"/>
      <c r="AQ93" s="370"/>
      <c r="AU93" s="530"/>
      <c r="AV93" s="134"/>
      <c r="AW93" s="370"/>
    </row>
    <row r="94" customFormat="false" ht="12.75" hidden="false" customHeight="false" outlineLevel="0" collapsed="false">
      <c r="A94" s="500"/>
      <c r="B94" s="500"/>
      <c r="L94" s="501"/>
      <c r="P94" s="371"/>
      <c r="Q94" s="501"/>
      <c r="R94" s="371"/>
      <c r="U94" s="371"/>
      <c r="V94" s="371"/>
      <c r="W94" s="371"/>
      <c r="X94" s="371"/>
      <c r="AO94" s="369"/>
      <c r="AQ94" s="370"/>
      <c r="AU94" s="530"/>
      <c r="AV94" s="134"/>
      <c r="AW94" s="370"/>
    </row>
    <row r="95" customFormat="false" ht="12.75" hidden="false" customHeight="false" outlineLevel="0" collapsed="false">
      <c r="A95" s="500"/>
      <c r="B95" s="500"/>
      <c r="L95" s="501"/>
      <c r="P95" s="371"/>
      <c r="Q95" s="501"/>
      <c r="R95" s="371"/>
      <c r="U95" s="371"/>
      <c r="V95" s="371"/>
      <c r="W95" s="371"/>
      <c r="X95" s="371"/>
      <c r="AO95" s="369"/>
      <c r="AQ95" s="370"/>
      <c r="AU95" s="530"/>
      <c r="AV95" s="134"/>
      <c r="AW95" s="370"/>
    </row>
    <row r="96" customFormat="false" ht="12.75" hidden="false" customHeight="false" outlineLevel="0" collapsed="false">
      <c r="A96" s="500"/>
      <c r="B96" s="500"/>
      <c r="L96" s="501"/>
      <c r="P96" s="371"/>
      <c r="Q96" s="501"/>
      <c r="R96" s="371"/>
      <c r="U96" s="371"/>
      <c r="V96" s="371"/>
      <c r="W96" s="371"/>
      <c r="X96" s="371"/>
      <c r="AO96" s="369"/>
      <c r="AQ96" s="370"/>
      <c r="AU96" s="530"/>
      <c r="AV96" s="134"/>
      <c r="AW96" s="370"/>
    </row>
    <row r="97" customFormat="false" ht="12.75" hidden="false" customHeight="false" outlineLevel="0" collapsed="false">
      <c r="A97" s="500"/>
      <c r="B97" s="500"/>
      <c r="L97" s="501"/>
      <c r="P97" s="371"/>
      <c r="Q97" s="501"/>
      <c r="R97" s="371"/>
      <c r="U97" s="371"/>
      <c r="V97" s="371"/>
      <c r="W97" s="371"/>
      <c r="X97" s="371"/>
      <c r="AO97" s="369"/>
      <c r="AQ97" s="370"/>
      <c r="AU97" s="530"/>
      <c r="AV97" s="134"/>
      <c r="AW97" s="370"/>
    </row>
    <row r="98" customFormat="false" ht="12.75" hidden="false" customHeight="false" outlineLevel="0" collapsed="false">
      <c r="A98" s="500"/>
      <c r="B98" s="500"/>
      <c r="L98" s="501"/>
      <c r="P98" s="371"/>
      <c r="Q98" s="501"/>
      <c r="R98" s="371"/>
      <c r="U98" s="371"/>
      <c r="V98" s="371"/>
      <c r="W98" s="371"/>
      <c r="X98" s="371"/>
      <c r="AO98" s="369"/>
      <c r="AQ98" s="370"/>
      <c r="AU98" s="530"/>
      <c r="AV98" s="134"/>
      <c r="AW98" s="370"/>
    </row>
    <row r="99" customFormat="false" ht="12.75" hidden="false" customHeight="false" outlineLevel="0" collapsed="false">
      <c r="A99" s="500"/>
      <c r="B99" s="500"/>
      <c r="L99" s="501"/>
      <c r="P99" s="371"/>
      <c r="Q99" s="501"/>
      <c r="R99" s="371"/>
      <c r="U99" s="371"/>
      <c r="V99" s="371"/>
      <c r="W99" s="371"/>
      <c r="X99" s="371"/>
      <c r="AO99" s="369"/>
      <c r="AQ99" s="370"/>
      <c r="AU99" s="530"/>
      <c r="AV99" s="134"/>
      <c r="AW99" s="370"/>
    </row>
    <row r="100" customFormat="false" ht="12.75" hidden="false" customHeight="false" outlineLevel="0" collapsed="false">
      <c r="A100" s="500"/>
      <c r="B100" s="500"/>
      <c r="L100" s="501"/>
      <c r="P100" s="371"/>
      <c r="Q100" s="501"/>
      <c r="R100" s="371"/>
      <c r="U100" s="371"/>
      <c r="V100" s="371"/>
      <c r="W100" s="371"/>
      <c r="X100" s="371"/>
      <c r="AO100" s="369"/>
      <c r="AQ100" s="370"/>
      <c r="AU100" s="530"/>
      <c r="AV100" s="134"/>
      <c r="AW100" s="370"/>
    </row>
    <row r="101" customFormat="false" ht="12.75" hidden="false" customHeight="false" outlineLevel="0" collapsed="false">
      <c r="A101" s="500"/>
      <c r="B101" s="500"/>
      <c r="L101" s="501"/>
      <c r="P101" s="371"/>
      <c r="Q101" s="501"/>
      <c r="R101" s="371"/>
      <c r="U101" s="371"/>
      <c r="V101" s="371"/>
      <c r="W101" s="371"/>
      <c r="X101" s="371"/>
      <c r="AO101" s="369"/>
      <c r="AQ101" s="370"/>
      <c r="AU101" s="530"/>
      <c r="AV101" s="134"/>
      <c r="AW101" s="370"/>
    </row>
    <row r="102" customFormat="false" ht="12.75" hidden="false" customHeight="false" outlineLevel="0" collapsed="false">
      <c r="A102" s="500"/>
      <c r="B102" s="500"/>
      <c r="L102" s="501"/>
      <c r="P102" s="371"/>
      <c r="Q102" s="501"/>
      <c r="R102" s="371"/>
      <c r="U102" s="371"/>
      <c r="V102" s="371"/>
      <c r="W102" s="371"/>
      <c r="X102" s="371"/>
      <c r="AO102" s="369"/>
      <c r="AQ102" s="370"/>
      <c r="AU102" s="530"/>
      <c r="AV102" s="134"/>
      <c r="AW102" s="370"/>
    </row>
    <row r="103" customFormat="false" ht="12.75" hidden="false" customHeight="false" outlineLevel="0" collapsed="false">
      <c r="A103" s="500"/>
      <c r="B103" s="500"/>
      <c r="L103" s="501"/>
      <c r="P103" s="371"/>
      <c r="Q103" s="501"/>
      <c r="R103" s="371"/>
      <c r="U103" s="371"/>
      <c r="V103" s="371"/>
      <c r="W103" s="371"/>
      <c r="X103" s="371"/>
      <c r="AO103" s="369"/>
      <c r="AQ103" s="370"/>
      <c r="AU103" s="530"/>
      <c r="AV103" s="134"/>
      <c r="AW103" s="370"/>
    </row>
    <row r="104" customFormat="false" ht="12.75" hidden="false" customHeight="false" outlineLevel="0" collapsed="false">
      <c r="A104" s="500"/>
      <c r="B104" s="500"/>
      <c r="L104" s="501"/>
      <c r="P104" s="371"/>
      <c r="Q104" s="501"/>
      <c r="R104" s="371"/>
      <c r="U104" s="371"/>
      <c r="V104" s="371"/>
      <c r="W104" s="371"/>
      <c r="X104" s="371"/>
      <c r="AO104" s="369"/>
      <c r="AQ104" s="370"/>
      <c r="AU104" s="530"/>
      <c r="AV104" s="134"/>
      <c r="AW104" s="370"/>
    </row>
    <row r="105" customFormat="false" ht="12.75" hidden="false" customHeight="false" outlineLevel="0" collapsed="false">
      <c r="A105" s="500"/>
      <c r="B105" s="500"/>
      <c r="L105" s="501"/>
      <c r="P105" s="371"/>
      <c r="Q105" s="501"/>
      <c r="R105" s="371"/>
      <c r="U105" s="371"/>
      <c r="V105" s="371"/>
      <c r="W105" s="371"/>
      <c r="X105" s="371"/>
      <c r="AO105" s="369"/>
      <c r="AQ105" s="370"/>
      <c r="AU105" s="530"/>
      <c r="AV105" s="134"/>
      <c r="AW105" s="370"/>
    </row>
    <row r="106" customFormat="false" ht="12.75" hidden="false" customHeight="false" outlineLevel="0" collapsed="false">
      <c r="A106" s="500"/>
      <c r="B106" s="500"/>
      <c r="L106" s="501"/>
      <c r="P106" s="371"/>
      <c r="Q106" s="501"/>
      <c r="R106" s="371"/>
      <c r="U106" s="371"/>
      <c r="V106" s="371"/>
      <c r="W106" s="371"/>
      <c r="X106" s="371"/>
      <c r="AO106" s="369"/>
      <c r="AQ106" s="370"/>
      <c r="AU106" s="530"/>
      <c r="AV106" s="134"/>
      <c r="AW106" s="370"/>
    </row>
    <row r="107" customFormat="false" ht="12.75" hidden="false" customHeight="false" outlineLevel="0" collapsed="false">
      <c r="A107" s="500"/>
      <c r="B107" s="500"/>
      <c r="L107" s="501"/>
      <c r="P107" s="371"/>
      <c r="Q107" s="501"/>
      <c r="R107" s="371"/>
      <c r="U107" s="371"/>
      <c r="V107" s="371"/>
      <c r="W107" s="371"/>
      <c r="X107" s="371"/>
      <c r="AO107" s="369"/>
      <c r="AQ107" s="370"/>
      <c r="AU107" s="530"/>
      <c r="AV107" s="134"/>
      <c r="AW107" s="370"/>
    </row>
    <row r="108" customFormat="false" ht="12.75" hidden="false" customHeight="false" outlineLevel="0" collapsed="false">
      <c r="A108" s="500"/>
      <c r="B108" s="500"/>
      <c r="L108" s="501"/>
      <c r="P108" s="371"/>
      <c r="Q108" s="501"/>
      <c r="R108" s="371"/>
      <c r="U108" s="371"/>
      <c r="V108" s="371"/>
      <c r="W108" s="371"/>
      <c r="X108" s="371"/>
      <c r="AO108" s="369"/>
      <c r="AQ108" s="370"/>
      <c r="AU108" s="530"/>
      <c r="AV108" s="134"/>
      <c r="AW108" s="370"/>
    </row>
    <row r="109" customFormat="false" ht="12.75" hidden="false" customHeight="false" outlineLevel="0" collapsed="false">
      <c r="A109" s="500"/>
      <c r="B109" s="500"/>
      <c r="L109" s="501"/>
      <c r="P109" s="371"/>
      <c r="Q109" s="501"/>
      <c r="R109" s="371"/>
      <c r="U109" s="371"/>
      <c r="V109" s="371"/>
      <c r="W109" s="371"/>
      <c r="X109" s="371"/>
      <c r="AO109" s="369"/>
      <c r="AQ109" s="370"/>
      <c r="AU109" s="530"/>
      <c r="AV109" s="134"/>
      <c r="AW109" s="370"/>
    </row>
    <row r="110" customFormat="false" ht="12.75" hidden="false" customHeight="false" outlineLevel="0" collapsed="false">
      <c r="A110" s="500"/>
      <c r="B110" s="500"/>
      <c r="L110" s="501"/>
      <c r="P110" s="371"/>
      <c r="Q110" s="501"/>
      <c r="R110" s="371"/>
      <c r="U110" s="371"/>
      <c r="V110" s="371"/>
      <c r="W110" s="371"/>
      <c r="X110" s="371"/>
      <c r="AO110" s="369"/>
      <c r="AQ110" s="370"/>
      <c r="AU110" s="530"/>
      <c r="AV110" s="134"/>
      <c r="AW110" s="370"/>
    </row>
    <row r="111" customFormat="false" ht="12.75" hidden="false" customHeight="false" outlineLevel="0" collapsed="false">
      <c r="A111" s="500"/>
      <c r="B111" s="500"/>
      <c r="L111" s="501"/>
      <c r="P111" s="371"/>
      <c r="Q111" s="501"/>
      <c r="R111" s="371"/>
      <c r="U111" s="371"/>
      <c r="V111" s="371"/>
      <c r="W111" s="371"/>
      <c r="X111" s="371"/>
      <c r="AO111" s="369"/>
      <c r="AQ111" s="370"/>
      <c r="AU111" s="530"/>
      <c r="AV111" s="134"/>
      <c r="AW111" s="370"/>
    </row>
    <row r="112" customFormat="false" ht="12.75" hidden="false" customHeight="false" outlineLevel="0" collapsed="false">
      <c r="A112" s="500"/>
      <c r="B112" s="500"/>
      <c r="L112" s="501"/>
      <c r="P112" s="371"/>
      <c r="Q112" s="501"/>
      <c r="R112" s="371"/>
      <c r="U112" s="371"/>
      <c r="V112" s="371"/>
      <c r="W112" s="371"/>
      <c r="X112" s="371"/>
      <c r="AO112" s="369"/>
      <c r="AQ112" s="370"/>
      <c r="AU112" s="530"/>
      <c r="AV112" s="134"/>
      <c r="AW112" s="370"/>
    </row>
    <row r="113" customFormat="false" ht="12.75" hidden="false" customHeight="false" outlineLevel="0" collapsed="false">
      <c r="A113" s="500"/>
      <c r="B113" s="500"/>
      <c r="L113" s="501"/>
      <c r="P113" s="371"/>
      <c r="Q113" s="501"/>
      <c r="R113" s="371"/>
      <c r="U113" s="371"/>
      <c r="V113" s="371"/>
      <c r="W113" s="371"/>
      <c r="X113" s="371"/>
      <c r="AO113" s="369"/>
      <c r="AQ113" s="370"/>
      <c r="AU113" s="530"/>
      <c r="AV113" s="134"/>
      <c r="AW113" s="370"/>
    </row>
    <row r="114" customFormat="false" ht="12.75" hidden="false" customHeight="false" outlineLevel="0" collapsed="false">
      <c r="A114" s="500"/>
      <c r="B114" s="500"/>
      <c r="L114" s="501"/>
      <c r="P114" s="371"/>
      <c r="Q114" s="501"/>
      <c r="R114" s="371"/>
      <c r="U114" s="371"/>
      <c r="V114" s="371"/>
      <c r="W114" s="371"/>
      <c r="X114" s="371"/>
      <c r="AO114" s="369"/>
      <c r="AQ114" s="370"/>
      <c r="AU114" s="530"/>
      <c r="AV114" s="134"/>
      <c r="AW114" s="370"/>
    </row>
    <row r="115" customFormat="false" ht="12.75" hidden="false" customHeight="false" outlineLevel="0" collapsed="false">
      <c r="A115" s="500"/>
      <c r="B115" s="500"/>
      <c r="L115" s="501"/>
      <c r="P115" s="371"/>
      <c r="Q115" s="501"/>
      <c r="R115" s="371"/>
      <c r="U115" s="371"/>
      <c r="V115" s="371"/>
      <c r="W115" s="371"/>
      <c r="X115" s="371"/>
      <c r="AO115" s="369"/>
      <c r="AQ115" s="370"/>
      <c r="AU115" s="530"/>
      <c r="AV115" s="134"/>
      <c r="AW115" s="370"/>
    </row>
    <row r="116" customFormat="false" ht="12.75" hidden="false" customHeight="false" outlineLevel="0" collapsed="false">
      <c r="A116" s="500"/>
      <c r="B116" s="500"/>
      <c r="L116" s="501"/>
      <c r="P116" s="371"/>
      <c r="Q116" s="501"/>
      <c r="R116" s="371"/>
      <c r="U116" s="371"/>
      <c r="V116" s="371"/>
      <c r="W116" s="371"/>
      <c r="X116" s="371"/>
      <c r="AO116" s="369"/>
      <c r="AQ116" s="370"/>
      <c r="AU116" s="530"/>
      <c r="AV116" s="134"/>
      <c r="AW116" s="370"/>
    </row>
    <row r="117" customFormat="false" ht="12.75" hidden="false" customHeight="false" outlineLevel="0" collapsed="false">
      <c r="A117" s="500"/>
      <c r="B117" s="500"/>
      <c r="L117" s="501"/>
      <c r="P117" s="371"/>
      <c r="Q117" s="501"/>
      <c r="R117" s="371"/>
      <c r="U117" s="371"/>
      <c r="V117" s="371"/>
      <c r="W117" s="371"/>
      <c r="X117" s="371"/>
      <c r="AO117" s="369"/>
      <c r="AQ117" s="370"/>
      <c r="AU117" s="530"/>
      <c r="AV117" s="134"/>
      <c r="AW117" s="370"/>
    </row>
    <row r="118" customFormat="false" ht="12.75" hidden="false" customHeight="false" outlineLevel="0" collapsed="false">
      <c r="A118" s="500"/>
      <c r="B118" s="500"/>
      <c r="P118" s="371"/>
      <c r="Q118" s="371"/>
      <c r="R118" s="371"/>
      <c r="U118" s="371"/>
      <c r="V118" s="371"/>
      <c r="W118" s="371"/>
      <c r="X118" s="371"/>
      <c r="AO118" s="369"/>
      <c r="AQ118" s="370"/>
      <c r="AS118" s="370"/>
      <c r="AU118" s="530"/>
      <c r="AV118" s="369"/>
      <c r="AW118" s="370"/>
    </row>
    <row r="119" customFormat="false" ht="12.75" hidden="false" customHeight="false" outlineLevel="0" collapsed="false">
      <c r="A119" s="500"/>
      <c r="B119" s="500"/>
      <c r="P119" s="371"/>
      <c r="Q119" s="371"/>
      <c r="R119" s="371"/>
      <c r="U119" s="371"/>
      <c r="V119" s="371"/>
      <c r="W119" s="371"/>
      <c r="X119" s="371"/>
      <c r="AO119" s="369"/>
      <c r="AQ119" s="370"/>
      <c r="AS119" s="370"/>
      <c r="AU119" s="530"/>
      <c r="AV119" s="369"/>
      <c r="AW119" s="370"/>
    </row>
    <row r="120" customFormat="false" ht="12.75" hidden="false" customHeight="false" outlineLevel="0" collapsed="false">
      <c r="A120" s="500"/>
      <c r="B120" s="500"/>
      <c r="P120" s="371"/>
      <c r="Q120" s="371"/>
      <c r="R120" s="371"/>
      <c r="U120" s="371"/>
      <c r="V120" s="371"/>
      <c r="W120" s="371"/>
      <c r="X120" s="371"/>
      <c r="AO120" s="369"/>
      <c r="AQ120" s="370"/>
      <c r="AS120" s="370"/>
      <c r="AU120" s="530"/>
      <c r="AV120" s="369"/>
      <c r="AW120" s="370"/>
    </row>
    <row r="121" customFormat="false" ht="12.75" hidden="false" customHeight="false" outlineLevel="0" collapsed="false">
      <c r="A121" s="500"/>
      <c r="B121" s="500"/>
      <c r="P121" s="371"/>
      <c r="Q121" s="371"/>
      <c r="R121" s="371"/>
      <c r="U121" s="371"/>
      <c r="V121" s="371"/>
      <c r="W121" s="371"/>
      <c r="X121" s="371"/>
      <c r="AO121" s="369"/>
      <c r="AQ121" s="370"/>
      <c r="AS121" s="370"/>
      <c r="AU121" s="530"/>
      <c r="AV121" s="369"/>
      <c r="AW121" s="370"/>
    </row>
    <row r="122" customFormat="false" ht="12.75" hidden="false" customHeight="false" outlineLevel="0" collapsed="false">
      <c r="A122" s="500"/>
      <c r="B122" s="500"/>
      <c r="P122" s="371"/>
      <c r="Q122" s="371"/>
      <c r="R122" s="371"/>
      <c r="U122" s="371"/>
      <c r="V122" s="371"/>
      <c r="W122" s="371"/>
      <c r="X122" s="371"/>
      <c r="AO122" s="369"/>
      <c r="AQ122" s="370"/>
      <c r="AS122" s="370"/>
      <c r="AU122" s="530"/>
      <c r="AV122" s="369"/>
      <c r="AW122" s="370"/>
    </row>
    <row r="123" customFormat="false" ht="12.75" hidden="false" customHeight="false" outlineLevel="0" collapsed="false">
      <c r="A123" s="500"/>
      <c r="B123" s="500"/>
      <c r="P123" s="371"/>
      <c r="Q123" s="371"/>
      <c r="R123" s="371"/>
      <c r="U123" s="371"/>
      <c r="V123" s="371"/>
      <c r="W123" s="371"/>
      <c r="X123" s="371"/>
      <c r="AO123" s="369"/>
      <c r="AQ123" s="370"/>
      <c r="AS123" s="370"/>
      <c r="AU123" s="530"/>
      <c r="AV123" s="369"/>
      <c r="AW123" s="370"/>
    </row>
    <row r="124" customFormat="false" ht="12.75" hidden="false" customHeight="false" outlineLevel="0" collapsed="false">
      <c r="A124" s="500"/>
      <c r="B124" s="500"/>
      <c r="P124" s="371"/>
      <c r="Q124" s="371"/>
      <c r="R124" s="371"/>
      <c r="U124" s="371"/>
      <c r="V124" s="371"/>
      <c r="W124" s="371"/>
      <c r="X124" s="371"/>
      <c r="AO124" s="369"/>
      <c r="AQ124" s="370"/>
      <c r="AS124" s="370"/>
      <c r="AU124" s="530"/>
      <c r="AV124" s="369"/>
      <c r="AW124" s="370"/>
    </row>
    <row r="125" customFormat="false" ht="12.75" hidden="false" customHeight="false" outlineLevel="0" collapsed="false">
      <c r="A125" s="500"/>
      <c r="B125" s="500"/>
      <c r="P125" s="371"/>
      <c r="Q125" s="371"/>
      <c r="R125" s="371"/>
      <c r="U125" s="371"/>
      <c r="V125" s="371"/>
      <c r="W125" s="371"/>
      <c r="X125" s="371"/>
      <c r="AO125" s="369"/>
      <c r="AQ125" s="370"/>
      <c r="AS125" s="370"/>
      <c r="AU125" s="530"/>
      <c r="AV125" s="369"/>
      <c r="AW125" s="370"/>
    </row>
    <row r="126" customFormat="false" ht="12.75" hidden="false" customHeight="false" outlineLevel="0" collapsed="false">
      <c r="A126" s="500"/>
      <c r="B126" s="500"/>
      <c r="P126" s="371"/>
      <c r="Q126" s="371"/>
      <c r="R126" s="371"/>
      <c r="U126" s="371"/>
      <c r="V126" s="371"/>
      <c r="W126" s="371"/>
      <c r="X126" s="371"/>
      <c r="AO126" s="369"/>
      <c r="AQ126" s="370"/>
      <c r="AS126" s="370"/>
      <c r="AU126" s="530"/>
      <c r="AV126" s="369"/>
      <c r="AW126" s="370"/>
    </row>
    <row r="127" customFormat="false" ht="12.75" hidden="false" customHeight="false" outlineLevel="0" collapsed="false">
      <c r="A127" s="500"/>
      <c r="B127" s="500"/>
      <c r="P127" s="371"/>
      <c r="Q127" s="371"/>
      <c r="R127" s="371"/>
      <c r="U127" s="371"/>
      <c r="V127" s="371"/>
      <c r="W127" s="371"/>
      <c r="X127" s="371"/>
      <c r="AO127" s="369"/>
      <c r="AQ127" s="370"/>
      <c r="AS127" s="370"/>
      <c r="AU127" s="530"/>
      <c r="AV127" s="369"/>
      <c r="AW127" s="370"/>
    </row>
    <row r="128" customFormat="false" ht="12.75" hidden="false" customHeight="false" outlineLevel="0" collapsed="false">
      <c r="A128" s="500"/>
      <c r="B128" s="500"/>
      <c r="P128" s="371"/>
      <c r="Q128" s="371"/>
      <c r="R128" s="371"/>
      <c r="U128" s="371"/>
      <c r="V128" s="371"/>
      <c r="W128" s="371"/>
      <c r="X128" s="371"/>
      <c r="AO128" s="369"/>
      <c r="AQ128" s="370"/>
      <c r="AS128" s="370"/>
      <c r="AU128" s="530"/>
      <c r="AV128" s="369"/>
      <c r="AW128" s="370"/>
    </row>
    <row r="129" customFormat="false" ht="12.75" hidden="false" customHeight="false" outlineLevel="0" collapsed="false">
      <c r="A129" s="500"/>
      <c r="B129" s="500"/>
      <c r="P129" s="371"/>
      <c r="Q129" s="371"/>
      <c r="R129" s="371"/>
      <c r="U129" s="371"/>
      <c r="V129" s="371"/>
      <c r="W129" s="371"/>
      <c r="X129" s="371"/>
      <c r="AO129" s="369"/>
      <c r="AQ129" s="370"/>
      <c r="AS129" s="370"/>
      <c r="AU129" s="530"/>
      <c r="AV129" s="369"/>
      <c r="AW129" s="370"/>
    </row>
    <row r="130" customFormat="false" ht="12.75" hidden="false" customHeight="false" outlineLevel="0" collapsed="false">
      <c r="P130" s="371"/>
      <c r="Q130" s="371"/>
      <c r="R130" s="371"/>
      <c r="U130" s="371"/>
      <c r="V130" s="371"/>
      <c r="W130" s="371"/>
      <c r="X130" s="371"/>
      <c r="AO130" s="369"/>
      <c r="AQ130" s="370"/>
      <c r="AS130" s="370"/>
      <c r="AU130" s="530"/>
      <c r="AV130" s="369"/>
      <c r="AW130" s="370"/>
    </row>
    <row r="131" customFormat="false" ht="12.75" hidden="false" customHeight="false" outlineLevel="0" collapsed="false">
      <c r="P131" s="371"/>
      <c r="Q131" s="371"/>
      <c r="R131" s="371"/>
      <c r="U131" s="371"/>
      <c r="V131" s="371"/>
      <c r="W131" s="371"/>
      <c r="X131" s="371"/>
      <c r="AO131" s="369"/>
      <c r="AQ131" s="370"/>
      <c r="AS131" s="370"/>
      <c r="AU131" s="530"/>
      <c r="AV131" s="369"/>
      <c r="AW131" s="370"/>
    </row>
    <row r="132" customFormat="false" ht="12.75" hidden="false" customHeight="false" outlineLevel="0" collapsed="false">
      <c r="P132" s="371"/>
      <c r="Q132" s="371"/>
      <c r="R132" s="371"/>
      <c r="U132" s="371"/>
      <c r="V132" s="371"/>
      <c r="W132" s="371"/>
      <c r="X132" s="371"/>
      <c r="AO132" s="369"/>
      <c r="AQ132" s="370"/>
      <c r="AS132" s="370"/>
      <c r="AU132" s="530"/>
      <c r="AV132" s="369"/>
      <c r="AW132" s="370"/>
    </row>
    <row r="133" customFormat="false" ht="12.75" hidden="false" customHeight="false" outlineLevel="0" collapsed="false">
      <c r="P133" s="371"/>
      <c r="Q133" s="371"/>
      <c r="R133" s="371"/>
      <c r="U133" s="371"/>
      <c r="V133" s="371"/>
      <c r="W133" s="371"/>
      <c r="X133" s="371"/>
      <c r="AO133" s="369"/>
      <c r="AQ133" s="370"/>
      <c r="AS133" s="370"/>
      <c r="AU133" s="530"/>
      <c r="AV133" s="369"/>
      <c r="AW133" s="370"/>
    </row>
    <row r="134" customFormat="false" ht="12.75" hidden="false" customHeight="false" outlineLevel="0" collapsed="false">
      <c r="P134" s="371"/>
      <c r="Q134" s="371"/>
      <c r="R134" s="371"/>
      <c r="U134" s="371"/>
      <c r="V134" s="371"/>
      <c r="W134" s="371"/>
      <c r="X134" s="371"/>
      <c r="AO134" s="369"/>
      <c r="AQ134" s="370"/>
      <c r="AS134" s="370"/>
      <c r="AU134" s="530"/>
      <c r="AV134" s="369"/>
      <c r="AW134" s="370"/>
    </row>
    <row r="135" customFormat="false" ht="12.75" hidden="false" customHeight="false" outlineLevel="0" collapsed="false">
      <c r="P135" s="371"/>
      <c r="Q135" s="371"/>
      <c r="R135" s="371"/>
      <c r="U135" s="371"/>
      <c r="V135" s="371"/>
      <c r="W135" s="371"/>
      <c r="X135" s="371"/>
      <c r="AO135" s="369"/>
      <c r="AQ135" s="370"/>
      <c r="AS135" s="370"/>
      <c r="AU135" s="530"/>
      <c r="AV135" s="369"/>
      <c r="AW135" s="370"/>
    </row>
    <row r="136" customFormat="false" ht="12.75" hidden="false" customHeight="false" outlineLevel="0" collapsed="false">
      <c r="P136" s="371"/>
      <c r="Q136" s="371"/>
      <c r="R136" s="371"/>
      <c r="U136" s="371"/>
      <c r="V136" s="371"/>
      <c r="W136" s="371"/>
      <c r="X136" s="371"/>
      <c r="AO136" s="369"/>
      <c r="AQ136" s="370"/>
      <c r="AS136" s="370"/>
      <c r="AU136" s="530"/>
      <c r="AV136" s="369"/>
      <c r="AW136" s="370"/>
    </row>
    <row r="137" customFormat="false" ht="12.75" hidden="false" customHeight="false" outlineLevel="0" collapsed="false">
      <c r="P137" s="371"/>
      <c r="Q137" s="371"/>
      <c r="R137" s="371"/>
      <c r="U137" s="371"/>
      <c r="V137" s="371"/>
      <c r="W137" s="371"/>
      <c r="X137" s="371"/>
      <c r="AO137" s="369"/>
      <c r="AQ137" s="370"/>
      <c r="AS137" s="370"/>
      <c r="AU137" s="530"/>
      <c r="AV137" s="369"/>
      <c r="AW137" s="370"/>
    </row>
    <row r="138" customFormat="false" ht="12.75" hidden="false" customHeight="false" outlineLevel="0" collapsed="false">
      <c r="P138" s="371"/>
      <c r="Q138" s="371"/>
      <c r="R138" s="371"/>
      <c r="U138" s="371"/>
      <c r="V138" s="371"/>
      <c r="W138" s="371"/>
      <c r="X138" s="371"/>
      <c r="AO138" s="369"/>
      <c r="AQ138" s="370"/>
      <c r="AS138" s="370"/>
      <c r="AU138" s="530"/>
      <c r="AV138" s="369"/>
      <c r="AW138" s="370"/>
    </row>
    <row r="139" customFormat="false" ht="12.75" hidden="false" customHeight="false" outlineLevel="0" collapsed="false">
      <c r="P139" s="371"/>
      <c r="Q139" s="371"/>
      <c r="R139" s="371"/>
      <c r="U139" s="371"/>
      <c r="V139" s="371"/>
      <c r="W139" s="371"/>
      <c r="X139" s="371"/>
      <c r="AO139" s="369"/>
      <c r="AQ139" s="370"/>
      <c r="AS139" s="370"/>
      <c r="AU139" s="530"/>
      <c r="AV139" s="369"/>
      <c r="AW139" s="370"/>
    </row>
    <row r="140" customFormat="false" ht="12.75" hidden="false" customHeight="false" outlineLevel="0" collapsed="false">
      <c r="P140" s="371"/>
      <c r="Q140" s="371"/>
      <c r="R140" s="371"/>
      <c r="U140" s="371"/>
      <c r="V140" s="371"/>
      <c r="W140" s="371"/>
      <c r="X140" s="371"/>
      <c r="AO140" s="369"/>
      <c r="AQ140" s="370"/>
      <c r="AS140" s="370"/>
      <c r="AU140" s="530"/>
      <c r="AV140" s="369"/>
      <c r="AW140" s="370"/>
    </row>
    <row r="141" customFormat="false" ht="12.75" hidden="false" customHeight="false" outlineLevel="0" collapsed="false">
      <c r="P141" s="371"/>
      <c r="Q141" s="371"/>
      <c r="R141" s="371"/>
      <c r="U141" s="371"/>
      <c r="V141" s="371"/>
      <c r="W141" s="371"/>
      <c r="X141" s="371"/>
      <c r="AO141" s="369"/>
      <c r="AQ141" s="370"/>
      <c r="AS141" s="370"/>
      <c r="AU141" s="530"/>
      <c r="AV141" s="369"/>
      <c r="AW141" s="370"/>
    </row>
    <row r="142" customFormat="false" ht="12.75" hidden="false" customHeight="false" outlineLevel="0" collapsed="false">
      <c r="P142" s="371"/>
      <c r="Q142" s="371"/>
      <c r="R142" s="371"/>
      <c r="U142" s="371"/>
      <c r="V142" s="371"/>
      <c r="W142" s="371"/>
      <c r="X142" s="371"/>
      <c r="AO142" s="369"/>
      <c r="AQ142" s="370"/>
      <c r="AS142" s="370"/>
      <c r="AU142" s="530"/>
      <c r="AV142" s="369"/>
      <c r="AW142" s="370"/>
    </row>
    <row r="143" customFormat="false" ht="12.75" hidden="false" customHeight="false" outlineLevel="0" collapsed="false">
      <c r="P143" s="371"/>
      <c r="Q143" s="371"/>
      <c r="R143" s="371"/>
      <c r="U143" s="371"/>
      <c r="V143" s="371"/>
      <c r="W143" s="371"/>
      <c r="X143" s="371"/>
      <c r="AO143" s="369"/>
      <c r="AQ143" s="370"/>
      <c r="AS143" s="370"/>
      <c r="AU143" s="530"/>
      <c r="AV143" s="369"/>
      <c r="AW143" s="370"/>
    </row>
    <row r="144" customFormat="false" ht="12.75" hidden="false" customHeight="false" outlineLevel="0" collapsed="false">
      <c r="P144" s="371"/>
      <c r="Q144" s="371"/>
      <c r="R144" s="371"/>
      <c r="U144" s="371"/>
      <c r="V144" s="371"/>
      <c r="W144" s="371"/>
      <c r="X144" s="371"/>
      <c r="AO144" s="369"/>
      <c r="AQ144" s="370"/>
      <c r="AS144" s="370"/>
      <c r="AU144" s="530"/>
      <c r="AV144" s="369"/>
      <c r="AW144" s="370"/>
    </row>
    <row r="145" customFormat="false" ht="12.75" hidden="false" customHeight="false" outlineLevel="0" collapsed="false">
      <c r="P145" s="371"/>
      <c r="Q145" s="371"/>
      <c r="R145" s="371"/>
      <c r="U145" s="371"/>
      <c r="V145" s="371"/>
      <c r="W145" s="371"/>
      <c r="X145" s="371"/>
      <c r="AO145" s="369"/>
      <c r="AQ145" s="370"/>
      <c r="AS145" s="370"/>
      <c r="AU145" s="530"/>
      <c r="AV145" s="369"/>
      <c r="AW145" s="370"/>
    </row>
    <row r="146" customFormat="false" ht="12.75" hidden="false" customHeight="false" outlineLevel="0" collapsed="false">
      <c r="P146" s="371"/>
      <c r="Q146" s="371"/>
      <c r="R146" s="371"/>
      <c r="U146" s="371"/>
      <c r="V146" s="371"/>
      <c r="W146" s="371"/>
      <c r="X146" s="371"/>
      <c r="AO146" s="369"/>
      <c r="AQ146" s="370"/>
      <c r="AS146" s="370"/>
      <c r="AU146" s="530"/>
      <c r="AV146" s="369"/>
      <c r="AW146" s="370"/>
    </row>
    <row r="147" customFormat="false" ht="12.75" hidden="false" customHeight="false" outlineLevel="0" collapsed="false">
      <c r="P147" s="371"/>
      <c r="Q147" s="371"/>
      <c r="R147" s="371"/>
      <c r="U147" s="371"/>
      <c r="V147" s="371"/>
      <c r="W147" s="371"/>
      <c r="X147" s="371"/>
      <c r="AO147" s="369"/>
      <c r="AQ147" s="370"/>
      <c r="AS147" s="370"/>
      <c r="AU147" s="530"/>
      <c r="AV147" s="369"/>
      <c r="AW147" s="370"/>
    </row>
    <row r="148" customFormat="false" ht="12.75" hidden="false" customHeight="false" outlineLevel="0" collapsed="false">
      <c r="P148" s="371"/>
      <c r="Q148" s="371"/>
      <c r="R148" s="371"/>
      <c r="U148" s="371"/>
      <c r="V148" s="371"/>
      <c r="W148" s="371"/>
      <c r="X148" s="371"/>
      <c r="AO148" s="369"/>
      <c r="AQ148" s="370"/>
      <c r="AS148" s="370"/>
      <c r="AU148" s="530"/>
      <c r="AV148" s="369"/>
      <c r="AW148" s="370"/>
    </row>
    <row r="149" customFormat="false" ht="12.75" hidden="false" customHeight="false" outlineLevel="0" collapsed="false">
      <c r="P149" s="371"/>
      <c r="Q149" s="371"/>
      <c r="R149" s="371"/>
      <c r="U149" s="371"/>
      <c r="V149" s="371"/>
      <c r="W149" s="371"/>
      <c r="X149" s="371"/>
      <c r="AO149" s="369"/>
      <c r="AQ149" s="370"/>
      <c r="AS149" s="370"/>
      <c r="AU149" s="530"/>
      <c r="AV149" s="369"/>
      <c r="AW149" s="370"/>
    </row>
    <row r="150" customFormat="false" ht="12.75" hidden="false" customHeight="false" outlineLevel="0" collapsed="false">
      <c r="P150" s="371"/>
      <c r="Q150" s="371"/>
      <c r="R150" s="371"/>
      <c r="U150" s="371"/>
      <c r="V150" s="371"/>
      <c r="W150" s="371"/>
      <c r="X150" s="371"/>
      <c r="AO150" s="369"/>
      <c r="AQ150" s="370"/>
      <c r="AS150" s="370"/>
      <c r="AU150" s="530"/>
      <c r="AV150" s="369"/>
      <c r="AW150" s="370"/>
    </row>
    <row r="151" customFormat="false" ht="12.75" hidden="false" customHeight="false" outlineLevel="0" collapsed="false">
      <c r="P151" s="371"/>
      <c r="Q151" s="371"/>
      <c r="R151" s="371"/>
      <c r="U151" s="371"/>
      <c r="V151" s="371"/>
      <c r="W151" s="371"/>
      <c r="X151" s="371"/>
      <c r="AO151" s="369"/>
      <c r="AQ151" s="370"/>
      <c r="AS151" s="370"/>
      <c r="AU151" s="530"/>
      <c r="AV151" s="369"/>
      <c r="AW151" s="370"/>
    </row>
    <row r="152" customFormat="false" ht="12.75" hidden="false" customHeight="false" outlineLevel="0" collapsed="false">
      <c r="P152" s="371"/>
      <c r="Q152" s="371"/>
      <c r="R152" s="371"/>
      <c r="U152" s="371"/>
      <c r="V152" s="371"/>
      <c r="W152" s="371"/>
      <c r="X152" s="371"/>
      <c r="AO152" s="369"/>
      <c r="AQ152" s="370"/>
      <c r="AS152" s="370"/>
      <c r="AU152" s="530"/>
      <c r="AV152" s="369"/>
      <c r="AW152" s="370"/>
    </row>
    <row r="153" customFormat="false" ht="12.75" hidden="false" customHeight="false" outlineLevel="0" collapsed="false">
      <c r="P153" s="371"/>
      <c r="Q153" s="371"/>
      <c r="R153" s="371"/>
      <c r="U153" s="371"/>
      <c r="V153" s="371"/>
      <c r="W153" s="371"/>
      <c r="X153" s="371"/>
      <c r="AO153" s="369"/>
      <c r="AQ153" s="370"/>
      <c r="AS153" s="370"/>
      <c r="AU153" s="530"/>
      <c r="AV153" s="369"/>
      <c r="AW153" s="370"/>
    </row>
    <row r="154" customFormat="false" ht="12.75" hidden="false" customHeight="false" outlineLevel="0" collapsed="false">
      <c r="P154" s="371"/>
      <c r="Q154" s="371"/>
      <c r="R154" s="371"/>
      <c r="U154" s="371"/>
      <c r="V154" s="371"/>
      <c r="W154" s="371"/>
      <c r="X154" s="371"/>
      <c r="AO154" s="369"/>
      <c r="AQ154" s="370"/>
      <c r="AS154" s="370"/>
      <c r="AU154" s="530"/>
      <c r="AV154" s="369"/>
      <c r="AW154" s="370"/>
    </row>
    <row r="155" customFormat="false" ht="12.75" hidden="false" customHeight="false" outlineLevel="0" collapsed="false">
      <c r="P155" s="371"/>
      <c r="Q155" s="371"/>
      <c r="R155" s="371"/>
      <c r="U155" s="371"/>
      <c r="V155" s="371"/>
      <c r="W155" s="371"/>
      <c r="X155" s="371"/>
      <c r="AO155" s="369"/>
      <c r="AQ155" s="370"/>
      <c r="AS155" s="370"/>
      <c r="AU155" s="530"/>
      <c r="AV155" s="369"/>
      <c r="AW155" s="370"/>
    </row>
    <row r="156" customFormat="false" ht="12.75" hidden="false" customHeight="false" outlineLevel="0" collapsed="false">
      <c r="P156" s="371"/>
      <c r="Q156" s="371"/>
      <c r="R156" s="371"/>
      <c r="U156" s="371"/>
      <c r="V156" s="371"/>
      <c r="W156" s="371"/>
      <c r="X156" s="371"/>
      <c r="AO156" s="369"/>
      <c r="AQ156" s="370"/>
      <c r="AS156" s="370"/>
      <c r="AU156" s="530"/>
      <c r="AV156" s="369"/>
      <c r="AW156" s="370"/>
    </row>
    <row r="157" customFormat="false" ht="12.75" hidden="false" customHeight="false" outlineLevel="0" collapsed="false">
      <c r="P157" s="371"/>
      <c r="Q157" s="371"/>
      <c r="R157" s="371"/>
      <c r="U157" s="371"/>
      <c r="V157" s="371"/>
      <c r="W157" s="371"/>
      <c r="X157" s="371"/>
      <c r="AO157" s="369"/>
      <c r="AQ157" s="370"/>
      <c r="AS157" s="370"/>
      <c r="AU157" s="530"/>
      <c r="AV157" s="369"/>
      <c r="AW157" s="370"/>
    </row>
    <row r="158" customFormat="false" ht="12.75" hidden="false" customHeight="false" outlineLevel="0" collapsed="false">
      <c r="P158" s="371"/>
      <c r="Q158" s="371"/>
      <c r="R158" s="371"/>
      <c r="U158" s="371"/>
      <c r="V158" s="371"/>
      <c r="W158" s="371"/>
      <c r="X158" s="371"/>
      <c r="AO158" s="369"/>
      <c r="AQ158" s="370"/>
      <c r="AS158" s="370"/>
      <c r="AU158" s="530"/>
      <c r="AV158" s="369"/>
      <c r="AW158" s="370"/>
    </row>
    <row r="159" customFormat="false" ht="12.75" hidden="false" customHeight="false" outlineLevel="0" collapsed="false">
      <c r="P159" s="371"/>
      <c r="Q159" s="371"/>
      <c r="R159" s="371"/>
      <c r="U159" s="371"/>
      <c r="V159" s="371"/>
      <c r="W159" s="371"/>
      <c r="X159" s="371"/>
      <c r="AO159" s="369"/>
      <c r="AQ159" s="370"/>
      <c r="AS159" s="370"/>
      <c r="AU159" s="530"/>
      <c r="AV159" s="369"/>
      <c r="AW159" s="370"/>
    </row>
    <row r="160" customFormat="false" ht="12.75" hidden="false" customHeight="false" outlineLevel="0" collapsed="false">
      <c r="P160" s="371"/>
      <c r="Q160" s="371"/>
      <c r="R160" s="371"/>
      <c r="U160" s="371"/>
      <c r="V160" s="371"/>
      <c r="W160" s="371"/>
      <c r="X160" s="371"/>
      <c r="AO160" s="369"/>
      <c r="AQ160" s="370"/>
      <c r="AS160" s="370"/>
      <c r="AU160" s="530"/>
      <c r="AV160" s="369"/>
      <c r="AW160" s="370"/>
    </row>
    <row r="161" customFormat="false" ht="12.75" hidden="false" customHeight="false" outlineLevel="0" collapsed="false">
      <c r="P161" s="371"/>
      <c r="Q161" s="371"/>
      <c r="R161" s="371"/>
      <c r="U161" s="371"/>
      <c r="V161" s="371"/>
      <c r="W161" s="371"/>
      <c r="X161" s="371"/>
      <c r="AO161" s="369"/>
      <c r="AQ161" s="370"/>
      <c r="AS161" s="370"/>
      <c r="AU161" s="530"/>
      <c r="AV161" s="369"/>
      <c r="AW161" s="370"/>
    </row>
    <row r="162" customFormat="false" ht="12.75" hidden="false" customHeight="false" outlineLevel="0" collapsed="false">
      <c r="P162" s="371"/>
      <c r="Q162" s="371"/>
      <c r="R162" s="371"/>
      <c r="U162" s="371"/>
      <c r="V162" s="371"/>
      <c r="W162" s="371"/>
      <c r="X162" s="371"/>
      <c r="AO162" s="369"/>
      <c r="AQ162" s="370"/>
      <c r="AS162" s="370"/>
      <c r="AU162" s="530"/>
      <c r="AV162" s="369"/>
      <c r="AW162" s="370"/>
    </row>
    <row r="163" customFormat="false" ht="12.75" hidden="false" customHeight="false" outlineLevel="0" collapsed="false">
      <c r="P163" s="371"/>
      <c r="Q163" s="371"/>
      <c r="R163" s="371"/>
      <c r="U163" s="371"/>
      <c r="V163" s="371"/>
      <c r="W163" s="371"/>
      <c r="X163" s="371"/>
      <c r="AO163" s="369"/>
      <c r="AQ163" s="370"/>
      <c r="AS163" s="370"/>
      <c r="AU163" s="530"/>
      <c r="AV163" s="369"/>
      <c r="AW163" s="370"/>
    </row>
    <row r="164" customFormat="false" ht="12.75" hidden="false" customHeight="false" outlineLevel="0" collapsed="false">
      <c r="P164" s="371"/>
      <c r="Q164" s="371"/>
      <c r="R164" s="371"/>
      <c r="U164" s="371"/>
      <c r="V164" s="371"/>
      <c r="W164" s="371"/>
      <c r="X164" s="371"/>
      <c r="AO164" s="369"/>
      <c r="AQ164" s="370"/>
      <c r="AS164" s="370"/>
      <c r="AU164" s="530"/>
      <c r="AV164" s="369"/>
      <c r="AW164" s="370"/>
    </row>
    <row r="165" customFormat="false" ht="12.75" hidden="false" customHeight="false" outlineLevel="0" collapsed="false">
      <c r="P165" s="371"/>
      <c r="Q165" s="371"/>
      <c r="R165" s="371"/>
      <c r="U165" s="371"/>
      <c r="V165" s="371"/>
      <c r="W165" s="371"/>
      <c r="X165" s="371"/>
      <c r="AO165" s="369"/>
      <c r="AQ165" s="370"/>
      <c r="AS165" s="370"/>
      <c r="AU165" s="530"/>
      <c r="AV165" s="369"/>
      <c r="AW165" s="370"/>
    </row>
    <row r="166" customFormat="false" ht="12.75" hidden="false" customHeight="false" outlineLevel="0" collapsed="false">
      <c r="P166" s="371"/>
      <c r="Q166" s="371"/>
      <c r="R166" s="371"/>
      <c r="U166" s="371"/>
      <c r="V166" s="371"/>
      <c r="W166" s="371"/>
      <c r="X166" s="371"/>
    </row>
    <row r="167" customFormat="false" ht="12.75" hidden="false" customHeight="false" outlineLevel="0" collapsed="false">
      <c r="P167" s="371"/>
      <c r="Q167" s="371"/>
      <c r="R167" s="371"/>
      <c r="U167" s="371"/>
      <c r="V167" s="371"/>
      <c r="W167" s="371"/>
      <c r="X167" s="371"/>
    </row>
    <row r="168" customFormat="false" ht="12.75" hidden="false" customHeight="false" outlineLevel="0" collapsed="false">
      <c r="P168" s="371"/>
      <c r="Q168" s="371"/>
      <c r="R168" s="371"/>
      <c r="U168" s="371"/>
      <c r="V168" s="371"/>
      <c r="W168" s="371"/>
      <c r="X168" s="371"/>
    </row>
    <row r="169" customFormat="false" ht="12.75" hidden="false" customHeight="false" outlineLevel="0" collapsed="false">
      <c r="P169" s="371"/>
      <c r="Q169" s="371"/>
      <c r="R169" s="371"/>
      <c r="U169" s="371"/>
      <c r="V169" s="371"/>
      <c r="W169" s="371"/>
      <c r="X169" s="371"/>
    </row>
    <row r="170" customFormat="false" ht="12.75" hidden="false" customHeight="false" outlineLevel="0" collapsed="false">
      <c r="P170" s="371"/>
      <c r="Q170" s="371"/>
      <c r="R170" s="371"/>
      <c r="U170" s="371"/>
      <c r="V170" s="371"/>
      <c r="W170" s="371"/>
      <c r="X170" s="371"/>
    </row>
    <row r="171" customFormat="false" ht="12.75" hidden="false" customHeight="false" outlineLevel="0" collapsed="false">
      <c r="P171" s="371"/>
      <c r="Q171" s="371"/>
      <c r="R171" s="371"/>
      <c r="U171" s="371"/>
      <c r="V171" s="371"/>
      <c r="W171" s="371"/>
      <c r="X171" s="371"/>
    </row>
    <row r="172" customFormat="false" ht="12.75" hidden="false" customHeight="false" outlineLevel="0" collapsed="false">
      <c r="P172" s="371"/>
      <c r="Q172" s="371"/>
      <c r="R172" s="371"/>
      <c r="U172" s="371"/>
      <c r="V172" s="371"/>
      <c r="W172" s="371"/>
      <c r="X172" s="371"/>
    </row>
    <row r="173" customFormat="false" ht="12.75" hidden="false" customHeight="false" outlineLevel="0" collapsed="false">
      <c r="P173" s="371"/>
      <c r="Q173" s="371"/>
      <c r="R173" s="371"/>
      <c r="U173" s="371"/>
      <c r="V173" s="371"/>
      <c r="W173" s="371"/>
      <c r="X173" s="371"/>
    </row>
    <row r="174" customFormat="false" ht="12.75" hidden="false" customHeight="false" outlineLevel="0" collapsed="false">
      <c r="P174" s="371"/>
      <c r="Q174" s="371"/>
      <c r="R174" s="371"/>
      <c r="U174" s="371"/>
      <c r="V174" s="371"/>
      <c r="W174" s="371"/>
      <c r="X174" s="371"/>
    </row>
    <row r="175" customFormat="false" ht="12.75" hidden="false" customHeight="false" outlineLevel="0" collapsed="false">
      <c r="P175" s="371"/>
      <c r="Q175" s="371"/>
      <c r="R175" s="371"/>
      <c r="U175" s="371"/>
      <c r="V175" s="371"/>
      <c r="W175" s="371"/>
      <c r="X175" s="371"/>
    </row>
    <row r="176" customFormat="false" ht="12.75" hidden="false" customHeight="false" outlineLevel="0" collapsed="false">
      <c r="P176" s="371"/>
      <c r="Q176" s="371"/>
      <c r="R176" s="371"/>
      <c r="U176" s="371"/>
      <c r="V176" s="371"/>
      <c r="W176" s="371"/>
      <c r="X176" s="371"/>
    </row>
    <row r="177" customFormat="false" ht="12.75" hidden="false" customHeight="false" outlineLevel="0" collapsed="false">
      <c r="P177" s="371"/>
      <c r="Q177" s="371"/>
      <c r="R177" s="371"/>
      <c r="U177" s="371"/>
      <c r="V177" s="371"/>
      <c r="W177" s="371"/>
      <c r="X177" s="371"/>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row r="404" customFormat="false" ht="12.75" hidden="false" customHeight="false" outlineLevel="0" collapsed="false">
      <c r="P404" s="371"/>
      <c r="Q404" s="371"/>
      <c r="R404" s="371"/>
      <c r="U404" s="371"/>
      <c r="V404" s="371"/>
      <c r="W404" s="371"/>
      <c r="X404" s="371"/>
    </row>
    <row r="405" customFormat="false" ht="12.75" hidden="false" customHeight="false" outlineLevel="0" collapsed="false">
      <c r="P405" s="371"/>
      <c r="Q405" s="371"/>
      <c r="R405" s="371"/>
      <c r="U405" s="371"/>
      <c r="V405" s="371"/>
      <c r="W405" s="371"/>
      <c r="X405" s="371"/>
    </row>
    <row r="406" customFormat="false" ht="12.75" hidden="false" customHeight="false" outlineLevel="0" collapsed="false">
      <c r="P406" s="371"/>
      <c r="Q406" s="371"/>
      <c r="R406" s="371"/>
      <c r="U406" s="371"/>
      <c r="V406" s="371"/>
      <c r="W406" s="371"/>
      <c r="X406" s="371"/>
    </row>
    <row r="407" customFormat="false" ht="12.75" hidden="false" customHeight="false" outlineLevel="0" collapsed="false">
      <c r="P407" s="371"/>
      <c r="Q407" s="371"/>
      <c r="R407" s="371"/>
      <c r="U407" s="371"/>
      <c r="V407" s="371"/>
      <c r="W407" s="371"/>
      <c r="X407" s="371"/>
    </row>
    <row r="408" customFormat="false" ht="12.75" hidden="false" customHeight="false" outlineLevel="0" collapsed="false">
      <c r="P408" s="371"/>
      <c r="Q408" s="371"/>
      <c r="R408" s="371"/>
      <c r="U408" s="371"/>
      <c r="V408" s="371"/>
      <c r="W408" s="371"/>
      <c r="X408" s="371"/>
    </row>
    <row r="409" customFormat="false" ht="12.75" hidden="false" customHeight="false" outlineLevel="0" collapsed="false">
      <c r="P409" s="371"/>
      <c r="Q409" s="371"/>
      <c r="R409" s="371"/>
      <c r="U409" s="371"/>
      <c r="V409" s="371"/>
      <c r="W409" s="371"/>
      <c r="X409" s="371"/>
    </row>
    <row r="410" customFormat="false" ht="12.75" hidden="false" customHeight="false" outlineLevel="0" collapsed="false">
      <c r="P410" s="371"/>
      <c r="Q410" s="371"/>
      <c r="R410" s="371"/>
      <c r="U410" s="371"/>
      <c r="V410" s="371"/>
      <c r="W410" s="371"/>
      <c r="X410" s="371"/>
    </row>
    <row r="411" customFormat="false" ht="12.75" hidden="false" customHeight="false" outlineLevel="0" collapsed="false">
      <c r="P411" s="371"/>
      <c r="Q411" s="371"/>
      <c r="R411" s="371"/>
      <c r="U411" s="371"/>
      <c r="V411" s="371"/>
      <c r="W411" s="371"/>
      <c r="X411" s="371"/>
    </row>
    <row r="412" customFormat="false" ht="12.75" hidden="false" customHeight="false" outlineLevel="0" collapsed="false">
      <c r="P412" s="371"/>
      <c r="Q412" s="371"/>
      <c r="R412" s="371"/>
      <c r="U412" s="371"/>
      <c r="V412" s="371"/>
      <c r="W412" s="371"/>
      <c r="X412" s="371"/>
    </row>
    <row r="413" customFormat="false" ht="12.75" hidden="false" customHeight="false" outlineLevel="0" collapsed="false">
      <c r="P413" s="371"/>
      <c r="Q413" s="371"/>
      <c r="R413" s="371"/>
      <c r="U413" s="371"/>
      <c r="V413" s="371"/>
      <c r="W413" s="371"/>
      <c r="X413" s="371"/>
    </row>
    <row r="414" customFormat="false" ht="12.75" hidden="false" customHeight="false" outlineLevel="0" collapsed="false">
      <c r="P414" s="371"/>
      <c r="Q414" s="371"/>
      <c r="R414" s="371"/>
      <c r="U414" s="371"/>
      <c r="V414" s="371"/>
      <c r="W414" s="371"/>
      <c r="X414" s="371"/>
    </row>
    <row r="415" customFormat="false" ht="12.75" hidden="false" customHeight="false" outlineLevel="0" collapsed="false">
      <c r="P415" s="371"/>
      <c r="Q415" s="371"/>
      <c r="R415" s="371"/>
      <c r="U415" s="371"/>
      <c r="V415" s="371"/>
      <c r="W415" s="371"/>
      <c r="X415" s="371"/>
    </row>
    <row r="416" customFormat="false" ht="12.75" hidden="false" customHeight="false" outlineLevel="0" collapsed="false">
      <c r="P416" s="371"/>
      <c r="Q416" s="371"/>
      <c r="R416" s="371"/>
      <c r="U416" s="371"/>
      <c r="V416" s="371"/>
      <c r="W416" s="371"/>
      <c r="X416" s="371"/>
    </row>
    <row r="417" customFormat="false" ht="12.75" hidden="false" customHeight="false" outlineLevel="0" collapsed="false">
      <c r="P417" s="371"/>
      <c r="Q417" s="371"/>
      <c r="R417" s="371"/>
      <c r="U417" s="371"/>
      <c r="V417" s="371"/>
      <c r="W417" s="371"/>
      <c r="X417" s="371"/>
    </row>
    <row r="418" customFormat="false" ht="12.75" hidden="false" customHeight="false" outlineLevel="0" collapsed="false">
      <c r="P418" s="371"/>
      <c r="Q418" s="371"/>
      <c r="R418" s="371"/>
      <c r="U418" s="371"/>
      <c r="V418" s="371"/>
      <c r="W418" s="371"/>
      <c r="X418" s="371"/>
    </row>
    <row r="419" customFormat="false" ht="12.75" hidden="false" customHeight="false" outlineLevel="0" collapsed="false">
      <c r="P419" s="371"/>
      <c r="Q419" s="371"/>
      <c r="R419" s="371"/>
      <c r="U419" s="371"/>
      <c r="V419" s="371"/>
      <c r="W419" s="371"/>
      <c r="X419" s="371"/>
    </row>
    <row r="420" customFormat="false" ht="12.75" hidden="false" customHeight="false" outlineLevel="0" collapsed="false">
      <c r="P420" s="371"/>
      <c r="Q420" s="371"/>
      <c r="R420" s="371"/>
      <c r="U420" s="371"/>
      <c r="V420" s="371"/>
      <c r="W420" s="371"/>
      <c r="X420" s="371"/>
    </row>
    <row r="421" customFormat="false" ht="12.75" hidden="false" customHeight="false" outlineLevel="0" collapsed="false">
      <c r="P421" s="371"/>
      <c r="Q421" s="371"/>
      <c r="R421" s="371"/>
      <c r="U421" s="371"/>
      <c r="V421" s="371"/>
      <c r="W421" s="371"/>
      <c r="X421" s="371"/>
    </row>
    <row r="422" customFormat="false" ht="12.75" hidden="false" customHeight="false" outlineLevel="0" collapsed="false">
      <c r="P422" s="371"/>
      <c r="Q422" s="371"/>
      <c r="R422" s="371"/>
      <c r="U422" s="371"/>
      <c r="V422" s="371"/>
      <c r="W422" s="371"/>
      <c r="X422" s="371"/>
    </row>
    <row r="423" customFormat="false" ht="12.75" hidden="false" customHeight="false" outlineLevel="0" collapsed="false">
      <c r="P423" s="371"/>
      <c r="Q423" s="371"/>
      <c r="R423" s="371"/>
      <c r="U423" s="371"/>
      <c r="V423" s="371"/>
      <c r="W423" s="371"/>
      <c r="X423" s="371"/>
    </row>
    <row r="424" customFormat="false" ht="12.75" hidden="false" customHeight="false" outlineLevel="0" collapsed="false">
      <c r="P424" s="371"/>
      <c r="Q424" s="371"/>
      <c r="R424" s="371"/>
      <c r="U424" s="371"/>
      <c r="V424" s="371"/>
      <c r="W424" s="371"/>
      <c r="X424" s="371"/>
    </row>
    <row r="425" customFormat="false" ht="12.75" hidden="false" customHeight="false" outlineLevel="0" collapsed="false">
      <c r="P425" s="371"/>
      <c r="Q425" s="371"/>
      <c r="R425" s="371"/>
      <c r="U425" s="371"/>
      <c r="V425" s="371"/>
      <c r="W425" s="371"/>
      <c r="X425" s="371"/>
    </row>
    <row r="426" customFormat="false" ht="12.75" hidden="false" customHeight="false" outlineLevel="0" collapsed="false">
      <c r="P426" s="371"/>
      <c r="Q426" s="371"/>
      <c r="R426" s="371"/>
      <c r="U426" s="371"/>
      <c r="V426" s="371"/>
      <c r="W426" s="371"/>
      <c r="X426" s="371"/>
    </row>
    <row r="427" customFormat="false" ht="12.75" hidden="false" customHeight="false" outlineLevel="0" collapsed="false">
      <c r="P427" s="371"/>
      <c r="Q427" s="371"/>
      <c r="R427" s="371"/>
      <c r="U427" s="371"/>
      <c r="V427" s="371"/>
      <c r="W427" s="371"/>
      <c r="X427" s="371"/>
    </row>
    <row r="428" customFormat="false" ht="12.75" hidden="false" customHeight="false" outlineLevel="0" collapsed="false">
      <c r="P428" s="371"/>
      <c r="Q428" s="371"/>
      <c r="R428" s="371"/>
      <c r="U428" s="371"/>
      <c r="V428" s="371"/>
      <c r="W428" s="371"/>
      <c r="X428" s="371"/>
    </row>
    <row r="429" customFormat="false" ht="12.75" hidden="false" customHeight="false" outlineLevel="0" collapsed="false">
      <c r="P429" s="371"/>
      <c r="Q429" s="371"/>
      <c r="R429" s="371"/>
      <c r="U429" s="371"/>
      <c r="V429" s="371"/>
      <c r="W429" s="371"/>
      <c r="X429" s="371"/>
    </row>
    <row r="430" customFormat="false" ht="12.75" hidden="false" customHeight="false" outlineLevel="0" collapsed="false">
      <c r="P430" s="371"/>
      <c r="Q430" s="371"/>
      <c r="R430" s="371"/>
      <c r="U430" s="371"/>
      <c r="V430" s="371"/>
      <c r="W430" s="371"/>
      <c r="X430" s="371"/>
    </row>
    <row r="431" customFormat="false" ht="12.75" hidden="false" customHeight="false" outlineLevel="0" collapsed="false">
      <c r="P431" s="371"/>
      <c r="Q431" s="371"/>
      <c r="R431" s="371"/>
      <c r="U431" s="371"/>
      <c r="V431" s="371"/>
      <c r="W431" s="371"/>
      <c r="X431" s="371"/>
    </row>
    <row r="432" customFormat="false" ht="12.75" hidden="false" customHeight="false" outlineLevel="0" collapsed="false">
      <c r="P432" s="371"/>
      <c r="Q432" s="371"/>
      <c r="R432" s="371"/>
      <c r="U432" s="371"/>
      <c r="V432" s="371"/>
      <c r="W432" s="371"/>
      <c r="X432" s="371"/>
    </row>
    <row r="433" customFormat="false" ht="12.75" hidden="false" customHeight="false" outlineLevel="0" collapsed="false">
      <c r="P433" s="371"/>
      <c r="Q433" s="371"/>
      <c r="R433" s="371"/>
      <c r="U433" s="371"/>
      <c r="V433" s="371"/>
      <c r="W433" s="371"/>
      <c r="X433" s="371"/>
    </row>
    <row r="434" customFormat="false" ht="12.75" hidden="false" customHeight="false" outlineLevel="0" collapsed="false">
      <c r="P434" s="371"/>
      <c r="Q434" s="371"/>
      <c r="R434" s="371"/>
      <c r="U434" s="371"/>
      <c r="V434" s="371"/>
      <c r="W434" s="371"/>
      <c r="X434" s="371"/>
    </row>
    <row r="435" customFormat="false" ht="12.75" hidden="false" customHeight="false" outlineLevel="0" collapsed="false">
      <c r="P435" s="371"/>
      <c r="Q435" s="371"/>
      <c r="R435" s="371"/>
      <c r="U435" s="371"/>
      <c r="V435" s="371"/>
      <c r="W435" s="371"/>
      <c r="X435" s="371"/>
    </row>
    <row r="436" customFormat="false" ht="12.75" hidden="false" customHeight="false" outlineLevel="0" collapsed="false">
      <c r="P436" s="371"/>
      <c r="Q436" s="371"/>
      <c r="R436" s="371"/>
      <c r="U436" s="371"/>
      <c r="V436" s="371"/>
      <c r="W436" s="371"/>
      <c r="X436" s="371"/>
    </row>
    <row r="437" customFormat="false" ht="12.75" hidden="false" customHeight="false" outlineLevel="0" collapsed="false">
      <c r="P437" s="371"/>
      <c r="Q437" s="371"/>
      <c r="R437" s="371"/>
      <c r="U437" s="371"/>
      <c r="V437" s="371"/>
      <c r="W437" s="371"/>
      <c r="X437" s="371"/>
    </row>
    <row r="438" customFormat="false" ht="12.75" hidden="false" customHeight="false" outlineLevel="0" collapsed="false">
      <c r="P438" s="371"/>
      <c r="Q438" s="371"/>
      <c r="R438" s="371"/>
      <c r="U438" s="371"/>
      <c r="V438" s="371"/>
      <c r="W438" s="371"/>
      <c r="X438" s="371"/>
    </row>
    <row r="439" customFormat="false" ht="12.75" hidden="false" customHeight="false" outlineLevel="0" collapsed="false">
      <c r="P439" s="371"/>
      <c r="Q439" s="371"/>
      <c r="R439" s="371"/>
      <c r="U439" s="371"/>
      <c r="V439" s="371"/>
      <c r="W439" s="371"/>
      <c r="X439" s="371"/>
    </row>
    <row r="440" customFormat="false" ht="12.75" hidden="false" customHeight="false" outlineLevel="0" collapsed="false">
      <c r="P440" s="371"/>
      <c r="Q440" s="371"/>
      <c r="R440" s="371"/>
      <c r="U440" s="371"/>
      <c r="V440" s="371"/>
      <c r="W440" s="371"/>
      <c r="X440" s="371"/>
    </row>
    <row r="441" customFormat="false" ht="12.75" hidden="false" customHeight="false" outlineLevel="0" collapsed="false">
      <c r="P441" s="371"/>
      <c r="Q441" s="371"/>
      <c r="R441" s="371"/>
      <c r="U441" s="371"/>
      <c r="V441" s="371"/>
      <c r="W441" s="371"/>
      <c r="X441" s="371"/>
    </row>
    <row r="442" customFormat="false" ht="12.75" hidden="false" customHeight="false" outlineLevel="0" collapsed="false">
      <c r="P442" s="371"/>
      <c r="Q442" s="371"/>
      <c r="R442" s="371"/>
      <c r="U442" s="371"/>
      <c r="V442" s="371"/>
      <c r="W442" s="371"/>
      <c r="X442" s="371"/>
    </row>
    <row r="443" customFormat="false" ht="12.75" hidden="false" customHeight="false" outlineLevel="0" collapsed="false">
      <c r="P443" s="371"/>
      <c r="Q443" s="371"/>
      <c r="R443" s="371"/>
      <c r="U443" s="371"/>
      <c r="V443" s="371"/>
      <c r="W443" s="371"/>
      <c r="X443" s="371"/>
    </row>
    <row r="444" customFormat="false" ht="12.75" hidden="false" customHeight="false" outlineLevel="0" collapsed="false">
      <c r="P444" s="371"/>
      <c r="Q444" s="371"/>
      <c r="R444" s="371"/>
      <c r="U444" s="371"/>
      <c r="V444" s="371"/>
      <c r="W444" s="371"/>
      <c r="X444" s="371"/>
    </row>
    <row r="445" customFormat="false" ht="12.75" hidden="false" customHeight="false" outlineLevel="0" collapsed="false">
      <c r="P445" s="371"/>
      <c r="Q445" s="371"/>
      <c r="R445" s="371"/>
      <c r="U445" s="371"/>
      <c r="V445" s="371"/>
      <c r="W445" s="371"/>
      <c r="X445" s="371"/>
    </row>
    <row r="446" customFormat="false" ht="12.75" hidden="false" customHeight="false" outlineLevel="0" collapsed="false">
      <c r="P446" s="371"/>
      <c r="Q446" s="371"/>
      <c r="R446" s="371"/>
      <c r="U446" s="371"/>
      <c r="V446" s="371"/>
      <c r="W446" s="371"/>
      <c r="X446" s="371"/>
    </row>
    <row r="447" customFormat="false" ht="12.75" hidden="false" customHeight="false" outlineLevel="0" collapsed="false">
      <c r="P447" s="371"/>
      <c r="Q447" s="371"/>
      <c r="R447" s="371"/>
      <c r="U447" s="371"/>
      <c r="V447" s="371"/>
      <c r="W447" s="371"/>
      <c r="X447" s="371"/>
    </row>
    <row r="448" customFormat="false" ht="12.75" hidden="false" customHeight="false" outlineLevel="0" collapsed="false">
      <c r="P448" s="371"/>
      <c r="Q448" s="371"/>
      <c r="R448" s="371"/>
      <c r="U448" s="371"/>
      <c r="V448" s="371"/>
      <c r="W448" s="371"/>
      <c r="X448" s="371"/>
    </row>
    <row r="449" customFormat="false" ht="12.75" hidden="false" customHeight="false" outlineLevel="0" collapsed="false">
      <c r="P449" s="371"/>
      <c r="Q449" s="371"/>
      <c r="R449" s="371"/>
      <c r="U449" s="371"/>
      <c r="V449" s="371"/>
      <c r="W449" s="371"/>
      <c r="X449" s="371"/>
    </row>
    <row r="450" customFormat="false" ht="12.75" hidden="false" customHeight="false" outlineLevel="0" collapsed="false">
      <c r="P450" s="371"/>
      <c r="Q450" s="371"/>
      <c r="R450" s="371"/>
      <c r="U450" s="371"/>
      <c r="V450" s="371"/>
      <c r="W450" s="371"/>
      <c r="X450" s="371"/>
    </row>
    <row r="451" customFormat="false" ht="12.75" hidden="false" customHeight="false" outlineLevel="0" collapsed="false">
      <c r="P451" s="371"/>
      <c r="Q451" s="371"/>
      <c r="R451" s="371"/>
      <c r="U451" s="371"/>
      <c r="V451" s="371"/>
      <c r="W451" s="371"/>
      <c r="X451" s="371"/>
    </row>
    <row r="452" customFormat="false" ht="12.75" hidden="false" customHeight="false" outlineLevel="0" collapsed="false">
      <c r="P452" s="371"/>
      <c r="Q452" s="371"/>
      <c r="R452" s="371"/>
      <c r="U452" s="371"/>
      <c r="V452" s="371"/>
      <c r="W452" s="371"/>
      <c r="X452" s="371"/>
    </row>
    <row r="453" customFormat="false" ht="12.75" hidden="false" customHeight="false" outlineLevel="0" collapsed="false">
      <c r="P453" s="371"/>
      <c r="Q453" s="371"/>
      <c r="R453" s="371"/>
      <c r="U453" s="371"/>
      <c r="V453" s="371"/>
      <c r="W453" s="371"/>
      <c r="X453" s="371"/>
    </row>
    <row r="454" customFormat="false" ht="12.75" hidden="false" customHeight="false" outlineLevel="0" collapsed="false">
      <c r="P454" s="371"/>
      <c r="Q454" s="371"/>
      <c r="R454" s="371"/>
      <c r="U454" s="371"/>
      <c r="V454" s="371"/>
      <c r="W454" s="371"/>
      <c r="X454" s="371"/>
    </row>
    <row r="455" customFormat="false" ht="12.75" hidden="false" customHeight="false" outlineLevel="0" collapsed="false">
      <c r="P455" s="371"/>
      <c r="Q455" s="371"/>
      <c r="R455" s="371"/>
      <c r="U455" s="371"/>
      <c r="V455" s="371"/>
      <c r="W455" s="371"/>
      <c r="X455" s="371"/>
    </row>
    <row r="456" customFormat="false" ht="12.75" hidden="false" customHeight="false" outlineLevel="0" collapsed="false">
      <c r="P456" s="371"/>
      <c r="Q456" s="371"/>
      <c r="R456" s="371"/>
      <c r="U456" s="371"/>
      <c r="V456" s="371"/>
      <c r="W456" s="371"/>
      <c r="X456" s="371"/>
    </row>
    <row r="457" customFormat="false" ht="12.75" hidden="false" customHeight="false" outlineLevel="0" collapsed="false">
      <c r="P457" s="371"/>
      <c r="Q457" s="371"/>
      <c r="R457" s="371"/>
      <c r="U457" s="371"/>
      <c r="V457" s="371"/>
      <c r="W457" s="371"/>
      <c r="X457" s="371"/>
    </row>
    <row r="458" customFormat="false" ht="12.75" hidden="false" customHeight="false" outlineLevel="0" collapsed="false">
      <c r="P458" s="371"/>
      <c r="Q458" s="371"/>
      <c r="R458" s="371"/>
      <c r="U458" s="371"/>
      <c r="V458" s="371"/>
      <c r="W458" s="371"/>
      <c r="X458" s="371"/>
    </row>
    <row r="459" customFormat="false" ht="12.75" hidden="false" customHeight="false" outlineLevel="0" collapsed="false">
      <c r="P459" s="371"/>
      <c r="Q459" s="371"/>
      <c r="R459" s="371"/>
      <c r="U459" s="371"/>
      <c r="V459" s="371"/>
      <c r="W459" s="371"/>
      <c r="X459" s="371"/>
    </row>
    <row r="460" customFormat="false" ht="12.75" hidden="false" customHeight="false" outlineLevel="0" collapsed="false">
      <c r="P460" s="371"/>
      <c r="Q460" s="371"/>
      <c r="R460" s="371"/>
      <c r="U460" s="371"/>
      <c r="V460" s="371"/>
      <c r="W460" s="371"/>
      <c r="X460" s="371"/>
    </row>
    <row r="461" customFormat="false" ht="12.75" hidden="false" customHeight="false" outlineLevel="0" collapsed="false">
      <c r="P461" s="371"/>
      <c r="Q461" s="371"/>
      <c r="R461" s="371"/>
      <c r="U461" s="371"/>
      <c r="V461" s="371"/>
      <c r="W461" s="371"/>
      <c r="X461" s="371"/>
    </row>
    <row r="462" customFormat="false" ht="12.75" hidden="false" customHeight="false" outlineLevel="0" collapsed="false">
      <c r="P462" s="371"/>
      <c r="Q462" s="371"/>
      <c r="R462" s="371"/>
      <c r="U462" s="371"/>
      <c r="V462" s="371"/>
      <c r="W462" s="371"/>
      <c r="X462" s="371"/>
    </row>
    <row r="463" customFormat="false" ht="12.75" hidden="false" customHeight="false" outlineLevel="0" collapsed="false">
      <c r="P463" s="371"/>
      <c r="Q463" s="371"/>
      <c r="R463" s="371"/>
      <c r="U463" s="371"/>
      <c r="V463" s="371"/>
      <c r="W463" s="371"/>
      <c r="X463" s="371"/>
    </row>
    <row r="464" customFormat="false" ht="12.75" hidden="false" customHeight="false" outlineLevel="0" collapsed="false">
      <c r="P464" s="371"/>
      <c r="Q464" s="371"/>
      <c r="R464" s="371"/>
      <c r="U464" s="371"/>
      <c r="V464" s="371"/>
      <c r="W464" s="371"/>
      <c r="X464" s="371"/>
    </row>
    <row r="465" customFormat="false" ht="12.75" hidden="false" customHeight="false" outlineLevel="0" collapsed="false">
      <c r="P465" s="371"/>
      <c r="Q465" s="371"/>
      <c r="R465" s="371"/>
      <c r="U465" s="371"/>
      <c r="V465" s="371"/>
      <c r="W465" s="371"/>
      <c r="X465" s="371"/>
    </row>
    <row r="466" customFormat="false" ht="12.75" hidden="false" customHeight="false" outlineLevel="0" collapsed="false">
      <c r="P466" s="371"/>
      <c r="Q466" s="371"/>
      <c r="R466" s="371"/>
      <c r="U466" s="371"/>
      <c r="V466" s="371"/>
      <c r="W466" s="371"/>
      <c r="X466" s="371"/>
    </row>
    <row r="467" customFormat="false" ht="12.75" hidden="false" customHeight="false" outlineLevel="0" collapsed="false">
      <c r="P467" s="371"/>
      <c r="Q467" s="371"/>
      <c r="R467" s="371"/>
      <c r="U467" s="371"/>
      <c r="V467" s="371"/>
      <c r="W467" s="371"/>
      <c r="X467" s="371"/>
    </row>
    <row r="468" customFormat="false" ht="12.75" hidden="false" customHeight="false" outlineLevel="0" collapsed="false">
      <c r="P468" s="371"/>
      <c r="Q468" s="371"/>
      <c r="R468" s="371"/>
      <c r="U468" s="371"/>
      <c r="V468" s="371"/>
      <c r="W468" s="371"/>
      <c r="X468" s="371"/>
    </row>
    <row r="469" customFormat="false" ht="12.75" hidden="false" customHeight="false" outlineLevel="0" collapsed="false">
      <c r="P469" s="371"/>
      <c r="Q469" s="371"/>
      <c r="R469" s="371"/>
      <c r="U469" s="371"/>
      <c r="V469" s="371"/>
      <c r="W469" s="371"/>
      <c r="X469" s="371"/>
    </row>
    <row r="470" customFormat="false" ht="12.75" hidden="false" customHeight="false" outlineLevel="0" collapsed="false">
      <c r="P470" s="371"/>
      <c r="Q470" s="371"/>
      <c r="R470" s="371"/>
      <c r="U470" s="371"/>
      <c r="V470" s="371"/>
      <c r="W470" s="371"/>
      <c r="X470" s="371"/>
    </row>
    <row r="471" customFormat="false" ht="12.75" hidden="false" customHeight="false" outlineLevel="0" collapsed="false">
      <c r="P471" s="371"/>
      <c r="Q471" s="371"/>
      <c r="R471" s="371"/>
      <c r="U471" s="371"/>
      <c r="V471" s="371"/>
      <c r="W471" s="371"/>
      <c r="X471" s="371"/>
    </row>
    <row r="472" customFormat="false" ht="12.75" hidden="false" customHeight="false" outlineLevel="0" collapsed="false">
      <c r="P472" s="371"/>
      <c r="Q472" s="371"/>
      <c r="R472" s="371"/>
      <c r="U472" s="371"/>
      <c r="V472" s="371"/>
      <c r="W472" s="371"/>
      <c r="X472" s="371"/>
    </row>
    <row r="473" customFormat="false" ht="12.75" hidden="false" customHeight="false" outlineLevel="0" collapsed="false">
      <c r="P473" s="371"/>
      <c r="Q473" s="371"/>
      <c r="R473" s="371"/>
      <c r="U473" s="371"/>
      <c r="V473" s="371"/>
      <c r="W473" s="371"/>
      <c r="X473" s="371"/>
    </row>
    <row r="474" customFormat="false" ht="12.75" hidden="false" customHeight="false" outlineLevel="0" collapsed="false">
      <c r="P474" s="371"/>
      <c r="Q474" s="371"/>
      <c r="R474" s="371"/>
      <c r="U474" s="371"/>
      <c r="V474" s="371"/>
      <c r="W474" s="371"/>
      <c r="X474" s="371"/>
    </row>
    <row r="475" customFormat="false" ht="12.75" hidden="false" customHeight="false" outlineLevel="0" collapsed="false">
      <c r="P475" s="371"/>
      <c r="Q475" s="371"/>
      <c r="R475" s="371"/>
      <c r="U475" s="371"/>
      <c r="V475" s="371"/>
      <c r="W475" s="371"/>
      <c r="X475" s="371"/>
    </row>
    <row r="476" customFormat="false" ht="12.75" hidden="false" customHeight="false" outlineLevel="0" collapsed="false">
      <c r="P476" s="371"/>
      <c r="Q476" s="371"/>
      <c r="R476" s="371"/>
      <c r="U476" s="371"/>
      <c r="V476" s="371"/>
      <c r="W476" s="371"/>
      <c r="X476" s="371"/>
    </row>
    <row r="477" customFormat="false" ht="12.75" hidden="false" customHeight="false" outlineLevel="0" collapsed="false">
      <c r="P477" s="371"/>
      <c r="Q477" s="371"/>
      <c r="R477" s="371"/>
      <c r="U477" s="371"/>
      <c r="V477" s="371"/>
      <c r="W477" s="371"/>
      <c r="X477" s="371"/>
    </row>
    <row r="478" customFormat="false" ht="12.75" hidden="false" customHeight="false" outlineLevel="0" collapsed="false">
      <c r="P478" s="371"/>
      <c r="Q478" s="371"/>
      <c r="R478" s="371"/>
      <c r="U478" s="371"/>
      <c r="V478" s="371"/>
      <c r="W478" s="371"/>
      <c r="X478" s="371"/>
    </row>
    <row r="479" customFormat="false" ht="12.75" hidden="false" customHeight="false" outlineLevel="0" collapsed="false">
      <c r="P479" s="371"/>
      <c r="Q479" s="371"/>
      <c r="R479" s="371"/>
      <c r="U479" s="371"/>
      <c r="V479" s="371"/>
      <c r="W479" s="371"/>
      <c r="X479" s="371"/>
    </row>
    <row r="480" customFormat="false" ht="12.75" hidden="false" customHeight="false" outlineLevel="0" collapsed="false">
      <c r="P480" s="371"/>
      <c r="Q480" s="371"/>
      <c r="R480" s="371"/>
      <c r="U480" s="371"/>
      <c r="V480" s="371"/>
      <c r="W480" s="371"/>
      <c r="X480" s="371"/>
    </row>
    <row r="481" customFormat="false" ht="12.75" hidden="false" customHeight="false" outlineLevel="0" collapsed="false">
      <c r="P481" s="371"/>
      <c r="Q481" s="371"/>
      <c r="R481" s="371"/>
      <c r="U481" s="371"/>
      <c r="V481" s="371"/>
      <c r="W481" s="371"/>
      <c r="X481" s="371"/>
    </row>
    <row r="482" customFormat="false" ht="12.75" hidden="false" customHeight="false" outlineLevel="0" collapsed="false">
      <c r="P482" s="371"/>
      <c r="Q482" s="371"/>
      <c r="R482" s="371"/>
      <c r="U482" s="371"/>
      <c r="V482" s="371"/>
      <c r="W482" s="371"/>
      <c r="X482" s="371"/>
    </row>
    <row r="483" customFormat="false" ht="12.75" hidden="false" customHeight="false" outlineLevel="0" collapsed="false">
      <c r="P483" s="371"/>
      <c r="Q483" s="371"/>
      <c r="R483" s="371"/>
      <c r="U483" s="371"/>
      <c r="V483" s="371"/>
      <c r="W483" s="371"/>
      <c r="X483" s="371"/>
    </row>
    <row r="484" customFormat="false" ht="12.75" hidden="false" customHeight="false" outlineLevel="0" collapsed="false">
      <c r="P484" s="371"/>
      <c r="Q484" s="371"/>
      <c r="R484" s="371"/>
      <c r="U484" s="371"/>
      <c r="V484" s="371"/>
      <c r="W484" s="371"/>
      <c r="X484" s="371"/>
    </row>
    <row r="485" customFormat="false" ht="12.75" hidden="false" customHeight="false" outlineLevel="0" collapsed="false">
      <c r="P485" s="371"/>
      <c r="Q485" s="371"/>
      <c r="R485" s="371"/>
      <c r="U485" s="371"/>
      <c r="V485" s="371"/>
      <c r="W485" s="371"/>
      <c r="X485" s="371"/>
    </row>
    <row r="486" customFormat="false" ht="12.75" hidden="false" customHeight="false" outlineLevel="0" collapsed="false">
      <c r="P486" s="371"/>
      <c r="Q486" s="371"/>
      <c r="R486" s="371"/>
      <c r="U486" s="371"/>
      <c r="V486" s="371"/>
      <c r="W486" s="371"/>
      <c r="X486" s="371"/>
    </row>
    <row r="487" customFormat="false" ht="12.75" hidden="false" customHeight="false" outlineLevel="0" collapsed="false">
      <c r="P487" s="371"/>
      <c r="Q487" s="371"/>
      <c r="R487" s="371"/>
      <c r="U487" s="371"/>
      <c r="V487" s="371"/>
      <c r="W487" s="371"/>
      <c r="X487" s="371"/>
    </row>
    <row r="488" customFormat="false" ht="12.75" hidden="false" customHeight="false" outlineLevel="0" collapsed="false">
      <c r="P488" s="371"/>
      <c r="Q488" s="371"/>
      <c r="R488" s="371"/>
      <c r="U488" s="371"/>
      <c r="V488" s="371"/>
      <c r="W488" s="371"/>
      <c r="X488" s="371"/>
    </row>
    <row r="489" customFormat="false" ht="12.75" hidden="false" customHeight="false" outlineLevel="0" collapsed="false">
      <c r="P489" s="371"/>
      <c r="Q489" s="371"/>
      <c r="R489" s="371"/>
      <c r="U489" s="371"/>
      <c r="V489" s="371"/>
      <c r="W489" s="371"/>
      <c r="X489" s="371"/>
    </row>
    <row r="490" customFormat="false" ht="12.75" hidden="false" customHeight="false" outlineLevel="0" collapsed="false">
      <c r="P490" s="371"/>
      <c r="Q490" s="371"/>
      <c r="R490" s="371"/>
      <c r="U490" s="371"/>
      <c r="V490" s="371"/>
      <c r="W490" s="371"/>
      <c r="X490" s="371"/>
    </row>
    <row r="491" customFormat="false" ht="12.75" hidden="false" customHeight="false" outlineLevel="0" collapsed="false">
      <c r="P491" s="371"/>
      <c r="Q491" s="371"/>
      <c r="R491" s="371"/>
      <c r="U491" s="371"/>
      <c r="V491" s="371"/>
      <c r="W491" s="371"/>
      <c r="X491" s="371"/>
    </row>
    <row r="492" customFormat="false" ht="12.75" hidden="false" customHeight="false" outlineLevel="0" collapsed="false">
      <c r="P492" s="371"/>
      <c r="Q492" s="371"/>
      <c r="R492" s="371"/>
      <c r="U492" s="371"/>
      <c r="V492" s="371"/>
      <c r="W492" s="371"/>
      <c r="X492" s="371"/>
    </row>
    <row r="493" customFormat="false" ht="12.75" hidden="false" customHeight="false" outlineLevel="0" collapsed="false">
      <c r="P493" s="371"/>
      <c r="Q493" s="371"/>
      <c r="R493" s="371"/>
      <c r="U493" s="371"/>
      <c r="V493" s="371"/>
      <c r="W493" s="371"/>
      <c r="X493" s="371"/>
    </row>
    <row r="494" customFormat="false" ht="12.75" hidden="false" customHeight="false" outlineLevel="0" collapsed="false">
      <c r="P494" s="371"/>
      <c r="Q494" s="371"/>
      <c r="R494" s="371"/>
      <c r="U494" s="371"/>
      <c r="V494" s="371"/>
      <c r="W494" s="371"/>
      <c r="X494" s="371"/>
    </row>
    <row r="495" customFormat="false" ht="12.75" hidden="false" customHeight="false" outlineLevel="0" collapsed="false">
      <c r="P495" s="371"/>
      <c r="Q495" s="371"/>
      <c r="R495" s="371"/>
      <c r="U495" s="371"/>
      <c r="V495" s="371"/>
      <c r="W495" s="371"/>
      <c r="X495" s="371"/>
    </row>
    <row r="496" customFormat="false" ht="12.75" hidden="false" customHeight="false" outlineLevel="0" collapsed="false">
      <c r="P496" s="371"/>
      <c r="Q496" s="371"/>
      <c r="R496" s="371"/>
      <c r="U496" s="371"/>
      <c r="V496" s="371"/>
      <c r="W496" s="371"/>
      <c r="X496" s="371"/>
    </row>
    <row r="497" customFormat="false" ht="12.75" hidden="false" customHeight="false" outlineLevel="0" collapsed="false">
      <c r="P497" s="371"/>
      <c r="Q497" s="371"/>
      <c r="R497" s="371"/>
      <c r="U497" s="371"/>
      <c r="V497" s="371"/>
      <c r="W497" s="371"/>
      <c r="X497" s="371"/>
    </row>
    <row r="498" customFormat="false" ht="12.75" hidden="false" customHeight="false" outlineLevel="0" collapsed="false">
      <c r="P498" s="371"/>
      <c r="Q498" s="371"/>
      <c r="R498" s="371"/>
      <c r="U498" s="371"/>
      <c r="V498" s="371"/>
      <c r="W498" s="371"/>
      <c r="X498" s="371"/>
    </row>
    <row r="499" customFormat="false" ht="12.75" hidden="false" customHeight="false" outlineLevel="0" collapsed="false">
      <c r="P499" s="371"/>
      <c r="Q499" s="371"/>
      <c r="R499" s="371"/>
      <c r="U499" s="371"/>
      <c r="V499" s="371"/>
      <c r="W499" s="371"/>
      <c r="X499" s="371"/>
    </row>
    <row r="500" customFormat="false" ht="12.75" hidden="false" customHeight="false" outlineLevel="0" collapsed="false">
      <c r="P500" s="371"/>
      <c r="Q500" s="371"/>
      <c r="R500" s="371"/>
      <c r="U500" s="371"/>
      <c r="V500" s="371"/>
      <c r="W500" s="371"/>
      <c r="X500" s="371"/>
    </row>
    <row r="501" customFormat="false" ht="12.75" hidden="false" customHeight="false" outlineLevel="0" collapsed="false">
      <c r="P501" s="371"/>
      <c r="Q501" s="371"/>
      <c r="R501" s="371"/>
      <c r="U501" s="371"/>
      <c r="V501" s="371"/>
      <c r="W501" s="371"/>
      <c r="X501" s="371"/>
    </row>
    <row r="502" customFormat="false" ht="12.75" hidden="false" customHeight="false" outlineLevel="0" collapsed="false">
      <c r="P502" s="371"/>
      <c r="Q502" s="371"/>
      <c r="R502" s="371"/>
      <c r="U502" s="371"/>
      <c r="V502" s="371"/>
      <c r="W502" s="371"/>
      <c r="X502" s="371"/>
    </row>
    <row r="503" customFormat="false" ht="12.75" hidden="false" customHeight="false" outlineLevel="0" collapsed="false">
      <c r="P503" s="371"/>
      <c r="Q503" s="371"/>
      <c r="R503" s="371"/>
      <c r="U503" s="371"/>
      <c r="V503" s="371"/>
      <c r="W503" s="371"/>
      <c r="X503" s="371"/>
    </row>
    <row r="504" customFormat="false" ht="12.75" hidden="false" customHeight="false" outlineLevel="0" collapsed="false">
      <c r="P504" s="371"/>
      <c r="Q504" s="371"/>
      <c r="R504" s="371"/>
      <c r="U504" s="371"/>
      <c r="V504" s="371"/>
      <c r="W504" s="371"/>
      <c r="X504" s="371"/>
    </row>
    <row r="505" customFormat="false" ht="12.75" hidden="false" customHeight="false" outlineLevel="0" collapsed="false">
      <c r="P505" s="371"/>
      <c r="Q505" s="371"/>
      <c r="R505" s="371"/>
      <c r="U505" s="371"/>
      <c r="V505" s="371"/>
      <c r="W505" s="371"/>
      <c r="X505" s="371"/>
    </row>
    <row r="506" customFormat="false" ht="12.75" hidden="false" customHeight="false" outlineLevel="0" collapsed="false">
      <c r="P506" s="371"/>
      <c r="Q506" s="371"/>
      <c r="R506" s="371"/>
      <c r="U506" s="371"/>
      <c r="V506" s="371"/>
      <c r="W506" s="371"/>
      <c r="X506" s="371"/>
    </row>
    <row r="507" customFormat="false" ht="12.75" hidden="false" customHeight="false" outlineLevel="0" collapsed="false">
      <c r="P507" s="371"/>
      <c r="Q507" s="371"/>
      <c r="R507" s="371"/>
      <c r="U507" s="371"/>
      <c r="V507" s="371"/>
      <c r="W507" s="371"/>
      <c r="X507" s="371"/>
    </row>
    <row r="508" customFormat="false" ht="12.75" hidden="false" customHeight="false" outlineLevel="0" collapsed="false">
      <c r="P508" s="371"/>
      <c r="Q508" s="371"/>
      <c r="R508" s="371"/>
      <c r="U508" s="371"/>
      <c r="V508" s="371"/>
      <c r="W508" s="371"/>
      <c r="X508" s="371"/>
    </row>
    <row r="509" customFormat="false" ht="12.75" hidden="false" customHeight="false" outlineLevel="0" collapsed="false">
      <c r="P509" s="371"/>
      <c r="Q509" s="371"/>
      <c r="R509" s="371"/>
      <c r="U509" s="371"/>
      <c r="V509" s="371"/>
      <c r="W509" s="371"/>
      <c r="X509" s="371"/>
    </row>
    <row r="510" customFormat="false" ht="12.75" hidden="false" customHeight="false" outlineLevel="0" collapsed="false">
      <c r="P510" s="371"/>
      <c r="Q510" s="371"/>
      <c r="R510" s="371"/>
      <c r="U510" s="371"/>
      <c r="V510" s="371"/>
      <c r="W510" s="371"/>
      <c r="X510" s="371"/>
    </row>
    <row r="511" customFormat="false" ht="12.75" hidden="false" customHeight="false" outlineLevel="0" collapsed="false">
      <c r="P511" s="371"/>
      <c r="Q511" s="371"/>
      <c r="R511" s="371"/>
      <c r="U511" s="371"/>
      <c r="V511" s="371"/>
      <c r="W511" s="371"/>
      <c r="X511" s="371"/>
    </row>
    <row r="512" customFormat="false" ht="12.75" hidden="false" customHeight="false" outlineLevel="0" collapsed="false">
      <c r="P512" s="371"/>
      <c r="Q512" s="371"/>
      <c r="R512" s="371"/>
      <c r="U512" s="371"/>
      <c r="V512" s="371"/>
      <c r="W512" s="371"/>
      <c r="X512" s="371"/>
    </row>
    <row r="513" customFormat="false" ht="12.75" hidden="false" customHeight="false" outlineLevel="0" collapsed="false">
      <c r="P513" s="371"/>
      <c r="Q513" s="371"/>
      <c r="R513" s="371"/>
      <c r="U513" s="371"/>
      <c r="V513" s="371"/>
      <c r="W513" s="371"/>
      <c r="X513" s="371"/>
    </row>
    <row r="514" customFormat="false" ht="12.75" hidden="false" customHeight="false" outlineLevel="0" collapsed="false">
      <c r="P514" s="371"/>
      <c r="Q514" s="371"/>
      <c r="R514" s="371"/>
      <c r="U514" s="371"/>
      <c r="V514" s="371"/>
      <c r="W514" s="371"/>
      <c r="X514" s="371"/>
    </row>
    <row r="515" customFormat="false" ht="12.75" hidden="false" customHeight="false" outlineLevel="0" collapsed="false">
      <c r="P515" s="371"/>
      <c r="Q515" s="371"/>
      <c r="R515" s="371"/>
      <c r="U515" s="371"/>
      <c r="V515" s="371"/>
      <c r="W515" s="371"/>
      <c r="X515" s="371"/>
    </row>
    <row r="516" customFormat="false" ht="12.75" hidden="false" customHeight="false" outlineLevel="0" collapsed="false">
      <c r="P516" s="371"/>
      <c r="Q516" s="371"/>
      <c r="R516" s="371"/>
      <c r="U516" s="371"/>
      <c r="V516" s="371"/>
      <c r="W516" s="371"/>
      <c r="X516" s="371"/>
    </row>
    <row r="517" customFormat="false" ht="12.75" hidden="false" customHeight="false" outlineLevel="0" collapsed="false">
      <c r="P517" s="371"/>
      <c r="Q517" s="371"/>
      <c r="R517" s="371"/>
      <c r="U517" s="371"/>
      <c r="V517" s="371"/>
      <c r="W517" s="371"/>
      <c r="X517" s="371"/>
    </row>
    <row r="518" customFormat="false" ht="12.75" hidden="false" customHeight="false" outlineLevel="0" collapsed="false">
      <c r="P518" s="371"/>
      <c r="Q518" s="371"/>
      <c r="R518" s="371"/>
      <c r="U518" s="371"/>
      <c r="V518" s="371"/>
      <c r="W518" s="371"/>
      <c r="X518" s="371"/>
    </row>
    <row r="519" customFormat="false" ht="12.75" hidden="false" customHeight="false" outlineLevel="0" collapsed="false">
      <c r="P519" s="371"/>
      <c r="Q519" s="371"/>
      <c r="R519" s="371"/>
      <c r="U519" s="371"/>
      <c r="V519" s="371"/>
      <c r="W519" s="371"/>
      <c r="X519" s="371"/>
    </row>
    <row r="520" customFormat="false" ht="12.75" hidden="false" customHeight="false" outlineLevel="0" collapsed="false">
      <c r="P520" s="371"/>
      <c r="Q520" s="371"/>
      <c r="R520" s="371"/>
      <c r="U520" s="371"/>
      <c r="V520" s="371"/>
      <c r="W520" s="371"/>
      <c r="X520" s="371"/>
    </row>
    <row r="521" customFormat="false" ht="12.75" hidden="false" customHeight="false" outlineLevel="0" collapsed="false">
      <c r="P521" s="371"/>
      <c r="Q521" s="371"/>
      <c r="R521" s="371"/>
      <c r="U521" s="371"/>
      <c r="V521" s="371"/>
      <c r="W521" s="371"/>
      <c r="X521" s="371"/>
    </row>
    <row r="522" customFormat="false" ht="12.75" hidden="false" customHeight="false" outlineLevel="0" collapsed="false">
      <c r="P522" s="371"/>
      <c r="Q522" s="371"/>
      <c r="R522" s="371"/>
      <c r="U522" s="371"/>
      <c r="V522" s="371"/>
      <c r="W522" s="371"/>
      <c r="X522" s="371"/>
    </row>
    <row r="523" customFormat="false" ht="12.75" hidden="false" customHeight="false" outlineLevel="0" collapsed="false">
      <c r="P523" s="371"/>
      <c r="Q523" s="371"/>
      <c r="R523" s="371"/>
      <c r="U523" s="371"/>
      <c r="V523" s="371"/>
      <c r="W523" s="371"/>
      <c r="X523" s="371"/>
    </row>
    <row r="524" customFormat="false" ht="12.75" hidden="false" customHeight="false" outlineLevel="0" collapsed="false">
      <c r="P524" s="371"/>
      <c r="Q524" s="371"/>
      <c r="R524" s="371"/>
      <c r="U524" s="371"/>
      <c r="V524" s="371"/>
      <c r="W524" s="371"/>
      <c r="X524" s="371"/>
    </row>
    <row r="525" customFormat="false" ht="12.75" hidden="false" customHeight="false" outlineLevel="0" collapsed="false">
      <c r="P525" s="371"/>
      <c r="Q525" s="371"/>
      <c r="R525" s="371"/>
      <c r="U525" s="371"/>
      <c r="V525" s="371"/>
      <c r="W525" s="371"/>
      <c r="X525" s="371"/>
    </row>
    <row r="526" customFormat="false" ht="12.75" hidden="false" customHeight="false" outlineLevel="0" collapsed="false">
      <c r="P526" s="371"/>
      <c r="Q526" s="371"/>
      <c r="R526" s="371"/>
      <c r="U526" s="371"/>
      <c r="V526" s="371"/>
      <c r="W526" s="371"/>
      <c r="X526" s="371"/>
    </row>
    <row r="527" customFormat="false" ht="12.75" hidden="false" customHeight="false" outlineLevel="0" collapsed="false">
      <c r="P527" s="371"/>
      <c r="Q527" s="371"/>
      <c r="R527" s="371"/>
      <c r="U527" s="371"/>
      <c r="V527" s="371"/>
      <c r="W527" s="371"/>
      <c r="X527" s="371"/>
    </row>
    <row r="528" customFormat="false" ht="12.75" hidden="false" customHeight="false" outlineLevel="0" collapsed="false">
      <c r="P528" s="371"/>
      <c r="Q528" s="371"/>
      <c r="R528" s="371"/>
      <c r="U528" s="371"/>
      <c r="V528" s="371"/>
      <c r="W528" s="371"/>
      <c r="X528" s="371"/>
    </row>
    <row r="529" customFormat="false" ht="12.75" hidden="false" customHeight="false" outlineLevel="0" collapsed="false">
      <c r="P529" s="371"/>
      <c r="Q529" s="371"/>
      <c r="R529" s="371"/>
      <c r="U529" s="371"/>
      <c r="V529" s="371"/>
      <c r="W529" s="371"/>
      <c r="X529" s="371"/>
    </row>
    <row r="530" customFormat="false" ht="12.75" hidden="false" customHeight="false" outlineLevel="0" collapsed="false">
      <c r="P530" s="371"/>
      <c r="Q530" s="371"/>
      <c r="R530" s="371"/>
      <c r="U530" s="371"/>
      <c r="V530" s="371"/>
      <c r="W530" s="371"/>
      <c r="X530" s="371"/>
    </row>
    <row r="531" customFormat="false" ht="12.75" hidden="false" customHeight="false" outlineLevel="0" collapsed="false">
      <c r="P531" s="371"/>
      <c r="Q531" s="371"/>
      <c r="R531" s="371"/>
      <c r="U531" s="371"/>
      <c r="V531" s="371"/>
      <c r="W531" s="371"/>
      <c r="X531" s="371"/>
    </row>
    <row r="532" customFormat="false" ht="12.75" hidden="false" customHeight="false" outlineLevel="0" collapsed="false">
      <c r="P532" s="371"/>
      <c r="Q532" s="371"/>
      <c r="R532" s="371"/>
      <c r="U532" s="371"/>
      <c r="V532" s="371"/>
      <c r="W532" s="371"/>
      <c r="X532" s="371"/>
    </row>
    <row r="533" customFormat="false" ht="12.75" hidden="false" customHeight="false" outlineLevel="0" collapsed="false">
      <c r="P533" s="371"/>
      <c r="Q533" s="371"/>
      <c r="R533" s="371"/>
      <c r="U533" s="371"/>
      <c r="V533" s="371"/>
      <c r="W533" s="371"/>
      <c r="X533" s="371"/>
    </row>
    <row r="534" customFormat="false" ht="12.75" hidden="false" customHeight="false" outlineLevel="0" collapsed="false">
      <c r="P534" s="371"/>
      <c r="Q534" s="371"/>
      <c r="R534" s="371"/>
      <c r="U534" s="371"/>
      <c r="V534" s="371"/>
      <c r="W534" s="371"/>
      <c r="X534" s="371"/>
    </row>
    <row r="535" customFormat="false" ht="12.75" hidden="false" customHeight="false" outlineLevel="0" collapsed="false">
      <c r="P535" s="371"/>
      <c r="Q535" s="371"/>
      <c r="R535" s="371"/>
      <c r="U535" s="371"/>
      <c r="V535" s="371"/>
      <c r="W535" s="371"/>
      <c r="X535" s="371"/>
    </row>
    <row r="536" customFormat="false" ht="12.75" hidden="false" customHeight="false" outlineLevel="0" collapsed="false">
      <c r="P536" s="371"/>
      <c r="Q536" s="371"/>
      <c r="R536" s="371"/>
      <c r="U536" s="371"/>
      <c r="V536" s="371"/>
      <c r="W536" s="371"/>
      <c r="X536" s="371"/>
    </row>
    <row r="537" customFormat="false" ht="12.75" hidden="false" customHeight="false" outlineLevel="0" collapsed="false">
      <c r="P537" s="371"/>
      <c r="Q537" s="371"/>
      <c r="R537" s="371"/>
      <c r="U537" s="371"/>
      <c r="V537" s="371"/>
      <c r="W537" s="371"/>
      <c r="X537" s="371"/>
    </row>
    <row r="538" customFormat="false" ht="12.75" hidden="false" customHeight="false" outlineLevel="0" collapsed="false">
      <c r="P538" s="371"/>
      <c r="Q538" s="371"/>
      <c r="R538" s="371"/>
      <c r="U538" s="371"/>
      <c r="V538" s="371"/>
      <c r="W538" s="371"/>
      <c r="X538" s="371"/>
    </row>
    <row r="539" customFormat="false" ht="12.75" hidden="false" customHeight="false" outlineLevel="0" collapsed="false">
      <c r="P539" s="371"/>
      <c r="Q539" s="371"/>
      <c r="R539" s="371"/>
      <c r="U539" s="371"/>
      <c r="V539" s="371"/>
      <c r="W539" s="371"/>
      <c r="X539" s="371"/>
    </row>
    <row r="540" customFormat="false" ht="12.75" hidden="false" customHeight="false" outlineLevel="0" collapsed="false">
      <c r="P540" s="371"/>
      <c r="Q540" s="371"/>
      <c r="R540" s="371"/>
      <c r="U540" s="371"/>
      <c r="V540" s="371"/>
      <c r="W540" s="371"/>
      <c r="X540" s="371"/>
    </row>
    <row r="541" customFormat="false" ht="12.75" hidden="false" customHeight="false" outlineLevel="0" collapsed="false">
      <c r="P541" s="371"/>
      <c r="Q541" s="371"/>
      <c r="R541" s="371"/>
      <c r="U541" s="371"/>
      <c r="V541" s="371"/>
      <c r="W541" s="371"/>
      <c r="X541" s="371"/>
    </row>
    <row r="542" customFormat="false" ht="12.75" hidden="false" customHeight="false" outlineLevel="0" collapsed="false">
      <c r="P542" s="371"/>
      <c r="Q542" s="371"/>
      <c r="R542" s="371"/>
      <c r="U542" s="371"/>
      <c r="V542" s="371"/>
      <c r="W542" s="371"/>
      <c r="X542" s="371"/>
    </row>
    <row r="543" customFormat="false" ht="12.75" hidden="false" customHeight="false" outlineLevel="0" collapsed="false">
      <c r="P543" s="371"/>
      <c r="Q543" s="371"/>
      <c r="R543" s="371"/>
      <c r="U543" s="371"/>
      <c r="V543" s="371"/>
      <c r="W543" s="371"/>
      <c r="X543" s="371"/>
    </row>
    <row r="544" customFormat="false" ht="12.75" hidden="false" customHeight="false" outlineLevel="0" collapsed="false">
      <c r="P544" s="371"/>
      <c r="Q544" s="371"/>
      <c r="R544" s="371"/>
      <c r="U544" s="371"/>
      <c r="V544" s="371"/>
      <c r="W544" s="371"/>
      <c r="X544" s="371"/>
    </row>
    <row r="545" customFormat="false" ht="12.75" hidden="false" customHeight="false" outlineLevel="0" collapsed="false">
      <c r="P545" s="371"/>
      <c r="Q545" s="371"/>
      <c r="R545" s="371"/>
      <c r="U545" s="371"/>
      <c r="V545" s="371"/>
      <c r="W545" s="371"/>
      <c r="X545" s="371"/>
    </row>
    <row r="546" customFormat="false" ht="12.75" hidden="false" customHeight="false" outlineLevel="0" collapsed="false">
      <c r="P546" s="371"/>
      <c r="Q546" s="371"/>
      <c r="R546" s="371"/>
      <c r="U546" s="371"/>
      <c r="V546" s="371"/>
      <c r="W546" s="371"/>
      <c r="X546" s="371"/>
    </row>
    <row r="547" customFormat="false" ht="12.75" hidden="false" customHeight="false" outlineLevel="0" collapsed="false">
      <c r="P547" s="371"/>
      <c r="Q547" s="371"/>
      <c r="R547" s="371"/>
      <c r="U547" s="371"/>
      <c r="V547" s="371"/>
      <c r="W547" s="371"/>
      <c r="X547" s="371"/>
    </row>
    <row r="548" customFormat="false" ht="12.75" hidden="false" customHeight="false" outlineLevel="0" collapsed="false">
      <c r="P548" s="371"/>
      <c r="Q548" s="371"/>
      <c r="R548" s="371"/>
      <c r="U548" s="371"/>
      <c r="V548" s="371"/>
      <c r="W548" s="371"/>
      <c r="X548" s="371"/>
    </row>
    <row r="549" customFormat="false" ht="12.75" hidden="false" customHeight="false" outlineLevel="0" collapsed="false">
      <c r="P549" s="371"/>
      <c r="Q549" s="371"/>
      <c r="R549" s="371"/>
      <c r="U549" s="371"/>
      <c r="V549" s="371"/>
      <c r="W549" s="371"/>
      <c r="X549" s="371"/>
    </row>
    <row r="550" customFormat="false" ht="12.75" hidden="false" customHeight="false" outlineLevel="0" collapsed="false">
      <c r="P550" s="371"/>
      <c r="Q550" s="371"/>
      <c r="R550" s="371"/>
      <c r="U550" s="371"/>
      <c r="V550" s="371"/>
      <c r="W550" s="371"/>
      <c r="X550" s="371"/>
    </row>
    <row r="551" customFormat="false" ht="12.75" hidden="false" customHeight="false" outlineLevel="0" collapsed="false">
      <c r="P551" s="371"/>
      <c r="Q551" s="371"/>
      <c r="R551" s="371"/>
      <c r="U551" s="371"/>
      <c r="V551" s="371"/>
      <c r="W551" s="371"/>
      <c r="X551" s="371"/>
    </row>
    <row r="552" customFormat="false" ht="12.75" hidden="false" customHeight="false" outlineLevel="0" collapsed="false">
      <c r="P552" s="371"/>
      <c r="Q552" s="371"/>
      <c r="R552" s="371"/>
      <c r="U552" s="371"/>
      <c r="V552" s="371"/>
      <c r="W552" s="371"/>
      <c r="X552" s="371"/>
    </row>
    <row r="553" customFormat="false" ht="12.75" hidden="false" customHeight="false" outlineLevel="0" collapsed="false">
      <c r="P553" s="371"/>
      <c r="Q553" s="371"/>
      <c r="R553" s="371"/>
      <c r="U553" s="371"/>
      <c r="V553" s="371"/>
      <c r="W553" s="371"/>
      <c r="X553" s="371"/>
    </row>
    <row r="554" customFormat="false" ht="12.75" hidden="false" customHeight="false" outlineLevel="0" collapsed="false">
      <c r="P554" s="371"/>
      <c r="Q554" s="371"/>
      <c r="R554" s="371"/>
      <c r="U554" s="371"/>
      <c r="V554" s="371"/>
      <c r="W554" s="371"/>
      <c r="X554" s="371"/>
    </row>
    <row r="555" customFormat="false" ht="12.75" hidden="false" customHeight="false" outlineLevel="0" collapsed="false">
      <c r="P555" s="371"/>
      <c r="Q555" s="371"/>
      <c r="R555" s="371"/>
      <c r="U555" s="371"/>
      <c r="V555" s="371"/>
      <c r="W555" s="371"/>
      <c r="X555" s="371"/>
    </row>
    <row r="556" customFormat="false" ht="12.75" hidden="false" customHeight="false" outlineLevel="0" collapsed="false">
      <c r="P556" s="371"/>
      <c r="Q556" s="371"/>
      <c r="R556" s="371"/>
      <c r="U556" s="371"/>
      <c r="V556" s="371"/>
      <c r="W556" s="371"/>
      <c r="X556" s="371"/>
    </row>
    <row r="557" customFormat="false" ht="12.75" hidden="false" customHeight="false" outlineLevel="0" collapsed="false">
      <c r="P557" s="371"/>
      <c r="Q557" s="371"/>
      <c r="R557" s="371"/>
      <c r="U557" s="371"/>
      <c r="V557" s="371"/>
      <c r="W557" s="371"/>
      <c r="X557" s="371"/>
    </row>
    <row r="558" customFormat="false" ht="12.75" hidden="false" customHeight="false" outlineLevel="0" collapsed="false">
      <c r="P558" s="371"/>
      <c r="Q558" s="371"/>
      <c r="R558" s="371"/>
      <c r="U558" s="371"/>
      <c r="V558" s="371"/>
      <c r="W558" s="371"/>
      <c r="X558" s="371"/>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558"/>
  <sheetViews>
    <sheetView showFormulas="false" showGridLines="true" showRowColHeaders="true" showZeros="true" rightToLeft="false" tabSelected="false" showOutlineSymbols="true" defaultGridColor="true" view="normal" topLeftCell="P1" colorId="64" zoomScale="80" zoomScaleNormal="80" zoomScalePageLayoutView="100" workbookViewId="0">
      <selection pane="topLeft" activeCell="CI21" activeCellId="0" sqref="CI21:CI62"/>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257" min="8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20</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927669.94</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1046465.81</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-118795.88</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7589.85</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18461.97</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-562218.42</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-103552.37</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13510.89</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54.86</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-1032.29</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2525.43</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174.55</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71.03</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734989.2</v>
      </c>
      <c r="P18" s="415" t="e">
        <f aca="false">N18-O18</f>
        <v>#VALUE!</v>
      </c>
      <c r="AU18" s="433"/>
      <c r="AV18" s="383"/>
      <c r="AW18" s="378"/>
      <c r="AX18" s="383" t="str">
        <f aca="false">ADDRESS(ROW($CI$22),COLUMN($CI$22))</f>
        <v>$CI$22</v>
      </c>
      <c r="AY18" s="378" t="e">
        <f aca="false">GetEnd($AV$1,AX18)</f>
        <v>#VALUE!</v>
      </c>
      <c r="CM18" s="511"/>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192680.73</v>
      </c>
      <c r="P19" s="465" t="e">
        <f aca="false">N19-O19</f>
        <v>#VALUE!</v>
      </c>
      <c r="AU19" s="433"/>
      <c r="AV19" s="383"/>
      <c r="AW19" s="378"/>
      <c r="CM19" s="511"/>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2.84080037863912</v>
      </c>
      <c r="BW22" s="369" t="n">
        <v>2.8785</v>
      </c>
      <c r="BX22" s="370" t="n">
        <v>0.952435996987834</v>
      </c>
      <c r="BY22" s="370" t="n">
        <v>0.952435996987834</v>
      </c>
      <c r="BZ22" s="370" t="n">
        <v>0.993199705156471</v>
      </c>
      <c r="CA22" s="370" t="n">
        <v>0.0187659081571607</v>
      </c>
      <c r="CB22" s="370" t="n">
        <v>0.998364899395796</v>
      </c>
      <c r="CC22" s="505" t="n">
        <v>-0.025</v>
      </c>
      <c r="CD22" s="505" t="n">
        <v>0</v>
      </c>
      <c r="CE22" s="505" t="n">
        <v>-0.025</v>
      </c>
      <c r="CF22" s="505" t="n">
        <v>0.0575</v>
      </c>
      <c r="CG22" s="505" t="n">
        <v>0.0039</v>
      </c>
      <c r="CH22" s="505" t="n">
        <v>1.28130151188456</v>
      </c>
      <c r="CI22" s="505" t="n">
        <v>2.846</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2.90323555179602</v>
      </c>
      <c r="BW23" s="369" t="n">
        <v>2.9405</v>
      </c>
      <c r="BX23" s="370" t="n">
        <v>0.906812181950228</v>
      </c>
      <c r="BY23" s="370" t="n">
        <v>0.906812181950228</v>
      </c>
      <c r="BZ23" s="370" t="n">
        <v>0.995233834969986</v>
      </c>
      <c r="CA23" s="370" t="n">
        <v>0.0193261872820063</v>
      </c>
      <c r="CB23" s="370" t="n">
        <v>0.996688029844541</v>
      </c>
      <c r="CC23" s="505" t="n">
        <v>-0.025</v>
      </c>
      <c r="CD23" s="505" t="n">
        <v>0</v>
      </c>
      <c r="CE23" s="505" t="n">
        <v>-0.025</v>
      </c>
      <c r="CF23" s="505" t="n">
        <v>0.0575</v>
      </c>
      <c r="CG23" s="505" t="n">
        <v>0.0039</v>
      </c>
      <c r="CH23" s="505" t="n">
        <v>1.15536076419579</v>
      </c>
      <c r="CI23" s="505" t="n">
        <v>2.908</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2.89719343826471</v>
      </c>
      <c r="BW24" s="369" t="n">
        <v>2.9345</v>
      </c>
      <c r="BX24" s="370" t="n">
        <v>0.79</v>
      </c>
      <c r="BY24" s="370" t="n">
        <v>0.79</v>
      </c>
      <c r="BZ24" s="370" t="n">
        <v>0.997215135135135</v>
      </c>
      <c r="CA24" s="370" t="n">
        <v>0.0192731753639035</v>
      </c>
      <c r="CB24" s="370" t="n">
        <v>0.99523258517239</v>
      </c>
      <c r="CC24" s="505" t="n">
        <v>-0.025</v>
      </c>
      <c r="CD24" s="505" t="n">
        <v>0</v>
      </c>
      <c r="CE24" s="505" t="n">
        <v>-0.025</v>
      </c>
      <c r="CF24" s="505" t="n">
        <v>0.0575</v>
      </c>
      <c r="CG24" s="505" t="n">
        <v>0.0039</v>
      </c>
      <c r="CH24" s="505" t="n">
        <v>1.27728149981025</v>
      </c>
      <c r="CI24" s="505" t="n">
        <v>2.902</v>
      </c>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2.8453319637876</v>
      </c>
      <c r="BW25" s="369" t="n">
        <v>2.8805</v>
      </c>
      <c r="BX25" s="370" t="n">
        <v>0.600814487825059</v>
      </c>
      <c r="BY25" s="370" t="n">
        <v>0.600814487825059</v>
      </c>
      <c r="BZ25" s="370" t="n">
        <v>0.999601428368727</v>
      </c>
      <c r="CA25" s="370" t="n">
        <v>0.0194226401196236</v>
      </c>
      <c r="CB25" s="370" t="n">
        <v>0.993564587749983</v>
      </c>
      <c r="CC25" s="505" t="n">
        <v>-0.025</v>
      </c>
      <c r="CD25" s="505" t="n">
        <v>0.0025</v>
      </c>
      <c r="CE25" s="505" t="n">
        <v>-0.025</v>
      </c>
      <c r="CF25" s="505" t="n">
        <v>0.0575</v>
      </c>
      <c r="CG25" s="505" t="n">
        <v>0.0039</v>
      </c>
      <c r="CH25" s="505" t="n">
        <v>1.23400721798548</v>
      </c>
      <c r="CI25" s="505" t="n">
        <v>2.848</v>
      </c>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2.89366887203811</v>
      </c>
      <c r="BW26" s="369" t="n">
        <v>2.9285</v>
      </c>
      <c r="BX26" s="370" t="n">
        <v>0.57775293402001</v>
      </c>
      <c r="BY26" s="370" t="n">
        <v>0.57775293402001</v>
      </c>
      <c r="BZ26" s="370" t="n">
        <v>0.999572590396056</v>
      </c>
      <c r="CA26" s="370" t="n">
        <v>0.019712159578257</v>
      </c>
      <c r="CB26" s="370" t="n">
        <v>0.991870109542169</v>
      </c>
      <c r="CC26" s="505" t="n">
        <v>-0.025</v>
      </c>
      <c r="CD26" s="505" t="n">
        <v>0.0025</v>
      </c>
      <c r="CE26" s="505" t="n">
        <v>-0.025</v>
      </c>
      <c r="CF26" s="505" t="n">
        <v>0.0575</v>
      </c>
      <c r="CG26" s="505" t="n">
        <v>0.0039</v>
      </c>
      <c r="CH26" s="505" t="n">
        <v>1.27296609858642</v>
      </c>
      <c r="CI26" s="505" t="n">
        <v>2.896</v>
      </c>
    </row>
    <row r="27" customFormat="false" ht="12.75" hidden="false" customHeight="false" outlineLevel="0" collapsed="false">
      <c r="A27" s="512"/>
      <c r="B27" s="512"/>
      <c r="C27" s="512"/>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2.94401981813238</v>
      </c>
      <c r="BW27" s="369" t="n">
        <v>2.9785</v>
      </c>
      <c r="BX27" s="370" t="n">
        <v>0.550221330219268</v>
      </c>
      <c r="BY27" s="370" t="n">
        <v>0.550221330219268</v>
      </c>
      <c r="BZ27" s="370" t="n">
        <v>0.999619544498461</v>
      </c>
      <c r="CA27" s="370" t="n">
        <v>0.0200113297153544</v>
      </c>
      <c r="CB27" s="370" t="n">
        <v>0.990073216017117</v>
      </c>
      <c r="CC27" s="505" t="n">
        <v>-0.025</v>
      </c>
      <c r="CD27" s="505" t="n">
        <v>0.0025</v>
      </c>
      <c r="CE27" s="505" t="n">
        <v>-0.025</v>
      </c>
      <c r="CF27" s="505" t="n">
        <v>0.0575</v>
      </c>
      <c r="CG27" s="505" t="n">
        <v>0.0039</v>
      </c>
      <c r="CH27" s="505" t="n">
        <v>1.22967093429326</v>
      </c>
      <c r="CI27" s="505" t="n">
        <v>2.946</v>
      </c>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2.98228653716403</v>
      </c>
      <c r="BW28" s="369" t="n">
        <v>3.0165</v>
      </c>
      <c r="BX28" s="370" t="n">
        <v>0.549290255131369</v>
      </c>
      <c r="BY28" s="370" t="n">
        <v>0.549290255131369</v>
      </c>
      <c r="BZ28" s="370" t="n">
        <v>0.999600762798885</v>
      </c>
      <c r="CA28" s="370" t="n">
        <v>0.0204286298094831</v>
      </c>
      <c r="CB28" s="370" t="n">
        <v>0.988217193800728</v>
      </c>
      <c r="CC28" s="505" t="n">
        <v>-0.025</v>
      </c>
      <c r="CD28" s="505" t="n">
        <v>0.0025</v>
      </c>
      <c r="CE28" s="505" t="n">
        <v>-0.025</v>
      </c>
      <c r="CF28" s="505" t="n">
        <v>0.0575</v>
      </c>
      <c r="CG28" s="505" t="n">
        <v>0.0039</v>
      </c>
      <c r="CH28" s="505" t="n">
        <v>1.26827794652385</v>
      </c>
      <c r="CI28" s="505" t="n">
        <v>2.984</v>
      </c>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3.02458133188323</v>
      </c>
      <c r="BW29" s="369" t="n">
        <v>3.0585</v>
      </c>
      <c r="BX29" s="370" t="n">
        <v>0.549894268674422</v>
      </c>
      <c r="BY29" s="370" t="n">
        <v>0.549894268674422</v>
      </c>
      <c r="BZ29" s="370" t="n">
        <v>0.999594501799685</v>
      </c>
      <c r="CA29" s="370" t="n">
        <v>0.021065008234304</v>
      </c>
      <c r="CB29" s="370" t="n">
        <v>0.986098940667972</v>
      </c>
      <c r="CC29" s="505" t="n">
        <v>-0.025</v>
      </c>
      <c r="CD29" s="505" t="n">
        <v>0.0025</v>
      </c>
      <c r="CE29" s="505" t="n">
        <v>-0.025</v>
      </c>
      <c r="CF29" s="505" t="n">
        <v>0.0575</v>
      </c>
      <c r="CG29" s="505" t="n">
        <v>0.0039</v>
      </c>
      <c r="CH29" s="505" t="n">
        <v>1.26555938045328</v>
      </c>
      <c r="CI29" s="505" t="n">
        <v>3.026</v>
      </c>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3.01652518050814</v>
      </c>
      <c r="BW30" s="369" t="n">
        <v>3.0505</v>
      </c>
      <c r="BX30" s="370" t="n">
        <v>0.548527673591454</v>
      </c>
      <c r="BY30" s="370" t="n">
        <v>0.548527673591454</v>
      </c>
      <c r="BZ30" s="370" t="n">
        <v>0.999649205959279</v>
      </c>
      <c r="CA30" s="370" t="n">
        <v>0.0217013867962765</v>
      </c>
      <c r="CB30" s="370" t="n">
        <v>0.983880178541275</v>
      </c>
      <c r="CC30" s="505" t="n">
        <v>-0.025</v>
      </c>
      <c r="CD30" s="505" t="n">
        <v>0.0025</v>
      </c>
      <c r="CE30" s="505" t="n">
        <v>-0.025</v>
      </c>
      <c r="CF30" s="505" t="n">
        <v>0.0575</v>
      </c>
      <c r="CG30" s="505" t="n">
        <v>0.0039</v>
      </c>
      <c r="CH30" s="505" t="n">
        <v>1.22197918174826</v>
      </c>
      <c r="CI30" s="505" t="n">
        <v>3.018</v>
      </c>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3.02961642649265</v>
      </c>
      <c r="BW31" s="369" t="n">
        <v>3.0635</v>
      </c>
      <c r="BX31" s="370" t="n">
        <v>0.5511830669082</v>
      </c>
      <c r="BY31" s="370" t="n">
        <v>0.5511830669082</v>
      </c>
      <c r="BZ31" s="370" t="n">
        <v>0.999627432904601</v>
      </c>
      <c r="CA31" s="370" t="n">
        <v>0.022410164045374</v>
      </c>
      <c r="CB31" s="370" t="n">
        <v>0.981562668478235</v>
      </c>
      <c r="CC31" s="505" t="n">
        <v>-0.025</v>
      </c>
      <c r="CD31" s="505" t="n">
        <v>0.0025</v>
      </c>
      <c r="CE31" s="505" t="n">
        <v>-0.025</v>
      </c>
      <c r="CF31" s="505" t="n">
        <v>0.0575</v>
      </c>
      <c r="CG31" s="505" t="n">
        <v>0.0039</v>
      </c>
      <c r="CH31" s="505" t="n">
        <v>1.25973752872497</v>
      </c>
      <c r="CI31" s="505" t="n">
        <v>3.031</v>
      </c>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3.21087983243205</v>
      </c>
      <c r="BW32" s="369" t="n">
        <v>3.2435</v>
      </c>
      <c r="BX32" s="370" t="n">
        <v>0.557476031074478</v>
      </c>
      <c r="BY32" s="370" t="n">
        <v>0.557476031074478</v>
      </c>
      <c r="BZ32" s="370" t="n">
        <v>0.99956539361632</v>
      </c>
      <c r="CA32" s="370" t="n">
        <v>0.0232740649677528</v>
      </c>
      <c r="CB32" s="370" t="n">
        <v>0.97893835036076</v>
      </c>
      <c r="CC32" s="505" t="n">
        <v>-0.025</v>
      </c>
      <c r="CD32" s="505" t="n">
        <v>0.0025</v>
      </c>
      <c r="CE32" s="505" t="n">
        <v>-0.025</v>
      </c>
      <c r="CF32" s="505" t="n">
        <v>0.0575</v>
      </c>
      <c r="CG32" s="505" t="n">
        <v>0.0039</v>
      </c>
      <c r="CH32" s="505" t="n">
        <v>1.21584143114806</v>
      </c>
      <c r="CI32" s="505" t="n">
        <v>3.211</v>
      </c>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3.37200285993374</v>
      </c>
      <c r="BW33" s="369" t="n">
        <v>3.4035</v>
      </c>
      <c r="BX33" s="370" t="n">
        <v>0.570790000341453</v>
      </c>
      <c r="BY33" s="370" t="n">
        <v>0.570790000341453</v>
      </c>
      <c r="BZ33" s="370" t="n">
        <v>0.999400554739149</v>
      </c>
      <c r="CA33" s="370" t="n">
        <v>0.024110098358836</v>
      </c>
      <c r="CB33" s="370" t="n">
        <v>0.976270925999808</v>
      </c>
      <c r="CC33" s="505" t="n">
        <v>-0.025</v>
      </c>
      <c r="CD33" s="505" t="n">
        <v>0.0025</v>
      </c>
      <c r="CE33" s="505" t="n">
        <v>-0.025</v>
      </c>
      <c r="CF33" s="505" t="n">
        <v>0.0575</v>
      </c>
      <c r="CG33" s="505" t="n">
        <v>0.0039</v>
      </c>
      <c r="CH33" s="505" t="n">
        <v>1.25294610642815</v>
      </c>
      <c r="CI33" s="505" t="n">
        <v>3.371</v>
      </c>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3.44752927907515</v>
      </c>
      <c r="BW34" s="369" t="n">
        <v>3.4785</v>
      </c>
      <c r="BX34" s="370" t="n">
        <v>0.56836354878586</v>
      </c>
      <c r="BY34" s="370" t="n">
        <v>0.56836354878586</v>
      </c>
      <c r="BZ34" s="370" t="n">
        <v>0.99941014163964</v>
      </c>
      <c r="CA34" s="370" t="n">
        <v>0.0250384261928196</v>
      </c>
      <c r="CB34" s="370" t="n">
        <v>0.97331647833328</v>
      </c>
      <c r="CC34" s="505" t="n">
        <v>-0.025</v>
      </c>
      <c r="CD34" s="505" t="n">
        <v>0.0025</v>
      </c>
      <c r="CE34" s="505" t="n">
        <v>-0.025</v>
      </c>
      <c r="CF34" s="505" t="n">
        <v>0.0575</v>
      </c>
      <c r="CG34" s="505" t="n">
        <v>0.0039</v>
      </c>
      <c r="CH34" s="505" t="n">
        <v>1.24915436829293</v>
      </c>
      <c r="CI34" s="505" t="n">
        <v>3.446</v>
      </c>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3.37200285993374</v>
      </c>
      <c r="BW35" s="369" t="n">
        <v>3.4035</v>
      </c>
      <c r="BX35" s="370" t="n">
        <v>0.554353390063384</v>
      </c>
      <c r="BY35" s="370" t="n">
        <v>0.554353390063384</v>
      </c>
      <c r="BZ35" s="370" t="n">
        <v>0.999478556026464</v>
      </c>
      <c r="CA35" s="370" t="n">
        <v>0.0260449864197474</v>
      </c>
      <c r="CB35" s="370" t="n">
        <v>0.970132608451962</v>
      </c>
      <c r="CC35" s="505" t="n">
        <v>-0.025</v>
      </c>
      <c r="CD35" s="505" t="n">
        <v>0.0025</v>
      </c>
      <c r="CE35" s="505" t="n">
        <v>-0.025</v>
      </c>
      <c r="CF35" s="505" t="n">
        <v>0.0575</v>
      </c>
      <c r="CG35" s="505" t="n">
        <v>0.0039</v>
      </c>
      <c r="CH35" s="505" t="n">
        <v>1.12457771971751</v>
      </c>
      <c r="CI35" s="505" t="n">
        <v>3.371</v>
      </c>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3.28137115696404</v>
      </c>
      <c r="BW36" s="369" t="n">
        <v>3.3135</v>
      </c>
      <c r="BX36" s="370" t="n">
        <v>0.50293567145062</v>
      </c>
      <c r="BY36" s="370" t="n">
        <v>0.50293567145062</v>
      </c>
      <c r="BZ36" s="370" t="n">
        <v>0.999612455841105</v>
      </c>
      <c r="CA36" s="370" t="n">
        <v>0.0269541378866576</v>
      </c>
      <c r="CB36" s="370" t="n">
        <v>0.967126070368611</v>
      </c>
      <c r="CC36" s="505" t="n">
        <v>-0.025</v>
      </c>
      <c r="CD36" s="505" t="n">
        <v>0.0025</v>
      </c>
      <c r="CE36" s="505" t="n">
        <v>-0.025</v>
      </c>
      <c r="CF36" s="505" t="n">
        <v>0.0575</v>
      </c>
      <c r="CG36" s="505" t="n">
        <v>0.0039</v>
      </c>
      <c r="CH36" s="505" t="n">
        <v>1.24120959871108</v>
      </c>
      <c r="CI36" s="505" t="n">
        <v>3.281</v>
      </c>
    </row>
    <row r="37" customFormat="false" ht="12.75" hidden="false" customHeight="false" outlineLevel="0" collapsed="false">
      <c r="A37" s="512"/>
      <c r="B37" s="512"/>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3.12528322407178</v>
      </c>
      <c r="BW37" s="369" t="n">
        <v>3.1585</v>
      </c>
      <c r="BX37" s="370" t="n">
        <v>0.388875549675273</v>
      </c>
      <c r="BY37" s="370" t="n">
        <v>0.388875549675273</v>
      </c>
      <c r="BZ37" s="370" t="n">
        <v>0.999842152988947</v>
      </c>
      <c r="CA37" s="370" t="n">
        <v>0.0279745964320606</v>
      </c>
      <c r="CB37" s="370" t="n">
        <v>0.963636615990319</v>
      </c>
      <c r="CC37" s="505" t="n">
        <v>-0.025</v>
      </c>
      <c r="CD37" s="505" t="n">
        <v>0.0025</v>
      </c>
      <c r="CE37" s="505" t="n">
        <v>-0.025</v>
      </c>
      <c r="CF37" s="505" t="n">
        <v>0.0575</v>
      </c>
      <c r="CG37" s="505" t="n">
        <v>0.0039</v>
      </c>
      <c r="CH37" s="505" t="n">
        <v>1.19683667705998</v>
      </c>
      <c r="CI37" s="505" t="n">
        <v>3.126</v>
      </c>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3.12629024299367</v>
      </c>
      <c r="BW38" s="369" t="n">
        <v>3.1595</v>
      </c>
      <c r="BX38" s="370" t="n">
        <v>0.376159329765107</v>
      </c>
      <c r="BY38" s="370" t="n">
        <v>0.376159329765107</v>
      </c>
      <c r="BZ38" s="370" t="n">
        <v>0.999795557573607</v>
      </c>
      <c r="CA38" s="370" t="n">
        <v>0.0289631800763801</v>
      </c>
      <c r="CB38" s="370" t="n">
        <v>0.960114752892753</v>
      </c>
      <c r="CC38" s="505" t="n">
        <v>-0.025</v>
      </c>
      <c r="CD38" s="505" t="n">
        <v>0.0025</v>
      </c>
      <c r="CE38" s="505" t="n">
        <v>-0.025</v>
      </c>
      <c r="CF38" s="505" t="n">
        <v>0.0575</v>
      </c>
      <c r="CG38" s="505" t="n">
        <v>0.0039</v>
      </c>
      <c r="CH38" s="505" t="n">
        <v>1.23221127386256</v>
      </c>
      <c r="CI38" s="505" t="n">
        <v>3.127</v>
      </c>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3.16153590525966</v>
      </c>
      <c r="BW39" s="369" t="n">
        <v>3.1945</v>
      </c>
      <c r="BX39" s="370" t="n">
        <v>0.375845949287242</v>
      </c>
      <c r="BY39" s="370" t="n">
        <v>0.375845949287242</v>
      </c>
      <c r="BZ39" s="370" t="n">
        <v>0.999812832287823</v>
      </c>
      <c r="CA39" s="370" t="n">
        <v>0.0299847168551968</v>
      </c>
      <c r="CB39" s="370" t="n">
        <v>0.956328852591432</v>
      </c>
      <c r="CC39" s="505" t="n">
        <v>-0.025</v>
      </c>
      <c r="CD39" s="505" t="n">
        <v>0.0025</v>
      </c>
      <c r="CE39" s="505" t="n">
        <v>-0.025</v>
      </c>
      <c r="CF39" s="505" t="n">
        <v>0.0575</v>
      </c>
      <c r="CG39" s="505" t="n">
        <v>0.0039</v>
      </c>
      <c r="CH39" s="505" t="n">
        <v>1.18776043491856</v>
      </c>
      <c r="CI39" s="505" t="n">
        <v>3.162</v>
      </c>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3.20383069997885</v>
      </c>
      <c r="BW40" s="369" t="n">
        <v>3.2365</v>
      </c>
      <c r="BX40" s="370" t="n">
        <v>0.377568797335415</v>
      </c>
      <c r="BY40" s="370" t="n">
        <v>0.377568797335415</v>
      </c>
      <c r="BZ40" s="370" t="n">
        <v>0.999778646142728</v>
      </c>
      <c r="CA40" s="370" t="n">
        <v>0.0309652793004798</v>
      </c>
      <c r="CB40" s="370" t="n">
        <v>0.95253693379797</v>
      </c>
      <c r="CC40" s="505" t="n">
        <v>-0.025</v>
      </c>
      <c r="CD40" s="505" t="n">
        <v>0.0025</v>
      </c>
      <c r="CE40" s="505" t="n">
        <v>-0.025</v>
      </c>
      <c r="CF40" s="505" t="n">
        <v>0.0575</v>
      </c>
      <c r="CG40" s="505" t="n">
        <v>0.0039</v>
      </c>
      <c r="CH40" s="505" t="n">
        <v>1.22248590083632</v>
      </c>
      <c r="CI40" s="505" t="n">
        <v>3.204</v>
      </c>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3.24612549469805</v>
      </c>
      <c r="BW41" s="369" t="n">
        <v>3.2785</v>
      </c>
      <c r="BX41" s="370" t="n">
        <v>0.37917572731747</v>
      </c>
      <c r="BY41" s="370" t="n">
        <v>0.37917572731747</v>
      </c>
      <c r="BZ41" s="370" t="n">
        <v>0.999750500172068</v>
      </c>
      <c r="CA41" s="370" t="n">
        <v>0.0319670833322725</v>
      </c>
      <c r="CB41" s="370" t="n">
        <v>0.948494893378275</v>
      </c>
      <c r="CC41" s="505" t="n">
        <v>-0.025</v>
      </c>
      <c r="CD41" s="505" t="n">
        <v>0.0025</v>
      </c>
      <c r="CE41" s="505" t="n">
        <v>-0.025</v>
      </c>
      <c r="CF41" s="505" t="n">
        <v>0.0575</v>
      </c>
      <c r="CG41" s="505" t="n">
        <v>0.0039</v>
      </c>
      <c r="CH41" s="505" t="n">
        <v>1.21729834616168</v>
      </c>
      <c r="CI41" s="505" t="n">
        <v>3.246</v>
      </c>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3.24109040008862</v>
      </c>
      <c r="BW42" s="369" t="n">
        <v>3.2735</v>
      </c>
      <c r="BX42" s="370" t="n">
        <v>0.376255879342064</v>
      </c>
      <c r="BY42" s="370" t="n">
        <v>0.376255879342064</v>
      </c>
      <c r="BZ42" s="370" t="n">
        <v>0.999766454277572</v>
      </c>
      <c r="CA42" s="370" t="n">
        <v>0.032968887702129</v>
      </c>
      <c r="CB42" s="370" t="n">
        <v>0.944312700032904</v>
      </c>
      <c r="CC42" s="505" t="n">
        <v>-0.025</v>
      </c>
      <c r="CD42" s="505" t="n">
        <v>0.0025</v>
      </c>
      <c r="CE42" s="505" t="n">
        <v>-0.025</v>
      </c>
      <c r="CF42" s="505" t="n">
        <v>0.0575</v>
      </c>
      <c r="CG42" s="505" t="n">
        <v>0.0039</v>
      </c>
      <c r="CH42" s="505" t="n">
        <v>1.17283637344087</v>
      </c>
      <c r="CI42" s="505" t="n">
        <v>3.241</v>
      </c>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3.26727289205764</v>
      </c>
      <c r="BW43" s="369" t="n">
        <v>3.2995</v>
      </c>
      <c r="BX43" s="370" t="n">
        <v>0.38041410598552</v>
      </c>
      <c r="BY43" s="370" t="n">
        <v>0.38041410598552</v>
      </c>
      <c r="BZ43" s="370" t="n">
        <v>0.999734109484796</v>
      </c>
      <c r="CA43" s="370" t="n">
        <v>0.0339067018220711</v>
      </c>
      <c r="CB43" s="370" t="n">
        <v>0.940187685777986</v>
      </c>
      <c r="CC43" s="505" t="n">
        <v>-0.025</v>
      </c>
      <c r="CD43" s="505" t="n">
        <v>0.0025</v>
      </c>
      <c r="CE43" s="505" t="n">
        <v>-0.025</v>
      </c>
      <c r="CF43" s="505" t="n">
        <v>0.0575</v>
      </c>
      <c r="CG43" s="505" t="n">
        <v>0.0039</v>
      </c>
      <c r="CH43" s="505" t="n">
        <v>1.20663687592747</v>
      </c>
      <c r="CI43" s="505" t="n">
        <v>3.267</v>
      </c>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3.40322044651219</v>
      </c>
      <c r="BW44" s="369" t="n">
        <v>3.4345</v>
      </c>
      <c r="BX44" s="370" t="n">
        <v>0.385609740274895</v>
      </c>
      <c r="BY44" s="370" t="n">
        <v>0.385609740274895</v>
      </c>
      <c r="BZ44" s="370" t="n">
        <v>0.999584219965167</v>
      </c>
      <c r="CA44" s="370" t="n">
        <v>0.0348361539671314</v>
      </c>
      <c r="CB44" s="370" t="n">
        <v>0.93586587426758</v>
      </c>
      <c r="CC44" s="505" t="n">
        <v>-0.025</v>
      </c>
      <c r="CD44" s="505" t="n">
        <v>0.0025</v>
      </c>
      <c r="CE44" s="505" t="n">
        <v>-0.025</v>
      </c>
      <c r="CF44" s="505" t="n">
        <v>0.0575</v>
      </c>
      <c r="CG44" s="505" t="n">
        <v>0.0039</v>
      </c>
      <c r="CH44" s="505" t="n">
        <v>1.16234541584033</v>
      </c>
      <c r="CI44" s="505" t="n">
        <v>3.402</v>
      </c>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3.53916800096674</v>
      </c>
      <c r="BW45" s="369" t="n">
        <v>3.5695</v>
      </c>
      <c r="BX45" s="370" t="n">
        <v>0.395540413143884</v>
      </c>
      <c r="BY45" s="370" t="n">
        <v>0.395540413143884</v>
      </c>
      <c r="BZ45" s="370" t="n">
        <v>0.999397348720018</v>
      </c>
      <c r="CA45" s="370" t="n">
        <v>0.0357356240616102</v>
      </c>
      <c r="CB45" s="370" t="n">
        <v>0.931565547567078</v>
      </c>
      <c r="CC45" s="505" t="n">
        <v>-0.025</v>
      </c>
      <c r="CD45" s="505" t="n">
        <v>0.0025</v>
      </c>
      <c r="CE45" s="505" t="n">
        <v>-0.025</v>
      </c>
      <c r="CF45" s="505" t="n">
        <v>0.0575</v>
      </c>
      <c r="CG45" s="505" t="n">
        <v>0.0039</v>
      </c>
      <c r="CH45" s="505" t="n">
        <v>1.19557122374759</v>
      </c>
      <c r="CI45" s="505" t="n">
        <v>3.537</v>
      </c>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3.59958913627987</v>
      </c>
      <c r="BW46" s="369" t="n">
        <v>3.6295</v>
      </c>
      <c r="BX46" s="370" t="n">
        <v>0.392965652353069</v>
      </c>
      <c r="BY46" s="370" t="n">
        <v>0.392965652353069</v>
      </c>
      <c r="BZ46" s="370" t="n">
        <v>0.999447842770048</v>
      </c>
      <c r="CA46" s="370" t="n">
        <v>0.0366293995889575</v>
      </c>
      <c r="CB46" s="370" t="n">
        <v>0.927069774742957</v>
      </c>
      <c r="CC46" s="505" t="n">
        <v>-0.025</v>
      </c>
      <c r="CD46" s="505" t="n">
        <v>0.0025</v>
      </c>
      <c r="CE46" s="505" t="n">
        <v>-0.025</v>
      </c>
      <c r="CF46" s="505" t="n">
        <v>0.0575</v>
      </c>
      <c r="CG46" s="505" t="n">
        <v>0.0039</v>
      </c>
      <c r="CH46" s="505" t="n">
        <v>1.18980134890511</v>
      </c>
      <c r="CI46" s="505" t="n">
        <v>3.597</v>
      </c>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3.5139925279196</v>
      </c>
      <c r="BW47" s="369" t="n">
        <v>3.5445</v>
      </c>
      <c r="BX47" s="370" t="n">
        <v>0.390732432296569</v>
      </c>
      <c r="BY47" s="370" t="n">
        <v>0.390732432296569</v>
      </c>
      <c r="BZ47" s="370" t="n">
        <v>0.999497297042968</v>
      </c>
      <c r="CA47" s="370" t="n">
        <v>0.0374851197051385</v>
      </c>
      <c r="CB47" s="370" t="n">
        <v>0.922533811762705</v>
      </c>
      <c r="CC47" s="505" t="n">
        <v>-0.025</v>
      </c>
      <c r="CD47" s="505" t="n">
        <v>0.0025</v>
      </c>
      <c r="CE47" s="505" t="n">
        <v>-0.025</v>
      </c>
      <c r="CF47" s="505" t="n">
        <v>0.0575</v>
      </c>
      <c r="CG47" s="505" t="n">
        <v>0.0039</v>
      </c>
      <c r="CH47" s="505" t="n">
        <v>1.1075940944023</v>
      </c>
      <c r="CI47" s="505" t="n">
        <v>3.512</v>
      </c>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3.38308006807448</v>
      </c>
      <c r="BW48" s="369" t="n">
        <v>3.4145</v>
      </c>
      <c r="BX48" s="370" t="n">
        <v>0.366388286442151</v>
      </c>
      <c r="BY48" s="370" t="n">
        <v>0.366388286442151</v>
      </c>
      <c r="BZ48" s="370" t="n">
        <v>0.999668749341343</v>
      </c>
      <c r="CA48" s="370" t="n">
        <v>0.0382856322945879</v>
      </c>
      <c r="CB48" s="370" t="n">
        <v>0.918192690834127</v>
      </c>
      <c r="CC48" s="505" t="n">
        <v>-0.025</v>
      </c>
      <c r="CD48" s="505" t="n">
        <v>0.0025</v>
      </c>
      <c r="CE48" s="505" t="n">
        <v>-0.025</v>
      </c>
      <c r="CF48" s="505" t="n">
        <v>0.0575</v>
      </c>
      <c r="CG48" s="505" t="n">
        <v>0.0039</v>
      </c>
      <c r="CH48" s="505" t="n">
        <v>1.17840849941652</v>
      </c>
      <c r="CI48" s="505" t="n">
        <v>3.382</v>
      </c>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3.19678156752565</v>
      </c>
      <c r="BW49" s="369" t="n">
        <v>3.2295</v>
      </c>
      <c r="BX49" s="370" t="n">
        <v>0.331357120013448</v>
      </c>
      <c r="BY49" s="370" t="n">
        <v>0.331357120013448</v>
      </c>
      <c r="BZ49" s="370" t="n">
        <v>0.999892499608072</v>
      </c>
      <c r="CA49" s="370" t="n">
        <v>0.0390847146165725</v>
      </c>
      <c r="CB49" s="370" t="n">
        <v>0.913567985593808</v>
      </c>
      <c r="CC49" s="505" t="n">
        <v>-0.025</v>
      </c>
      <c r="CD49" s="505" t="n">
        <v>0.0025</v>
      </c>
      <c r="CE49" s="505" t="n">
        <v>-0.025</v>
      </c>
      <c r="CF49" s="505" t="n">
        <v>0.0575</v>
      </c>
      <c r="CG49" s="505" t="n">
        <v>0.0039</v>
      </c>
      <c r="CH49" s="505" t="n">
        <v>1.13465143810751</v>
      </c>
      <c r="CI49" s="505" t="n">
        <v>3.197</v>
      </c>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3.19174647291623</v>
      </c>
      <c r="BW50" s="369" t="n">
        <v>3.2245</v>
      </c>
      <c r="BX50" s="370" t="n">
        <v>0.327601342960546</v>
      </c>
      <c r="BY50" s="370" t="n">
        <v>0.327601342960546</v>
      </c>
      <c r="BZ50" s="370" t="n">
        <v>0.999861127315105</v>
      </c>
      <c r="CA50" s="370" t="n">
        <v>0.0397995549683068</v>
      </c>
      <c r="CB50" s="370" t="n">
        <v>0.909126089677525</v>
      </c>
      <c r="CC50" s="505" t="n">
        <v>-0.025</v>
      </c>
      <c r="CD50" s="505" t="n">
        <v>0.0025</v>
      </c>
      <c r="CE50" s="505" t="n">
        <v>-0.025</v>
      </c>
      <c r="CF50" s="505" t="n">
        <v>0.0575</v>
      </c>
      <c r="CG50" s="505" t="n">
        <v>0.0039</v>
      </c>
      <c r="CH50" s="505" t="n">
        <v>1.16677242349213</v>
      </c>
      <c r="CI50" s="505" t="n">
        <v>3.192</v>
      </c>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3.22699213518222</v>
      </c>
      <c r="BW51" s="369" t="n">
        <v>3.2595</v>
      </c>
      <c r="BX51" s="370" t="n">
        <v>0.322553846057612</v>
      </c>
      <c r="BY51" s="370" t="n">
        <v>0.322553846057612</v>
      </c>
      <c r="BZ51" s="370" t="n">
        <v>0.999865989127866</v>
      </c>
      <c r="CA51" s="370" t="n">
        <v>0.0405382235118998</v>
      </c>
      <c r="CB51" s="370" t="n">
        <v>0.904449976505324</v>
      </c>
      <c r="CC51" s="505" t="n">
        <v>-0.025</v>
      </c>
      <c r="CD51" s="505" t="n">
        <v>0.0025</v>
      </c>
      <c r="CE51" s="505" t="n">
        <v>-0.025</v>
      </c>
      <c r="CF51" s="505" t="n">
        <v>0.0575</v>
      </c>
      <c r="CG51" s="505" t="n">
        <v>0.0039</v>
      </c>
      <c r="CH51" s="505" t="n">
        <v>1.12332687081961</v>
      </c>
      <c r="CI51" s="505" t="n">
        <v>3.227</v>
      </c>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3.26727289205764</v>
      </c>
      <c r="BW52" s="369" t="n">
        <v>3.2995</v>
      </c>
      <c r="BX52" s="370" t="n">
        <v>0.323758663407093</v>
      </c>
      <c r="BY52" s="370" t="n">
        <v>0.323758663407093</v>
      </c>
      <c r="BZ52" s="370" t="n">
        <v>0.999835783547076</v>
      </c>
      <c r="CA52" s="370" t="n">
        <v>0.0412152492802473</v>
      </c>
      <c r="CB52" s="370" t="n">
        <v>0.899929041596613</v>
      </c>
      <c r="CC52" s="505" t="n">
        <v>-0.025</v>
      </c>
      <c r="CD52" s="505" t="n">
        <v>0.0025</v>
      </c>
      <c r="CE52" s="505" t="n">
        <v>-0.025</v>
      </c>
      <c r="CF52" s="505" t="n">
        <v>0.0575</v>
      </c>
      <c r="CG52" s="505" t="n">
        <v>0.0039</v>
      </c>
      <c r="CH52" s="505" t="n">
        <v>1.15496893198509</v>
      </c>
      <c r="CI52" s="505" t="n">
        <v>3.267</v>
      </c>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3.30755364893306</v>
      </c>
      <c r="BW53" s="369" t="n">
        <v>3.3395</v>
      </c>
      <c r="BX53" s="370" t="n">
        <v>0.324924899747912</v>
      </c>
      <c r="BY53" s="370" t="n">
        <v>0.324924899747912</v>
      </c>
      <c r="BZ53" s="370" t="n">
        <v>0.999808984709756</v>
      </c>
      <c r="CA53" s="370" t="n">
        <v>0.0418733656308259</v>
      </c>
      <c r="CB53" s="370" t="n">
        <v>0.895276283112479</v>
      </c>
      <c r="CC53" s="505" t="n">
        <v>-0.025</v>
      </c>
      <c r="CD53" s="505" t="n">
        <v>0.0025</v>
      </c>
      <c r="CE53" s="505" t="n">
        <v>-0.025</v>
      </c>
      <c r="CF53" s="505" t="n">
        <v>0.0575</v>
      </c>
      <c r="CG53" s="505" t="n">
        <v>0.0039</v>
      </c>
      <c r="CH53" s="505" t="n">
        <v>1.14899758174656</v>
      </c>
      <c r="CI53" s="505" t="n">
        <v>3.307</v>
      </c>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3.30251855432364</v>
      </c>
      <c r="BW54" s="369" t="n">
        <v>3.3345</v>
      </c>
      <c r="BX54" s="370" t="n">
        <v>0.324623837003911</v>
      </c>
      <c r="BY54" s="370" t="n">
        <v>0.324623837003911</v>
      </c>
      <c r="BZ54" s="370" t="n">
        <v>0.999820412690366</v>
      </c>
      <c r="CA54" s="370" t="n">
        <v>0.0425314821265914</v>
      </c>
      <c r="CB54" s="370" t="n">
        <v>0.890550622336601</v>
      </c>
      <c r="CC54" s="505" t="n">
        <v>-0.025</v>
      </c>
      <c r="CD54" s="505" t="n">
        <v>0.0025</v>
      </c>
      <c r="CE54" s="505" t="n">
        <v>-0.025</v>
      </c>
      <c r="CF54" s="505" t="n">
        <v>0.0575</v>
      </c>
      <c r="CG54" s="505" t="n">
        <v>0.0039</v>
      </c>
      <c r="CH54" s="505" t="n">
        <v>1.10606387294206</v>
      </c>
      <c r="CI54" s="505" t="n">
        <v>3.302</v>
      </c>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3.32769402737077</v>
      </c>
      <c r="BW55" s="369" t="n">
        <v>3.3595</v>
      </c>
      <c r="BX55" s="370" t="n">
        <v>0.325957791635222</v>
      </c>
      <c r="BY55" s="370" t="n">
        <v>0.325957791635222</v>
      </c>
      <c r="BZ55" s="370" t="n">
        <v>0.999787395403183</v>
      </c>
      <c r="CA55" s="370" t="n">
        <v>0.0431331290786572</v>
      </c>
      <c r="CB55" s="370" t="n">
        <v>0.885996047822783</v>
      </c>
      <c r="CC55" s="505" t="n">
        <v>-0.025</v>
      </c>
      <c r="CD55" s="505" t="n">
        <v>0.0025</v>
      </c>
      <c r="CE55" s="505" t="n">
        <v>-0.025</v>
      </c>
      <c r="CF55" s="505" t="n">
        <v>0.0575</v>
      </c>
      <c r="CG55" s="505" t="n">
        <v>0.0039</v>
      </c>
      <c r="CH55" s="505" t="n">
        <v>1.13708732777576</v>
      </c>
      <c r="CI55" s="505" t="n">
        <v>3.327</v>
      </c>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3.48196932620364</v>
      </c>
      <c r="BW56" s="369" t="n">
        <v>3.5115</v>
      </c>
      <c r="BX56" s="370" t="n">
        <v>0.32</v>
      </c>
      <c r="BY56" s="370" t="n">
        <v>0.32</v>
      </c>
      <c r="BZ56" s="370" t="n">
        <v>0</v>
      </c>
      <c r="CA56" s="370" t="n">
        <v>0.0437209690349563</v>
      </c>
      <c r="CB56" s="370" t="n">
        <v>0</v>
      </c>
      <c r="CC56" s="505" t="n">
        <v>-0.025</v>
      </c>
      <c r="CD56" s="505" t="n">
        <v>0.0037</v>
      </c>
      <c r="CE56" s="505" t="n">
        <v>-0.025</v>
      </c>
      <c r="CF56" s="505" t="n">
        <v>0.0575</v>
      </c>
      <c r="CG56" s="505" t="n">
        <v>0.0039</v>
      </c>
      <c r="CH56" s="505" t="n">
        <v>0</v>
      </c>
      <c r="CI56" s="505" t="n">
        <v>3.479</v>
      </c>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3.48196932620364</v>
      </c>
      <c r="BW57" s="369" t="n">
        <v>3.5115</v>
      </c>
      <c r="BX57" s="370" t="n">
        <v>0.32</v>
      </c>
      <c r="BY57" s="370" t="n">
        <v>0.32</v>
      </c>
      <c r="BZ57" s="370" t="n">
        <v>0</v>
      </c>
      <c r="CA57" s="370" t="n">
        <v>0.0437209690349563</v>
      </c>
      <c r="CB57" s="370" t="n">
        <v>0</v>
      </c>
      <c r="CC57" s="505" t="n">
        <v>-0.025</v>
      </c>
      <c r="CD57" s="505" t="n">
        <v>0.0037</v>
      </c>
      <c r="CE57" s="505" t="n">
        <v>-0.025</v>
      </c>
      <c r="CF57" s="505" t="n">
        <v>0.0575</v>
      </c>
      <c r="CG57" s="505" t="n">
        <v>0.0039</v>
      </c>
      <c r="CH57" s="505" t="n">
        <v>0</v>
      </c>
      <c r="CI57" s="505" t="n">
        <v>3.479</v>
      </c>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3.48196932620364</v>
      </c>
      <c r="BW58" s="369" t="n">
        <v>3.5115</v>
      </c>
      <c r="BX58" s="370" t="n">
        <v>0.32</v>
      </c>
      <c r="BY58" s="370" t="n">
        <v>0.32</v>
      </c>
      <c r="BZ58" s="370" t="n">
        <v>0</v>
      </c>
      <c r="CA58" s="370" t="n">
        <v>0.0437209690349563</v>
      </c>
      <c r="CB58" s="370" t="n">
        <v>0</v>
      </c>
      <c r="CC58" s="505" t="n">
        <v>-0.025</v>
      </c>
      <c r="CD58" s="505" t="n">
        <v>0.0037</v>
      </c>
      <c r="CE58" s="505" t="n">
        <v>-0.025</v>
      </c>
      <c r="CF58" s="505" t="n">
        <v>0.0575</v>
      </c>
      <c r="CG58" s="505" t="n">
        <v>0.0039</v>
      </c>
      <c r="CH58" s="505" t="n">
        <v>0</v>
      </c>
      <c r="CI58" s="505" t="n">
        <v>3.479</v>
      </c>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3.48196932620364</v>
      </c>
      <c r="BW59" s="369" t="n">
        <v>3.5115</v>
      </c>
      <c r="BX59" s="370" t="n">
        <v>0.32</v>
      </c>
      <c r="BY59" s="370" t="n">
        <v>0.32</v>
      </c>
      <c r="BZ59" s="370" t="n">
        <v>0</v>
      </c>
      <c r="CA59" s="370" t="n">
        <v>0.0437209690349563</v>
      </c>
      <c r="CB59" s="370" t="n">
        <v>0</v>
      </c>
      <c r="CC59" s="505" t="n">
        <v>-0.025</v>
      </c>
      <c r="CD59" s="505" t="n">
        <v>0.0037</v>
      </c>
      <c r="CE59" s="505" t="n">
        <v>-0.025</v>
      </c>
      <c r="CF59" s="505" t="n">
        <v>0.0575</v>
      </c>
      <c r="CG59" s="505" t="n">
        <v>0.0039</v>
      </c>
      <c r="CH59" s="505" t="n">
        <v>0</v>
      </c>
      <c r="CI59" s="505" t="n">
        <v>3.479</v>
      </c>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3.48196932620364</v>
      </c>
      <c r="BW60" s="369" t="n">
        <v>3.5115</v>
      </c>
      <c r="BX60" s="370" t="n">
        <v>0.32</v>
      </c>
      <c r="BY60" s="370" t="n">
        <v>0.32</v>
      </c>
      <c r="BZ60" s="370" t="n">
        <v>0</v>
      </c>
      <c r="CA60" s="370" t="n">
        <v>0.0437209690349563</v>
      </c>
      <c r="CB60" s="370" t="n">
        <v>0</v>
      </c>
      <c r="CC60" s="505" t="n">
        <v>-0.025</v>
      </c>
      <c r="CD60" s="505" t="n">
        <v>0.0037</v>
      </c>
      <c r="CE60" s="505" t="n">
        <v>-0.025</v>
      </c>
      <c r="CF60" s="505" t="n">
        <v>0.0575</v>
      </c>
      <c r="CG60" s="505" t="n">
        <v>0.0039</v>
      </c>
      <c r="CH60" s="505" t="n">
        <v>0</v>
      </c>
      <c r="CI60" s="505" t="n">
        <v>3.479</v>
      </c>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3.48196932620364</v>
      </c>
      <c r="BW61" s="369" t="n">
        <v>3.5115</v>
      </c>
      <c r="BX61" s="370" t="n">
        <v>0.32</v>
      </c>
      <c r="BY61" s="370" t="n">
        <v>0.32</v>
      </c>
      <c r="BZ61" s="370" t="n">
        <v>0</v>
      </c>
      <c r="CA61" s="370" t="n">
        <v>0.0437209690349563</v>
      </c>
      <c r="CB61" s="370" t="n">
        <v>0</v>
      </c>
      <c r="CC61" s="505" t="n">
        <v>-0.025</v>
      </c>
      <c r="CD61" s="505" t="n">
        <v>0.0037</v>
      </c>
      <c r="CE61" s="505" t="n">
        <v>-0.025</v>
      </c>
      <c r="CF61" s="505" t="n">
        <v>0.0575</v>
      </c>
      <c r="CG61" s="505" t="n">
        <v>0.0039</v>
      </c>
      <c r="CH61" s="505" t="n">
        <v>0</v>
      </c>
      <c r="CI61" s="505" t="n">
        <v>3.479</v>
      </c>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3.48196932620364</v>
      </c>
      <c r="BW62" s="369" t="n">
        <v>3.5115</v>
      </c>
      <c r="BX62" s="370" t="n">
        <v>0.32</v>
      </c>
      <c r="BY62" s="370" t="n">
        <v>0.32</v>
      </c>
      <c r="BZ62" s="370" t="n">
        <v>0</v>
      </c>
      <c r="CA62" s="370" t="n">
        <v>0.0437209690349563</v>
      </c>
      <c r="CB62" s="370" t="n">
        <v>0</v>
      </c>
      <c r="CC62" s="505" t="n">
        <v>-0.025</v>
      </c>
      <c r="CD62" s="505" t="n">
        <v>0.0037</v>
      </c>
      <c r="CE62" s="505" t="n">
        <v>-0.025</v>
      </c>
      <c r="CF62" s="505" t="n">
        <v>0.0575</v>
      </c>
      <c r="CG62" s="505" t="n">
        <v>0.0039</v>
      </c>
      <c r="CH62" s="505" t="n">
        <v>0</v>
      </c>
      <c r="CI62" s="505" t="n">
        <v>3.479</v>
      </c>
    </row>
    <row r="63" customFormat="false" ht="12.75" hidden="false" customHeight="false" outlineLevel="0" collapsed="false">
      <c r="A63" s="500"/>
      <c r="B63" s="500"/>
      <c r="K63" s="363"/>
      <c r="L63" s="501"/>
      <c r="N63" s="502"/>
      <c r="O63" s="502"/>
      <c r="P63" s="371"/>
      <c r="Q63" s="501"/>
      <c r="R63" s="501"/>
      <c r="U63" s="501"/>
      <c r="V63" s="503"/>
      <c r="W63" s="503"/>
      <c r="X63" s="503"/>
      <c r="Y63" s="504"/>
      <c r="Z63" s="504"/>
      <c r="AA63" s="504"/>
      <c r="AB63" s="504"/>
      <c r="AC63" s="504"/>
      <c r="AF63" s="378"/>
      <c r="AG63" s="378"/>
      <c r="AH63" s="378"/>
      <c r="AI63" s="378"/>
      <c r="AL63" s="505"/>
      <c r="AM63" s="505"/>
      <c r="AN63" s="505"/>
      <c r="AO63" s="505"/>
      <c r="AQ63" s="370"/>
      <c r="AT63" s="370"/>
      <c r="AV63" s="134"/>
      <c r="AW63" s="370"/>
      <c r="AX63" s="370"/>
      <c r="AY63" s="370"/>
      <c r="AZ63" s="370"/>
      <c r="BA63" s="507"/>
      <c r="BB63" s="505"/>
      <c r="BC63" s="505"/>
      <c r="BD63" s="370"/>
      <c r="BE63" s="370"/>
      <c r="BF63" s="370"/>
      <c r="BG63" s="370"/>
      <c r="BH63" s="370"/>
      <c r="BI63" s="370"/>
      <c r="BJ63" s="370"/>
      <c r="BK63" s="370"/>
      <c r="BL63" s="370"/>
      <c r="BM63" s="370"/>
      <c r="BO63" s="370"/>
      <c r="BP63" s="370"/>
      <c r="BQ63" s="370"/>
      <c r="BR63" s="370"/>
      <c r="BS63" s="370"/>
      <c r="BV63" s="508"/>
      <c r="BW63" s="369"/>
      <c r="BX63" s="370"/>
      <c r="BY63" s="370"/>
      <c r="BZ63" s="370"/>
      <c r="CA63" s="370"/>
      <c r="CB63" s="370"/>
      <c r="CC63" s="505"/>
      <c r="CD63" s="505"/>
      <c r="CE63" s="505"/>
      <c r="CF63" s="505"/>
    </row>
    <row r="64" customFormat="false" ht="12.75" hidden="false" customHeight="false" outlineLevel="0" collapsed="false">
      <c r="A64" s="500"/>
      <c r="B64" s="500"/>
      <c r="K64" s="363"/>
      <c r="L64" s="501"/>
      <c r="N64" s="502"/>
      <c r="O64" s="502"/>
      <c r="P64" s="371"/>
      <c r="Q64" s="501"/>
      <c r="R64" s="501"/>
      <c r="U64" s="501"/>
      <c r="V64" s="503"/>
      <c r="W64" s="503"/>
      <c r="X64" s="503"/>
      <c r="Y64" s="504"/>
      <c r="Z64" s="504"/>
      <c r="AA64" s="504"/>
      <c r="AB64" s="504"/>
      <c r="AC64" s="504"/>
      <c r="AF64" s="378"/>
      <c r="AG64" s="378"/>
      <c r="AH64" s="378"/>
      <c r="AI64" s="378"/>
      <c r="AL64" s="505"/>
      <c r="AM64" s="505"/>
      <c r="AN64" s="505"/>
      <c r="AO64" s="505"/>
      <c r="AQ64" s="370"/>
      <c r="AT64" s="370"/>
      <c r="AV64" s="134"/>
      <c r="AW64" s="370"/>
      <c r="AX64" s="370"/>
      <c r="AY64" s="370"/>
      <c r="AZ64" s="370"/>
      <c r="BA64" s="507"/>
      <c r="BB64" s="505"/>
      <c r="BC64" s="505"/>
      <c r="BD64" s="370"/>
      <c r="BE64" s="370"/>
      <c r="BF64" s="370"/>
      <c r="BG64" s="370"/>
      <c r="BH64" s="370"/>
      <c r="BI64" s="370"/>
      <c r="BJ64" s="370"/>
      <c r="BK64" s="370"/>
      <c r="BL64" s="370"/>
      <c r="BM64" s="370"/>
      <c r="BO64" s="370"/>
      <c r="BP64" s="370"/>
      <c r="BQ64" s="370"/>
      <c r="BR64" s="370"/>
      <c r="BS64" s="370"/>
      <c r="BV64" s="508"/>
      <c r="BW64" s="369"/>
      <c r="BX64" s="370"/>
      <c r="BY64" s="370"/>
      <c r="BZ64" s="370"/>
      <c r="CA64" s="370"/>
      <c r="CB64" s="370"/>
      <c r="CC64" s="505"/>
      <c r="CD64" s="505"/>
      <c r="CE64" s="505"/>
      <c r="CF64" s="505"/>
    </row>
    <row r="65" customFormat="false" ht="12.75" hidden="false" customHeight="false" outlineLevel="0" collapsed="false">
      <c r="A65" s="500"/>
      <c r="B65" s="500"/>
      <c r="K65" s="363"/>
      <c r="L65" s="501"/>
      <c r="N65" s="502"/>
      <c r="O65" s="502"/>
      <c r="P65" s="371"/>
      <c r="Q65" s="501"/>
      <c r="R65" s="501"/>
      <c r="U65" s="501"/>
      <c r="V65" s="503"/>
      <c r="W65" s="503"/>
      <c r="X65" s="503"/>
      <c r="Y65" s="504"/>
      <c r="Z65" s="504"/>
      <c r="AA65" s="504"/>
      <c r="AB65" s="504"/>
      <c r="AC65" s="504"/>
      <c r="AF65" s="378"/>
      <c r="AG65" s="378"/>
      <c r="AH65" s="378"/>
      <c r="AI65" s="378"/>
      <c r="AL65" s="505"/>
      <c r="AM65" s="505"/>
      <c r="AN65" s="505"/>
      <c r="AO65" s="505"/>
      <c r="AQ65" s="370"/>
      <c r="AT65" s="370"/>
      <c r="AV65" s="134"/>
      <c r="AW65" s="370"/>
      <c r="AX65" s="370"/>
      <c r="AY65" s="370"/>
      <c r="AZ65" s="370"/>
      <c r="BA65" s="507"/>
      <c r="BB65" s="505"/>
      <c r="BC65" s="505"/>
      <c r="BD65" s="370"/>
      <c r="BE65" s="370"/>
      <c r="BF65" s="370"/>
      <c r="BG65" s="370"/>
      <c r="BH65" s="370"/>
      <c r="BI65" s="370"/>
      <c r="BJ65" s="370"/>
      <c r="BK65" s="370"/>
      <c r="BL65" s="370"/>
      <c r="BM65" s="370"/>
      <c r="BO65" s="370"/>
      <c r="BP65" s="370"/>
      <c r="BQ65" s="370"/>
      <c r="BR65" s="370"/>
      <c r="BS65" s="370"/>
      <c r="BV65" s="508"/>
      <c r="BW65" s="369"/>
      <c r="BX65" s="370"/>
      <c r="BY65" s="370"/>
      <c r="BZ65" s="370"/>
      <c r="CA65" s="370"/>
      <c r="CB65" s="370"/>
      <c r="CC65" s="505"/>
      <c r="CD65" s="505"/>
      <c r="CE65" s="505"/>
      <c r="CF65" s="505"/>
    </row>
    <row r="66" customFormat="false" ht="12.75" hidden="false" customHeight="false" outlineLevel="0" collapsed="false">
      <c r="A66" s="500"/>
      <c r="B66" s="500"/>
      <c r="K66" s="363"/>
      <c r="L66" s="501"/>
      <c r="N66" s="502"/>
      <c r="O66" s="502"/>
      <c r="P66" s="371"/>
      <c r="Q66" s="501"/>
      <c r="R66" s="501"/>
      <c r="U66" s="501"/>
      <c r="V66" s="503"/>
      <c r="W66" s="503"/>
      <c r="X66" s="503"/>
      <c r="Y66" s="504"/>
      <c r="Z66" s="504"/>
      <c r="AA66" s="504"/>
      <c r="AB66" s="504"/>
      <c r="AC66" s="504"/>
      <c r="AF66" s="378"/>
      <c r="AG66" s="378"/>
      <c r="AH66" s="378"/>
      <c r="AI66" s="378"/>
      <c r="AL66" s="505"/>
      <c r="AM66" s="505"/>
      <c r="AN66" s="505"/>
      <c r="AO66" s="505"/>
      <c r="AQ66" s="370"/>
      <c r="AT66" s="370"/>
      <c r="AV66" s="134"/>
      <c r="AW66" s="370"/>
      <c r="AX66" s="370"/>
      <c r="AY66" s="370"/>
      <c r="AZ66" s="370"/>
      <c r="BA66" s="507"/>
      <c r="BB66" s="505"/>
      <c r="BC66" s="505"/>
      <c r="BD66" s="370"/>
      <c r="BE66" s="370"/>
      <c r="BF66" s="370"/>
      <c r="BG66" s="370"/>
      <c r="BH66" s="370"/>
      <c r="BI66" s="370"/>
      <c r="BJ66" s="370"/>
      <c r="BK66" s="370"/>
      <c r="BL66" s="370"/>
      <c r="BM66" s="370"/>
      <c r="BO66" s="370"/>
      <c r="BP66" s="370"/>
      <c r="BQ66" s="370"/>
      <c r="BR66" s="370"/>
      <c r="BS66" s="370"/>
      <c r="BV66" s="508"/>
      <c r="BW66" s="369"/>
      <c r="BX66" s="370"/>
      <c r="BY66" s="370"/>
      <c r="BZ66" s="370"/>
      <c r="CA66" s="370"/>
      <c r="CB66" s="370"/>
      <c r="CC66" s="505"/>
      <c r="CD66" s="505"/>
      <c r="CE66" s="505"/>
      <c r="CF66" s="505"/>
    </row>
    <row r="67" customFormat="false" ht="12.75" hidden="false" customHeight="false" outlineLevel="0" collapsed="false">
      <c r="A67" s="500"/>
      <c r="B67" s="500"/>
      <c r="K67" s="363"/>
      <c r="L67" s="501"/>
      <c r="N67" s="502"/>
      <c r="O67" s="502"/>
      <c r="P67" s="371"/>
      <c r="Q67" s="501"/>
      <c r="R67" s="501"/>
      <c r="U67" s="501"/>
      <c r="V67" s="503"/>
      <c r="W67" s="503"/>
      <c r="X67" s="503"/>
      <c r="Y67" s="504"/>
      <c r="Z67" s="504"/>
      <c r="AA67" s="504"/>
      <c r="AB67" s="504"/>
      <c r="AC67" s="504"/>
      <c r="AF67" s="378"/>
      <c r="AG67" s="378"/>
      <c r="AH67" s="378"/>
      <c r="AI67" s="378"/>
      <c r="AL67" s="505"/>
      <c r="AM67" s="505"/>
      <c r="AN67" s="505"/>
      <c r="AO67" s="505"/>
      <c r="AQ67" s="370"/>
      <c r="AT67" s="370"/>
      <c r="AV67" s="134"/>
      <c r="AW67" s="370"/>
      <c r="AX67" s="370"/>
      <c r="AY67" s="370"/>
      <c r="AZ67" s="370"/>
      <c r="BA67" s="507"/>
      <c r="BB67" s="505"/>
      <c r="BC67" s="505"/>
      <c r="BD67" s="370"/>
      <c r="BE67" s="370"/>
      <c r="BF67" s="370"/>
      <c r="BG67" s="370"/>
      <c r="BH67" s="370"/>
      <c r="BI67" s="370"/>
      <c r="BJ67" s="370"/>
      <c r="BK67" s="370"/>
      <c r="BL67" s="370"/>
      <c r="BM67" s="370"/>
      <c r="BO67" s="370"/>
      <c r="BP67" s="370"/>
      <c r="BQ67" s="370"/>
      <c r="BR67" s="370"/>
      <c r="BS67" s="370"/>
      <c r="BV67" s="508"/>
      <c r="BW67" s="369"/>
      <c r="BX67" s="370"/>
      <c r="BY67" s="370"/>
      <c r="BZ67" s="370"/>
      <c r="CA67" s="370"/>
      <c r="CB67" s="370"/>
      <c r="CC67" s="505"/>
      <c r="CD67" s="505"/>
      <c r="CE67" s="505"/>
      <c r="CF67" s="505"/>
    </row>
    <row r="68" customFormat="false" ht="12.75" hidden="false" customHeight="false" outlineLevel="0" collapsed="false">
      <c r="A68" s="500"/>
      <c r="B68" s="500"/>
      <c r="K68" s="363"/>
      <c r="L68" s="501"/>
      <c r="N68" s="502"/>
      <c r="O68" s="502"/>
      <c r="P68" s="371"/>
      <c r="Q68" s="501"/>
      <c r="R68" s="501"/>
      <c r="U68" s="501"/>
      <c r="V68" s="503"/>
      <c r="W68" s="503"/>
      <c r="X68" s="503"/>
      <c r="Y68" s="504"/>
      <c r="Z68" s="504"/>
      <c r="AA68" s="504"/>
      <c r="AB68" s="504"/>
      <c r="AC68" s="504"/>
      <c r="AF68" s="378"/>
      <c r="AG68" s="378"/>
      <c r="AH68" s="378"/>
      <c r="AI68" s="378"/>
      <c r="AL68" s="505"/>
      <c r="AM68" s="505"/>
      <c r="AN68" s="505"/>
      <c r="AO68" s="505"/>
      <c r="AQ68" s="370"/>
      <c r="AT68" s="370"/>
      <c r="AV68" s="134"/>
      <c r="AW68" s="370"/>
      <c r="AX68" s="370"/>
      <c r="AY68" s="370"/>
      <c r="AZ68" s="370"/>
      <c r="BA68" s="507"/>
      <c r="BB68" s="505"/>
      <c r="BC68" s="505"/>
      <c r="BD68" s="370"/>
      <c r="BE68" s="370"/>
      <c r="BF68" s="370"/>
      <c r="BG68" s="370"/>
      <c r="BH68" s="370"/>
      <c r="BI68" s="370"/>
      <c r="BJ68" s="370"/>
      <c r="BK68" s="370"/>
      <c r="BL68" s="370"/>
      <c r="BM68" s="370"/>
      <c r="BO68" s="370"/>
      <c r="BP68" s="370"/>
      <c r="BQ68" s="370"/>
      <c r="BR68" s="370"/>
      <c r="BS68" s="370"/>
      <c r="BV68" s="508"/>
      <c r="BW68" s="369"/>
      <c r="BX68" s="370"/>
      <c r="BY68" s="370"/>
      <c r="BZ68" s="370"/>
      <c r="CA68" s="370"/>
      <c r="CB68" s="370"/>
      <c r="CC68" s="505"/>
      <c r="CD68" s="505"/>
      <c r="CE68" s="505"/>
      <c r="CF68" s="505"/>
    </row>
    <row r="69" customFormat="false" ht="12.75" hidden="false" customHeight="false" outlineLevel="0" collapsed="false">
      <c r="A69" s="500"/>
      <c r="B69" s="500"/>
      <c r="K69" s="363"/>
      <c r="L69" s="501"/>
      <c r="N69" s="502"/>
      <c r="O69" s="502"/>
      <c r="P69" s="371"/>
      <c r="Q69" s="501"/>
      <c r="R69" s="501"/>
      <c r="U69" s="501"/>
      <c r="V69" s="503"/>
      <c r="W69" s="503"/>
      <c r="X69" s="503"/>
      <c r="Y69" s="504"/>
      <c r="Z69" s="504"/>
      <c r="AA69" s="504"/>
      <c r="AB69" s="504"/>
      <c r="AC69" s="504"/>
      <c r="AF69" s="378"/>
      <c r="AG69" s="378"/>
      <c r="AH69" s="378"/>
      <c r="AI69" s="378"/>
      <c r="AL69" s="505"/>
      <c r="AM69" s="505"/>
      <c r="AN69" s="505"/>
      <c r="AO69" s="505"/>
      <c r="AQ69" s="370"/>
      <c r="AT69" s="370"/>
      <c r="AV69" s="134"/>
      <c r="AW69" s="370"/>
      <c r="AX69" s="370"/>
      <c r="AY69" s="370"/>
      <c r="AZ69" s="370"/>
      <c r="BA69" s="507"/>
      <c r="BB69" s="505"/>
      <c r="BC69" s="505"/>
      <c r="BD69" s="370"/>
      <c r="BE69" s="370"/>
      <c r="BF69" s="370"/>
      <c r="BG69" s="370"/>
      <c r="BH69" s="370"/>
      <c r="BI69" s="370"/>
      <c r="BJ69" s="370"/>
      <c r="BK69" s="370"/>
      <c r="BL69" s="370"/>
      <c r="BM69" s="370"/>
      <c r="BO69" s="370"/>
      <c r="BP69" s="370"/>
      <c r="BQ69" s="370"/>
      <c r="BR69" s="370"/>
      <c r="BS69" s="370"/>
      <c r="BV69" s="508"/>
      <c r="BW69" s="369"/>
      <c r="BX69" s="370"/>
      <c r="BY69" s="370"/>
      <c r="BZ69" s="370"/>
      <c r="CA69" s="370"/>
      <c r="CB69" s="370"/>
      <c r="CC69" s="505"/>
      <c r="CD69" s="505"/>
      <c r="CE69" s="505"/>
      <c r="CF69" s="505"/>
    </row>
    <row r="70" customFormat="false" ht="12.75" hidden="false" customHeight="false" outlineLevel="0" collapsed="false">
      <c r="A70" s="500"/>
      <c r="B70" s="500"/>
      <c r="K70" s="363"/>
      <c r="L70" s="501"/>
      <c r="N70" s="502"/>
      <c r="O70" s="502"/>
      <c r="P70" s="371"/>
      <c r="Q70" s="501"/>
      <c r="R70" s="501"/>
      <c r="U70" s="501"/>
      <c r="V70" s="503"/>
      <c r="W70" s="503"/>
      <c r="X70" s="503"/>
      <c r="Y70" s="504"/>
      <c r="Z70" s="504"/>
      <c r="AA70" s="504"/>
      <c r="AB70" s="504"/>
      <c r="AC70" s="504"/>
      <c r="AF70" s="378"/>
      <c r="AG70" s="378"/>
      <c r="AH70" s="378"/>
      <c r="AI70" s="378"/>
      <c r="AL70" s="505"/>
      <c r="AM70" s="505"/>
      <c r="AN70" s="505"/>
      <c r="AO70" s="505"/>
      <c r="AQ70" s="370"/>
      <c r="AT70" s="370"/>
      <c r="AV70" s="134"/>
      <c r="AW70" s="370"/>
      <c r="AX70" s="370"/>
      <c r="AY70" s="370"/>
      <c r="AZ70" s="370"/>
      <c r="BA70" s="507"/>
      <c r="BB70" s="505"/>
      <c r="BC70" s="505"/>
      <c r="BD70" s="370"/>
      <c r="BE70" s="370"/>
      <c r="BF70" s="370"/>
      <c r="BG70" s="370"/>
      <c r="BH70" s="370"/>
      <c r="BI70" s="370"/>
      <c r="BJ70" s="370"/>
      <c r="BK70" s="370"/>
      <c r="BL70" s="370"/>
      <c r="BM70" s="370"/>
      <c r="BO70" s="370"/>
      <c r="BP70" s="370"/>
      <c r="BQ70" s="370"/>
      <c r="BR70" s="370"/>
      <c r="BS70" s="370"/>
      <c r="BV70" s="508"/>
      <c r="BW70" s="369"/>
      <c r="BX70" s="370"/>
      <c r="BY70" s="370"/>
      <c r="BZ70" s="370"/>
      <c r="CA70" s="370"/>
      <c r="CB70" s="370"/>
      <c r="CC70" s="505"/>
      <c r="CD70" s="505"/>
      <c r="CE70" s="505"/>
      <c r="CF70" s="505"/>
    </row>
    <row r="71" customFormat="false" ht="12.75" hidden="false" customHeight="false" outlineLevel="0" collapsed="false">
      <c r="A71" s="500"/>
      <c r="B71" s="500"/>
      <c r="K71" s="363"/>
      <c r="L71" s="501"/>
      <c r="N71" s="502"/>
      <c r="O71" s="502"/>
      <c r="P71" s="371"/>
      <c r="Q71" s="501"/>
      <c r="R71" s="501"/>
      <c r="U71" s="501"/>
      <c r="V71" s="503"/>
      <c r="W71" s="503"/>
      <c r="X71" s="503"/>
      <c r="Y71" s="504"/>
      <c r="Z71" s="504"/>
      <c r="AA71" s="504"/>
      <c r="AB71" s="504"/>
      <c r="AC71" s="504"/>
      <c r="AF71" s="378"/>
      <c r="AG71" s="378"/>
      <c r="AH71" s="378"/>
      <c r="AI71" s="378"/>
      <c r="AL71" s="505"/>
      <c r="AM71" s="505"/>
      <c r="AN71" s="505"/>
      <c r="AO71" s="505"/>
      <c r="AQ71" s="370"/>
      <c r="AT71" s="370"/>
      <c r="AV71" s="134"/>
      <c r="AW71" s="370"/>
      <c r="AX71" s="370"/>
      <c r="AY71" s="370"/>
      <c r="AZ71" s="370"/>
      <c r="BA71" s="507"/>
      <c r="BB71" s="505"/>
      <c r="BC71" s="505"/>
      <c r="BD71" s="370"/>
      <c r="BE71" s="370"/>
      <c r="BF71" s="370"/>
      <c r="BG71" s="370"/>
      <c r="BH71" s="370"/>
      <c r="BI71" s="370"/>
      <c r="BJ71" s="370"/>
      <c r="BK71" s="370"/>
      <c r="BL71" s="370"/>
      <c r="BM71" s="370"/>
      <c r="BO71" s="370"/>
      <c r="BP71" s="370"/>
      <c r="BQ71" s="370"/>
      <c r="BR71" s="370"/>
      <c r="BS71" s="370"/>
      <c r="BV71" s="508"/>
      <c r="BW71" s="369"/>
      <c r="BX71" s="370"/>
      <c r="BY71" s="370"/>
      <c r="BZ71" s="370"/>
      <c r="CA71" s="370"/>
      <c r="CB71" s="370"/>
      <c r="CC71" s="505"/>
      <c r="CD71" s="505"/>
      <c r="CE71" s="505"/>
      <c r="CF71" s="505"/>
    </row>
    <row r="72" customFormat="false" ht="12.75" hidden="false" customHeight="false" outlineLevel="0" collapsed="false">
      <c r="A72" s="500"/>
      <c r="B72" s="500"/>
      <c r="K72" s="363"/>
      <c r="L72" s="501"/>
      <c r="N72" s="502"/>
      <c r="O72" s="502"/>
      <c r="P72" s="371"/>
      <c r="Q72" s="501"/>
      <c r="R72" s="501"/>
      <c r="U72" s="501"/>
      <c r="V72" s="503"/>
      <c r="W72" s="503"/>
      <c r="X72" s="503"/>
      <c r="Y72" s="504"/>
      <c r="Z72" s="504"/>
      <c r="AA72" s="504"/>
      <c r="AB72" s="504"/>
      <c r="AC72" s="504"/>
      <c r="AF72" s="378"/>
      <c r="AG72" s="378"/>
      <c r="AH72" s="378"/>
      <c r="AI72" s="378"/>
      <c r="AL72" s="505"/>
      <c r="AM72" s="505"/>
      <c r="AN72" s="505"/>
      <c r="AO72" s="505"/>
      <c r="AQ72" s="370"/>
      <c r="AT72" s="370"/>
      <c r="AV72" s="134"/>
      <c r="AW72" s="370"/>
      <c r="AX72" s="370"/>
      <c r="AY72" s="370"/>
      <c r="AZ72" s="370"/>
      <c r="BA72" s="507"/>
      <c r="BB72" s="505"/>
      <c r="BC72" s="505"/>
      <c r="BD72" s="370"/>
      <c r="BE72" s="370"/>
      <c r="BF72" s="370"/>
      <c r="BG72" s="370"/>
      <c r="BH72" s="370"/>
      <c r="BI72" s="370"/>
      <c r="BJ72" s="370"/>
      <c r="BK72" s="370"/>
      <c r="BL72" s="370"/>
      <c r="BM72" s="370"/>
      <c r="BO72" s="370"/>
      <c r="BP72" s="370"/>
      <c r="BQ72" s="370"/>
      <c r="BR72" s="370"/>
      <c r="BS72" s="370"/>
      <c r="BV72" s="508"/>
      <c r="BW72" s="369"/>
      <c r="BX72" s="370"/>
      <c r="BY72" s="370"/>
      <c r="BZ72" s="370"/>
      <c r="CA72" s="370"/>
      <c r="CB72" s="370"/>
      <c r="CC72" s="505"/>
      <c r="CD72" s="505"/>
      <c r="CE72" s="505"/>
      <c r="CF72" s="505"/>
    </row>
    <row r="73" customFormat="false" ht="12.75" hidden="false" customHeight="false" outlineLevel="0" collapsed="false">
      <c r="A73" s="500"/>
      <c r="B73" s="500"/>
      <c r="K73" s="363"/>
      <c r="L73" s="501"/>
      <c r="N73" s="502"/>
      <c r="O73" s="502"/>
      <c r="P73" s="371"/>
      <c r="Q73" s="501"/>
      <c r="R73" s="501"/>
      <c r="U73" s="501"/>
      <c r="V73" s="503"/>
      <c r="W73" s="503"/>
      <c r="X73" s="503"/>
      <c r="Y73" s="504"/>
      <c r="Z73" s="504"/>
      <c r="AA73" s="504"/>
      <c r="AB73" s="504"/>
      <c r="AC73" s="504"/>
      <c r="AF73" s="378"/>
      <c r="AG73" s="378"/>
      <c r="AH73" s="378"/>
      <c r="AI73" s="378"/>
      <c r="AL73" s="505"/>
      <c r="AM73" s="505"/>
      <c r="AN73" s="505"/>
      <c r="AO73" s="505"/>
      <c r="AQ73" s="370"/>
      <c r="AT73" s="370"/>
      <c r="AV73" s="134"/>
      <c r="AW73" s="370"/>
      <c r="AX73" s="370"/>
      <c r="AY73" s="370"/>
      <c r="AZ73" s="370"/>
      <c r="BA73" s="507"/>
      <c r="BB73" s="505"/>
      <c r="BC73" s="505"/>
      <c r="BD73" s="370"/>
      <c r="BE73" s="370"/>
      <c r="BF73" s="370"/>
      <c r="BG73" s="370"/>
      <c r="BH73" s="370"/>
      <c r="BI73" s="370"/>
      <c r="BJ73" s="370"/>
      <c r="BK73" s="370"/>
      <c r="BL73" s="370"/>
      <c r="BM73" s="370"/>
      <c r="BO73" s="370"/>
      <c r="BP73" s="370"/>
      <c r="BQ73" s="370"/>
      <c r="BR73" s="370"/>
      <c r="BS73" s="370"/>
      <c r="BV73" s="508"/>
      <c r="BW73" s="369"/>
      <c r="BX73" s="370"/>
      <c r="BY73" s="370"/>
      <c r="BZ73" s="370"/>
      <c r="CA73" s="370"/>
      <c r="CB73" s="370"/>
      <c r="CC73" s="505"/>
      <c r="CD73" s="505"/>
      <c r="CE73" s="505"/>
      <c r="CF73" s="505"/>
    </row>
    <row r="74" customFormat="false" ht="12.75" hidden="false" customHeight="false" outlineLevel="0" collapsed="false">
      <c r="A74" s="500"/>
      <c r="B74" s="500"/>
      <c r="K74" s="363"/>
      <c r="L74" s="501"/>
      <c r="N74" s="502"/>
      <c r="O74" s="502"/>
      <c r="P74" s="371"/>
      <c r="Q74" s="501"/>
      <c r="R74" s="501"/>
      <c r="U74" s="501"/>
      <c r="V74" s="503"/>
      <c r="W74" s="503"/>
      <c r="X74" s="503"/>
      <c r="Y74" s="504"/>
      <c r="Z74" s="504"/>
      <c r="AA74" s="504"/>
      <c r="AB74" s="504"/>
      <c r="AC74" s="504"/>
      <c r="AF74" s="378"/>
      <c r="AG74" s="378"/>
      <c r="AH74" s="378"/>
      <c r="AI74" s="378"/>
      <c r="AL74" s="505"/>
      <c r="AM74" s="505"/>
      <c r="AN74" s="505"/>
      <c r="AO74" s="505"/>
      <c r="AQ74" s="370"/>
      <c r="AT74" s="370"/>
      <c r="AV74" s="134"/>
      <c r="AW74" s="370"/>
      <c r="AX74" s="370"/>
      <c r="AY74" s="370"/>
      <c r="AZ74" s="370"/>
      <c r="BA74" s="507"/>
      <c r="BB74" s="505"/>
      <c r="BC74" s="505"/>
      <c r="BD74" s="370"/>
      <c r="BE74" s="370"/>
      <c r="BF74" s="370"/>
      <c r="BG74" s="370"/>
      <c r="BH74" s="370"/>
      <c r="BI74" s="370"/>
      <c r="BJ74" s="370"/>
      <c r="BK74" s="370"/>
      <c r="BL74" s="370"/>
      <c r="BM74" s="370"/>
      <c r="BO74" s="370"/>
      <c r="BP74" s="370"/>
      <c r="BQ74" s="370"/>
      <c r="BR74" s="370"/>
      <c r="BS74" s="370"/>
      <c r="BV74" s="508"/>
      <c r="BW74" s="369"/>
      <c r="BX74" s="370"/>
      <c r="BY74" s="370"/>
      <c r="BZ74" s="370"/>
      <c r="CA74" s="370"/>
      <c r="CB74" s="370"/>
      <c r="CC74" s="505"/>
      <c r="CD74" s="505"/>
      <c r="CE74" s="505"/>
      <c r="CF74" s="505"/>
    </row>
    <row r="75" customFormat="false" ht="12.75" hidden="false" customHeight="false" outlineLevel="0" collapsed="false">
      <c r="A75" s="500"/>
      <c r="B75" s="500"/>
      <c r="K75" s="363"/>
      <c r="L75" s="501"/>
      <c r="N75" s="502"/>
      <c r="O75" s="502"/>
      <c r="P75" s="371"/>
      <c r="Q75" s="501"/>
      <c r="R75" s="501"/>
      <c r="U75" s="501"/>
      <c r="V75" s="503"/>
      <c r="W75" s="503"/>
      <c r="X75" s="503"/>
      <c r="Y75" s="504"/>
      <c r="Z75" s="504"/>
      <c r="AA75" s="504"/>
      <c r="AB75" s="504"/>
      <c r="AC75" s="504"/>
      <c r="AF75" s="378"/>
      <c r="AG75" s="378"/>
      <c r="AH75" s="378"/>
      <c r="AI75" s="378"/>
      <c r="AL75" s="505"/>
      <c r="AM75" s="505"/>
      <c r="AN75" s="505"/>
      <c r="AO75" s="505"/>
      <c r="AQ75" s="370"/>
      <c r="AT75" s="370"/>
      <c r="AV75" s="134"/>
      <c r="AW75" s="370"/>
      <c r="AX75" s="370"/>
      <c r="AY75" s="370"/>
      <c r="AZ75" s="370"/>
      <c r="BA75" s="507"/>
      <c r="BB75" s="505"/>
      <c r="BC75" s="505"/>
      <c r="BD75" s="370"/>
      <c r="BE75" s="370"/>
      <c r="BF75" s="370"/>
      <c r="BG75" s="370"/>
      <c r="BH75" s="370"/>
      <c r="BI75" s="370"/>
      <c r="BJ75" s="370"/>
      <c r="BK75" s="370"/>
      <c r="BL75" s="370"/>
      <c r="BM75" s="370"/>
      <c r="BO75" s="370"/>
      <c r="BP75" s="370"/>
      <c r="BQ75" s="370"/>
      <c r="BR75" s="370"/>
      <c r="BS75" s="370"/>
      <c r="BV75" s="508"/>
      <c r="BW75" s="369"/>
      <c r="BX75" s="370"/>
      <c r="BY75" s="370"/>
      <c r="BZ75" s="370"/>
      <c r="CA75" s="370"/>
      <c r="CB75" s="370"/>
      <c r="CC75" s="505"/>
      <c r="CD75" s="505"/>
      <c r="CE75" s="505"/>
      <c r="CF75" s="505"/>
    </row>
    <row r="76" customFormat="false" ht="12.75" hidden="false" customHeight="false" outlineLevel="0" collapsed="false">
      <c r="A76" s="500"/>
      <c r="B76" s="500"/>
      <c r="K76" s="363"/>
      <c r="L76" s="501"/>
      <c r="N76" s="502"/>
      <c r="O76" s="502"/>
      <c r="P76" s="371"/>
      <c r="Q76" s="501"/>
      <c r="R76" s="501"/>
      <c r="U76" s="501"/>
      <c r="V76" s="503"/>
      <c r="W76" s="503"/>
      <c r="X76" s="503"/>
      <c r="Y76" s="504"/>
      <c r="Z76" s="504"/>
      <c r="AA76" s="504"/>
      <c r="AB76" s="504"/>
      <c r="AC76" s="504"/>
      <c r="AF76" s="378"/>
      <c r="AG76" s="378"/>
      <c r="AH76" s="378"/>
      <c r="AI76" s="378"/>
      <c r="AL76" s="505"/>
      <c r="AM76" s="505"/>
      <c r="AN76" s="505"/>
      <c r="AO76" s="505"/>
      <c r="AQ76" s="370"/>
      <c r="AT76" s="370"/>
      <c r="AV76" s="134"/>
      <c r="AW76" s="370"/>
      <c r="AX76" s="370"/>
      <c r="AY76" s="370"/>
      <c r="AZ76" s="370"/>
      <c r="BA76" s="507"/>
      <c r="BB76" s="505"/>
      <c r="BC76" s="505"/>
      <c r="BD76" s="370"/>
      <c r="BE76" s="370"/>
      <c r="BF76" s="370"/>
      <c r="BG76" s="370"/>
      <c r="BH76" s="370"/>
      <c r="BI76" s="370"/>
      <c r="BJ76" s="370"/>
      <c r="BK76" s="370"/>
      <c r="BL76" s="370"/>
      <c r="BM76" s="370"/>
      <c r="BO76" s="370"/>
      <c r="BP76" s="370"/>
      <c r="BQ76" s="370"/>
      <c r="BR76" s="370"/>
      <c r="BS76" s="370"/>
      <c r="BV76" s="508"/>
      <c r="BW76" s="369"/>
      <c r="BX76" s="370"/>
      <c r="BY76" s="370"/>
      <c r="BZ76" s="370"/>
      <c r="CA76" s="370"/>
      <c r="CB76" s="370"/>
      <c r="CC76" s="505"/>
      <c r="CD76" s="505"/>
      <c r="CE76" s="505"/>
      <c r="CF76" s="505"/>
    </row>
    <row r="77" customFormat="false" ht="12.75" hidden="false" customHeight="false" outlineLevel="0" collapsed="false">
      <c r="A77" s="500"/>
      <c r="B77" s="500"/>
      <c r="K77" s="363"/>
      <c r="L77" s="501"/>
      <c r="N77" s="502"/>
      <c r="O77" s="502"/>
      <c r="P77" s="371"/>
      <c r="Q77" s="501"/>
      <c r="R77" s="501"/>
      <c r="U77" s="501"/>
      <c r="V77" s="503"/>
      <c r="W77" s="503"/>
      <c r="X77" s="503"/>
      <c r="Y77" s="504"/>
      <c r="Z77" s="504"/>
      <c r="AA77" s="504"/>
      <c r="AB77" s="504"/>
      <c r="AC77" s="504"/>
      <c r="AF77" s="378"/>
      <c r="AG77" s="378"/>
      <c r="AH77" s="378"/>
      <c r="AI77" s="378"/>
      <c r="AL77" s="505"/>
      <c r="AM77" s="505"/>
      <c r="AN77" s="505"/>
      <c r="AO77" s="505"/>
      <c r="AQ77" s="370"/>
      <c r="AT77" s="370"/>
      <c r="AV77" s="134"/>
      <c r="AW77" s="370"/>
      <c r="AX77" s="370"/>
      <c r="AY77" s="370"/>
      <c r="AZ77" s="370"/>
      <c r="BA77" s="507"/>
      <c r="BB77" s="505"/>
      <c r="BC77" s="505"/>
      <c r="BD77" s="370"/>
      <c r="BE77" s="370"/>
      <c r="BF77" s="370"/>
      <c r="BG77" s="370"/>
      <c r="BH77" s="370"/>
      <c r="BI77" s="370"/>
      <c r="BJ77" s="370"/>
      <c r="BK77" s="370"/>
      <c r="BL77" s="370"/>
      <c r="BM77" s="370"/>
      <c r="BO77" s="370"/>
      <c r="BP77" s="370"/>
      <c r="BQ77" s="370"/>
      <c r="BR77" s="370"/>
      <c r="BS77" s="370"/>
      <c r="BV77" s="508"/>
      <c r="BW77" s="369"/>
      <c r="BX77" s="370"/>
      <c r="BY77" s="370"/>
      <c r="BZ77" s="370"/>
      <c r="CA77" s="370"/>
      <c r="CB77" s="370"/>
      <c r="CC77" s="505"/>
      <c r="CD77" s="505"/>
      <c r="CE77" s="505"/>
      <c r="CF77" s="505"/>
    </row>
    <row r="78" customFormat="false" ht="12.75" hidden="false" customHeight="false" outlineLevel="0" collapsed="false">
      <c r="A78" s="500"/>
      <c r="B78" s="500"/>
      <c r="K78" s="363"/>
      <c r="L78" s="501"/>
      <c r="N78" s="502"/>
      <c r="O78" s="502"/>
      <c r="P78" s="371"/>
      <c r="Q78" s="501"/>
      <c r="R78" s="501"/>
      <c r="U78" s="501"/>
      <c r="V78" s="503"/>
      <c r="W78" s="503"/>
      <c r="X78" s="503"/>
      <c r="Y78" s="504"/>
      <c r="Z78" s="504"/>
      <c r="AA78" s="504"/>
      <c r="AB78" s="504"/>
      <c r="AC78" s="504"/>
      <c r="AF78" s="378"/>
      <c r="AG78" s="378"/>
      <c r="AH78" s="378"/>
      <c r="AI78" s="378"/>
      <c r="AL78" s="505"/>
      <c r="AM78" s="505"/>
      <c r="AN78" s="505"/>
      <c r="AO78" s="505"/>
      <c r="AQ78" s="370"/>
      <c r="AT78" s="370"/>
      <c r="AV78" s="134"/>
      <c r="AW78" s="370"/>
      <c r="AX78" s="370"/>
      <c r="AY78" s="370"/>
      <c r="AZ78" s="370"/>
      <c r="BA78" s="507"/>
      <c r="BB78" s="505"/>
      <c r="BC78" s="505"/>
      <c r="BD78" s="370"/>
      <c r="BE78" s="370"/>
      <c r="BF78" s="370"/>
      <c r="BG78" s="370"/>
      <c r="BH78" s="370"/>
      <c r="BI78" s="370"/>
      <c r="BJ78" s="370"/>
      <c r="BK78" s="370"/>
      <c r="BL78" s="370"/>
      <c r="BM78" s="370"/>
      <c r="BO78" s="370"/>
      <c r="BP78" s="370"/>
      <c r="BQ78" s="370"/>
      <c r="BR78" s="370"/>
      <c r="BS78" s="370"/>
      <c r="BV78" s="508"/>
      <c r="BW78" s="369"/>
      <c r="BX78" s="370"/>
      <c r="BY78" s="370"/>
      <c r="BZ78" s="370"/>
      <c r="CA78" s="370"/>
      <c r="CB78" s="370"/>
      <c r="CC78" s="505"/>
      <c r="CD78" s="505"/>
      <c r="CE78" s="505"/>
      <c r="CF78" s="505"/>
    </row>
    <row r="79" customFormat="false" ht="12.75" hidden="false" customHeight="false" outlineLevel="0" collapsed="false">
      <c r="A79" s="500"/>
      <c r="B79" s="500"/>
      <c r="K79" s="363"/>
      <c r="L79" s="501"/>
      <c r="N79" s="502"/>
      <c r="O79" s="502"/>
      <c r="P79" s="371"/>
      <c r="Q79" s="501"/>
      <c r="R79" s="501"/>
      <c r="U79" s="501"/>
      <c r="V79" s="503"/>
      <c r="W79" s="503"/>
      <c r="X79" s="503"/>
      <c r="Y79" s="504"/>
      <c r="Z79" s="504"/>
      <c r="AA79" s="504"/>
      <c r="AB79" s="504"/>
      <c r="AC79" s="504"/>
      <c r="AF79" s="378"/>
      <c r="AG79" s="378"/>
      <c r="AH79" s="378"/>
      <c r="AI79" s="378"/>
      <c r="AL79" s="505"/>
      <c r="AM79" s="505"/>
      <c r="AN79" s="505"/>
      <c r="AO79" s="505"/>
      <c r="AQ79" s="370"/>
      <c r="AT79" s="370"/>
      <c r="AV79" s="134"/>
      <c r="AW79" s="370"/>
      <c r="AX79" s="370"/>
      <c r="AY79" s="370"/>
      <c r="AZ79" s="370"/>
      <c r="BA79" s="507"/>
      <c r="BB79" s="505"/>
      <c r="BC79" s="505"/>
      <c r="BD79" s="370"/>
      <c r="BE79" s="370"/>
      <c r="BF79" s="370"/>
      <c r="BG79" s="370"/>
      <c r="BH79" s="370"/>
      <c r="BI79" s="370"/>
      <c r="BJ79" s="370"/>
      <c r="BK79" s="370"/>
      <c r="BL79" s="370"/>
      <c r="BM79" s="370"/>
      <c r="BO79" s="370"/>
      <c r="BP79" s="370"/>
      <c r="BQ79" s="370"/>
      <c r="BR79" s="370"/>
      <c r="BS79" s="370"/>
      <c r="BV79" s="508"/>
      <c r="BW79" s="369"/>
      <c r="BX79" s="370"/>
      <c r="BY79" s="370"/>
      <c r="BZ79" s="370"/>
      <c r="CA79" s="370"/>
      <c r="CB79" s="370"/>
      <c r="CC79" s="505"/>
      <c r="CD79" s="505"/>
      <c r="CE79" s="505"/>
      <c r="CF79" s="505"/>
    </row>
    <row r="80" customFormat="false" ht="12.75" hidden="false" customHeight="false" outlineLevel="0" collapsed="false">
      <c r="A80" s="500"/>
      <c r="B80" s="500"/>
      <c r="K80" s="363"/>
      <c r="L80" s="501"/>
      <c r="N80" s="502"/>
      <c r="O80" s="502"/>
      <c r="P80" s="371"/>
      <c r="Q80" s="501"/>
      <c r="R80" s="501"/>
      <c r="U80" s="501"/>
      <c r="V80" s="503"/>
      <c r="W80" s="503"/>
      <c r="X80" s="503"/>
      <c r="Y80" s="504"/>
      <c r="Z80" s="504"/>
      <c r="AA80" s="504"/>
      <c r="AB80" s="504"/>
      <c r="AC80" s="504"/>
      <c r="AF80" s="378"/>
      <c r="AG80" s="378"/>
      <c r="AH80" s="378"/>
      <c r="AI80" s="378"/>
      <c r="AL80" s="505"/>
      <c r="AM80" s="505"/>
      <c r="AN80" s="505"/>
      <c r="AO80" s="505"/>
      <c r="AQ80" s="370"/>
      <c r="AT80" s="370"/>
      <c r="AV80" s="134"/>
      <c r="AW80" s="370"/>
      <c r="AX80" s="370"/>
      <c r="AY80" s="370"/>
      <c r="AZ80" s="370"/>
      <c r="BA80" s="507"/>
      <c r="BB80" s="505"/>
      <c r="BC80" s="505"/>
      <c r="BD80" s="370"/>
      <c r="BE80" s="370"/>
      <c r="BF80" s="370"/>
      <c r="BG80" s="370"/>
      <c r="BH80" s="370"/>
      <c r="BI80" s="370"/>
      <c r="BJ80" s="370"/>
      <c r="BK80" s="370"/>
      <c r="BL80" s="370"/>
      <c r="BM80" s="370"/>
      <c r="BO80" s="370"/>
      <c r="BP80" s="370"/>
      <c r="BQ80" s="370"/>
      <c r="BR80" s="370"/>
      <c r="BS80" s="370"/>
      <c r="BV80" s="508"/>
      <c r="BW80" s="369"/>
      <c r="BX80" s="370"/>
      <c r="BY80" s="370"/>
      <c r="BZ80" s="370"/>
      <c r="CA80" s="370"/>
      <c r="CB80" s="370"/>
      <c r="CC80" s="505"/>
      <c r="CD80" s="505"/>
      <c r="CE80" s="505"/>
      <c r="CF80" s="505"/>
    </row>
    <row r="81" customFormat="false" ht="12.75" hidden="false" customHeight="false" outlineLevel="0" collapsed="false">
      <c r="A81" s="500"/>
      <c r="B81" s="500"/>
      <c r="K81" s="363"/>
      <c r="L81" s="501"/>
      <c r="N81" s="502"/>
      <c r="O81" s="502"/>
      <c r="P81" s="371"/>
      <c r="Q81" s="501"/>
      <c r="R81" s="501"/>
      <c r="U81" s="501"/>
      <c r="V81" s="503"/>
      <c r="W81" s="503"/>
      <c r="X81" s="503"/>
      <c r="Y81" s="504"/>
      <c r="Z81" s="504"/>
      <c r="AA81" s="504"/>
      <c r="AB81" s="504"/>
      <c r="AC81" s="504"/>
      <c r="AF81" s="378"/>
      <c r="AG81" s="378"/>
      <c r="AH81" s="378"/>
      <c r="AI81" s="378"/>
      <c r="AL81" s="505"/>
      <c r="AM81" s="505"/>
      <c r="AN81" s="505"/>
      <c r="AO81" s="505"/>
      <c r="AQ81" s="370"/>
      <c r="AT81" s="370"/>
      <c r="AV81" s="134"/>
      <c r="AW81" s="370"/>
      <c r="AX81" s="370"/>
      <c r="AY81" s="370"/>
      <c r="AZ81" s="370"/>
      <c r="BA81" s="507"/>
      <c r="BB81" s="505"/>
      <c r="BC81" s="505"/>
      <c r="BD81" s="370"/>
      <c r="BE81" s="370"/>
      <c r="BF81" s="370"/>
      <c r="BG81" s="370"/>
      <c r="BH81" s="370"/>
      <c r="BI81" s="370"/>
      <c r="BJ81" s="370"/>
      <c r="BK81" s="370"/>
      <c r="BL81" s="370"/>
      <c r="BM81" s="370"/>
      <c r="BO81" s="370"/>
      <c r="BP81" s="370"/>
      <c r="BQ81" s="370"/>
      <c r="BR81" s="370"/>
      <c r="BS81" s="370"/>
      <c r="BV81" s="508"/>
      <c r="BW81" s="369"/>
      <c r="BX81" s="370"/>
      <c r="BY81" s="370"/>
      <c r="BZ81" s="370"/>
      <c r="CA81" s="370"/>
      <c r="CB81" s="370"/>
      <c r="CC81" s="505"/>
      <c r="CD81" s="505"/>
      <c r="CE81" s="505"/>
      <c r="CF81" s="505"/>
    </row>
    <row r="82" customFormat="false" ht="12.75" hidden="false" customHeight="false" outlineLevel="0" collapsed="false">
      <c r="A82" s="500"/>
      <c r="B82" s="500"/>
      <c r="K82" s="363"/>
      <c r="L82" s="501"/>
      <c r="N82" s="502"/>
      <c r="O82" s="502"/>
      <c r="P82" s="371"/>
      <c r="Q82" s="501"/>
      <c r="R82" s="501"/>
      <c r="U82" s="501"/>
      <c r="V82" s="503"/>
      <c r="W82" s="503"/>
      <c r="X82" s="503"/>
      <c r="Y82" s="504"/>
      <c r="Z82" s="504"/>
      <c r="AA82" s="504"/>
      <c r="AB82" s="504"/>
      <c r="AC82" s="504"/>
      <c r="AF82" s="378"/>
      <c r="AG82" s="378"/>
      <c r="AH82" s="378"/>
      <c r="AI82" s="378"/>
      <c r="AL82" s="505"/>
      <c r="AM82" s="505"/>
      <c r="AN82" s="505"/>
      <c r="AO82" s="505"/>
      <c r="AQ82" s="370"/>
      <c r="AT82" s="370"/>
      <c r="AV82" s="134"/>
      <c r="AW82" s="370"/>
      <c r="AX82" s="370"/>
      <c r="AY82" s="370"/>
      <c r="AZ82" s="370"/>
      <c r="BA82" s="507"/>
      <c r="BB82" s="505"/>
      <c r="BC82" s="505"/>
      <c r="BD82" s="370"/>
      <c r="BE82" s="370"/>
      <c r="BF82" s="370"/>
      <c r="BG82" s="370"/>
      <c r="BH82" s="370"/>
      <c r="BI82" s="370"/>
      <c r="BJ82" s="370"/>
      <c r="BK82" s="370"/>
      <c r="BL82" s="370"/>
      <c r="BM82" s="370"/>
      <c r="BO82" s="370"/>
      <c r="BP82" s="370"/>
      <c r="BQ82" s="370"/>
      <c r="BR82" s="370"/>
      <c r="BS82" s="370"/>
      <c r="BV82" s="508"/>
      <c r="BW82" s="369"/>
      <c r="BX82" s="370"/>
      <c r="BY82" s="370"/>
      <c r="BZ82" s="370"/>
      <c r="CA82" s="370"/>
      <c r="CB82" s="370"/>
      <c r="CC82" s="505"/>
      <c r="CD82" s="505"/>
      <c r="CE82" s="505"/>
      <c r="CF82" s="505"/>
    </row>
    <row r="83" customFormat="false" ht="12.75" hidden="false" customHeight="false" outlineLevel="0" collapsed="false">
      <c r="A83" s="500"/>
      <c r="B83" s="500"/>
      <c r="K83" s="363"/>
      <c r="L83" s="501"/>
      <c r="N83" s="502"/>
      <c r="O83" s="502"/>
      <c r="P83" s="371"/>
      <c r="Q83" s="501"/>
      <c r="R83" s="501"/>
      <c r="U83" s="501"/>
      <c r="V83" s="503"/>
      <c r="W83" s="503"/>
      <c r="X83" s="503"/>
      <c r="Y83" s="504"/>
      <c r="Z83" s="504"/>
      <c r="AA83" s="504"/>
      <c r="AB83" s="504"/>
      <c r="AC83" s="504"/>
      <c r="AF83" s="378"/>
      <c r="AG83" s="378"/>
      <c r="AH83" s="378"/>
      <c r="AI83" s="378"/>
      <c r="AL83" s="505"/>
      <c r="AM83" s="505"/>
      <c r="AN83" s="505"/>
      <c r="AO83" s="505"/>
      <c r="AQ83" s="370"/>
      <c r="AT83" s="370"/>
      <c r="AV83" s="134"/>
      <c r="AW83" s="370"/>
      <c r="AX83" s="370"/>
      <c r="AY83" s="370"/>
      <c r="AZ83" s="370"/>
      <c r="BA83" s="507"/>
      <c r="BB83" s="505"/>
      <c r="BC83" s="505"/>
      <c r="BD83" s="370"/>
      <c r="BE83" s="370"/>
      <c r="BF83" s="370"/>
      <c r="BG83" s="370"/>
      <c r="BH83" s="370"/>
      <c r="BI83" s="370"/>
      <c r="BJ83" s="370"/>
      <c r="BK83" s="370"/>
      <c r="BL83" s="370"/>
      <c r="BM83" s="370"/>
      <c r="BO83" s="370"/>
      <c r="BP83" s="370"/>
      <c r="BQ83" s="370"/>
      <c r="BR83" s="370"/>
      <c r="BS83" s="370"/>
      <c r="BV83" s="508"/>
      <c r="BW83" s="369"/>
      <c r="BX83" s="370"/>
      <c r="BY83" s="370"/>
      <c r="BZ83" s="370"/>
      <c r="CA83" s="370"/>
      <c r="CB83" s="370"/>
      <c r="CC83" s="505"/>
      <c r="CD83" s="505"/>
      <c r="CE83" s="505"/>
      <c r="CF83" s="505"/>
    </row>
    <row r="84" customFormat="false" ht="12.75" hidden="false" customHeight="false" outlineLevel="0" collapsed="false">
      <c r="A84" s="500"/>
      <c r="B84" s="500"/>
      <c r="L84" s="501"/>
      <c r="P84" s="371"/>
      <c r="Q84" s="501"/>
      <c r="R84" s="371"/>
      <c r="U84" s="371"/>
      <c r="V84" s="371"/>
      <c r="W84" s="371"/>
      <c r="X84" s="371"/>
      <c r="AO84" s="369"/>
      <c r="AQ84" s="370"/>
      <c r="AU84" s="530"/>
      <c r="AV84" s="134"/>
      <c r="AW84" s="370"/>
    </row>
    <row r="85" customFormat="false" ht="12.75" hidden="false" customHeight="false" outlineLevel="0" collapsed="false">
      <c r="A85" s="500"/>
      <c r="B85" s="500"/>
      <c r="L85" s="501"/>
      <c r="P85" s="371"/>
      <c r="Q85" s="501"/>
      <c r="R85" s="371"/>
      <c r="U85" s="371"/>
      <c r="V85" s="371"/>
      <c r="W85" s="371"/>
      <c r="X85" s="371"/>
      <c r="AO85" s="369"/>
      <c r="AQ85" s="370"/>
      <c r="AU85" s="530"/>
      <c r="AV85" s="134"/>
      <c r="AW85" s="370"/>
    </row>
    <row r="86" customFormat="false" ht="12.75" hidden="false" customHeight="false" outlineLevel="0" collapsed="false">
      <c r="A86" s="500"/>
      <c r="B86" s="500"/>
      <c r="L86" s="501"/>
      <c r="P86" s="371"/>
      <c r="Q86" s="501"/>
      <c r="R86" s="371"/>
      <c r="U86" s="371"/>
      <c r="V86" s="371"/>
      <c r="W86" s="371"/>
      <c r="X86" s="371"/>
      <c r="AO86" s="369"/>
      <c r="AQ86" s="370"/>
      <c r="AU86" s="530"/>
      <c r="AV86" s="134"/>
      <c r="AW86" s="370"/>
    </row>
    <row r="87" customFormat="false" ht="12.75" hidden="false" customHeight="false" outlineLevel="0" collapsed="false">
      <c r="A87" s="500"/>
      <c r="B87" s="500"/>
      <c r="L87" s="501"/>
      <c r="P87" s="371"/>
      <c r="Q87" s="501"/>
      <c r="R87" s="371"/>
      <c r="U87" s="371"/>
      <c r="V87" s="371"/>
      <c r="W87" s="371"/>
      <c r="X87" s="371"/>
      <c r="AO87" s="369"/>
      <c r="AQ87" s="370"/>
      <c r="AU87" s="530"/>
      <c r="AV87" s="134"/>
      <c r="AW87" s="370"/>
    </row>
    <row r="88" customFormat="false" ht="12.75" hidden="false" customHeight="false" outlineLevel="0" collapsed="false">
      <c r="A88" s="500"/>
      <c r="B88" s="500"/>
      <c r="L88" s="501"/>
      <c r="P88" s="371"/>
      <c r="Q88" s="501"/>
      <c r="R88" s="371"/>
      <c r="U88" s="371"/>
      <c r="V88" s="371"/>
      <c r="W88" s="371"/>
      <c r="X88" s="371"/>
      <c r="AO88" s="369"/>
      <c r="AQ88" s="370"/>
      <c r="AU88" s="530"/>
      <c r="AV88" s="134"/>
      <c r="AW88" s="370"/>
    </row>
    <row r="89" customFormat="false" ht="12.75" hidden="false" customHeight="false" outlineLevel="0" collapsed="false">
      <c r="A89" s="500"/>
      <c r="B89" s="500"/>
      <c r="L89" s="501"/>
      <c r="P89" s="371"/>
      <c r="Q89" s="501"/>
      <c r="R89" s="371"/>
      <c r="U89" s="371"/>
      <c r="V89" s="371"/>
      <c r="W89" s="371"/>
      <c r="X89" s="371"/>
      <c r="AO89" s="369"/>
      <c r="AQ89" s="370"/>
      <c r="AU89" s="530"/>
      <c r="AV89" s="134"/>
      <c r="AW89" s="370"/>
    </row>
    <row r="90" customFormat="false" ht="12.75" hidden="false" customHeight="false" outlineLevel="0" collapsed="false">
      <c r="A90" s="500"/>
      <c r="B90" s="500"/>
      <c r="L90" s="501"/>
      <c r="P90" s="371"/>
      <c r="Q90" s="501"/>
      <c r="R90" s="371"/>
      <c r="U90" s="371"/>
      <c r="V90" s="371"/>
      <c r="W90" s="371"/>
      <c r="X90" s="371"/>
      <c r="AO90" s="369"/>
      <c r="AQ90" s="370"/>
      <c r="AU90" s="530"/>
      <c r="AV90" s="134"/>
      <c r="AW90" s="370"/>
    </row>
    <row r="91" customFormat="false" ht="12.75" hidden="false" customHeight="false" outlineLevel="0" collapsed="false">
      <c r="A91" s="500"/>
      <c r="B91" s="500"/>
      <c r="L91" s="501"/>
      <c r="P91" s="371"/>
      <c r="Q91" s="501"/>
      <c r="R91" s="371"/>
      <c r="U91" s="371"/>
      <c r="V91" s="371"/>
      <c r="W91" s="371"/>
      <c r="X91" s="371"/>
      <c r="AO91" s="369"/>
      <c r="AQ91" s="370"/>
      <c r="AU91" s="530"/>
      <c r="AV91" s="134"/>
      <c r="AW91" s="370"/>
    </row>
    <row r="92" customFormat="false" ht="12.75" hidden="false" customHeight="false" outlineLevel="0" collapsed="false">
      <c r="A92" s="500"/>
      <c r="B92" s="500"/>
      <c r="L92" s="501"/>
      <c r="P92" s="371"/>
      <c r="Q92" s="501"/>
      <c r="R92" s="371"/>
      <c r="U92" s="371"/>
      <c r="V92" s="371"/>
      <c r="W92" s="371"/>
      <c r="X92" s="371"/>
      <c r="AO92" s="369"/>
      <c r="AQ92" s="370"/>
      <c r="AU92" s="530"/>
      <c r="AV92" s="134"/>
      <c r="AW92" s="370"/>
    </row>
    <row r="93" customFormat="false" ht="12.75" hidden="false" customHeight="false" outlineLevel="0" collapsed="false">
      <c r="A93" s="500"/>
      <c r="B93" s="500"/>
      <c r="L93" s="501"/>
      <c r="P93" s="371"/>
      <c r="Q93" s="501"/>
      <c r="R93" s="371"/>
      <c r="U93" s="371"/>
      <c r="V93" s="371"/>
      <c r="W93" s="371"/>
      <c r="X93" s="371"/>
      <c r="AO93" s="369"/>
      <c r="AQ93" s="370"/>
      <c r="AU93" s="530"/>
      <c r="AV93" s="134"/>
      <c r="AW93" s="370"/>
    </row>
    <row r="94" customFormat="false" ht="12.75" hidden="false" customHeight="false" outlineLevel="0" collapsed="false">
      <c r="A94" s="500"/>
      <c r="B94" s="500"/>
      <c r="L94" s="501"/>
      <c r="P94" s="371"/>
      <c r="Q94" s="501"/>
      <c r="R94" s="371"/>
      <c r="U94" s="371"/>
      <c r="V94" s="371"/>
      <c r="W94" s="371"/>
      <c r="X94" s="371"/>
      <c r="AO94" s="369"/>
      <c r="AQ94" s="370"/>
      <c r="AU94" s="530"/>
      <c r="AV94" s="134"/>
      <c r="AW94" s="370"/>
    </row>
    <row r="95" customFormat="false" ht="12.75" hidden="false" customHeight="false" outlineLevel="0" collapsed="false">
      <c r="A95" s="500"/>
      <c r="B95" s="500"/>
      <c r="L95" s="501"/>
      <c r="P95" s="371"/>
      <c r="Q95" s="501"/>
      <c r="R95" s="371"/>
      <c r="U95" s="371"/>
      <c r="V95" s="371"/>
      <c r="W95" s="371"/>
      <c r="X95" s="371"/>
      <c r="AO95" s="369"/>
      <c r="AQ95" s="370"/>
      <c r="AU95" s="530"/>
      <c r="AV95" s="134"/>
      <c r="AW95" s="370"/>
    </row>
    <row r="96" customFormat="false" ht="12.75" hidden="false" customHeight="false" outlineLevel="0" collapsed="false">
      <c r="A96" s="500"/>
      <c r="B96" s="500"/>
      <c r="L96" s="501"/>
      <c r="P96" s="371"/>
      <c r="Q96" s="501"/>
      <c r="R96" s="371"/>
      <c r="U96" s="371"/>
      <c r="V96" s="371"/>
      <c r="W96" s="371"/>
      <c r="X96" s="371"/>
      <c r="AO96" s="369"/>
      <c r="AQ96" s="370"/>
      <c r="AU96" s="530"/>
      <c r="AV96" s="134"/>
      <c r="AW96" s="370"/>
    </row>
    <row r="97" customFormat="false" ht="12.75" hidden="false" customHeight="false" outlineLevel="0" collapsed="false">
      <c r="A97" s="500"/>
      <c r="B97" s="500"/>
      <c r="L97" s="501"/>
      <c r="P97" s="371"/>
      <c r="Q97" s="501"/>
      <c r="R97" s="371"/>
      <c r="U97" s="371"/>
      <c r="V97" s="371"/>
      <c r="W97" s="371"/>
      <c r="X97" s="371"/>
      <c r="AO97" s="369"/>
      <c r="AQ97" s="370"/>
      <c r="AU97" s="530"/>
      <c r="AV97" s="134"/>
      <c r="AW97" s="370"/>
    </row>
    <row r="98" customFormat="false" ht="12.75" hidden="false" customHeight="false" outlineLevel="0" collapsed="false">
      <c r="A98" s="500"/>
      <c r="B98" s="500"/>
      <c r="L98" s="501"/>
      <c r="P98" s="371"/>
      <c r="Q98" s="501"/>
      <c r="R98" s="371"/>
      <c r="U98" s="371"/>
      <c r="V98" s="371"/>
      <c r="W98" s="371"/>
      <c r="X98" s="371"/>
      <c r="AO98" s="369"/>
      <c r="AQ98" s="370"/>
      <c r="AU98" s="530"/>
      <c r="AV98" s="134"/>
      <c r="AW98" s="370"/>
    </row>
    <row r="99" customFormat="false" ht="12.75" hidden="false" customHeight="false" outlineLevel="0" collapsed="false">
      <c r="A99" s="500"/>
      <c r="B99" s="500"/>
      <c r="L99" s="501"/>
      <c r="P99" s="371"/>
      <c r="Q99" s="501"/>
      <c r="R99" s="371"/>
      <c r="U99" s="371"/>
      <c r="V99" s="371"/>
      <c r="W99" s="371"/>
      <c r="X99" s="371"/>
      <c r="AO99" s="369"/>
      <c r="AQ99" s="370"/>
      <c r="AU99" s="530"/>
      <c r="AV99" s="134"/>
      <c r="AW99" s="370"/>
    </row>
    <row r="100" customFormat="false" ht="12.75" hidden="false" customHeight="false" outlineLevel="0" collapsed="false">
      <c r="A100" s="500"/>
      <c r="B100" s="500"/>
      <c r="L100" s="501"/>
      <c r="P100" s="371"/>
      <c r="Q100" s="501"/>
      <c r="R100" s="371"/>
      <c r="U100" s="371"/>
      <c r="V100" s="371"/>
      <c r="W100" s="371"/>
      <c r="X100" s="371"/>
      <c r="AO100" s="369"/>
      <c r="AQ100" s="370"/>
      <c r="AU100" s="530"/>
      <c r="AV100" s="134"/>
      <c r="AW100" s="370"/>
    </row>
    <row r="101" customFormat="false" ht="12.75" hidden="false" customHeight="false" outlineLevel="0" collapsed="false">
      <c r="A101" s="500"/>
      <c r="B101" s="500"/>
      <c r="L101" s="501"/>
      <c r="P101" s="371"/>
      <c r="Q101" s="501"/>
      <c r="R101" s="371"/>
      <c r="U101" s="371"/>
      <c r="V101" s="371"/>
      <c r="W101" s="371"/>
      <c r="X101" s="371"/>
      <c r="AO101" s="369"/>
      <c r="AQ101" s="370"/>
      <c r="AU101" s="530"/>
      <c r="AV101" s="134"/>
      <c r="AW101" s="370"/>
    </row>
    <row r="102" customFormat="false" ht="12.75" hidden="false" customHeight="false" outlineLevel="0" collapsed="false">
      <c r="A102" s="500"/>
      <c r="B102" s="500"/>
      <c r="L102" s="501"/>
      <c r="P102" s="371"/>
      <c r="Q102" s="501"/>
      <c r="R102" s="371"/>
      <c r="U102" s="371"/>
      <c r="V102" s="371"/>
      <c r="W102" s="371"/>
      <c r="X102" s="371"/>
      <c r="AO102" s="369"/>
      <c r="AQ102" s="370"/>
      <c r="AU102" s="530"/>
      <c r="AV102" s="134"/>
      <c r="AW102" s="370"/>
    </row>
    <row r="103" customFormat="false" ht="12.75" hidden="false" customHeight="false" outlineLevel="0" collapsed="false">
      <c r="A103" s="500"/>
      <c r="B103" s="500"/>
      <c r="L103" s="501"/>
      <c r="P103" s="371"/>
      <c r="Q103" s="501"/>
      <c r="R103" s="371"/>
      <c r="U103" s="371"/>
      <c r="V103" s="371"/>
      <c r="W103" s="371"/>
      <c r="X103" s="371"/>
      <c r="AO103" s="369"/>
      <c r="AQ103" s="370"/>
      <c r="AU103" s="530"/>
      <c r="AV103" s="134"/>
      <c r="AW103" s="370"/>
    </row>
    <row r="104" customFormat="false" ht="12.75" hidden="false" customHeight="false" outlineLevel="0" collapsed="false">
      <c r="A104" s="500"/>
      <c r="B104" s="500"/>
      <c r="L104" s="501"/>
      <c r="P104" s="371"/>
      <c r="Q104" s="501"/>
      <c r="R104" s="371"/>
      <c r="U104" s="371"/>
      <c r="V104" s="371"/>
      <c r="W104" s="371"/>
      <c r="X104" s="371"/>
      <c r="AO104" s="369"/>
      <c r="AQ104" s="370"/>
      <c r="AU104" s="530"/>
      <c r="AV104" s="134"/>
      <c r="AW104" s="370"/>
    </row>
    <row r="105" customFormat="false" ht="12.75" hidden="false" customHeight="false" outlineLevel="0" collapsed="false">
      <c r="A105" s="500"/>
      <c r="B105" s="500"/>
      <c r="L105" s="501"/>
      <c r="P105" s="371"/>
      <c r="Q105" s="501"/>
      <c r="R105" s="371"/>
      <c r="U105" s="371"/>
      <c r="V105" s="371"/>
      <c r="W105" s="371"/>
      <c r="X105" s="371"/>
      <c r="AO105" s="369"/>
      <c r="AQ105" s="370"/>
      <c r="AU105" s="530"/>
      <c r="AV105" s="134"/>
      <c r="AW105" s="370"/>
    </row>
    <row r="106" customFormat="false" ht="12.75" hidden="false" customHeight="false" outlineLevel="0" collapsed="false">
      <c r="A106" s="500"/>
      <c r="B106" s="500"/>
      <c r="L106" s="501"/>
      <c r="P106" s="371"/>
      <c r="Q106" s="501"/>
      <c r="R106" s="371"/>
      <c r="U106" s="371"/>
      <c r="V106" s="371"/>
      <c r="W106" s="371"/>
      <c r="X106" s="371"/>
      <c r="AO106" s="369"/>
      <c r="AQ106" s="370"/>
      <c r="AU106" s="530"/>
      <c r="AV106" s="134"/>
      <c r="AW106" s="370"/>
    </row>
    <row r="107" customFormat="false" ht="12.75" hidden="false" customHeight="false" outlineLevel="0" collapsed="false">
      <c r="A107" s="500"/>
      <c r="B107" s="500"/>
      <c r="L107" s="501"/>
      <c r="P107" s="371"/>
      <c r="Q107" s="501"/>
      <c r="R107" s="371"/>
      <c r="U107" s="371"/>
      <c r="V107" s="371"/>
      <c r="W107" s="371"/>
      <c r="X107" s="371"/>
      <c r="AO107" s="369"/>
      <c r="AQ107" s="370"/>
      <c r="AU107" s="530"/>
      <c r="AV107" s="134"/>
      <c r="AW107" s="370"/>
    </row>
    <row r="108" customFormat="false" ht="12.75" hidden="false" customHeight="false" outlineLevel="0" collapsed="false">
      <c r="A108" s="500"/>
      <c r="B108" s="500"/>
      <c r="L108" s="501"/>
      <c r="P108" s="371"/>
      <c r="Q108" s="501"/>
      <c r="R108" s="371"/>
      <c r="U108" s="371"/>
      <c r="V108" s="371"/>
      <c r="W108" s="371"/>
      <c r="X108" s="371"/>
      <c r="AO108" s="369"/>
      <c r="AQ108" s="370"/>
      <c r="AU108" s="530"/>
      <c r="AV108" s="134"/>
      <c r="AW108" s="370"/>
    </row>
    <row r="109" customFormat="false" ht="12.75" hidden="false" customHeight="false" outlineLevel="0" collapsed="false">
      <c r="A109" s="500"/>
      <c r="B109" s="500"/>
      <c r="L109" s="501"/>
      <c r="P109" s="371"/>
      <c r="Q109" s="501"/>
      <c r="R109" s="371"/>
      <c r="U109" s="371"/>
      <c r="V109" s="371"/>
      <c r="W109" s="371"/>
      <c r="X109" s="371"/>
      <c r="AO109" s="369"/>
      <c r="AQ109" s="370"/>
      <c r="AU109" s="530"/>
      <c r="AV109" s="134"/>
      <c r="AW109" s="370"/>
    </row>
    <row r="110" customFormat="false" ht="12.75" hidden="false" customHeight="false" outlineLevel="0" collapsed="false">
      <c r="A110" s="500"/>
      <c r="B110" s="500"/>
      <c r="L110" s="501"/>
      <c r="P110" s="371"/>
      <c r="Q110" s="501"/>
      <c r="R110" s="371"/>
      <c r="U110" s="371"/>
      <c r="V110" s="371"/>
      <c r="W110" s="371"/>
      <c r="X110" s="371"/>
      <c r="AO110" s="369"/>
      <c r="AQ110" s="370"/>
      <c r="AU110" s="530"/>
      <c r="AV110" s="134"/>
      <c r="AW110" s="370"/>
    </row>
    <row r="111" customFormat="false" ht="12.75" hidden="false" customHeight="false" outlineLevel="0" collapsed="false">
      <c r="A111" s="500"/>
      <c r="B111" s="500"/>
      <c r="L111" s="501"/>
      <c r="P111" s="371"/>
      <c r="Q111" s="501"/>
      <c r="R111" s="371"/>
      <c r="U111" s="371"/>
      <c r="V111" s="371"/>
      <c r="W111" s="371"/>
      <c r="X111" s="371"/>
      <c r="AO111" s="369"/>
      <c r="AQ111" s="370"/>
      <c r="AU111" s="530"/>
      <c r="AV111" s="134"/>
      <c r="AW111" s="370"/>
    </row>
    <row r="112" customFormat="false" ht="12.75" hidden="false" customHeight="false" outlineLevel="0" collapsed="false">
      <c r="A112" s="500"/>
      <c r="B112" s="500"/>
      <c r="L112" s="501"/>
      <c r="P112" s="371"/>
      <c r="Q112" s="501"/>
      <c r="R112" s="371"/>
      <c r="U112" s="371"/>
      <c r="V112" s="371"/>
      <c r="W112" s="371"/>
      <c r="X112" s="371"/>
      <c r="AO112" s="369"/>
      <c r="AQ112" s="370"/>
      <c r="AU112" s="530"/>
      <c r="AV112" s="134"/>
      <c r="AW112" s="370"/>
    </row>
    <row r="113" customFormat="false" ht="12.75" hidden="false" customHeight="false" outlineLevel="0" collapsed="false">
      <c r="A113" s="500"/>
      <c r="B113" s="500"/>
      <c r="L113" s="501"/>
      <c r="P113" s="371"/>
      <c r="Q113" s="501"/>
      <c r="R113" s="371"/>
      <c r="U113" s="371"/>
      <c r="V113" s="371"/>
      <c r="W113" s="371"/>
      <c r="X113" s="371"/>
      <c r="AO113" s="369"/>
      <c r="AQ113" s="370"/>
      <c r="AU113" s="530"/>
      <c r="AV113" s="134"/>
      <c r="AW113" s="370"/>
    </row>
    <row r="114" customFormat="false" ht="12.75" hidden="false" customHeight="false" outlineLevel="0" collapsed="false">
      <c r="A114" s="500"/>
      <c r="B114" s="500"/>
      <c r="L114" s="501"/>
      <c r="P114" s="371"/>
      <c r="Q114" s="501"/>
      <c r="R114" s="371"/>
      <c r="U114" s="371"/>
      <c r="V114" s="371"/>
      <c r="W114" s="371"/>
      <c r="X114" s="371"/>
      <c r="AO114" s="369"/>
      <c r="AQ114" s="370"/>
      <c r="AU114" s="530"/>
      <c r="AV114" s="134"/>
      <c r="AW114" s="370"/>
    </row>
    <row r="115" customFormat="false" ht="12.75" hidden="false" customHeight="false" outlineLevel="0" collapsed="false">
      <c r="A115" s="500"/>
      <c r="B115" s="500"/>
      <c r="L115" s="501"/>
      <c r="P115" s="371"/>
      <c r="Q115" s="501"/>
      <c r="R115" s="371"/>
      <c r="U115" s="371"/>
      <c r="V115" s="371"/>
      <c r="W115" s="371"/>
      <c r="X115" s="371"/>
      <c r="AO115" s="369"/>
      <c r="AQ115" s="370"/>
      <c r="AU115" s="530"/>
      <c r="AV115" s="134"/>
      <c r="AW115" s="370"/>
    </row>
    <row r="116" customFormat="false" ht="12.75" hidden="false" customHeight="false" outlineLevel="0" collapsed="false">
      <c r="A116" s="500"/>
      <c r="B116" s="500"/>
      <c r="L116" s="501"/>
      <c r="P116" s="371"/>
      <c r="Q116" s="501"/>
      <c r="R116" s="371"/>
      <c r="U116" s="371"/>
      <c r="V116" s="371"/>
      <c r="W116" s="371"/>
      <c r="X116" s="371"/>
      <c r="AO116" s="369"/>
      <c r="AQ116" s="370"/>
      <c r="AU116" s="530"/>
      <c r="AV116" s="134"/>
      <c r="AW116" s="370"/>
    </row>
    <row r="117" customFormat="false" ht="12.75" hidden="false" customHeight="false" outlineLevel="0" collapsed="false">
      <c r="A117" s="500"/>
      <c r="B117" s="500"/>
      <c r="L117" s="501"/>
      <c r="P117" s="371"/>
      <c r="Q117" s="501"/>
      <c r="R117" s="371"/>
      <c r="U117" s="371"/>
      <c r="V117" s="371"/>
      <c r="W117" s="371"/>
      <c r="X117" s="371"/>
      <c r="AO117" s="369"/>
      <c r="AQ117" s="370"/>
      <c r="AU117" s="530"/>
      <c r="AV117" s="134"/>
      <c r="AW117" s="370"/>
    </row>
    <row r="118" customFormat="false" ht="12.75" hidden="false" customHeight="false" outlineLevel="0" collapsed="false">
      <c r="A118" s="500"/>
      <c r="B118" s="500"/>
      <c r="P118" s="371"/>
      <c r="Q118" s="371"/>
      <c r="R118" s="371"/>
      <c r="U118" s="371"/>
      <c r="V118" s="371"/>
      <c r="W118" s="371"/>
      <c r="X118" s="371"/>
      <c r="AO118" s="369"/>
      <c r="AQ118" s="370"/>
      <c r="AS118" s="370"/>
      <c r="AU118" s="530"/>
      <c r="AV118" s="369"/>
      <c r="AW118" s="370"/>
    </row>
    <row r="119" customFormat="false" ht="12.75" hidden="false" customHeight="false" outlineLevel="0" collapsed="false">
      <c r="A119" s="500"/>
      <c r="B119" s="500"/>
      <c r="P119" s="371"/>
      <c r="Q119" s="371"/>
      <c r="R119" s="371"/>
      <c r="U119" s="371"/>
      <c r="V119" s="371"/>
      <c r="W119" s="371"/>
      <c r="X119" s="371"/>
      <c r="AO119" s="369"/>
      <c r="AQ119" s="370"/>
      <c r="AS119" s="370"/>
      <c r="AU119" s="530"/>
      <c r="AV119" s="369"/>
      <c r="AW119" s="370"/>
    </row>
    <row r="120" customFormat="false" ht="12.75" hidden="false" customHeight="false" outlineLevel="0" collapsed="false">
      <c r="A120" s="500"/>
      <c r="B120" s="500"/>
      <c r="P120" s="371"/>
      <c r="Q120" s="371"/>
      <c r="R120" s="371"/>
      <c r="U120" s="371"/>
      <c r="V120" s="371"/>
      <c r="W120" s="371"/>
      <c r="X120" s="371"/>
      <c r="AO120" s="369"/>
      <c r="AQ120" s="370"/>
      <c r="AS120" s="370"/>
      <c r="AU120" s="530"/>
      <c r="AV120" s="369"/>
      <c r="AW120" s="370"/>
    </row>
    <row r="121" customFormat="false" ht="12.75" hidden="false" customHeight="false" outlineLevel="0" collapsed="false">
      <c r="A121" s="500"/>
      <c r="B121" s="500"/>
      <c r="P121" s="371"/>
      <c r="Q121" s="371"/>
      <c r="R121" s="371"/>
      <c r="U121" s="371"/>
      <c r="V121" s="371"/>
      <c r="W121" s="371"/>
      <c r="X121" s="371"/>
      <c r="AO121" s="369"/>
      <c r="AQ121" s="370"/>
      <c r="AS121" s="370"/>
      <c r="AU121" s="530"/>
      <c r="AV121" s="369"/>
      <c r="AW121" s="370"/>
    </row>
    <row r="122" customFormat="false" ht="12.75" hidden="false" customHeight="false" outlineLevel="0" collapsed="false">
      <c r="A122" s="500"/>
      <c r="B122" s="500"/>
      <c r="P122" s="371"/>
      <c r="Q122" s="371"/>
      <c r="R122" s="371"/>
      <c r="U122" s="371"/>
      <c r="V122" s="371"/>
      <c r="W122" s="371"/>
      <c r="X122" s="371"/>
      <c r="AO122" s="369"/>
      <c r="AQ122" s="370"/>
      <c r="AS122" s="370"/>
      <c r="AU122" s="530"/>
      <c r="AV122" s="369"/>
      <c r="AW122" s="370"/>
    </row>
    <row r="123" customFormat="false" ht="12.75" hidden="false" customHeight="false" outlineLevel="0" collapsed="false">
      <c r="A123" s="500"/>
      <c r="B123" s="500"/>
      <c r="P123" s="371"/>
      <c r="Q123" s="371"/>
      <c r="R123" s="371"/>
      <c r="U123" s="371"/>
      <c r="V123" s="371"/>
      <c r="W123" s="371"/>
      <c r="X123" s="371"/>
      <c r="AO123" s="369"/>
      <c r="AQ123" s="370"/>
      <c r="AS123" s="370"/>
      <c r="AU123" s="530"/>
      <c r="AV123" s="369"/>
      <c r="AW123" s="370"/>
    </row>
    <row r="124" customFormat="false" ht="12.75" hidden="false" customHeight="false" outlineLevel="0" collapsed="false">
      <c r="A124" s="500"/>
      <c r="B124" s="500"/>
      <c r="P124" s="371"/>
      <c r="Q124" s="371"/>
      <c r="R124" s="371"/>
      <c r="U124" s="371"/>
      <c r="V124" s="371"/>
      <c r="W124" s="371"/>
      <c r="X124" s="371"/>
      <c r="AO124" s="369"/>
      <c r="AQ124" s="370"/>
      <c r="AS124" s="370"/>
      <c r="AU124" s="530"/>
      <c r="AV124" s="369"/>
      <c r="AW124" s="370"/>
    </row>
    <row r="125" customFormat="false" ht="12.75" hidden="false" customHeight="false" outlineLevel="0" collapsed="false">
      <c r="A125" s="500"/>
      <c r="B125" s="500"/>
      <c r="P125" s="371"/>
      <c r="Q125" s="371"/>
      <c r="R125" s="371"/>
      <c r="U125" s="371"/>
      <c r="V125" s="371"/>
      <c r="W125" s="371"/>
      <c r="X125" s="371"/>
      <c r="AO125" s="369"/>
      <c r="AQ125" s="370"/>
      <c r="AS125" s="370"/>
      <c r="AU125" s="530"/>
      <c r="AV125" s="369"/>
      <c r="AW125" s="370"/>
    </row>
    <row r="126" customFormat="false" ht="12.75" hidden="false" customHeight="false" outlineLevel="0" collapsed="false">
      <c r="A126" s="500"/>
      <c r="B126" s="500"/>
      <c r="P126" s="371"/>
      <c r="Q126" s="371"/>
      <c r="R126" s="371"/>
      <c r="U126" s="371"/>
      <c r="V126" s="371"/>
      <c r="W126" s="371"/>
      <c r="X126" s="371"/>
      <c r="AO126" s="369"/>
      <c r="AQ126" s="370"/>
      <c r="AS126" s="370"/>
      <c r="AU126" s="530"/>
      <c r="AV126" s="369"/>
      <c r="AW126" s="370"/>
    </row>
    <row r="127" customFormat="false" ht="12.75" hidden="false" customHeight="false" outlineLevel="0" collapsed="false">
      <c r="A127" s="500"/>
      <c r="B127" s="500"/>
      <c r="P127" s="371"/>
      <c r="Q127" s="371"/>
      <c r="R127" s="371"/>
      <c r="U127" s="371"/>
      <c r="V127" s="371"/>
      <c r="W127" s="371"/>
      <c r="X127" s="371"/>
      <c r="AO127" s="369"/>
      <c r="AQ127" s="370"/>
      <c r="AS127" s="370"/>
      <c r="AU127" s="530"/>
      <c r="AV127" s="369"/>
      <c r="AW127" s="370"/>
    </row>
    <row r="128" customFormat="false" ht="12.75" hidden="false" customHeight="false" outlineLevel="0" collapsed="false">
      <c r="A128" s="500"/>
      <c r="B128" s="500"/>
      <c r="P128" s="371"/>
      <c r="Q128" s="371"/>
      <c r="R128" s="371"/>
      <c r="U128" s="371"/>
      <c r="V128" s="371"/>
      <c r="W128" s="371"/>
      <c r="X128" s="371"/>
      <c r="AO128" s="369"/>
      <c r="AQ128" s="370"/>
      <c r="AS128" s="370"/>
      <c r="AU128" s="530"/>
      <c r="AV128" s="369"/>
      <c r="AW128" s="370"/>
    </row>
    <row r="129" customFormat="false" ht="12.75" hidden="false" customHeight="false" outlineLevel="0" collapsed="false">
      <c r="A129" s="500"/>
      <c r="B129" s="500"/>
      <c r="P129" s="371"/>
      <c r="Q129" s="371"/>
      <c r="R129" s="371"/>
      <c r="U129" s="371"/>
      <c r="V129" s="371"/>
      <c r="W129" s="371"/>
      <c r="X129" s="371"/>
      <c r="AO129" s="369"/>
      <c r="AQ129" s="370"/>
      <c r="AS129" s="370"/>
      <c r="AU129" s="530"/>
      <c r="AV129" s="369"/>
      <c r="AW129" s="370"/>
    </row>
    <row r="130" customFormat="false" ht="12.75" hidden="false" customHeight="false" outlineLevel="0" collapsed="false">
      <c r="P130" s="371"/>
      <c r="Q130" s="371"/>
      <c r="R130" s="371"/>
      <c r="U130" s="371"/>
      <c r="V130" s="371"/>
      <c r="W130" s="371"/>
      <c r="X130" s="371"/>
      <c r="AO130" s="369"/>
      <c r="AQ130" s="370"/>
      <c r="AS130" s="370"/>
      <c r="AU130" s="530"/>
      <c r="AV130" s="369"/>
      <c r="AW130" s="370"/>
    </row>
    <row r="131" customFormat="false" ht="12.75" hidden="false" customHeight="false" outlineLevel="0" collapsed="false">
      <c r="P131" s="371"/>
      <c r="Q131" s="371"/>
      <c r="R131" s="371"/>
      <c r="U131" s="371"/>
      <c r="V131" s="371"/>
      <c r="W131" s="371"/>
      <c r="X131" s="371"/>
      <c r="AO131" s="369"/>
      <c r="AQ131" s="370"/>
      <c r="AS131" s="370"/>
      <c r="AU131" s="530"/>
      <c r="AV131" s="369"/>
      <c r="AW131" s="370"/>
    </row>
    <row r="132" customFormat="false" ht="12.75" hidden="false" customHeight="false" outlineLevel="0" collapsed="false">
      <c r="P132" s="371"/>
      <c r="Q132" s="371"/>
      <c r="R132" s="371"/>
      <c r="U132" s="371"/>
      <c r="V132" s="371"/>
      <c r="W132" s="371"/>
      <c r="X132" s="371"/>
      <c r="AO132" s="369"/>
      <c r="AQ132" s="370"/>
      <c r="AS132" s="370"/>
      <c r="AU132" s="530"/>
      <c r="AV132" s="369"/>
      <c r="AW132" s="370"/>
    </row>
    <row r="133" customFormat="false" ht="12.75" hidden="false" customHeight="false" outlineLevel="0" collapsed="false">
      <c r="P133" s="371"/>
      <c r="Q133" s="371"/>
      <c r="R133" s="371"/>
      <c r="U133" s="371"/>
      <c r="V133" s="371"/>
      <c r="W133" s="371"/>
      <c r="X133" s="371"/>
      <c r="AO133" s="369"/>
      <c r="AQ133" s="370"/>
      <c r="AS133" s="370"/>
      <c r="AU133" s="530"/>
      <c r="AV133" s="369"/>
      <c r="AW133" s="370"/>
    </row>
    <row r="134" customFormat="false" ht="12.75" hidden="false" customHeight="false" outlineLevel="0" collapsed="false">
      <c r="P134" s="371"/>
      <c r="Q134" s="371"/>
      <c r="R134" s="371"/>
      <c r="U134" s="371"/>
      <c r="V134" s="371"/>
      <c r="W134" s="371"/>
      <c r="X134" s="371"/>
      <c r="AO134" s="369"/>
      <c r="AQ134" s="370"/>
      <c r="AS134" s="370"/>
      <c r="AU134" s="530"/>
      <c r="AV134" s="369"/>
      <c r="AW134" s="370"/>
    </row>
    <row r="135" customFormat="false" ht="12.75" hidden="false" customHeight="false" outlineLevel="0" collapsed="false">
      <c r="P135" s="371"/>
      <c r="Q135" s="371"/>
      <c r="R135" s="371"/>
      <c r="U135" s="371"/>
      <c r="V135" s="371"/>
      <c r="W135" s="371"/>
      <c r="X135" s="371"/>
      <c r="AO135" s="369"/>
      <c r="AQ135" s="370"/>
      <c r="AS135" s="370"/>
      <c r="AU135" s="530"/>
      <c r="AV135" s="369"/>
      <c r="AW135" s="370"/>
    </row>
    <row r="136" customFormat="false" ht="12.75" hidden="false" customHeight="false" outlineLevel="0" collapsed="false">
      <c r="P136" s="371"/>
      <c r="Q136" s="371"/>
      <c r="R136" s="371"/>
      <c r="U136" s="371"/>
      <c r="V136" s="371"/>
      <c r="W136" s="371"/>
      <c r="X136" s="371"/>
      <c r="AO136" s="369"/>
      <c r="AQ136" s="370"/>
      <c r="AS136" s="370"/>
      <c r="AU136" s="530"/>
      <c r="AV136" s="369"/>
      <c r="AW136" s="370"/>
    </row>
    <row r="137" customFormat="false" ht="12.75" hidden="false" customHeight="false" outlineLevel="0" collapsed="false">
      <c r="P137" s="371"/>
      <c r="Q137" s="371"/>
      <c r="R137" s="371"/>
      <c r="U137" s="371"/>
      <c r="V137" s="371"/>
      <c r="W137" s="371"/>
      <c r="X137" s="371"/>
      <c r="AO137" s="369"/>
      <c r="AQ137" s="370"/>
      <c r="AS137" s="370"/>
      <c r="AU137" s="530"/>
      <c r="AV137" s="369"/>
      <c r="AW137" s="370"/>
    </row>
    <row r="138" customFormat="false" ht="12.75" hidden="false" customHeight="false" outlineLevel="0" collapsed="false">
      <c r="P138" s="371"/>
      <c r="Q138" s="371"/>
      <c r="R138" s="371"/>
      <c r="U138" s="371"/>
      <c r="V138" s="371"/>
      <c r="W138" s="371"/>
      <c r="X138" s="371"/>
      <c r="AO138" s="369"/>
      <c r="AQ138" s="370"/>
      <c r="AS138" s="370"/>
      <c r="AU138" s="530"/>
      <c r="AV138" s="369"/>
      <c r="AW138" s="370"/>
    </row>
    <row r="139" customFormat="false" ht="12.75" hidden="false" customHeight="false" outlineLevel="0" collapsed="false">
      <c r="P139" s="371"/>
      <c r="Q139" s="371"/>
      <c r="R139" s="371"/>
      <c r="U139" s="371"/>
      <c r="V139" s="371"/>
      <c r="W139" s="371"/>
      <c r="X139" s="371"/>
      <c r="AO139" s="369"/>
      <c r="AQ139" s="370"/>
      <c r="AS139" s="370"/>
      <c r="AU139" s="530"/>
      <c r="AV139" s="369"/>
      <c r="AW139" s="370"/>
    </row>
    <row r="140" customFormat="false" ht="12.75" hidden="false" customHeight="false" outlineLevel="0" collapsed="false">
      <c r="P140" s="371"/>
      <c r="Q140" s="371"/>
      <c r="R140" s="371"/>
      <c r="U140" s="371"/>
      <c r="V140" s="371"/>
      <c r="W140" s="371"/>
      <c r="X140" s="371"/>
      <c r="AO140" s="369"/>
      <c r="AQ140" s="370"/>
      <c r="AS140" s="370"/>
      <c r="AU140" s="530"/>
      <c r="AV140" s="369"/>
      <c r="AW140" s="370"/>
    </row>
    <row r="141" customFormat="false" ht="12.75" hidden="false" customHeight="false" outlineLevel="0" collapsed="false">
      <c r="P141" s="371"/>
      <c r="Q141" s="371"/>
      <c r="R141" s="371"/>
      <c r="U141" s="371"/>
      <c r="V141" s="371"/>
      <c r="W141" s="371"/>
      <c r="X141" s="371"/>
      <c r="AO141" s="369"/>
      <c r="AQ141" s="370"/>
      <c r="AS141" s="370"/>
      <c r="AU141" s="530"/>
      <c r="AV141" s="369"/>
      <c r="AW141" s="370"/>
    </row>
    <row r="142" customFormat="false" ht="12.75" hidden="false" customHeight="false" outlineLevel="0" collapsed="false">
      <c r="P142" s="371"/>
      <c r="Q142" s="371"/>
      <c r="R142" s="371"/>
      <c r="U142" s="371"/>
      <c r="V142" s="371"/>
      <c r="W142" s="371"/>
      <c r="X142" s="371"/>
      <c r="AO142" s="369"/>
      <c r="AQ142" s="370"/>
      <c r="AS142" s="370"/>
      <c r="AU142" s="530"/>
      <c r="AV142" s="369"/>
      <c r="AW142" s="370"/>
    </row>
    <row r="143" customFormat="false" ht="12.75" hidden="false" customHeight="false" outlineLevel="0" collapsed="false">
      <c r="P143" s="371"/>
      <c r="Q143" s="371"/>
      <c r="R143" s="371"/>
      <c r="U143" s="371"/>
      <c r="V143" s="371"/>
      <c r="W143" s="371"/>
      <c r="X143" s="371"/>
      <c r="AO143" s="369"/>
      <c r="AQ143" s="370"/>
      <c r="AS143" s="370"/>
      <c r="AU143" s="530"/>
      <c r="AV143" s="369"/>
      <c r="AW143" s="370"/>
    </row>
    <row r="144" customFormat="false" ht="12.75" hidden="false" customHeight="false" outlineLevel="0" collapsed="false">
      <c r="P144" s="371"/>
      <c r="Q144" s="371"/>
      <c r="R144" s="371"/>
      <c r="U144" s="371"/>
      <c r="V144" s="371"/>
      <c r="W144" s="371"/>
      <c r="X144" s="371"/>
      <c r="AO144" s="369"/>
      <c r="AQ144" s="370"/>
      <c r="AS144" s="370"/>
      <c r="AU144" s="530"/>
      <c r="AV144" s="369"/>
      <c r="AW144" s="370"/>
    </row>
    <row r="145" customFormat="false" ht="12.75" hidden="false" customHeight="false" outlineLevel="0" collapsed="false">
      <c r="P145" s="371"/>
      <c r="Q145" s="371"/>
      <c r="R145" s="371"/>
      <c r="U145" s="371"/>
      <c r="V145" s="371"/>
      <c r="W145" s="371"/>
      <c r="X145" s="371"/>
      <c r="AO145" s="369"/>
      <c r="AQ145" s="370"/>
      <c r="AS145" s="370"/>
      <c r="AU145" s="530"/>
      <c r="AV145" s="369"/>
      <c r="AW145" s="370"/>
    </row>
    <row r="146" customFormat="false" ht="12.75" hidden="false" customHeight="false" outlineLevel="0" collapsed="false">
      <c r="P146" s="371"/>
      <c r="Q146" s="371"/>
      <c r="R146" s="371"/>
      <c r="U146" s="371"/>
      <c r="V146" s="371"/>
      <c r="W146" s="371"/>
      <c r="X146" s="371"/>
      <c r="AO146" s="369"/>
      <c r="AQ146" s="370"/>
      <c r="AS146" s="370"/>
      <c r="AU146" s="530"/>
      <c r="AV146" s="369"/>
      <c r="AW146" s="370"/>
    </row>
    <row r="147" customFormat="false" ht="12.75" hidden="false" customHeight="false" outlineLevel="0" collapsed="false">
      <c r="P147" s="371"/>
      <c r="Q147" s="371"/>
      <c r="R147" s="371"/>
      <c r="U147" s="371"/>
      <c r="V147" s="371"/>
      <c r="W147" s="371"/>
      <c r="X147" s="371"/>
      <c r="AO147" s="369"/>
      <c r="AQ147" s="370"/>
      <c r="AS147" s="370"/>
      <c r="AU147" s="530"/>
      <c r="AV147" s="369"/>
      <c r="AW147" s="370"/>
    </row>
    <row r="148" customFormat="false" ht="12.75" hidden="false" customHeight="false" outlineLevel="0" collapsed="false">
      <c r="P148" s="371"/>
      <c r="Q148" s="371"/>
      <c r="R148" s="371"/>
      <c r="U148" s="371"/>
      <c r="V148" s="371"/>
      <c r="W148" s="371"/>
      <c r="X148" s="371"/>
      <c r="AO148" s="369"/>
      <c r="AQ148" s="370"/>
      <c r="AS148" s="370"/>
      <c r="AU148" s="530"/>
      <c r="AV148" s="369"/>
      <c r="AW148" s="370"/>
    </row>
    <row r="149" customFormat="false" ht="12.75" hidden="false" customHeight="false" outlineLevel="0" collapsed="false">
      <c r="P149" s="371"/>
      <c r="Q149" s="371"/>
      <c r="R149" s="371"/>
      <c r="U149" s="371"/>
      <c r="V149" s="371"/>
      <c r="W149" s="371"/>
      <c r="X149" s="371"/>
      <c r="AO149" s="369"/>
      <c r="AQ149" s="370"/>
      <c r="AS149" s="370"/>
      <c r="AU149" s="530"/>
      <c r="AV149" s="369"/>
      <c r="AW149" s="370"/>
    </row>
    <row r="150" customFormat="false" ht="12.75" hidden="false" customHeight="false" outlineLevel="0" collapsed="false">
      <c r="P150" s="371"/>
      <c r="Q150" s="371"/>
      <c r="R150" s="371"/>
      <c r="U150" s="371"/>
      <c r="V150" s="371"/>
      <c r="W150" s="371"/>
      <c r="X150" s="371"/>
      <c r="AO150" s="369"/>
      <c r="AQ150" s="370"/>
      <c r="AS150" s="370"/>
      <c r="AU150" s="530"/>
      <c r="AV150" s="369"/>
      <c r="AW150" s="370"/>
    </row>
    <row r="151" customFormat="false" ht="12.75" hidden="false" customHeight="false" outlineLevel="0" collapsed="false">
      <c r="P151" s="371"/>
      <c r="Q151" s="371"/>
      <c r="R151" s="371"/>
      <c r="U151" s="371"/>
      <c r="V151" s="371"/>
      <c r="W151" s="371"/>
      <c r="X151" s="371"/>
      <c r="AO151" s="369"/>
      <c r="AQ151" s="370"/>
      <c r="AS151" s="370"/>
      <c r="AU151" s="530"/>
      <c r="AV151" s="369"/>
      <c r="AW151" s="370"/>
    </row>
    <row r="152" customFormat="false" ht="12.75" hidden="false" customHeight="false" outlineLevel="0" collapsed="false">
      <c r="P152" s="371"/>
      <c r="Q152" s="371"/>
      <c r="R152" s="371"/>
      <c r="U152" s="371"/>
      <c r="V152" s="371"/>
      <c r="W152" s="371"/>
      <c r="X152" s="371"/>
      <c r="AO152" s="369"/>
      <c r="AQ152" s="370"/>
      <c r="AS152" s="370"/>
      <c r="AU152" s="530"/>
      <c r="AV152" s="369"/>
      <c r="AW152" s="370"/>
    </row>
    <row r="153" customFormat="false" ht="12.75" hidden="false" customHeight="false" outlineLevel="0" collapsed="false">
      <c r="P153" s="371"/>
      <c r="Q153" s="371"/>
      <c r="R153" s="371"/>
      <c r="U153" s="371"/>
      <c r="V153" s="371"/>
      <c r="W153" s="371"/>
      <c r="X153" s="371"/>
      <c r="AO153" s="369"/>
      <c r="AQ153" s="370"/>
      <c r="AS153" s="370"/>
      <c r="AU153" s="530"/>
      <c r="AV153" s="369"/>
      <c r="AW153" s="370"/>
    </row>
    <row r="154" customFormat="false" ht="12.75" hidden="false" customHeight="false" outlineLevel="0" collapsed="false">
      <c r="P154" s="371"/>
      <c r="Q154" s="371"/>
      <c r="R154" s="371"/>
      <c r="U154" s="371"/>
      <c r="V154" s="371"/>
      <c r="W154" s="371"/>
      <c r="X154" s="371"/>
      <c r="AO154" s="369"/>
      <c r="AQ154" s="370"/>
      <c r="AS154" s="370"/>
      <c r="AU154" s="530"/>
      <c r="AV154" s="369"/>
      <c r="AW154" s="370"/>
    </row>
    <row r="155" customFormat="false" ht="12.75" hidden="false" customHeight="false" outlineLevel="0" collapsed="false">
      <c r="P155" s="371"/>
      <c r="Q155" s="371"/>
      <c r="R155" s="371"/>
      <c r="U155" s="371"/>
      <c r="V155" s="371"/>
      <c r="W155" s="371"/>
      <c r="X155" s="371"/>
      <c r="AO155" s="369"/>
      <c r="AQ155" s="370"/>
      <c r="AS155" s="370"/>
      <c r="AU155" s="530"/>
      <c r="AV155" s="369"/>
      <c r="AW155" s="370"/>
    </row>
    <row r="156" customFormat="false" ht="12.75" hidden="false" customHeight="false" outlineLevel="0" collapsed="false">
      <c r="P156" s="371"/>
      <c r="Q156" s="371"/>
      <c r="R156" s="371"/>
      <c r="U156" s="371"/>
      <c r="V156" s="371"/>
      <c r="W156" s="371"/>
      <c r="X156" s="371"/>
      <c r="AO156" s="369"/>
      <c r="AQ156" s="370"/>
      <c r="AS156" s="370"/>
      <c r="AU156" s="530"/>
      <c r="AV156" s="369"/>
      <c r="AW156" s="370"/>
    </row>
    <row r="157" customFormat="false" ht="12.75" hidden="false" customHeight="false" outlineLevel="0" collapsed="false">
      <c r="P157" s="371"/>
      <c r="Q157" s="371"/>
      <c r="R157" s="371"/>
      <c r="U157" s="371"/>
      <c r="V157" s="371"/>
      <c r="W157" s="371"/>
      <c r="X157" s="371"/>
      <c r="AO157" s="369"/>
      <c r="AQ157" s="370"/>
      <c r="AS157" s="370"/>
      <c r="AU157" s="530"/>
      <c r="AV157" s="369"/>
      <c r="AW157" s="370"/>
    </row>
    <row r="158" customFormat="false" ht="12.75" hidden="false" customHeight="false" outlineLevel="0" collapsed="false">
      <c r="P158" s="371"/>
      <c r="Q158" s="371"/>
      <c r="R158" s="371"/>
      <c r="U158" s="371"/>
      <c r="V158" s="371"/>
      <c r="W158" s="371"/>
      <c r="X158" s="371"/>
      <c r="AO158" s="369"/>
      <c r="AQ158" s="370"/>
      <c r="AS158" s="370"/>
      <c r="AU158" s="530"/>
      <c r="AV158" s="369"/>
      <c r="AW158" s="370"/>
    </row>
    <row r="159" customFormat="false" ht="12.75" hidden="false" customHeight="false" outlineLevel="0" collapsed="false">
      <c r="P159" s="371"/>
      <c r="Q159" s="371"/>
      <c r="R159" s="371"/>
      <c r="U159" s="371"/>
      <c r="V159" s="371"/>
      <c r="W159" s="371"/>
      <c r="X159" s="371"/>
      <c r="AO159" s="369"/>
      <c r="AQ159" s="370"/>
      <c r="AS159" s="370"/>
      <c r="AU159" s="530"/>
      <c r="AV159" s="369"/>
      <c r="AW159" s="370"/>
    </row>
    <row r="160" customFormat="false" ht="12.75" hidden="false" customHeight="false" outlineLevel="0" collapsed="false">
      <c r="P160" s="371"/>
      <c r="Q160" s="371"/>
      <c r="R160" s="371"/>
      <c r="U160" s="371"/>
      <c r="V160" s="371"/>
      <c r="W160" s="371"/>
      <c r="X160" s="371"/>
      <c r="AO160" s="369"/>
      <c r="AQ160" s="370"/>
      <c r="AS160" s="370"/>
      <c r="AU160" s="530"/>
      <c r="AV160" s="369"/>
      <c r="AW160" s="370"/>
    </row>
    <row r="161" customFormat="false" ht="12.75" hidden="false" customHeight="false" outlineLevel="0" collapsed="false">
      <c r="P161" s="371"/>
      <c r="Q161" s="371"/>
      <c r="R161" s="371"/>
      <c r="U161" s="371"/>
      <c r="V161" s="371"/>
      <c r="W161" s="371"/>
      <c r="X161" s="371"/>
      <c r="AO161" s="369"/>
      <c r="AQ161" s="370"/>
      <c r="AS161" s="370"/>
      <c r="AU161" s="530"/>
      <c r="AV161" s="369"/>
      <c r="AW161" s="370"/>
    </row>
    <row r="162" customFormat="false" ht="12.75" hidden="false" customHeight="false" outlineLevel="0" collapsed="false">
      <c r="P162" s="371"/>
      <c r="Q162" s="371"/>
      <c r="R162" s="371"/>
      <c r="U162" s="371"/>
      <c r="V162" s="371"/>
      <c r="W162" s="371"/>
      <c r="X162" s="371"/>
      <c r="AO162" s="369"/>
      <c r="AQ162" s="370"/>
      <c r="AS162" s="370"/>
      <c r="AU162" s="530"/>
      <c r="AV162" s="369"/>
      <c r="AW162" s="370"/>
    </row>
    <row r="163" customFormat="false" ht="12.75" hidden="false" customHeight="false" outlineLevel="0" collapsed="false">
      <c r="P163" s="371"/>
      <c r="Q163" s="371"/>
      <c r="R163" s="371"/>
      <c r="U163" s="371"/>
      <c r="V163" s="371"/>
      <c r="W163" s="371"/>
      <c r="X163" s="371"/>
      <c r="AO163" s="369"/>
      <c r="AQ163" s="370"/>
      <c r="AS163" s="370"/>
      <c r="AU163" s="530"/>
      <c r="AV163" s="369"/>
      <c r="AW163" s="370"/>
    </row>
    <row r="164" customFormat="false" ht="12.75" hidden="false" customHeight="false" outlineLevel="0" collapsed="false">
      <c r="P164" s="371"/>
      <c r="Q164" s="371"/>
      <c r="R164" s="371"/>
      <c r="U164" s="371"/>
      <c r="V164" s="371"/>
      <c r="W164" s="371"/>
      <c r="X164" s="371"/>
      <c r="AO164" s="369"/>
      <c r="AQ164" s="370"/>
      <c r="AS164" s="370"/>
      <c r="AU164" s="530"/>
      <c r="AV164" s="369"/>
      <c r="AW164" s="370"/>
    </row>
    <row r="165" customFormat="false" ht="12.75" hidden="false" customHeight="false" outlineLevel="0" collapsed="false">
      <c r="P165" s="371"/>
      <c r="Q165" s="371"/>
      <c r="R165" s="371"/>
      <c r="U165" s="371"/>
      <c r="V165" s="371"/>
      <c r="W165" s="371"/>
      <c r="X165" s="371"/>
      <c r="AO165" s="369"/>
      <c r="AQ165" s="370"/>
      <c r="AS165" s="370"/>
      <c r="AU165" s="530"/>
      <c r="AV165" s="369"/>
      <c r="AW165" s="370"/>
    </row>
    <row r="166" customFormat="false" ht="12.75" hidden="false" customHeight="false" outlineLevel="0" collapsed="false">
      <c r="P166" s="371"/>
      <c r="Q166" s="371"/>
      <c r="R166" s="371"/>
      <c r="U166" s="371"/>
      <c r="V166" s="371"/>
      <c r="W166" s="371"/>
      <c r="X166" s="371"/>
    </row>
    <row r="167" customFormat="false" ht="12.75" hidden="false" customHeight="false" outlineLevel="0" collapsed="false">
      <c r="P167" s="371"/>
      <c r="Q167" s="371"/>
      <c r="R167" s="371"/>
      <c r="U167" s="371"/>
      <c r="V167" s="371"/>
      <c r="W167" s="371"/>
      <c r="X167" s="371"/>
    </row>
    <row r="168" customFormat="false" ht="12.75" hidden="false" customHeight="false" outlineLevel="0" collapsed="false">
      <c r="P168" s="371"/>
      <c r="Q168" s="371"/>
      <c r="R168" s="371"/>
      <c r="U168" s="371"/>
      <c r="V168" s="371"/>
      <c r="W168" s="371"/>
      <c r="X168" s="371"/>
    </row>
    <row r="169" customFormat="false" ht="12.75" hidden="false" customHeight="false" outlineLevel="0" collapsed="false">
      <c r="P169" s="371"/>
      <c r="Q169" s="371"/>
      <c r="R169" s="371"/>
      <c r="U169" s="371"/>
      <c r="V169" s="371"/>
      <c r="W169" s="371"/>
      <c r="X169" s="371"/>
    </row>
    <row r="170" customFormat="false" ht="12.75" hidden="false" customHeight="false" outlineLevel="0" collapsed="false">
      <c r="P170" s="371"/>
      <c r="Q170" s="371"/>
      <c r="R170" s="371"/>
      <c r="U170" s="371"/>
      <c r="V170" s="371"/>
      <c r="W170" s="371"/>
      <c r="X170" s="371"/>
    </row>
    <row r="171" customFormat="false" ht="12.75" hidden="false" customHeight="false" outlineLevel="0" collapsed="false">
      <c r="P171" s="371"/>
      <c r="Q171" s="371"/>
      <c r="R171" s="371"/>
      <c r="U171" s="371"/>
      <c r="V171" s="371"/>
      <c r="W171" s="371"/>
      <c r="X171" s="371"/>
    </row>
    <row r="172" customFormat="false" ht="12.75" hidden="false" customHeight="false" outlineLevel="0" collapsed="false">
      <c r="P172" s="371"/>
      <c r="Q172" s="371"/>
      <c r="R172" s="371"/>
      <c r="U172" s="371"/>
      <c r="V172" s="371"/>
      <c r="W172" s="371"/>
      <c r="X172" s="371"/>
    </row>
    <row r="173" customFormat="false" ht="12.75" hidden="false" customHeight="false" outlineLevel="0" collapsed="false">
      <c r="P173" s="371"/>
      <c r="Q173" s="371"/>
      <c r="R173" s="371"/>
      <c r="U173" s="371"/>
      <c r="V173" s="371"/>
      <c r="W173" s="371"/>
      <c r="X173" s="371"/>
    </row>
    <row r="174" customFormat="false" ht="12.75" hidden="false" customHeight="false" outlineLevel="0" collapsed="false">
      <c r="P174" s="371"/>
      <c r="Q174" s="371"/>
      <c r="R174" s="371"/>
      <c r="U174" s="371"/>
      <c r="V174" s="371"/>
      <c r="W174" s="371"/>
      <c r="X174" s="371"/>
    </row>
    <row r="175" customFormat="false" ht="12.75" hidden="false" customHeight="false" outlineLevel="0" collapsed="false">
      <c r="P175" s="371"/>
      <c r="Q175" s="371"/>
      <c r="R175" s="371"/>
      <c r="U175" s="371"/>
      <c r="V175" s="371"/>
      <c r="W175" s="371"/>
      <c r="X175" s="371"/>
    </row>
    <row r="176" customFormat="false" ht="12.75" hidden="false" customHeight="false" outlineLevel="0" collapsed="false">
      <c r="P176" s="371"/>
      <c r="Q176" s="371"/>
      <c r="R176" s="371"/>
      <c r="U176" s="371"/>
      <c r="V176" s="371"/>
      <c r="W176" s="371"/>
      <c r="X176" s="371"/>
    </row>
    <row r="177" customFormat="false" ht="12.75" hidden="false" customHeight="false" outlineLevel="0" collapsed="false">
      <c r="P177" s="371"/>
      <c r="Q177" s="371"/>
      <c r="R177" s="371"/>
      <c r="U177" s="371"/>
      <c r="V177" s="371"/>
      <c r="W177" s="371"/>
      <c r="X177" s="371"/>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row r="404" customFormat="false" ht="12.75" hidden="false" customHeight="false" outlineLevel="0" collapsed="false">
      <c r="P404" s="371"/>
      <c r="Q404" s="371"/>
      <c r="R404" s="371"/>
      <c r="U404" s="371"/>
      <c r="V404" s="371"/>
      <c r="W404" s="371"/>
      <c r="X404" s="371"/>
    </row>
    <row r="405" customFormat="false" ht="12.75" hidden="false" customHeight="false" outlineLevel="0" collapsed="false">
      <c r="P405" s="371"/>
      <c r="Q405" s="371"/>
      <c r="R405" s="371"/>
      <c r="U405" s="371"/>
      <c r="V405" s="371"/>
      <c r="W405" s="371"/>
      <c r="X405" s="371"/>
    </row>
    <row r="406" customFormat="false" ht="12.75" hidden="false" customHeight="false" outlineLevel="0" collapsed="false">
      <c r="P406" s="371"/>
      <c r="Q406" s="371"/>
      <c r="R406" s="371"/>
      <c r="U406" s="371"/>
      <c r="V406" s="371"/>
      <c r="W406" s="371"/>
      <c r="X406" s="371"/>
    </row>
    <row r="407" customFormat="false" ht="12.75" hidden="false" customHeight="false" outlineLevel="0" collapsed="false">
      <c r="P407" s="371"/>
      <c r="Q407" s="371"/>
      <c r="R407" s="371"/>
      <c r="U407" s="371"/>
      <c r="V407" s="371"/>
      <c r="W407" s="371"/>
      <c r="X407" s="371"/>
    </row>
    <row r="408" customFormat="false" ht="12.75" hidden="false" customHeight="false" outlineLevel="0" collapsed="false">
      <c r="P408" s="371"/>
      <c r="Q408" s="371"/>
      <c r="R408" s="371"/>
      <c r="U408" s="371"/>
      <c r="V408" s="371"/>
      <c r="W408" s="371"/>
      <c r="X408" s="371"/>
    </row>
    <row r="409" customFormat="false" ht="12.75" hidden="false" customHeight="false" outlineLevel="0" collapsed="false">
      <c r="P409" s="371"/>
      <c r="Q409" s="371"/>
      <c r="R409" s="371"/>
      <c r="U409" s="371"/>
      <c r="V409" s="371"/>
      <c r="W409" s="371"/>
      <c r="X409" s="371"/>
    </row>
    <row r="410" customFormat="false" ht="12.75" hidden="false" customHeight="false" outlineLevel="0" collapsed="false">
      <c r="P410" s="371"/>
      <c r="Q410" s="371"/>
      <c r="R410" s="371"/>
      <c r="U410" s="371"/>
      <c r="V410" s="371"/>
      <c r="W410" s="371"/>
      <c r="X410" s="371"/>
    </row>
    <row r="411" customFormat="false" ht="12.75" hidden="false" customHeight="false" outlineLevel="0" collapsed="false">
      <c r="P411" s="371"/>
      <c r="Q411" s="371"/>
      <c r="R411" s="371"/>
      <c r="U411" s="371"/>
      <c r="V411" s="371"/>
      <c r="W411" s="371"/>
      <c r="X411" s="371"/>
    </row>
    <row r="412" customFormat="false" ht="12.75" hidden="false" customHeight="false" outlineLevel="0" collapsed="false">
      <c r="P412" s="371"/>
      <c r="Q412" s="371"/>
      <c r="R412" s="371"/>
      <c r="U412" s="371"/>
      <c r="V412" s="371"/>
      <c r="W412" s="371"/>
      <c r="X412" s="371"/>
    </row>
    <row r="413" customFormat="false" ht="12.75" hidden="false" customHeight="false" outlineLevel="0" collapsed="false">
      <c r="P413" s="371"/>
      <c r="Q413" s="371"/>
      <c r="R413" s="371"/>
      <c r="U413" s="371"/>
      <c r="V413" s="371"/>
      <c r="W413" s="371"/>
      <c r="X413" s="371"/>
    </row>
    <row r="414" customFormat="false" ht="12.75" hidden="false" customHeight="false" outlineLevel="0" collapsed="false">
      <c r="P414" s="371"/>
      <c r="Q414" s="371"/>
      <c r="R414" s="371"/>
      <c r="U414" s="371"/>
      <c r="V414" s="371"/>
      <c r="W414" s="371"/>
      <c r="X414" s="371"/>
    </row>
    <row r="415" customFormat="false" ht="12.75" hidden="false" customHeight="false" outlineLevel="0" collapsed="false">
      <c r="P415" s="371"/>
      <c r="Q415" s="371"/>
      <c r="R415" s="371"/>
      <c r="U415" s="371"/>
      <c r="V415" s="371"/>
      <c r="W415" s="371"/>
      <c r="X415" s="371"/>
    </row>
    <row r="416" customFormat="false" ht="12.75" hidden="false" customHeight="false" outlineLevel="0" collapsed="false">
      <c r="P416" s="371"/>
      <c r="Q416" s="371"/>
      <c r="R416" s="371"/>
      <c r="U416" s="371"/>
      <c r="V416" s="371"/>
      <c r="W416" s="371"/>
      <c r="X416" s="371"/>
    </row>
    <row r="417" customFormat="false" ht="12.75" hidden="false" customHeight="false" outlineLevel="0" collapsed="false">
      <c r="P417" s="371"/>
      <c r="Q417" s="371"/>
      <c r="R417" s="371"/>
      <c r="U417" s="371"/>
      <c r="V417" s="371"/>
      <c r="W417" s="371"/>
      <c r="X417" s="371"/>
    </row>
    <row r="418" customFormat="false" ht="12.75" hidden="false" customHeight="false" outlineLevel="0" collapsed="false">
      <c r="P418" s="371"/>
      <c r="Q418" s="371"/>
      <c r="R418" s="371"/>
      <c r="U418" s="371"/>
      <c r="V418" s="371"/>
      <c r="W418" s="371"/>
      <c r="X418" s="371"/>
    </row>
    <row r="419" customFormat="false" ht="12.75" hidden="false" customHeight="false" outlineLevel="0" collapsed="false">
      <c r="P419" s="371"/>
      <c r="Q419" s="371"/>
      <c r="R419" s="371"/>
      <c r="U419" s="371"/>
      <c r="V419" s="371"/>
      <c r="W419" s="371"/>
      <c r="X419" s="371"/>
    </row>
    <row r="420" customFormat="false" ht="12.75" hidden="false" customHeight="false" outlineLevel="0" collapsed="false">
      <c r="P420" s="371"/>
      <c r="Q420" s="371"/>
      <c r="R420" s="371"/>
      <c r="U420" s="371"/>
      <c r="V420" s="371"/>
      <c r="W420" s="371"/>
      <c r="X420" s="371"/>
    </row>
    <row r="421" customFormat="false" ht="12.75" hidden="false" customHeight="false" outlineLevel="0" collapsed="false">
      <c r="P421" s="371"/>
      <c r="Q421" s="371"/>
      <c r="R421" s="371"/>
      <c r="U421" s="371"/>
      <c r="V421" s="371"/>
      <c r="W421" s="371"/>
      <c r="X421" s="371"/>
    </row>
    <row r="422" customFormat="false" ht="12.75" hidden="false" customHeight="false" outlineLevel="0" collapsed="false">
      <c r="P422" s="371"/>
      <c r="Q422" s="371"/>
      <c r="R422" s="371"/>
      <c r="U422" s="371"/>
      <c r="V422" s="371"/>
      <c r="W422" s="371"/>
      <c r="X422" s="371"/>
    </row>
    <row r="423" customFormat="false" ht="12.75" hidden="false" customHeight="false" outlineLevel="0" collapsed="false">
      <c r="P423" s="371"/>
      <c r="Q423" s="371"/>
      <c r="R423" s="371"/>
      <c r="U423" s="371"/>
      <c r="V423" s="371"/>
      <c r="W423" s="371"/>
      <c r="X423" s="371"/>
    </row>
    <row r="424" customFormat="false" ht="12.75" hidden="false" customHeight="false" outlineLevel="0" collapsed="false">
      <c r="P424" s="371"/>
      <c r="Q424" s="371"/>
      <c r="R424" s="371"/>
      <c r="U424" s="371"/>
      <c r="V424" s="371"/>
      <c r="W424" s="371"/>
      <c r="X424" s="371"/>
    </row>
    <row r="425" customFormat="false" ht="12.75" hidden="false" customHeight="false" outlineLevel="0" collapsed="false">
      <c r="P425" s="371"/>
      <c r="Q425" s="371"/>
      <c r="R425" s="371"/>
      <c r="U425" s="371"/>
      <c r="V425" s="371"/>
      <c r="W425" s="371"/>
      <c r="X425" s="371"/>
    </row>
    <row r="426" customFormat="false" ht="12.75" hidden="false" customHeight="false" outlineLevel="0" collapsed="false">
      <c r="P426" s="371"/>
      <c r="Q426" s="371"/>
      <c r="R426" s="371"/>
      <c r="U426" s="371"/>
      <c r="V426" s="371"/>
      <c r="W426" s="371"/>
      <c r="X426" s="371"/>
    </row>
    <row r="427" customFormat="false" ht="12.75" hidden="false" customHeight="false" outlineLevel="0" collapsed="false">
      <c r="P427" s="371"/>
      <c r="Q427" s="371"/>
      <c r="R427" s="371"/>
      <c r="U427" s="371"/>
      <c r="V427" s="371"/>
      <c r="W427" s="371"/>
      <c r="X427" s="371"/>
    </row>
    <row r="428" customFormat="false" ht="12.75" hidden="false" customHeight="false" outlineLevel="0" collapsed="false">
      <c r="P428" s="371"/>
      <c r="Q428" s="371"/>
      <c r="R428" s="371"/>
      <c r="U428" s="371"/>
      <c r="V428" s="371"/>
      <c r="W428" s="371"/>
      <c r="X428" s="371"/>
    </row>
    <row r="429" customFormat="false" ht="12.75" hidden="false" customHeight="false" outlineLevel="0" collapsed="false">
      <c r="P429" s="371"/>
      <c r="Q429" s="371"/>
      <c r="R429" s="371"/>
      <c r="U429" s="371"/>
      <c r="V429" s="371"/>
      <c r="W429" s="371"/>
      <c r="X429" s="371"/>
    </row>
    <row r="430" customFormat="false" ht="12.75" hidden="false" customHeight="false" outlineLevel="0" collapsed="false">
      <c r="P430" s="371"/>
      <c r="Q430" s="371"/>
      <c r="R430" s="371"/>
      <c r="U430" s="371"/>
      <c r="V430" s="371"/>
      <c r="W430" s="371"/>
      <c r="X430" s="371"/>
    </row>
    <row r="431" customFormat="false" ht="12.75" hidden="false" customHeight="false" outlineLevel="0" collapsed="false">
      <c r="P431" s="371"/>
      <c r="Q431" s="371"/>
      <c r="R431" s="371"/>
      <c r="U431" s="371"/>
      <c r="V431" s="371"/>
      <c r="W431" s="371"/>
      <c r="X431" s="371"/>
    </row>
    <row r="432" customFormat="false" ht="12.75" hidden="false" customHeight="false" outlineLevel="0" collapsed="false">
      <c r="P432" s="371"/>
      <c r="Q432" s="371"/>
      <c r="R432" s="371"/>
      <c r="U432" s="371"/>
      <c r="V432" s="371"/>
      <c r="W432" s="371"/>
      <c r="X432" s="371"/>
    </row>
    <row r="433" customFormat="false" ht="12.75" hidden="false" customHeight="false" outlineLevel="0" collapsed="false">
      <c r="P433" s="371"/>
      <c r="Q433" s="371"/>
      <c r="R433" s="371"/>
      <c r="U433" s="371"/>
      <c r="V433" s="371"/>
      <c r="W433" s="371"/>
      <c r="X433" s="371"/>
    </row>
    <row r="434" customFormat="false" ht="12.75" hidden="false" customHeight="false" outlineLevel="0" collapsed="false">
      <c r="P434" s="371"/>
      <c r="Q434" s="371"/>
      <c r="R434" s="371"/>
      <c r="U434" s="371"/>
      <c r="V434" s="371"/>
      <c r="W434" s="371"/>
      <c r="X434" s="371"/>
    </row>
    <row r="435" customFormat="false" ht="12.75" hidden="false" customHeight="false" outlineLevel="0" collapsed="false">
      <c r="P435" s="371"/>
      <c r="Q435" s="371"/>
      <c r="R435" s="371"/>
      <c r="U435" s="371"/>
      <c r="V435" s="371"/>
      <c r="W435" s="371"/>
      <c r="X435" s="371"/>
    </row>
    <row r="436" customFormat="false" ht="12.75" hidden="false" customHeight="false" outlineLevel="0" collapsed="false">
      <c r="P436" s="371"/>
      <c r="Q436" s="371"/>
      <c r="R436" s="371"/>
      <c r="U436" s="371"/>
      <c r="V436" s="371"/>
      <c r="W436" s="371"/>
      <c r="X436" s="371"/>
    </row>
    <row r="437" customFormat="false" ht="12.75" hidden="false" customHeight="false" outlineLevel="0" collapsed="false">
      <c r="P437" s="371"/>
      <c r="Q437" s="371"/>
      <c r="R437" s="371"/>
      <c r="U437" s="371"/>
      <c r="V437" s="371"/>
      <c r="W437" s="371"/>
      <c r="X437" s="371"/>
    </row>
    <row r="438" customFormat="false" ht="12.75" hidden="false" customHeight="false" outlineLevel="0" collapsed="false">
      <c r="P438" s="371"/>
      <c r="Q438" s="371"/>
      <c r="R438" s="371"/>
      <c r="U438" s="371"/>
      <c r="V438" s="371"/>
      <c r="W438" s="371"/>
      <c r="X438" s="371"/>
    </row>
    <row r="439" customFormat="false" ht="12.75" hidden="false" customHeight="false" outlineLevel="0" collapsed="false">
      <c r="P439" s="371"/>
      <c r="Q439" s="371"/>
      <c r="R439" s="371"/>
      <c r="U439" s="371"/>
      <c r="V439" s="371"/>
      <c r="W439" s="371"/>
      <c r="X439" s="371"/>
    </row>
    <row r="440" customFormat="false" ht="12.75" hidden="false" customHeight="false" outlineLevel="0" collapsed="false">
      <c r="P440" s="371"/>
      <c r="Q440" s="371"/>
      <c r="R440" s="371"/>
      <c r="U440" s="371"/>
      <c r="V440" s="371"/>
      <c r="W440" s="371"/>
      <c r="X440" s="371"/>
    </row>
    <row r="441" customFormat="false" ht="12.75" hidden="false" customHeight="false" outlineLevel="0" collapsed="false">
      <c r="P441" s="371"/>
      <c r="Q441" s="371"/>
      <c r="R441" s="371"/>
      <c r="U441" s="371"/>
      <c r="V441" s="371"/>
      <c r="W441" s="371"/>
      <c r="X441" s="371"/>
    </row>
    <row r="442" customFormat="false" ht="12.75" hidden="false" customHeight="false" outlineLevel="0" collapsed="false">
      <c r="P442" s="371"/>
      <c r="Q442" s="371"/>
      <c r="R442" s="371"/>
      <c r="U442" s="371"/>
      <c r="V442" s="371"/>
      <c r="W442" s="371"/>
      <c r="X442" s="371"/>
    </row>
    <row r="443" customFormat="false" ht="12.75" hidden="false" customHeight="false" outlineLevel="0" collapsed="false">
      <c r="P443" s="371"/>
      <c r="Q443" s="371"/>
      <c r="R443" s="371"/>
      <c r="U443" s="371"/>
      <c r="V443" s="371"/>
      <c r="W443" s="371"/>
      <c r="X443" s="371"/>
    </row>
    <row r="444" customFormat="false" ht="12.75" hidden="false" customHeight="false" outlineLevel="0" collapsed="false">
      <c r="P444" s="371"/>
      <c r="Q444" s="371"/>
      <c r="R444" s="371"/>
      <c r="U444" s="371"/>
      <c r="V444" s="371"/>
      <c r="W444" s="371"/>
      <c r="X444" s="371"/>
    </row>
    <row r="445" customFormat="false" ht="12.75" hidden="false" customHeight="false" outlineLevel="0" collapsed="false">
      <c r="P445" s="371"/>
      <c r="Q445" s="371"/>
      <c r="R445" s="371"/>
      <c r="U445" s="371"/>
      <c r="V445" s="371"/>
      <c r="W445" s="371"/>
      <c r="X445" s="371"/>
    </row>
    <row r="446" customFormat="false" ht="12.75" hidden="false" customHeight="false" outlineLevel="0" collapsed="false">
      <c r="P446" s="371"/>
      <c r="Q446" s="371"/>
      <c r="R446" s="371"/>
      <c r="U446" s="371"/>
      <c r="V446" s="371"/>
      <c r="W446" s="371"/>
      <c r="X446" s="371"/>
    </row>
    <row r="447" customFormat="false" ht="12.75" hidden="false" customHeight="false" outlineLevel="0" collapsed="false">
      <c r="P447" s="371"/>
      <c r="Q447" s="371"/>
      <c r="R447" s="371"/>
      <c r="U447" s="371"/>
      <c r="V447" s="371"/>
      <c r="W447" s="371"/>
      <c r="X447" s="371"/>
    </row>
    <row r="448" customFormat="false" ht="12.75" hidden="false" customHeight="false" outlineLevel="0" collapsed="false">
      <c r="P448" s="371"/>
      <c r="Q448" s="371"/>
      <c r="R448" s="371"/>
      <c r="U448" s="371"/>
      <c r="V448" s="371"/>
      <c r="W448" s="371"/>
      <c r="X448" s="371"/>
    </row>
    <row r="449" customFormat="false" ht="12.75" hidden="false" customHeight="false" outlineLevel="0" collapsed="false">
      <c r="P449" s="371"/>
      <c r="Q449" s="371"/>
      <c r="R449" s="371"/>
      <c r="U449" s="371"/>
      <c r="V449" s="371"/>
      <c r="W449" s="371"/>
      <c r="X449" s="371"/>
    </row>
    <row r="450" customFormat="false" ht="12.75" hidden="false" customHeight="false" outlineLevel="0" collapsed="false">
      <c r="P450" s="371"/>
      <c r="Q450" s="371"/>
      <c r="R450" s="371"/>
      <c r="U450" s="371"/>
      <c r="V450" s="371"/>
      <c r="W450" s="371"/>
      <c r="X450" s="371"/>
    </row>
    <row r="451" customFormat="false" ht="12.75" hidden="false" customHeight="false" outlineLevel="0" collapsed="false">
      <c r="P451" s="371"/>
      <c r="Q451" s="371"/>
      <c r="R451" s="371"/>
      <c r="U451" s="371"/>
      <c r="V451" s="371"/>
      <c r="W451" s="371"/>
      <c r="X451" s="371"/>
    </row>
    <row r="452" customFormat="false" ht="12.75" hidden="false" customHeight="false" outlineLevel="0" collapsed="false">
      <c r="P452" s="371"/>
      <c r="Q452" s="371"/>
      <c r="R452" s="371"/>
      <c r="U452" s="371"/>
      <c r="V452" s="371"/>
      <c r="W452" s="371"/>
      <c r="X452" s="371"/>
    </row>
    <row r="453" customFormat="false" ht="12.75" hidden="false" customHeight="false" outlineLevel="0" collapsed="false">
      <c r="P453" s="371"/>
      <c r="Q453" s="371"/>
      <c r="R453" s="371"/>
      <c r="U453" s="371"/>
      <c r="V453" s="371"/>
      <c r="W453" s="371"/>
      <c r="X453" s="371"/>
    </row>
    <row r="454" customFormat="false" ht="12.75" hidden="false" customHeight="false" outlineLevel="0" collapsed="false">
      <c r="P454" s="371"/>
      <c r="Q454" s="371"/>
      <c r="R454" s="371"/>
      <c r="U454" s="371"/>
      <c r="V454" s="371"/>
      <c r="W454" s="371"/>
      <c r="X454" s="371"/>
    </row>
    <row r="455" customFormat="false" ht="12.75" hidden="false" customHeight="false" outlineLevel="0" collapsed="false">
      <c r="P455" s="371"/>
      <c r="Q455" s="371"/>
      <c r="R455" s="371"/>
      <c r="U455" s="371"/>
      <c r="V455" s="371"/>
      <c r="W455" s="371"/>
      <c r="X455" s="371"/>
    </row>
    <row r="456" customFormat="false" ht="12.75" hidden="false" customHeight="false" outlineLevel="0" collapsed="false">
      <c r="P456" s="371"/>
      <c r="Q456" s="371"/>
      <c r="R456" s="371"/>
      <c r="U456" s="371"/>
      <c r="V456" s="371"/>
      <c r="W456" s="371"/>
      <c r="X456" s="371"/>
    </row>
    <row r="457" customFormat="false" ht="12.75" hidden="false" customHeight="false" outlineLevel="0" collapsed="false">
      <c r="P457" s="371"/>
      <c r="Q457" s="371"/>
      <c r="R457" s="371"/>
      <c r="U457" s="371"/>
      <c r="V457" s="371"/>
      <c r="W457" s="371"/>
      <c r="X457" s="371"/>
    </row>
    <row r="458" customFormat="false" ht="12.75" hidden="false" customHeight="false" outlineLevel="0" collapsed="false">
      <c r="P458" s="371"/>
      <c r="Q458" s="371"/>
      <c r="R458" s="371"/>
      <c r="U458" s="371"/>
      <c r="V458" s="371"/>
      <c r="W458" s="371"/>
      <c r="X458" s="371"/>
    </row>
    <row r="459" customFormat="false" ht="12.75" hidden="false" customHeight="false" outlineLevel="0" collapsed="false">
      <c r="P459" s="371"/>
      <c r="Q459" s="371"/>
      <c r="R459" s="371"/>
      <c r="U459" s="371"/>
      <c r="V459" s="371"/>
      <c r="W459" s="371"/>
      <c r="X459" s="371"/>
    </row>
    <row r="460" customFormat="false" ht="12.75" hidden="false" customHeight="false" outlineLevel="0" collapsed="false">
      <c r="P460" s="371"/>
      <c r="Q460" s="371"/>
      <c r="R460" s="371"/>
      <c r="U460" s="371"/>
      <c r="V460" s="371"/>
      <c r="W460" s="371"/>
      <c r="X460" s="371"/>
    </row>
    <row r="461" customFormat="false" ht="12.75" hidden="false" customHeight="false" outlineLevel="0" collapsed="false">
      <c r="P461" s="371"/>
      <c r="Q461" s="371"/>
      <c r="R461" s="371"/>
      <c r="U461" s="371"/>
      <c r="V461" s="371"/>
      <c r="W461" s="371"/>
      <c r="X461" s="371"/>
    </row>
    <row r="462" customFormat="false" ht="12.75" hidden="false" customHeight="false" outlineLevel="0" collapsed="false">
      <c r="P462" s="371"/>
      <c r="Q462" s="371"/>
      <c r="R462" s="371"/>
      <c r="U462" s="371"/>
      <c r="V462" s="371"/>
      <c r="W462" s="371"/>
      <c r="X462" s="371"/>
    </row>
    <row r="463" customFormat="false" ht="12.75" hidden="false" customHeight="false" outlineLevel="0" collapsed="false">
      <c r="P463" s="371"/>
      <c r="Q463" s="371"/>
      <c r="R463" s="371"/>
      <c r="U463" s="371"/>
      <c r="V463" s="371"/>
      <c r="W463" s="371"/>
      <c r="X463" s="371"/>
    </row>
    <row r="464" customFormat="false" ht="12.75" hidden="false" customHeight="false" outlineLevel="0" collapsed="false">
      <c r="P464" s="371"/>
      <c r="Q464" s="371"/>
      <c r="R464" s="371"/>
      <c r="U464" s="371"/>
      <c r="V464" s="371"/>
      <c r="W464" s="371"/>
      <c r="X464" s="371"/>
    </row>
    <row r="465" customFormat="false" ht="12.75" hidden="false" customHeight="false" outlineLevel="0" collapsed="false">
      <c r="P465" s="371"/>
      <c r="Q465" s="371"/>
      <c r="R465" s="371"/>
      <c r="U465" s="371"/>
      <c r="V465" s="371"/>
      <c r="W465" s="371"/>
      <c r="X465" s="371"/>
    </row>
    <row r="466" customFormat="false" ht="12.75" hidden="false" customHeight="false" outlineLevel="0" collapsed="false">
      <c r="P466" s="371"/>
      <c r="Q466" s="371"/>
      <c r="R466" s="371"/>
      <c r="U466" s="371"/>
      <c r="V466" s="371"/>
      <c r="W466" s="371"/>
      <c r="X466" s="371"/>
    </row>
    <row r="467" customFormat="false" ht="12.75" hidden="false" customHeight="false" outlineLevel="0" collapsed="false">
      <c r="P467" s="371"/>
      <c r="Q467" s="371"/>
      <c r="R467" s="371"/>
      <c r="U467" s="371"/>
      <c r="V467" s="371"/>
      <c r="W467" s="371"/>
      <c r="X467" s="371"/>
    </row>
    <row r="468" customFormat="false" ht="12.75" hidden="false" customHeight="false" outlineLevel="0" collapsed="false">
      <c r="P468" s="371"/>
      <c r="Q468" s="371"/>
      <c r="R468" s="371"/>
      <c r="U468" s="371"/>
      <c r="V468" s="371"/>
      <c r="W468" s="371"/>
      <c r="X468" s="371"/>
    </row>
    <row r="469" customFormat="false" ht="12.75" hidden="false" customHeight="false" outlineLevel="0" collapsed="false">
      <c r="P469" s="371"/>
      <c r="Q469" s="371"/>
      <c r="R469" s="371"/>
      <c r="U469" s="371"/>
      <c r="V469" s="371"/>
      <c r="W469" s="371"/>
      <c r="X469" s="371"/>
    </row>
    <row r="470" customFormat="false" ht="12.75" hidden="false" customHeight="false" outlineLevel="0" collapsed="false">
      <c r="P470" s="371"/>
      <c r="Q470" s="371"/>
      <c r="R470" s="371"/>
      <c r="U470" s="371"/>
      <c r="V470" s="371"/>
      <c r="W470" s="371"/>
      <c r="X470" s="371"/>
    </row>
    <row r="471" customFormat="false" ht="12.75" hidden="false" customHeight="false" outlineLevel="0" collapsed="false">
      <c r="P471" s="371"/>
      <c r="Q471" s="371"/>
      <c r="R471" s="371"/>
      <c r="U471" s="371"/>
      <c r="V471" s="371"/>
      <c r="W471" s="371"/>
      <c r="X471" s="371"/>
    </row>
    <row r="472" customFormat="false" ht="12.75" hidden="false" customHeight="false" outlineLevel="0" collapsed="false">
      <c r="P472" s="371"/>
      <c r="Q472" s="371"/>
      <c r="R472" s="371"/>
      <c r="U472" s="371"/>
      <c r="V472" s="371"/>
      <c r="W472" s="371"/>
      <c r="X472" s="371"/>
    </row>
    <row r="473" customFormat="false" ht="12.75" hidden="false" customHeight="false" outlineLevel="0" collapsed="false">
      <c r="P473" s="371"/>
      <c r="Q473" s="371"/>
      <c r="R473" s="371"/>
      <c r="U473" s="371"/>
      <c r="V473" s="371"/>
      <c r="W473" s="371"/>
      <c r="X473" s="371"/>
    </row>
    <row r="474" customFormat="false" ht="12.75" hidden="false" customHeight="false" outlineLevel="0" collapsed="false">
      <c r="P474" s="371"/>
      <c r="Q474" s="371"/>
      <c r="R474" s="371"/>
      <c r="U474" s="371"/>
      <c r="V474" s="371"/>
      <c r="W474" s="371"/>
      <c r="X474" s="371"/>
    </row>
    <row r="475" customFormat="false" ht="12.75" hidden="false" customHeight="false" outlineLevel="0" collapsed="false">
      <c r="P475" s="371"/>
      <c r="Q475" s="371"/>
      <c r="R475" s="371"/>
      <c r="U475" s="371"/>
      <c r="V475" s="371"/>
      <c r="W475" s="371"/>
      <c r="X475" s="371"/>
    </row>
    <row r="476" customFormat="false" ht="12.75" hidden="false" customHeight="false" outlineLevel="0" collapsed="false">
      <c r="P476" s="371"/>
      <c r="Q476" s="371"/>
      <c r="R476" s="371"/>
      <c r="U476" s="371"/>
      <c r="V476" s="371"/>
      <c r="W476" s="371"/>
      <c r="X476" s="371"/>
    </row>
    <row r="477" customFormat="false" ht="12.75" hidden="false" customHeight="false" outlineLevel="0" collapsed="false">
      <c r="P477" s="371"/>
      <c r="Q477" s="371"/>
      <c r="R477" s="371"/>
      <c r="U477" s="371"/>
      <c r="V477" s="371"/>
      <c r="W477" s="371"/>
      <c r="X477" s="371"/>
    </row>
    <row r="478" customFormat="false" ht="12.75" hidden="false" customHeight="false" outlineLevel="0" collapsed="false">
      <c r="P478" s="371"/>
      <c r="Q478" s="371"/>
      <c r="R478" s="371"/>
      <c r="U478" s="371"/>
      <c r="V478" s="371"/>
      <c r="W478" s="371"/>
      <c r="X478" s="371"/>
    </row>
    <row r="479" customFormat="false" ht="12.75" hidden="false" customHeight="false" outlineLevel="0" collapsed="false">
      <c r="P479" s="371"/>
      <c r="Q479" s="371"/>
      <c r="R479" s="371"/>
      <c r="U479" s="371"/>
      <c r="V479" s="371"/>
      <c r="W479" s="371"/>
      <c r="X479" s="371"/>
    </row>
    <row r="480" customFormat="false" ht="12.75" hidden="false" customHeight="false" outlineLevel="0" collapsed="false">
      <c r="P480" s="371"/>
      <c r="Q480" s="371"/>
      <c r="R480" s="371"/>
      <c r="U480" s="371"/>
      <c r="V480" s="371"/>
      <c r="W480" s="371"/>
      <c r="X480" s="371"/>
    </row>
    <row r="481" customFormat="false" ht="12.75" hidden="false" customHeight="false" outlineLevel="0" collapsed="false">
      <c r="P481" s="371"/>
      <c r="Q481" s="371"/>
      <c r="R481" s="371"/>
      <c r="U481" s="371"/>
      <c r="V481" s="371"/>
      <c r="W481" s="371"/>
      <c r="X481" s="371"/>
    </row>
    <row r="482" customFormat="false" ht="12.75" hidden="false" customHeight="false" outlineLevel="0" collapsed="false">
      <c r="P482" s="371"/>
      <c r="Q482" s="371"/>
      <c r="R482" s="371"/>
      <c r="U482" s="371"/>
      <c r="V482" s="371"/>
      <c r="W482" s="371"/>
      <c r="X482" s="371"/>
    </row>
    <row r="483" customFormat="false" ht="12.75" hidden="false" customHeight="false" outlineLevel="0" collapsed="false">
      <c r="P483" s="371"/>
      <c r="Q483" s="371"/>
      <c r="R483" s="371"/>
      <c r="U483" s="371"/>
      <c r="V483" s="371"/>
      <c r="W483" s="371"/>
      <c r="X483" s="371"/>
    </row>
    <row r="484" customFormat="false" ht="12.75" hidden="false" customHeight="false" outlineLevel="0" collapsed="false">
      <c r="P484" s="371"/>
      <c r="Q484" s="371"/>
      <c r="R484" s="371"/>
      <c r="U484" s="371"/>
      <c r="V484" s="371"/>
      <c r="W484" s="371"/>
      <c r="X484" s="371"/>
    </row>
    <row r="485" customFormat="false" ht="12.75" hidden="false" customHeight="false" outlineLevel="0" collapsed="false">
      <c r="P485" s="371"/>
      <c r="Q485" s="371"/>
      <c r="R485" s="371"/>
      <c r="U485" s="371"/>
      <c r="V485" s="371"/>
      <c r="W485" s="371"/>
      <c r="X485" s="371"/>
    </row>
    <row r="486" customFormat="false" ht="12.75" hidden="false" customHeight="false" outlineLevel="0" collapsed="false">
      <c r="P486" s="371"/>
      <c r="Q486" s="371"/>
      <c r="R486" s="371"/>
      <c r="U486" s="371"/>
      <c r="V486" s="371"/>
      <c r="W486" s="371"/>
      <c r="X486" s="371"/>
    </row>
    <row r="487" customFormat="false" ht="12.75" hidden="false" customHeight="false" outlineLevel="0" collapsed="false">
      <c r="P487" s="371"/>
      <c r="Q487" s="371"/>
      <c r="R487" s="371"/>
      <c r="U487" s="371"/>
      <c r="V487" s="371"/>
      <c r="W487" s="371"/>
      <c r="X487" s="371"/>
    </row>
    <row r="488" customFormat="false" ht="12.75" hidden="false" customHeight="false" outlineLevel="0" collapsed="false">
      <c r="P488" s="371"/>
      <c r="Q488" s="371"/>
      <c r="R488" s="371"/>
      <c r="U488" s="371"/>
      <c r="V488" s="371"/>
      <c r="W488" s="371"/>
      <c r="X488" s="371"/>
    </row>
    <row r="489" customFormat="false" ht="12.75" hidden="false" customHeight="false" outlineLevel="0" collapsed="false">
      <c r="P489" s="371"/>
      <c r="Q489" s="371"/>
      <c r="R489" s="371"/>
      <c r="U489" s="371"/>
      <c r="V489" s="371"/>
      <c r="W489" s="371"/>
      <c r="X489" s="371"/>
    </row>
    <row r="490" customFormat="false" ht="12.75" hidden="false" customHeight="false" outlineLevel="0" collapsed="false">
      <c r="P490" s="371"/>
      <c r="Q490" s="371"/>
      <c r="R490" s="371"/>
      <c r="U490" s="371"/>
      <c r="V490" s="371"/>
      <c r="W490" s="371"/>
      <c r="X490" s="371"/>
    </row>
    <row r="491" customFormat="false" ht="12.75" hidden="false" customHeight="false" outlineLevel="0" collapsed="false">
      <c r="P491" s="371"/>
      <c r="Q491" s="371"/>
      <c r="R491" s="371"/>
      <c r="U491" s="371"/>
      <c r="V491" s="371"/>
      <c r="W491" s="371"/>
      <c r="X491" s="371"/>
    </row>
    <row r="492" customFormat="false" ht="12.75" hidden="false" customHeight="false" outlineLevel="0" collapsed="false">
      <c r="P492" s="371"/>
      <c r="Q492" s="371"/>
      <c r="R492" s="371"/>
      <c r="U492" s="371"/>
      <c r="V492" s="371"/>
      <c r="W492" s="371"/>
      <c r="X492" s="371"/>
    </row>
    <row r="493" customFormat="false" ht="12.75" hidden="false" customHeight="false" outlineLevel="0" collapsed="false">
      <c r="P493" s="371"/>
      <c r="Q493" s="371"/>
      <c r="R493" s="371"/>
      <c r="U493" s="371"/>
      <c r="V493" s="371"/>
      <c r="W493" s="371"/>
      <c r="X493" s="371"/>
    </row>
    <row r="494" customFormat="false" ht="12.75" hidden="false" customHeight="false" outlineLevel="0" collapsed="false">
      <c r="P494" s="371"/>
      <c r="Q494" s="371"/>
      <c r="R494" s="371"/>
      <c r="U494" s="371"/>
      <c r="V494" s="371"/>
      <c r="W494" s="371"/>
      <c r="X494" s="371"/>
    </row>
    <row r="495" customFormat="false" ht="12.75" hidden="false" customHeight="false" outlineLevel="0" collapsed="false">
      <c r="P495" s="371"/>
      <c r="Q495" s="371"/>
      <c r="R495" s="371"/>
      <c r="U495" s="371"/>
      <c r="V495" s="371"/>
      <c r="W495" s="371"/>
      <c r="X495" s="371"/>
    </row>
    <row r="496" customFormat="false" ht="12.75" hidden="false" customHeight="false" outlineLevel="0" collapsed="false">
      <c r="P496" s="371"/>
      <c r="Q496" s="371"/>
      <c r="R496" s="371"/>
      <c r="U496" s="371"/>
      <c r="V496" s="371"/>
      <c r="W496" s="371"/>
      <c r="X496" s="371"/>
    </row>
    <row r="497" customFormat="false" ht="12.75" hidden="false" customHeight="false" outlineLevel="0" collapsed="false">
      <c r="P497" s="371"/>
      <c r="Q497" s="371"/>
      <c r="R497" s="371"/>
      <c r="U497" s="371"/>
      <c r="V497" s="371"/>
      <c r="W497" s="371"/>
      <c r="X497" s="371"/>
    </row>
    <row r="498" customFormat="false" ht="12.75" hidden="false" customHeight="false" outlineLevel="0" collapsed="false">
      <c r="P498" s="371"/>
      <c r="Q498" s="371"/>
      <c r="R498" s="371"/>
      <c r="U498" s="371"/>
      <c r="V498" s="371"/>
      <c r="W498" s="371"/>
      <c r="X498" s="371"/>
    </row>
    <row r="499" customFormat="false" ht="12.75" hidden="false" customHeight="false" outlineLevel="0" collapsed="false">
      <c r="P499" s="371"/>
      <c r="Q499" s="371"/>
      <c r="R499" s="371"/>
      <c r="U499" s="371"/>
      <c r="V499" s="371"/>
      <c r="W499" s="371"/>
      <c r="X499" s="371"/>
    </row>
    <row r="500" customFormat="false" ht="12.75" hidden="false" customHeight="false" outlineLevel="0" collapsed="false">
      <c r="P500" s="371"/>
      <c r="Q500" s="371"/>
      <c r="R500" s="371"/>
      <c r="U500" s="371"/>
      <c r="V500" s="371"/>
      <c r="W500" s="371"/>
      <c r="X500" s="371"/>
    </row>
    <row r="501" customFormat="false" ht="12.75" hidden="false" customHeight="false" outlineLevel="0" collapsed="false">
      <c r="P501" s="371"/>
      <c r="Q501" s="371"/>
      <c r="R501" s="371"/>
      <c r="U501" s="371"/>
      <c r="V501" s="371"/>
      <c r="W501" s="371"/>
      <c r="X501" s="371"/>
    </row>
    <row r="502" customFormat="false" ht="12.75" hidden="false" customHeight="false" outlineLevel="0" collapsed="false">
      <c r="P502" s="371"/>
      <c r="Q502" s="371"/>
      <c r="R502" s="371"/>
      <c r="U502" s="371"/>
      <c r="V502" s="371"/>
      <c r="W502" s="371"/>
      <c r="X502" s="371"/>
    </row>
    <row r="503" customFormat="false" ht="12.75" hidden="false" customHeight="false" outlineLevel="0" collapsed="false">
      <c r="P503" s="371"/>
      <c r="Q503" s="371"/>
      <c r="R503" s="371"/>
      <c r="U503" s="371"/>
      <c r="V503" s="371"/>
      <c r="W503" s="371"/>
      <c r="X503" s="371"/>
    </row>
    <row r="504" customFormat="false" ht="12.75" hidden="false" customHeight="false" outlineLevel="0" collapsed="false">
      <c r="P504" s="371"/>
      <c r="Q504" s="371"/>
      <c r="R504" s="371"/>
      <c r="U504" s="371"/>
      <c r="V504" s="371"/>
      <c r="W504" s="371"/>
      <c r="X504" s="371"/>
    </row>
    <row r="505" customFormat="false" ht="12.75" hidden="false" customHeight="false" outlineLevel="0" collapsed="false">
      <c r="P505" s="371"/>
      <c r="Q505" s="371"/>
      <c r="R505" s="371"/>
      <c r="U505" s="371"/>
      <c r="V505" s="371"/>
      <c r="W505" s="371"/>
      <c r="X505" s="371"/>
    </row>
    <row r="506" customFormat="false" ht="12.75" hidden="false" customHeight="false" outlineLevel="0" collapsed="false">
      <c r="P506" s="371"/>
      <c r="Q506" s="371"/>
      <c r="R506" s="371"/>
      <c r="U506" s="371"/>
      <c r="V506" s="371"/>
      <c r="W506" s="371"/>
      <c r="X506" s="371"/>
    </row>
    <row r="507" customFormat="false" ht="12.75" hidden="false" customHeight="false" outlineLevel="0" collapsed="false">
      <c r="P507" s="371"/>
      <c r="Q507" s="371"/>
      <c r="R507" s="371"/>
      <c r="U507" s="371"/>
      <c r="V507" s="371"/>
      <c r="W507" s="371"/>
      <c r="X507" s="371"/>
    </row>
    <row r="508" customFormat="false" ht="12.75" hidden="false" customHeight="false" outlineLevel="0" collapsed="false">
      <c r="P508" s="371"/>
      <c r="Q508" s="371"/>
      <c r="R508" s="371"/>
      <c r="U508" s="371"/>
      <c r="V508" s="371"/>
      <c r="W508" s="371"/>
      <c r="X508" s="371"/>
    </row>
    <row r="509" customFormat="false" ht="12.75" hidden="false" customHeight="false" outlineLevel="0" collapsed="false">
      <c r="P509" s="371"/>
      <c r="Q509" s="371"/>
      <c r="R509" s="371"/>
      <c r="U509" s="371"/>
      <c r="V509" s="371"/>
      <c r="W509" s="371"/>
      <c r="X509" s="371"/>
    </row>
    <row r="510" customFormat="false" ht="12.75" hidden="false" customHeight="false" outlineLevel="0" collapsed="false">
      <c r="P510" s="371"/>
      <c r="Q510" s="371"/>
      <c r="R510" s="371"/>
      <c r="U510" s="371"/>
      <c r="V510" s="371"/>
      <c r="W510" s="371"/>
      <c r="X510" s="371"/>
    </row>
    <row r="511" customFormat="false" ht="12.75" hidden="false" customHeight="false" outlineLevel="0" collapsed="false">
      <c r="P511" s="371"/>
      <c r="Q511" s="371"/>
      <c r="R511" s="371"/>
      <c r="U511" s="371"/>
      <c r="V511" s="371"/>
      <c r="W511" s="371"/>
      <c r="X511" s="371"/>
    </row>
    <row r="512" customFormat="false" ht="12.75" hidden="false" customHeight="false" outlineLevel="0" collapsed="false">
      <c r="P512" s="371"/>
      <c r="Q512" s="371"/>
      <c r="R512" s="371"/>
      <c r="U512" s="371"/>
      <c r="V512" s="371"/>
      <c r="W512" s="371"/>
      <c r="X512" s="371"/>
    </row>
    <row r="513" customFormat="false" ht="12.75" hidden="false" customHeight="false" outlineLevel="0" collapsed="false">
      <c r="P513" s="371"/>
      <c r="Q513" s="371"/>
      <c r="R513" s="371"/>
      <c r="U513" s="371"/>
      <c r="V513" s="371"/>
      <c r="W513" s="371"/>
      <c r="X513" s="371"/>
    </row>
    <row r="514" customFormat="false" ht="12.75" hidden="false" customHeight="false" outlineLevel="0" collapsed="false">
      <c r="P514" s="371"/>
      <c r="Q514" s="371"/>
      <c r="R514" s="371"/>
      <c r="U514" s="371"/>
      <c r="V514" s="371"/>
      <c r="W514" s="371"/>
      <c r="X514" s="371"/>
    </row>
    <row r="515" customFormat="false" ht="12.75" hidden="false" customHeight="false" outlineLevel="0" collapsed="false">
      <c r="P515" s="371"/>
      <c r="Q515" s="371"/>
      <c r="R515" s="371"/>
      <c r="U515" s="371"/>
      <c r="V515" s="371"/>
      <c r="W515" s="371"/>
      <c r="X515" s="371"/>
    </row>
    <row r="516" customFormat="false" ht="12.75" hidden="false" customHeight="false" outlineLevel="0" collapsed="false">
      <c r="P516" s="371"/>
      <c r="Q516" s="371"/>
      <c r="R516" s="371"/>
      <c r="U516" s="371"/>
      <c r="V516" s="371"/>
      <c r="W516" s="371"/>
      <c r="X516" s="371"/>
    </row>
    <row r="517" customFormat="false" ht="12.75" hidden="false" customHeight="false" outlineLevel="0" collapsed="false">
      <c r="P517" s="371"/>
      <c r="Q517" s="371"/>
      <c r="R517" s="371"/>
      <c r="U517" s="371"/>
      <c r="V517" s="371"/>
      <c r="W517" s="371"/>
      <c r="X517" s="371"/>
    </row>
    <row r="518" customFormat="false" ht="12.75" hidden="false" customHeight="false" outlineLevel="0" collapsed="false">
      <c r="P518" s="371"/>
      <c r="Q518" s="371"/>
      <c r="R518" s="371"/>
      <c r="U518" s="371"/>
      <c r="V518" s="371"/>
      <c r="W518" s="371"/>
      <c r="X518" s="371"/>
    </row>
    <row r="519" customFormat="false" ht="12.75" hidden="false" customHeight="false" outlineLevel="0" collapsed="false">
      <c r="P519" s="371"/>
      <c r="Q519" s="371"/>
      <c r="R519" s="371"/>
      <c r="U519" s="371"/>
      <c r="V519" s="371"/>
      <c r="W519" s="371"/>
      <c r="X519" s="371"/>
    </row>
    <row r="520" customFormat="false" ht="12.75" hidden="false" customHeight="false" outlineLevel="0" collapsed="false">
      <c r="P520" s="371"/>
      <c r="Q520" s="371"/>
      <c r="R520" s="371"/>
      <c r="U520" s="371"/>
      <c r="V520" s="371"/>
      <c r="W520" s="371"/>
      <c r="X520" s="371"/>
    </row>
    <row r="521" customFormat="false" ht="12.75" hidden="false" customHeight="false" outlineLevel="0" collapsed="false">
      <c r="P521" s="371"/>
      <c r="Q521" s="371"/>
      <c r="R521" s="371"/>
      <c r="U521" s="371"/>
      <c r="V521" s="371"/>
      <c r="W521" s="371"/>
      <c r="X521" s="371"/>
    </row>
    <row r="522" customFormat="false" ht="12.75" hidden="false" customHeight="false" outlineLevel="0" collapsed="false">
      <c r="P522" s="371"/>
      <c r="Q522" s="371"/>
      <c r="R522" s="371"/>
      <c r="U522" s="371"/>
      <c r="V522" s="371"/>
      <c r="W522" s="371"/>
      <c r="X522" s="371"/>
    </row>
    <row r="523" customFormat="false" ht="12.75" hidden="false" customHeight="false" outlineLevel="0" collapsed="false">
      <c r="P523" s="371"/>
      <c r="Q523" s="371"/>
      <c r="R523" s="371"/>
      <c r="U523" s="371"/>
      <c r="V523" s="371"/>
      <c r="W523" s="371"/>
      <c r="X523" s="371"/>
    </row>
    <row r="524" customFormat="false" ht="12.75" hidden="false" customHeight="false" outlineLevel="0" collapsed="false">
      <c r="P524" s="371"/>
      <c r="Q524" s="371"/>
      <c r="R524" s="371"/>
      <c r="U524" s="371"/>
      <c r="V524" s="371"/>
      <c r="W524" s="371"/>
      <c r="X524" s="371"/>
    </row>
    <row r="525" customFormat="false" ht="12.75" hidden="false" customHeight="false" outlineLevel="0" collapsed="false">
      <c r="P525" s="371"/>
      <c r="Q525" s="371"/>
      <c r="R525" s="371"/>
      <c r="U525" s="371"/>
      <c r="V525" s="371"/>
      <c r="W525" s="371"/>
      <c r="X525" s="371"/>
    </row>
    <row r="526" customFormat="false" ht="12.75" hidden="false" customHeight="false" outlineLevel="0" collapsed="false">
      <c r="P526" s="371"/>
      <c r="Q526" s="371"/>
      <c r="R526" s="371"/>
      <c r="U526" s="371"/>
      <c r="V526" s="371"/>
      <c r="W526" s="371"/>
      <c r="X526" s="371"/>
    </row>
    <row r="527" customFormat="false" ht="12.75" hidden="false" customHeight="false" outlineLevel="0" collapsed="false">
      <c r="P527" s="371"/>
      <c r="Q527" s="371"/>
      <c r="R527" s="371"/>
      <c r="U527" s="371"/>
      <c r="V527" s="371"/>
      <c r="W527" s="371"/>
      <c r="X527" s="371"/>
    </row>
    <row r="528" customFormat="false" ht="12.75" hidden="false" customHeight="false" outlineLevel="0" collapsed="false">
      <c r="P528" s="371"/>
      <c r="Q528" s="371"/>
      <c r="R528" s="371"/>
      <c r="U528" s="371"/>
      <c r="V528" s="371"/>
      <c r="W528" s="371"/>
      <c r="X528" s="371"/>
    </row>
    <row r="529" customFormat="false" ht="12.75" hidden="false" customHeight="false" outlineLevel="0" collapsed="false">
      <c r="P529" s="371"/>
      <c r="Q529" s="371"/>
      <c r="R529" s="371"/>
      <c r="U529" s="371"/>
      <c r="V529" s="371"/>
      <c r="W529" s="371"/>
      <c r="X529" s="371"/>
    </row>
    <row r="530" customFormat="false" ht="12.75" hidden="false" customHeight="false" outlineLevel="0" collapsed="false">
      <c r="P530" s="371"/>
      <c r="Q530" s="371"/>
      <c r="R530" s="371"/>
      <c r="U530" s="371"/>
      <c r="V530" s="371"/>
      <c r="W530" s="371"/>
      <c r="X530" s="371"/>
    </row>
    <row r="531" customFormat="false" ht="12.75" hidden="false" customHeight="false" outlineLevel="0" collapsed="false">
      <c r="P531" s="371"/>
      <c r="Q531" s="371"/>
      <c r="R531" s="371"/>
      <c r="U531" s="371"/>
      <c r="V531" s="371"/>
      <c r="W531" s="371"/>
      <c r="X531" s="371"/>
    </row>
    <row r="532" customFormat="false" ht="12.75" hidden="false" customHeight="false" outlineLevel="0" collapsed="false">
      <c r="P532" s="371"/>
      <c r="Q532" s="371"/>
      <c r="R532" s="371"/>
      <c r="U532" s="371"/>
      <c r="V532" s="371"/>
      <c r="W532" s="371"/>
      <c r="X532" s="371"/>
    </row>
    <row r="533" customFormat="false" ht="12.75" hidden="false" customHeight="false" outlineLevel="0" collapsed="false">
      <c r="P533" s="371"/>
      <c r="Q533" s="371"/>
      <c r="R533" s="371"/>
      <c r="U533" s="371"/>
      <c r="V533" s="371"/>
      <c r="W533" s="371"/>
      <c r="X533" s="371"/>
    </row>
    <row r="534" customFormat="false" ht="12.75" hidden="false" customHeight="false" outlineLevel="0" collapsed="false">
      <c r="P534" s="371"/>
      <c r="Q534" s="371"/>
      <c r="R534" s="371"/>
      <c r="U534" s="371"/>
      <c r="V534" s="371"/>
      <c r="W534" s="371"/>
      <c r="X534" s="371"/>
    </row>
    <row r="535" customFormat="false" ht="12.75" hidden="false" customHeight="false" outlineLevel="0" collapsed="false">
      <c r="P535" s="371"/>
      <c r="Q535" s="371"/>
      <c r="R535" s="371"/>
      <c r="U535" s="371"/>
      <c r="V535" s="371"/>
      <c r="W535" s="371"/>
      <c r="X535" s="371"/>
    </row>
    <row r="536" customFormat="false" ht="12.75" hidden="false" customHeight="false" outlineLevel="0" collapsed="false">
      <c r="P536" s="371"/>
      <c r="Q536" s="371"/>
      <c r="R536" s="371"/>
      <c r="U536" s="371"/>
      <c r="V536" s="371"/>
      <c r="W536" s="371"/>
      <c r="X536" s="371"/>
    </row>
    <row r="537" customFormat="false" ht="12.75" hidden="false" customHeight="false" outlineLevel="0" collapsed="false">
      <c r="P537" s="371"/>
      <c r="Q537" s="371"/>
      <c r="R537" s="371"/>
      <c r="U537" s="371"/>
      <c r="V537" s="371"/>
      <c r="W537" s="371"/>
      <c r="X537" s="371"/>
    </row>
    <row r="538" customFormat="false" ht="12.75" hidden="false" customHeight="false" outlineLevel="0" collapsed="false">
      <c r="P538" s="371"/>
      <c r="Q538" s="371"/>
      <c r="R538" s="371"/>
      <c r="U538" s="371"/>
      <c r="V538" s="371"/>
      <c r="W538" s="371"/>
      <c r="X538" s="371"/>
    </row>
    <row r="539" customFormat="false" ht="12.75" hidden="false" customHeight="false" outlineLevel="0" collapsed="false">
      <c r="P539" s="371"/>
      <c r="Q539" s="371"/>
      <c r="R539" s="371"/>
      <c r="U539" s="371"/>
      <c r="V539" s="371"/>
      <c r="W539" s="371"/>
      <c r="X539" s="371"/>
    </row>
    <row r="540" customFormat="false" ht="12.75" hidden="false" customHeight="false" outlineLevel="0" collapsed="false">
      <c r="P540" s="371"/>
      <c r="Q540" s="371"/>
      <c r="R540" s="371"/>
      <c r="U540" s="371"/>
      <c r="V540" s="371"/>
      <c r="W540" s="371"/>
      <c r="X540" s="371"/>
    </row>
    <row r="541" customFormat="false" ht="12.75" hidden="false" customHeight="false" outlineLevel="0" collapsed="false">
      <c r="P541" s="371"/>
      <c r="Q541" s="371"/>
      <c r="R541" s="371"/>
      <c r="U541" s="371"/>
      <c r="V541" s="371"/>
      <c r="W541" s="371"/>
      <c r="X541" s="371"/>
    </row>
    <row r="542" customFormat="false" ht="12.75" hidden="false" customHeight="false" outlineLevel="0" collapsed="false">
      <c r="P542" s="371"/>
      <c r="Q542" s="371"/>
      <c r="R542" s="371"/>
      <c r="U542" s="371"/>
      <c r="V542" s="371"/>
      <c r="W542" s="371"/>
      <c r="X542" s="371"/>
    </row>
    <row r="543" customFormat="false" ht="12.75" hidden="false" customHeight="false" outlineLevel="0" collapsed="false">
      <c r="P543" s="371"/>
      <c r="Q543" s="371"/>
      <c r="R543" s="371"/>
      <c r="U543" s="371"/>
      <c r="V543" s="371"/>
      <c r="W543" s="371"/>
      <c r="X543" s="371"/>
    </row>
    <row r="544" customFormat="false" ht="12.75" hidden="false" customHeight="false" outlineLevel="0" collapsed="false">
      <c r="P544" s="371"/>
      <c r="Q544" s="371"/>
      <c r="R544" s="371"/>
      <c r="U544" s="371"/>
      <c r="V544" s="371"/>
      <c r="W544" s="371"/>
      <c r="X544" s="371"/>
    </row>
    <row r="545" customFormat="false" ht="12.75" hidden="false" customHeight="false" outlineLevel="0" collapsed="false">
      <c r="P545" s="371"/>
      <c r="Q545" s="371"/>
      <c r="R545" s="371"/>
      <c r="U545" s="371"/>
      <c r="V545" s="371"/>
      <c r="W545" s="371"/>
      <c r="X545" s="371"/>
    </row>
    <row r="546" customFormat="false" ht="12.75" hidden="false" customHeight="false" outlineLevel="0" collapsed="false">
      <c r="P546" s="371"/>
      <c r="Q546" s="371"/>
      <c r="R546" s="371"/>
      <c r="U546" s="371"/>
      <c r="V546" s="371"/>
      <c r="W546" s="371"/>
      <c r="X546" s="371"/>
    </row>
    <row r="547" customFormat="false" ht="12.75" hidden="false" customHeight="false" outlineLevel="0" collapsed="false">
      <c r="P547" s="371"/>
      <c r="Q547" s="371"/>
      <c r="R547" s="371"/>
      <c r="U547" s="371"/>
      <c r="V547" s="371"/>
      <c r="W547" s="371"/>
      <c r="X547" s="371"/>
    </row>
    <row r="548" customFormat="false" ht="12.75" hidden="false" customHeight="false" outlineLevel="0" collapsed="false">
      <c r="P548" s="371"/>
      <c r="Q548" s="371"/>
      <c r="R548" s="371"/>
      <c r="U548" s="371"/>
      <c r="V548" s="371"/>
      <c r="W548" s="371"/>
      <c r="X548" s="371"/>
    </row>
    <row r="549" customFormat="false" ht="12.75" hidden="false" customHeight="false" outlineLevel="0" collapsed="false">
      <c r="P549" s="371"/>
      <c r="Q549" s="371"/>
      <c r="R549" s="371"/>
      <c r="U549" s="371"/>
      <c r="V549" s="371"/>
      <c r="W549" s="371"/>
      <c r="X549" s="371"/>
    </row>
    <row r="550" customFormat="false" ht="12.75" hidden="false" customHeight="false" outlineLevel="0" collapsed="false">
      <c r="P550" s="371"/>
      <c r="Q550" s="371"/>
      <c r="R550" s="371"/>
      <c r="U550" s="371"/>
      <c r="V550" s="371"/>
      <c r="W550" s="371"/>
      <c r="X550" s="371"/>
    </row>
    <row r="551" customFormat="false" ht="12.75" hidden="false" customHeight="false" outlineLevel="0" collapsed="false">
      <c r="P551" s="371"/>
      <c r="Q551" s="371"/>
      <c r="R551" s="371"/>
      <c r="U551" s="371"/>
      <c r="V551" s="371"/>
      <c r="W551" s="371"/>
      <c r="X551" s="371"/>
    </row>
    <row r="552" customFormat="false" ht="12.75" hidden="false" customHeight="false" outlineLevel="0" collapsed="false">
      <c r="P552" s="371"/>
      <c r="Q552" s="371"/>
      <c r="R552" s="371"/>
      <c r="U552" s="371"/>
      <c r="V552" s="371"/>
      <c r="W552" s="371"/>
      <c r="X552" s="371"/>
    </row>
    <row r="553" customFormat="false" ht="12.75" hidden="false" customHeight="false" outlineLevel="0" collapsed="false">
      <c r="P553" s="371"/>
      <c r="Q553" s="371"/>
      <c r="R553" s="371"/>
      <c r="U553" s="371"/>
      <c r="V553" s="371"/>
      <c r="W553" s="371"/>
      <c r="X553" s="371"/>
    </row>
    <row r="554" customFormat="false" ht="12.75" hidden="false" customHeight="false" outlineLevel="0" collapsed="false">
      <c r="P554" s="371"/>
      <c r="Q554" s="371"/>
      <c r="R554" s="371"/>
      <c r="U554" s="371"/>
      <c r="V554" s="371"/>
      <c r="W554" s="371"/>
      <c r="X554" s="371"/>
    </row>
    <row r="555" customFormat="false" ht="12.75" hidden="false" customHeight="false" outlineLevel="0" collapsed="false">
      <c r="P555" s="371"/>
      <c r="Q555" s="371"/>
      <c r="R555" s="371"/>
      <c r="U555" s="371"/>
      <c r="V555" s="371"/>
      <c r="W555" s="371"/>
      <c r="X555" s="371"/>
    </row>
    <row r="556" customFormat="false" ht="12.75" hidden="false" customHeight="false" outlineLevel="0" collapsed="false">
      <c r="P556" s="371"/>
      <c r="Q556" s="371"/>
      <c r="R556" s="371"/>
      <c r="U556" s="371"/>
      <c r="V556" s="371"/>
      <c r="W556" s="371"/>
      <c r="X556" s="371"/>
    </row>
    <row r="557" customFormat="false" ht="12.75" hidden="false" customHeight="false" outlineLevel="0" collapsed="false">
      <c r="P557" s="371"/>
      <c r="Q557" s="371"/>
      <c r="R557" s="371"/>
      <c r="U557" s="371"/>
      <c r="V557" s="371"/>
      <c r="W557" s="371"/>
      <c r="X557" s="371"/>
    </row>
    <row r="558" customFormat="false" ht="12.75" hidden="false" customHeight="false" outlineLevel="0" collapsed="false">
      <c r="P558" s="371"/>
      <c r="Q558" s="371"/>
      <c r="R558" s="371"/>
      <c r="U558" s="371"/>
      <c r="V558" s="371"/>
      <c r="W558" s="371"/>
      <c r="X558" s="371"/>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505"/>
  <sheetViews>
    <sheetView showFormulas="false" showGridLines="true" showRowColHeaders="true" showZeros="true" rightToLeft="false" tabSelected="false" showOutlineSymbols="true" defaultGridColor="true" view="normal" topLeftCell="J4" colorId="64" zoomScale="80" zoomScaleNormal="80" zoomScalePageLayoutView="100" workbookViewId="0">
      <selection pane="topLeft" activeCell="CI21" activeCellId="0" sqref="CI21:CI67"/>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257" min="8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21</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732889.12</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1885501.5</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-1152612.37</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21217.66</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-539.91</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-1674399.14</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-350208</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1730.19</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103.45</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-1326.53</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5104.33</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1348.77</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63.8</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212012.9</v>
      </c>
      <c r="P18" s="415" t="e">
        <f aca="false">N18-O18</f>
        <v>#VALUE!</v>
      </c>
      <c r="AU18" s="433"/>
      <c r="AV18" s="383"/>
      <c r="AW18" s="378"/>
      <c r="AX18" s="383" t="str">
        <f aca="false">ADDRESS(ROW($CI$22),COLUMN($CI$22))</f>
        <v>$CI$22</v>
      </c>
      <c r="AY18" s="378" t="e">
        <f aca="false">GetEnd($AV$1,AX18)</f>
        <v>#VALUE!</v>
      </c>
      <c r="CM18" s="511"/>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520876.22</v>
      </c>
      <c r="P19" s="465" t="e">
        <f aca="false">N19-O19</f>
        <v>#VALUE!</v>
      </c>
      <c r="AU19" s="433"/>
      <c r="AV19" s="383"/>
      <c r="AW19" s="378"/>
      <c r="CM19" s="511"/>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2.96453068034357</v>
      </c>
      <c r="BW22" s="369" t="n">
        <v>2.9535</v>
      </c>
      <c r="BX22" s="370" t="n">
        <v>0.952435996987834</v>
      </c>
      <c r="BY22" s="370" t="n">
        <v>0.977962395882988</v>
      </c>
      <c r="BZ22" s="370" t="n">
        <v>0.984100521619944</v>
      </c>
      <c r="CA22" s="370" t="n">
        <v>0.0187659081571607</v>
      </c>
      <c r="CB22" s="370" t="n">
        <v>0.998364899395796</v>
      </c>
      <c r="CC22" s="505" t="n">
        <v>-0.025</v>
      </c>
      <c r="CD22" s="505" t="n">
        <v>0.0575</v>
      </c>
      <c r="CE22" s="505" t="n">
        <v>0.1325</v>
      </c>
      <c r="CF22" s="505" t="n">
        <v>-0.025</v>
      </c>
      <c r="CG22" s="505" t="n">
        <v>0.0192</v>
      </c>
      <c r="CH22" s="505" t="n">
        <v>3.40442430693966</v>
      </c>
      <c r="CI22" s="505" t="n">
        <v>2.846</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3.02838369482379</v>
      </c>
      <c r="BW23" s="369" t="n">
        <v>3.0155</v>
      </c>
      <c r="BX23" s="370" t="n">
        <v>0.906812181950228</v>
      </c>
      <c r="BY23" s="370" t="n">
        <v>0.919768992736763</v>
      </c>
      <c r="BZ23" s="370" t="n">
        <v>0.990238296282677</v>
      </c>
      <c r="CA23" s="370" t="n">
        <v>0.0193261872820063</v>
      </c>
      <c r="CB23" s="370" t="n">
        <v>0.996688029844541</v>
      </c>
      <c r="CC23" s="505" t="n">
        <v>-0.025</v>
      </c>
      <c r="CD23" s="505" t="n">
        <v>0.0575</v>
      </c>
      <c r="CE23" s="505" t="n">
        <v>0.1325</v>
      </c>
      <c r="CF23" s="505" t="n">
        <v>-0.025</v>
      </c>
      <c r="CG23" s="505" t="n">
        <v>0.0192</v>
      </c>
      <c r="CH23" s="505" t="n">
        <v>3.06979913192119</v>
      </c>
      <c r="CI23" s="505" t="n">
        <v>2.908</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3.02220437084183</v>
      </c>
      <c r="BW24" s="369" t="n">
        <v>2.997</v>
      </c>
      <c r="BX24" s="370" t="n">
        <v>0.79</v>
      </c>
      <c r="BY24" s="370" t="n">
        <v>0.79</v>
      </c>
      <c r="BZ24" s="370" t="n">
        <v>0.994567567567568</v>
      </c>
      <c r="CA24" s="370" t="n">
        <v>0.0192731753639035</v>
      </c>
      <c r="CB24" s="370" t="n">
        <v>0.99523258517239</v>
      </c>
      <c r="CC24" s="505" t="n">
        <v>-0.025</v>
      </c>
      <c r="CD24" s="505" t="n">
        <v>0.0575</v>
      </c>
      <c r="CE24" s="505" t="n">
        <v>0.12</v>
      </c>
      <c r="CF24" s="505" t="n">
        <v>-0.025</v>
      </c>
      <c r="CG24" s="505" t="n">
        <v>0.0192</v>
      </c>
      <c r="CH24" s="505" t="n">
        <v>3.39374311543785</v>
      </c>
      <c r="CI24" s="505" t="n">
        <v>2.902</v>
      </c>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2.96659045500422</v>
      </c>
      <c r="BW25" s="369" t="n">
        <v>2.973</v>
      </c>
      <c r="BX25" s="370" t="n">
        <v>0.600814487825059</v>
      </c>
      <c r="BY25" s="370" t="n">
        <v>0.606420927626525</v>
      </c>
      <c r="BZ25" s="370" t="n">
        <v>0.997566933978154</v>
      </c>
      <c r="CA25" s="370" t="n">
        <v>0.0194226401196236</v>
      </c>
      <c r="CB25" s="370" t="n">
        <v>0.993564587749983</v>
      </c>
      <c r="CC25" s="505" t="n">
        <v>-0.025</v>
      </c>
      <c r="CD25" s="505" t="n">
        <v>0.0575</v>
      </c>
      <c r="CE25" s="505" t="n">
        <v>0.15</v>
      </c>
      <c r="CF25" s="505" t="n">
        <v>-0.025</v>
      </c>
      <c r="CG25" s="505" t="n">
        <v>0.0192</v>
      </c>
      <c r="CH25" s="505" t="n">
        <v>3.27876313957494</v>
      </c>
      <c r="CI25" s="505" t="n">
        <v>2.848</v>
      </c>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3.01602504685987</v>
      </c>
      <c r="BW26" s="369" t="n">
        <v>3.001</v>
      </c>
      <c r="BX26" s="370" t="n">
        <v>0.57775293402001</v>
      </c>
      <c r="BY26" s="370" t="n">
        <v>0.57775293402001</v>
      </c>
      <c r="BZ26" s="370" t="n">
        <v>0.997964716171694</v>
      </c>
      <c r="CA26" s="370" t="n">
        <v>0.019712159578257</v>
      </c>
      <c r="CB26" s="370" t="n">
        <v>0.991870109542169</v>
      </c>
      <c r="CC26" s="505" t="n">
        <v>-0.025</v>
      </c>
      <c r="CD26" s="505" t="n">
        <v>0.0575</v>
      </c>
      <c r="CE26" s="505" t="n">
        <v>0.13</v>
      </c>
      <c r="CF26" s="505" t="n">
        <v>-0.025</v>
      </c>
      <c r="CG26" s="505" t="n">
        <v>0.0192</v>
      </c>
      <c r="CH26" s="505" t="n">
        <v>3.3822770735388</v>
      </c>
      <c r="CI26" s="505" t="n">
        <v>2.896</v>
      </c>
    </row>
    <row r="27" customFormat="false" ht="12.75" hidden="false" customHeight="false" outlineLevel="0" collapsed="false">
      <c r="A27" s="512"/>
      <c r="B27" s="512"/>
      <c r="C27" s="512"/>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3.06751941337618</v>
      </c>
      <c r="BW27" s="369" t="n">
        <v>3.071</v>
      </c>
      <c r="BX27" s="370" t="n">
        <v>0.550221330219268</v>
      </c>
      <c r="BY27" s="370" t="n">
        <v>0.554685115579688</v>
      </c>
      <c r="BZ27" s="370" t="n">
        <v>0.997746719216428</v>
      </c>
      <c r="CA27" s="370" t="n">
        <v>0.0200113297153544</v>
      </c>
      <c r="CB27" s="370" t="n">
        <v>0.990073216017117</v>
      </c>
      <c r="CC27" s="505" t="n">
        <v>-0.025</v>
      </c>
      <c r="CD27" s="505" t="n">
        <v>0.0575</v>
      </c>
      <c r="CE27" s="505" t="n">
        <v>0.15</v>
      </c>
      <c r="CF27" s="505" t="n">
        <v>-0.025</v>
      </c>
      <c r="CG27" s="505" t="n">
        <v>0.0192</v>
      </c>
      <c r="CH27" s="505" t="n">
        <v>3.26724161285649</v>
      </c>
      <c r="CI27" s="505" t="n">
        <v>2.946</v>
      </c>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3.10665513192857</v>
      </c>
      <c r="BW28" s="369" t="n">
        <v>3.124</v>
      </c>
      <c r="BX28" s="370" t="n">
        <v>0.549290255131369</v>
      </c>
      <c r="BY28" s="370" t="n">
        <v>0.549290255131369</v>
      </c>
      <c r="BZ28" s="370" t="n">
        <v>0.998098870470882</v>
      </c>
      <c r="CA28" s="370" t="n">
        <v>0.0204286298094831</v>
      </c>
      <c r="CB28" s="370" t="n">
        <v>0.988217193800728</v>
      </c>
      <c r="CC28" s="505" t="n">
        <v>-0.025</v>
      </c>
      <c r="CD28" s="505" t="n">
        <v>0.0575</v>
      </c>
      <c r="CE28" s="505" t="n">
        <v>0.165</v>
      </c>
      <c r="CF28" s="505" t="n">
        <v>-0.025</v>
      </c>
      <c r="CG28" s="505" t="n">
        <v>0.0192</v>
      </c>
      <c r="CH28" s="505" t="n">
        <v>3.36982063086048</v>
      </c>
      <c r="CI28" s="505" t="n">
        <v>2.984</v>
      </c>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3.14991039980226</v>
      </c>
      <c r="BW29" s="369" t="n">
        <v>3.166</v>
      </c>
      <c r="BX29" s="370" t="n">
        <v>0.549894268674422</v>
      </c>
      <c r="BY29" s="370" t="n">
        <v>0.549894268674422</v>
      </c>
      <c r="BZ29" s="370" t="n">
        <v>0.998069056188978</v>
      </c>
      <c r="CA29" s="370" t="n">
        <v>0.021065008234304</v>
      </c>
      <c r="CB29" s="370" t="n">
        <v>0.986098940667972</v>
      </c>
      <c r="CC29" s="505" t="n">
        <v>-0.025</v>
      </c>
      <c r="CD29" s="505" t="n">
        <v>0.0575</v>
      </c>
      <c r="CE29" s="505" t="n">
        <v>0.165</v>
      </c>
      <c r="CF29" s="505" t="n">
        <v>-0.025</v>
      </c>
      <c r="CG29" s="505" t="n">
        <v>0.0192</v>
      </c>
      <c r="CH29" s="505" t="n">
        <v>3.36259738767779</v>
      </c>
      <c r="CI29" s="505" t="n">
        <v>3.026</v>
      </c>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3.14167130115965</v>
      </c>
      <c r="BW30" s="369" t="n">
        <v>3.123</v>
      </c>
      <c r="BX30" s="370" t="n">
        <v>0.548527673591454</v>
      </c>
      <c r="BY30" s="370" t="n">
        <v>0.552009176042195</v>
      </c>
      <c r="BZ30" s="370" t="n">
        <v>0.99801368940955</v>
      </c>
      <c r="CA30" s="370" t="n">
        <v>0.0217013867962765</v>
      </c>
      <c r="CB30" s="370" t="n">
        <v>0.983880178541275</v>
      </c>
      <c r="CC30" s="505" t="n">
        <v>-0.025</v>
      </c>
      <c r="CD30" s="505" t="n">
        <v>0.0575</v>
      </c>
      <c r="CE30" s="505" t="n">
        <v>0.13</v>
      </c>
      <c r="CF30" s="505" t="n">
        <v>-0.025</v>
      </c>
      <c r="CG30" s="505" t="n">
        <v>0.0192</v>
      </c>
      <c r="CH30" s="505" t="n">
        <v>3.24680458918621</v>
      </c>
      <c r="CI30" s="505" t="n">
        <v>3.018</v>
      </c>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3.15505983645389</v>
      </c>
      <c r="BW31" s="369" t="n">
        <v>3.156</v>
      </c>
      <c r="BX31" s="370" t="n">
        <v>0.5511830669082</v>
      </c>
      <c r="BY31" s="370" t="n">
        <v>0.554635809260041</v>
      </c>
      <c r="BZ31" s="370" t="n">
        <v>0.997928874847998</v>
      </c>
      <c r="CA31" s="370" t="n">
        <v>0.022410164045374</v>
      </c>
      <c r="CB31" s="370" t="n">
        <v>0.981562668478235</v>
      </c>
      <c r="CC31" s="505" t="n">
        <v>-0.025</v>
      </c>
      <c r="CD31" s="505" t="n">
        <v>0.0575</v>
      </c>
      <c r="CE31" s="505" t="n">
        <v>0.15</v>
      </c>
      <c r="CF31" s="505" t="n">
        <v>-0.025</v>
      </c>
      <c r="CG31" s="505" t="n">
        <v>0.0192</v>
      </c>
      <c r="CH31" s="505" t="n">
        <v>3.34712869951078</v>
      </c>
      <c r="CI31" s="505" t="n">
        <v>3.031</v>
      </c>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3.34043955591258</v>
      </c>
      <c r="BW32" s="369" t="n">
        <v>3.381</v>
      </c>
      <c r="BX32" s="370" t="n">
        <v>0.557476031074478</v>
      </c>
      <c r="BY32" s="370" t="n">
        <v>0.560958272936821</v>
      </c>
      <c r="BZ32" s="370" t="n">
        <v>0.997663782198963</v>
      </c>
      <c r="CA32" s="370" t="n">
        <v>0.0232740649677528</v>
      </c>
      <c r="CB32" s="370" t="n">
        <v>0.97893835036076</v>
      </c>
      <c r="CC32" s="505" t="n">
        <v>-0.025</v>
      </c>
      <c r="CD32" s="505" t="n">
        <v>0.0575</v>
      </c>
      <c r="CE32" s="505" t="n">
        <v>0.195</v>
      </c>
      <c r="CF32" s="505" t="n">
        <v>-0.025</v>
      </c>
      <c r="CG32" s="505" t="n">
        <v>0.0192</v>
      </c>
      <c r="CH32" s="505" t="n">
        <v>3.23049655619051</v>
      </c>
      <c r="CI32" s="505" t="n">
        <v>3.211</v>
      </c>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3.50522152876475</v>
      </c>
      <c r="BW33" s="369" t="n">
        <v>3.561</v>
      </c>
      <c r="BX33" s="370" t="n">
        <v>0.570790000341453</v>
      </c>
      <c r="BY33" s="370" t="n">
        <v>0.574747977895737</v>
      </c>
      <c r="BZ33" s="370" t="n">
        <v>0.996893334232894</v>
      </c>
      <c r="CA33" s="370" t="n">
        <v>0.024110098358836</v>
      </c>
      <c r="CB33" s="370" t="n">
        <v>0.976270925999808</v>
      </c>
      <c r="CC33" s="505" t="n">
        <v>-0.025</v>
      </c>
      <c r="CD33" s="505" t="n">
        <v>0.0575</v>
      </c>
      <c r="CE33" s="505" t="n">
        <v>0.215</v>
      </c>
      <c r="CF33" s="505" t="n">
        <v>-0.025</v>
      </c>
      <c r="CG33" s="505" t="n">
        <v>0.0192</v>
      </c>
      <c r="CH33" s="505" t="n">
        <v>3.32908385765935</v>
      </c>
      <c r="CI33" s="505" t="n">
        <v>3.371</v>
      </c>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3.58246307853921</v>
      </c>
      <c r="BW34" s="369" t="n">
        <v>3.656</v>
      </c>
      <c r="BX34" s="370" t="n">
        <v>0.56836354878586</v>
      </c>
      <c r="BY34" s="370" t="n">
        <v>0.572132079209186</v>
      </c>
      <c r="BZ34" s="370" t="n">
        <v>0.996952789097852</v>
      </c>
      <c r="CA34" s="370" t="n">
        <v>0.0250384261928196</v>
      </c>
      <c r="CB34" s="370" t="n">
        <v>0.97331647833328</v>
      </c>
      <c r="CC34" s="505" t="n">
        <v>-0.025</v>
      </c>
      <c r="CD34" s="505" t="n">
        <v>0.0575</v>
      </c>
      <c r="CE34" s="505" t="n">
        <v>0.235</v>
      </c>
      <c r="CF34" s="505" t="n">
        <v>-0.025</v>
      </c>
      <c r="CG34" s="505" t="n">
        <v>0.0192</v>
      </c>
      <c r="CH34" s="505" t="n">
        <v>3.31900919111648</v>
      </c>
      <c r="CI34" s="505" t="n">
        <v>3.446</v>
      </c>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3.50522152876475</v>
      </c>
      <c r="BW35" s="369" t="n">
        <v>3.581</v>
      </c>
      <c r="BX35" s="370" t="n">
        <v>0.554353390063384</v>
      </c>
      <c r="BY35" s="370" t="n">
        <v>0.557603951793811</v>
      </c>
      <c r="BZ35" s="370" t="n">
        <v>0.997301936958744</v>
      </c>
      <c r="CA35" s="370" t="n">
        <v>0.0260449864197474</v>
      </c>
      <c r="CB35" s="370" t="n">
        <v>0.970132608451962</v>
      </c>
      <c r="CC35" s="505" t="n">
        <v>-0.025</v>
      </c>
      <c r="CD35" s="505" t="n">
        <v>0.0575</v>
      </c>
      <c r="CE35" s="505" t="n">
        <v>0.235</v>
      </c>
      <c r="CF35" s="505" t="n">
        <v>-0.025</v>
      </c>
      <c r="CG35" s="505" t="n">
        <v>0.0192</v>
      </c>
      <c r="CH35" s="505" t="n">
        <v>2.98800843403204</v>
      </c>
      <c r="CI35" s="505" t="n">
        <v>3.371</v>
      </c>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3.41253166903541</v>
      </c>
      <c r="BW36" s="369" t="n">
        <v>3.451</v>
      </c>
      <c r="BX36" s="370" t="n">
        <v>0.50293567145062</v>
      </c>
      <c r="BY36" s="370" t="n">
        <v>0.50293567145062</v>
      </c>
      <c r="BZ36" s="370" t="n">
        <v>0.998154551624308</v>
      </c>
      <c r="CA36" s="370" t="n">
        <v>0.0269541378866576</v>
      </c>
      <c r="CB36" s="370" t="n">
        <v>0.967126070368611</v>
      </c>
      <c r="CC36" s="505" t="n">
        <v>-0.025</v>
      </c>
      <c r="CD36" s="505" t="n">
        <v>0.0575</v>
      </c>
      <c r="CE36" s="505" t="n">
        <v>0.195</v>
      </c>
      <c r="CF36" s="505" t="n">
        <v>-0.025</v>
      </c>
      <c r="CG36" s="505" t="n">
        <v>0.0192</v>
      </c>
      <c r="CH36" s="505" t="n">
        <v>3.29789989995696</v>
      </c>
      <c r="CI36" s="505" t="n">
        <v>3.281</v>
      </c>
    </row>
    <row r="37" customFormat="false" ht="12.75" hidden="false" customHeight="false" outlineLevel="0" collapsed="false">
      <c r="A37" s="512"/>
      <c r="B37" s="512"/>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3.25289913283487</v>
      </c>
      <c r="BW37" s="369" t="n">
        <v>3.246</v>
      </c>
      <c r="BX37" s="370" t="n">
        <v>0.388875549675273</v>
      </c>
      <c r="BY37" s="370" t="n">
        <v>0.39066962859815</v>
      </c>
      <c r="BZ37" s="370" t="n">
        <v>0.998922485477816</v>
      </c>
      <c r="CA37" s="370" t="n">
        <v>0.0279745964320606</v>
      </c>
      <c r="CB37" s="370" t="n">
        <v>0.963636615990319</v>
      </c>
      <c r="CC37" s="505" t="n">
        <v>-0.025</v>
      </c>
      <c r="CD37" s="505" t="n">
        <v>0.0575</v>
      </c>
      <c r="CE37" s="505" t="n">
        <v>0.145</v>
      </c>
      <c r="CF37" s="505" t="n">
        <v>-0.025</v>
      </c>
      <c r="CG37" s="505" t="n">
        <v>0.0192</v>
      </c>
      <c r="CH37" s="505" t="n">
        <v>3.18000083276805</v>
      </c>
      <c r="CI37" s="505" t="n">
        <v>3.126</v>
      </c>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3.25392902016519</v>
      </c>
      <c r="BW38" s="369" t="n">
        <v>3.227</v>
      </c>
      <c r="BX38" s="370" t="n">
        <v>0.376159329765107</v>
      </c>
      <c r="BY38" s="370" t="n">
        <v>0.376159329765107</v>
      </c>
      <c r="BZ38" s="370" t="n">
        <v>0.999026464636225</v>
      </c>
      <c r="CA38" s="370" t="n">
        <v>0.0289631800763801</v>
      </c>
      <c r="CB38" s="370" t="n">
        <v>0.960114752892753</v>
      </c>
      <c r="CC38" s="505" t="n">
        <v>-0.025</v>
      </c>
      <c r="CD38" s="505" t="n">
        <v>0.0575</v>
      </c>
      <c r="CE38" s="505" t="n">
        <v>0.125</v>
      </c>
      <c r="CF38" s="505" t="n">
        <v>-0.025</v>
      </c>
      <c r="CG38" s="505" t="n">
        <v>0.0192</v>
      </c>
      <c r="CH38" s="505" t="n">
        <v>3.27399130736429</v>
      </c>
      <c r="CI38" s="505" t="n">
        <v>3.127</v>
      </c>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3.28997507672661</v>
      </c>
      <c r="BW39" s="369" t="n">
        <v>3.282</v>
      </c>
      <c r="BX39" s="370" t="n">
        <v>0.375845949287242</v>
      </c>
      <c r="BY39" s="370" t="n">
        <v>0.377677056513092</v>
      </c>
      <c r="BZ39" s="370" t="n">
        <v>0.998791864283484</v>
      </c>
      <c r="CA39" s="370" t="n">
        <v>0.0299847168551968</v>
      </c>
      <c r="CB39" s="370" t="n">
        <v>0.956328852591432</v>
      </c>
      <c r="CC39" s="505" t="n">
        <v>-0.025</v>
      </c>
      <c r="CD39" s="505" t="n">
        <v>0.0575</v>
      </c>
      <c r="CE39" s="505" t="n">
        <v>0.145</v>
      </c>
      <c r="CF39" s="505" t="n">
        <v>-0.025</v>
      </c>
      <c r="CG39" s="505" t="n">
        <v>0.0192</v>
      </c>
      <c r="CH39" s="505" t="n">
        <v>3.15588521355173</v>
      </c>
      <c r="CI39" s="505" t="n">
        <v>3.162</v>
      </c>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3.3332303446003</v>
      </c>
      <c r="BW40" s="369" t="n">
        <v>3.329</v>
      </c>
      <c r="BX40" s="370" t="n">
        <v>0.377568797335415</v>
      </c>
      <c r="BY40" s="370" t="n">
        <v>0.377568797335415</v>
      </c>
      <c r="BZ40" s="370" t="n">
        <v>0.998945934012993</v>
      </c>
      <c r="CA40" s="370" t="n">
        <v>0.0309652793004798</v>
      </c>
      <c r="CB40" s="370" t="n">
        <v>0.95253693379797</v>
      </c>
      <c r="CC40" s="505" t="n">
        <v>-0.025</v>
      </c>
      <c r="CD40" s="505" t="n">
        <v>0.0575</v>
      </c>
      <c r="CE40" s="505" t="n">
        <v>0.15</v>
      </c>
      <c r="CF40" s="505" t="n">
        <v>-0.025</v>
      </c>
      <c r="CG40" s="505" t="n">
        <v>0.0192</v>
      </c>
      <c r="CH40" s="505" t="n">
        <v>3.24815094425108</v>
      </c>
      <c r="CI40" s="505" t="n">
        <v>3.204</v>
      </c>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3.376485612474</v>
      </c>
      <c r="BW41" s="369" t="n">
        <v>3.371</v>
      </c>
      <c r="BX41" s="370" t="n">
        <v>0.37917572731747</v>
      </c>
      <c r="BY41" s="370" t="n">
        <v>0.37917572731747</v>
      </c>
      <c r="BZ41" s="370" t="n">
        <v>0.998811905581276</v>
      </c>
      <c r="CA41" s="370" t="n">
        <v>0.0319670833322725</v>
      </c>
      <c r="CB41" s="370" t="n">
        <v>0.948494893378275</v>
      </c>
      <c r="CC41" s="505" t="n">
        <v>-0.025</v>
      </c>
      <c r="CD41" s="505" t="n">
        <v>0.0575</v>
      </c>
      <c r="CE41" s="505" t="n">
        <v>0.15</v>
      </c>
      <c r="CF41" s="505" t="n">
        <v>-0.025</v>
      </c>
      <c r="CG41" s="505" t="n">
        <v>0.0192</v>
      </c>
      <c r="CH41" s="505" t="n">
        <v>3.23436758641992</v>
      </c>
      <c r="CI41" s="505" t="n">
        <v>3.246</v>
      </c>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3.37133617582237</v>
      </c>
      <c r="BW42" s="369" t="n">
        <v>3.341</v>
      </c>
      <c r="BX42" s="370" t="n">
        <v>0.376255879342064</v>
      </c>
      <c r="BY42" s="370" t="n">
        <v>0.378132573801484</v>
      </c>
      <c r="BZ42" s="370" t="n">
        <v>0.998604781079041</v>
      </c>
      <c r="CA42" s="370" t="n">
        <v>0.032968887702129</v>
      </c>
      <c r="CB42" s="370" t="n">
        <v>0.944312700032904</v>
      </c>
      <c r="CC42" s="505" t="n">
        <v>-0.025</v>
      </c>
      <c r="CD42" s="505" t="n">
        <v>0.0575</v>
      </c>
      <c r="CE42" s="505" t="n">
        <v>0.125</v>
      </c>
      <c r="CF42" s="505" t="n">
        <v>-0.025</v>
      </c>
      <c r="CG42" s="505" t="n">
        <v>0.0192</v>
      </c>
      <c r="CH42" s="505" t="n">
        <v>3.11623191010858</v>
      </c>
      <c r="CI42" s="505" t="n">
        <v>3.241</v>
      </c>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3.39811324641084</v>
      </c>
      <c r="BW43" s="369" t="n">
        <v>3.387</v>
      </c>
      <c r="BX43" s="370" t="n">
        <v>0.38041410598552</v>
      </c>
      <c r="BY43" s="370" t="n">
        <v>0.382396137086886</v>
      </c>
      <c r="BZ43" s="370" t="n">
        <v>0.998455606212173</v>
      </c>
      <c r="CA43" s="370" t="n">
        <v>0.0339067018220711</v>
      </c>
      <c r="CB43" s="370" t="n">
        <v>0.940187685777986</v>
      </c>
      <c r="CC43" s="505" t="n">
        <v>-0.025</v>
      </c>
      <c r="CD43" s="505" t="n">
        <v>0.0575</v>
      </c>
      <c r="CE43" s="505" t="n">
        <v>0.145</v>
      </c>
      <c r="CF43" s="505" t="n">
        <v>-0.025</v>
      </c>
      <c r="CG43" s="505" t="n">
        <v>0.0192</v>
      </c>
      <c r="CH43" s="505" t="n">
        <v>3.20604000850293</v>
      </c>
      <c r="CI43" s="505" t="n">
        <v>3.267</v>
      </c>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3.53714803600486</v>
      </c>
      <c r="BW44" s="369" t="n">
        <v>3.572</v>
      </c>
      <c r="BX44" s="370" t="n">
        <v>0.385609740274895</v>
      </c>
      <c r="BY44" s="370" t="n">
        <v>0.38797138408882</v>
      </c>
      <c r="BZ44" s="370" t="n">
        <v>0.997753709771421</v>
      </c>
      <c r="CA44" s="370" t="n">
        <v>0.0348361539671314</v>
      </c>
      <c r="CB44" s="370" t="n">
        <v>0.93586587426758</v>
      </c>
      <c r="CC44" s="505" t="n">
        <v>-0.025</v>
      </c>
      <c r="CD44" s="505" t="n">
        <v>0.0575</v>
      </c>
      <c r="CE44" s="505" t="n">
        <v>0.195</v>
      </c>
      <c r="CF44" s="505" t="n">
        <v>-0.025</v>
      </c>
      <c r="CG44" s="505" t="n">
        <v>0.0192</v>
      </c>
      <c r="CH44" s="505" t="n">
        <v>3.08835738508301</v>
      </c>
      <c r="CI44" s="505" t="n">
        <v>3.402</v>
      </c>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3.67618282559888</v>
      </c>
      <c r="BW45" s="369" t="n">
        <v>3.727</v>
      </c>
      <c r="BX45" s="370" t="n">
        <v>0.395540413143884</v>
      </c>
      <c r="BY45" s="370" t="n">
        <v>0.398352408852043</v>
      </c>
      <c r="BZ45" s="370" t="n">
        <v>0.996869385440336</v>
      </c>
      <c r="CA45" s="370" t="n">
        <v>0.0357356240616102</v>
      </c>
      <c r="CB45" s="370" t="n">
        <v>0.931565547567078</v>
      </c>
      <c r="CC45" s="505" t="n">
        <v>-0.025</v>
      </c>
      <c r="CD45" s="505" t="n">
        <v>0.0575</v>
      </c>
      <c r="CE45" s="505" t="n">
        <v>0.215</v>
      </c>
      <c r="CF45" s="505" t="n">
        <v>-0.025</v>
      </c>
      <c r="CG45" s="505" t="n">
        <v>0.0192</v>
      </c>
      <c r="CH45" s="505" t="n">
        <v>3.17663851720374</v>
      </c>
      <c r="CI45" s="505" t="n">
        <v>3.537</v>
      </c>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3.73797606541844</v>
      </c>
      <c r="BW46" s="369" t="n">
        <v>3.807</v>
      </c>
      <c r="BX46" s="370" t="n">
        <v>0.392965652353069</v>
      </c>
      <c r="BY46" s="370" t="n">
        <v>0.39560445076734</v>
      </c>
      <c r="BZ46" s="370" t="n">
        <v>0.997116788550599</v>
      </c>
      <c r="CA46" s="370" t="n">
        <v>0.0366293995889575</v>
      </c>
      <c r="CB46" s="370" t="n">
        <v>0.927069774742957</v>
      </c>
      <c r="CC46" s="505" t="n">
        <v>-0.025</v>
      </c>
      <c r="CD46" s="505" t="n">
        <v>0.0575</v>
      </c>
      <c r="CE46" s="505" t="n">
        <v>0.235</v>
      </c>
      <c r="CF46" s="505" t="n">
        <v>-0.025</v>
      </c>
      <c r="CG46" s="505" t="n">
        <v>0.0192</v>
      </c>
      <c r="CH46" s="505" t="n">
        <v>3.16130793187348</v>
      </c>
      <c r="CI46" s="505" t="n">
        <v>3.597</v>
      </c>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3.65043564234073</v>
      </c>
      <c r="BW47" s="369" t="n">
        <v>3.722</v>
      </c>
      <c r="BX47" s="370" t="n">
        <v>0.390732432296569</v>
      </c>
      <c r="BY47" s="370" t="n">
        <v>0.393121946123922</v>
      </c>
      <c r="BZ47" s="370" t="n">
        <v>0.99737164438652</v>
      </c>
      <c r="CA47" s="370" t="n">
        <v>0.0374851197051385</v>
      </c>
      <c r="CB47" s="370" t="n">
        <v>0.922533811762705</v>
      </c>
      <c r="CC47" s="505" t="n">
        <v>-0.025</v>
      </c>
      <c r="CD47" s="505" t="n">
        <v>0.0575</v>
      </c>
      <c r="CE47" s="505" t="n">
        <v>0.235</v>
      </c>
      <c r="CF47" s="505" t="n">
        <v>-0.025</v>
      </c>
      <c r="CG47" s="505" t="n">
        <v>0.0192</v>
      </c>
      <c r="CH47" s="505" t="n">
        <v>2.94288285952303</v>
      </c>
      <c r="CI47" s="505" t="n">
        <v>3.512</v>
      </c>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3.51655028939834</v>
      </c>
      <c r="BW48" s="369" t="n">
        <v>3.552</v>
      </c>
      <c r="BX48" s="370" t="n">
        <v>0.366388286442151</v>
      </c>
      <c r="BY48" s="370" t="n">
        <v>0.366388286442151</v>
      </c>
      <c r="BZ48" s="370" t="n">
        <v>0.998422615911158</v>
      </c>
      <c r="CA48" s="370" t="n">
        <v>0.0382856322945879</v>
      </c>
      <c r="CB48" s="370" t="n">
        <v>0.918192690834127</v>
      </c>
      <c r="CC48" s="505" t="n">
        <v>-0.025</v>
      </c>
      <c r="CD48" s="505" t="n">
        <v>0.0575</v>
      </c>
      <c r="CE48" s="505" t="n">
        <v>0.195</v>
      </c>
      <c r="CF48" s="505" t="n">
        <v>-0.025</v>
      </c>
      <c r="CG48" s="505" t="n">
        <v>0.0192</v>
      </c>
      <c r="CH48" s="505" t="n">
        <v>3.13103707574437</v>
      </c>
      <c r="CI48" s="505" t="n">
        <v>3.382</v>
      </c>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3.32602113328802</v>
      </c>
      <c r="BW49" s="369" t="n">
        <v>3.317</v>
      </c>
      <c r="BX49" s="370" t="n">
        <v>0.331357120013448</v>
      </c>
      <c r="BY49" s="370" t="n">
        <v>0.332481620699618</v>
      </c>
      <c r="BZ49" s="370" t="n">
        <v>0.99923250443996</v>
      </c>
      <c r="CA49" s="370" t="n">
        <v>0.0390847146165725</v>
      </c>
      <c r="CB49" s="370" t="n">
        <v>0.913567985593808</v>
      </c>
      <c r="CC49" s="505" t="n">
        <v>-0.025</v>
      </c>
      <c r="CD49" s="505" t="n">
        <v>0.0575</v>
      </c>
      <c r="CE49" s="505" t="n">
        <v>0.145</v>
      </c>
      <c r="CF49" s="505" t="n">
        <v>-0.025</v>
      </c>
      <c r="CG49" s="505" t="n">
        <v>0.0192</v>
      </c>
      <c r="CH49" s="505" t="n">
        <v>3.01477435245957</v>
      </c>
      <c r="CI49" s="505" t="n">
        <v>3.197</v>
      </c>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3.32087169663639</v>
      </c>
      <c r="BW50" s="369" t="n">
        <v>3.292</v>
      </c>
      <c r="BX50" s="370" t="n">
        <v>0.327601342960546</v>
      </c>
      <c r="BY50" s="370" t="n">
        <v>0.327601342960546</v>
      </c>
      <c r="BZ50" s="370" t="n">
        <v>0.999338701500497</v>
      </c>
      <c r="CA50" s="370" t="n">
        <v>0.0397995549683068</v>
      </c>
      <c r="CB50" s="370" t="n">
        <v>0.909126089677525</v>
      </c>
      <c r="CC50" s="505" t="n">
        <v>-0.025</v>
      </c>
      <c r="CD50" s="505" t="n">
        <v>0.0575</v>
      </c>
      <c r="CE50" s="505" t="n">
        <v>0.125</v>
      </c>
      <c r="CF50" s="505" t="n">
        <v>-0.025</v>
      </c>
      <c r="CG50" s="505" t="n">
        <v>0.0192</v>
      </c>
      <c r="CH50" s="505" t="n">
        <v>3.10011996580036</v>
      </c>
      <c r="CI50" s="505" t="n">
        <v>3.192</v>
      </c>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3.3569177531978</v>
      </c>
      <c r="BW51" s="369" t="n">
        <v>3.347</v>
      </c>
      <c r="BX51" s="370" t="n">
        <v>0.322553846057612</v>
      </c>
      <c r="BY51" s="370" t="n">
        <v>0.323758663407093</v>
      </c>
      <c r="BZ51" s="370" t="n">
        <v>0.999104310456046</v>
      </c>
      <c r="CA51" s="370" t="n">
        <v>0.0405382235118998</v>
      </c>
      <c r="CB51" s="370" t="n">
        <v>0.904449976505324</v>
      </c>
      <c r="CC51" s="505" t="n">
        <v>-0.025</v>
      </c>
      <c r="CD51" s="505" t="n">
        <v>0.0575</v>
      </c>
      <c r="CE51" s="505" t="n">
        <v>0.145</v>
      </c>
      <c r="CF51" s="505" t="n">
        <v>-0.025</v>
      </c>
      <c r="CG51" s="505" t="n">
        <v>0.0192</v>
      </c>
      <c r="CH51" s="505" t="n">
        <v>2.98468492246757</v>
      </c>
      <c r="CI51" s="505" t="n">
        <v>3.227</v>
      </c>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3.39811324641084</v>
      </c>
      <c r="BW52" s="369" t="n">
        <v>3.392</v>
      </c>
      <c r="BX52" s="370" t="n">
        <v>0.323758663407093</v>
      </c>
      <c r="BY52" s="370" t="n">
        <v>0.323758663407093</v>
      </c>
      <c r="BZ52" s="370" t="n">
        <v>0.999218016890835</v>
      </c>
      <c r="CA52" s="370" t="n">
        <v>0.0412152492802473</v>
      </c>
      <c r="CB52" s="370" t="n">
        <v>0.899929041596613</v>
      </c>
      <c r="CC52" s="505" t="n">
        <v>-0.025</v>
      </c>
      <c r="CD52" s="505" t="n">
        <v>0.0575</v>
      </c>
      <c r="CE52" s="505" t="n">
        <v>0.15</v>
      </c>
      <c r="CF52" s="505" t="n">
        <v>-0.025</v>
      </c>
      <c r="CG52" s="505" t="n">
        <v>0.0192</v>
      </c>
      <c r="CH52" s="505" t="n">
        <v>3.06875803184445</v>
      </c>
      <c r="CI52" s="505" t="n">
        <v>3.267</v>
      </c>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3.43930873962389</v>
      </c>
      <c r="BW53" s="369" t="n">
        <v>3.432</v>
      </c>
      <c r="BX53" s="370" t="n">
        <v>0.324924899747912</v>
      </c>
      <c r="BY53" s="370" t="n">
        <v>0.324924899747912</v>
      </c>
      <c r="BZ53" s="370" t="n">
        <v>0.999090403379791</v>
      </c>
      <c r="CA53" s="370" t="n">
        <v>0.0418733656308259</v>
      </c>
      <c r="CB53" s="370" t="n">
        <v>0.895276283112479</v>
      </c>
      <c r="CC53" s="505" t="n">
        <v>-0.025</v>
      </c>
      <c r="CD53" s="505" t="n">
        <v>0.0575</v>
      </c>
      <c r="CE53" s="505" t="n">
        <v>0.15</v>
      </c>
      <c r="CF53" s="505" t="n">
        <v>-0.025</v>
      </c>
      <c r="CG53" s="505" t="n">
        <v>0.0192</v>
      </c>
      <c r="CH53" s="505" t="n">
        <v>3.05289212541355</v>
      </c>
      <c r="CI53" s="505" t="n">
        <v>3.307</v>
      </c>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3.43415930297226</v>
      </c>
      <c r="BW54" s="369" t="n">
        <v>3.402</v>
      </c>
      <c r="BX54" s="370" t="n">
        <v>0.324623837003911</v>
      </c>
      <c r="BY54" s="370" t="n">
        <v>0.325940393354155</v>
      </c>
      <c r="BZ54" s="370" t="n">
        <v>0.998903062186623</v>
      </c>
      <c r="CA54" s="370" t="n">
        <v>0.0425314821265914</v>
      </c>
      <c r="CB54" s="370" t="n">
        <v>0.890550622336601</v>
      </c>
      <c r="CC54" s="505" t="n">
        <v>-0.025</v>
      </c>
      <c r="CD54" s="505" t="n">
        <v>0.0575</v>
      </c>
      <c r="CE54" s="505" t="n">
        <v>0.125</v>
      </c>
      <c r="CF54" s="505" t="n">
        <v>-0.025</v>
      </c>
      <c r="CG54" s="505" t="n">
        <v>0.0192</v>
      </c>
      <c r="CH54" s="505" t="n">
        <v>2.93881705371078</v>
      </c>
      <c r="CI54" s="505" t="n">
        <v>3.302</v>
      </c>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3.45990648623041</v>
      </c>
      <c r="BW55" s="369" t="n">
        <v>3.447</v>
      </c>
      <c r="BX55" s="370" t="n">
        <v>0.325957791635222</v>
      </c>
      <c r="BY55" s="370" t="n">
        <v>0.327386952805804</v>
      </c>
      <c r="BZ55" s="370" t="n">
        <v>0.998742590889324</v>
      </c>
      <c r="CA55" s="370" t="n">
        <v>0.0431331290786572</v>
      </c>
      <c r="CB55" s="370" t="n">
        <v>0.885996047822783</v>
      </c>
      <c r="CC55" s="505" t="n">
        <v>-0.025</v>
      </c>
      <c r="CD55" s="505" t="n">
        <v>0.0575</v>
      </c>
      <c r="CE55" s="505" t="n">
        <v>0.145</v>
      </c>
      <c r="CF55" s="505" t="n">
        <v>-0.025</v>
      </c>
      <c r="CG55" s="505" t="n">
        <v>0.0192</v>
      </c>
      <c r="CH55" s="505" t="n">
        <v>3.02124652307569</v>
      </c>
      <c r="CI55" s="505" t="n">
        <v>3.327</v>
      </c>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3.61644936043997</v>
      </c>
      <c r="BW56" s="369" t="n">
        <v>3.649</v>
      </c>
      <c r="BX56" s="370" t="n">
        <v>0.331587939765235</v>
      </c>
      <c r="BY56" s="370" t="n">
        <v>0.333330571149604</v>
      </c>
      <c r="BZ56" s="370" t="n">
        <v>0.998126734498764</v>
      </c>
      <c r="CA56" s="370" t="n">
        <v>0.0437209690349563</v>
      </c>
      <c r="CB56" s="370" t="n">
        <v>0.881310319234489</v>
      </c>
      <c r="CC56" s="505" t="n">
        <v>-0.025</v>
      </c>
      <c r="CD56" s="505" t="n">
        <v>0.0575</v>
      </c>
      <c r="CE56" s="505" t="n">
        <v>0.195</v>
      </c>
      <c r="CF56" s="505" t="n">
        <v>-0.025</v>
      </c>
      <c r="CG56" s="505" t="n">
        <v>0.0192</v>
      </c>
      <c r="CH56" s="505" t="n">
        <v>2.90832405347381</v>
      </c>
      <c r="CI56" s="505" t="n">
        <v>3.479</v>
      </c>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3.7637232486766</v>
      </c>
      <c r="BW57" s="369" t="n">
        <v>3.812</v>
      </c>
      <c r="BX57" s="370" t="n">
        <v>0.339212722084315</v>
      </c>
      <c r="BY57" s="370" t="n">
        <v>0.341337898891766</v>
      </c>
      <c r="BZ57" s="370" t="n">
        <v>0.997308031809176</v>
      </c>
      <c r="CA57" s="370" t="n">
        <v>0.044289846522211</v>
      </c>
      <c r="CB57" s="370" t="n">
        <v>0.876718225648428</v>
      </c>
      <c r="CC57" s="505" t="n">
        <v>-0.025</v>
      </c>
      <c r="CD57" s="505" t="n">
        <v>0.0575</v>
      </c>
      <c r="CE57" s="505" t="n">
        <v>0.215</v>
      </c>
      <c r="CF57" s="505" t="n">
        <v>-0.025</v>
      </c>
      <c r="CG57" s="505" t="n">
        <v>0.0192</v>
      </c>
      <c r="CH57" s="505" t="n">
        <v>2.98960914946114</v>
      </c>
      <c r="CI57" s="505" t="n">
        <v>3.622</v>
      </c>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3.82551648849616</v>
      </c>
      <c r="BW58" s="369" t="n">
        <v>3.892</v>
      </c>
      <c r="BX58" s="370" t="n">
        <v>0.338699959673164</v>
      </c>
      <c r="BY58" s="370" t="n">
        <v>0.340770096284093</v>
      </c>
      <c r="BZ58" s="370" t="n">
        <v>0.997373119119706</v>
      </c>
      <c r="CA58" s="370" t="n">
        <v>0.0448548874957364</v>
      </c>
      <c r="CB58" s="370" t="n">
        <v>0.871974921810256</v>
      </c>
      <c r="CC58" s="505" t="n">
        <v>-0.025</v>
      </c>
      <c r="CD58" s="505" t="n">
        <v>0.0575</v>
      </c>
      <c r="CE58" s="505" t="n">
        <v>0.235</v>
      </c>
      <c r="CF58" s="505" t="n">
        <v>-0.025</v>
      </c>
      <c r="CG58" s="505" t="n">
        <v>0.0192</v>
      </c>
      <c r="CH58" s="505" t="n">
        <v>2.97343448337297</v>
      </c>
      <c r="CI58" s="505" t="n">
        <v>3.682</v>
      </c>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3.73797606541844</v>
      </c>
      <c r="BW59" s="369" t="n">
        <v>3.807</v>
      </c>
      <c r="BX59" s="370" t="n">
        <v>0.334167550636186</v>
      </c>
      <c r="BY59" s="370" t="n">
        <v>0.336015011900667</v>
      </c>
      <c r="BZ59" s="370" t="n">
        <v>0.997621597937931</v>
      </c>
      <c r="CA59" s="370" t="n">
        <v>0.0454011527523237</v>
      </c>
      <c r="CB59" s="370" t="n">
        <v>0.867226855595254</v>
      </c>
      <c r="CC59" s="505" t="n">
        <v>-0.025</v>
      </c>
      <c r="CD59" s="505" t="n">
        <v>0.0575</v>
      </c>
      <c r="CE59" s="505" t="n">
        <v>0.235</v>
      </c>
      <c r="CF59" s="505" t="n">
        <v>-0.025</v>
      </c>
      <c r="CG59" s="505" t="n">
        <v>0.0192</v>
      </c>
      <c r="CH59" s="505" t="n">
        <v>2.67105871523338</v>
      </c>
      <c r="CI59" s="505" t="n">
        <v>3.597</v>
      </c>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3.60409071247606</v>
      </c>
      <c r="BW60" s="369" t="n">
        <v>3.637</v>
      </c>
      <c r="BX60" s="370" t="n">
        <v>0.317268038421172</v>
      </c>
      <c r="BY60" s="370" t="n">
        <v>0.317268038421172</v>
      </c>
      <c r="BZ60" s="370" t="n">
        <v>0.998542420043511</v>
      </c>
      <c r="CA60" s="370" t="n">
        <v>0.0458945537150708</v>
      </c>
      <c r="CB60" s="370" t="n">
        <v>0.862893591140207</v>
      </c>
      <c r="CC60" s="505" t="n">
        <v>-0.025</v>
      </c>
      <c r="CD60" s="505" t="n">
        <v>0.0575</v>
      </c>
      <c r="CE60" s="505" t="n">
        <v>0.195</v>
      </c>
      <c r="CF60" s="505" t="n">
        <v>-0.025</v>
      </c>
      <c r="CG60" s="505" t="n">
        <v>0.0192</v>
      </c>
      <c r="CH60" s="505" t="n">
        <v>2.9424671457881</v>
      </c>
      <c r="CI60" s="505" t="n">
        <v>3.467</v>
      </c>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3.41356155636573</v>
      </c>
      <c r="BW61" s="369" t="n">
        <v>3.402</v>
      </c>
      <c r="BX61" s="370" t="n">
        <v>0.29897490298836</v>
      </c>
      <c r="BY61" s="370" t="n">
        <v>0.299848232051068</v>
      </c>
      <c r="BZ61" s="370" t="n">
        <v>0.999338531682688</v>
      </c>
      <c r="CA61" s="370" t="n">
        <v>0.0464010564150716</v>
      </c>
      <c r="CB61" s="370" t="n">
        <v>0.85815886093194</v>
      </c>
      <c r="CC61" s="505" t="n">
        <v>-0.025</v>
      </c>
      <c r="CD61" s="505" t="n">
        <v>0.0575</v>
      </c>
      <c r="CE61" s="505" t="n">
        <v>0.145</v>
      </c>
      <c r="CF61" s="505" t="n">
        <v>-0.025</v>
      </c>
      <c r="CG61" s="505" t="n">
        <v>0.0192</v>
      </c>
      <c r="CH61" s="505" t="n">
        <v>2.8319242410754</v>
      </c>
      <c r="CI61" s="505" t="n">
        <v>3.282</v>
      </c>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3.4084121197141</v>
      </c>
      <c r="BW62" s="369" t="n">
        <v>3.377</v>
      </c>
      <c r="BX62" s="370" t="n">
        <v>0.29</v>
      </c>
      <c r="BY62" s="370" t="n">
        <v>0.29</v>
      </c>
      <c r="BZ62" s="370" t="n">
        <v>0</v>
      </c>
      <c r="CA62" s="370" t="n">
        <v>0.0468566770502532</v>
      </c>
      <c r="CB62" s="370" t="n">
        <v>0</v>
      </c>
      <c r="CC62" s="505" t="n">
        <v>-0.025</v>
      </c>
      <c r="CD62" s="505" t="n">
        <v>0.0575</v>
      </c>
      <c r="CE62" s="505" t="n">
        <v>0.125</v>
      </c>
      <c r="CF62" s="505" t="n">
        <v>-0.025</v>
      </c>
      <c r="CG62" s="505" t="n">
        <v>0.0192</v>
      </c>
      <c r="CH62" s="505" t="n">
        <v>0</v>
      </c>
      <c r="CI62" s="505" t="n">
        <v>3.277</v>
      </c>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3.4084121197141</v>
      </c>
      <c r="BW63" s="369" t="n">
        <v>3.377</v>
      </c>
      <c r="BX63" s="370" t="n">
        <v>0.29</v>
      </c>
      <c r="BY63" s="370" t="n">
        <v>0.29</v>
      </c>
      <c r="BZ63" s="370" t="n">
        <v>0</v>
      </c>
      <c r="CA63" s="370" t="n">
        <v>0.0468566770502532</v>
      </c>
      <c r="CB63" s="370" t="n">
        <v>0</v>
      </c>
      <c r="CC63" s="505" t="n">
        <v>-0.025</v>
      </c>
      <c r="CD63" s="505" t="n">
        <v>0.0575</v>
      </c>
      <c r="CE63" s="505" t="n">
        <v>0.125</v>
      </c>
      <c r="CF63" s="505" t="n">
        <v>-0.025</v>
      </c>
      <c r="CG63" s="505" t="n">
        <v>0.0192</v>
      </c>
      <c r="CH63" s="505" t="n">
        <v>0</v>
      </c>
      <c r="CI63" s="505" t="n">
        <v>3.277</v>
      </c>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3.4084121197141</v>
      </c>
      <c r="BW64" s="369" t="n">
        <v>3.377</v>
      </c>
      <c r="BX64" s="370" t="n">
        <v>0.29</v>
      </c>
      <c r="BY64" s="370" t="n">
        <v>0.29</v>
      </c>
      <c r="BZ64" s="370" t="n">
        <v>0</v>
      </c>
      <c r="CA64" s="370" t="n">
        <v>0.0468566770502532</v>
      </c>
      <c r="CB64" s="370" t="n">
        <v>0</v>
      </c>
      <c r="CC64" s="505" t="n">
        <v>-0.025</v>
      </c>
      <c r="CD64" s="505" t="n">
        <v>0.0575</v>
      </c>
      <c r="CE64" s="505" t="n">
        <v>0.125</v>
      </c>
      <c r="CF64" s="505" t="n">
        <v>-0.025</v>
      </c>
      <c r="CG64" s="505" t="n">
        <v>0.0192</v>
      </c>
      <c r="CH64" s="505" t="n">
        <v>0</v>
      </c>
      <c r="CI64" s="505" t="n">
        <v>3.277</v>
      </c>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3.4084121197141</v>
      </c>
      <c r="BW65" s="369" t="n">
        <v>3.377</v>
      </c>
      <c r="BX65" s="370" t="n">
        <v>0.29</v>
      </c>
      <c r="BY65" s="370" t="n">
        <v>0.29</v>
      </c>
      <c r="BZ65" s="370" t="n">
        <v>0</v>
      </c>
      <c r="CA65" s="370" t="n">
        <v>0.0468566770502532</v>
      </c>
      <c r="CB65" s="370" t="n">
        <v>0</v>
      </c>
      <c r="CC65" s="505" t="n">
        <v>-0.025</v>
      </c>
      <c r="CD65" s="505" t="n">
        <v>0.0575</v>
      </c>
      <c r="CE65" s="505" t="n">
        <v>0.125</v>
      </c>
      <c r="CF65" s="505" t="n">
        <v>-0.025</v>
      </c>
      <c r="CG65" s="505" t="n">
        <v>0.0192</v>
      </c>
      <c r="CH65" s="505" t="n">
        <v>0</v>
      </c>
      <c r="CI65" s="505" t="n">
        <v>3.277</v>
      </c>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3.4084121197141</v>
      </c>
      <c r="BW66" s="369" t="n">
        <v>3.377</v>
      </c>
      <c r="BX66" s="370" t="n">
        <v>0.29</v>
      </c>
      <c r="BY66" s="370" t="n">
        <v>0.29</v>
      </c>
      <c r="BZ66" s="370" t="n">
        <v>0</v>
      </c>
      <c r="CA66" s="370" t="n">
        <v>0.0468566770502532</v>
      </c>
      <c r="CB66" s="370" t="n">
        <v>0</v>
      </c>
      <c r="CC66" s="505" t="n">
        <v>-0.025</v>
      </c>
      <c r="CD66" s="505" t="n">
        <v>0.0575</v>
      </c>
      <c r="CE66" s="505" t="n">
        <v>0.125</v>
      </c>
      <c r="CF66" s="505" t="n">
        <v>-0.025</v>
      </c>
      <c r="CG66" s="505" t="n">
        <v>0.0192</v>
      </c>
      <c r="CH66" s="505" t="n">
        <v>0</v>
      </c>
      <c r="CI66" s="505" t="n">
        <v>3.277</v>
      </c>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3.4084121197141</v>
      </c>
      <c r="BW67" s="369" t="n">
        <v>3.377</v>
      </c>
      <c r="BX67" s="370" t="n">
        <v>0.29</v>
      </c>
      <c r="BY67" s="370" t="n">
        <v>0.29</v>
      </c>
      <c r="BZ67" s="370" t="n">
        <v>0</v>
      </c>
      <c r="CA67" s="370" t="n">
        <v>0.0468566770502532</v>
      </c>
      <c r="CB67" s="370" t="n">
        <v>0</v>
      </c>
      <c r="CC67" s="505" t="n">
        <v>-0.025</v>
      </c>
      <c r="CD67" s="505" t="n">
        <v>0.0575</v>
      </c>
      <c r="CE67" s="505" t="n">
        <v>0.125</v>
      </c>
      <c r="CF67" s="505" t="n">
        <v>-0.025</v>
      </c>
      <c r="CG67" s="505" t="n">
        <v>0.0192</v>
      </c>
      <c r="CH67" s="505" t="n">
        <v>0</v>
      </c>
      <c r="CI67" s="505" t="n">
        <v>3.277</v>
      </c>
    </row>
    <row r="68" customFormat="false" ht="12.75" hidden="false" customHeight="false" outlineLevel="0" collapsed="false">
      <c r="A68" s="500"/>
      <c r="B68" s="500"/>
      <c r="L68" s="501"/>
      <c r="P68" s="371"/>
      <c r="Q68" s="371"/>
      <c r="R68" s="371"/>
      <c r="U68" s="371"/>
      <c r="V68" s="371"/>
      <c r="W68" s="371"/>
      <c r="X68" s="371"/>
      <c r="AO68" s="369"/>
      <c r="AQ68" s="370"/>
      <c r="AS68" s="370"/>
      <c r="AU68" s="530"/>
      <c r="AV68" s="369"/>
      <c r="AW68" s="370"/>
    </row>
    <row r="69" customFormat="false" ht="12.75" hidden="false" customHeight="false" outlineLevel="0" collapsed="false">
      <c r="A69" s="500"/>
      <c r="B69" s="500"/>
      <c r="L69" s="501"/>
      <c r="P69" s="371"/>
      <c r="Q69" s="371"/>
      <c r="R69" s="371"/>
      <c r="U69" s="371"/>
      <c r="V69" s="371"/>
      <c r="W69" s="371"/>
      <c r="X69" s="371"/>
      <c r="AO69" s="369"/>
      <c r="AQ69" s="370"/>
      <c r="AS69" s="370"/>
      <c r="AU69" s="530"/>
      <c r="AV69" s="369"/>
      <c r="AW69" s="370"/>
    </row>
    <row r="70" customFormat="false" ht="12.75" hidden="false" customHeight="false" outlineLevel="0" collapsed="false">
      <c r="A70" s="500"/>
      <c r="B70" s="500"/>
      <c r="L70" s="501"/>
      <c r="P70" s="371"/>
      <c r="Q70" s="371"/>
      <c r="R70" s="371"/>
      <c r="U70" s="371"/>
      <c r="V70" s="371"/>
      <c r="W70" s="371"/>
      <c r="X70" s="371"/>
      <c r="AO70" s="369"/>
      <c r="AQ70" s="370"/>
      <c r="AS70" s="370"/>
      <c r="AU70" s="530"/>
      <c r="AV70" s="369"/>
      <c r="AW70" s="370"/>
    </row>
    <row r="71" customFormat="false" ht="12.75" hidden="false" customHeight="false" outlineLevel="0" collapsed="false">
      <c r="A71" s="500"/>
      <c r="B71" s="500"/>
      <c r="L71" s="501"/>
      <c r="P71" s="371"/>
      <c r="Q71" s="371"/>
      <c r="R71" s="371"/>
      <c r="U71" s="371"/>
      <c r="V71" s="371"/>
      <c r="W71" s="371"/>
      <c r="X71" s="371"/>
      <c r="AO71" s="369"/>
      <c r="AQ71" s="370"/>
      <c r="AS71" s="370"/>
      <c r="AU71" s="530"/>
      <c r="AV71" s="369"/>
      <c r="AW71" s="370"/>
    </row>
    <row r="72" customFormat="false" ht="12.75" hidden="false" customHeight="false" outlineLevel="0" collapsed="false">
      <c r="A72" s="500"/>
      <c r="B72" s="500"/>
      <c r="L72" s="501"/>
      <c r="P72" s="371"/>
      <c r="Q72" s="371"/>
      <c r="R72" s="371"/>
      <c r="U72" s="371"/>
      <c r="V72" s="371"/>
      <c r="W72" s="371"/>
      <c r="X72" s="371"/>
      <c r="AO72" s="369"/>
      <c r="AQ72" s="370"/>
      <c r="AS72" s="370"/>
      <c r="AU72" s="530"/>
      <c r="AV72" s="369"/>
      <c r="AW72" s="370"/>
    </row>
    <row r="73" customFormat="false" ht="12.75" hidden="false" customHeight="false" outlineLevel="0" collapsed="false">
      <c r="A73" s="500"/>
      <c r="B73" s="500"/>
      <c r="L73" s="501"/>
      <c r="P73" s="371"/>
      <c r="Q73" s="371"/>
      <c r="R73" s="371"/>
      <c r="U73" s="371"/>
      <c r="V73" s="371"/>
      <c r="W73" s="371"/>
      <c r="X73" s="371"/>
      <c r="AO73" s="369"/>
      <c r="AQ73" s="370"/>
      <c r="AS73" s="370"/>
      <c r="AU73" s="530"/>
      <c r="AV73" s="369"/>
      <c r="AW73" s="370"/>
    </row>
    <row r="74" customFormat="false" ht="12.75" hidden="false" customHeight="false" outlineLevel="0" collapsed="false">
      <c r="A74" s="500"/>
      <c r="B74" s="500"/>
      <c r="L74" s="501"/>
      <c r="P74" s="371"/>
      <c r="Q74" s="371"/>
      <c r="R74" s="371"/>
      <c r="U74" s="371"/>
      <c r="V74" s="371"/>
      <c r="W74" s="371"/>
      <c r="X74" s="371"/>
      <c r="AO74" s="369"/>
      <c r="AQ74" s="370"/>
      <c r="AS74" s="370"/>
      <c r="AU74" s="530"/>
      <c r="AV74" s="369"/>
      <c r="AW74" s="370"/>
    </row>
    <row r="75" customFormat="false" ht="12.75" hidden="false" customHeight="false" outlineLevel="0" collapsed="false">
      <c r="A75" s="500"/>
      <c r="B75" s="500"/>
      <c r="L75" s="501"/>
      <c r="P75" s="371"/>
      <c r="Q75" s="371"/>
      <c r="R75" s="371"/>
      <c r="U75" s="371"/>
      <c r="V75" s="371"/>
      <c r="W75" s="371"/>
      <c r="X75" s="371"/>
      <c r="AO75" s="369"/>
      <c r="AQ75" s="370"/>
      <c r="AS75" s="370"/>
      <c r="AU75" s="530"/>
      <c r="AV75" s="369"/>
      <c r="AW75" s="370"/>
    </row>
    <row r="76" customFormat="false" ht="12.75" hidden="false" customHeight="false" outlineLevel="0" collapsed="false">
      <c r="A76" s="500"/>
      <c r="B76" s="500"/>
      <c r="L76" s="501"/>
      <c r="P76" s="371"/>
      <c r="Q76" s="371"/>
      <c r="R76" s="371"/>
      <c r="U76" s="371"/>
      <c r="V76" s="371"/>
      <c r="W76" s="371"/>
      <c r="X76" s="371"/>
      <c r="AO76" s="369"/>
      <c r="AQ76" s="370"/>
      <c r="AS76" s="370"/>
      <c r="AU76" s="530"/>
      <c r="AV76" s="369"/>
      <c r="AW76" s="370"/>
    </row>
    <row r="77" customFormat="false" ht="12.75" hidden="false" customHeight="false" outlineLevel="0" collapsed="false">
      <c r="A77" s="500"/>
      <c r="B77" s="500"/>
      <c r="L77" s="501"/>
      <c r="P77" s="371"/>
      <c r="Q77" s="371"/>
      <c r="R77" s="371"/>
      <c r="U77" s="371"/>
      <c r="V77" s="371"/>
      <c r="W77" s="371"/>
      <c r="X77" s="371"/>
      <c r="AO77" s="369"/>
      <c r="AQ77" s="370"/>
      <c r="AS77" s="370"/>
      <c r="AU77" s="530"/>
      <c r="AV77" s="369"/>
      <c r="AW77" s="370"/>
    </row>
    <row r="78" customFormat="false" ht="12.75" hidden="false" customHeight="false" outlineLevel="0" collapsed="false">
      <c r="A78" s="500"/>
      <c r="B78" s="500"/>
      <c r="L78" s="501"/>
      <c r="P78" s="371"/>
      <c r="Q78" s="371"/>
      <c r="R78" s="371"/>
      <c r="U78" s="371"/>
      <c r="V78" s="371"/>
      <c r="W78" s="371"/>
      <c r="X78" s="371"/>
      <c r="AO78" s="369"/>
      <c r="AQ78" s="370"/>
      <c r="AS78" s="370"/>
      <c r="AU78" s="530"/>
      <c r="AV78" s="369"/>
      <c r="AW78" s="370"/>
    </row>
    <row r="79" customFormat="false" ht="12.75" hidden="false" customHeight="false" outlineLevel="0" collapsed="false">
      <c r="A79" s="500"/>
      <c r="B79" s="500"/>
      <c r="L79" s="501"/>
      <c r="P79" s="371"/>
      <c r="Q79" s="371"/>
      <c r="R79" s="371"/>
      <c r="U79" s="371"/>
      <c r="V79" s="371"/>
      <c r="W79" s="371"/>
      <c r="X79" s="371"/>
      <c r="AO79" s="369"/>
      <c r="AQ79" s="370"/>
      <c r="AS79" s="370"/>
      <c r="AU79" s="530"/>
      <c r="AV79" s="369"/>
      <c r="AW79" s="370"/>
    </row>
    <row r="80" customFormat="false" ht="12.75" hidden="false" customHeight="false" outlineLevel="0" collapsed="false">
      <c r="A80" s="500"/>
      <c r="B80" s="500"/>
      <c r="L80" s="501"/>
      <c r="P80" s="371"/>
      <c r="Q80" s="371"/>
      <c r="R80" s="371"/>
      <c r="U80" s="371"/>
      <c r="V80" s="371"/>
      <c r="W80" s="371"/>
      <c r="X80" s="371"/>
      <c r="AO80" s="369"/>
      <c r="AQ80" s="370"/>
      <c r="AS80" s="370"/>
      <c r="AU80" s="530"/>
      <c r="AV80" s="369"/>
      <c r="AW80" s="370"/>
    </row>
    <row r="81" customFormat="false" ht="12.75" hidden="false" customHeight="false" outlineLevel="0" collapsed="false">
      <c r="A81" s="500"/>
      <c r="B81" s="500"/>
      <c r="L81" s="501"/>
      <c r="P81" s="371"/>
      <c r="Q81" s="371"/>
      <c r="R81" s="371"/>
      <c r="U81" s="371"/>
      <c r="V81" s="371"/>
      <c r="W81" s="371"/>
      <c r="X81" s="371"/>
      <c r="AO81" s="369"/>
      <c r="AQ81" s="370"/>
      <c r="AS81" s="370"/>
      <c r="AU81" s="530"/>
      <c r="AV81" s="369"/>
      <c r="AW81" s="370"/>
    </row>
    <row r="82" customFormat="false" ht="12.75" hidden="false" customHeight="false" outlineLevel="0" collapsed="false">
      <c r="A82" s="500"/>
      <c r="B82" s="500"/>
      <c r="L82" s="501"/>
      <c r="P82" s="371"/>
      <c r="Q82" s="371"/>
      <c r="R82" s="371"/>
      <c r="U82" s="371"/>
      <c r="V82" s="371"/>
      <c r="W82" s="371"/>
      <c r="X82" s="371"/>
      <c r="AO82" s="369"/>
      <c r="AQ82" s="370"/>
      <c r="AS82" s="370"/>
      <c r="AU82" s="530"/>
      <c r="AV82" s="369"/>
      <c r="AW82" s="370"/>
    </row>
    <row r="83" customFormat="false" ht="12.75" hidden="false" customHeight="false" outlineLevel="0" collapsed="false">
      <c r="A83" s="500"/>
      <c r="B83" s="500"/>
      <c r="L83" s="501"/>
      <c r="P83" s="371"/>
      <c r="Q83" s="371"/>
      <c r="R83" s="371"/>
      <c r="U83" s="371"/>
      <c r="V83" s="371"/>
      <c r="W83" s="371"/>
      <c r="X83" s="371"/>
      <c r="AO83" s="369"/>
      <c r="AQ83" s="370"/>
      <c r="AS83" s="370"/>
      <c r="AU83" s="530"/>
      <c r="AV83" s="369"/>
      <c r="AW83" s="370"/>
    </row>
    <row r="84" customFormat="false" ht="12.75" hidden="false" customHeight="false" outlineLevel="0" collapsed="false">
      <c r="A84" s="500"/>
      <c r="B84" s="500"/>
      <c r="L84" s="501"/>
      <c r="P84" s="371"/>
      <c r="Q84" s="371"/>
      <c r="R84" s="371"/>
      <c r="U84" s="371"/>
      <c r="V84" s="371"/>
      <c r="W84" s="371"/>
      <c r="X84" s="371"/>
      <c r="AO84" s="369"/>
      <c r="AQ84" s="370"/>
      <c r="AS84" s="370"/>
      <c r="AU84" s="530"/>
      <c r="AV84" s="369"/>
      <c r="AW84" s="370"/>
    </row>
    <row r="85" customFormat="false" ht="12.75" hidden="false" customHeight="false" outlineLevel="0" collapsed="false">
      <c r="A85" s="500"/>
      <c r="B85" s="500"/>
      <c r="L85" s="501"/>
      <c r="P85" s="371"/>
      <c r="Q85" s="371"/>
      <c r="R85" s="371"/>
      <c r="U85" s="371"/>
      <c r="V85" s="371"/>
      <c r="W85" s="371"/>
      <c r="X85" s="371"/>
      <c r="AO85" s="369"/>
      <c r="AQ85" s="370"/>
      <c r="AS85" s="370"/>
      <c r="AU85" s="530"/>
      <c r="AV85" s="369"/>
      <c r="AW85" s="370"/>
    </row>
    <row r="86" customFormat="false" ht="12.75" hidden="false" customHeight="false" outlineLevel="0" collapsed="false">
      <c r="A86" s="500"/>
      <c r="B86" s="500"/>
      <c r="L86" s="501"/>
      <c r="P86" s="371"/>
      <c r="Q86" s="371"/>
      <c r="R86" s="371"/>
      <c r="U86" s="371"/>
      <c r="V86" s="371"/>
      <c r="W86" s="371"/>
      <c r="X86" s="371"/>
      <c r="AO86" s="369"/>
      <c r="AQ86" s="370"/>
      <c r="AS86" s="370"/>
      <c r="AU86" s="530"/>
      <c r="AV86" s="369"/>
      <c r="AW86" s="370"/>
    </row>
    <row r="87" customFormat="false" ht="12.75" hidden="false" customHeight="false" outlineLevel="0" collapsed="false">
      <c r="A87" s="500"/>
      <c r="B87" s="500"/>
      <c r="L87" s="501"/>
      <c r="P87" s="371"/>
      <c r="Q87" s="371"/>
      <c r="R87" s="371"/>
      <c r="U87" s="371"/>
      <c r="V87" s="371"/>
      <c r="W87" s="371"/>
      <c r="X87" s="371"/>
      <c r="AO87" s="369"/>
      <c r="AQ87" s="370"/>
      <c r="AS87" s="370"/>
      <c r="AU87" s="530"/>
      <c r="AV87" s="369"/>
      <c r="AW87" s="370"/>
    </row>
    <row r="88" customFormat="false" ht="12.75" hidden="false" customHeight="false" outlineLevel="0" collapsed="false">
      <c r="A88" s="500"/>
      <c r="B88" s="500"/>
      <c r="L88" s="501"/>
      <c r="P88" s="371"/>
      <c r="Q88" s="371"/>
      <c r="R88" s="371"/>
      <c r="U88" s="371"/>
      <c r="V88" s="371"/>
      <c r="W88" s="371"/>
      <c r="X88" s="371"/>
      <c r="AO88" s="369"/>
      <c r="AQ88" s="370"/>
      <c r="AS88" s="370"/>
      <c r="AU88" s="530"/>
      <c r="AV88" s="369"/>
      <c r="AW88" s="370"/>
    </row>
    <row r="89" customFormat="false" ht="12.75" hidden="false" customHeight="false" outlineLevel="0" collapsed="false">
      <c r="A89" s="500"/>
      <c r="B89" s="500"/>
      <c r="L89" s="501"/>
      <c r="P89" s="371"/>
      <c r="Q89" s="371"/>
      <c r="R89" s="371"/>
      <c r="U89" s="371"/>
      <c r="V89" s="371"/>
      <c r="W89" s="371"/>
      <c r="X89" s="371"/>
      <c r="AO89" s="369"/>
      <c r="AQ89" s="370"/>
      <c r="AS89" s="370"/>
      <c r="AU89" s="530"/>
      <c r="AV89" s="369"/>
      <c r="AW89" s="370"/>
    </row>
    <row r="90" customFormat="false" ht="12.75" hidden="false" customHeight="false" outlineLevel="0" collapsed="false">
      <c r="A90" s="500"/>
      <c r="B90" s="500"/>
      <c r="L90" s="501"/>
      <c r="P90" s="371"/>
      <c r="Q90" s="371"/>
      <c r="R90" s="371"/>
      <c r="U90" s="371"/>
      <c r="V90" s="371"/>
      <c r="W90" s="371"/>
      <c r="X90" s="371"/>
      <c r="AO90" s="369"/>
      <c r="AQ90" s="370"/>
      <c r="AS90" s="370"/>
      <c r="AU90" s="530"/>
      <c r="AV90" s="369"/>
      <c r="AW90" s="370"/>
    </row>
    <row r="91" customFormat="false" ht="12.75" hidden="false" customHeight="false" outlineLevel="0" collapsed="false">
      <c r="A91" s="500"/>
      <c r="B91" s="500"/>
      <c r="L91" s="501"/>
      <c r="P91" s="371"/>
      <c r="Q91" s="371"/>
      <c r="R91" s="371"/>
      <c r="U91" s="371"/>
      <c r="V91" s="371"/>
      <c r="W91" s="371"/>
      <c r="X91" s="371"/>
      <c r="AO91" s="369"/>
      <c r="AQ91" s="370"/>
      <c r="AS91" s="370"/>
      <c r="AU91" s="530"/>
      <c r="AV91" s="369"/>
      <c r="AW91" s="370"/>
    </row>
    <row r="92" customFormat="false" ht="12.75" hidden="false" customHeight="false" outlineLevel="0" collapsed="false">
      <c r="A92" s="500"/>
      <c r="B92" s="500"/>
      <c r="L92" s="501"/>
      <c r="P92" s="371"/>
      <c r="Q92" s="371"/>
      <c r="R92" s="371"/>
      <c r="U92" s="371"/>
      <c r="V92" s="371"/>
      <c r="W92" s="371"/>
      <c r="X92" s="371"/>
      <c r="AO92" s="369"/>
      <c r="AQ92" s="370"/>
      <c r="AS92" s="370"/>
      <c r="AU92" s="530"/>
      <c r="AV92" s="369"/>
      <c r="AW92" s="370"/>
    </row>
    <row r="93" customFormat="false" ht="12.75" hidden="false" customHeight="false" outlineLevel="0" collapsed="false">
      <c r="A93" s="500"/>
      <c r="B93" s="500"/>
      <c r="L93" s="501"/>
      <c r="P93" s="371"/>
      <c r="Q93" s="371"/>
      <c r="R93" s="371"/>
      <c r="U93" s="371"/>
      <c r="V93" s="371"/>
      <c r="W93" s="371"/>
      <c r="X93" s="371"/>
      <c r="AO93" s="369"/>
      <c r="AQ93" s="370"/>
      <c r="AS93" s="370"/>
      <c r="AU93" s="530"/>
      <c r="AV93" s="369"/>
      <c r="AW93" s="370"/>
    </row>
    <row r="94" customFormat="false" ht="12.75" hidden="false" customHeight="false" outlineLevel="0" collapsed="false">
      <c r="A94" s="500"/>
      <c r="B94" s="500"/>
      <c r="L94" s="501"/>
      <c r="P94" s="371"/>
      <c r="Q94" s="371"/>
      <c r="R94" s="371"/>
      <c r="U94" s="371"/>
      <c r="V94" s="371"/>
      <c r="W94" s="371"/>
      <c r="X94" s="371"/>
      <c r="AO94" s="369"/>
      <c r="AQ94" s="370"/>
      <c r="AS94" s="370"/>
      <c r="AU94" s="530"/>
      <c r="AV94" s="369"/>
      <c r="AW94" s="370"/>
    </row>
    <row r="95" customFormat="false" ht="12.75" hidden="false" customHeight="false" outlineLevel="0" collapsed="false">
      <c r="A95" s="500"/>
      <c r="B95" s="500"/>
      <c r="L95" s="501"/>
      <c r="P95" s="371"/>
      <c r="Q95" s="371"/>
      <c r="R95" s="371"/>
      <c r="U95" s="371"/>
      <c r="V95" s="371"/>
      <c r="W95" s="371"/>
      <c r="X95" s="371"/>
      <c r="AO95" s="369"/>
      <c r="AQ95" s="370"/>
      <c r="AS95" s="370"/>
      <c r="AU95" s="530"/>
      <c r="AV95" s="369"/>
      <c r="AW95" s="370"/>
    </row>
    <row r="96" customFormat="false" ht="12.75" hidden="false" customHeight="false" outlineLevel="0" collapsed="false">
      <c r="A96" s="500"/>
      <c r="B96" s="500"/>
      <c r="L96" s="501"/>
      <c r="P96" s="371"/>
      <c r="Q96" s="371"/>
      <c r="R96" s="371"/>
      <c r="U96" s="371"/>
      <c r="V96" s="371"/>
      <c r="W96" s="371"/>
      <c r="X96" s="371"/>
      <c r="AO96" s="369"/>
      <c r="AQ96" s="370"/>
      <c r="AS96" s="370"/>
      <c r="AU96" s="530"/>
      <c r="AV96" s="369"/>
      <c r="AW96" s="370"/>
    </row>
    <row r="97" customFormat="false" ht="12.75" hidden="false" customHeight="false" outlineLevel="0" collapsed="false">
      <c r="A97" s="500"/>
      <c r="B97" s="500"/>
      <c r="L97" s="501"/>
      <c r="P97" s="371"/>
      <c r="Q97" s="371"/>
      <c r="R97" s="371"/>
      <c r="U97" s="371"/>
      <c r="V97" s="371"/>
      <c r="W97" s="371"/>
      <c r="X97" s="371"/>
      <c r="AO97" s="369"/>
      <c r="AQ97" s="370"/>
      <c r="AS97" s="370"/>
      <c r="AU97" s="530"/>
      <c r="AV97" s="369"/>
      <c r="AW97" s="370"/>
    </row>
    <row r="98" customFormat="false" ht="12.75" hidden="false" customHeight="false" outlineLevel="0" collapsed="false">
      <c r="A98" s="500"/>
      <c r="B98" s="500"/>
      <c r="L98" s="501"/>
      <c r="P98" s="371"/>
      <c r="Q98" s="371"/>
      <c r="R98" s="371"/>
      <c r="U98" s="371"/>
      <c r="V98" s="371"/>
      <c r="W98" s="371"/>
      <c r="X98" s="371"/>
      <c r="AO98" s="369"/>
      <c r="AQ98" s="370"/>
      <c r="AS98" s="370"/>
      <c r="AU98" s="530"/>
      <c r="AV98" s="369"/>
      <c r="AW98" s="370"/>
    </row>
    <row r="99" customFormat="false" ht="12.75" hidden="false" customHeight="false" outlineLevel="0" collapsed="false">
      <c r="A99" s="500"/>
      <c r="B99" s="500"/>
      <c r="L99" s="501"/>
      <c r="P99" s="371"/>
      <c r="Q99" s="371"/>
      <c r="R99" s="371"/>
      <c r="U99" s="371"/>
      <c r="V99" s="371"/>
      <c r="W99" s="371"/>
      <c r="X99" s="371"/>
      <c r="AO99" s="369"/>
      <c r="AQ99" s="370"/>
      <c r="AS99" s="370"/>
      <c r="AU99" s="530"/>
      <c r="AV99" s="369"/>
      <c r="AW99" s="370"/>
    </row>
    <row r="100" customFormat="false" ht="12.75" hidden="false" customHeight="false" outlineLevel="0" collapsed="false">
      <c r="A100" s="500"/>
      <c r="B100" s="500"/>
      <c r="L100" s="501"/>
      <c r="P100" s="371"/>
      <c r="Q100" s="371"/>
      <c r="R100" s="371"/>
      <c r="U100" s="371"/>
      <c r="V100" s="371"/>
      <c r="W100" s="371"/>
      <c r="X100" s="371"/>
      <c r="AO100" s="369"/>
      <c r="AQ100" s="370"/>
      <c r="AS100" s="370"/>
      <c r="AU100" s="530"/>
      <c r="AV100" s="369"/>
      <c r="AW100" s="370"/>
    </row>
    <row r="101" customFormat="false" ht="12.75" hidden="false" customHeight="false" outlineLevel="0" collapsed="false">
      <c r="A101" s="500"/>
      <c r="B101" s="500"/>
      <c r="L101" s="501"/>
      <c r="P101" s="371"/>
      <c r="Q101" s="371"/>
      <c r="R101" s="371"/>
      <c r="U101" s="371"/>
      <c r="V101" s="371"/>
      <c r="W101" s="371"/>
      <c r="X101" s="371"/>
      <c r="AO101" s="369"/>
      <c r="AQ101" s="370"/>
      <c r="AS101" s="370"/>
      <c r="AU101" s="530"/>
      <c r="AV101" s="369"/>
      <c r="AW101" s="370"/>
    </row>
    <row r="102" customFormat="false" ht="12.75" hidden="false" customHeight="false" outlineLevel="0" collapsed="false">
      <c r="A102" s="500"/>
      <c r="B102" s="500"/>
      <c r="L102" s="501"/>
      <c r="P102" s="371"/>
      <c r="Q102" s="371"/>
      <c r="R102" s="371"/>
      <c r="U102" s="371"/>
      <c r="V102" s="371"/>
      <c r="W102" s="371"/>
      <c r="X102" s="371"/>
      <c r="AO102" s="369"/>
      <c r="AQ102" s="370"/>
      <c r="AS102" s="370"/>
      <c r="AU102" s="530"/>
      <c r="AV102" s="369"/>
      <c r="AW102" s="370"/>
    </row>
    <row r="103" customFormat="false" ht="12.75" hidden="false" customHeight="false" outlineLevel="0" collapsed="false">
      <c r="A103" s="500"/>
      <c r="B103" s="500"/>
      <c r="L103" s="501"/>
      <c r="P103" s="371"/>
      <c r="Q103" s="371"/>
      <c r="R103" s="371"/>
      <c r="U103" s="371"/>
      <c r="V103" s="371"/>
      <c r="W103" s="371"/>
      <c r="X103" s="371"/>
      <c r="AO103" s="369"/>
      <c r="AQ103" s="370"/>
      <c r="AS103" s="370"/>
      <c r="AU103" s="530"/>
      <c r="AV103" s="369"/>
      <c r="AW103" s="370"/>
    </row>
    <row r="104" customFormat="false" ht="12.75" hidden="false" customHeight="false" outlineLevel="0" collapsed="false">
      <c r="A104" s="500"/>
      <c r="B104" s="500"/>
      <c r="L104" s="501"/>
      <c r="P104" s="371"/>
      <c r="Q104" s="371"/>
      <c r="R104" s="371"/>
      <c r="U104" s="371"/>
      <c r="V104" s="371"/>
      <c r="W104" s="371"/>
      <c r="X104" s="371"/>
      <c r="AO104" s="369"/>
      <c r="AQ104" s="370"/>
      <c r="AS104" s="370"/>
      <c r="AU104" s="530"/>
      <c r="AV104" s="369"/>
      <c r="AW104" s="370"/>
    </row>
    <row r="105" customFormat="false" ht="12.75" hidden="false" customHeight="false" outlineLevel="0" collapsed="false">
      <c r="A105" s="500"/>
      <c r="B105" s="500"/>
      <c r="L105" s="501"/>
      <c r="P105" s="371"/>
      <c r="Q105" s="371"/>
      <c r="R105" s="371"/>
      <c r="U105" s="371"/>
      <c r="V105" s="371"/>
      <c r="W105" s="371"/>
      <c r="X105" s="371"/>
      <c r="AO105" s="369"/>
      <c r="AQ105" s="370"/>
      <c r="AS105" s="370"/>
      <c r="AU105" s="530"/>
      <c r="AV105" s="369"/>
      <c r="AW105" s="370"/>
    </row>
    <row r="106" customFormat="false" ht="12.75" hidden="false" customHeight="false" outlineLevel="0" collapsed="false">
      <c r="A106" s="500"/>
      <c r="B106" s="500"/>
      <c r="L106" s="501"/>
      <c r="P106" s="371"/>
      <c r="Q106" s="371"/>
      <c r="R106" s="371"/>
      <c r="U106" s="371"/>
      <c r="V106" s="371"/>
      <c r="W106" s="371"/>
      <c r="X106" s="371"/>
      <c r="AO106" s="369"/>
      <c r="AQ106" s="370"/>
      <c r="AS106" s="370"/>
      <c r="AU106" s="530"/>
      <c r="AV106" s="369"/>
      <c r="AW106" s="370"/>
    </row>
    <row r="107" customFormat="false" ht="12.75" hidden="false" customHeight="false" outlineLevel="0" collapsed="false">
      <c r="A107" s="500"/>
      <c r="B107" s="500"/>
      <c r="L107" s="501"/>
      <c r="P107" s="371"/>
      <c r="Q107" s="371"/>
      <c r="R107" s="371"/>
      <c r="U107" s="371"/>
      <c r="V107" s="371"/>
      <c r="W107" s="371"/>
      <c r="X107" s="371"/>
      <c r="AO107" s="369"/>
      <c r="AQ107" s="370"/>
      <c r="AS107" s="370"/>
      <c r="AU107" s="530"/>
      <c r="AV107" s="369"/>
      <c r="AW107" s="370"/>
    </row>
    <row r="108" customFormat="false" ht="12.75" hidden="false" customHeight="false" outlineLevel="0" collapsed="false">
      <c r="A108" s="500"/>
      <c r="B108" s="500"/>
      <c r="L108" s="501"/>
      <c r="P108" s="371"/>
      <c r="Q108" s="371"/>
      <c r="R108" s="371"/>
      <c r="U108" s="371"/>
      <c r="V108" s="371"/>
      <c r="W108" s="371"/>
      <c r="X108" s="371"/>
      <c r="AO108" s="369"/>
      <c r="AQ108" s="370"/>
      <c r="AS108" s="370"/>
      <c r="AU108" s="530"/>
      <c r="AV108" s="369"/>
      <c r="AW108" s="370"/>
    </row>
    <row r="109" customFormat="false" ht="12.75" hidden="false" customHeight="false" outlineLevel="0" collapsed="false">
      <c r="A109" s="500"/>
      <c r="B109" s="500"/>
      <c r="L109" s="501"/>
      <c r="P109" s="371"/>
      <c r="Q109" s="371"/>
      <c r="R109" s="371"/>
      <c r="U109" s="371"/>
      <c r="V109" s="371"/>
      <c r="W109" s="371"/>
      <c r="X109" s="371"/>
      <c r="AO109" s="369"/>
      <c r="AQ109" s="370"/>
      <c r="AS109" s="370"/>
      <c r="AU109" s="530"/>
      <c r="AV109" s="369"/>
      <c r="AW109" s="370"/>
    </row>
    <row r="110" customFormat="false" ht="12.75" hidden="false" customHeight="false" outlineLevel="0" collapsed="false">
      <c r="A110" s="500"/>
      <c r="B110" s="500"/>
      <c r="L110" s="501"/>
      <c r="P110" s="371"/>
      <c r="Q110" s="371"/>
      <c r="R110" s="371"/>
      <c r="U110" s="371"/>
      <c r="V110" s="371"/>
      <c r="W110" s="371"/>
      <c r="X110" s="371"/>
      <c r="AO110" s="369"/>
      <c r="AQ110" s="370"/>
      <c r="AS110" s="370"/>
      <c r="AU110" s="530"/>
      <c r="AV110" s="369"/>
      <c r="AW110" s="370"/>
    </row>
    <row r="111" customFormat="false" ht="12.75" hidden="false" customHeight="false" outlineLevel="0" collapsed="false">
      <c r="A111" s="500"/>
      <c r="B111" s="500"/>
      <c r="L111" s="501"/>
      <c r="P111" s="371"/>
      <c r="Q111" s="371"/>
      <c r="R111" s="371"/>
      <c r="U111" s="371"/>
      <c r="V111" s="371"/>
      <c r="W111" s="371"/>
      <c r="X111" s="371"/>
      <c r="AO111" s="369"/>
      <c r="AQ111" s="370"/>
      <c r="AS111" s="370"/>
      <c r="AU111" s="530"/>
      <c r="AV111" s="369"/>
      <c r="AW111" s="370"/>
    </row>
    <row r="112" customFormat="false" ht="12.75" hidden="false" customHeight="false" outlineLevel="0" collapsed="false">
      <c r="A112" s="500"/>
      <c r="B112" s="500"/>
      <c r="L112" s="501"/>
      <c r="P112" s="371"/>
      <c r="Q112" s="371"/>
      <c r="R112" s="371"/>
      <c r="U112" s="371"/>
      <c r="V112" s="371"/>
      <c r="W112" s="371"/>
      <c r="X112" s="371"/>
      <c r="AO112" s="369"/>
      <c r="AQ112" s="370"/>
      <c r="AS112" s="370"/>
      <c r="AU112" s="530"/>
      <c r="AV112" s="369"/>
      <c r="AW112" s="370"/>
    </row>
    <row r="113" customFormat="false" ht="12.75" hidden="false" customHeight="false" outlineLevel="0" collapsed="false">
      <c r="A113" s="500"/>
      <c r="B113" s="500"/>
      <c r="L113" s="501"/>
      <c r="P113" s="371"/>
      <c r="Q113" s="371"/>
      <c r="R113" s="371"/>
      <c r="U113" s="371"/>
      <c r="V113" s="371"/>
      <c r="W113" s="371"/>
      <c r="X113" s="371"/>
    </row>
    <row r="114" customFormat="false" ht="12.75" hidden="false" customHeight="false" outlineLevel="0" collapsed="false">
      <c r="A114" s="500"/>
      <c r="B114" s="500"/>
      <c r="L114" s="501"/>
      <c r="P114" s="371"/>
      <c r="Q114" s="371"/>
      <c r="R114" s="371"/>
      <c r="U114" s="371"/>
      <c r="V114" s="371"/>
      <c r="W114" s="371"/>
      <c r="X114" s="371"/>
    </row>
    <row r="115" customFormat="false" ht="12.75" hidden="false" customHeight="false" outlineLevel="0" collapsed="false">
      <c r="A115" s="500"/>
      <c r="B115" s="500"/>
      <c r="L115" s="501"/>
      <c r="P115" s="371"/>
      <c r="Q115" s="371"/>
      <c r="R115" s="371"/>
      <c r="U115" s="371"/>
      <c r="V115" s="371"/>
      <c r="W115" s="371"/>
      <c r="X115" s="371"/>
    </row>
    <row r="116" customFormat="false" ht="12.75" hidden="false" customHeight="false" outlineLevel="0" collapsed="false">
      <c r="A116" s="500"/>
      <c r="B116" s="500"/>
      <c r="L116" s="501"/>
      <c r="P116" s="371"/>
      <c r="Q116" s="371"/>
      <c r="R116" s="371"/>
      <c r="U116" s="371"/>
      <c r="V116" s="371"/>
      <c r="W116" s="371"/>
      <c r="X116" s="371"/>
    </row>
    <row r="117" customFormat="false" ht="12.75" hidden="false" customHeight="false" outlineLevel="0" collapsed="false">
      <c r="A117" s="500"/>
      <c r="B117" s="500"/>
      <c r="L117" s="501"/>
      <c r="P117" s="371"/>
      <c r="Q117" s="371"/>
      <c r="R117" s="371"/>
      <c r="U117" s="371"/>
      <c r="V117" s="371"/>
      <c r="W117" s="371"/>
      <c r="X117" s="371"/>
    </row>
    <row r="118" customFormat="false" ht="12.75" hidden="false" customHeight="false" outlineLevel="0" collapsed="false">
      <c r="A118" s="500"/>
      <c r="B118" s="500"/>
      <c r="L118" s="501"/>
      <c r="P118" s="371"/>
      <c r="Q118" s="371"/>
      <c r="R118" s="371"/>
      <c r="U118" s="371"/>
      <c r="V118" s="371"/>
      <c r="W118" s="371"/>
      <c r="X118" s="371"/>
    </row>
    <row r="119" customFormat="false" ht="12.75" hidden="false" customHeight="false" outlineLevel="0" collapsed="false">
      <c r="A119" s="500"/>
      <c r="B119" s="500"/>
      <c r="L119" s="501"/>
      <c r="P119" s="371"/>
      <c r="Q119" s="371"/>
      <c r="R119" s="371"/>
      <c r="U119" s="371"/>
      <c r="V119" s="371"/>
      <c r="W119" s="371"/>
      <c r="X119" s="371"/>
    </row>
    <row r="120" customFormat="false" ht="12.75" hidden="false" customHeight="false" outlineLevel="0" collapsed="false">
      <c r="A120" s="500"/>
      <c r="B120" s="500"/>
      <c r="L120" s="501"/>
      <c r="P120" s="371"/>
      <c r="Q120" s="371"/>
      <c r="R120" s="371"/>
      <c r="U120" s="371"/>
      <c r="V120" s="371"/>
      <c r="W120" s="371"/>
      <c r="X120" s="371"/>
    </row>
    <row r="121" customFormat="false" ht="12.75" hidden="false" customHeight="false" outlineLevel="0" collapsed="false">
      <c r="A121" s="500"/>
      <c r="B121" s="500"/>
      <c r="P121" s="371"/>
      <c r="Q121" s="371"/>
      <c r="R121" s="371"/>
      <c r="U121" s="371"/>
      <c r="V121" s="371"/>
      <c r="W121" s="371"/>
      <c r="X121" s="371"/>
    </row>
    <row r="122" customFormat="false" ht="12.75" hidden="false" customHeight="false" outlineLevel="0" collapsed="false">
      <c r="A122" s="500"/>
      <c r="B122" s="500"/>
      <c r="P122" s="371"/>
      <c r="Q122" s="371"/>
      <c r="R122" s="371"/>
      <c r="U122" s="371"/>
      <c r="V122" s="371"/>
      <c r="W122" s="371"/>
      <c r="X122" s="371"/>
    </row>
    <row r="123" customFormat="false" ht="12.75" hidden="false" customHeight="false" outlineLevel="0" collapsed="false">
      <c r="A123" s="500"/>
      <c r="B123" s="500"/>
      <c r="P123" s="371"/>
      <c r="Q123" s="371"/>
      <c r="R123" s="371"/>
      <c r="U123" s="371"/>
      <c r="V123" s="371"/>
      <c r="W123" s="371"/>
      <c r="X123" s="371"/>
    </row>
    <row r="124" customFormat="false" ht="12.75" hidden="false" customHeight="false" outlineLevel="0" collapsed="false">
      <c r="A124" s="500"/>
      <c r="B124" s="500"/>
      <c r="P124" s="371"/>
      <c r="Q124" s="371"/>
      <c r="R124" s="371"/>
      <c r="U124" s="371"/>
      <c r="V124" s="371"/>
      <c r="W124" s="371"/>
      <c r="X124" s="371"/>
    </row>
    <row r="125" customFormat="false" ht="12.75" hidden="false" customHeight="false" outlineLevel="0" collapsed="false">
      <c r="A125" s="500"/>
      <c r="B125" s="500"/>
      <c r="P125" s="371"/>
      <c r="Q125" s="371"/>
      <c r="R125" s="371"/>
      <c r="U125" s="371"/>
      <c r="V125" s="371"/>
      <c r="W125" s="371"/>
      <c r="X125" s="371"/>
    </row>
    <row r="126" customFormat="false" ht="12.75" hidden="false" customHeight="false" outlineLevel="0" collapsed="false">
      <c r="A126" s="500"/>
      <c r="B126" s="500"/>
      <c r="P126" s="371"/>
      <c r="Q126" s="371"/>
      <c r="R126" s="371"/>
      <c r="U126" s="371"/>
      <c r="V126" s="371"/>
      <c r="W126" s="371"/>
      <c r="X126" s="371"/>
    </row>
    <row r="127" customFormat="false" ht="12.75" hidden="false" customHeight="false" outlineLevel="0" collapsed="false">
      <c r="A127" s="500"/>
      <c r="B127" s="500"/>
      <c r="P127" s="371"/>
      <c r="Q127" s="371"/>
      <c r="R127" s="371"/>
      <c r="U127" s="371"/>
      <c r="V127" s="371"/>
      <c r="W127" s="371"/>
      <c r="X127" s="371"/>
    </row>
    <row r="128" customFormat="false" ht="12.75" hidden="false" customHeight="false" outlineLevel="0" collapsed="false">
      <c r="A128" s="500"/>
      <c r="B128" s="500"/>
      <c r="P128" s="371"/>
      <c r="Q128" s="371"/>
      <c r="R128" s="371"/>
      <c r="U128" s="371"/>
      <c r="V128" s="371"/>
      <c r="W128" s="371"/>
      <c r="X128" s="371"/>
    </row>
    <row r="129" customFormat="false" ht="12.75" hidden="false" customHeight="false" outlineLevel="0" collapsed="false">
      <c r="A129" s="500"/>
      <c r="B129" s="500"/>
      <c r="P129" s="371"/>
      <c r="Q129" s="371"/>
      <c r="R129" s="371"/>
      <c r="U129" s="371"/>
      <c r="V129" s="371"/>
      <c r="W129" s="371"/>
      <c r="X129" s="371"/>
    </row>
    <row r="130" customFormat="false" ht="12.75" hidden="false" customHeight="false" outlineLevel="0" collapsed="false">
      <c r="P130" s="371"/>
      <c r="Q130" s="371"/>
      <c r="R130" s="371"/>
      <c r="U130" s="371"/>
      <c r="V130" s="371"/>
      <c r="W130" s="371"/>
      <c r="X130" s="371"/>
    </row>
    <row r="131" customFormat="false" ht="12.75" hidden="false" customHeight="false" outlineLevel="0" collapsed="false">
      <c r="P131" s="371"/>
      <c r="Q131" s="371"/>
      <c r="R131" s="371"/>
      <c r="U131" s="371"/>
      <c r="V131" s="371"/>
      <c r="W131" s="371"/>
      <c r="X131" s="371"/>
    </row>
    <row r="132" customFormat="false" ht="12.75" hidden="false" customHeight="false" outlineLevel="0" collapsed="false">
      <c r="P132" s="371"/>
      <c r="Q132" s="371"/>
      <c r="R132" s="371"/>
      <c r="U132" s="371"/>
      <c r="V132" s="371"/>
      <c r="W132" s="371"/>
      <c r="X132" s="371"/>
    </row>
    <row r="133" customFormat="false" ht="12.75" hidden="false" customHeight="false" outlineLevel="0" collapsed="false">
      <c r="P133" s="371"/>
      <c r="Q133" s="371"/>
      <c r="R133" s="371"/>
      <c r="U133" s="371"/>
      <c r="V133" s="371"/>
      <c r="W133" s="371"/>
      <c r="X133" s="371"/>
    </row>
    <row r="134" customFormat="false" ht="12.75" hidden="false" customHeight="false" outlineLevel="0" collapsed="false">
      <c r="P134" s="371"/>
      <c r="Q134" s="371"/>
      <c r="R134" s="371"/>
      <c r="U134" s="371"/>
      <c r="V134" s="371"/>
      <c r="W134" s="371"/>
      <c r="X134" s="371"/>
    </row>
    <row r="135" customFormat="false" ht="12.75" hidden="false" customHeight="false" outlineLevel="0" collapsed="false">
      <c r="P135" s="371"/>
      <c r="Q135" s="371"/>
      <c r="R135" s="371"/>
      <c r="U135" s="371"/>
      <c r="V135" s="371"/>
      <c r="W135" s="371"/>
      <c r="X135" s="371"/>
    </row>
    <row r="136" customFormat="false" ht="12.75" hidden="false" customHeight="false" outlineLevel="0" collapsed="false">
      <c r="P136" s="371"/>
      <c r="Q136" s="371"/>
      <c r="R136" s="371"/>
      <c r="U136" s="371"/>
      <c r="V136" s="371"/>
      <c r="W136" s="371"/>
      <c r="X136" s="371"/>
    </row>
    <row r="137" customFormat="false" ht="12.75" hidden="false" customHeight="false" outlineLevel="0" collapsed="false">
      <c r="P137" s="371"/>
      <c r="Q137" s="371"/>
      <c r="R137" s="371"/>
      <c r="U137" s="371"/>
      <c r="V137" s="371"/>
      <c r="W137" s="371"/>
      <c r="X137" s="371"/>
    </row>
    <row r="138" customFormat="false" ht="12.75" hidden="false" customHeight="false" outlineLevel="0" collapsed="false">
      <c r="P138" s="371"/>
      <c r="Q138" s="371"/>
      <c r="R138" s="371"/>
      <c r="U138" s="371"/>
      <c r="V138" s="371"/>
      <c r="W138" s="371"/>
      <c r="X138" s="371"/>
    </row>
    <row r="139" customFormat="false" ht="12.75" hidden="false" customHeight="false" outlineLevel="0" collapsed="false">
      <c r="P139" s="371"/>
      <c r="Q139" s="371"/>
      <c r="R139" s="371"/>
      <c r="U139" s="371"/>
      <c r="V139" s="371"/>
      <c r="W139" s="371"/>
      <c r="X139" s="371"/>
    </row>
    <row r="140" customFormat="false" ht="12.75" hidden="false" customHeight="false" outlineLevel="0" collapsed="false">
      <c r="P140" s="371"/>
      <c r="Q140" s="371"/>
      <c r="R140" s="371"/>
      <c r="U140" s="371"/>
      <c r="V140" s="371"/>
      <c r="W140" s="371"/>
      <c r="X140" s="371"/>
    </row>
    <row r="141" customFormat="false" ht="12.75" hidden="false" customHeight="false" outlineLevel="0" collapsed="false">
      <c r="P141" s="371"/>
      <c r="Q141" s="371"/>
      <c r="R141" s="371"/>
      <c r="U141" s="371"/>
      <c r="V141" s="371"/>
      <c r="W141" s="371"/>
      <c r="X141" s="371"/>
    </row>
    <row r="142" customFormat="false" ht="12.75" hidden="false" customHeight="false" outlineLevel="0" collapsed="false">
      <c r="P142" s="371"/>
      <c r="Q142" s="371"/>
      <c r="R142" s="371"/>
      <c r="U142" s="371"/>
      <c r="V142" s="371"/>
      <c r="W142" s="371"/>
      <c r="X142" s="371"/>
    </row>
    <row r="143" customFormat="false" ht="12.75" hidden="false" customHeight="false" outlineLevel="0" collapsed="false">
      <c r="P143" s="371"/>
      <c r="Q143" s="371"/>
      <c r="R143" s="371"/>
      <c r="U143" s="371"/>
      <c r="V143" s="371"/>
      <c r="W143" s="371"/>
      <c r="X143" s="371"/>
    </row>
    <row r="144" customFormat="false" ht="12.75" hidden="false" customHeight="false" outlineLevel="0" collapsed="false">
      <c r="P144" s="371"/>
      <c r="Q144" s="371"/>
      <c r="R144" s="371"/>
      <c r="U144" s="371"/>
      <c r="V144" s="371"/>
      <c r="W144" s="371"/>
      <c r="X144" s="371"/>
    </row>
    <row r="145" customFormat="false" ht="12.75" hidden="false" customHeight="false" outlineLevel="0" collapsed="false">
      <c r="P145" s="371"/>
      <c r="Q145" s="371"/>
      <c r="R145" s="371"/>
      <c r="U145" s="371"/>
      <c r="V145" s="371"/>
      <c r="W145" s="371"/>
      <c r="X145" s="371"/>
    </row>
    <row r="146" customFormat="false" ht="12.75" hidden="false" customHeight="false" outlineLevel="0" collapsed="false">
      <c r="P146" s="371"/>
      <c r="Q146" s="371"/>
      <c r="R146" s="371"/>
      <c r="U146" s="371"/>
      <c r="V146" s="371"/>
      <c r="W146" s="371"/>
      <c r="X146" s="371"/>
    </row>
    <row r="147" customFormat="false" ht="12.75" hidden="false" customHeight="false" outlineLevel="0" collapsed="false">
      <c r="P147" s="371"/>
      <c r="Q147" s="371"/>
      <c r="R147" s="371"/>
      <c r="U147" s="371"/>
      <c r="V147" s="371"/>
      <c r="W147" s="371"/>
      <c r="X147" s="371"/>
    </row>
    <row r="148" customFormat="false" ht="12.75" hidden="false" customHeight="false" outlineLevel="0" collapsed="false">
      <c r="P148" s="371"/>
      <c r="Q148" s="371"/>
      <c r="R148" s="371"/>
      <c r="U148" s="371"/>
      <c r="V148" s="371"/>
      <c r="W148" s="371"/>
      <c r="X148" s="371"/>
    </row>
    <row r="149" customFormat="false" ht="12.75" hidden="false" customHeight="false" outlineLevel="0" collapsed="false">
      <c r="P149" s="371"/>
      <c r="Q149" s="371"/>
      <c r="R149" s="371"/>
      <c r="U149" s="371"/>
      <c r="V149" s="371"/>
      <c r="W149" s="371"/>
      <c r="X149" s="371"/>
    </row>
    <row r="150" customFormat="false" ht="12.75" hidden="false" customHeight="false" outlineLevel="0" collapsed="false">
      <c r="P150" s="371"/>
      <c r="Q150" s="371"/>
      <c r="R150" s="371"/>
      <c r="U150" s="371"/>
      <c r="V150" s="371"/>
      <c r="W150" s="371"/>
      <c r="X150" s="371"/>
    </row>
    <row r="151" customFormat="false" ht="12.75" hidden="false" customHeight="false" outlineLevel="0" collapsed="false">
      <c r="P151" s="371"/>
      <c r="Q151" s="371"/>
      <c r="R151" s="371"/>
      <c r="U151" s="371"/>
      <c r="V151" s="371"/>
      <c r="W151" s="371"/>
      <c r="X151" s="371"/>
    </row>
    <row r="152" customFormat="false" ht="12.75" hidden="false" customHeight="false" outlineLevel="0" collapsed="false">
      <c r="P152" s="371"/>
      <c r="Q152" s="371"/>
      <c r="R152" s="371"/>
      <c r="U152" s="371"/>
      <c r="V152" s="371"/>
      <c r="W152" s="371"/>
      <c r="X152" s="371"/>
    </row>
    <row r="153" customFormat="false" ht="12.75" hidden="false" customHeight="false" outlineLevel="0" collapsed="false">
      <c r="P153" s="371"/>
      <c r="Q153" s="371"/>
      <c r="R153" s="371"/>
      <c r="U153" s="371"/>
      <c r="V153" s="371"/>
      <c r="W153" s="371"/>
      <c r="X153" s="371"/>
    </row>
    <row r="154" customFormat="false" ht="12.75" hidden="false" customHeight="false" outlineLevel="0" collapsed="false">
      <c r="P154" s="371"/>
      <c r="Q154" s="371"/>
      <c r="R154" s="371"/>
      <c r="U154" s="371"/>
      <c r="V154" s="371"/>
      <c r="W154" s="371"/>
      <c r="X154" s="371"/>
    </row>
    <row r="155" customFormat="false" ht="12.75" hidden="false" customHeight="false" outlineLevel="0" collapsed="false">
      <c r="P155" s="371"/>
      <c r="Q155" s="371"/>
      <c r="R155" s="371"/>
      <c r="U155" s="371"/>
      <c r="V155" s="371"/>
      <c r="W155" s="371"/>
      <c r="X155" s="371"/>
    </row>
    <row r="156" customFormat="false" ht="12.75" hidden="false" customHeight="false" outlineLevel="0" collapsed="false">
      <c r="P156" s="371"/>
      <c r="Q156" s="371"/>
      <c r="R156" s="371"/>
      <c r="U156" s="371"/>
      <c r="V156" s="371"/>
      <c r="W156" s="371"/>
      <c r="X156" s="371"/>
    </row>
    <row r="157" customFormat="false" ht="12.75" hidden="false" customHeight="false" outlineLevel="0" collapsed="false">
      <c r="P157" s="371"/>
      <c r="Q157" s="371"/>
      <c r="R157" s="371"/>
      <c r="U157" s="371"/>
      <c r="V157" s="371"/>
      <c r="W157" s="371"/>
      <c r="X157" s="371"/>
    </row>
    <row r="158" customFormat="false" ht="12.75" hidden="false" customHeight="false" outlineLevel="0" collapsed="false">
      <c r="P158" s="371"/>
      <c r="Q158" s="371"/>
      <c r="R158" s="371"/>
      <c r="U158" s="371"/>
      <c r="V158" s="371"/>
      <c r="W158" s="371"/>
      <c r="X158" s="371"/>
    </row>
    <row r="159" customFormat="false" ht="12.75" hidden="false" customHeight="false" outlineLevel="0" collapsed="false">
      <c r="P159" s="371"/>
      <c r="Q159" s="371"/>
      <c r="R159" s="371"/>
      <c r="U159" s="371"/>
      <c r="V159" s="371"/>
      <c r="W159" s="371"/>
      <c r="X159" s="371"/>
    </row>
    <row r="160" customFormat="false" ht="12.75" hidden="false" customHeight="false" outlineLevel="0" collapsed="false">
      <c r="P160" s="371"/>
      <c r="Q160" s="371"/>
      <c r="R160" s="371"/>
      <c r="U160" s="371"/>
      <c r="V160" s="371"/>
      <c r="W160" s="371"/>
      <c r="X160" s="371"/>
    </row>
    <row r="161" customFormat="false" ht="12.75" hidden="false" customHeight="false" outlineLevel="0" collapsed="false">
      <c r="P161" s="371"/>
      <c r="Q161" s="371"/>
      <c r="R161" s="371"/>
      <c r="U161" s="371"/>
      <c r="V161" s="371"/>
      <c r="W161" s="371"/>
      <c r="X161" s="371"/>
    </row>
    <row r="162" customFormat="false" ht="12.75" hidden="false" customHeight="false" outlineLevel="0" collapsed="false">
      <c r="P162" s="371"/>
      <c r="Q162" s="371"/>
      <c r="R162" s="371"/>
      <c r="U162" s="371"/>
      <c r="V162" s="371"/>
      <c r="W162" s="371"/>
      <c r="X162" s="371"/>
    </row>
    <row r="163" customFormat="false" ht="12.75" hidden="false" customHeight="false" outlineLevel="0" collapsed="false">
      <c r="P163" s="371"/>
      <c r="Q163" s="371"/>
      <c r="R163" s="371"/>
      <c r="U163" s="371"/>
      <c r="V163" s="371"/>
      <c r="W163" s="371"/>
      <c r="X163" s="371"/>
    </row>
    <row r="164" customFormat="false" ht="12.75" hidden="false" customHeight="false" outlineLevel="0" collapsed="false">
      <c r="P164" s="371"/>
      <c r="Q164" s="371"/>
      <c r="R164" s="371"/>
      <c r="U164" s="371"/>
      <c r="V164" s="371"/>
      <c r="W164" s="371"/>
      <c r="X164" s="371"/>
    </row>
    <row r="165" customFormat="false" ht="12.75" hidden="false" customHeight="false" outlineLevel="0" collapsed="false">
      <c r="P165" s="371"/>
      <c r="Q165" s="371"/>
      <c r="R165" s="371"/>
      <c r="U165" s="371"/>
      <c r="V165" s="371"/>
      <c r="W165" s="371"/>
      <c r="X165" s="371"/>
    </row>
    <row r="166" customFormat="false" ht="12.75" hidden="false" customHeight="false" outlineLevel="0" collapsed="false">
      <c r="P166" s="371"/>
      <c r="Q166" s="371"/>
      <c r="R166" s="371"/>
      <c r="U166" s="371"/>
      <c r="V166" s="371"/>
      <c r="W166" s="371"/>
      <c r="X166" s="371"/>
    </row>
    <row r="167" customFormat="false" ht="12.75" hidden="false" customHeight="false" outlineLevel="0" collapsed="false">
      <c r="P167" s="371"/>
      <c r="Q167" s="371"/>
      <c r="R167" s="371"/>
      <c r="U167" s="371"/>
      <c r="V167" s="371"/>
      <c r="W167" s="371"/>
      <c r="X167" s="371"/>
    </row>
    <row r="168" customFormat="false" ht="12.75" hidden="false" customHeight="false" outlineLevel="0" collapsed="false">
      <c r="P168" s="371"/>
      <c r="Q168" s="371"/>
      <c r="R168" s="371"/>
      <c r="U168" s="371"/>
      <c r="V168" s="371"/>
      <c r="W168" s="371"/>
      <c r="X168" s="371"/>
    </row>
    <row r="169" customFormat="false" ht="12.75" hidden="false" customHeight="false" outlineLevel="0" collapsed="false">
      <c r="P169" s="371"/>
      <c r="Q169" s="371"/>
      <c r="R169" s="371"/>
      <c r="U169" s="371"/>
      <c r="V169" s="371"/>
      <c r="W169" s="371"/>
      <c r="X169" s="371"/>
    </row>
    <row r="170" customFormat="false" ht="12.75" hidden="false" customHeight="false" outlineLevel="0" collapsed="false">
      <c r="P170" s="371"/>
      <c r="Q170" s="371"/>
      <c r="R170" s="371"/>
      <c r="U170" s="371"/>
      <c r="V170" s="371"/>
      <c r="W170" s="371"/>
      <c r="X170" s="371"/>
    </row>
    <row r="171" customFormat="false" ht="12.75" hidden="false" customHeight="false" outlineLevel="0" collapsed="false">
      <c r="P171" s="371"/>
      <c r="Q171" s="371"/>
      <c r="R171" s="371"/>
      <c r="U171" s="371"/>
      <c r="V171" s="371"/>
      <c r="W171" s="371"/>
      <c r="X171" s="371"/>
    </row>
    <row r="172" customFormat="false" ht="12.75" hidden="false" customHeight="false" outlineLevel="0" collapsed="false">
      <c r="P172" s="371"/>
      <c r="Q172" s="371"/>
      <c r="R172" s="371"/>
      <c r="U172" s="371"/>
      <c r="V172" s="371"/>
      <c r="W172" s="371"/>
      <c r="X172" s="371"/>
    </row>
    <row r="173" customFormat="false" ht="12.75" hidden="false" customHeight="false" outlineLevel="0" collapsed="false">
      <c r="P173" s="371"/>
      <c r="Q173" s="371"/>
      <c r="R173" s="371"/>
      <c r="U173" s="371"/>
      <c r="V173" s="371"/>
      <c r="W173" s="371"/>
      <c r="X173" s="371"/>
    </row>
    <row r="174" customFormat="false" ht="12.75" hidden="false" customHeight="false" outlineLevel="0" collapsed="false">
      <c r="P174" s="371"/>
      <c r="Q174" s="371"/>
      <c r="R174" s="371"/>
      <c r="U174" s="371"/>
      <c r="V174" s="371"/>
      <c r="W174" s="371"/>
      <c r="X174" s="371"/>
    </row>
    <row r="175" customFormat="false" ht="12.75" hidden="false" customHeight="false" outlineLevel="0" collapsed="false">
      <c r="P175" s="371"/>
      <c r="Q175" s="371"/>
      <c r="R175" s="371"/>
      <c r="U175" s="371"/>
      <c r="V175" s="371"/>
      <c r="W175" s="371"/>
      <c r="X175" s="371"/>
    </row>
    <row r="176" customFormat="false" ht="12.75" hidden="false" customHeight="false" outlineLevel="0" collapsed="false">
      <c r="P176" s="371"/>
      <c r="Q176" s="371"/>
      <c r="R176" s="371"/>
      <c r="U176" s="371"/>
      <c r="V176" s="371"/>
      <c r="W176" s="371"/>
      <c r="X176" s="371"/>
    </row>
    <row r="177" customFormat="false" ht="12.75" hidden="false" customHeight="false" outlineLevel="0" collapsed="false">
      <c r="P177" s="371"/>
      <c r="Q177" s="371"/>
      <c r="R177" s="371"/>
      <c r="U177" s="371"/>
      <c r="V177" s="371"/>
      <c r="W177" s="371"/>
      <c r="X177" s="371"/>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row r="404" customFormat="false" ht="12.75" hidden="false" customHeight="false" outlineLevel="0" collapsed="false">
      <c r="P404" s="371"/>
      <c r="Q404" s="371"/>
      <c r="R404" s="371"/>
      <c r="U404" s="371"/>
      <c r="V404" s="371"/>
      <c r="W404" s="371"/>
      <c r="X404" s="371"/>
    </row>
    <row r="405" customFormat="false" ht="12.75" hidden="false" customHeight="false" outlineLevel="0" collapsed="false">
      <c r="P405" s="371"/>
      <c r="Q405" s="371"/>
      <c r="R405" s="371"/>
      <c r="U405" s="371"/>
      <c r="V405" s="371"/>
      <c r="W405" s="371"/>
      <c r="X405" s="371"/>
    </row>
    <row r="406" customFormat="false" ht="12.75" hidden="false" customHeight="false" outlineLevel="0" collapsed="false">
      <c r="P406" s="371"/>
      <c r="Q406" s="371"/>
      <c r="R406" s="371"/>
      <c r="U406" s="371"/>
      <c r="V406" s="371"/>
      <c r="W406" s="371"/>
      <c r="X406" s="371"/>
    </row>
    <row r="407" customFormat="false" ht="12.75" hidden="false" customHeight="false" outlineLevel="0" collapsed="false">
      <c r="P407" s="371"/>
      <c r="Q407" s="371"/>
      <c r="R407" s="371"/>
      <c r="U407" s="371"/>
      <c r="V407" s="371"/>
      <c r="W407" s="371"/>
      <c r="X407" s="371"/>
    </row>
    <row r="408" customFormat="false" ht="12.75" hidden="false" customHeight="false" outlineLevel="0" collapsed="false">
      <c r="P408" s="371"/>
      <c r="Q408" s="371"/>
      <c r="R408" s="371"/>
      <c r="U408" s="371"/>
      <c r="V408" s="371"/>
      <c r="W408" s="371"/>
      <c r="X408" s="371"/>
    </row>
    <row r="409" customFormat="false" ht="12.75" hidden="false" customHeight="false" outlineLevel="0" collapsed="false">
      <c r="P409" s="371"/>
      <c r="Q409" s="371"/>
      <c r="R409" s="371"/>
      <c r="U409" s="371"/>
      <c r="V409" s="371"/>
      <c r="W409" s="371"/>
      <c r="X409" s="371"/>
    </row>
    <row r="410" customFormat="false" ht="12.75" hidden="false" customHeight="false" outlineLevel="0" collapsed="false">
      <c r="P410" s="371"/>
      <c r="Q410" s="371"/>
      <c r="R410" s="371"/>
      <c r="U410" s="371"/>
      <c r="V410" s="371"/>
      <c r="W410" s="371"/>
      <c r="X410" s="371"/>
    </row>
    <row r="411" customFormat="false" ht="12.75" hidden="false" customHeight="false" outlineLevel="0" collapsed="false">
      <c r="P411" s="371"/>
      <c r="Q411" s="371"/>
      <c r="R411" s="371"/>
      <c r="U411" s="371"/>
      <c r="V411" s="371"/>
      <c r="W411" s="371"/>
      <c r="X411" s="371"/>
    </row>
    <row r="412" customFormat="false" ht="12.75" hidden="false" customHeight="false" outlineLevel="0" collapsed="false">
      <c r="P412" s="371"/>
      <c r="Q412" s="371"/>
      <c r="R412" s="371"/>
      <c r="U412" s="371"/>
      <c r="V412" s="371"/>
      <c r="W412" s="371"/>
      <c r="X412" s="371"/>
    </row>
    <row r="413" customFormat="false" ht="12.75" hidden="false" customHeight="false" outlineLevel="0" collapsed="false">
      <c r="P413" s="371"/>
      <c r="Q413" s="371"/>
      <c r="R413" s="371"/>
      <c r="U413" s="371"/>
      <c r="V413" s="371"/>
      <c r="W413" s="371"/>
      <c r="X413" s="371"/>
    </row>
    <row r="414" customFormat="false" ht="12.75" hidden="false" customHeight="false" outlineLevel="0" collapsed="false">
      <c r="P414" s="371"/>
      <c r="Q414" s="371"/>
      <c r="R414" s="371"/>
      <c r="U414" s="371"/>
      <c r="V414" s="371"/>
      <c r="W414" s="371"/>
      <c r="X414" s="371"/>
    </row>
    <row r="415" customFormat="false" ht="12.75" hidden="false" customHeight="false" outlineLevel="0" collapsed="false">
      <c r="P415" s="371"/>
      <c r="Q415" s="371"/>
      <c r="R415" s="371"/>
      <c r="U415" s="371"/>
      <c r="V415" s="371"/>
      <c r="W415" s="371"/>
      <c r="X415" s="371"/>
    </row>
    <row r="416" customFormat="false" ht="12.75" hidden="false" customHeight="false" outlineLevel="0" collapsed="false">
      <c r="P416" s="371"/>
      <c r="Q416" s="371"/>
      <c r="R416" s="371"/>
      <c r="U416" s="371"/>
      <c r="V416" s="371"/>
      <c r="W416" s="371"/>
      <c r="X416" s="371"/>
    </row>
    <row r="417" customFormat="false" ht="12.75" hidden="false" customHeight="false" outlineLevel="0" collapsed="false">
      <c r="P417" s="371"/>
      <c r="Q417" s="371"/>
      <c r="R417" s="371"/>
      <c r="U417" s="371"/>
      <c r="V417" s="371"/>
      <c r="W417" s="371"/>
      <c r="X417" s="371"/>
    </row>
    <row r="418" customFormat="false" ht="12.75" hidden="false" customHeight="false" outlineLevel="0" collapsed="false">
      <c r="P418" s="371"/>
      <c r="Q418" s="371"/>
      <c r="R418" s="371"/>
      <c r="U418" s="371"/>
      <c r="V418" s="371"/>
      <c r="W418" s="371"/>
      <c r="X418" s="371"/>
    </row>
    <row r="419" customFormat="false" ht="12.75" hidden="false" customHeight="false" outlineLevel="0" collapsed="false">
      <c r="P419" s="371"/>
      <c r="Q419" s="371"/>
      <c r="R419" s="371"/>
      <c r="U419" s="371"/>
      <c r="V419" s="371"/>
      <c r="W419" s="371"/>
      <c r="X419" s="371"/>
    </row>
    <row r="420" customFormat="false" ht="12.75" hidden="false" customHeight="false" outlineLevel="0" collapsed="false">
      <c r="P420" s="371"/>
      <c r="Q420" s="371"/>
      <c r="R420" s="371"/>
      <c r="U420" s="371"/>
      <c r="V420" s="371"/>
      <c r="W420" s="371"/>
      <c r="X420" s="371"/>
    </row>
    <row r="421" customFormat="false" ht="12.75" hidden="false" customHeight="false" outlineLevel="0" collapsed="false">
      <c r="P421" s="371"/>
      <c r="Q421" s="371"/>
      <c r="R421" s="371"/>
      <c r="U421" s="371"/>
      <c r="V421" s="371"/>
      <c r="W421" s="371"/>
      <c r="X421" s="371"/>
    </row>
    <row r="422" customFormat="false" ht="12.75" hidden="false" customHeight="false" outlineLevel="0" collapsed="false">
      <c r="P422" s="371"/>
      <c r="Q422" s="371"/>
      <c r="R422" s="371"/>
      <c r="U422" s="371"/>
      <c r="V422" s="371"/>
      <c r="W422" s="371"/>
      <c r="X422" s="371"/>
    </row>
    <row r="423" customFormat="false" ht="12.75" hidden="false" customHeight="false" outlineLevel="0" collapsed="false">
      <c r="P423" s="371"/>
      <c r="Q423" s="371"/>
      <c r="R423" s="371"/>
      <c r="U423" s="371"/>
      <c r="V423" s="371"/>
      <c r="W423" s="371"/>
      <c r="X423" s="371"/>
    </row>
    <row r="424" customFormat="false" ht="12.75" hidden="false" customHeight="false" outlineLevel="0" collapsed="false">
      <c r="P424" s="371"/>
      <c r="Q424" s="371"/>
      <c r="R424" s="371"/>
      <c r="U424" s="371"/>
      <c r="V424" s="371"/>
      <c r="W424" s="371"/>
      <c r="X424" s="371"/>
    </row>
    <row r="425" customFormat="false" ht="12.75" hidden="false" customHeight="false" outlineLevel="0" collapsed="false">
      <c r="P425" s="371"/>
      <c r="Q425" s="371"/>
      <c r="R425" s="371"/>
      <c r="U425" s="371"/>
      <c r="V425" s="371"/>
      <c r="W425" s="371"/>
      <c r="X425" s="371"/>
    </row>
    <row r="426" customFormat="false" ht="12.75" hidden="false" customHeight="false" outlineLevel="0" collapsed="false">
      <c r="P426" s="371"/>
      <c r="Q426" s="371"/>
      <c r="R426" s="371"/>
      <c r="U426" s="371"/>
      <c r="V426" s="371"/>
      <c r="W426" s="371"/>
      <c r="X426" s="371"/>
    </row>
    <row r="427" customFormat="false" ht="12.75" hidden="false" customHeight="false" outlineLevel="0" collapsed="false">
      <c r="P427" s="371"/>
      <c r="Q427" s="371"/>
      <c r="R427" s="371"/>
      <c r="U427" s="371"/>
      <c r="V427" s="371"/>
      <c r="W427" s="371"/>
      <c r="X427" s="371"/>
    </row>
    <row r="428" customFormat="false" ht="12.75" hidden="false" customHeight="false" outlineLevel="0" collapsed="false">
      <c r="P428" s="371"/>
      <c r="Q428" s="371"/>
      <c r="R428" s="371"/>
      <c r="U428" s="371"/>
      <c r="V428" s="371"/>
      <c r="W428" s="371"/>
      <c r="X428" s="371"/>
    </row>
    <row r="429" customFormat="false" ht="12.75" hidden="false" customHeight="false" outlineLevel="0" collapsed="false">
      <c r="P429" s="371"/>
      <c r="Q429" s="371"/>
      <c r="R429" s="371"/>
      <c r="U429" s="371"/>
      <c r="V429" s="371"/>
      <c r="W429" s="371"/>
      <c r="X429" s="371"/>
    </row>
    <row r="430" customFormat="false" ht="12.75" hidden="false" customHeight="false" outlineLevel="0" collapsed="false">
      <c r="P430" s="371"/>
      <c r="Q430" s="371"/>
      <c r="R430" s="371"/>
      <c r="U430" s="371"/>
      <c r="V430" s="371"/>
      <c r="W430" s="371"/>
      <c r="X430" s="371"/>
    </row>
    <row r="431" customFormat="false" ht="12.75" hidden="false" customHeight="false" outlineLevel="0" collapsed="false">
      <c r="P431" s="371"/>
      <c r="Q431" s="371"/>
      <c r="R431" s="371"/>
      <c r="U431" s="371"/>
      <c r="V431" s="371"/>
      <c r="W431" s="371"/>
      <c r="X431" s="371"/>
    </row>
    <row r="432" customFormat="false" ht="12.75" hidden="false" customHeight="false" outlineLevel="0" collapsed="false">
      <c r="P432" s="371"/>
      <c r="Q432" s="371"/>
      <c r="R432" s="371"/>
      <c r="U432" s="371"/>
      <c r="V432" s="371"/>
      <c r="W432" s="371"/>
      <c r="X432" s="371"/>
    </row>
    <row r="433" customFormat="false" ht="12.75" hidden="false" customHeight="false" outlineLevel="0" collapsed="false">
      <c r="P433" s="371"/>
      <c r="Q433" s="371"/>
      <c r="R433" s="371"/>
      <c r="U433" s="371"/>
      <c r="V433" s="371"/>
      <c r="W433" s="371"/>
      <c r="X433" s="371"/>
    </row>
    <row r="434" customFormat="false" ht="12.75" hidden="false" customHeight="false" outlineLevel="0" collapsed="false">
      <c r="P434" s="371"/>
      <c r="Q434" s="371"/>
      <c r="R434" s="371"/>
      <c r="U434" s="371"/>
      <c r="V434" s="371"/>
      <c r="W434" s="371"/>
      <c r="X434" s="371"/>
    </row>
    <row r="435" customFormat="false" ht="12.75" hidden="false" customHeight="false" outlineLevel="0" collapsed="false">
      <c r="P435" s="371"/>
      <c r="Q435" s="371"/>
      <c r="R435" s="371"/>
      <c r="U435" s="371"/>
      <c r="V435" s="371"/>
      <c r="W435" s="371"/>
      <c r="X435" s="371"/>
    </row>
    <row r="436" customFormat="false" ht="12.75" hidden="false" customHeight="false" outlineLevel="0" collapsed="false">
      <c r="P436" s="371"/>
      <c r="Q436" s="371"/>
      <c r="R436" s="371"/>
      <c r="U436" s="371"/>
      <c r="V436" s="371"/>
      <c r="W436" s="371"/>
      <c r="X436" s="371"/>
    </row>
    <row r="437" customFormat="false" ht="12.75" hidden="false" customHeight="false" outlineLevel="0" collapsed="false">
      <c r="P437" s="371"/>
      <c r="Q437" s="371"/>
      <c r="R437" s="371"/>
      <c r="U437" s="371"/>
      <c r="V437" s="371"/>
      <c r="W437" s="371"/>
      <c r="X437" s="371"/>
    </row>
    <row r="438" customFormat="false" ht="12.75" hidden="false" customHeight="false" outlineLevel="0" collapsed="false">
      <c r="P438" s="371"/>
      <c r="Q438" s="371"/>
      <c r="R438" s="371"/>
      <c r="U438" s="371"/>
      <c r="V438" s="371"/>
      <c r="W438" s="371"/>
      <c r="X438" s="371"/>
    </row>
    <row r="439" customFormat="false" ht="12.75" hidden="false" customHeight="false" outlineLevel="0" collapsed="false">
      <c r="P439" s="371"/>
      <c r="Q439" s="371"/>
      <c r="R439" s="371"/>
      <c r="U439" s="371"/>
      <c r="V439" s="371"/>
      <c r="W439" s="371"/>
      <c r="X439" s="371"/>
    </row>
    <row r="440" customFormat="false" ht="12.75" hidden="false" customHeight="false" outlineLevel="0" collapsed="false">
      <c r="P440" s="371"/>
      <c r="Q440" s="371"/>
      <c r="R440" s="371"/>
      <c r="U440" s="371"/>
      <c r="V440" s="371"/>
      <c r="W440" s="371"/>
      <c r="X440" s="371"/>
    </row>
    <row r="441" customFormat="false" ht="12.75" hidden="false" customHeight="false" outlineLevel="0" collapsed="false">
      <c r="P441" s="371"/>
      <c r="Q441" s="371"/>
      <c r="R441" s="371"/>
      <c r="U441" s="371"/>
      <c r="V441" s="371"/>
      <c r="W441" s="371"/>
      <c r="X441" s="371"/>
    </row>
    <row r="442" customFormat="false" ht="12.75" hidden="false" customHeight="false" outlineLevel="0" collapsed="false">
      <c r="P442" s="371"/>
      <c r="Q442" s="371"/>
      <c r="R442" s="371"/>
      <c r="U442" s="371"/>
      <c r="V442" s="371"/>
      <c r="W442" s="371"/>
      <c r="X442" s="371"/>
    </row>
    <row r="443" customFormat="false" ht="12.75" hidden="false" customHeight="false" outlineLevel="0" collapsed="false">
      <c r="P443" s="371"/>
      <c r="Q443" s="371"/>
      <c r="R443" s="371"/>
      <c r="U443" s="371"/>
      <c r="V443" s="371"/>
      <c r="W443" s="371"/>
      <c r="X443" s="371"/>
    </row>
    <row r="444" customFormat="false" ht="12.75" hidden="false" customHeight="false" outlineLevel="0" collapsed="false">
      <c r="P444" s="371"/>
      <c r="Q444" s="371"/>
      <c r="R444" s="371"/>
      <c r="U444" s="371"/>
      <c r="V444" s="371"/>
      <c r="W444" s="371"/>
      <c r="X444" s="371"/>
    </row>
    <row r="445" customFormat="false" ht="12.75" hidden="false" customHeight="false" outlineLevel="0" collapsed="false">
      <c r="P445" s="371"/>
      <c r="Q445" s="371"/>
      <c r="R445" s="371"/>
      <c r="U445" s="371"/>
      <c r="V445" s="371"/>
      <c r="W445" s="371"/>
      <c r="X445" s="371"/>
    </row>
    <row r="446" customFormat="false" ht="12.75" hidden="false" customHeight="false" outlineLevel="0" collapsed="false">
      <c r="P446" s="371"/>
      <c r="Q446" s="371"/>
      <c r="R446" s="371"/>
      <c r="U446" s="371"/>
      <c r="V446" s="371"/>
      <c r="W446" s="371"/>
      <c r="X446" s="371"/>
    </row>
    <row r="447" customFormat="false" ht="12.75" hidden="false" customHeight="false" outlineLevel="0" collapsed="false">
      <c r="P447" s="371"/>
      <c r="Q447" s="371"/>
      <c r="R447" s="371"/>
      <c r="U447" s="371"/>
      <c r="V447" s="371"/>
      <c r="W447" s="371"/>
      <c r="X447" s="371"/>
    </row>
    <row r="448" customFormat="false" ht="12.75" hidden="false" customHeight="false" outlineLevel="0" collapsed="false">
      <c r="P448" s="371"/>
      <c r="Q448" s="371"/>
      <c r="R448" s="371"/>
      <c r="U448" s="371"/>
      <c r="V448" s="371"/>
      <c r="W448" s="371"/>
      <c r="X448" s="371"/>
    </row>
    <row r="449" customFormat="false" ht="12.75" hidden="false" customHeight="false" outlineLevel="0" collapsed="false">
      <c r="P449" s="371"/>
      <c r="Q449" s="371"/>
      <c r="R449" s="371"/>
      <c r="U449" s="371"/>
      <c r="V449" s="371"/>
      <c r="W449" s="371"/>
      <c r="X449" s="371"/>
    </row>
    <row r="450" customFormat="false" ht="12.75" hidden="false" customHeight="false" outlineLevel="0" collapsed="false">
      <c r="P450" s="371"/>
      <c r="Q450" s="371"/>
      <c r="R450" s="371"/>
      <c r="U450" s="371"/>
      <c r="V450" s="371"/>
      <c r="W450" s="371"/>
      <c r="X450" s="371"/>
    </row>
    <row r="451" customFormat="false" ht="12.75" hidden="false" customHeight="false" outlineLevel="0" collapsed="false">
      <c r="P451" s="371"/>
      <c r="Q451" s="371"/>
      <c r="R451" s="371"/>
      <c r="U451" s="371"/>
      <c r="V451" s="371"/>
      <c r="W451" s="371"/>
      <c r="X451" s="371"/>
    </row>
    <row r="452" customFormat="false" ht="12.75" hidden="false" customHeight="false" outlineLevel="0" collapsed="false">
      <c r="P452" s="371"/>
      <c r="Q452" s="371"/>
      <c r="R452" s="371"/>
      <c r="U452" s="371"/>
      <c r="V452" s="371"/>
      <c r="W452" s="371"/>
      <c r="X452" s="371"/>
    </row>
    <row r="453" customFormat="false" ht="12.75" hidden="false" customHeight="false" outlineLevel="0" collapsed="false">
      <c r="P453" s="371"/>
      <c r="Q453" s="371"/>
      <c r="R453" s="371"/>
      <c r="U453" s="371"/>
      <c r="V453" s="371"/>
      <c r="W453" s="371"/>
      <c r="X453" s="371"/>
    </row>
    <row r="454" customFormat="false" ht="12.75" hidden="false" customHeight="false" outlineLevel="0" collapsed="false">
      <c r="P454" s="371"/>
      <c r="Q454" s="371"/>
      <c r="R454" s="371"/>
      <c r="U454" s="371"/>
      <c r="V454" s="371"/>
      <c r="W454" s="371"/>
      <c r="X454" s="371"/>
    </row>
    <row r="455" customFormat="false" ht="12.75" hidden="false" customHeight="false" outlineLevel="0" collapsed="false">
      <c r="P455" s="371"/>
      <c r="Q455" s="371"/>
      <c r="R455" s="371"/>
      <c r="U455" s="371"/>
      <c r="V455" s="371"/>
      <c r="W455" s="371"/>
      <c r="X455" s="371"/>
    </row>
    <row r="456" customFormat="false" ht="12.75" hidden="false" customHeight="false" outlineLevel="0" collapsed="false">
      <c r="P456" s="371"/>
      <c r="Q456" s="371"/>
      <c r="R456" s="371"/>
      <c r="U456" s="371"/>
      <c r="V456" s="371"/>
      <c r="W456" s="371"/>
      <c r="X456" s="371"/>
    </row>
    <row r="457" customFormat="false" ht="12.75" hidden="false" customHeight="false" outlineLevel="0" collapsed="false">
      <c r="P457" s="371"/>
      <c r="Q457" s="371"/>
      <c r="R457" s="371"/>
      <c r="U457" s="371"/>
      <c r="V457" s="371"/>
      <c r="W457" s="371"/>
      <c r="X457" s="371"/>
    </row>
    <row r="458" customFormat="false" ht="12.75" hidden="false" customHeight="false" outlineLevel="0" collapsed="false">
      <c r="P458" s="371"/>
      <c r="Q458" s="371"/>
      <c r="R458" s="371"/>
      <c r="U458" s="371"/>
      <c r="V458" s="371"/>
      <c r="W458" s="371"/>
      <c r="X458" s="371"/>
    </row>
    <row r="459" customFormat="false" ht="12.75" hidden="false" customHeight="false" outlineLevel="0" collapsed="false">
      <c r="P459" s="371"/>
      <c r="Q459" s="371"/>
      <c r="R459" s="371"/>
      <c r="U459" s="371"/>
      <c r="V459" s="371"/>
      <c r="W459" s="371"/>
      <c r="X459" s="371"/>
    </row>
    <row r="460" customFormat="false" ht="12.75" hidden="false" customHeight="false" outlineLevel="0" collapsed="false">
      <c r="P460" s="371"/>
      <c r="Q460" s="371"/>
      <c r="R460" s="371"/>
      <c r="U460" s="371"/>
      <c r="V460" s="371"/>
      <c r="W460" s="371"/>
      <c r="X460" s="371"/>
    </row>
    <row r="461" customFormat="false" ht="12.75" hidden="false" customHeight="false" outlineLevel="0" collapsed="false">
      <c r="P461" s="371"/>
      <c r="Q461" s="371"/>
      <c r="R461" s="371"/>
      <c r="U461" s="371"/>
      <c r="V461" s="371"/>
      <c r="W461" s="371"/>
      <c r="X461" s="371"/>
    </row>
    <row r="462" customFormat="false" ht="12.75" hidden="false" customHeight="false" outlineLevel="0" collapsed="false">
      <c r="P462" s="371"/>
      <c r="Q462" s="371"/>
      <c r="R462" s="371"/>
      <c r="U462" s="371"/>
      <c r="V462" s="371"/>
      <c r="W462" s="371"/>
      <c r="X462" s="371"/>
    </row>
    <row r="463" customFormat="false" ht="12.75" hidden="false" customHeight="false" outlineLevel="0" collapsed="false">
      <c r="P463" s="371"/>
      <c r="Q463" s="371"/>
      <c r="R463" s="371"/>
      <c r="U463" s="371"/>
      <c r="V463" s="371"/>
      <c r="W463" s="371"/>
      <c r="X463" s="371"/>
    </row>
    <row r="464" customFormat="false" ht="12.75" hidden="false" customHeight="false" outlineLevel="0" collapsed="false">
      <c r="P464" s="371"/>
      <c r="Q464" s="371"/>
      <c r="R464" s="371"/>
      <c r="U464" s="371"/>
      <c r="V464" s="371"/>
      <c r="W464" s="371"/>
      <c r="X464" s="371"/>
    </row>
    <row r="465" customFormat="false" ht="12.75" hidden="false" customHeight="false" outlineLevel="0" collapsed="false">
      <c r="P465" s="371"/>
      <c r="Q465" s="371"/>
      <c r="R465" s="371"/>
      <c r="U465" s="371"/>
      <c r="V465" s="371"/>
      <c r="W465" s="371"/>
      <c r="X465" s="371"/>
    </row>
    <row r="466" customFormat="false" ht="12.75" hidden="false" customHeight="false" outlineLevel="0" collapsed="false">
      <c r="P466" s="371"/>
      <c r="Q466" s="371"/>
      <c r="R466" s="371"/>
      <c r="U466" s="371"/>
      <c r="V466" s="371"/>
      <c r="W466" s="371"/>
      <c r="X466" s="371"/>
    </row>
    <row r="467" customFormat="false" ht="12.75" hidden="false" customHeight="false" outlineLevel="0" collapsed="false">
      <c r="P467" s="371"/>
      <c r="Q467" s="371"/>
      <c r="R467" s="371"/>
      <c r="U467" s="371"/>
      <c r="V467" s="371"/>
      <c r="W467" s="371"/>
      <c r="X467" s="371"/>
    </row>
    <row r="468" customFormat="false" ht="12.75" hidden="false" customHeight="false" outlineLevel="0" collapsed="false">
      <c r="P468" s="371"/>
      <c r="Q468" s="371"/>
      <c r="R468" s="371"/>
      <c r="U468" s="371"/>
      <c r="V468" s="371"/>
      <c r="W468" s="371"/>
      <c r="X468" s="371"/>
    </row>
    <row r="469" customFormat="false" ht="12.75" hidden="false" customHeight="false" outlineLevel="0" collapsed="false">
      <c r="P469" s="371"/>
      <c r="Q469" s="371"/>
      <c r="R469" s="371"/>
      <c r="U469" s="371"/>
      <c r="V469" s="371"/>
      <c r="W469" s="371"/>
      <c r="X469" s="371"/>
    </row>
    <row r="470" customFormat="false" ht="12.75" hidden="false" customHeight="false" outlineLevel="0" collapsed="false">
      <c r="P470" s="371"/>
      <c r="Q470" s="371"/>
      <c r="R470" s="371"/>
      <c r="U470" s="371"/>
      <c r="V470" s="371"/>
      <c r="W470" s="371"/>
      <c r="X470" s="371"/>
    </row>
    <row r="471" customFormat="false" ht="12.75" hidden="false" customHeight="false" outlineLevel="0" collapsed="false">
      <c r="P471" s="371"/>
      <c r="Q471" s="371"/>
      <c r="R471" s="371"/>
      <c r="U471" s="371"/>
      <c r="V471" s="371"/>
      <c r="W471" s="371"/>
      <c r="X471" s="371"/>
    </row>
    <row r="472" customFormat="false" ht="12.75" hidden="false" customHeight="false" outlineLevel="0" collapsed="false">
      <c r="P472" s="371"/>
      <c r="Q472" s="371"/>
      <c r="R472" s="371"/>
      <c r="U472" s="371"/>
      <c r="V472" s="371"/>
      <c r="W472" s="371"/>
      <c r="X472" s="371"/>
    </row>
    <row r="473" customFormat="false" ht="12.75" hidden="false" customHeight="false" outlineLevel="0" collapsed="false">
      <c r="P473" s="371"/>
      <c r="Q473" s="371"/>
      <c r="R473" s="371"/>
      <c r="U473" s="371"/>
      <c r="V473" s="371"/>
      <c r="W473" s="371"/>
      <c r="X473" s="371"/>
    </row>
    <row r="474" customFormat="false" ht="12.75" hidden="false" customHeight="false" outlineLevel="0" collapsed="false">
      <c r="P474" s="371"/>
      <c r="Q474" s="371"/>
      <c r="R474" s="371"/>
      <c r="U474" s="371"/>
      <c r="V474" s="371"/>
      <c r="W474" s="371"/>
      <c r="X474" s="371"/>
    </row>
    <row r="475" customFormat="false" ht="12.75" hidden="false" customHeight="false" outlineLevel="0" collapsed="false">
      <c r="P475" s="371"/>
      <c r="Q475" s="371"/>
      <c r="R475" s="371"/>
      <c r="U475" s="371"/>
      <c r="V475" s="371"/>
      <c r="W475" s="371"/>
      <c r="X475" s="371"/>
    </row>
    <row r="476" customFormat="false" ht="12.75" hidden="false" customHeight="false" outlineLevel="0" collapsed="false">
      <c r="P476" s="371"/>
      <c r="Q476" s="371"/>
      <c r="R476" s="371"/>
      <c r="U476" s="371"/>
      <c r="V476" s="371"/>
      <c r="W476" s="371"/>
      <c r="X476" s="371"/>
    </row>
    <row r="477" customFormat="false" ht="12.75" hidden="false" customHeight="false" outlineLevel="0" collapsed="false">
      <c r="P477" s="371"/>
      <c r="Q477" s="371"/>
      <c r="R477" s="371"/>
      <c r="U477" s="371"/>
      <c r="V477" s="371"/>
      <c r="W477" s="371"/>
      <c r="X477" s="371"/>
    </row>
    <row r="478" customFormat="false" ht="12.75" hidden="false" customHeight="false" outlineLevel="0" collapsed="false">
      <c r="P478" s="371"/>
      <c r="Q478" s="371"/>
      <c r="R478" s="371"/>
      <c r="U478" s="371"/>
      <c r="V478" s="371"/>
      <c r="W478" s="371"/>
      <c r="X478" s="371"/>
    </row>
    <row r="479" customFormat="false" ht="12.75" hidden="false" customHeight="false" outlineLevel="0" collapsed="false">
      <c r="P479" s="371"/>
      <c r="Q479" s="371"/>
      <c r="R479" s="371"/>
      <c r="U479" s="371"/>
      <c r="V479" s="371"/>
      <c r="W479" s="371"/>
      <c r="X479" s="371"/>
    </row>
    <row r="480" customFormat="false" ht="12.75" hidden="false" customHeight="false" outlineLevel="0" collapsed="false">
      <c r="P480" s="371"/>
      <c r="Q480" s="371"/>
      <c r="R480" s="371"/>
      <c r="U480" s="371"/>
      <c r="V480" s="371"/>
      <c r="W480" s="371"/>
      <c r="X480" s="371"/>
    </row>
    <row r="481" customFormat="false" ht="12.75" hidden="false" customHeight="false" outlineLevel="0" collapsed="false">
      <c r="P481" s="371"/>
      <c r="Q481" s="371"/>
      <c r="R481" s="371"/>
      <c r="U481" s="371"/>
      <c r="V481" s="371"/>
      <c r="W481" s="371"/>
      <c r="X481" s="371"/>
    </row>
    <row r="482" customFormat="false" ht="12.75" hidden="false" customHeight="false" outlineLevel="0" collapsed="false">
      <c r="P482" s="371"/>
      <c r="Q482" s="371"/>
      <c r="R482" s="371"/>
      <c r="U482" s="371"/>
      <c r="V482" s="371"/>
      <c r="W482" s="371"/>
      <c r="X482" s="371"/>
    </row>
    <row r="483" customFormat="false" ht="12.75" hidden="false" customHeight="false" outlineLevel="0" collapsed="false">
      <c r="P483" s="371"/>
      <c r="Q483" s="371"/>
      <c r="R483" s="371"/>
      <c r="U483" s="371"/>
      <c r="V483" s="371"/>
      <c r="W483" s="371"/>
      <c r="X483" s="371"/>
    </row>
    <row r="484" customFormat="false" ht="12.75" hidden="false" customHeight="false" outlineLevel="0" collapsed="false">
      <c r="P484" s="371"/>
      <c r="Q484" s="371"/>
      <c r="R484" s="371"/>
      <c r="U484" s="371"/>
      <c r="V484" s="371"/>
      <c r="W484" s="371"/>
      <c r="X484" s="371"/>
    </row>
    <row r="485" customFormat="false" ht="12.75" hidden="false" customHeight="false" outlineLevel="0" collapsed="false">
      <c r="P485" s="371"/>
      <c r="Q485" s="371"/>
      <c r="R485" s="371"/>
      <c r="U485" s="371"/>
      <c r="V485" s="371"/>
      <c r="W485" s="371"/>
      <c r="X485" s="371"/>
    </row>
    <row r="486" customFormat="false" ht="12.75" hidden="false" customHeight="false" outlineLevel="0" collapsed="false">
      <c r="P486" s="371"/>
      <c r="Q486" s="371"/>
      <c r="R486" s="371"/>
      <c r="U486" s="371"/>
      <c r="V486" s="371"/>
      <c r="W486" s="371"/>
      <c r="X486" s="371"/>
    </row>
    <row r="487" customFormat="false" ht="12.75" hidden="false" customHeight="false" outlineLevel="0" collapsed="false">
      <c r="P487" s="371"/>
      <c r="Q487" s="371"/>
      <c r="R487" s="371"/>
      <c r="U487" s="371"/>
      <c r="V487" s="371"/>
      <c r="W487" s="371"/>
      <c r="X487" s="371"/>
    </row>
    <row r="488" customFormat="false" ht="12.75" hidden="false" customHeight="false" outlineLevel="0" collapsed="false">
      <c r="P488" s="371"/>
      <c r="Q488" s="371"/>
      <c r="R488" s="371"/>
      <c r="U488" s="371"/>
      <c r="V488" s="371"/>
      <c r="W488" s="371"/>
      <c r="X488" s="371"/>
    </row>
    <row r="489" customFormat="false" ht="12.75" hidden="false" customHeight="false" outlineLevel="0" collapsed="false">
      <c r="P489" s="371"/>
      <c r="Q489" s="371"/>
      <c r="R489" s="371"/>
      <c r="U489" s="371"/>
      <c r="V489" s="371"/>
      <c r="W489" s="371"/>
      <c r="X489" s="371"/>
    </row>
    <row r="490" customFormat="false" ht="12.75" hidden="false" customHeight="false" outlineLevel="0" collapsed="false">
      <c r="P490" s="371"/>
      <c r="Q490" s="371"/>
      <c r="R490" s="371"/>
      <c r="U490" s="371"/>
      <c r="V490" s="371"/>
      <c r="W490" s="371"/>
      <c r="X490" s="371"/>
    </row>
    <row r="491" customFormat="false" ht="12.75" hidden="false" customHeight="false" outlineLevel="0" collapsed="false">
      <c r="P491" s="371"/>
      <c r="Q491" s="371"/>
      <c r="R491" s="371"/>
      <c r="U491" s="371"/>
      <c r="V491" s="371"/>
      <c r="W491" s="371"/>
      <c r="X491" s="371"/>
    </row>
    <row r="492" customFormat="false" ht="12.75" hidden="false" customHeight="false" outlineLevel="0" collapsed="false">
      <c r="P492" s="371"/>
      <c r="Q492" s="371"/>
      <c r="R492" s="371"/>
      <c r="U492" s="371"/>
      <c r="V492" s="371"/>
      <c r="W492" s="371"/>
      <c r="X492" s="371"/>
    </row>
    <row r="493" customFormat="false" ht="12.75" hidden="false" customHeight="false" outlineLevel="0" collapsed="false">
      <c r="P493" s="371"/>
      <c r="Q493" s="371"/>
      <c r="R493" s="371"/>
      <c r="U493" s="371"/>
      <c r="V493" s="371"/>
      <c r="W493" s="371"/>
      <c r="X493" s="371"/>
    </row>
    <row r="494" customFormat="false" ht="12.75" hidden="false" customHeight="false" outlineLevel="0" collapsed="false">
      <c r="P494" s="371"/>
      <c r="Q494" s="371"/>
      <c r="R494" s="371"/>
      <c r="U494" s="371"/>
      <c r="V494" s="371"/>
      <c r="W494" s="371"/>
      <c r="X494" s="371"/>
    </row>
    <row r="495" customFormat="false" ht="12.75" hidden="false" customHeight="false" outlineLevel="0" collapsed="false">
      <c r="P495" s="371"/>
      <c r="Q495" s="371"/>
      <c r="R495" s="371"/>
      <c r="U495" s="371"/>
      <c r="V495" s="371"/>
      <c r="W495" s="371"/>
      <c r="X495" s="371"/>
    </row>
    <row r="496" customFormat="false" ht="12.75" hidden="false" customHeight="false" outlineLevel="0" collapsed="false">
      <c r="P496" s="371"/>
      <c r="Q496" s="371"/>
      <c r="R496" s="371"/>
      <c r="U496" s="371"/>
      <c r="V496" s="371"/>
      <c r="W496" s="371"/>
      <c r="X496" s="371"/>
    </row>
    <row r="497" customFormat="false" ht="12.75" hidden="false" customHeight="false" outlineLevel="0" collapsed="false">
      <c r="P497" s="371"/>
      <c r="Q497" s="371"/>
      <c r="R497" s="371"/>
      <c r="U497" s="371"/>
      <c r="V497" s="371"/>
      <c r="W497" s="371"/>
      <c r="X497" s="371"/>
    </row>
    <row r="498" customFormat="false" ht="12.75" hidden="false" customHeight="false" outlineLevel="0" collapsed="false">
      <c r="P498" s="371"/>
      <c r="Q498" s="371"/>
      <c r="R498" s="371"/>
      <c r="U498" s="371"/>
      <c r="V498" s="371"/>
      <c r="W498" s="371"/>
      <c r="X498" s="371"/>
    </row>
    <row r="499" customFormat="false" ht="12.75" hidden="false" customHeight="false" outlineLevel="0" collapsed="false">
      <c r="P499" s="371"/>
      <c r="Q499" s="371"/>
      <c r="R499" s="371"/>
      <c r="U499" s="371"/>
      <c r="V499" s="371"/>
      <c r="W499" s="371"/>
      <c r="X499" s="371"/>
    </row>
    <row r="500" customFormat="false" ht="12.75" hidden="false" customHeight="false" outlineLevel="0" collapsed="false">
      <c r="P500" s="371"/>
      <c r="Q500" s="371"/>
      <c r="R500" s="371"/>
      <c r="U500" s="371"/>
      <c r="V500" s="371"/>
      <c r="W500" s="371"/>
      <c r="X500" s="371"/>
    </row>
    <row r="501" customFormat="false" ht="12.75" hidden="false" customHeight="false" outlineLevel="0" collapsed="false">
      <c r="P501" s="371"/>
      <c r="Q501" s="371"/>
      <c r="R501" s="371"/>
      <c r="U501" s="371"/>
      <c r="V501" s="371"/>
      <c r="W501" s="371"/>
      <c r="X501" s="371"/>
    </row>
    <row r="502" customFormat="false" ht="12.75" hidden="false" customHeight="false" outlineLevel="0" collapsed="false">
      <c r="P502" s="371"/>
      <c r="Q502" s="371"/>
      <c r="R502" s="371"/>
      <c r="U502" s="371"/>
      <c r="V502" s="371"/>
      <c r="W502" s="371"/>
      <c r="X502" s="371"/>
    </row>
    <row r="503" customFormat="false" ht="12.75" hidden="false" customHeight="false" outlineLevel="0" collapsed="false">
      <c r="P503" s="371"/>
      <c r="Q503" s="371"/>
      <c r="R503" s="371"/>
      <c r="U503" s="371"/>
      <c r="V503" s="371"/>
      <c r="W503" s="371"/>
      <c r="X503" s="371"/>
    </row>
    <row r="504" customFormat="false" ht="12.75" hidden="false" customHeight="false" outlineLevel="0" collapsed="false">
      <c r="P504" s="371"/>
      <c r="Q504" s="371"/>
      <c r="R504" s="371"/>
      <c r="U504" s="371"/>
      <c r="V504" s="371"/>
      <c r="W504" s="371"/>
      <c r="X504" s="371"/>
    </row>
    <row r="505" customFormat="false" ht="12.75" hidden="false" customHeight="false" outlineLevel="0" collapsed="false">
      <c r="P505" s="371"/>
      <c r="Q505" s="371"/>
      <c r="R505" s="371"/>
      <c r="U505" s="371"/>
      <c r="V505" s="371"/>
      <c r="W505" s="371"/>
      <c r="X505" s="371"/>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558"/>
  <sheetViews>
    <sheetView showFormulas="false" showGridLines="true" showRowColHeaders="true" showZeros="true" rightToLeft="false" tabSelected="false" showOutlineSymbols="true" defaultGridColor="true" view="normal" topLeftCell="L6" colorId="64" zoomScale="80" zoomScaleNormal="80" zoomScalePageLayoutView="100" workbookViewId="0">
      <selection pane="topLeft" activeCell="CI21" activeCellId="0" sqref="CI21:CI31"/>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257" min="8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24</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113647.51</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296039</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-182391.49</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6865.31</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-234731.19</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-51840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1624.47</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9.4</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-1452.76</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457.31</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5.06</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5.86</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0</v>
      </c>
      <c r="P18" s="415" t="e">
        <f aca="false">N18-O18</f>
        <v>#VALUE!</v>
      </c>
      <c r="AU18" s="433"/>
      <c r="AV18" s="383"/>
      <c r="AW18" s="378"/>
      <c r="AX18" s="383" t="str">
        <f aca="false">ADDRESS(ROW($CI$22),COLUMN($CI$22))</f>
        <v>$CI$22</v>
      </c>
      <c r="AY18" s="378" t="e">
        <f aca="false">GetEnd($AV$1,AX18)</f>
        <v>#VALUE!</v>
      </c>
      <c r="CM18" s="511"/>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113647.51</v>
      </c>
      <c r="P19" s="465" t="e">
        <f aca="false">N19-O19</f>
        <v>#VALUE!</v>
      </c>
      <c r="AU19" s="433"/>
      <c r="AV19" s="383"/>
      <c r="AW19" s="378"/>
      <c r="CM19" s="511"/>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2.96453068034357</v>
      </c>
      <c r="BW22" s="369" t="n">
        <v>2.9535</v>
      </c>
      <c r="BX22" s="370" t="n">
        <v>0.952435996987834</v>
      </c>
      <c r="BY22" s="370" t="n">
        <v>0.977962395882988</v>
      </c>
      <c r="BZ22" s="370" t="n">
        <v>0.984100521619944</v>
      </c>
      <c r="CA22" s="370" t="n">
        <v>0.0187659081571607</v>
      </c>
      <c r="CB22" s="370" t="n">
        <v>0.998364899395796</v>
      </c>
      <c r="CC22" s="505" t="n">
        <v>-0.025</v>
      </c>
      <c r="CD22" s="505" t="n">
        <v>0.0575</v>
      </c>
      <c r="CE22" s="505" t="n">
        <v>0.1325</v>
      </c>
      <c r="CF22" s="505" t="n">
        <v>-0.025</v>
      </c>
      <c r="CG22" s="505" t="n">
        <v>0.0192</v>
      </c>
      <c r="CH22" s="505" t="n">
        <v>3.40442430693966</v>
      </c>
      <c r="CI22" s="505" t="n">
        <v>2.846</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3.02838369482379</v>
      </c>
      <c r="BW23" s="369" t="n">
        <v>3.0155</v>
      </c>
      <c r="BX23" s="370" t="n">
        <v>0.906812181950228</v>
      </c>
      <c r="BY23" s="370" t="n">
        <v>0.919768992736763</v>
      </c>
      <c r="BZ23" s="370" t="n">
        <v>0.990238296282677</v>
      </c>
      <c r="CA23" s="370" t="n">
        <v>0.0193261872820063</v>
      </c>
      <c r="CB23" s="370" t="n">
        <v>0.996688029844541</v>
      </c>
      <c r="CC23" s="505" t="n">
        <v>-0.025</v>
      </c>
      <c r="CD23" s="505" t="n">
        <v>0.0575</v>
      </c>
      <c r="CE23" s="505" t="n">
        <v>0.1325</v>
      </c>
      <c r="CF23" s="505" t="n">
        <v>-0.025</v>
      </c>
      <c r="CG23" s="505" t="n">
        <v>0.0192</v>
      </c>
      <c r="CH23" s="505" t="n">
        <v>3.06979913192119</v>
      </c>
      <c r="CI23" s="505" t="n">
        <v>2.908</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3.02220437084183</v>
      </c>
      <c r="BW24" s="369" t="n">
        <v>2.997</v>
      </c>
      <c r="BX24" s="370" t="n">
        <v>0.79</v>
      </c>
      <c r="BY24" s="370" t="n">
        <v>0.79</v>
      </c>
      <c r="BZ24" s="370" t="n">
        <v>0.994567567567568</v>
      </c>
      <c r="CA24" s="370" t="n">
        <v>0.0192731753639035</v>
      </c>
      <c r="CB24" s="370" t="n">
        <v>0.99523258517239</v>
      </c>
      <c r="CC24" s="505" t="n">
        <v>-0.025</v>
      </c>
      <c r="CD24" s="505" t="n">
        <v>0.0575</v>
      </c>
      <c r="CE24" s="505" t="n">
        <v>0.12</v>
      </c>
      <c r="CF24" s="505" t="n">
        <v>-0.025</v>
      </c>
      <c r="CG24" s="505" t="n">
        <v>0.0192</v>
      </c>
      <c r="CH24" s="505" t="n">
        <v>3.39374311543785</v>
      </c>
      <c r="CI24" s="505" t="n">
        <v>2.902</v>
      </c>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2.96659045500422</v>
      </c>
      <c r="BW25" s="369" t="n">
        <v>2.973</v>
      </c>
      <c r="BX25" s="370" t="n">
        <v>0.61</v>
      </c>
      <c r="BY25" s="370" t="n">
        <v>0.61</v>
      </c>
      <c r="BZ25" s="370" t="n">
        <v>0</v>
      </c>
      <c r="CA25" s="370" t="n">
        <v>0.0194226401196236</v>
      </c>
      <c r="CB25" s="370" t="n">
        <v>0</v>
      </c>
      <c r="CC25" s="505" t="n">
        <v>-0.025</v>
      </c>
      <c r="CD25" s="505" t="n">
        <v>0.0575</v>
      </c>
      <c r="CE25" s="505" t="n">
        <v>0.15</v>
      </c>
      <c r="CF25" s="505" t="n">
        <v>-0.025</v>
      </c>
      <c r="CG25" s="505" t="n">
        <v>0.0192</v>
      </c>
      <c r="CH25" s="505" t="n">
        <v>0</v>
      </c>
      <c r="CI25" s="505" t="n">
        <v>2.848</v>
      </c>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2.96659045500422</v>
      </c>
      <c r="BW26" s="369" t="n">
        <v>2.973</v>
      </c>
      <c r="BX26" s="370" t="n">
        <v>0.61</v>
      </c>
      <c r="BY26" s="370" t="n">
        <v>0.61</v>
      </c>
      <c r="BZ26" s="370" t="n">
        <v>0</v>
      </c>
      <c r="CA26" s="370" t="n">
        <v>0.0194226401196236</v>
      </c>
      <c r="CB26" s="370" t="n">
        <v>0</v>
      </c>
      <c r="CC26" s="505" t="n">
        <v>-0.025</v>
      </c>
      <c r="CD26" s="505" t="n">
        <v>0.0575</v>
      </c>
      <c r="CE26" s="505" t="n">
        <v>0.15</v>
      </c>
      <c r="CF26" s="505" t="n">
        <v>-0.025</v>
      </c>
      <c r="CG26" s="505" t="n">
        <v>0.0192</v>
      </c>
      <c r="CH26" s="505" t="n">
        <v>0</v>
      </c>
      <c r="CI26" s="505" t="n">
        <v>2.848</v>
      </c>
    </row>
    <row r="27" customFormat="false" ht="12.75" hidden="false" customHeight="false" outlineLevel="0" collapsed="false">
      <c r="A27" s="512"/>
      <c r="B27" s="512"/>
      <c r="C27" s="512"/>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2.96659045500422</v>
      </c>
      <c r="BW27" s="369" t="n">
        <v>2.973</v>
      </c>
      <c r="BX27" s="370" t="n">
        <v>0.61</v>
      </c>
      <c r="BY27" s="370" t="n">
        <v>0.61</v>
      </c>
      <c r="BZ27" s="370" t="n">
        <v>0</v>
      </c>
      <c r="CA27" s="370" t="n">
        <v>0.0194226401196236</v>
      </c>
      <c r="CB27" s="370" t="n">
        <v>0</v>
      </c>
      <c r="CC27" s="505" t="n">
        <v>-0.025</v>
      </c>
      <c r="CD27" s="505" t="n">
        <v>0.0575</v>
      </c>
      <c r="CE27" s="505" t="n">
        <v>0.15</v>
      </c>
      <c r="CF27" s="505" t="n">
        <v>-0.025</v>
      </c>
      <c r="CG27" s="505" t="n">
        <v>0.0192</v>
      </c>
      <c r="CH27" s="505" t="n">
        <v>0</v>
      </c>
      <c r="CI27" s="505" t="n">
        <v>2.848</v>
      </c>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2.96659045500422</v>
      </c>
      <c r="BW28" s="369" t="n">
        <v>2.973</v>
      </c>
      <c r="BX28" s="370" t="n">
        <v>0.61</v>
      </c>
      <c r="BY28" s="370" t="n">
        <v>0.61</v>
      </c>
      <c r="BZ28" s="370" t="n">
        <v>0</v>
      </c>
      <c r="CA28" s="370" t="n">
        <v>0.0194226401196236</v>
      </c>
      <c r="CB28" s="370" t="n">
        <v>0</v>
      </c>
      <c r="CC28" s="505" t="n">
        <v>-0.025</v>
      </c>
      <c r="CD28" s="505" t="n">
        <v>0.0575</v>
      </c>
      <c r="CE28" s="505" t="n">
        <v>0.15</v>
      </c>
      <c r="CF28" s="505" t="n">
        <v>-0.025</v>
      </c>
      <c r="CG28" s="505" t="n">
        <v>0.0192</v>
      </c>
      <c r="CH28" s="505" t="n">
        <v>0</v>
      </c>
      <c r="CI28" s="505" t="n">
        <v>2.848</v>
      </c>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2.96659045500422</v>
      </c>
      <c r="BW29" s="369" t="n">
        <v>2.973</v>
      </c>
      <c r="BX29" s="370" t="n">
        <v>0.61</v>
      </c>
      <c r="BY29" s="370" t="n">
        <v>0.61</v>
      </c>
      <c r="BZ29" s="370" t="n">
        <v>0</v>
      </c>
      <c r="CA29" s="370" t="n">
        <v>0.0194226401196236</v>
      </c>
      <c r="CB29" s="370" t="n">
        <v>0</v>
      </c>
      <c r="CC29" s="505" t="n">
        <v>-0.025</v>
      </c>
      <c r="CD29" s="505" t="n">
        <v>0.0575</v>
      </c>
      <c r="CE29" s="505" t="n">
        <v>0.15</v>
      </c>
      <c r="CF29" s="505" t="n">
        <v>-0.025</v>
      </c>
      <c r="CG29" s="505" t="n">
        <v>0.0192</v>
      </c>
      <c r="CH29" s="505" t="n">
        <v>0</v>
      </c>
      <c r="CI29" s="505" t="n">
        <v>2.848</v>
      </c>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2.96659045500422</v>
      </c>
      <c r="BW30" s="369" t="n">
        <v>2.973</v>
      </c>
      <c r="BX30" s="370" t="n">
        <v>0.61</v>
      </c>
      <c r="BY30" s="370" t="n">
        <v>0.61</v>
      </c>
      <c r="BZ30" s="370" t="n">
        <v>0</v>
      </c>
      <c r="CA30" s="370" t="n">
        <v>0.0194226401196236</v>
      </c>
      <c r="CB30" s="370" t="n">
        <v>0</v>
      </c>
      <c r="CC30" s="505" t="n">
        <v>-0.025</v>
      </c>
      <c r="CD30" s="505" t="n">
        <v>0.0575</v>
      </c>
      <c r="CE30" s="505" t="n">
        <v>0.15</v>
      </c>
      <c r="CF30" s="505" t="n">
        <v>-0.025</v>
      </c>
      <c r="CG30" s="505" t="n">
        <v>0.0192</v>
      </c>
      <c r="CH30" s="505" t="n">
        <v>0</v>
      </c>
      <c r="CI30" s="505" t="n">
        <v>2.848</v>
      </c>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2.96659045500422</v>
      </c>
      <c r="BW31" s="369" t="n">
        <v>2.973</v>
      </c>
      <c r="BX31" s="370" t="n">
        <v>0.61</v>
      </c>
      <c r="BY31" s="370" t="n">
        <v>0.61</v>
      </c>
      <c r="BZ31" s="370" t="n">
        <v>0</v>
      </c>
      <c r="CA31" s="370" t="n">
        <v>0.0194226401196236</v>
      </c>
      <c r="CB31" s="370" t="n">
        <v>0</v>
      </c>
      <c r="CC31" s="505" t="n">
        <v>-0.025</v>
      </c>
      <c r="CD31" s="505" t="n">
        <v>0.0575</v>
      </c>
      <c r="CE31" s="505" t="n">
        <v>0.15</v>
      </c>
      <c r="CF31" s="505" t="n">
        <v>-0.025</v>
      </c>
      <c r="CG31" s="505" t="n">
        <v>0.0192</v>
      </c>
      <c r="CH31" s="505" t="n">
        <v>0</v>
      </c>
      <c r="CI31" s="505" t="n">
        <v>2.848</v>
      </c>
    </row>
    <row r="32" customFormat="false" ht="12.75" hidden="false" customHeight="false" outlineLevel="0" collapsed="false">
      <c r="A32" s="500"/>
      <c r="B32" s="500"/>
      <c r="K32" s="363"/>
      <c r="L32" s="501"/>
      <c r="N32" s="502"/>
      <c r="O32" s="502"/>
      <c r="P32" s="371"/>
      <c r="Q32" s="501"/>
      <c r="R32" s="501"/>
      <c r="U32" s="501"/>
      <c r="V32" s="503"/>
      <c r="W32" s="503"/>
      <c r="X32" s="503"/>
      <c r="Y32" s="504"/>
      <c r="Z32" s="504"/>
      <c r="AA32" s="504"/>
      <c r="AB32" s="504"/>
      <c r="AC32" s="504"/>
      <c r="AF32" s="378"/>
      <c r="AG32" s="378"/>
      <c r="AH32" s="378"/>
      <c r="AI32" s="378"/>
      <c r="AL32" s="505"/>
      <c r="AM32" s="505"/>
      <c r="AN32" s="505"/>
      <c r="AO32" s="505"/>
      <c r="AQ32" s="370"/>
      <c r="AT32" s="370"/>
      <c r="AV32" s="134"/>
      <c r="AW32" s="370"/>
      <c r="AX32" s="370"/>
      <c r="AY32" s="370"/>
      <c r="AZ32" s="370"/>
      <c r="BA32" s="507"/>
      <c r="BB32" s="505"/>
      <c r="BC32" s="505"/>
      <c r="BD32" s="370"/>
      <c r="BE32" s="370"/>
      <c r="BF32" s="370"/>
      <c r="BG32" s="370"/>
      <c r="BH32" s="370"/>
      <c r="BI32" s="370"/>
      <c r="BJ32" s="370"/>
      <c r="BK32" s="370"/>
      <c r="BL32" s="370"/>
      <c r="BM32" s="370"/>
      <c r="BO32" s="370"/>
      <c r="BP32" s="370"/>
      <c r="BQ32" s="370"/>
      <c r="BR32" s="370"/>
      <c r="BS32" s="370"/>
      <c r="BV32" s="508"/>
      <c r="BW32" s="369"/>
      <c r="BX32" s="370"/>
      <c r="BY32" s="370"/>
      <c r="BZ32" s="370"/>
      <c r="CA32" s="370"/>
      <c r="CB32" s="370"/>
      <c r="CC32" s="505"/>
      <c r="CD32" s="505"/>
      <c r="CE32" s="505"/>
      <c r="CF32" s="505"/>
    </row>
    <row r="33" customFormat="false" ht="12.75" hidden="false" customHeight="false" outlineLevel="0" collapsed="false">
      <c r="A33" s="500"/>
      <c r="B33" s="500"/>
      <c r="K33" s="363"/>
      <c r="L33" s="501"/>
      <c r="N33" s="502"/>
      <c r="O33" s="502"/>
      <c r="P33" s="371"/>
      <c r="Q33" s="501"/>
      <c r="R33" s="501"/>
      <c r="U33" s="501"/>
      <c r="V33" s="503"/>
      <c r="W33" s="503"/>
      <c r="X33" s="503"/>
      <c r="Y33" s="504"/>
      <c r="Z33" s="504"/>
      <c r="AA33" s="504"/>
      <c r="AB33" s="504"/>
      <c r="AC33" s="504"/>
      <c r="AF33" s="378"/>
      <c r="AG33" s="378"/>
      <c r="AH33" s="378"/>
      <c r="AI33" s="378"/>
      <c r="AL33" s="505"/>
      <c r="AM33" s="505"/>
      <c r="AN33" s="505"/>
      <c r="AO33" s="505"/>
      <c r="AQ33" s="370"/>
      <c r="AT33" s="370"/>
      <c r="AV33" s="134"/>
      <c r="AW33" s="370"/>
      <c r="AX33" s="370"/>
      <c r="AY33" s="370"/>
      <c r="AZ33" s="370"/>
      <c r="BA33" s="507"/>
      <c r="BB33" s="505"/>
      <c r="BC33" s="505"/>
      <c r="BD33" s="370"/>
      <c r="BE33" s="370"/>
      <c r="BF33" s="370"/>
      <c r="BG33" s="370"/>
      <c r="BH33" s="370"/>
      <c r="BI33" s="370"/>
      <c r="BJ33" s="370"/>
      <c r="BK33" s="370"/>
      <c r="BL33" s="370"/>
      <c r="BM33" s="370"/>
      <c r="BO33" s="370"/>
      <c r="BP33" s="370"/>
      <c r="BQ33" s="370"/>
      <c r="BR33" s="370"/>
      <c r="BS33" s="370"/>
      <c r="BV33" s="508"/>
      <c r="BW33" s="369"/>
      <c r="BX33" s="370"/>
      <c r="BY33" s="370"/>
      <c r="BZ33" s="370"/>
      <c r="CA33" s="370"/>
      <c r="CB33" s="370"/>
      <c r="CC33" s="505"/>
      <c r="CD33" s="505"/>
      <c r="CE33" s="505"/>
      <c r="CF33" s="505"/>
    </row>
    <row r="34" customFormat="false" ht="12.75" hidden="false" customHeight="false" outlineLevel="0" collapsed="false">
      <c r="A34" s="500"/>
      <c r="B34" s="500"/>
      <c r="K34" s="363"/>
      <c r="L34" s="501"/>
      <c r="N34" s="502"/>
      <c r="O34" s="502"/>
      <c r="P34" s="371"/>
      <c r="Q34" s="501"/>
      <c r="R34" s="501"/>
      <c r="U34" s="501"/>
      <c r="V34" s="503"/>
      <c r="W34" s="503"/>
      <c r="X34" s="503"/>
      <c r="Y34" s="504"/>
      <c r="Z34" s="504"/>
      <c r="AA34" s="504"/>
      <c r="AB34" s="504"/>
      <c r="AC34" s="504"/>
      <c r="AF34" s="378"/>
      <c r="AG34" s="378"/>
      <c r="AH34" s="378"/>
      <c r="AI34" s="378"/>
      <c r="AL34" s="505"/>
      <c r="AM34" s="505"/>
      <c r="AN34" s="505"/>
      <c r="AO34" s="505"/>
      <c r="AQ34" s="370"/>
      <c r="AT34" s="370"/>
      <c r="AV34" s="134"/>
      <c r="AW34" s="370"/>
      <c r="AX34" s="370"/>
      <c r="AY34" s="370"/>
      <c r="AZ34" s="370"/>
      <c r="BA34" s="507"/>
      <c r="BB34" s="505"/>
      <c r="BC34" s="505"/>
      <c r="BD34" s="370"/>
      <c r="BE34" s="370"/>
      <c r="BF34" s="370"/>
      <c r="BG34" s="370"/>
      <c r="BH34" s="370"/>
      <c r="BI34" s="370"/>
      <c r="BJ34" s="370"/>
      <c r="BK34" s="370"/>
      <c r="BL34" s="370"/>
      <c r="BM34" s="370"/>
      <c r="BO34" s="370"/>
      <c r="BP34" s="370"/>
      <c r="BQ34" s="370"/>
      <c r="BR34" s="370"/>
      <c r="BS34" s="370"/>
      <c r="BV34" s="508"/>
      <c r="BW34" s="369"/>
      <c r="BX34" s="370"/>
      <c r="BY34" s="370"/>
      <c r="BZ34" s="370"/>
      <c r="CA34" s="370"/>
      <c r="CB34" s="370"/>
      <c r="CC34" s="505"/>
      <c r="CD34" s="505"/>
      <c r="CE34" s="505"/>
      <c r="CF34" s="505"/>
    </row>
    <row r="35" customFormat="false" ht="12.75" hidden="false" customHeight="false" outlineLevel="0" collapsed="false">
      <c r="A35" s="500"/>
      <c r="B35" s="500"/>
      <c r="K35" s="363"/>
      <c r="L35" s="501"/>
      <c r="N35" s="502"/>
      <c r="O35" s="502"/>
      <c r="P35" s="371"/>
      <c r="Q35" s="501"/>
      <c r="R35" s="501"/>
      <c r="U35" s="501"/>
      <c r="V35" s="503"/>
      <c r="W35" s="503"/>
      <c r="X35" s="503"/>
      <c r="Y35" s="504"/>
      <c r="Z35" s="504"/>
      <c r="AA35" s="504"/>
      <c r="AB35" s="504"/>
      <c r="AC35" s="504"/>
      <c r="AF35" s="378"/>
      <c r="AG35" s="378"/>
      <c r="AH35" s="378"/>
      <c r="AI35" s="378"/>
      <c r="AL35" s="505"/>
      <c r="AM35" s="505"/>
      <c r="AN35" s="505"/>
      <c r="AO35" s="505"/>
      <c r="AQ35" s="370"/>
      <c r="AT35" s="370"/>
      <c r="AV35" s="134"/>
      <c r="AW35" s="370"/>
      <c r="AX35" s="370"/>
      <c r="AY35" s="370"/>
      <c r="AZ35" s="370"/>
      <c r="BA35" s="507"/>
      <c r="BB35" s="505"/>
      <c r="BC35" s="505"/>
      <c r="BD35" s="370"/>
      <c r="BE35" s="370"/>
      <c r="BF35" s="370"/>
      <c r="BG35" s="370"/>
      <c r="BH35" s="370"/>
      <c r="BI35" s="370"/>
      <c r="BJ35" s="370"/>
      <c r="BK35" s="370"/>
      <c r="BL35" s="370"/>
      <c r="BM35" s="370"/>
      <c r="BO35" s="370"/>
      <c r="BP35" s="370"/>
      <c r="BQ35" s="370"/>
      <c r="BR35" s="370"/>
      <c r="BS35" s="370"/>
      <c r="BV35" s="508"/>
      <c r="BW35" s="369"/>
      <c r="BX35" s="370"/>
      <c r="BY35" s="370"/>
      <c r="BZ35" s="370"/>
      <c r="CA35" s="370"/>
      <c r="CB35" s="370"/>
      <c r="CC35" s="505"/>
      <c r="CD35" s="505"/>
      <c r="CE35" s="505"/>
      <c r="CF35" s="505"/>
    </row>
    <row r="36" customFormat="false" ht="12.75" hidden="false" customHeight="false" outlineLevel="0" collapsed="false">
      <c r="A36" s="500"/>
      <c r="B36" s="500"/>
      <c r="K36" s="363"/>
      <c r="L36" s="501"/>
      <c r="N36" s="502"/>
      <c r="O36" s="502"/>
      <c r="P36" s="371"/>
      <c r="Q36" s="501"/>
      <c r="R36" s="501"/>
      <c r="U36" s="501"/>
      <c r="V36" s="503"/>
      <c r="W36" s="503"/>
      <c r="X36" s="503"/>
      <c r="Y36" s="504"/>
      <c r="Z36" s="504"/>
      <c r="AA36" s="504"/>
      <c r="AB36" s="504"/>
      <c r="AC36" s="504"/>
      <c r="AF36" s="378"/>
      <c r="AG36" s="378"/>
      <c r="AH36" s="378"/>
      <c r="AI36" s="378"/>
      <c r="AL36" s="505"/>
      <c r="AM36" s="505"/>
      <c r="AN36" s="505"/>
      <c r="AO36" s="505"/>
      <c r="AQ36" s="370"/>
      <c r="AT36" s="370"/>
      <c r="AV36" s="134"/>
      <c r="AW36" s="370"/>
      <c r="AX36" s="370"/>
      <c r="AY36" s="370"/>
      <c r="AZ36" s="370"/>
      <c r="BA36" s="507"/>
      <c r="BB36" s="505"/>
      <c r="BC36" s="505"/>
      <c r="BD36" s="370"/>
      <c r="BE36" s="370"/>
      <c r="BF36" s="370"/>
      <c r="BG36" s="370"/>
      <c r="BH36" s="370"/>
      <c r="BI36" s="370"/>
      <c r="BJ36" s="370"/>
      <c r="BK36" s="370"/>
      <c r="BL36" s="370"/>
      <c r="BM36" s="370"/>
      <c r="BO36" s="370"/>
      <c r="BP36" s="370"/>
      <c r="BQ36" s="370"/>
      <c r="BR36" s="370"/>
      <c r="BS36" s="370"/>
      <c r="BV36" s="508"/>
      <c r="BW36" s="369"/>
      <c r="BX36" s="370"/>
      <c r="BY36" s="370"/>
      <c r="BZ36" s="370"/>
      <c r="CA36" s="370"/>
      <c r="CB36" s="370"/>
      <c r="CC36" s="505"/>
      <c r="CD36" s="505"/>
      <c r="CE36" s="505"/>
      <c r="CF36" s="505"/>
    </row>
    <row r="37" customFormat="false" ht="12.75" hidden="false" customHeight="false" outlineLevel="0" collapsed="false">
      <c r="A37" s="512"/>
      <c r="B37" s="512"/>
      <c r="K37" s="363"/>
      <c r="L37" s="501"/>
      <c r="N37" s="502"/>
      <c r="O37" s="502"/>
      <c r="P37" s="371"/>
      <c r="Q37" s="501"/>
      <c r="R37" s="501"/>
      <c r="U37" s="501"/>
      <c r="V37" s="503"/>
      <c r="W37" s="503"/>
      <c r="X37" s="503"/>
      <c r="Y37" s="504"/>
      <c r="Z37" s="504"/>
      <c r="AA37" s="504"/>
      <c r="AB37" s="504"/>
      <c r="AC37" s="504"/>
      <c r="AF37" s="378"/>
      <c r="AG37" s="378"/>
      <c r="AH37" s="378"/>
      <c r="AI37" s="378"/>
      <c r="AL37" s="505"/>
      <c r="AM37" s="505"/>
      <c r="AN37" s="505"/>
      <c r="AO37" s="505"/>
      <c r="AQ37" s="370"/>
      <c r="AT37" s="370"/>
      <c r="AV37" s="134"/>
      <c r="AW37" s="370"/>
      <c r="AX37" s="370"/>
      <c r="AY37" s="370"/>
      <c r="AZ37" s="370"/>
      <c r="BA37" s="507"/>
      <c r="BB37" s="505"/>
      <c r="BC37" s="505"/>
      <c r="BD37" s="370"/>
      <c r="BE37" s="370"/>
      <c r="BF37" s="370"/>
      <c r="BG37" s="370"/>
      <c r="BH37" s="370"/>
      <c r="BI37" s="370"/>
      <c r="BJ37" s="370"/>
      <c r="BK37" s="370"/>
      <c r="BL37" s="370"/>
      <c r="BM37" s="370"/>
      <c r="BO37" s="370"/>
      <c r="BP37" s="370"/>
      <c r="BQ37" s="370"/>
      <c r="BR37" s="370"/>
      <c r="BS37" s="370"/>
      <c r="BV37" s="508"/>
      <c r="BW37" s="369"/>
      <c r="BX37" s="370"/>
      <c r="BY37" s="370"/>
      <c r="BZ37" s="370"/>
      <c r="CA37" s="370"/>
      <c r="CB37" s="370"/>
      <c r="CC37" s="505"/>
      <c r="CD37" s="505"/>
      <c r="CE37" s="505"/>
      <c r="CF37" s="505"/>
    </row>
    <row r="38" customFormat="false" ht="12.75" hidden="false" customHeight="false" outlineLevel="0" collapsed="false">
      <c r="A38" s="500"/>
      <c r="B38" s="500"/>
      <c r="K38" s="363"/>
      <c r="L38" s="501"/>
      <c r="N38" s="502"/>
      <c r="O38" s="502"/>
      <c r="P38" s="371"/>
      <c r="Q38" s="501"/>
      <c r="R38" s="501"/>
      <c r="U38" s="501"/>
      <c r="V38" s="503"/>
      <c r="W38" s="503"/>
      <c r="X38" s="503"/>
      <c r="Y38" s="504"/>
      <c r="Z38" s="504"/>
      <c r="AA38" s="504"/>
      <c r="AB38" s="504"/>
      <c r="AC38" s="504"/>
      <c r="AF38" s="378"/>
      <c r="AG38" s="378"/>
      <c r="AH38" s="378"/>
      <c r="AI38" s="378"/>
      <c r="AL38" s="505"/>
      <c r="AM38" s="505"/>
      <c r="AN38" s="505"/>
      <c r="AO38" s="505"/>
      <c r="AQ38" s="370"/>
      <c r="AT38" s="370"/>
      <c r="AV38" s="134"/>
      <c r="AW38" s="370"/>
      <c r="AX38" s="370"/>
      <c r="AY38" s="370"/>
      <c r="AZ38" s="370"/>
      <c r="BA38" s="507"/>
      <c r="BB38" s="505"/>
      <c r="BC38" s="505"/>
      <c r="BD38" s="370"/>
      <c r="BE38" s="370"/>
      <c r="BF38" s="370"/>
      <c r="BG38" s="370"/>
      <c r="BH38" s="370"/>
      <c r="BI38" s="370"/>
      <c r="BJ38" s="370"/>
      <c r="BK38" s="370"/>
      <c r="BL38" s="370"/>
      <c r="BM38" s="370"/>
      <c r="BO38" s="370"/>
      <c r="BP38" s="370"/>
      <c r="BQ38" s="370"/>
      <c r="BR38" s="370"/>
      <c r="BS38" s="370"/>
      <c r="BV38" s="508"/>
      <c r="BW38" s="369"/>
      <c r="BX38" s="370"/>
      <c r="BY38" s="370"/>
      <c r="BZ38" s="370"/>
      <c r="CA38" s="370"/>
      <c r="CB38" s="370"/>
      <c r="CC38" s="505"/>
      <c r="CD38" s="505"/>
      <c r="CE38" s="505"/>
      <c r="CF38" s="505"/>
    </row>
    <row r="39" customFormat="false" ht="12.75" hidden="false" customHeight="false" outlineLevel="0" collapsed="false">
      <c r="A39" s="500"/>
      <c r="B39" s="500"/>
      <c r="K39" s="363"/>
      <c r="L39" s="501"/>
      <c r="N39" s="502"/>
      <c r="O39" s="502"/>
      <c r="P39" s="371"/>
      <c r="Q39" s="501"/>
      <c r="R39" s="501"/>
      <c r="U39" s="501"/>
      <c r="V39" s="503"/>
      <c r="W39" s="503"/>
      <c r="X39" s="503"/>
      <c r="Y39" s="504"/>
      <c r="Z39" s="504"/>
      <c r="AA39" s="504"/>
      <c r="AB39" s="504"/>
      <c r="AC39" s="504"/>
      <c r="AF39" s="378"/>
      <c r="AG39" s="378"/>
      <c r="AH39" s="378"/>
      <c r="AI39" s="378"/>
      <c r="AL39" s="505"/>
      <c r="AM39" s="505"/>
      <c r="AN39" s="505"/>
      <c r="AO39" s="505"/>
      <c r="AQ39" s="370"/>
      <c r="AT39" s="370"/>
      <c r="AV39" s="134"/>
      <c r="AW39" s="370"/>
      <c r="AX39" s="370"/>
      <c r="AY39" s="370"/>
      <c r="AZ39" s="370"/>
      <c r="BA39" s="507"/>
      <c r="BB39" s="505"/>
      <c r="BC39" s="505"/>
      <c r="BD39" s="370"/>
      <c r="BE39" s="370"/>
      <c r="BF39" s="370"/>
      <c r="BG39" s="370"/>
      <c r="BH39" s="370"/>
      <c r="BI39" s="370"/>
      <c r="BJ39" s="370"/>
      <c r="BK39" s="370"/>
      <c r="BL39" s="370"/>
      <c r="BM39" s="370"/>
      <c r="BO39" s="370"/>
      <c r="BP39" s="370"/>
      <c r="BQ39" s="370"/>
      <c r="BR39" s="370"/>
      <c r="BS39" s="370"/>
      <c r="BV39" s="508"/>
      <c r="BW39" s="369"/>
      <c r="BX39" s="370"/>
      <c r="BY39" s="370"/>
      <c r="BZ39" s="370"/>
      <c r="CA39" s="370"/>
      <c r="CB39" s="370"/>
      <c r="CC39" s="505"/>
      <c r="CD39" s="505"/>
      <c r="CE39" s="505"/>
      <c r="CF39" s="505"/>
    </row>
    <row r="40" customFormat="false" ht="12.75" hidden="false" customHeight="false" outlineLevel="0" collapsed="false">
      <c r="A40" s="500"/>
      <c r="B40" s="500"/>
      <c r="K40" s="363"/>
      <c r="L40" s="501"/>
      <c r="N40" s="502"/>
      <c r="O40" s="502"/>
      <c r="P40" s="371"/>
      <c r="Q40" s="501"/>
      <c r="R40" s="501"/>
      <c r="U40" s="501"/>
      <c r="V40" s="503"/>
      <c r="W40" s="503"/>
      <c r="X40" s="503"/>
      <c r="Y40" s="504"/>
      <c r="Z40" s="504"/>
      <c r="AA40" s="504"/>
      <c r="AB40" s="504"/>
      <c r="AC40" s="504"/>
      <c r="AF40" s="378"/>
      <c r="AG40" s="378"/>
      <c r="AH40" s="378"/>
      <c r="AI40" s="378"/>
      <c r="AL40" s="505"/>
      <c r="AM40" s="505"/>
      <c r="AN40" s="505"/>
      <c r="AO40" s="505"/>
      <c r="AQ40" s="370"/>
      <c r="AT40" s="370"/>
      <c r="AV40" s="134"/>
      <c r="AW40" s="370"/>
      <c r="AX40" s="370"/>
      <c r="AY40" s="370"/>
      <c r="AZ40" s="370"/>
      <c r="BA40" s="507"/>
      <c r="BB40" s="505"/>
      <c r="BC40" s="505"/>
      <c r="BD40" s="370"/>
      <c r="BE40" s="370"/>
      <c r="BF40" s="370"/>
      <c r="BG40" s="370"/>
      <c r="BH40" s="370"/>
      <c r="BI40" s="370"/>
      <c r="BJ40" s="370"/>
      <c r="BK40" s="370"/>
      <c r="BL40" s="370"/>
      <c r="BM40" s="370"/>
      <c r="BO40" s="370"/>
      <c r="BP40" s="370"/>
      <c r="BQ40" s="370"/>
      <c r="BR40" s="370"/>
      <c r="BS40" s="370"/>
      <c r="BV40" s="508"/>
      <c r="BW40" s="369"/>
      <c r="BX40" s="370"/>
      <c r="BY40" s="370"/>
      <c r="BZ40" s="370"/>
      <c r="CA40" s="370"/>
      <c r="CB40" s="370"/>
      <c r="CC40" s="505"/>
      <c r="CD40" s="505"/>
      <c r="CE40" s="505"/>
      <c r="CF40" s="505"/>
    </row>
    <row r="41" customFormat="false" ht="12.75" hidden="false" customHeight="false" outlineLevel="0" collapsed="false">
      <c r="A41" s="500"/>
      <c r="B41" s="500"/>
      <c r="K41" s="363"/>
      <c r="L41" s="501"/>
      <c r="N41" s="502"/>
      <c r="O41" s="502"/>
      <c r="P41" s="371"/>
      <c r="Q41" s="501"/>
      <c r="R41" s="501"/>
      <c r="U41" s="501"/>
      <c r="V41" s="503"/>
      <c r="W41" s="503"/>
      <c r="X41" s="503"/>
      <c r="Y41" s="504"/>
      <c r="Z41" s="504"/>
      <c r="AA41" s="504"/>
      <c r="AB41" s="504"/>
      <c r="AC41" s="504"/>
      <c r="AF41" s="378"/>
      <c r="AG41" s="378"/>
      <c r="AH41" s="378"/>
      <c r="AI41" s="378"/>
      <c r="AL41" s="505"/>
      <c r="AM41" s="505"/>
      <c r="AN41" s="505"/>
      <c r="AO41" s="505"/>
      <c r="AQ41" s="370"/>
      <c r="AT41" s="370"/>
      <c r="AV41" s="134"/>
      <c r="AW41" s="370"/>
      <c r="AX41" s="370"/>
      <c r="AY41" s="370"/>
      <c r="AZ41" s="370"/>
      <c r="BA41" s="507"/>
      <c r="BB41" s="505"/>
      <c r="BC41" s="505"/>
      <c r="BD41" s="370"/>
      <c r="BE41" s="370"/>
      <c r="BF41" s="370"/>
      <c r="BG41" s="370"/>
      <c r="BH41" s="370"/>
      <c r="BI41" s="370"/>
      <c r="BJ41" s="370"/>
      <c r="BK41" s="370"/>
      <c r="BL41" s="370"/>
      <c r="BM41" s="370"/>
      <c r="BO41" s="370"/>
      <c r="BP41" s="370"/>
      <c r="BQ41" s="370"/>
      <c r="BR41" s="370"/>
      <c r="BS41" s="370"/>
      <c r="BV41" s="508"/>
      <c r="BW41" s="369"/>
      <c r="BX41" s="370"/>
      <c r="BY41" s="370"/>
      <c r="BZ41" s="370"/>
      <c r="CA41" s="370"/>
      <c r="CB41" s="370"/>
      <c r="CC41" s="505"/>
      <c r="CD41" s="505"/>
      <c r="CE41" s="505"/>
      <c r="CF41" s="505"/>
    </row>
    <row r="42" customFormat="false" ht="12.75" hidden="false" customHeight="false" outlineLevel="0" collapsed="false">
      <c r="A42" s="500"/>
      <c r="B42" s="500"/>
      <c r="K42" s="363"/>
      <c r="L42" s="501"/>
      <c r="N42" s="502"/>
      <c r="O42" s="502"/>
      <c r="P42" s="371"/>
      <c r="Q42" s="501"/>
      <c r="R42" s="501"/>
      <c r="U42" s="501"/>
      <c r="V42" s="503"/>
      <c r="W42" s="503"/>
      <c r="X42" s="503"/>
      <c r="Y42" s="504"/>
      <c r="Z42" s="504"/>
      <c r="AA42" s="504"/>
      <c r="AB42" s="504"/>
      <c r="AC42" s="504"/>
      <c r="AF42" s="378"/>
      <c r="AG42" s="378"/>
      <c r="AH42" s="378"/>
      <c r="AI42" s="378"/>
      <c r="AL42" s="505"/>
      <c r="AM42" s="505"/>
      <c r="AN42" s="505"/>
      <c r="AO42" s="505"/>
      <c r="AQ42" s="370"/>
      <c r="AT42" s="370"/>
      <c r="AV42" s="134"/>
      <c r="AW42" s="370"/>
      <c r="AX42" s="370"/>
      <c r="AY42" s="370"/>
      <c r="AZ42" s="370"/>
      <c r="BA42" s="507"/>
      <c r="BB42" s="505"/>
      <c r="BC42" s="505"/>
      <c r="BD42" s="370"/>
      <c r="BE42" s="370"/>
      <c r="BF42" s="370"/>
      <c r="BG42" s="370"/>
      <c r="BH42" s="370"/>
      <c r="BI42" s="370"/>
      <c r="BJ42" s="370"/>
      <c r="BK42" s="370"/>
      <c r="BL42" s="370"/>
      <c r="BM42" s="370"/>
      <c r="BO42" s="370"/>
      <c r="BP42" s="370"/>
      <c r="BQ42" s="370"/>
      <c r="BR42" s="370"/>
      <c r="BS42" s="370"/>
      <c r="BV42" s="508"/>
      <c r="BW42" s="369"/>
      <c r="BX42" s="370"/>
      <c r="BY42" s="370"/>
      <c r="BZ42" s="370"/>
      <c r="CA42" s="370"/>
      <c r="CB42" s="370"/>
      <c r="CC42" s="505"/>
      <c r="CD42" s="505"/>
      <c r="CE42" s="505"/>
      <c r="CF42" s="505"/>
    </row>
    <row r="43" customFormat="false" ht="12.75" hidden="false" customHeight="false" outlineLevel="0" collapsed="false">
      <c r="A43" s="500"/>
      <c r="B43" s="500"/>
      <c r="K43" s="363"/>
      <c r="L43" s="501"/>
      <c r="N43" s="502"/>
      <c r="O43" s="502"/>
      <c r="P43" s="371"/>
      <c r="Q43" s="501"/>
      <c r="R43" s="501"/>
      <c r="U43" s="501"/>
      <c r="V43" s="503"/>
      <c r="W43" s="503"/>
      <c r="X43" s="503"/>
      <c r="Y43" s="504"/>
      <c r="Z43" s="504"/>
      <c r="AA43" s="504"/>
      <c r="AB43" s="504"/>
      <c r="AC43" s="504"/>
      <c r="AF43" s="378"/>
      <c r="AG43" s="378"/>
      <c r="AH43" s="378"/>
      <c r="AI43" s="378"/>
      <c r="AL43" s="505"/>
      <c r="AM43" s="505"/>
      <c r="AN43" s="505"/>
      <c r="AO43" s="505"/>
      <c r="AQ43" s="370"/>
      <c r="AT43" s="370"/>
      <c r="AV43" s="134"/>
      <c r="AW43" s="370"/>
      <c r="AX43" s="370"/>
      <c r="AY43" s="370"/>
      <c r="AZ43" s="370"/>
      <c r="BA43" s="507"/>
      <c r="BB43" s="505"/>
      <c r="BC43" s="505"/>
      <c r="BD43" s="370"/>
      <c r="BE43" s="370"/>
      <c r="BF43" s="370"/>
      <c r="BG43" s="370"/>
      <c r="BH43" s="370"/>
      <c r="BI43" s="370"/>
      <c r="BJ43" s="370"/>
      <c r="BK43" s="370"/>
      <c r="BL43" s="370"/>
      <c r="BM43" s="370"/>
      <c r="BO43" s="370"/>
      <c r="BP43" s="370"/>
      <c r="BQ43" s="370"/>
      <c r="BR43" s="370"/>
      <c r="BS43" s="370"/>
      <c r="BV43" s="508"/>
      <c r="BW43" s="369"/>
      <c r="BX43" s="370"/>
      <c r="BY43" s="370"/>
      <c r="BZ43" s="370"/>
      <c r="CA43" s="370"/>
      <c r="CB43" s="370"/>
      <c r="CC43" s="505"/>
      <c r="CD43" s="505"/>
      <c r="CE43" s="505"/>
      <c r="CF43" s="505"/>
    </row>
    <row r="44" customFormat="false" ht="12.75" hidden="false" customHeight="false" outlineLevel="0" collapsed="false">
      <c r="A44" s="500"/>
      <c r="B44" s="500"/>
      <c r="K44" s="363"/>
      <c r="L44" s="501"/>
      <c r="N44" s="502"/>
      <c r="O44" s="502"/>
      <c r="P44" s="371"/>
      <c r="Q44" s="501"/>
      <c r="R44" s="501"/>
      <c r="U44" s="501"/>
      <c r="V44" s="503"/>
      <c r="W44" s="503"/>
      <c r="X44" s="503"/>
      <c r="Y44" s="504"/>
      <c r="Z44" s="504"/>
      <c r="AA44" s="504"/>
      <c r="AB44" s="504"/>
      <c r="AC44" s="504"/>
      <c r="AF44" s="378"/>
      <c r="AG44" s="378"/>
      <c r="AH44" s="378"/>
      <c r="AI44" s="378"/>
      <c r="AL44" s="505"/>
      <c r="AM44" s="505"/>
      <c r="AN44" s="505"/>
      <c r="AO44" s="505"/>
      <c r="AQ44" s="370"/>
      <c r="AT44" s="370"/>
      <c r="AV44" s="134"/>
      <c r="AW44" s="370"/>
      <c r="AX44" s="370"/>
      <c r="AY44" s="370"/>
      <c r="AZ44" s="370"/>
      <c r="BA44" s="507"/>
      <c r="BB44" s="505"/>
      <c r="BC44" s="505"/>
      <c r="BD44" s="370"/>
      <c r="BE44" s="370"/>
      <c r="BF44" s="370"/>
      <c r="BG44" s="370"/>
      <c r="BH44" s="370"/>
      <c r="BI44" s="370"/>
      <c r="BJ44" s="370"/>
      <c r="BK44" s="370"/>
      <c r="BL44" s="370"/>
      <c r="BM44" s="370"/>
      <c r="BO44" s="370"/>
      <c r="BP44" s="370"/>
      <c r="BQ44" s="370"/>
      <c r="BR44" s="370"/>
      <c r="BS44" s="370"/>
      <c r="BV44" s="508"/>
      <c r="BW44" s="369"/>
      <c r="BX44" s="370"/>
      <c r="BY44" s="370"/>
      <c r="BZ44" s="370"/>
      <c r="CA44" s="370"/>
      <c r="CB44" s="370"/>
      <c r="CC44" s="505"/>
      <c r="CD44" s="505"/>
      <c r="CE44" s="505"/>
      <c r="CF44" s="505"/>
    </row>
    <row r="45" customFormat="false" ht="12.75" hidden="false" customHeight="false" outlineLevel="0" collapsed="false">
      <c r="A45" s="500"/>
      <c r="B45" s="500"/>
      <c r="K45" s="363"/>
      <c r="L45" s="501"/>
      <c r="N45" s="502"/>
      <c r="O45" s="502"/>
      <c r="P45" s="371"/>
      <c r="Q45" s="501"/>
      <c r="R45" s="501"/>
      <c r="U45" s="501"/>
      <c r="V45" s="503"/>
      <c r="W45" s="503"/>
      <c r="X45" s="503"/>
      <c r="Y45" s="504"/>
      <c r="Z45" s="504"/>
      <c r="AA45" s="504"/>
      <c r="AB45" s="504"/>
      <c r="AC45" s="504"/>
      <c r="AF45" s="378"/>
      <c r="AG45" s="378"/>
      <c r="AH45" s="378"/>
      <c r="AI45" s="378"/>
      <c r="AL45" s="505"/>
      <c r="AM45" s="505"/>
      <c r="AN45" s="505"/>
      <c r="AO45" s="505"/>
      <c r="AQ45" s="370"/>
      <c r="AT45" s="370"/>
      <c r="AV45" s="134"/>
      <c r="AW45" s="370"/>
      <c r="AX45" s="370"/>
      <c r="AY45" s="370"/>
      <c r="AZ45" s="370"/>
      <c r="BA45" s="507"/>
      <c r="BB45" s="505"/>
      <c r="BC45" s="505"/>
      <c r="BD45" s="370"/>
      <c r="BE45" s="370"/>
      <c r="BF45" s="370"/>
      <c r="BG45" s="370"/>
      <c r="BH45" s="370"/>
      <c r="BI45" s="370"/>
      <c r="BJ45" s="370"/>
      <c r="BK45" s="370"/>
      <c r="BL45" s="370"/>
      <c r="BM45" s="370"/>
      <c r="BO45" s="370"/>
      <c r="BP45" s="370"/>
      <c r="BQ45" s="370"/>
      <c r="BR45" s="370"/>
      <c r="BS45" s="370"/>
      <c r="BV45" s="508"/>
      <c r="BW45" s="369"/>
      <c r="BX45" s="370"/>
      <c r="BY45" s="370"/>
      <c r="BZ45" s="370"/>
      <c r="CA45" s="370"/>
      <c r="CB45" s="370"/>
      <c r="CC45" s="505"/>
      <c r="CD45" s="505"/>
      <c r="CE45" s="505"/>
      <c r="CF45" s="505"/>
    </row>
    <row r="46" customFormat="false" ht="12.75" hidden="false" customHeight="false" outlineLevel="0" collapsed="false">
      <c r="A46" s="500"/>
      <c r="B46" s="500"/>
      <c r="K46" s="363"/>
      <c r="L46" s="501"/>
      <c r="N46" s="502"/>
      <c r="O46" s="502"/>
      <c r="P46" s="371"/>
      <c r="Q46" s="501"/>
      <c r="R46" s="501"/>
      <c r="U46" s="501"/>
      <c r="V46" s="503"/>
      <c r="W46" s="503"/>
      <c r="X46" s="503"/>
      <c r="Y46" s="504"/>
      <c r="Z46" s="504"/>
      <c r="AA46" s="504"/>
      <c r="AB46" s="504"/>
      <c r="AC46" s="504"/>
      <c r="AF46" s="378"/>
      <c r="AG46" s="378"/>
      <c r="AH46" s="378"/>
      <c r="AI46" s="378"/>
      <c r="AL46" s="505"/>
      <c r="AM46" s="505"/>
      <c r="AN46" s="505"/>
      <c r="AO46" s="505"/>
      <c r="AQ46" s="370"/>
      <c r="AT46" s="370"/>
      <c r="AV46" s="134"/>
      <c r="AW46" s="370"/>
      <c r="AX46" s="370"/>
      <c r="AY46" s="370"/>
      <c r="AZ46" s="370"/>
      <c r="BA46" s="507"/>
      <c r="BB46" s="505"/>
      <c r="BC46" s="505"/>
      <c r="BD46" s="370"/>
      <c r="BE46" s="370"/>
      <c r="BF46" s="370"/>
      <c r="BG46" s="370"/>
      <c r="BH46" s="370"/>
      <c r="BI46" s="370"/>
      <c r="BJ46" s="370"/>
      <c r="BK46" s="370"/>
      <c r="BL46" s="370"/>
      <c r="BM46" s="370"/>
      <c r="BO46" s="370"/>
      <c r="BP46" s="370"/>
      <c r="BQ46" s="370"/>
      <c r="BR46" s="370"/>
      <c r="BS46" s="370"/>
      <c r="BV46" s="508"/>
      <c r="BW46" s="369"/>
      <c r="BX46" s="370"/>
      <c r="BY46" s="370"/>
      <c r="BZ46" s="370"/>
      <c r="CA46" s="370"/>
      <c r="CB46" s="370"/>
      <c r="CC46" s="505"/>
      <c r="CD46" s="505"/>
      <c r="CE46" s="505"/>
      <c r="CF46" s="505"/>
    </row>
    <row r="47" customFormat="false" ht="12.75" hidden="false" customHeight="false" outlineLevel="0" collapsed="false">
      <c r="A47" s="500"/>
      <c r="B47" s="500"/>
      <c r="K47" s="363"/>
      <c r="L47" s="501"/>
      <c r="N47" s="502"/>
      <c r="O47" s="502"/>
      <c r="P47" s="371"/>
      <c r="Q47" s="501"/>
      <c r="R47" s="501"/>
      <c r="U47" s="501"/>
      <c r="V47" s="503"/>
      <c r="W47" s="503"/>
      <c r="X47" s="503"/>
      <c r="Y47" s="504"/>
      <c r="Z47" s="504"/>
      <c r="AA47" s="504"/>
      <c r="AB47" s="504"/>
      <c r="AC47" s="504"/>
      <c r="AF47" s="378"/>
      <c r="AG47" s="378"/>
      <c r="AH47" s="378"/>
      <c r="AI47" s="378"/>
      <c r="AL47" s="505"/>
      <c r="AM47" s="505"/>
      <c r="AN47" s="505"/>
      <c r="AO47" s="505"/>
      <c r="AQ47" s="370"/>
      <c r="AT47" s="370"/>
      <c r="AV47" s="134"/>
      <c r="AW47" s="370"/>
      <c r="AX47" s="370"/>
      <c r="AY47" s="370"/>
      <c r="AZ47" s="370"/>
      <c r="BA47" s="507"/>
      <c r="BB47" s="505"/>
      <c r="BC47" s="505"/>
      <c r="BD47" s="370"/>
      <c r="BE47" s="370"/>
      <c r="BF47" s="370"/>
      <c r="BG47" s="370"/>
      <c r="BH47" s="370"/>
      <c r="BI47" s="370"/>
      <c r="BJ47" s="370"/>
      <c r="BK47" s="370"/>
      <c r="BL47" s="370"/>
      <c r="BM47" s="370"/>
      <c r="BO47" s="370"/>
      <c r="BP47" s="370"/>
      <c r="BQ47" s="370"/>
      <c r="BR47" s="370"/>
      <c r="BS47" s="370"/>
      <c r="BV47" s="508"/>
      <c r="BW47" s="369"/>
      <c r="BX47" s="370"/>
      <c r="BY47" s="370"/>
      <c r="BZ47" s="370"/>
      <c r="CA47" s="370"/>
      <c r="CB47" s="370"/>
      <c r="CC47" s="505"/>
      <c r="CD47" s="505"/>
      <c r="CE47" s="505"/>
      <c r="CF47" s="505"/>
    </row>
    <row r="48" customFormat="false" ht="12.75" hidden="false" customHeight="false" outlineLevel="0" collapsed="false">
      <c r="A48" s="500"/>
      <c r="B48" s="500"/>
      <c r="K48" s="363"/>
      <c r="L48" s="501"/>
      <c r="N48" s="502"/>
      <c r="O48" s="502"/>
      <c r="P48" s="371"/>
      <c r="Q48" s="501"/>
      <c r="R48" s="501"/>
      <c r="U48" s="501"/>
      <c r="V48" s="503"/>
      <c r="W48" s="503"/>
      <c r="X48" s="503"/>
      <c r="Y48" s="504"/>
      <c r="Z48" s="504"/>
      <c r="AA48" s="504"/>
      <c r="AB48" s="504"/>
      <c r="AC48" s="504"/>
      <c r="AF48" s="378"/>
      <c r="AG48" s="378"/>
      <c r="AH48" s="378"/>
      <c r="AI48" s="378"/>
      <c r="AL48" s="505"/>
      <c r="AM48" s="505"/>
      <c r="AN48" s="505"/>
      <c r="AO48" s="505"/>
      <c r="AQ48" s="370"/>
      <c r="AT48" s="370"/>
      <c r="AV48" s="134"/>
      <c r="AW48" s="370"/>
      <c r="AX48" s="370"/>
      <c r="AY48" s="370"/>
      <c r="AZ48" s="370"/>
      <c r="BA48" s="507"/>
      <c r="BB48" s="505"/>
      <c r="BC48" s="505"/>
      <c r="BD48" s="370"/>
      <c r="BE48" s="370"/>
      <c r="BF48" s="370"/>
      <c r="BG48" s="370"/>
      <c r="BH48" s="370"/>
      <c r="BI48" s="370"/>
      <c r="BJ48" s="370"/>
      <c r="BK48" s="370"/>
      <c r="BL48" s="370"/>
      <c r="BM48" s="370"/>
      <c r="BO48" s="370"/>
      <c r="BP48" s="370"/>
      <c r="BQ48" s="370"/>
      <c r="BR48" s="370"/>
      <c r="BS48" s="370"/>
      <c r="BV48" s="508"/>
      <c r="BW48" s="369"/>
      <c r="BX48" s="370"/>
      <c r="BY48" s="370"/>
      <c r="BZ48" s="370"/>
      <c r="CA48" s="370"/>
      <c r="CB48" s="370"/>
      <c r="CC48" s="505"/>
      <c r="CD48" s="505"/>
      <c r="CE48" s="505"/>
      <c r="CF48" s="505"/>
    </row>
    <row r="49" customFormat="false" ht="12.75" hidden="false" customHeight="false" outlineLevel="0" collapsed="false">
      <c r="A49" s="500"/>
      <c r="B49" s="500"/>
      <c r="K49" s="363"/>
      <c r="L49" s="501"/>
      <c r="N49" s="502"/>
      <c r="O49" s="502"/>
      <c r="P49" s="371"/>
      <c r="Q49" s="501"/>
      <c r="R49" s="501"/>
      <c r="U49" s="501"/>
      <c r="V49" s="503"/>
      <c r="W49" s="503"/>
      <c r="X49" s="503"/>
      <c r="Y49" s="504"/>
      <c r="Z49" s="504"/>
      <c r="AA49" s="504"/>
      <c r="AB49" s="504"/>
      <c r="AC49" s="504"/>
      <c r="AF49" s="378"/>
      <c r="AG49" s="378"/>
      <c r="AH49" s="378"/>
      <c r="AI49" s="378"/>
      <c r="AL49" s="505"/>
      <c r="AM49" s="505"/>
      <c r="AN49" s="505"/>
      <c r="AO49" s="505"/>
      <c r="AQ49" s="370"/>
      <c r="AT49" s="370"/>
      <c r="AV49" s="134"/>
      <c r="AW49" s="370"/>
      <c r="AX49" s="370"/>
      <c r="AY49" s="370"/>
      <c r="AZ49" s="370"/>
      <c r="BA49" s="507"/>
      <c r="BB49" s="505"/>
      <c r="BC49" s="505"/>
      <c r="BD49" s="370"/>
      <c r="BE49" s="370"/>
      <c r="BF49" s="370"/>
      <c r="BG49" s="370"/>
      <c r="BH49" s="370"/>
      <c r="BI49" s="370"/>
      <c r="BJ49" s="370"/>
      <c r="BK49" s="370"/>
      <c r="BL49" s="370"/>
      <c r="BM49" s="370"/>
      <c r="BO49" s="370"/>
      <c r="BP49" s="370"/>
      <c r="BQ49" s="370"/>
      <c r="BR49" s="370"/>
      <c r="BS49" s="370"/>
      <c r="BV49" s="508"/>
      <c r="BW49" s="369"/>
      <c r="BX49" s="370"/>
      <c r="BY49" s="370"/>
      <c r="BZ49" s="370"/>
      <c r="CA49" s="370"/>
      <c r="CB49" s="370"/>
      <c r="CC49" s="505"/>
      <c r="CD49" s="505"/>
      <c r="CE49" s="505"/>
      <c r="CF49" s="505"/>
    </row>
    <row r="50" customFormat="false" ht="12.75" hidden="false" customHeight="false" outlineLevel="0" collapsed="false">
      <c r="A50" s="500"/>
      <c r="B50" s="500"/>
      <c r="K50" s="363"/>
      <c r="L50" s="501"/>
      <c r="N50" s="502"/>
      <c r="O50" s="502"/>
      <c r="P50" s="371"/>
      <c r="Q50" s="501"/>
      <c r="R50" s="501"/>
      <c r="U50" s="501"/>
      <c r="V50" s="503"/>
      <c r="W50" s="503"/>
      <c r="X50" s="503"/>
      <c r="Y50" s="504"/>
      <c r="Z50" s="504"/>
      <c r="AA50" s="504"/>
      <c r="AB50" s="504"/>
      <c r="AC50" s="504"/>
      <c r="AF50" s="378"/>
      <c r="AG50" s="378"/>
      <c r="AH50" s="378"/>
      <c r="AI50" s="378"/>
      <c r="AL50" s="505"/>
      <c r="AM50" s="505"/>
      <c r="AN50" s="505"/>
      <c r="AO50" s="505"/>
      <c r="AQ50" s="370"/>
      <c r="AT50" s="370"/>
      <c r="AV50" s="134"/>
      <c r="AW50" s="370"/>
      <c r="AX50" s="370"/>
      <c r="AY50" s="370"/>
      <c r="AZ50" s="370"/>
      <c r="BA50" s="507"/>
      <c r="BB50" s="505"/>
      <c r="BC50" s="505"/>
      <c r="BD50" s="370"/>
      <c r="BE50" s="370"/>
      <c r="BF50" s="370"/>
      <c r="BG50" s="370"/>
      <c r="BH50" s="370"/>
      <c r="BI50" s="370"/>
      <c r="BJ50" s="370"/>
      <c r="BK50" s="370"/>
      <c r="BL50" s="370"/>
      <c r="BM50" s="370"/>
      <c r="BO50" s="370"/>
      <c r="BP50" s="370"/>
      <c r="BQ50" s="370"/>
      <c r="BR50" s="370"/>
      <c r="BS50" s="370"/>
      <c r="BV50" s="508"/>
      <c r="BW50" s="369"/>
      <c r="BX50" s="370"/>
      <c r="BY50" s="370"/>
      <c r="BZ50" s="370"/>
      <c r="CA50" s="370"/>
      <c r="CB50" s="370"/>
      <c r="CC50" s="505"/>
      <c r="CD50" s="505"/>
      <c r="CE50" s="505"/>
      <c r="CF50" s="505"/>
    </row>
    <row r="51" customFormat="false" ht="12.75" hidden="false" customHeight="false" outlineLevel="0" collapsed="false">
      <c r="A51" s="500"/>
      <c r="B51" s="500"/>
      <c r="K51" s="363"/>
      <c r="L51" s="501"/>
      <c r="N51" s="502"/>
      <c r="O51" s="502"/>
      <c r="P51" s="371"/>
      <c r="Q51" s="501"/>
      <c r="R51" s="501"/>
      <c r="U51" s="501"/>
      <c r="V51" s="503"/>
      <c r="W51" s="503"/>
      <c r="X51" s="503"/>
      <c r="Y51" s="504"/>
      <c r="Z51" s="504"/>
      <c r="AA51" s="504"/>
      <c r="AB51" s="504"/>
      <c r="AC51" s="504"/>
      <c r="AF51" s="378"/>
      <c r="AG51" s="378"/>
      <c r="AH51" s="378"/>
      <c r="AI51" s="378"/>
      <c r="AL51" s="505"/>
      <c r="AM51" s="505"/>
      <c r="AN51" s="505"/>
      <c r="AO51" s="505"/>
      <c r="AQ51" s="370"/>
      <c r="AT51" s="370"/>
      <c r="AV51" s="134"/>
      <c r="AW51" s="370"/>
      <c r="AX51" s="370"/>
      <c r="AY51" s="370"/>
      <c r="AZ51" s="370"/>
      <c r="BA51" s="507"/>
      <c r="BB51" s="505"/>
      <c r="BC51" s="505"/>
      <c r="BD51" s="370"/>
      <c r="BE51" s="370"/>
      <c r="BF51" s="370"/>
      <c r="BG51" s="370"/>
      <c r="BH51" s="370"/>
      <c r="BI51" s="370"/>
      <c r="BJ51" s="370"/>
      <c r="BK51" s="370"/>
      <c r="BL51" s="370"/>
      <c r="BM51" s="370"/>
      <c r="BO51" s="370"/>
      <c r="BP51" s="370"/>
      <c r="BQ51" s="370"/>
      <c r="BR51" s="370"/>
      <c r="BS51" s="370"/>
      <c r="BV51" s="508"/>
      <c r="BW51" s="369"/>
      <c r="BX51" s="370"/>
      <c r="BY51" s="370"/>
      <c r="BZ51" s="370"/>
      <c r="CA51" s="370"/>
      <c r="CB51" s="370"/>
      <c r="CC51" s="505"/>
      <c r="CD51" s="505"/>
      <c r="CE51" s="505"/>
      <c r="CF51" s="505"/>
    </row>
    <row r="52" customFormat="false" ht="12.75" hidden="false" customHeight="false" outlineLevel="0" collapsed="false">
      <c r="A52" s="500"/>
      <c r="B52" s="500"/>
      <c r="K52" s="363"/>
      <c r="L52" s="501"/>
      <c r="N52" s="502"/>
      <c r="O52" s="502"/>
      <c r="P52" s="371"/>
      <c r="Q52" s="501"/>
      <c r="R52" s="501"/>
      <c r="U52" s="501"/>
      <c r="V52" s="503"/>
      <c r="W52" s="503"/>
      <c r="X52" s="503"/>
      <c r="Y52" s="504"/>
      <c r="Z52" s="504"/>
      <c r="AA52" s="504"/>
      <c r="AB52" s="504"/>
      <c r="AC52" s="504"/>
      <c r="AF52" s="378"/>
      <c r="AG52" s="378"/>
      <c r="AH52" s="378"/>
      <c r="AI52" s="378"/>
      <c r="AL52" s="505"/>
      <c r="AM52" s="505"/>
      <c r="AN52" s="505"/>
      <c r="AO52" s="505"/>
      <c r="AQ52" s="370"/>
      <c r="AT52" s="370"/>
      <c r="AV52" s="134"/>
      <c r="AW52" s="370"/>
      <c r="AX52" s="370"/>
      <c r="AY52" s="370"/>
      <c r="AZ52" s="370"/>
      <c r="BA52" s="507"/>
      <c r="BB52" s="505"/>
      <c r="BC52" s="505"/>
      <c r="BD52" s="370"/>
      <c r="BE52" s="370"/>
      <c r="BF52" s="370"/>
      <c r="BG52" s="370"/>
      <c r="BH52" s="370"/>
      <c r="BI52" s="370"/>
      <c r="BJ52" s="370"/>
      <c r="BK52" s="370"/>
      <c r="BL52" s="370"/>
      <c r="BM52" s="370"/>
      <c r="BO52" s="370"/>
      <c r="BP52" s="370"/>
      <c r="BQ52" s="370"/>
      <c r="BR52" s="370"/>
      <c r="BS52" s="370"/>
      <c r="BV52" s="508"/>
      <c r="BW52" s="369"/>
      <c r="BX52" s="370"/>
      <c r="BY52" s="370"/>
      <c r="BZ52" s="370"/>
      <c r="CA52" s="370"/>
      <c r="CB52" s="370"/>
      <c r="CC52" s="505"/>
      <c r="CD52" s="505"/>
      <c r="CE52" s="505"/>
      <c r="CF52" s="505"/>
    </row>
    <row r="53" customFormat="false" ht="12.75" hidden="false" customHeight="false" outlineLevel="0" collapsed="false">
      <c r="A53" s="500"/>
      <c r="B53" s="500"/>
      <c r="K53" s="363"/>
      <c r="L53" s="501"/>
      <c r="N53" s="502"/>
      <c r="O53" s="502"/>
      <c r="P53" s="371"/>
      <c r="Q53" s="501"/>
      <c r="R53" s="501"/>
      <c r="U53" s="501"/>
      <c r="V53" s="503"/>
      <c r="W53" s="503"/>
      <c r="X53" s="503"/>
      <c r="Y53" s="504"/>
      <c r="Z53" s="504"/>
      <c r="AA53" s="504"/>
      <c r="AB53" s="504"/>
      <c r="AC53" s="504"/>
      <c r="AF53" s="378"/>
      <c r="AG53" s="378"/>
      <c r="AH53" s="378"/>
      <c r="AI53" s="378"/>
      <c r="AL53" s="505"/>
      <c r="AM53" s="505"/>
      <c r="AN53" s="505"/>
      <c r="AO53" s="505"/>
      <c r="AQ53" s="370"/>
      <c r="AT53" s="370"/>
      <c r="AV53" s="134"/>
      <c r="AW53" s="370"/>
      <c r="AX53" s="370"/>
      <c r="AY53" s="370"/>
      <c r="AZ53" s="370"/>
      <c r="BA53" s="507"/>
      <c r="BB53" s="505"/>
      <c r="BC53" s="505"/>
      <c r="BD53" s="370"/>
      <c r="BE53" s="370"/>
      <c r="BF53" s="370"/>
      <c r="BG53" s="370"/>
      <c r="BH53" s="370"/>
      <c r="BI53" s="370"/>
      <c r="BJ53" s="370"/>
      <c r="BK53" s="370"/>
      <c r="BL53" s="370"/>
      <c r="BM53" s="370"/>
      <c r="BO53" s="370"/>
      <c r="BP53" s="370"/>
      <c r="BQ53" s="370"/>
      <c r="BR53" s="370"/>
      <c r="BS53" s="370"/>
      <c r="BV53" s="508"/>
      <c r="BW53" s="369"/>
      <c r="BX53" s="370"/>
      <c r="BY53" s="370"/>
      <c r="BZ53" s="370"/>
      <c r="CA53" s="370"/>
      <c r="CB53" s="370"/>
      <c r="CC53" s="505"/>
      <c r="CD53" s="505"/>
      <c r="CE53" s="505"/>
      <c r="CF53" s="505"/>
    </row>
    <row r="54" customFormat="false" ht="12.75" hidden="false" customHeight="false" outlineLevel="0" collapsed="false">
      <c r="A54" s="500"/>
      <c r="B54" s="500"/>
      <c r="K54" s="363"/>
      <c r="L54" s="501"/>
      <c r="N54" s="502"/>
      <c r="O54" s="502"/>
      <c r="P54" s="371"/>
      <c r="Q54" s="501"/>
      <c r="R54" s="501"/>
      <c r="U54" s="501"/>
      <c r="V54" s="503"/>
      <c r="W54" s="503"/>
      <c r="X54" s="503"/>
      <c r="Y54" s="504"/>
      <c r="Z54" s="504"/>
      <c r="AA54" s="504"/>
      <c r="AB54" s="504"/>
      <c r="AC54" s="504"/>
      <c r="AF54" s="378"/>
      <c r="AG54" s="378"/>
      <c r="AH54" s="378"/>
      <c r="AI54" s="378"/>
      <c r="AL54" s="505"/>
      <c r="AM54" s="505"/>
      <c r="AN54" s="505"/>
      <c r="AO54" s="505"/>
      <c r="AQ54" s="370"/>
      <c r="AT54" s="370"/>
      <c r="AV54" s="134"/>
      <c r="AW54" s="370"/>
      <c r="AX54" s="370"/>
      <c r="AY54" s="370"/>
      <c r="AZ54" s="370"/>
      <c r="BA54" s="507"/>
      <c r="BB54" s="505"/>
      <c r="BC54" s="505"/>
      <c r="BD54" s="370"/>
      <c r="BE54" s="370"/>
      <c r="BF54" s="370"/>
      <c r="BG54" s="370"/>
      <c r="BH54" s="370"/>
      <c r="BI54" s="370"/>
      <c r="BJ54" s="370"/>
      <c r="BK54" s="370"/>
      <c r="BL54" s="370"/>
      <c r="BM54" s="370"/>
      <c r="BO54" s="370"/>
      <c r="BP54" s="370"/>
      <c r="BQ54" s="370"/>
      <c r="BR54" s="370"/>
      <c r="BS54" s="370"/>
      <c r="BV54" s="508"/>
      <c r="BW54" s="369"/>
      <c r="BX54" s="370"/>
      <c r="BY54" s="370"/>
      <c r="BZ54" s="370"/>
      <c r="CA54" s="370"/>
      <c r="CB54" s="370"/>
      <c r="CC54" s="505"/>
      <c r="CD54" s="505"/>
      <c r="CE54" s="505"/>
      <c r="CF54" s="505"/>
    </row>
    <row r="55" customFormat="false" ht="12.75" hidden="false" customHeight="false" outlineLevel="0" collapsed="false">
      <c r="A55" s="500"/>
      <c r="B55" s="500"/>
      <c r="K55" s="363"/>
      <c r="L55" s="501"/>
      <c r="N55" s="502"/>
      <c r="O55" s="502"/>
      <c r="P55" s="371"/>
      <c r="Q55" s="501"/>
      <c r="R55" s="501"/>
      <c r="U55" s="501"/>
      <c r="V55" s="503"/>
      <c r="W55" s="503"/>
      <c r="X55" s="503"/>
      <c r="Y55" s="504"/>
      <c r="Z55" s="504"/>
      <c r="AA55" s="504"/>
      <c r="AB55" s="504"/>
      <c r="AC55" s="504"/>
      <c r="AF55" s="378"/>
      <c r="AG55" s="378"/>
      <c r="AH55" s="378"/>
      <c r="AI55" s="378"/>
      <c r="AL55" s="505"/>
      <c r="AM55" s="505"/>
      <c r="AN55" s="505"/>
      <c r="AO55" s="505"/>
      <c r="AQ55" s="370"/>
      <c r="AT55" s="370"/>
      <c r="AV55" s="134"/>
      <c r="AW55" s="370"/>
      <c r="AX55" s="370"/>
      <c r="AY55" s="370"/>
      <c r="AZ55" s="370"/>
      <c r="BA55" s="507"/>
      <c r="BB55" s="505"/>
      <c r="BC55" s="505"/>
      <c r="BD55" s="370"/>
      <c r="BE55" s="370"/>
      <c r="BF55" s="370"/>
      <c r="BG55" s="370"/>
      <c r="BH55" s="370"/>
      <c r="BI55" s="370"/>
      <c r="BJ55" s="370"/>
      <c r="BK55" s="370"/>
      <c r="BL55" s="370"/>
      <c r="BM55" s="370"/>
      <c r="BO55" s="370"/>
      <c r="BP55" s="370"/>
      <c r="BQ55" s="370"/>
      <c r="BR55" s="370"/>
      <c r="BS55" s="370"/>
      <c r="BV55" s="508"/>
      <c r="BW55" s="369"/>
      <c r="BX55" s="370"/>
      <c r="BY55" s="370"/>
      <c r="BZ55" s="370"/>
      <c r="CA55" s="370"/>
      <c r="CB55" s="370"/>
      <c r="CC55" s="505"/>
      <c r="CD55" s="505"/>
      <c r="CE55" s="505"/>
      <c r="CF55" s="505"/>
    </row>
    <row r="56" customFormat="false" ht="12.75" hidden="false" customHeight="false" outlineLevel="0" collapsed="false">
      <c r="A56" s="500"/>
      <c r="B56" s="500"/>
      <c r="K56" s="363"/>
      <c r="L56" s="501"/>
      <c r="N56" s="502"/>
      <c r="O56" s="502"/>
      <c r="P56" s="371"/>
      <c r="Q56" s="501"/>
      <c r="R56" s="501"/>
      <c r="U56" s="501"/>
      <c r="V56" s="503"/>
      <c r="W56" s="503"/>
      <c r="X56" s="503"/>
      <c r="Y56" s="504"/>
      <c r="Z56" s="504"/>
      <c r="AA56" s="504"/>
      <c r="AB56" s="504"/>
      <c r="AC56" s="504"/>
      <c r="AF56" s="378"/>
      <c r="AG56" s="378"/>
      <c r="AH56" s="378"/>
      <c r="AI56" s="378"/>
      <c r="AL56" s="505"/>
      <c r="AM56" s="505"/>
      <c r="AN56" s="505"/>
      <c r="AO56" s="505"/>
      <c r="AQ56" s="370"/>
      <c r="AT56" s="370"/>
      <c r="AV56" s="134"/>
      <c r="AW56" s="370"/>
      <c r="AX56" s="370"/>
      <c r="AY56" s="370"/>
      <c r="AZ56" s="370"/>
      <c r="BA56" s="507"/>
      <c r="BB56" s="505"/>
      <c r="BC56" s="505"/>
      <c r="BD56" s="370"/>
      <c r="BE56" s="370"/>
      <c r="BF56" s="370"/>
      <c r="BG56" s="370"/>
      <c r="BH56" s="370"/>
      <c r="BI56" s="370"/>
      <c r="BJ56" s="370"/>
      <c r="BK56" s="370"/>
      <c r="BL56" s="370"/>
      <c r="BM56" s="370"/>
      <c r="BO56" s="370"/>
      <c r="BP56" s="370"/>
      <c r="BQ56" s="370"/>
      <c r="BR56" s="370"/>
      <c r="BS56" s="370"/>
      <c r="BV56" s="508"/>
      <c r="BW56" s="369"/>
      <c r="BX56" s="370"/>
      <c r="BY56" s="370"/>
      <c r="BZ56" s="370"/>
      <c r="CA56" s="370"/>
      <c r="CB56" s="370"/>
      <c r="CC56" s="505"/>
      <c r="CD56" s="505"/>
      <c r="CE56" s="505"/>
      <c r="CF56" s="505"/>
    </row>
    <row r="57" customFormat="false" ht="12.75" hidden="false" customHeight="false" outlineLevel="0" collapsed="false">
      <c r="A57" s="500"/>
      <c r="B57" s="500"/>
      <c r="K57" s="363"/>
      <c r="L57" s="501"/>
      <c r="N57" s="502"/>
      <c r="O57" s="502"/>
      <c r="P57" s="371"/>
      <c r="Q57" s="501"/>
      <c r="R57" s="501"/>
      <c r="U57" s="501"/>
      <c r="V57" s="503"/>
      <c r="W57" s="503"/>
      <c r="X57" s="503"/>
      <c r="Y57" s="504"/>
      <c r="Z57" s="504"/>
      <c r="AA57" s="504"/>
      <c r="AB57" s="504"/>
      <c r="AC57" s="504"/>
      <c r="AF57" s="378"/>
      <c r="AG57" s="378"/>
      <c r="AH57" s="378"/>
      <c r="AI57" s="378"/>
      <c r="AL57" s="505"/>
      <c r="AM57" s="505"/>
      <c r="AN57" s="505"/>
      <c r="AO57" s="505"/>
      <c r="AQ57" s="370"/>
      <c r="AT57" s="370"/>
      <c r="AV57" s="134"/>
      <c r="AW57" s="370"/>
      <c r="AX57" s="370"/>
      <c r="AY57" s="370"/>
      <c r="AZ57" s="370"/>
      <c r="BA57" s="507"/>
      <c r="BB57" s="505"/>
      <c r="BC57" s="505"/>
      <c r="BD57" s="370"/>
      <c r="BE57" s="370"/>
      <c r="BF57" s="370"/>
      <c r="BG57" s="370"/>
      <c r="BH57" s="370"/>
      <c r="BI57" s="370"/>
      <c r="BJ57" s="370"/>
      <c r="BK57" s="370"/>
      <c r="BL57" s="370"/>
      <c r="BM57" s="370"/>
      <c r="BO57" s="370"/>
      <c r="BP57" s="370"/>
      <c r="BQ57" s="370"/>
      <c r="BR57" s="370"/>
      <c r="BS57" s="370"/>
      <c r="BV57" s="508"/>
      <c r="BW57" s="369"/>
      <c r="BX57" s="370"/>
      <c r="BY57" s="370"/>
      <c r="BZ57" s="370"/>
      <c r="CA57" s="370"/>
      <c r="CB57" s="370"/>
      <c r="CC57" s="505"/>
      <c r="CD57" s="505"/>
      <c r="CE57" s="505"/>
      <c r="CF57" s="505"/>
    </row>
    <row r="58" customFormat="false" ht="12.75" hidden="false" customHeight="false" outlineLevel="0" collapsed="false">
      <c r="A58" s="500"/>
      <c r="B58" s="500"/>
      <c r="K58" s="363"/>
      <c r="L58" s="501"/>
      <c r="N58" s="502"/>
      <c r="O58" s="502"/>
      <c r="P58" s="371"/>
      <c r="Q58" s="501"/>
      <c r="R58" s="501"/>
      <c r="U58" s="501"/>
      <c r="V58" s="503"/>
      <c r="W58" s="503"/>
      <c r="X58" s="503"/>
      <c r="Y58" s="504"/>
      <c r="Z58" s="504"/>
      <c r="AA58" s="504"/>
      <c r="AB58" s="504"/>
      <c r="AC58" s="504"/>
      <c r="AF58" s="378"/>
      <c r="AG58" s="378"/>
      <c r="AH58" s="378"/>
      <c r="AI58" s="378"/>
      <c r="AL58" s="505"/>
      <c r="AM58" s="505"/>
      <c r="AN58" s="505"/>
      <c r="AO58" s="505"/>
      <c r="AQ58" s="370"/>
      <c r="AT58" s="370"/>
      <c r="AV58" s="134"/>
      <c r="AW58" s="370"/>
      <c r="AX58" s="370"/>
      <c r="AY58" s="370"/>
      <c r="AZ58" s="370"/>
      <c r="BA58" s="507"/>
      <c r="BB58" s="505"/>
      <c r="BC58" s="505"/>
      <c r="BD58" s="370"/>
      <c r="BE58" s="370"/>
      <c r="BF58" s="370"/>
      <c r="BG58" s="370"/>
      <c r="BH58" s="370"/>
      <c r="BI58" s="370"/>
      <c r="BJ58" s="370"/>
      <c r="BK58" s="370"/>
      <c r="BL58" s="370"/>
      <c r="BM58" s="370"/>
      <c r="BO58" s="370"/>
      <c r="BP58" s="370"/>
      <c r="BQ58" s="370"/>
      <c r="BR58" s="370"/>
      <c r="BS58" s="370"/>
      <c r="BV58" s="508"/>
      <c r="BW58" s="369"/>
      <c r="BX58" s="370"/>
      <c r="BY58" s="370"/>
      <c r="BZ58" s="370"/>
      <c r="CA58" s="370"/>
      <c r="CB58" s="370"/>
      <c r="CC58" s="505"/>
      <c r="CD58" s="505"/>
      <c r="CE58" s="505"/>
      <c r="CF58" s="505"/>
    </row>
    <row r="59" customFormat="false" ht="12.75" hidden="false" customHeight="false" outlineLevel="0" collapsed="false">
      <c r="A59" s="500"/>
      <c r="B59" s="500"/>
      <c r="K59" s="363"/>
      <c r="L59" s="501"/>
      <c r="N59" s="502"/>
      <c r="O59" s="502"/>
      <c r="P59" s="371"/>
      <c r="Q59" s="501"/>
      <c r="R59" s="501"/>
      <c r="U59" s="501"/>
      <c r="V59" s="503"/>
      <c r="W59" s="503"/>
      <c r="X59" s="503"/>
      <c r="Y59" s="504"/>
      <c r="Z59" s="504"/>
      <c r="AA59" s="504"/>
      <c r="AB59" s="504"/>
      <c r="AC59" s="504"/>
      <c r="AF59" s="378"/>
      <c r="AG59" s="378"/>
      <c r="AH59" s="378"/>
      <c r="AI59" s="378"/>
      <c r="AL59" s="505"/>
      <c r="AM59" s="505"/>
      <c r="AN59" s="505"/>
      <c r="AO59" s="505"/>
      <c r="AQ59" s="370"/>
      <c r="AT59" s="370"/>
      <c r="AV59" s="134"/>
      <c r="AW59" s="370"/>
      <c r="AX59" s="370"/>
      <c r="AY59" s="370"/>
      <c r="AZ59" s="370"/>
      <c r="BA59" s="507"/>
      <c r="BB59" s="505"/>
      <c r="BC59" s="505"/>
      <c r="BD59" s="370"/>
      <c r="BE59" s="370"/>
      <c r="BF59" s="370"/>
      <c r="BG59" s="370"/>
      <c r="BH59" s="370"/>
      <c r="BI59" s="370"/>
      <c r="BJ59" s="370"/>
      <c r="BK59" s="370"/>
      <c r="BL59" s="370"/>
      <c r="BM59" s="370"/>
      <c r="BO59" s="370"/>
      <c r="BP59" s="370"/>
      <c r="BQ59" s="370"/>
      <c r="BR59" s="370"/>
      <c r="BS59" s="370"/>
      <c r="BV59" s="508"/>
      <c r="BW59" s="369"/>
      <c r="BX59" s="370"/>
      <c r="BY59" s="370"/>
      <c r="BZ59" s="370"/>
      <c r="CA59" s="370"/>
      <c r="CB59" s="370"/>
      <c r="CC59" s="505"/>
      <c r="CD59" s="505"/>
      <c r="CE59" s="505"/>
      <c r="CF59" s="505"/>
    </row>
    <row r="60" customFormat="false" ht="12.75" hidden="false" customHeight="false" outlineLevel="0" collapsed="false">
      <c r="A60" s="500"/>
      <c r="B60" s="500"/>
      <c r="K60" s="363"/>
      <c r="L60" s="501"/>
      <c r="N60" s="502"/>
      <c r="O60" s="502"/>
      <c r="P60" s="371"/>
      <c r="Q60" s="501"/>
      <c r="R60" s="501"/>
      <c r="U60" s="501"/>
      <c r="V60" s="503"/>
      <c r="W60" s="503"/>
      <c r="X60" s="503"/>
      <c r="Y60" s="504"/>
      <c r="Z60" s="504"/>
      <c r="AA60" s="504"/>
      <c r="AB60" s="504"/>
      <c r="AC60" s="504"/>
      <c r="AF60" s="378"/>
      <c r="AG60" s="378"/>
      <c r="AH60" s="378"/>
      <c r="AI60" s="378"/>
      <c r="AL60" s="505"/>
      <c r="AM60" s="505"/>
      <c r="AN60" s="505"/>
      <c r="AO60" s="505"/>
      <c r="AQ60" s="370"/>
      <c r="AT60" s="370"/>
      <c r="AV60" s="134"/>
      <c r="AW60" s="370"/>
      <c r="AX60" s="370"/>
      <c r="AY60" s="370"/>
      <c r="AZ60" s="370"/>
      <c r="BA60" s="507"/>
      <c r="BB60" s="505"/>
      <c r="BC60" s="505"/>
      <c r="BD60" s="370"/>
      <c r="BE60" s="370"/>
      <c r="BF60" s="370"/>
      <c r="BG60" s="370"/>
      <c r="BH60" s="370"/>
      <c r="BI60" s="370"/>
      <c r="BJ60" s="370"/>
      <c r="BK60" s="370"/>
      <c r="BL60" s="370"/>
      <c r="BM60" s="370"/>
      <c r="BO60" s="370"/>
      <c r="BP60" s="370"/>
      <c r="BQ60" s="370"/>
      <c r="BR60" s="370"/>
      <c r="BS60" s="370"/>
      <c r="BV60" s="508"/>
      <c r="BW60" s="369"/>
      <c r="BX60" s="370"/>
      <c r="BY60" s="370"/>
      <c r="BZ60" s="370"/>
      <c r="CA60" s="370"/>
      <c r="CB60" s="370"/>
      <c r="CC60" s="505"/>
      <c r="CD60" s="505"/>
      <c r="CE60" s="505"/>
      <c r="CF60" s="505"/>
    </row>
    <row r="61" customFormat="false" ht="12.75" hidden="false" customHeight="false" outlineLevel="0" collapsed="false">
      <c r="A61" s="500"/>
      <c r="B61" s="500"/>
      <c r="K61" s="363"/>
      <c r="L61" s="501"/>
      <c r="N61" s="502"/>
      <c r="O61" s="502"/>
      <c r="P61" s="371"/>
      <c r="Q61" s="501"/>
      <c r="R61" s="501"/>
      <c r="U61" s="501"/>
      <c r="V61" s="503"/>
      <c r="W61" s="503"/>
      <c r="X61" s="503"/>
      <c r="Y61" s="504"/>
      <c r="Z61" s="504"/>
      <c r="AA61" s="504"/>
      <c r="AB61" s="504"/>
      <c r="AC61" s="504"/>
      <c r="AF61" s="378"/>
      <c r="AG61" s="378"/>
      <c r="AH61" s="378"/>
      <c r="AI61" s="378"/>
      <c r="AL61" s="505"/>
      <c r="AM61" s="505"/>
      <c r="AN61" s="505"/>
      <c r="AO61" s="505"/>
      <c r="AQ61" s="370"/>
      <c r="AT61" s="370"/>
      <c r="AV61" s="134"/>
      <c r="AW61" s="370"/>
      <c r="AX61" s="370"/>
      <c r="AY61" s="370"/>
      <c r="AZ61" s="370"/>
      <c r="BA61" s="507"/>
      <c r="BB61" s="505"/>
      <c r="BC61" s="505"/>
      <c r="BD61" s="370"/>
      <c r="BE61" s="370"/>
      <c r="BF61" s="370"/>
      <c r="BG61" s="370"/>
      <c r="BH61" s="370"/>
      <c r="BI61" s="370"/>
      <c r="BJ61" s="370"/>
      <c r="BK61" s="370"/>
      <c r="BL61" s="370"/>
      <c r="BM61" s="370"/>
      <c r="BO61" s="370"/>
      <c r="BP61" s="370"/>
      <c r="BQ61" s="370"/>
      <c r="BR61" s="370"/>
      <c r="BS61" s="370"/>
      <c r="BV61" s="508"/>
      <c r="BW61" s="369"/>
      <c r="BX61" s="370"/>
      <c r="BY61" s="370"/>
      <c r="BZ61" s="370"/>
      <c r="CA61" s="370"/>
      <c r="CB61" s="370"/>
      <c r="CC61" s="505"/>
      <c r="CD61" s="505"/>
      <c r="CE61" s="505"/>
      <c r="CF61" s="505"/>
    </row>
    <row r="62" customFormat="false" ht="12.75" hidden="false" customHeight="false" outlineLevel="0" collapsed="false">
      <c r="A62" s="500"/>
      <c r="B62" s="500"/>
      <c r="K62" s="363"/>
      <c r="L62" s="501"/>
      <c r="N62" s="502"/>
      <c r="O62" s="502"/>
      <c r="P62" s="371"/>
      <c r="Q62" s="501"/>
      <c r="R62" s="501"/>
      <c r="U62" s="501"/>
      <c r="V62" s="503"/>
      <c r="W62" s="503"/>
      <c r="X62" s="503"/>
      <c r="Y62" s="504"/>
      <c r="Z62" s="504"/>
      <c r="AA62" s="504"/>
      <c r="AB62" s="504"/>
      <c r="AC62" s="504"/>
      <c r="AF62" s="378"/>
      <c r="AG62" s="378"/>
      <c r="AH62" s="378"/>
      <c r="AI62" s="378"/>
      <c r="AL62" s="505"/>
      <c r="AM62" s="505"/>
      <c r="AN62" s="505"/>
      <c r="AO62" s="505"/>
      <c r="AQ62" s="370"/>
      <c r="AT62" s="370"/>
      <c r="AV62" s="134"/>
      <c r="AW62" s="370"/>
      <c r="AX62" s="370"/>
      <c r="AY62" s="370"/>
      <c r="AZ62" s="370"/>
      <c r="BA62" s="507"/>
      <c r="BB62" s="505"/>
      <c r="BC62" s="505"/>
      <c r="BD62" s="370"/>
      <c r="BE62" s="370"/>
      <c r="BF62" s="370"/>
      <c r="BG62" s="370"/>
      <c r="BH62" s="370"/>
      <c r="BI62" s="370"/>
      <c r="BJ62" s="370"/>
      <c r="BK62" s="370"/>
      <c r="BL62" s="370"/>
      <c r="BM62" s="370"/>
      <c r="BO62" s="370"/>
      <c r="BP62" s="370"/>
      <c r="BQ62" s="370"/>
      <c r="BR62" s="370"/>
      <c r="BS62" s="370"/>
      <c r="BV62" s="508"/>
      <c r="BW62" s="369"/>
      <c r="BX62" s="370"/>
      <c r="BY62" s="370"/>
      <c r="BZ62" s="370"/>
      <c r="CA62" s="370"/>
      <c r="CB62" s="370"/>
      <c r="CC62" s="505"/>
      <c r="CD62" s="505"/>
      <c r="CE62" s="505"/>
      <c r="CF62" s="505"/>
    </row>
    <row r="63" customFormat="false" ht="12.75" hidden="false" customHeight="false" outlineLevel="0" collapsed="false">
      <c r="A63" s="500"/>
      <c r="B63" s="500"/>
      <c r="K63" s="363"/>
      <c r="L63" s="501"/>
      <c r="N63" s="502"/>
      <c r="O63" s="502"/>
      <c r="P63" s="371"/>
      <c r="Q63" s="501"/>
      <c r="R63" s="501"/>
      <c r="U63" s="501"/>
      <c r="V63" s="503"/>
      <c r="W63" s="503"/>
      <c r="X63" s="503"/>
      <c r="Y63" s="504"/>
      <c r="Z63" s="504"/>
      <c r="AA63" s="504"/>
      <c r="AB63" s="504"/>
      <c r="AC63" s="504"/>
      <c r="AF63" s="378"/>
      <c r="AG63" s="378"/>
      <c r="AH63" s="378"/>
      <c r="AI63" s="378"/>
      <c r="AL63" s="505"/>
      <c r="AM63" s="505"/>
      <c r="AN63" s="505"/>
      <c r="AO63" s="505"/>
      <c r="AQ63" s="370"/>
      <c r="AT63" s="370"/>
      <c r="AV63" s="134"/>
      <c r="AW63" s="370"/>
      <c r="AX63" s="370"/>
      <c r="AY63" s="370"/>
      <c r="AZ63" s="370"/>
      <c r="BA63" s="507"/>
      <c r="BB63" s="505"/>
      <c r="BC63" s="505"/>
      <c r="BD63" s="370"/>
      <c r="BE63" s="370"/>
      <c r="BF63" s="370"/>
      <c r="BG63" s="370"/>
      <c r="BH63" s="370"/>
      <c r="BI63" s="370"/>
      <c r="BJ63" s="370"/>
      <c r="BK63" s="370"/>
      <c r="BL63" s="370"/>
      <c r="BM63" s="370"/>
      <c r="BO63" s="370"/>
      <c r="BP63" s="370"/>
      <c r="BQ63" s="370"/>
      <c r="BR63" s="370"/>
      <c r="BS63" s="370"/>
      <c r="BV63" s="508"/>
      <c r="BW63" s="369"/>
      <c r="BX63" s="370"/>
      <c r="BY63" s="370"/>
      <c r="BZ63" s="370"/>
      <c r="CA63" s="370"/>
      <c r="CB63" s="370"/>
      <c r="CC63" s="505"/>
      <c r="CD63" s="505"/>
      <c r="CE63" s="505"/>
      <c r="CF63" s="505"/>
    </row>
    <row r="64" customFormat="false" ht="12.75" hidden="false" customHeight="false" outlineLevel="0" collapsed="false">
      <c r="A64" s="500"/>
      <c r="B64" s="500"/>
      <c r="K64" s="363"/>
      <c r="L64" s="501"/>
      <c r="N64" s="502"/>
      <c r="O64" s="502"/>
      <c r="P64" s="371"/>
      <c r="Q64" s="501"/>
      <c r="R64" s="501"/>
      <c r="U64" s="501"/>
      <c r="V64" s="503"/>
      <c r="W64" s="503"/>
      <c r="X64" s="503"/>
      <c r="Y64" s="504"/>
      <c r="Z64" s="504"/>
      <c r="AA64" s="504"/>
      <c r="AB64" s="504"/>
      <c r="AC64" s="504"/>
      <c r="AF64" s="378"/>
      <c r="AG64" s="378"/>
      <c r="AH64" s="378"/>
      <c r="AI64" s="378"/>
      <c r="AL64" s="505"/>
      <c r="AM64" s="505"/>
      <c r="AN64" s="505"/>
      <c r="AO64" s="505"/>
      <c r="AQ64" s="370"/>
      <c r="AT64" s="370"/>
      <c r="AV64" s="134"/>
      <c r="AW64" s="370"/>
      <c r="AX64" s="370"/>
      <c r="AY64" s="370"/>
      <c r="AZ64" s="370"/>
      <c r="BA64" s="507"/>
      <c r="BB64" s="505"/>
      <c r="BC64" s="505"/>
      <c r="BD64" s="370"/>
      <c r="BE64" s="370"/>
      <c r="BF64" s="370"/>
      <c r="BG64" s="370"/>
      <c r="BH64" s="370"/>
      <c r="BI64" s="370"/>
      <c r="BJ64" s="370"/>
      <c r="BK64" s="370"/>
      <c r="BL64" s="370"/>
      <c r="BM64" s="370"/>
      <c r="BO64" s="370"/>
      <c r="BP64" s="370"/>
      <c r="BQ64" s="370"/>
      <c r="BR64" s="370"/>
      <c r="BS64" s="370"/>
      <c r="BV64" s="508"/>
      <c r="BW64" s="369"/>
      <c r="BX64" s="370"/>
      <c r="BY64" s="370"/>
      <c r="BZ64" s="370"/>
      <c r="CA64" s="370"/>
      <c r="CB64" s="370"/>
      <c r="CC64" s="505"/>
      <c r="CD64" s="505"/>
      <c r="CE64" s="505"/>
      <c r="CF64" s="505"/>
    </row>
    <row r="65" customFormat="false" ht="12.75" hidden="false" customHeight="false" outlineLevel="0" collapsed="false">
      <c r="A65" s="500"/>
      <c r="B65" s="500"/>
      <c r="K65" s="363"/>
      <c r="L65" s="501"/>
      <c r="N65" s="502"/>
      <c r="O65" s="502"/>
      <c r="P65" s="371"/>
      <c r="Q65" s="501"/>
      <c r="R65" s="501"/>
      <c r="U65" s="501"/>
      <c r="V65" s="503"/>
      <c r="W65" s="503"/>
      <c r="X65" s="503"/>
      <c r="Y65" s="504"/>
      <c r="Z65" s="504"/>
      <c r="AA65" s="504"/>
      <c r="AB65" s="504"/>
      <c r="AC65" s="504"/>
      <c r="AF65" s="378"/>
      <c r="AG65" s="378"/>
      <c r="AH65" s="378"/>
      <c r="AI65" s="378"/>
      <c r="AL65" s="505"/>
      <c r="AM65" s="505"/>
      <c r="AN65" s="505"/>
      <c r="AO65" s="505"/>
      <c r="AQ65" s="370"/>
      <c r="AT65" s="370"/>
      <c r="AV65" s="134"/>
      <c r="AW65" s="370"/>
      <c r="AX65" s="370"/>
      <c r="AY65" s="370"/>
      <c r="AZ65" s="370"/>
      <c r="BA65" s="507"/>
      <c r="BB65" s="505"/>
      <c r="BC65" s="505"/>
      <c r="BD65" s="370"/>
      <c r="BE65" s="370"/>
      <c r="BF65" s="370"/>
      <c r="BG65" s="370"/>
      <c r="BH65" s="370"/>
      <c r="BI65" s="370"/>
      <c r="BJ65" s="370"/>
      <c r="BK65" s="370"/>
      <c r="BL65" s="370"/>
      <c r="BM65" s="370"/>
      <c r="BO65" s="370"/>
      <c r="BP65" s="370"/>
      <c r="BQ65" s="370"/>
      <c r="BR65" s="370"/>
      <c r="BS65" s="370"/>
      <c r="BV65" s="508"/>
      <c r="BW65" s="369"/>
      <c r="BX65" s="370"/>
      <c r="BY65" s="370"/>
      <c r="BZ65" s="370"/>
      <c r="CA65" s="370"/>
      <c r="CB65" s="370"/>
      <c r="CC65" s="505"/>
      <c r="CD65" s="505"/>
      <c r="CE65" s="505"/>
      <c r="CF65" s="505"/>
    </row>
    <row r="66" customFormat="false" ht="12.75" hidden="false" customHeight="false" outlineLevel="0" collapsed="false">
      <c r="A66" s="500"/>
      <c r="B66" s="500"/>
      <c r="K66" s="363"/>
      <c r="L66" s="501"/>
      <c r="N66" s="502"/>
      <c r="O66" s="502"/>
      <c r="P66" s="371"/>
      <c r="Q66" s="501"/>
      <c r="R66" s="501"/>
      <c r="U66" s="501"/>
      <c r="V66" s="503"/>
      <c r="W66" s="503"/>
      <c r="X66" s="503"/>
      <c r="Y66" s="504"/>
      <c r="Z66" s="504"/>
      <c r="AA66" s="504"/>
      <c r="AB66" s="504"/>
      <c r="AC66" s="504"/>
      <c r="AF66" s="378"/>
      <c r="AG66" s="378"/>
      <c r="AH66" s="378"/>
      <c r="AI66" s="378"/>
      <c r="AL66" s="505"/>
      <c r="AM66" s="505"/>
      <c r="AN66" s="505"/>
      <c r="AO66" s="505"/>
      <c r="AQ66" s="370"/>
      <c r="AT66" s="370"/>
      <c r="AV66" s="134"/>
      <c r="AW66" s="370"/>
      <c r="AX66" s="370"/>
      <c r="AY66" s="370"/>
      <c r="AZ66" s="370"/>
      <c r="BA66" s="507"/>
      <c r="BB66" s="505"/>
      <c r="BC66" s="505"/>
      <c r="BD66" s="370"/>
      <c r="BE66" s="370"/>
      <c r="BF66" s="370"/>
      <c r="BG66" s="370"/>
      <c r="BH66" s="370"/>
      <c r="BI66" s="370"/>
      <c r="BJ66" s="370"/>
      <c r="BK66" s="370"/>
      <c r="BL66" s="370"/>
      <c r="BM66" s="370"/>
      <c r="BO66" s="370"/>
      <c r="BP66" s="370"/>
      <c r="BQ66" s="370"/>
      <c r="BR66" s="370"/>
      <c r="BS66" s="370"/>
      <c r="BV66" s="508"/>
      <c r="BW66" s="369"/>
      <c r="BX66" s="370"/>
      <c r="BY66" s="370"/>
      <c r="BZ66" s="370"/>
      <c r="CA66" s="370"/>
      <c r="CB66" s="370"/>
      <c r="CC66" s="505"/>
      <c r="CD66" s="505"/>
      <c r="CE66" s="505"/>
      <c r="CF66" s="505"/>
    </row>
    <row r="67" customFormat="false" ht="12.75" hidden="false" customHeight="false" outlineLevel="0" collapsed="false">
      <c r="A67" s="500"/>
      <c r="B67" s="500"/>
      <c r="K67" s="363"/>
      <c r="L67" s="501"/>
      <c r="N67" s="502"/>
      <c r="O67" s="502"/>
      <c r="P67" s="371"/>
      <c r="Q67" s="501"/>
      <c r="R67" s="501"/>
      <c r="U67" s="501"/>
      <c r="V67" s="503"/>
      <c r="W67" s="503"/>
      <c r="X67" s="503"/>
      <c r="Y67" s="504"/>
      <c r="Z67" s="504"/>
      <c r="AA67" s="504"/>
      <c r="AB67" s="504"/>
      <c r="AC67" s="504"/>
      <c r="AF67" s="378"/>
      <c r="AG67" s="378"/>
      <c r="AH67" s="378"/>
      <c r="AI67" s="378"/>
      <c r="AL67" s="505"/>
      <c r="AM67" s="505"/>
      <c r="AN67" s="505"/>
      <c r="AO67" s="505"/>
      <c r="AQ67" s="370"/>
      <c r="AT67" s="370"/>
      <c r="AV67" s="134"/>
      <c r="AW67" s="370"/>
      <c r="AX67" s="370"/>
      <c r="AY67" s="370"/>
      <c r="AZ67" s="370"/>
      <c r="BA67" s="507"/>
      <c r="BB67" s="505"/>
      <c r="BC67" s="505"/>
      <c r="BD67" s="370"/>
      <c r="BE67" s="370"/>
      <c r="BF67" s="370"/>
      <c r="BG67" s="370"/>
      <c r="BH67" s="370"/>
      <c r="BI67" s="370"/>
      <c r="BJ67" s="370"/>
      <c r="BK67" s="370"/>
      <c r="BL67" s="370"/>
      <c r="BM67" s="370"/>
      <c r="BO67" s="370"/>
      <c r="BP67" s="370"/>
      <c r="BQ67" s="370"/>
      <c r="BR67" s="370"/>
      <c r="BS67" s="370"/>
      <c r="BV67" s="508"/>
      <c r="BW67" s="369"/>
      <c r="BX67" s="370"/>
      <c r="BY67" s="370"/>
      <c r="BZ67" s="370"/>
      <c r="CA67" s="370"/>
      <c r="CB67" s="370"/>
      <c r="CC67" s="505"/>
      <c r="CD67" s="505"/>
      <c r="CE67" s="505"/>
      <c r="CF67" s="505"/>
    </row>
    <row r="68" customFormat="false" ht="12.75" hidden="false" customHeight="false" outlineLevel="0" collapsed="false">
      <c r="A68" s="500"/>
      <c r="B68" s="500"/>
      <c r="K68" s="363"/>
      <c r="L68" s="501"/>
      <c r="N68" s="502"/>
      <c r="O68" s="502"/>
      <c r="P68" s="371"/>
      <c r="Q68" s="501"/>
      <c r="R68" s="501"/>
      <c r="U68" s="501"/>
      <c r="V68" s="503"/>
      <c r="W68" s="503"/>
      <c r="X68" s="503"/>
      <c r="Y68" s="504"/>
      <c r="Z68" s="504"/>
      <c r="AA68" s="504"/>
      <c r="AB68" s="504"/>
      <c r="AC68" s="504"/>
      <c r="AF68" s="378"/>
      <c r="AG68" s="378"/>
      <c r="AH68" s="378"/>
      <c r="AI68" s="378"/>
      <c r="AL68" s="505"/>
      <c r="AM68" s="505"/>
      <c r="AN68" s="505"/>
      <c r="AO68" s="505"/>
      <c r="AQ68" s="370"/>
      <c r="AT68" s="370"/>
      <c r="AV68" s="134"/>
      <c r="AW68" s="370"/>
      <c r="AX68" s="370"/>
      <c r="AY68" s="370"/>
      <c r="AZ68" s="370"/>
      <c r="BA68" s="507"/>
      <c r="BB68" s="505"/>
      <c r="BC68" s="505"/>
      <c r="BD68" s="370"/>
      <c r="BE68" s="370"/>
      <c r="BF68" s="370"/>
      <c r="BG68" s="370"/>
      <c r="BH68" s="370"/>
      <c r="BI68" s="370"/>
      <c r="BJ68" s="370"/>
      <c r="BK68" s="370"/>
      <c r="BL68" s="370"/>
      <c r="BM68" s="370"/>
      <c r="BO68" s="370"/>
      <c r="BP68" s="370"/>
      <c r="BQ68" s="370"/>
      <c r="BR68" s="370"/>
      <c r="BS68" s="370"/>
      <c r="BV68" s="508"/>
      <c r="BW68" s="369"/>
      <c r="BX68" s="370"/>
      <c r="BY68" s="370"/>
      <c r="BZ68" s="370"/>
      <c r="CA68" s="370"/>
      <c r="CB68" s="370"/>
      <c r="CC68" s="505"/>
      <c r="CD68" s="505"/>
      <c r="CE68" s="505"/>
      <c r="CF68" s="505"/>
    </row>
    <row r="69" customFormat="false" ht="12.75" hidden="false" customHeight="false" outlineLevel="0" collapsed="false">
      <c r="A69" s="500"/>
      <c r="B69" s="500"/>
      <c r="K69" s="363"/>
      <c r="L69" s="501"/>
      <c r="N69" s="502"/>
      <c r="O69" s="502"/>
      <c r="P69" s="371"/>
      <c r="Q69" s="501"/>
      <c r="R69" s="501"/>
      <c r="U69" s="501"/>
      <c r="V69" s="503"/>
      <c r="W69" s="503"/>
      <c r="X69" s="503"/>
      <c r="Y69" s="504"/>
      <c r="Z69" s="504"/>
      <c r="AA69" s="504"/>
      <c r="AB69" s="504"/>
      <c r="AC69" s="504"/>
      <c r="AF69" s="378"/>
      <c r="AG69" s="378"/>
      <c r="AH69" s="378"/>
      <c r="AI69" s="378"/>
      <c r="AL69" s="505"/>
      <c r="AM69" s="505"/>
      <c r="AN69" s="505"/>
      <c r="AO69" s="505"/>
      <c r="AQ69" s="370"/>
      <c r="AT69" s="370"/>
      <c r="AV69" s="134"/>
      <c r="AW69" s="370"/>
      <c r="AX69" s="370"/>
      <c r="AY69" s="370"/>
      <c r="AZ69" s="370"/>
      <c r="BA69" s="507"/>
      <c r="BB69" s="505"/>
      <c r="BC69" s="505"/>
      <c r="BD69" s="370"/>
      <c r="BE69" s="370"/>
      <c r="BF69" s="370"/>
      <c r="BG69" s="370"/>
      <c r="BH69" s="370"/>
      <c r="BI69" s="370"/>
      <c r="BJ69" s="370"/>
      <c r="BK69" s="370"/>
      <c r="BL69" s="370"/>
      <c r="BM69" s="370"/>
      <c r="BO69" s="370"/>
      <c r="BP69" s="370"/>
      <c r="BQ69" s="370"/>
      <c r="BR69" s="370"/>
      <c r="BS69" s="370"/>
      <c r="BV69" s="508"/>
      <c r="BW69" s="369"/>
      <c r="BX69" s="370"/>
      <c r="BY69" s="370"/>
      <c r="BZ69" s="370"/>
      <c r="CA69" s="370"/>
      <c r="CB69" s="370"/>
      <c r="CC69" s="505"/>
      <c r="CD69" s="505"/>
      <c r="CE69" s="505"/>
      <c r="CF69" s="505"/>
    </row>
    <row r="70" customFormat="false" ht="12.75" hidden="false" customHeight="false" outlineLevel="0" collapsed="false">
      <c r="A70" s="500"/>
      <c r="B70" s="500"/>
      <c r="K70" s="363"/>
      <c r="L70" s="501"/>
      <c r="N70" s="502"/>
      <c r="O70" s="502"/>
      <c r="P70" s="371"/>
      <c r="Q70" s="501"/>
      <c r="R70" s="501"/>
      <c r="U70" s="501"/>
      <c r="V70" s="503"/>
      <c r="W70" s="503"/>
      <c r="X70" s="503"/>
      <c r="Y70" s="504"/>
      <c r="Z70" s="504"/>
      <c r="AA70" s="504"/>
      <c r="AB70" s="504"/>
      <c r="AC70" s="504"/>
      <c r="AF70" s="378"/>
      <c r="AG70" s="378"/>
      <c r="AH70" s="378"/>
      <c r="AI70" s="378"/>
      <c r="AL70" s="505"/>
      <c r="AM70" s="505"/>
      <c r="AN70" s="505"/>
      <c r="AO70" s="505"/>
      <c r="AQ70" s="370"/>
      <c r="AT70" s="370"/>
      <c r="AV70" s="134"/>
      <c r="AW70" s="370"/>
      <c r="AX70" s="370"/>
      <c r="AY70" s="370"/>
      <c r="AZ70" s="370"/>
      <c r="BA70" s="507"/>
      <c r="BB70" s="505"/>
      <c r="BC70" s="505"/>
      <c r="BD70" s="370"/>
      <c r="BE70" s="370"/>
      <c r="BF70" s="370"/>
      <c r="BG70" s="370"/>
      <c r="BH70" s="370"/>
      <c r="BI70" s="370"/>
      <c r="BJ70" s="370"/>
      <c r="BK70" s="370"/>
      <c r="BL70" s="370"/>
      <c r="BM70" s="370"/>
      <c r="BO70" s="370"/>
      <c r="BP70" s="370"/>
      <c r="BQ70" s="370"/>
      <c r="BR70" s="370"/>
      <c r="BS70" s="370"/>
      <c r="BV70" s="508"/>
      <c r="BW70" s="369"/>
      <c r="BX70" s="370"/>
      <c r="BY70" s="370"/>
      <c r="BZ70" s="370"/>
      <c r="CA70" s="370"/>
      <c r="CB70" s="370"/>
      <c r="CC70" s="505"/>
      <c r="CD70" s="505"/>
      <c r="CE70" s="505"/>
      <c r="CF70" s="505"/>
    </row>
    <row r="71" customFormat="false" ht="12.75" hidden="false" customHeight="false" outlineLevel="0" collapsed="false">
      <c r="A71" s="500"/>
      <c r="B71" s="500"/>
      <c r="K71" s="363"/>
      <c r="L71" s="501"/>
      <c r="N71" s="502"/>
      <c r="O71" s="502"/>
      <c r="P71" s="371"/>
      <c r="Q71" s="501"/>
      <c r="R71" s="501"/>
      <c r="U71" s="501"/>
      <c r="V71" s="503"/>
      <c r="W71" s="503"/>
      <c r="X71" s="503"/>
      <c r="Y71" s="504"/>
      <c r="Z71" s="504"/>
      <c r="AA71" s="504"/>
      <c r="AB71" s="504"/>
      <c r="AC71" s="504"/>
      <c r="AF71" s="378"/>
      <c r="AG71" s="378"/>
      <c r="AH71" s="378"/>
      <c r="AI71" s="378"/>
      <c r="AL71" s="505"/>
      <c r="AM71" s="505"/>
      <c r="AN71" s="505"/>
      <c r="AO71" s="505"/>
      <c r="AQ71" s="370"/>
      <c r="AT71" s="370"/>
      <c r="AV71" s="134"/>
      <c r="AW71" s="370"/>
      <c r="AX71" s="370"/>
      <c r="AY71" s="370"/>
      <c r="AZ71" s="370"/>
      <c r="BA71" s="507"/>
      <c r="BB71" s="505"/>
      <c r="BC71" s="505"/>
      <c r="BD71" s="370"/>
      <c r="BE71" s="370"/>
      <c r="BF71" s="370"/>
      <c r="BG71" s="370"/>
      <c r="BH71" s="370"/>
      <c r="BI71" s="370"/>
      <c r="BJ71" s="370"/>
      <c r="BK71" s="370"/>
      <c r="BL71" s="370"/>
      <c r="BM71" s="370"/>
      <c r="BO71" s="370"/>
      <c r="BP71" s="370"/>
      <c r="BQ71" s="370"/>
      <c r="BR71" s="370"/>
      <c r="BS71" s="370"/>
      <c r="BV71" s="508"/>
      <c r="BW71" s="369"/>
      <c r="BX71" s="370"/>
      <c r="BY71" s="370"/>
      <c r="BZ71" s="370"/>
      <c r="CA71" s="370"/>
      <c r="CB71" s="370"/>
      <c r="CC71" s="505"/>
      <c r="CD71" s="505"/>
      <c r="CE71" s="505"/>
      <c r="CF71" s="505"/>
    </row>
    <row r="72" customFormat="false" ht="12.75" hidden="false" customHeight="false" outlineLevel="0" collapsed="false">
      <c r="A72" s="500"/>
      <c r="B72" s="500"/>
      <c r="K72" s="363"/>
      <c r="L72" s="501"/>
      <c r="N72" s="502"/>
      <c r="O72" s="502"/>
      <c r="P72" s="371"/>
      <c r="Q72" s="501"/>
      <c r="R72" s="501"/>
      <c r="U72" s="501"/>
      <c r="V72" s="503"/>
      <c r="W72" s="503"/>
      <c r="X72" s="503"/>
      <c r="Y72" s="504"/>
      <c r="Z72" s="504"/>
      <c r="AA72" s="504"/>
      <c r="AB72" s="504"/>
      <c r="AC72" s="504"/>
      <c r="AF72" s="378"/>
      <c r="AG72" s="378"/>
      <c r="AH72" s="378"/>
      <c r="AI72" s="378"/>
      <c r="AL72" s="505"/>
      <c r="AM72" s="505"/>
      <c r="AN72" s="505"/>
      <c r="AO72" s="505"/>
      <c r="AQ72" s="370"/>
      <c r="AT72" s="370"/>
      <c r="AV72" s="134"/>
      <c r="AW72" s="370"/>
      <c r="AX72" s="370"/>
      <c r="AY72" s="370"/>
      <c r="AZ72" s="370"/>
      <c r="BA72" s="507"/>
      <c r="BB72" s="505"/>
      <c r="BC72" s="505"/>
      <c r="BD72" s="370"/>
      <c r="BE72" s="370"/>
      <c r="BF72" s="370"/>
      <c r="BG72" s="370"/>
      <c r="BH72" s="370"/>
      <c r="BI72" s="370"/>
      <c r="BJ72" s="370"/>
      <c r="BK72" s="370"/>
      <c r="BL72" s="370"/>
      <c r="BM72" s="370"/>
      <c r="BO72" s="370"/>
      <c r="BP72" s="370"/>
      <c r="BQ72" s="370"/>
      <c r="BR72" s="370"/>
      <c r="BS72" s="370"/>
      <c r="BV72" s="508"/>
      <c r="BW72" s="369"/>
      <c r="BX72" s="370"/>
      <c r="BY72" s="370"/>
      <c r="BZ72" s="370"/>
      <c r="CA72" s="370"/>
      <c r="CB72" s="370"/>
      <c r="CC72" s="505"/>
      <c r="CD72" s="505"/>
      <c r="CE72" s="505"/>
      <c r="CF72" s="505"/>
    </row>
    <row r="73" customFormat="false" ht="12.75" hidden="false" customHeight="false" outlineLevel="0" collapsed="false">
      <c r="A73" s="500"/>
      <c r="B73" s="500"/>
      <c r="K73" s="363"/>
      <c r="L73" s="501"/>
      <c r="N73" s="502"/>
      <c r="O73" s="502"/>
      <c r="P73" s="371"/>
      <c r="Q73" s="501"/>
      <c r="R73" s="501"/>
      <c r="U73" s="501"/>
      <c r="V73" s="503"/>
      <c r="W73" s="503"/>
      <c r="X73" s="503"/>
      <c r="Y73" s="504"/>
      <c r="Z73" s="504"/>
      <c r="AA73" s="504"/>
      <c r="AB73" s="504"/>
      <c r="AC73" s="504"/>
      <c r="AF73" s="378"/>
      <c r="AG73" s="378"/>
      <c r="AH73" s="378"/>
      <c r="AI73" s="378"/>
      <c r="AL73" s="505"/>
      <c r="AM73" s="505"/>
      <c r="AN73" s="505"/>
      <c r="AO73" s="505"/>
      <c r="AQ73" s="370"/>
      <c r="AT73" s="370"/>
      <c r="AV73" s="134"/>
      <c r="AW73" s="370"/>
      <c r="AX73" s="370"/>
      <c r="AY73" s="370"/>
      <c r="AZ73" s="370"/>
      <c r="BA73" s="507"/>
      <c r="BB73" s="505"/>
      <c r="BC73" s="505"/>
      <c r="BD73" s="370"/>
      <c r="BE73" s="370"/>
      <c r="BF73" s="370"/>
      <c r="BG73" s="370"/>
      <c r="BH73" s="370"/>
      <c r="BI73" s="370"/>
      <c r="BJ73" s="370"/>
      <c r="BK73" s="370"/>
      <c r="BL73" s="370"/>
      <c r="BM73" s="370"/>
      <c r="BO73" s="370"/>
      <c r="BP73" s="370"/>
      <c r="BQ73" s="370"/>
      <c r="BR73" s="370"/>
      <c r="BS73" s="370"/>
      <c r="BV73" s="508"/>
      <c r="BW73" s="369"/>
      <c r="BX73" s="370"/>
      <c r="BY73" s="370"/>
      <c r="BZ73" s="370"/>
      <c r="CA73" s="370"/>
      <c r="CB73" s="370"/>
      <c r="CC73" s="505"/>
      <c r="CD73" s="505"/>
      <c r="CE73" s="505"/>
      <c r="CF73" s="505"/>
    </row>
    <row r="74" customFormat="false" ht="12.75" hidden="false" customHeight="false" outlineLevel="0" collapsed="false">
      <c r="A74" s="500"/>
      <c r="B74" s="500"/>
      <c r="K74" s="363"/>
      <c r="L74" s="501"/>
      <c r="N74" s="502"/>
      <c r="O74" s="502"/>
      <c r="P74" s="371"/>
      <c r="Q74" s="501"/>
      <c r="R74" s="501"/>
      <c r="U74" s="501"/>
      <c r="V74" s="503"/>
      <c r="W74" s="503"/>
      <c r="X74" s="503"/>
      <c r="Y74" s="504"/>
      <c r="Z74" s="504"/>
      <c r="AA74" s="504"/>
      <c r="AB74" s="504"/>
      <c r="AC74" s="504"/>
      <c r="AF74" s="378"/>
      <c r="AG74" s="378"/>
      <c r="AH74" s="378"/>
      <c r="AI74" s="378"/>
      <c r="AL74" s="505"/>
      <c r="AM74" s="505"/>
      <c r="AN74" s="505"/>
      <c r="AO74" s="505"/>
      <c r="AQ74" s="370"/>
      <c r="AT74" s="370"/>
      <c r="AV74" s="134"/>
      <c r="AW74" s="370"/>
      <c r="AX74" s="370"/>
      <c r="AY74" s="370"/>
      <c r="AZ74" s="370"/>
      <c r="BA74" s="507"/>
      <c r="BB74" s="505"/>
      <c r="BC74" s="505"/>
      <c r="BD74" s="370"/>
      <c r="BE74" s="370"/>
      <c r="BF74" s="370"/>
      <c r="BG74" s="370"/>
      <c r="BH74" s="370"/>
      <c r="BI74" s="370"/>
      <c r="BJ74" s="370"/>
      <c r="BK74" s="370"/>
      <c r="BL74" s="370"/>
      <c r="BM74" s="370"/>
      <c r="BO74" s="370"/>
      <c r="BP74" s="370"/>
      <c r="BQ74" s="370"/>
      <c r="BR74" s="370"/>
      <c r="BS74" s="370"/>
      <c r="BV74" s="508"/>
      <c r="BW74" s="369"/>
      <c r="BX74" s="370"/>
      <c r="BY74" s="370"/>
      <c r="BZ74" s="370"/>
      <c r="CA74" s="370"/>
      <c r="CB74" s="370"/>
      <c r="CC74" s="505"/>
      <c r="CD74" s="505"/>
      <c r="CE74" s="505"/>
      <c r="CF74" s="505"/>
    </row>
    <row r="75" customFormat="false" ht="12.75" hidden="false" customHeight="false" outlineLevel="0" collapsed="false">
      <c r="A75" s="500"/>
      <c r="B75" s="500"/>
      <c r="K75" s="363"/>
      <c r="L75" s="501"/>
      <c r="N75" s="502"/>
      <c r="O75" s="502"/>
      <c r="P75" s="371"/>
      <c r="Q75" s="501"/>
      <c r="R75" s="501"/>
      <c r="U75" s="501"/>
      <c r="V75" s="503"/>
      <c r="W75" s="503"/>
      <c r="X75" s="503"/>
      <c r="Y75" s="504"/>
      <c r="Z75" s="504"/>
      <c r="AA75" s="504"/>
      <c r="AB75" s="504"/>
      <c r="AC75" s="504"/>
      <c r="AF75" s="378"/>
      <c r="AG75" s="378"/>
      <c r="AH75" s="378"/>
      <c r="AI75" s="378"/>
      <c r="AL75" s="505"/>
      <c r="AM75" s="505"/>
      <c r="AN75" s="505"/>
      <c r="AO75" s="505"/>
      <c r="AQ75" s="370"/>
      <c r="AT75" s="370"/>
      <c r="AV75" s="134"/>
      <c r="AW75" s="370"/>
      <c r="AX75" s="370"/>
      <c r="AY75" s="370"/>
      <c r="AZ75" s="370"/>
      <c r="BA75" s="507"/>
      <c r="BB75" s="505"/>
      <c r="BC75" s="505"/>
      <c r="BD75" s="370"/>
      <c r="BE75" s="370"/>
      <c r="BF75" s="370"/>
      <c r="BG75" s="370"/>
      <c r="BH75" s="370"/>
      <c r="BI75" s="370"/>
      <c r="BJ75" s="370"/>
      <c r="BK75" s="370"/>
      <c r="BL75" s="370"/>
      <c r="BM75" s="370"/>
      <c r="BO75" s="370"/>
      <c r="BP75" s="370"/>
      <c r="BQ75" s="370"/>
      <c r="BR75" s="370"/>
      <c r="BS75" s="370"/>
      <c r="BV75" s="508"/>
      <c r="BW75" s="369"/>
      <c r="BX75" s="370"/>
      <c r="BY75" s="370"/>
      <c r="BZ75" s="370"/>
      <c r="CA75" s="370"/>
      <c r="CB75" s="370"/>
      <c r="CC75" s="505"/>
      <c r="CD75" s="505"/>
      <c r="CE75" s="505"/>
      <c r="CF75" s="505"/>
    </row>
    <row r="76" customFormat="false" ht="12.75" hidden="false" customHeight="false" outlineLevel="0" collapsed="false">
      <c r="A76" s="500"/>
      <c r="B76" s="500"/>
      <c r="K76" s="363"/>
      <c r="L76" s="501"/>
      <c r="N76" s="502"/>
      <c r="O76" s="502"/>
      <c r="P76" s="371"/>
      <c r="Q76" s="501"/>
      <c r="R76" s="501"/>
      <c r="U76" s="501"/>
      <c r="V76" s="503"/>
      <c r="W76" s="503"/>
      <c r="X76" s="503"/>
      <c r="Y76" s="504"/>
      <c r="Z76" s="504"/>
      <c r="AA76" s="504"/>
      <c r="AB76" s="504"/>
      <c r="AC76" s="504"/>
      <c r="AF76" s="378"/>
      <c r="AG76" s="378"/>
      <c r="AH76" s="378"/>
      <c r="AI76" s="378"/>
      <c r="AL76" s="505"/>
      <c r="AM76" s="505"/>
      <c r="AN76" s="505"/>
      <c r="AO76" s="505"/>
      <c r="AQ76" s="370"/>
      <c r="AT76" s="370"/>
      <c r="AV76" s="134"/>
      <c r="AW76" s="370"/>
      <c r="AX76" s="370"/>
      <c r="AY76" s="370"/>
      <c r="AZ76" s="370"/>
      <c r="BA76" s="507"/>
      <c r="BB76" s="505"/>
      <c r="BC76" s="505"/>
      <c r="BD76" s="370"/>
      <c r="BE76" s="370"/>
      <c r="BF76" s="370"/>
      <c r="BG76" s="370"/>
      <c r="BH76" s="370"/>
      <c r="BI76" s="370"/>
      <c r="BJ76" s="370"/>
      <c r="BK76" s="370"/>
      <c r="BL76" s="370"/>
      <c r="BM76" s="370"/>
      <c r="BO76" s="370"/>
      <c r="BP76" s="370"/>
      <c r="BQ76" s="370"/>
      <c r="BR76" s="370"/>
      <c r="BS76" s="370"/>
      <c r="BV76" s="508"/>
      <c r="BW76" s="369"/>
      <c r="BX76" s="370"/>
      <c r="BY76" s="370"/>
      <c r="BZ76" s="370"/>
      <c r="CA76" s="370"/>
      <c r="CB76" s="370"/>
      <c r="CC76" s="505"/>
      <c r="CD76" s="505"/>
      <c r="CE76" s="505"/>
      <c r="CF76" s="505"/>
    </row>
    <row r="77" customFormat="false" ht="12.75" hidden="false" customHeight="false" outlineLevel="0" collapsed="false">
      <c r="A77" s="500"/>
      <c r="B77" s="500"/>
      <c r="K77" s="363"/>
      <c r="L77" s="501"/>
      <c r="N77" s="502"/>
      <c r="O77" s="502"/>
      <c r="P77" s="371"/>
      <c r="Q77" s="501"/>
      <c r="R77" s="501"/>
      <c r="U77" s="501"/>
      <c r="V77" s="503"/>
      <c r="W77" s="503"/>
      <c r="X77" s="503"/>
      <c r="Y77" s="504"/>
      <c r="Z77" s="504"/>
      <c r="AA77" s="504"/>
      <c r="AB77" s="504"/>
      <c r="AC77" s="504"/>
      <c r="AF77" s="378"/>
      <c r="AG77" s="378"/>
      <c r="AH77" s="378"/>
      <c r="AI77" s="378"/>
      <c r="AL77" s="505"/>
      <c r="AM77" s="505"/>
      <c r="AN77" s="505"/>
      <c r="AO77" s="505"/>
      <c r="AQ77" s="370"/>
      <c r="AT77" s="370"/>
      <c r="AV77" s="134"/>
      <c r="AW77" s="370"/>
      <c r="AX77" s="370"/>
      <c r="AY77" s="370"/>
      <c r="AZ77" s="370"/>
      <c r="BA77" s="507"/>
      <c r="BB77" s="505"/>
      <c r="BC77" s="505"/>
      <c r="BD77" s="370"/>
      <c r="BE77" s="370"/>
      <c r="BF77" s="370"/>
      <c r="BG77" s="370"/>
      <c r="BH77" s="370"/>
      <c r="BI77" s="370"/>
      <c r="BJ77" s="370"/>
      <c r="BK77" s="370"/>
      <c r="BL77" s="370"/>
      <c r="BM77" s="370"/>
      <c r="BO77" s="370"/>
      <c r="BP77" s="370"/>
      <c r="BQ77" s="370"/>
      <c r="BR77" s="370"/>
      <c r="BS77" s="370"/>
      <c r="BV77" s="508"/>
      <c r="BW77" s="369"/>
      <c r="BX77" s="370"/>
      <c r="BY77" s="370"/>
      <c r="BZ77" s="370"/>
      <c r="CA77" s="370"/>
      <c r="CB77" s="370"/>
      <c r="CC77" s="505"/>
      <c r="CD77" s="505"/>
      <c r="CE77" s="505"/>
      <c r="CF77" s="505"/>
    </row>
    <row r="78" customFormat="false" ht="12.75" hidden="false" customHeight="false" outlineLevel="0" collapsed="false">
      <c r="A78" s="500"/>
      <c r="B78" s="500"/>
      <c r="K78" s="363"/>
      <c r="L78" s="501"/>
      <c r="N78" s="502"/>
      <c r="O78" s="502"/>
      <c r="P78" s="371"/>
      <c r="Q78" s="501"/>
      <c r="R78" s="501"/>
      <c r="U78" s="501"/>
      <c r="V78" s="503"/>
      <c r="W78" s="503"/>
      <c r="X78" s="503"/>
      <c r="Y78" s="504"/>
      <c r="Z78" s="504"/>
      <c r="AA78" s="504"/>
      <c r="AB78" s="504"/>
      <c r="AC78" s="504"/>
      <c r="AF78" s="378"/>
      <c r="AG78" s="378"/>
      <c r="AH78" s="378"/>
      <c r="AI78" s="378"/>
      <c r="AL78" s="505"/>
      <c r="AM78" s="505"/>
      <c r="AN78" s="505"/>
      <c r="AO78" s="505"/>
      <c r="AQ78" s="370"/>
      <c r="AT78" s="370"/>
      <c r="AV78" s="134"/>
      <c r="AW78" s="370"/>
      <c r="AX78" s="370"/>
      <c r="AY78" s="370"/>
      <c r="AZ78" s="370"/>
      <c r="BA78" s="507"/>
      <c r="BB78" s="505"/>
      <c r="BC78" s="505"/>
      <c r="BD78" s="370"/>
      <c r="BE78" s="370"/>
      <c r="BF78" s="370"/>
      <c r="BG78" s="370"/>
      <c r="BH78" s="370"/>
      <c r="BI78" s="370"/>
      <c r="BJ78" s="370"/>
      <c r="BK78" s="370"/>
      <c r="BL78" s="370"/>
      <c r="BM78" s="370"/>
      <c r="BO78" s="370"/>
      <c r="BP78" s="370"/>
      <c r="BQ78" s="370"/>
      <c r="BR78" s="370"/>
      <c r="BS78" s="370"/>
      <c r="BV78" s="508"/>
      <c r="BW78" s="369"/>
      <c r="BX78" s="370"/>
      <c r="BY78" s="370"/>
      <c r="BZ78" s="370"/>
      <c r="CA78" s="370"/>
      <c r="CB78" s="370"/>
      <c r="CC78" s="505"/>
      <c r="CD78" s="505"/>
      <c r="CE78" s="505"/>
      <c r="CF78" s="505"/>
    </row>
    <row r="79" customFormat="false" ht="12.75" hidden="false" customHeight="false" outlineLevel="0" collapsed="false">
      <c r="A79" s="500"/>
      <c r="B79" s="500"/>
      <c r="K79" s="363"/>
      <c r="L79" s="501"/>
      <c r="N79" s="502"/>
      <c r="O79" s="502"/>
      <c r="P79" s="371"/>
      <c r="Q79" s="501"/>
      <c r="R79" s="501"/>
      <c r="U79" s="501"/>
      <c r="V79" s="503"/>
      <c r="W79" s="503"/>
      <c r="X79" s="503"/>
      <c r="Y79" s="504"/>
      <c r="Z79" s="504"/>
      <c r="AA79" s="504"/>
      <c r="AB79" s="504"/>
      <c r="AC79" s="504"/>
      <c r="AF79" s="378"/>
      <c r="AG79" s="378"/>
      <c r="AH79" s="378"/>
      <c r="AI79" s="378"/>
      <c r="AL79" s="505"/>
      <c r="AM79" s="505"/>
      <c r="AN79" s="505"/>
      <c r="AO79" s="505"/>
      <c r="AQ79" s="370"/>
      <c r="AT79" s="370"/>
      <c r="AV79" s="134"/>
      <c r="AW79" s="370"/>
      <c r="AX79" s="370"/>
      <c r="AY79" s="370"/>
      <c r="AZ79" s="370"/>
      <c r="BA79" s="507"/>
      <c r="BB79" s="505"/>
      <c r="BC79" s="505"/>
      <c r="BD79" s="370"/>
      <c r="BE79" s="370"/>
      <c r="BF79" s="370"/>
      <c r="BG79" s="370"/>
      <c r="BH79" s="370"/>
      <c r="BI79" s="370"/>
      <c r="BJ79" s="370"/>
      <c r="BK79" s="370"/>
      <c r="BL79" s="370"/>
      <c r="BM79" s="370"/>
      <c r="BO79" s="370"/>
      <c r="BP79" s="370"/>
      <c r="BQ79" s="370"/>
      <c r="BR79" s="370"/>
      <c r="BS79" s="370"/>
      <c r="BV79" s="508"/>
      <c r="BW79" s="369"/>
      <c r="BX79" s="370"/>
      <c r="BY79" s="370"/>
      <c r="BZ79" s="370"/>
      <c r="CA79" s="370"/>
      <c r="CB79" s="370"/>
      <c r="CC79" s="505"/>
      <c r="CD79" s="505"/>
      <c r="CE79" s="505"/>
      <c r="CF79" s="505"/>
    </row>
    <row r="80" customFormat="false" ht="12.75" hidden="false" customHeight="false" outlineLevel="0" collapsed="false">
      <c r="A80" s="500"/>
      <c r="B80" s="500"/>
      <c r="K80" s="363"/>
      <c r="L80" s="501"/>
      <c r="N80" s="502"/>
      <c r="O80" s="502"/>
      <c r="P80" s="371"/>
      <c r="Q80" s="501"/>
      <c r="R80" s="501"/>
      <c r="U80" s="501"/>
      <c r="V80" s="503"/>
      <c r="W80" s="503"/>
      <c r="X80" s="503"/>
      <c r="Y80" s="504"/>
      <c r="Z80" s="504"/>
      <c r="AA80" s="504"/>
      <c r="AB80" s="504"/>
      <c r="AC80" s="504"/>
      <c r="AF80" s="378"/>
      <c r="AG80" s="378"/>
      <c r="AH80" s="378"/>
      <c r="AI80" s="378"/>
      <c r="AL80" s="505"/>
      <c r="AM80" s="505"/>
      <c r="AN80" s="505"/>
      <c r="AO80" s="505"/>
      <c r="AQ80" s="370"/>
      <c r="AT80" s="370"/>
      <c r="AV80" s="134"/>
      <c r="AW80" s="370"/>
      <c r="AX80" s="370"/>
      <c r="AY80" s="370"/>
      <c r="AZ80" s="370"/>
      <c r="BA80" s="507"/>
      <c r="BB80" s="505"/>
      <c r="BC80" s="505"/>
      <c r="BD80" s="370"/>
      <c r="BE80" s="370"/>
      <c r="BF80" s="370"/>
      <c r="BG80" s="370"/>
      <c r="BH80" s="370"/>
      <c r="BI80" s="370"/>
      <c r="BJ80" s="370"/>
      <c r="BK80" s="370"/>
      <c r="BL80" s="370"/>
      <c r="BM80" s="370"/>
      <c r="BO80" s="370"/>
      <c r="BP80" s="370"/>
      <c r="BQ80" s="370"/>
      <c r="BR80" s="370"/>
      <c r="BS80" s="370"/>
      <c r="BV80" s="508"/>
      <c r="BW80" s="369"/>
      <c r="BX80" s="370"/>
      <c r="BY80" s="370"/>
      <c r="BZ80" s="370"/>
      <c r="CA80" s="370"/>
      <c r="CB80" s="370"/>
      <c r="CC80" s="505"/>
      <c r="CD80" s="505"/>
      <c r="CE80" s="505"/>
      <c r="CF80" s="505"/>
    </row>
    <row r="81" customFormat="false" ht="12.75" hidden="false" customHeight="false" outlineLevel="0" collapsed="false">
      <c r="A81" s="500"/>
      <c r="B81" s="500"/>
      <c r="K81" s="363"/>
      <c r="L81" s="501"/>
      <c r="N81" s="502"/>
      <c r="O81" s="502"/>
      <c r="P81" s="371"/>
      <c r="Q81" s="501"/>
      <c r="R81" s="501"/>
      <c r="U81" s="501"/>
      <c r="V81" s="503"/>
      <c r="W81" s="503"/>
      <c r="X81" s="503"/>
      <c r="Y81" s="504"/>
      <c r="Z81" s="504"/>
      <c r="AA81" s="504"/>
      <c r="AB81" s="504"/>
      <c r="AC81" s="504"/>
      <c r="AF81" s="378"/>
      <c r="AG81" s="378"/>
      <c r="AH81" s="378"/>
      <c r="AI81" s="378"/>
      <c r="AL81" s="505"/>
      <c r="AM81" s="505"/>
      <c r="AN81" s="505"/>
      <c r="AO81" s="505"/>
      <c r="AQ81" s="370"/>
      <c r="AT81" s="370"/>
      <c r="AV81" s="134"/>
      <c r="AW81" s="370"/>
      <c r="AX81" s="370"/>
      <c r="AY81" s="370"/>
      <c r="AZ81" s="370"/>
      <c r="BA81" s="507"/>
      <c r="BB81" s="505"/>
      <c r="BC81" s="505"/>
      <c r="BD81" s="370"/>
      <c r="BE81" s="370"/>
      <c r="BF81" s="370"/>
      <c r="BG81" s="370"/>
      <c r="BH81" s="370"/>
      <c r="BI81" s="370"/>
      <c r="BJ81" s="370"/>
      <c r="BK81" s="370"/>
      <c r="BL81" s="370"/>
      <c r="BM81" s="370"/>
      <c r="BO81" s="370"/>
      <c r="BP81" s="370"/>
      <c r="BQ81" s="370"/>
      <c r="BR81" s="370"/>
      <c r="BS81" s="370"/>
      <c r="BV81" s="508"/>
      <c r="BW81" s="369"/>
      <c r="BX81" s="370"/>
      <c r="BY81" s="370"/>
      <c r="BZ81" s="370"/>
      <c r="CA81" s="370"/>
      <c r="CB81" s="370"/>
      <c r="CC81" s="505"/>
      <c r="CD81" s="505"/>
      <c r="CE81" s="505"/>
      <c r="CF81" s="505"/>
    </row>
    <row r="82" customFormat="false" ht="12.75" hidden="false" customHeight="false" outlineLevel="0" collapsed="false">
      <c r="A82" s="500"/>
      <c r="B82" s="500"/>
      <c r="K82" s="363"/>
      <c r="L82" s="501"/>
      <c r="N82" s="502"/>
      <c r="O82" s="502"/>
      <c r="P82" s="371"/>
      <c r="Q82" s="501"/>
      <c r="R82" s="501"/>
      <c r="U82" s="501"/>
      <c r="V82" s="503"/>
      <c r="W82" s="503"/>
      <c r="X82" s="503"/>
      <c r="Y82" s="504"/>
      <c r="Z82" s="504"/>
      <c r="AA82" s="504"/>
      <c r="AB82" s="504"/>
      <c r="AC82" s="504"/>
      <c r="AF82" s="378"/>
      <c r="AG82" s="378"/>
      <c r="AH82" s="378"/>
      <c r="AI82" s="378"/>
      <c r="AL82" s="505"/>
      <c r="AM82" s="505"/>
      <c r="AN82" s="505"/>
      <c r="AO82" s="505"/>
      <c r="AQ82" s="370"/>
      <c r="AT82" s="370"/>
      <c r="AV82" s="134"/>
      <c r="AW82" s="370"/>
      <c r="AX82" s="370"/>
      <c r="AY82" s="370"/>
      <c r="AZ82" s="370"/>
      <c r="BA82" s="507"/>
      <c r="BB82" s="505"/>
      <c r="BC82" s="505"/>
      <c r="BD82" s="370"/>
      <c r="BE82" s="370"/>
      <c r="BF82" s="370"/>
      <c r="BG82" s="370"/>
      <c r="BH82" s="370"/>
      <c r="BI82" s="370"/>
      <c r="BJ82" s="370"/>
      <c r="BK82" s="370"/>
      <c r="BL82" s="370"/>
      <c r="BM82" s="370"/>
      <c r="BO82" s="370"/>
      <c r="BP82" s="370"/>
      <c r="BQ82" s="370"/>
      <c r="BR82" s="370"/>
      <c r="BS82" s="370"/>
      <c r="BV82" s="508"/>
      <c r="BW82" s="369"/>
      <c r="BX82" s="370"/>
      <c r="BY82" s="370"/>
      <c r="BZ82" s="370"/>
      <c r="CA82" s="370"/>
      <c r="CB82" s="370"/>
      <c r="CC82" s="505"/>
      <c r="CD82" s="505"/>
      <c r="CE82" s="505"/>
      <c r="CF82" s="505"/>
    </row>
    <row r="83" customFormat="false" ht="12.75" hidden="false" customHeight="false" outlineLevel="0" collapsed="false">
      <c r="A83" s="500"/>
      <c r="B83" s="500"/>
      <c r="K83" s="363"/>
      <c r="L83" s="501"/>
      <c r="N83" s="502"/>
      <c r="O83" s="502"/>
      <c r="P83" s="371"/>
      <c r="Q83" s="501"/>
      <c r="R83" s="501"/>
      <c r="U83" s="501"/>
      <c r="V83" s="503"/>
      <c r="W83" s="503"/>
      <c r="X83" s="503"/>
      <c r="Y83" s="504"/>
      <c r="Z83" s="504"/>
      <c r="AA83" s="504"/>
      <c r="AB83" s="504"/>
      <c r="AC83" s="504"/>
      <c r="AF83" s="378"/>
      <c r="AG83" s="378"/>
      <c r="AH83" s="378"/>
      <c r="AI83" s="378"/>
      <c r="AL83" s="505"/>
      <c r="AM83" s="505"/>
      <c r="AN83" s="505"/>
      <c r="AO83" s="505"/>
      <c r="AQ83" s="370"/>
      <c r="AT83" s="370"/>
      <c r="AV83" s="134"/>
      <c r="AW83" s="370"/>
      <c r="AX83" s="370"/>
      <c r="AY83" s="370"/>
      <c r="AZ83" s="370"/>
      <c r="BA83" s="507"/>
      <c r="BB83" s="505"/>
      <c r="BC83" s="505"/>
      <c r="BD83" s="370"/>
      <c r="BE83" s="370"/>
      <c r="BF83" s="370"/>
      <c r="BG83" s="370"/>
      <c r="BH83" s="370"/>
      <c r="BI83" s="370"/>
      <c r="BJ83" s="370"/>
      <c r="BK83" s="370"/>
      <c r="BL83" s="370"/>
      <c r="BM83" s="370"/>
      <c r="BO83" s="370"/>
      <c r="BP83" s="370"/>
      <c r="BQ83" s="370"/>
      <c r="BR83" s="370"/>
      <c r="BS83" s="370"/>
      <c r="BV83" s="508"/>
      <c r="BW83" s="369"/>
      <c r="BX83" s="370"/>
      <c r="BY83" s="370"/>
      <c r="BZ83" s="370"/>
      <c r="CA83" s="370"/>
      <c r="CB83" s="370"/>
      <c r="CC83" s="505"/>
      <c r="CD83" s="505"/>
      <c r="CE83" s="505"/>
      <c r="CF83" s="505"/>
    </row>
    <row r="84" customFormat="false" ht="12.75" hidden="false" customHeight="false" outlineLevel="0" collapsed="false">
      <c r="A84" s="500"/>
      <c r="B84" s="500"/>
      <c r="L84" s="501"/>
      <c r="P84" s="371"/>
      <c r="Q84" s="501"/>
      <c r="R84" s="371"/>
      <c r="U84" s="371"/>
      <c r="V84" s="371"/>
      <c r="W84" s="371"/>
      <c r="X84" s="371"/>
      <c r="AO84" s="369"/>
      <c r="AQ84" s="370"/>
      <c r="AU84" s="530"/>
      <c r="AV84" s="134"/>
      <c r="AW84" s="370"/>
    </row>
    <row r="85" customFormat="false" ht="12.75" hidden="false" customHeight="false" outlineLevel="0" collapsed="false">
      <c r="A85" s="500"/>
      <c r="B85" s="500"/>
      <c r="L85" s="501"/>
      <c r="P85" s="371"/>
      <c r="Q85" s="501"/>
      <c r="R85" s="371"/>
      <c r="U85" s="371"/>
      <c r="V85" s="371"/>
      <c r="W85" s="371"/>
      <c r="X85" s="371"/>
      <c r="AO85" s="369"/>
      <c r="AQ85" s="370"/>
      <c r="AU85" s="530"/>
      <c r="AV85" s="134"/>
      <c r="AW85" s="370"/>
    </row>
    <row r="86" customFormat="false" ht="12.75" hidden="false" customHeight="false" outlineLevel="0" collapsed="false">
      <c r="A86" s="500"/>
      <c r="B86" s="500"/>
      <c r="L86" s="501"/>
      <c r="P86" s="371"/>
      <c r="Q86" s="501"/>
      <c r="R86" s="371"/>
      <c r="U86" s="371"/>
      <c r="V86" s="371"/>
      <c r="W86" s="371"/>
      <c r="X86" s="371"/>
      <c r="AO86" s="369"/>
      <c r="AQ86" s="370"/>
      <c r="AU86" s="530"/>
      <c r="AV86" s="134"/>
      <c r="AW86" s="370"/>
    </row>
    <row r="87" customFormat="false" ht="12.75" hidden="false" customHeight="false" outlineLevel="0" collapsed="false">
      <c r="A87" s="500"/>
      <c r="B87" s="500"/>
      <c r="L87" s="501"/>
      <c r="P87" s="371"/>
      <c r="Q87" s="501"/>
      <c r="R87" s="371"/>
      <c r="U87" s="371"/>
      <c r="V87" s="371"/>
      <c r="W87" s="371"/>
      <c r="X87" s="371"/>
      <c r="AO87" s="369"/>
      <c r="AQ87" s="370"/>
      <c r="AU87" s="530"/>
      <c r="AV87" s="134"/>
      <c r="AW87" s="370"/>
    </row>
    <row r="88" customFormat="false" ht="12.75" hidden="false" customHeight="false" outlineLevel="0" collapsed="false">
      <c r="A88" s="500"/>
      <c r="B88" s="500"/>
      <c r="L88" s="501"/>
      <c r="P88" s="371"/>
      <c r="Q88" s="501"/>
      <c r="R88" s="371"/>
      <c r="U88" s="371"/>
      <c r="V88" s="371"/>
      <c r="W88" s="371"/>
      <c r="X88" s="371"/>
      <c r="AO88" s="369"/>
      <c r="AQ88" s="370"/>
      <c r="AU88" s="530"/>
      <c r="AV88" s="134"/>
      <c r="AW88" s="370"/>
    </row>
    <row r="89" customFormat="false" ht="12.75" hidden="false" customHeight="false" outlineLevel="0" collapsed="false">
      <c r="A89" s="500"/>
      <c r="B89" s="500"/>
      <c r="L89" s="501"/>
      <c r="P89" s="371"/>
      <c r="Q89" s="501"/>
      <c r="R89" s="371"/>
      <c r="U89" s="371"/>
      <c r="V89" s="371"/>
      <c r="W89" s="371"/>
      <c r="X89" s="371"/>
      <c r="AO89" s="369"/>
      <c r="AQ89" s="370"/>
      <c r="AU89" s="530"/>
      <c r="AV89" s="134"/>
      <c r="AW89" s="370"/>
    </row>
    <row r="90" customFormat="false" ht="12.75" hidden="false" customHeight="false" outlineLevel="0" collapsed="false">
      <c r="A90" s="500"/>
      <c r="B90" s="500"/>
      <c r="L90" s="501"/>
      <c r="P90" s="371"/>
      <c r="Q90" s="501"/>
      <c r="R90" s="371"/>
      <c r="U90" s="371"/>
      <c r="V90" s="371"/>
      <c r="W90" s="371"/>
      <c r="X90" s="371"/>
      <c r="AO90" s="369"/>
      <c r="AQ90" s="370"/>
      <c r="AU90" s="530"/>
      <c r="AV90" s="134"/>
      <c r="AW90" s="370"/>
    </row>
    <row r="91" customFormat="false" ht="12.75" hidden="false" customHeight="false" outlineLevel="0" collapsed="false">
      <c r="A91" s="500"/>
      <c r="B91" s="500"/>
      <c r="L91" s="501"/>
      <c r="P91" s="371"/>
      <c r="Q91" s="501"/>
      <c r="R91" s="371"/>
      <c r="U91" s="371"/>
      <c r="V91" s="371"/>
      <c r="W91" s="371"/>
      <c r="X91" s="371"/>
      <c r="AO91" s="369"/>
      <c r="AQ91" s="370"/>
      <c r="AU91" s="530"/>
      <c r="AV91" s="134"/>
      <c r="AW91" s="370"/>
    </row>
    <row r="92" customFormat="false" ht="12.75" hidden="false" customHeight="false" outlineLevel="0" collapsed="false">
      <c r="A92" s="500"/>
      <c r="B92" s="500"/>
      <c r="L92" s="501"/>
      <c r="P92" s="371"/>
      <c r="Q92" s="501"/>
      <c r="R92" s="371"/>
      <c r="U92" s="371"/>
      <c r="V92" s="371"/>
      <c r="W92" s="371"/>
      <c r="X92" s="371"/>
      <c r="AO92" s="369"/>
      <c r="AQ92" s="370"/>
      <c r="AU92" s="530"/>
      <c r="AV92" s="134"/>
      <c r="AW92" s="370"/>
    </row>
    <row r="93" customFormat="false" ht="12.75" hidden="false" customHeight="false" outlineLevel="0" collapsed="false">
      <c r="A93" s="500"/>
      <c r="B93" s="500"/>
      <c r="L93" s="501"/>
      <c r="P93" s="371"/>
      <c r="Q93" s="501"/>
      <c r="R93" s="371"/>
      <c r="U93" s="371"/>
      <c r="V93" s="371"/>
      <c r="W93" s="371"/>
      <c r="X93" s="371"/>
      <c r="AO93" s="369"/>
      <c r="AQ93" s="370"/>
      <c r="AU93" s="530"/>
      <c r="AV93" s="134"/>
      <c r="AW93" s="370"/>
    </row>
    <row r="94" customFormat="false" ht="12.75" hidden="false" customHeight="false" outlineLevel="0" collapsed="false">
      <c r="A94" s="500"/>
      <c r="B94" s="500"/>
      <c r="L94" s="501"/>
      <c r="P94" s="371"/>
      <c r="Q94" s="501"/>
      <c r="R94" s="371"/>
      <c r="U94" s="371"/>
      <c r="V94" s="371"/>
      <c r="W94" s="371"/>
      <c r="X94" s="371"/>
      <c r="AO94" s="369"/>
      <c r="AQ94" s="370"/>
      <c r="AU94" s="530"/>
      <c r="AV94" s="134"/>
      <c r="AW94" s="370"/>
    </row>
    <row r="95" customFormat="false" ht="12.75" hidden="false" customHeight="false" outlineLevel="0" collapsed="false">
      <c r="A95" s="500"/>
      <c r="B95" s="500"/>
      <c r="L95" s="501"/>
      <c r="P95" s="371"/>
      <c r="Q95" s="501"/>
      <c r="R95" s="371"/>
      <c r="U95" s="371"/>
      <c r="V95" s="371"/>
      <c r="W95" s="371"/>
      <c r="X95" s="371"/>
      <c r="AO95" s="369"/>
      <c r="AQ95" s="370"/>
      <c r="AU95" s="530"/>
      <c r="AV95" s="134"/>
      <c r="AW95" s="370"/>
    </row>
    <row r="96" customFormat="false" ht="12.75" hidden="false" customHeight="false" outlineLevel="0" collapsed="false">
      <c r="A96" s="500"/>
      <c r="B96" s="500"/>
      <c r="L96" s="501"/>
      <c r="P96" s="371"/>
      <c r="Q96" s="501"/>
      <c r="R96" s="371"/>
      <c r="U96" s="371"/>
      <c r="V96" s="371"/>
      <c r="W96" s="371"/>
      <c r="X96" s="371"/>
      <c r="AO96" s="369"/>
      <c r="AQ96" s="370"/>
      <c r="AU96" s="530"/>
      <c r="AV96" s="134"/>
      <c r="AW96" s="370"/>
    </row>
    <row r="97" customFormat="false" ht="12.75" hidden="false" customHeight="false" outlineLevel="0" collapsed="false">
      <c r="A97" s="500"/>
      <c r="B97" s="500"/>
      <c r="L97" s="501"/>
      <c r="P97" s="371"/>
      <c r="Q97" s="501"/>
      <c r="R97" s="371"/>
      <c r="U97" s="371"/>
      <c r="V97" s="371"/>
      <c r="W97" s="371"/>
      <c r="X97" s="371"/>
      <c r="AO97" s="369"/>
      <c r="AQ97" s="370"/>
      <c r="AU97" s="530"/>
      <c r="AV97" s="134"/>
      <c r="AW97" s="370"/>
    </row>
    <row r="98" customFormat="false" ht="12.75" hidden="false" customHeight="false" outlineLevel="0" collapsed="false">
      <c r="A98" s="500"/>
      <c r="B98" s="500"/>
      <c r="L98" s="501"/>
      <c r="P98" s="371"/>
      <c r="Q98" s="501"/>
      <c r="R98" s="371"/>
      <c r="U98" s="371"/>
      <c r="V98" s="371"/>
      <c r="W98" s="371"/>
      <c r="X98" s="371"/>
      <c r="AO98" s="369"/>
      <c r="AQ98" s="370"/>
      <c r="AU98" s="530"/>
      <c r="AV98" s="134"/>
      <c r="AW98" s="370"/>
    </row>
    <row r="99" customFormat="false" ht="12.75" hidden="false" customHeight="false" outlineLevel="0" collapsed="false">
      <c r="A99" s="500"/>
      <c r="B99" s="500"/>
      <c r="L99" s="501"/>
      <c r="P99" s="371"/>
      <c r="Q99" s="501"/>
      <c r="R99" s="371"/>
      <c r="U99" s="371"/>
      <c r="V99" s="371"/>
      <c r="W99" s="371"/>
      <c r="X99" s="371"/>
      <c r="AO99" s="369"/>
      <c r="AQ99" s="370"/>
      <c r="AU99" s="530"/>
      <c r="AV99" s="134"/>
      <c r="AW99" s="370"/>
    </row>
    <row r="100" customFormat="false" ht="12.75" hidden="false" customHeight="false" outlineLevel="0" collapsed="false">
      <c r="A100" s="500"/>
      <c r="B100" s="500"/>
      <c r="L100" s="501"/>
      <c r="P100" s="371"/>
      <c r="Q100" s="501"/>
      <c r="R100" s="371"/>
      <c r="U100" s="371"/>
      <c r="V100" s="371"/>
      <c r="W100" s="371"/>
      <c r="X100" s="371"/>
      <c r="AO100" s="369"/>
      <c r="AQ100" s="370"/>
      <c r="AU100" s="530"/>
      <c r="AV100" s="134"/>
      <c r="AW100" s="370"/>
    </row>
    <row r="101" customFormat="false" ht="12.75" hidden="false" customHeight="false" outlineLevel="0" collapsed="false">
      <c r="A101" s="500"/>
      <c r="B101" s="500"/>
      <c r="L101" s="501"/>
      <c r="P101" s="371"/>
      <c r="Q101" s="501"/>
      <c r="R101" s="371"/>
      <c r="U101" s="371"/>
      <c r="V101" s="371"/>
      <c r="W101" s="371"/>
      <c r="X101" s="371"/>
      <c r="AO101" s="369"/>
      <c r="AQ101" s="370"/>
      <c r="AU101" s="530"/>
      <c r="AV101" s="134"/>
      <c r="AW101" s="370"/>
    </row>
    <row r="102" customFormat="false" ht="12.75" hidden="false" customHeight="false" outlineLevel="0" collapsed="false">
      <c r="A102" s="500"/>
      <c r="B102" s="500"/>
      <c r="L102" s="501"/>
      <c r="P102" s="371"/>
      <c r="Q102" s="501"/>
      <c r="R102" s="371"/>
      <c r="U102" s="371"/>
      <c r="V102" s="371"/>
      <c r="W102" s="371"/>
      <c r="X102" s="371"/>
      <c r="AO102" s="369"/>
      <c r="AQ102" s="370"/>
      <c r="AU102" s="530"/>
      <c r="AV102" s="134"/>
      <c r="AW102" s="370"/>
    </row>
    <row r="103" customFormat="false" ht="12.75" hidden="false" customHeight="false" outlineLevel="0" collapsed="false">
      <c r="A103" s="500"/>
      <c r="B103" s="500"/>
      <c r="L103" s="501"/>
      <c r="P103" s="371"/>
      <c r="Q103" s="501"/>
      <c r="R103" s="371"/>
      <c r="U103" s="371"/>
      <c r="V103" s="371"/>
      <c r="W103" s="371"/>
      <c r="X103" s="371"/>
      <c r="AO103" s="369"/>
      <c r="AQ103" s="370"/>
      <c r="AU103" s="530"/>
      <c r="AV103" s="134"/>
      <c r="AW103" s="370"/>
    </row>
    <row r="104" customFormat="false" ht="12.75" hidden="false" customHeight="false" outlineLevel="0" collapsed="false">
      <c r="A104" s="500"/>
      <c r="B104" s="500"/>
      <c r="L104" s="501"/>
      <c r="P104" s="371"/>
      <c r="Q104" s="501"/>
      <c r="R104" s="371"/>
      <c r="U104" s="371"/>
      <c r="V104" s="371"/>
      <c r="W104" s="371"/>
      <c r="X104" s="371"/>
      <c r="AO104" s="369"/>
      <c r="AQ104" s="370"/>
      <c r="AU104" s="530"/>
      <c r="AV104" s="134"/>
      <c r="AW104" s="370"/>
    </row>
    <row r="105" customFormat="false" ht="12.75" hidden="false" customHeight="false" outlineLevel="0" collapsed="false">
      <c r="A105" s="500"/>
      <c r="B105" s="500"/>
      <c r="L105" s="501"/>
      <c r="P105" s="371"/>
      <c r="Q105" s="501"/>
      <c r="R105" s="371"/>
      <c r="U105" s="371"/>
      <c r="V105" s="371"/>
      <c r="W105" s="371"/>
      <c r="X105" s="371"/>
      <c r="AO105" s="369"/>
      <c r="AQ105" s="370"/>
      <c r="AU105" s="530"/>
      <c r="AV105" s="134"/>
      <c r="AW105" s="370"/>
    </row>
    <row r="106" customFormat="false" ht="12.75" hidden="false" customHeight="false" outlineLevel="0" collapsed="false">
      <c r="A106" s="500"/>
      <c r="B106" s="500"/>
      <c r="L106" s="501"/>
      <c r="P106" s="371"/>
      <c r="Q106" s="501"/>
      <c r="R106" s="371"/>
      <c r="U106" s="371"/>
      <c r="V106" s="371"/>
      <c r="W106" s="371"/>
      <c r="X106" s="371"/>
      <c r="AO106" s="369"/>
      <c r="AQ106" s="370"/>
      <c r="AU106" s="530"/>
      <c r="AV106" s="134"/>
      <c r="AW106" s="370"/>
    </row>
    <row r="107" customFormat="false" ht="12.75" hidden="false" customHeight="false" outlineLevel="0" collapsed="false">
      <c r="A107" s="500"/>
      <c r="B107" s="500"/>
      <c r="L107" s="501"/>
      <c r="P107" s="371"/>
      <c r="Q107" s="501"/>
      <c r="R107" s="371"/>
      <c r="U107" s="371"/>
      <c r="V107" s="371"/>
      <c r="W107" s="371"/>
      <c r="X107" s="371"/>
      <c r="AO107" s="369"/>
      <c r="AQ107" s="370"/>
      <c r="AU107" s="530"/>
      <c r="AV107" s="134"/>
      <c r="AW107" s="370"/>
    </row>
    <row r="108" customFormat="false" ht="12.75" hidden="false" customHeight="false" outlineLevel="0" collapsed="false">
      <c r="A108" s="500"/>
      <c r="B108" s="500"/>
      <c r="L108" s="501"/>
      <c r="P108" s="371"/>
      <c r="Q108" s="501"/>
      <c r="R108" s="371"/>
      <c r="U108" s="371"/>
      <c r="V108" s="371"/>
      <c r="W108" s="371"/>
      <c r="X108" s="371"/>
      <c r="AO108" s="369"/>
      <c r="AQ108" s="370"/>
      <c r="AU108" s="530"/>
      <c r="AV108" s="134"/>
      <c r="AW108" s="370"/>
    </row>
    <row r="109" customFormat="false" ht="12.75" hidden="false" customHeight="false" outlineLevel="0" collapsed="false">
      <c r="A109" s="500"/>
      <c r="B109" s="500"/>
      <c r="L109" s="501"/>
      <c r="P109" s="371"/>
      <c r="Q109" s="501"/>
      <c r="R109" s="371"/>
      <c r="U109" s="371"/>
      <c r="V109" s="371"/>
      <c r="W109" s="371"/>
      <c r="X109" s="371"/>
      <c r="AO109" s="369"/>
      <c r="AQ109" s="370"/>
      <c r="AU109" s="530"/>
      <c r="AV109" s="134"/>
      <c r="AW109" s="370"/>
    </row>
    <row r="110" customFormat="false" ht="12.75" hidden="false" customHeight="false" outlineLevel="0" collapsed="false">
      <c r="A110" s="500"/>
      <c r="B110" s="500"/>
      <c r="L110" s="501"/>
      <c r="P110" s="371"/>
      <c r="Q110" s="501"/>
      <c r="R110" s="371"/>
      <c r="U110" s="371"/>
      <c r="V110" s="371"/>
      <c r="W110" s="371"/>
      <c r="X110" s="371"/>
      <c r="AO110" s="369"/>
      <c r="AQ110" s="370"/>
      <c r="AU110" s="530"/>
      <c r="AV110" s="134"/>
      <c r="AW110" s="370"/>
    </row>
    <row r="111" customFormat="false" ht="12.75" hidden="false" customHeight="false" outlineLevel="0" collapsed="false">
      <c r="A111" s="500"/>
      <c r="B111" s="500"/>
      <c r="L111" s="501"/>
      <c r="P111" s="371"/>
      <c r="Q111" s="501"/>
      <c r="R111" s="371"/>
      <c r="U111" s="371"/>
      <c r="V111" s="371"/>
      <c r="W111" s="371"/>
      <c r="X111" s="371"/>
      <c r="AO111" s="369"/>
      <c r="AQ111" s="370"/>
      <c r="AU111" s="530"/>
      <c r="AV111" s="134"/>
      <c r="AW111" s="370"/>
    </row>
    <row r="112" customFormat="false" ht="12.75" hidden="false" customHeight="false" outlineLevel="0" collapsed="false">
      <c r="A112" s="500"/>
      <c r="B112" s="500"/>
      <c r="L112" s="501"/>
      <c r="P112" s="371"/>
      <c r="Q112" s="501"/>
      <c r="R112" s="371"/>
      <c r="U112" s="371"/>
      <c r="V112" s="371"/>
      <c r="W112" s="371"/>
      <c r="X112" s="371"/>
      <c r="AO112" s="369"/>
      <c r="AQ112" s="370"/>
      <c r="AU112" s="530"/>
      <c r="AV112" s="134"/>
      <c r="AW112" s="370"/>
    </row>
    <row r="113" customFormat="false" ht="12.75" hidden="false" customHeight="false" outlineLevel="0" collapsed="false">
      <c r="A113" s="500"/>
      <c r="B113" s="500"/>
      <c r="L113" s="501"/>
      <c r="P113" s="371"/>
      <c r="Q113" s="501"/>
      <c r="R113" s="371"/>
      <c r="U113" s="371"/>
      <c r="V113" s="371"/>
      <c r="W113" s="371"/>
      <c r="X113" s="371"/>
      <c r="AO113" s="369"/>
      <c r="AQ113" s="370"/>
      <c r="AU113" s="530"/>
      <c r="AV113" s="134"/>
      <c r="AW113" s="370"/>
    </row>
    <row r="114" customFormat="false" ht="12.75" hidden="false" customHeight="false" outlineLevel="0" collapsed="false">
      <c r="A114" s="500"/>
      <c r="B114" s="500"/>
      <c r="L114" s="501"/>
      <c r="P114" s="371"/>
      <c r="Q114" s="501"/>
      <c r="R114" s="371"/>
      <c r="U114" s="371"/>
      <c r="V114" s="371"/>
      <c r="W114" s="371"/>
      <c r="X114" s="371"/>
      <c r="AO114" s="369"/>
      <c r="AQ114" s="370"/>
      <c r="AU114" s="530"/>
      <c r="AV114" s="134"/>
      <c r="AW114" s="370"/>
    </row>
    <row r="115" customFormat="false" ht="12.75" hidden="false" customHeight="false" outlineLevel="0" collapsed="false">
      <c r="A115" s="500"/>
      <c r="B115" s="500"/>
      <c r="L115" s="501"/>
      <c r="P115" s="371"/>
      <c r="Q115" s="501"/>
      <c r="R115" s="371"/>
      <c r="U115" s="371"/>
      <c r="V115" s="371"/>
      <c r="W115" s="371"/>
      <c r="X115" s="371"/>
      <c r="AO115" s="369"/>
      <c r="AQ115" s="370"/>
      <c r="AU115" s="530"/>
      <c r="AV115" s="134"/>
      <c r="AW115" s="370"/>
    </row>
    <row r="116" customFormat="false" ht="12.75" hidden="false" customHeight="false" outlineLevel="0" collapsed="false">
      <c r="A116" s="500"/>
      <c r="B116" s="500"/>
      <c r="L116" s="501"/>
      <c r="P116" s="371"/>
      <c r="Q116" s="501"/>
      <c r="R116" s="371"/>
      <c r="U116" s="371"/>
      <c r="V116" s="371"/>
      <c r="W116" s="371"/>
      <c r="X116" s="371"/>
      <c r="AO116" s="369"/>
      <c r="AQ116" s="370"/>
      <c r="AU116" s="530"/>
      <c r="AV116" s="134"/>
      <c r="AW116" s="370"/>
    </row>
    <row r="117" customFormat="false" ht="12.75" hidden="false" customHeight="false" outlineLevel="0" collapsed="false">
      <c r="A117" s="500"/>
      <c r="B117" s="500"/>
      <c r="L117" s="501"/>
      <c r="P117" s="371"/>
      <c r="Q117" s="501"/>
      <c r="R117" s="371"/>
      <c r="U117" s="371"/>
      <c r="V117" s="371"/>
      <c r="W117" s="371"/>
      <c r="X117" s="371"/>
      <c r="AO117" s="369"/>
      <c r="AQ117" s="370"/>
      <c r="AU117" s="530"/>
      <c r="AV117" s="134"/>
      <c r="AW117" s="370"/>
    </row>
    <row r="118" customFormat="false" ht="12.75" hidden="false" customHeight="false" outlineLevel="0" collapsed="false">
      <c r="A118" s="500"/>
      <c r="B118" s="500"/>
      <c r="P118" s="371"/>
      <c r="Q118" s="371"/>
      <c r="R118" s="371"/>
      <c r="U118" s="371"/>
      <c r="V118" s="371"/>
      <c r="W118" s="371"/>
      <c r="X118" s="371"/>
      <c r="AO118" s="369"/>
      <c r="AQ118" s="370"/>
      <c r="AS118" s="370"/>
      <c r="AU118" s="530"/>
      <c r="AV118" s="369"/>
      <c r="AW118" s="370"/>
    </row>
    <row r="119" customFormat="false" ht="12.75" hidden="false" customHeight="false" outlineLevel="0" collapsed="false">
      <c r="A119" s="500"/>
      <c r="B119" s="500"/>
      <c r="P119" s="371"/>
      <c r="Q119" s="371"/>
      <c r="R119" s="371"/>
      <c r="U119" s="371"/>
      <c r="V119" s="371"/>
      <c r="W119" s="371"/>
      <c r="X119" s="371"/>
      <c r="AO119" s="369"/>
      <c r="AQ119" s="370"/>
      <c r="AS119" s="370"/>
      <c r="AU119" s="530"/>
      <c r="AV119" s="369"/>
      <c r="AW119" s="370"/>
    </row>
    <row r="120" customFormat="false" ht="12.75" hidden="false" customHeight="false" outlineLevel="0" collapsed="false">
      <c r="A120" s="500"/>
      <c r="B120" s="500"/>
      <c r="P120" s="371"/>
      <c r="Q120" s="371"/>
      <c r="R120" s="371"/>
      <c r="U120" s="371"/>
      <c r="V120" s="371"/>
      <c r="W120" s="371"/>
      <c r="X120" s="371"/>
      <c r="AO120" s="369"/>
      <c r="AQ120" s="370"/>
      <c r="AS120" s="370"/>
      <c r="AU120" s="530"/>
      <c r="AV120" s="369"/>
      <c r="AW120" s="370"/>
    </row>
    <row r="121" customFormat="false" ht="12.75" hidden="false" customHeight="false" outlineLevel="0" collapsed="false">
      <c r="A121" s="500"/>
      <c r="B121" s="500"/>
      <c r="P121" s="371"/>
      <c r="Q121" s="371"/>
      <c r="R121" s="371"/>
      <c r="U121" s="371"/>
      <c r="V121" s="371"/>
      <c r="W121" s="371"/>
      <c r="X121" s="371"/>
      <c r="AO121" s="369"/>
      <c r="AQ121" s="370"/>
      <c r="AS121" s="370"/>
      <c r="AU121" s="530"/>
      <c r="AV121" s="369"/>
      <c r="AW121" s="370"/>
    </row>
    <row r="122" customFormat="false" ht="12.75" hidden="false" customHeight="false" outlineLevel="0" collapsed="false">
      <c r="A122" s="500"/>
      <c r="B122" s="500"/>
      <c r="P122" s="371"/>
      <c r="Q122" s="371"/>
      <c r="R122" s="371"/>
      <c r="U122" s="371"/>
      <c r="V122" s="371"/>
      <c r="W122" s="371"/>
      <c r="X122" s="371"/>
      <c r="AO122" s="369"/>
      <c r="AQ122" s="370"/>
      <c r="AS122" s="370"/>
      <c r="AU122" s="530"/>
      <c r="AV122" s="369"/>
      <c r="AW122" s="370"/>
    </row>
    <row r="123" customFormat="false" ht="12.75" hidden="false" customHeight="false" outlineLevel="0" collapsed="false">
      <c r="A123" s="500"/>
      <c r="B123" s="500"/>
      <c r="P123" s="371"/>
      <c r="Q123" s="371"/>
      <c r="R123" s="371"/>
      <c r="U123" s="371"/>
      <c r="V123" s="371"/>
      <c r="W123" s="371"/>
      <c r="X123" s="371"/>
      <c r="AO123" s="369"/>
      <c r="AQ123" s="370"/>
      <c r="AS123" s="370"/>
      <c r="AU123" s="530"/>
      <c r="AV123" s="369"/>
      <c r="AW123" s="370"/>
    </row>
    <row r="124" customFormat="false" ht="12.75" hidden="false" customHeight="false" outlineLevel="0" collapsed="false">
      <c r="A124" s="500"/>
      <c r="B124" s="500"/>
      <c r="P124" s="371"/>
      <c r="Q124" s="371"/>
      <c r="R124" s="371"/>
      <c r="U124" s="371"/>
      <c r="V124" s="371"/>
      <c r="W124" s="371"/>
      <c r="X124" s="371"/>
      <c r="AO124" s="369"/>
      <c r="AQ124" s="370"/>
      <c r="AS124" s="370"/>
      <c r="AU124" s="530"/>
      <c r="AV124" s="369"/>
      <c r="AW124" s="370"/>
    </row>
    <row r="125" customFormat="false" ht="12.75" hidden="false" customHeight="false" outlineLevel="0" collapsed="false">
      <c r="A125" s="500"/>
      <c r="B125" s="500"/>
      <c r="P125" s="371"/>
      <c r="Q125" s="371"/>
      <c r="R125" s="371"/>
      <c r="U125" s="371"/>
      <c r="V125" s="371"/>
      <c r="W125" s="371"/>
      <c r="X125" s="371"/>
      <c r="AO125" s="369"/>
      <c r="AQ125" s="370"/>
      <c r="AS125" s="370"/>
      <c r="AU125" s="530"/>
      <c r="AV125" s="369"/>
      <c r="AW125" s="370"/>
    </row>
    <row r="126" customFormat="false" ht="12.75" hidden="false" customHeight="false" outlineLevel="0" collapsed="false">
      <c r="A126" s="500"/>
      <c r="B126" s="500"/>
      <c r="P126" s="371"/>
      <c r="Q126" s="371"/>
      <c r="R126" s="371"/>
      <c r="U126" s="371"/>
      <c r="V126" s="371"/>
      <c r="W126" s="371"/>
      <c r="X126" s="371"/>
      <c r="AO126" s="369"/>
      <c r="AQ126" s="370"/>
      <c r="AS126" s="370"/>
      <c r="AU126" s="530"/>
      <c r="AV126" s="369"/>
      <c r="AW126" s="370"/>
    </row>
    <row r="127" customFormat="false" ht="12.75" hidden="false" customHeight="false" outlineLevel="0" collapsed="false">
      <c r="A127" s="500"/>
      <c r="B127" s="500"/>
      <c r="P127" s="371"/>
      <c r="Q127" s="371"/>
      <c r="R127" s="371"/>
      <c r="U127" s="371"/>
      <c r="V127" s="371"/>
      <c r="W127" s="371"/>
      <c r="X127" s="371"/>
      <c r="AO127" s="369"/>
      <c r="AQ127" s="370"/>
      <c r="AS127" s="370"/>
      <c r="AU127" s="530"/>
      <c r="AV127" s="369"/>
      <c r="AW127" s="370"/>
    </row>
    <row r="128" customFormat="false" ht="12.75" hidden="false" customHeight="false" outlineLevel="0" collapsed="false">
      <c r="A128" s="500"/>
      <c r="B128" s="500"/>
      <c r="P128" s="371"/>
      <c r="Q128" s="371"/>
      <c r="R128" s="371"/>
      <c r="U128" s="371"/>
      <c r="V128" s="371"/>
      <c r="W128" s="371"/>
      <c r="X128" s="371"/>
      <c r="AO128" s="369"/>
      <c r="AQ128" s="370"/>
      <c r="AS128" s="370"/>
      <c r="AU128" s="530"/>
      <c r="AV128" s="369"/>
      <c r="AW128" s="370"/>
    </row>
    <row r="129" customFormat="false" ht="12.75" hidden="false" customHeight="false" outlineLevel="0" collapsed="false">
      <c r="A129" s="500"/>
      <c r="B129" s="500"/>
      <c r="P129" s="371"/>
      <c r="Q129" s="371"/>
      <c r="R129" s="371"/>
      <c r="U129" s="371"/>
      <c r="V129" s="371"/>
      <c r="W129" s="371"/>
      <c r="X129" s="371"/>
      <c r="AO129" s="369"/>
      <c r="AQ129" s="370"/>
      <c r="AS129" s="370"/>
      <c r="AU129" s="530"/>
      <c r="AV129" s="369"/>
      <c r="AW129" s="370"/>
    </row>
    <row r="130" customFormat="false" ht="12.75" hidden="false" customHeight="false" outlineLevel="0" collapsed="false">
      <c r="P130" s="371"/>
      <c r="Q130" s="371"/>
      <c r="R130" s="371"/>
      <c r="U130" s="371"/>
      <c r="V130" s="371"/>
      <c r="W130" s="371"/>
      <c r="X130" s="371"/>
      <c r="AO130" s="369"/>
      <c r="AQ130" s="370"/>
      <c r="AS130" s="370"/>
      <c r="AU130" s="530"/>
      <c r="AV130" s="369"/>
      <c r="AW130" s="370"/>
    </row>
    <row r="131" customFormat="false" ht="12.75" hidden="false" customHeight="false" outlineLevel="0" collapsed="false">
      <c r="P131" s="371"/>
      <c r="Q131" s="371"/>
      <c r="R131" s="371"/>
      <c r="U131" s="371"/>
      <c r="V131" s="371"/>
      <c r="W131" s="371"/>
      <c r="X131" s="371"/>
      <c r="AO131" s="369"/>
      <c r="AQ131" s="370"/>
      <c r="AS131" s="370"/>
      <c r="AU131" s="530"/>
      <c r="AV131" s="369"/>
      <c r="AW131" s="370"/>
    </row>
    <row r="132" customFormat="false" ht="12.75" hidden="false" customHeight="false" outlineLevel="0" collapsed="false">
      <c r="P132" s="371"/>
      <c r="Q132" s="371"/>
      <c r="R132" s="371"/>
      <c r="U132" s="371"/>
      <c r="V132" s="371"/>
      <c r="W132" s="371"/>
      <c r="X132" s="371"/>
      <c r="AO132" s="369"/>
      <c r="AQ132" s="370"/>
      <c r="AS132" s="370"/>
      <c r="AU132" s="530"/>
      <c r="AV132" s="369"/>
      <c r="AW132" s="370"/>
    </row>
    <row r="133" customFormat="false" ht="12.75" hidden="false" customHeight="false" outlineLevel="0" collapsed="false">
      <c r="P133" s="371"/>
      <c r="Q133" s="371"/>
      <c r="R133" s="371"/>
      <c r="U133" s="371"/>
      <c r="V133" s="371"/>
      <c r="W133" s="371"/>
      <c r="X133" s="371"/>
      <c r="AO133" s="369"/>
      <c r="AQ133" s="370"/>
      <c r="AS133" s="370"/>
      <c r="AU133" s="530"/>
      <c r="AV133" s="369"/>
      <c r="AW133" s="370"/>
    </row>
    <row r="134" customFormat="false" ht="12.75" hidden="false" customHeight="false" outlineLevel="0" collapsed="false">
      <c r="P134" s="371"/>
      <c r="Q134" s="371"/>
      <c r="R134" s="371"/>
      <c r="U134" s="371"/>
      <c r="V134" s="371"/>
      <c r="W134" s="371"/>
      <c r="X134" s="371"/>
      <c r="AO134" s="369"/>
      <c r="AQ134" s="370"/>
      <c r="AS134" s="370"/>
      <c r="AU134" s="530"/>
      <c r="AV134" s="369"/>
      <c r="AW134" s="370"/>
    </row>
    <row r="135" customFormat="false" ht="12.75" hidden="false" customHeight="false" outlineLevel="0" collapsed="false">
      <c r="P135" s="371"/>
      <c r="Q135" s="371"/>
      <c r="R135" s="371"/>
      <c r="U135" s="371"/>
      <c r="V135" s="371"/>
      <c r="W135" s="371"/>
      <c r="X135" s="371"/>
      <c r="AO135" s="369"/>
      <c r="AQ135" s="370"/>
      <c r="AS135" s="370"/>
      <c r="AU135" s="530"/>
      <c r="AV135" s="369"/>
      <c r="AW135" s="370"/>
    </row>
    <row r="136" customFormat="false" ht="12.75" hidden="false" customHeight="false" outlineLevel="0" collapsed="false">
      <c r="P136" s="371"/>
      <c r="Q136" s="371"/>
      <c r="R136" s="371"/>
      <c r="U136" s="371"/>
      <c r="V136" s="371"/>
      <c r="W136" s="371"/>
      <c r="X136" s="371"/>
      <c r="AO136" s="369"/>
      <c r="AQ136" s="370"/>
      <c r="AS136" s="370"/>
      <c r="AU136" s="530"/>
      <c r="AV136" s="369"/>
      <c r="AW136" s="370"/>
    </row>
    <row r="137" customFormat="false" ht="12.75" hidden="false" customHeight="false" outlineLevel="0" collapsed="false">
      <c r="P137" s="371"/>
      <c r="Q137" s="371"/>
      <c r="R137" s="371"/>
      <c r="U137" s="371"/>
      <c r="V137" s="371"/>
      <c r="W137" s="371"/>
      <c r="X137" s="371"/>
      <c r="AO137" s="369"/>
      <c r="AQ137" s="370"/>
      <c r="AS137" s="370"/>
      <c r="AU137" s="530"/>
      <c r="AV137" s="369"/>
      <c r="AW137" s="370"/>
    </row>
    <row r="138" customFormat="false" ht="12.75" hidden="false" customHeight="false" outlineLevel="0" collapsed="false">
      <c r="P138" s="371"/>
      <c r="Q138" s="371"/>
      <c r="R138" s="371"/>
      <c r="U138" s="371"/>
      <c r="V138" s="371"/>
      <c r="W138" s="371"/>
      <c r="X138" s="371"/>
      <c r="AO138" s="369"/>
      <c r="AQ138" s="370"/>
      <c r="AS138" s="370"/>
      <c r="AU138" s="530"/>
      <c r="AV138" s="369"/>
      <c r="AW138" s="370"/>
    </row>
    <row r="139" customFormat="false" ht="12.75" hidden="false" customHeight="false" outlineLevel="0" collapsed="false">
      <c r="P139" s="371"/>
      <c r="Q139" s="371"/>
      <c r="R139" s="371"/>
      <c r="U139" s="371"/>
      <c r="V139" s="371"/>
      <c r="W139" s="371"/>
      <c r="X139" s="371"/>
      <c r="AO139" s="369"/>
      <c r="AQ139" s="370"/>
      <c r="AS139" s="370"/>
      <c r="AU139" s="530"/>
      <c r="AV139" s="369"/>
      <c r="AW139" s="370"/>
    </row>
    <row r="140" customFormat="false" ht="12.75" hidden="false" customHeight="false" outlineLevel="0" collapsed="false">
      <c r="P140" s="371"/>
      <c r="Q140" s="371"/>
      <c r="R140" s="371"/>
      <c r="U140" s="371"/>
      <c r="V140" s="371"/>
      <c r="W140" s="371"/>
      <c r="X140" s="371"/>
      <c r="AO140" s="369"/>
      <c r="AQ140" s="370"/>
      <c r="AS140" s="370"/>
      <c r="AU140" s="530"/>
      <c r="AV140" s="369"/>
      <c r="AW140" s="370"/>
    </row>
    <row r="141" customFormat="false" ht="12.75" hidden="false" customHeight="false" outlineLevel="0" collapsed="false">
      <c r="P141" s="371"/>
      <c r="Q141" s="371"/>
      <c r="R141" s="371"/>
      <c r="U141" s="371"/>
      <c r="V141" s="371"/>
      <c r="W141" s="371"/>
      <c r="X141" s="371"/>
      <c r="AO141" s="369"/>
      <c r="AQ141" s="370"/>
      <c r="AS141" s="370"/>
      <c r="AU141" s="530"/>
      <c r="AV141" s="369"/>
      <c r="AW141" s="370"/>
    </row>
    <row r="142" customFormat="false" ht="12.75" hidden="false" customHeight="false" outlineLevel="0" collapsed="false">
      <c r="P142" s="371"/>
      <c r="Q142" s="371"/>
      <c r="R142" s="371"/>
      <c r="U142" s="371"/>
      <c r="V142" s="371"/>
      <c r="W142" s="371"/>
      <c r="X142" s="371"/>
      <c r="AO142" s="369"/>
      <c r="AQ142" s="370"/>
      <c r="AS142" s="370"/>
      <c r="AU142" s="530"/>
      <c r="AV142" s="369"/>
      <c r="AW142" s="370"/>
    </row>
    <row r="143" customFormat="false" ht="12.75" hidden="false" customHeight="false" outlineLevel="0" collapsed="false">
      <c r="P143" s="371"/>
      <c r="Q143" s="371"/>
      <c r="R143" s="371"/>
      <c r="U143" s="371"/>
      <c r="V143" s="371"/>
      <c r="W143" s="371"/>
      <c r="X143" s="371"/>
      <c r="AO143" s="369"/>
      <c r="AQ143" s="370"/>
      <c r="AS143" s="370"/>
      <c r="AU143" s="530"/>
      <c r="AV143" s="369"/>
      <c r="AW143" s="370"/>
    </row>
    <row r="144" customFormat="false" ht="12.75" hidden="false" customHeight="false" outlineLevel="0" collapsed="false">
      <c r="P144" s="371"/>
      <c r="Q144" s="371"/>
      <c r="R144" s="371"/>
      <c r="U144" s="371"/>
      <c r="V144" s="371"/>
      <c r="W144" s="371"/>
      <c r="X144" s="371"/>
      <c r="AO144" s="369"/>
      <c r="AQ144" s="370"/>
      <c r="AS144" s="370"/>
      <c r="AU144" s="530"/>
      <c r="AV144" s="369"/>
      <c r="AW144" s="370"/>
    </row>
    <row r="145" customFormat="false" ht="12.75" hidden="false" customHeight="false" outlineLevel="0" collapsed="false">
      <c r="P145" s="371"/>
      <c r="Q145" s="371"/>
      <c r="R145" s="371"/>
      <c r="U145" s="371"/>
      <c r="V145" s="371"/>
      <c r="W145" s="371"/>
      <c r="X145" s="371"/>
      <c r="AO145" s="369"/>
      <c r="AQ145" s="370"/>
      <c r="AS145" s="370"/>
      <c r="AU145" s="530"/>
      <c r="AV145" s="369"/>
      <c r="AW145" s="370"/>
    </row>
    <row r="146" customFormat="false" ht="12.75" hidden="false" customHeight="false" outlineLevel="0" collapsed="false">
      <c r="P146" s="371"/>
      <c r="Q146" s="371"/>
      <c r="R146" s="371"/>
      <c r="U146" s="371"/>
      <c r="V146" s="371"/>
      <c r="W146" s="371"/>
      <c r="X146" s="371"/>
      <c r="AO146" s="369"/>
      <c r="AQ146" s="370"/>
      <c r="AS146" s="370"/>
      <c r="AU146" s="530"/>
      <c r="AV146" s="369"/>
      <c r="AW146" s="370"/>
    </row>
    <row r="147" customFormat="false" ht="12.75" hidden="false" customHeight="false" outlineLevel="0" collapsed="false">
      <c r="P147" s="371"/>
      <c r="Q147" s="371"/>
      <c r="R147" s="371"/>
      <c r="U147" s="371"/>
      <c r="V147" s="371"/>
      <c r="W147" s="371"/>
      <c r="X147" s="371"/>
      <c r="AO147" s="369"/>
      <c r="AQ147" s="370"/>
      <c r="AS147" s="370"/>
      <c r="AU147" s="530"/>
      <c r="AV147" s="369"/>
      <c r="AW147" s="370"/>
    </row>
    <row r="148" customFormat="false" ht="12.75" hidden="false" customHeight="false" outlineLevel="0" collapsed="false">
      <c r="P148" s="371"/>
      <c r="Q148" s="371"/>
      <c r="R148" s="371"/>
      <c r="U148" s="371"/>
      <c r="V148" s="371"/>
      <c r="W148" s="371"/>
      <c r="X148" s="371"/>
      <c r="AO148" s="369"/>
      <c r="AQ148" s="370"/>
      <c r="AS148" s="370"/>
      <c r="AU148" s="530"/>
      <c r="AV148" s="369"/>
      <c r="AW148" s="370"/>
    </row>
    <row r="149" customFormat="false" ht="12.75" hidden="false" customHeight="false" outlineLevel="0" collapsed="false">
      <c r="P149" s="371"/>
      <c r="Q149" s="371"/>
      <c r="R149" s="371"/>
      <c r="U149" s="371"/>
      <c r="V149" s="371"/>
      <c r="W149" s="371"/>
      <c r="X149" s="371"/>
      <c r="AO149" s="369"/>
      <c r="AQ149" s="370"/>
      <c r="AS149" s="370"/>
      <c r="AU149" s="530"/>
      <c r="AV149" s="369"/>
      <c r="AW149" s="370"/>
    </row>
    <row r="150" customFormat="false" ht="12.75" hidden="false" customHeight="false" outlineLevel="0" collapsed="false">
      <c r="P150" s="371"/>
      <c r="Q150" s="371"/>
      <c r="R150" s="371"/>
      <c r="U150" s="371"/>
      <c r="V150" s="371"/>
      <c r="W150" s="371"/>
      <c r="X150" s="371"/>
      <c r="AO150" s="369"/>
      <c r="AQ150" s="370"/>
      <c r="AS150" s="370"/>
      <c r="AU150" s="530"/>
      <c r="AV150" s="369"/>
      <c r="AW150" s="370"/>
    </row>
    <row r="151" customFormat="false" ht="12.75" hidden="false" customHeight="false" outlineLevel="0" collapsed="false">
      <c r="P151" s="371"/>
      <c r="Q151" s="371"/>
      <c r="R151" s="371"/>
      <c r="U151" s="371"/>
      <c r="V151" s="371"/>
      <c r="W151" s="371"/>
      <c r="X151" s="371"/>
      <c r="AO151" s="369"/>
      <c r="AQ151" s="370"/>
      <c r="AS151" s="370"/>
      <c r="AU151" s="530"/>
      <c r="AV151" s="369"/>
      <c r="AW151" s="370"/>
    </row>
    <row r="152" customFormat="false" ht="12.75" hidden="false" customHeight="false" outlineLevel="0" collapsed="false">
      <c r="P152" s="371"/>
      <c r="Q152" s="371"/>
      <c r="R152" s="371"/>
      <c r="U152" s="371"/>
      <c r="V152" s="371"/>
      <c r="W152" s="371"/>
      <c r="X152" s="371"/>
      <c r="AO152" s="369"/>
      <c r="AQ152" s="370"/>
      <c r="AS152" s="370"/>
      <c r="AU152" s="530"/>
      <c r="AV152" s="369"/>
      <c r="AW152" s="370"/>
    </row>
    <row r="153" customFormat="false" ht="12.75" hidden="false" customHeight="false" outlineLevel="0" collapsed="false">
      <c r="P153" s="371"/>
      <c r="Q153" s="371"/>
      <c r="R153" s="371"/>
      <c r="U153" s="371"/>
      <c r="V153" s="371"/>
      <c r="W153" s="371"/>
      <c r="X153" s="371"/>
      <c r="AO153" s="369"/>
      <c r="AQ153" s="370"/>
      <c r="AS153" s="370"/>
      <c r="AU153" s="530"/>
      <c r="AV153" s="369"/>
      <c r="AW153" s="370"/>
    </row>
    <row r="154" customFormat="false" ht="12.75" hidden="false" customHeight="false" outlineLevel="0" collapsed="false">
      <c r="P154" s="371"/>
      <c r="Q154" s="371"/>
      <c r="R154" s="371"/>
      <c r="U154" s="371"/>
      <c r="V154" s="371"/>
      <c r="W154" s="371"/>
      <c r="X154" s="371"/>
      <c r="AO154" s="369"/>
      <c r="AQ154" s="370"/>
      <c r="AS154" s="370"/>
      <c r="AU154" s="530"/>
      <c r="AV154" s="369"/>
      <c r="AW154" s="370"/>
    </row>
    <row r="155" customFormat="false" ht="12.75" hidden="false" customHeight="false" outlineLevel="0" collapsed="false">
      <c r="P155" s="371"/>
      <c r="Q155" s="371"/>
      <c r="R155" s="371"/>
      <c r="U155" s="371"/>
      <c r="V155" s="371"/>
      <c r="W155" s="371"/>
      <c r="X155" s="371"/>
      <c r="AO155" s="369"/>
      <c r="AQ155" s="370"/>
      <c r="AS155" s="370"/>
      <c r="AU155" s="530"/>
      <c r="AV155" s="369"/>
      <c r="AW155" s="370"/>
    </row>
    <row r="156" customFormat="false" ht="12.75" hidden="false" customHeight="false" outlineLevel="0" collapsed="false">
      <c r="P156" s="371"/>
      <c r="Q156" s="371"/>
      <c r="R156" s="371"/>
      <c r="U156" s="371"/>
      <c r="V156" s="371"/>
      <c r="W156" s="371"/>
      <c r="X156" s="371"/>
      <c r="AO156" s="369"/>
      <c r="AQ156" s="370"/>
      <c r="AS156" s="370"/>
      <c r="AU156" s="530"/>
      <c r="AV156" s="369"/>
      <c r="AW156" s="370"/>
    </row>
    <row r="157" customFormat="false" ht="12.75" hidden="false" customHeight="false" outlineLevel="0" collapsed="false">
      <c r="P157" s="371"/>
      <c r="Q157" s="371"/>
      <c r="R157" s="371"/>
      <c r="U157" s="371"/>
      <c r="V157" s="371"/>
      <c r="W157" s="371"/>
      <c r="X157" s="371"/>
      <c r="AO157" s="369"/>
      <c r="AQ157" s="370"/>
      <c r="AS157" s="370"/>
      <c r="AU157" s="530"/>
      <c r="AV157" s="369"/>
      <c r="AW157" s="370"/>
    </row>
    <row r="158" customFormat="false" ht="12.75" hidden="false" customHeight="false" outlineLevel="0" collapsed="false">
      <c r="P158" s="371"/>
      <c r="Q158" s="371"/>
      <c r="R158" s="371"/>
      <c r="U158" s="371"/>
      <c r="V158" s="371"/>
      <c r="W158" s="371"/>
      <c r="X158" s="371"/>
      <c r="AO158" s="369"/>
      <c r="AQ158" s="370"/>
      <c r="AS158" s="370"/>
      <c r="AU158" s="530"/>
      <c r="AV158" s="369"/>
      <c r="AW158" s="370"/>
    </row>
    <row r="159" customFormat="false" ht="12.75" hidden="false" customHeight="false" outlineLevel="0" collapsed="false">
      <c r="P159" s="371"/>
      <c r="Q159" s="371"/>
      <c r="R159" s="371"/>
      <c r="U159" s="371"/>
      <c r="V159" s="371"/>
      <c r="W159" s="371"/>
      <c r="X159" s="371"/>
      <c r="AO159" s="369"/>
      <c r="AQ159" s="370"/>
      <c r="AS159" s="370"/>
      <c r="AU159" s="530"/>
      <c r="AV159" s="369"/>
      <c r="AW159" s="370"/>
    </row>
    <row r="160" customFormat="false" ht="12.75" hidden="false" customHeight="false" outlineLevel="0" collapsed="false">
      <c r="P160" s="371"/>
      <c r="Q160" s="371"/>
      <c r="R160" s="371"/>
      <c r="U160" s="371"/>
      <c r="V160" s="371"/>
      <c r="W160" s="371"/>
      <c r="X160" s="371"/>
      <c r="AO160" s="369"/>
      <c r="AQ160" s="370"/>
      <c r="AS160" s="370"/>
      <c r="AU160" s="530"/>
      <c r="AV160" s="369"/>
      <c r="AW160" s="370"/>
    </row>
    <row r="161" customFormat="false" ht="12.75" hidden="false" customHeight="false" outlineLevel="0" collapsed="false">
      <c r="P161" s="371"/>
      <c r="Q161" s="371"/>
      <c r="R161" s="371"/>
      <c r="U161" s="371"/>
      <c r="V161" s="371"/>
      <c r="W161" s="371"/>
      <c r="X161" s="371"/>
      <c r="AO161" s="369"/>
      <c r="AQ161" s="370"/>
      <c r="AS161" s="370"/>
      <c r="AU161" s="530"/>
      <c r="AV161" s="369"/>
      <c r="AW161" s="370"/>
    </row>
    <row r="162" customFormat="false" ht="12.75" hidden="false" customHeight="false" outlineLevel="0" collapsed="false">
      <c r="P162" s="371"/>
      <c r="Q162" s="371"/>
      <c r="R162" s="371"/>
      <c r="U162" s="371"/>
      <c r="V162" s="371"/>
      <c r="W162" s="371"/>
      <c r="X162" s="371"/>
      <c r="AO162" s="369"/>
      <c r="AQ162" s="370"/>
      <c r="AS162" s="370"/>
      <c r="AU162" s="530"/>
      <c r="AV162" s="369"/>
      <c r="AW162" s="370"/>
    </row>
    <row r="163" customFormat="false" ht="12.75" hidden="false" customHeight="false" outlineLevel="0" collapsed="false">
      <c r="P163" s="371"/>
      <c r="Q163" s="371"/>
      <c r="R163" s="371"/>
      <c r="U163" s="371"/>
      <c r="V163" s="371"/>
      <c r="W163" s="371"/>
      <c r="X163" s="371"/>
      <c r="AO163" s="369"/>
      <c r="AQ163" s="370"/>
      <c r="AS163" s="370"/>
      <c r="AU163" s="530"/>
      <c r="AV163" s="369"/>
      <c r="AW163" s="370"/>
    </row>
    <row r="164" customFormat="false" ht="12.75" hidden="false" customHeight="false" outlineLevel="0" collapsed="false">
      <c r="P164" s="371"/>
      <c r="Q164" s="371"/>
      <c r="R164" s="371"/>
      <c r="U164" s="371"/>
      <c r="V164" s="371"/>
      <c r="W164" s="371"/>
      <c r="X164" s="371"/>
      <c r="AO164" s="369"/>
      <c r="AQ164" s="370"/>
      <c r="AS164" s="370"/>
      <c r="AU164" s="530"/>
      <c r="AV164" s="369"/>
      <c r="AW164" s="370"/>
    </row>
    <row r="165" customFormat="false" ht="12.75" hidden="false" customHeight="false" outlineLevel="0" collapsed="false">
      <c r="P165" s="371"/>
      <c r="Q165" s="371"/>
      <c r="R165" s="371"/>
      <c r="U165" s="371"/>
      <c r="V165" s="371"/>
      <c r="W165" s="371"/>
      <c r="X165" s="371"/>
      <c r="AO165" s="369"/>
      <c r="AQ165" s="370"/>
      <c r="AS165" s="370"/>
      <c r="AU165" s="530"/>
      <c r="AV165" s="369"/>
      <c r="AW165" s="370"/>
    </row>
    <row r="166" customFormat="false" ht="12.75" hidden="false" customHeight="false" outlineLevel="0" collapsed="false">
      <c r="P166" s="371"/>
      <c r="Q166" s="371"/>
      <c r="R166" s="371"/>
      <c r="U166" s="371"/>
      <c r="V166" s="371"/>
      <c r="W166" s="371"/>
      <c r="X166" s="371"/>
    </row>
    <row r="167" customFormat="false" ht="12.75" hidden="false" customHeight="false" outlineLevel="0" collapsed="false">
      <c r="P167" s="371"/>
      <c r="Q167" s="371"/>
      <c r="R167" s="371"/>
      <c r="U167" s="371"/>
      <c r="V167" s="371"/>
      <c r="W167" s="371"/>
      <c r="X167" s="371"/>
    </row>
    <row r="168" customFormat="false" ht="12.75" hidden="false" customHeight="false" outlineLevel="0" collapsed="false">
      <c r="P168" s="371"/>
      <c r="Q168" s="371"/>
      <c r="R168" s="371"/>
      <c r="U168" s="371"/>
      <c r="V168" s="371"/>
      <c r="W168" s="371"/>
      <c r="X168" s="371"/>
    </row>
    <row r="169" customFormat="false" ht="12.75" hidden="false" customHeight="false" outlineLevel="0" collapsed="false">
      <c r="P169" s="371"/>
      <c r="Q169" s="371"/>
      <c r="R169" s="371"/>
      <c r="U169" s="371"/>
      <c r="V169" s="371"/>
      <c r="W169" s="371"/>
      <c r="X169" s="371"/>
    </row>
    <row r="170" customFormat="false" ht="12.75" hidden="false" customHeight="false" outlineLevel="0" collapsed="false">
      <c r="P170" s="371"/>
      <c r="Q170" s="371"/>
      <c r="R170" s="371"/>
      <c r="U170" s="371"/>
      <c r="V170" s="371"/>
      <c r="W170" s="371"/>
      <c r="X170" s="371"/>
    </row>
    <row r="171" customFormat="false" ht="12.75" hidden="false" customHeight="false" outlineLevel="0" collapsed="false">
      <c r="P171" s="371"/>
      <c r="Q171" s="371"/>
      <c r="R171" s="371"/>
      <c r="U171" s="371"/>
      <c r="V171" s="371"/>
      <c r="W171" s="371"/>
      <c r="X171" s="371"/>
    </row>
    <row r="172" customFormat="false" ht="12.75" hidden="false" customHeight="false" outlineLevel="0" collapsed="false">
      <c r="P172" s="371"/>
      <c r="Q172" s="371"/>
      <c r="R172" s="371"/>
      <c r="U172" s="371"/>
      <c r="V172" s="371"/>
      <c r="W172" s="371"/>
      <c r="X172" s="371"/>
    </row>
    <row r="173" customFormat="false" ht="12.75" hidden="false" customHeight="false" outlineLevel="0" collapsed="false">
      <c r="P173" s="371"/>
      <c r="Q173" s="371"/>
      <c r="R173" s="371"/>
      <c r="U173" s="371"/>
      <c r="V173" s="371"/>
      <c r="W173" s="371"/>
      <c r="X173" s="371"/>
    </row>
    <row r="174" customFormat="false" ht="12.75" hidden="false" customHeight="false" outlineLevel="0" collapsed="false">
      <c r="P174" s="371"/>
      <c r="Q174" s="371"/>
      <c r="R174" s="371"/>
      <c r="U174" s="371"/>
      <c r="V174" s="371"/>
      <c r="W174" s="371"/>
      <c r="X174" s="371"/>
    </row>
    <row r="175" customFormat="false" ht="12.75" hidden="false" customHeight="false" outlineLevel="0" collapsed="false">
      <c r="P175" s="371"/>
      <c r="Q175" s="371"/>
      <c r="R175" s="371"/>
      <c r="U175" s="371"/>
      <c r="V175" s="371"/>
      <c r="W175" s="371"/>
      <c r="X175" s="371"/>
    </row>
    <row r="176" customFormat="false" ht="12.75" hidden="false" customHeight="false" outlineLevel="0" collapsed="false">
      <c r="P176" s="371"/>
      <c r="Q176" s="371"/>
      <c r="R176" s="371"/>
      <c r="U176" s="371"/>
      <c r="V176" s="371"/>
      <c r="W176" s="371"/>
      <c r="X176" s="371"/>
    </row>
    <row r="177" customFormat="false" ht="12.75" hidden="false" customHeight="false" outlineLevel="0" collapsed="false">
      <c r="P177" s="371"/>
      <c r="Q177" s="371"/>
      <c r="R177" s="371"/>
      <c r="U177" s="371"/>
      <c r="V177" s="371"/>
      <c r="W177" s="371"/>
      <c r="X177" s="371"/>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row r="404" customFormat="false" ht="12.75" hidden="false" customHeight="false" outlineLevel="0" collapsed="false">
      <c r="P404" s="371"/>
      <c r="Q404" s="371"/>
      <c r="R404" s="371"/>
      <c r="U404" s="371"/>
      <c r="V404" s="371"/>
      <c r="W404" s="371"/>
      <c r="X404" s="371"/>
    </row>
    <row r="405" customFormat="false" ht="12.75" hidden="false" customHeight="false" outlineLevel="0" collapsed="false">
      <c r="P405" s="371"/>
      <c r="Q405" s="371"/>
      <c r="R405" s="371"/>
      <c r="U405" s="371"/>
      <c r="V405" s="371"/>
      <c r="W405" s="371"/>
      <c r="X405" s="371"/>
    </row>
    <row r="406" customFormat="false" ht="12.75" hidden="false" customHeight="false" outlineLevel="0" collapsed="false">
      <c r="P406" s="371"/>
      <c r="Q406" s="371"/>
      <c r="R406" s="371"/>
      <c r="U406" s="371"/>
      <c r="V406" s="371"/>
      <c r="W406" s="371"/>
      <c r="X406" s="371"/>
    </row>
    <row r="407" customFormat="false" ht="12.75" hidden="false" customHeight="false" outlineLevel="0" collapsed="false">
      <c r="P407" s="371"/>
      <c r="Q407" s="371"/>
      <c r="R407" s="371"/>
      <c r="U407" s="371"/>
      <c r="V407" s="371"/>
      <c r="W407" s="371"/>
      <c r="X407" s="371"/>
    </row>
    <row r="408" customFormat="false" ht="12.75" hidden="false" customHeight="false" outlineLevel="0" collapsed="false">
      <c r="P408" s="371"/>
      <c r="Q408" s="371"/>
      <c r="R408" s="371"/>
      <c r="U408" s="371"/>
      <c r="V408" s="371"/>
      <c r="W408" s="371"/>
      <c r="X408" s="371"/>
    </row>
    <row r="409" customFormat="false" ht="12.75" hidden="false" customHeight="false" outlineLevel="0" collapsed="false">
      <c r="P409" s="371"/>
      <c r="Q409" s="371"/>
      <c r="R409" s="371"/>
      <c r="U409" s="371"/>
      <c r="V409" s="371"/>
      <c r="W409" s="371"/>
      <c r="X409" s="371"/>
    </row>
    <row r="410" customFormat="false" ht="12.75" hidden="false" customHeight="false" outlineLevel="0" collapsed="false">
      <c r="P410" s="371"/>
      <c r="Q410" s="371"/>
      <c r="R410" s="371"/>
      <c r="U410" s="371"/>
      <c r="V410" s="371"/>
      <c r="W410" s="371"/>
      <c r="X410" s="371"/>
    </row>
    <row r="411" customFormat="false" ht="12.75" hidden="false" customHeight="false" outlineLevel="0" collapsed="false">
      <c r="P411" s="371"/>
      <c r="Q411" s="371"/>
      <c r="R411" s="371"/>
      <c r="U411" s="371"/>
      <c r="V411" s="371"/>
      <c r="W411" s="371"/>
      <c r="X411" s="371"/>
    </row>
    <row r="412" customFormat="false" ht="12.75" hidden="false" customHeight="false" outlineLevel="0" collapsed="false">
      <c r="P412" s="371"/>
      <c r="Q412" s="371"/>
      <c r="R412" s="371"/>
      <c r="U412" s="371"/>
      <c r="V412" s="371"/>
      <c r="W412" s="371"/>
      <c r="X412" s="371"/>
    </row>
    <row r="413" customFormat="false" ht="12.75" hidden="false" customHeight="false" outlineLevel="0" collapsed="false">
      <c r="P413" s="371"/>
      <c r="Q413" s="371"/>
      <c r="R413" s="371"/>
      <c r="U413" s="371"/>
      <c r="V413" s="371"/>
      <c r="W413" s="371"/>
      <c r="X413" s="371"/>
    </row>
    <row r="414" customFormat="false" ht="12.75" hidden="false" customHeight="false" outlineLevel="0" collapsed="false">
      <c r="P414" s="371"/>
      <c r="Q414" s="371"/>
      <c r="R414" s="371"/>
      <c r="U414" s="371"/>
      <c r="V414" s="371"/>
      <c r="W414" s="371"/>
      <c r="X414" s="371"/>
    </row>
    <row r="415" customFormat="false" ht="12.75" hidden="false" customHeight="false" outlineLevel="0" collapsed="false">
      <c r="P415" s="371"/>
      <c r="Q415" s="371"/>
      <c r="R415" s="371"/>
      <c r="U415" s="371"/>
      <c r="V415" s="371"/>
      <c r="W415" s="371"/>
      <c r="X415" s="371"/>
    </row>
    <row r="416" customFormat="false" ht="12.75" hidden="false" customHeight="false" outlineLevel="0" collapsed="false">
      <c r="P416" s="371"/>
      <c r="Q416" s="371"/>
      <c r="R416" s="371"/>
      <c r="U416" s="371"/>
      <c r="V416" s="371"/>
      <c r="W416" s="371"/>
      <c r="X416" s="371"/>
    </row>
    <row r="417" customFormat="false" ht="12.75" hidden="false" customHeight="false" outlineLevel="0" collapsed="false">
      <c r="P417" s="371"/>
      <c r="Q417" s="371"/>
      <c r="R417" s="371"/>
      <c r="U417" s="371"/>
      <c r="V417" s="371"/>
      <c r="W417" s="371"/>
      <c r="X417" s="371"/>
    </row>
    <row r="418" customFormat="false" ht="12.75" hidden="false" customHeight="false" outlineLevel="0" collapsed="false">
      <c r="P418" s="371"/>
      <c r="Q418" s="371"/>
      <c r="R418" s="371"/>
      <c r="U418" s="371"/>
      <c r="V418" s="371"/>
      <c r="W418" s="371"/>
      <c r="X418" s="371"/>
    </row>
    <row r="419" customFormat="false" ht="12.75" hidden="false" customHeight="false" outlineLevel="0" collapsed="false">
      <c r="P419" s="371"/>
      <c r="Q419" s="371"/>
      <c r="R419" s="371"/>
      <c r="U419" s="371"/>
      <c r="V419" s="371"/>
      <c r="W419" s="371"/>
      <c r="X419" s="371"/>
    </row>
    <row r="420" customFormat="false" ht="12.75" hidden="false" customHeight="false" outlineLevel="0" collapsed="false">
      <c r="P420" s="371"/>
      <c r="Q420" s="371"/>
      <c r="R420" s="371"/>
      <c r="U420" s="371"/>
      <c r="V420" s="371"/>
      <c r="W420" s="371"/>
      <c r="X420" s="371"/>
    </row>
    <row r="421" customFormat="false" ht="12.75" hidden="false" customHeight="false" outlineLevel="0" collapsed="false">
      <c r="P421" s="371"/>
      <c r="Q421" s="371"/>
      <c r="R421" s="371"/>
      <c r="U421" s="371"/>
      <c r="V421" s="371"/>
      <c r="W421" s="371"/>
      <c r="X421" s="371"/>
    </row>
    <row r="422" customFormat="false" ht="12.75" hidden="false" customHeight="false" outlineLevel="0" collapsed="false">
      <c r="P422" s="371"/>
      <c r="Q422" s="371"/>
      <c r="R422" s="371"/>
      <c r="U422" s="371"/>
      <c r="V422" s="371"/>
      <c r="W422" s="371"/>
      <c r="X422" s="371"/>
    </row>
    <row r="423" customFormat="false" ht="12.75" hidden="false" customHeight="false" outlineLevel="0" collapsed="false">
      <c r="P423" s="371"/>
      <c r="Q423" s="371"/>
      <c r="R423" s="371"/>
      <c r="U423" s="371"/>
      <c r="V423" s="371"/>
      <c r="W423" s="371"/>
      <c r="X423" s="371"/>
    </row>
    <row r="424" customFormat="false" ht="12.75" hidden="false" customHeight="false" outlineLevel="0" collapsed="false">
      <c r="P424" s="371"/>
      <c r="Q424" s="371"/>
      <c r="R424" s="371"/>
      <c r="U424" s="371"/>
      <c r="V424" s="371"/>
      <c r="W424" s="371"/>
      <c r="X424" s="371"/>
    </row>
    <row r="425" customFormat="false" ht="12.75" hidden="false" customHeight="false" outlineLevel="0" collapsed="false">
      <c r="P425" s="371"/>
      <c r="Q425" s="371"/>
      <c r="R425" s="371"/>
      <c r="U425" s="371"/>
      <c r="V425" s="371"/>
      <c r="W425" s="371"/>
      <c r="X425" s="371"/>
    </row>
    <row r="426" customFormat="false" ht="12.75" hidden="false" customHeight="false" outlineLevel="0" collapsed="false">
      <c r="P426" s="371"/>
      <c r="Q426" s="371"/>
      <c r="R426" s="371"/>
      <c r="U426" s="371"/>
      <c r="V426" s="371"/>
      <c r="W426" s="371"/>
      <c r="X426" s="371"/>
    </row>
    <row r="427" customFormat="false" ht="12.75" hidden="false" customHeight="false" outlineLevel="0" collapsed="false">
      <c r="P427" s="371"/>
      <c r="Q427" s="371"/>
      <c r="R427" s="371"/>
      <c r="U427" s="371"/>
      <c r="V427" s="371"/>
      <c r="W427" s="371"/>
      <c r="X427" s="371"/>
    </row>
    <row r="428" customFormat="false" ht="12.75" hidden="false" customHeight="false" outlineLevel="0" collapsed="false">
      <c r="P428" s="371"/>
      <c r="Q428" s="371"/>
      <c r="R428" s="371"/>
      <c r="U428" s="371"/>
      <c r="V428" s="371"/>
      <c r="W428" s="371"/>
      <c r="X428" s="371"/>
    </row>
    <row r="429" customFormat="false" ht="12.75" hidden="false" customHeight="false" outlineLevel="0" collapsed="false">
      <c r="P429" s="371"/>
      <c r="Q429" s="371"/>
      <c r="R429" s="371"/>
      <c r="U429" s="371"/>
      <c r="V429" s="371"/>
      <c r="W429" s="371"/>
      <c r="X429" s="371"/>
    </row>
    <row r="430" customFormat="false" ht="12.75" hidden="false" customHeight="false" outlineLevel="0" collapsed="false">
      <c r="P430" s="371"/>
      <c r="Q430" s="371"/>
      <c r="R430" s="371"/>
      <c r="U430" s="371"/>
      <c r="V430" s="371"/>
      <c r="W430" s="371"/>
      <c r="X430" s="371"/>
    </row>
    <row r="431" customFormat="false" ht="12.75" hidden="false" customHeight="false" outlineLevel="0" collapsed="false">
      <c r="P431" s="371"/>
      <c r="Q431" s="371"/>
      <c r="R431" s="371"/>
      <c r="U431" s="371"/>
      <c r="V431" s="371"/>
      <c r="W431" s="371"/>
      <c r="X431" s="371"/>
    </row>
    <row r="432" customFormat="false" ht="12.75" hidden="false" customHeight="false" outlineLevel="0" collapsed="false">
      <c r="P432" s="371"/>
      <c r="Q432" s="371"/>
      <c r="R432" s="371"/>
      <c r="U432" s="371"/>
      <c r="V432" s="371"/>
      <c r="W432" s="371"/>
      <c r="X432" s="371"/>
    </row>
    <row r="433" customFormat="false" ht="12.75" hidden="false" customHeight="false" outlineLevel="0" collapsed="false">
      <c r="P433" s="371"/>
      <c r="Q433" s="371"/>
      <c r="R433" s="371"/>
      <c r="U433" s="371"/>
      <c r="V433" s="371"/>
      <c r="W433" s="371"/>
      <c r="X433" s="371"/>
    </row>
    <row r="434" customFormat="false" ht="12.75" hidden="false" customHeight="false" outlineLevel="0" collapsed="false">
      <c r="P434" s="371"/>
      <c r="Q434" s="371"/>
      <c r="R434" s="371"/>
      <c r="U434" s="371"/>
      <c r="V434" s="371"/>
      <c r="W434" s="371"/>
      <c r="X434" s="371"/>
    </row>
    <row r="435" customFormat="false" ht="12.75" hidden="false" customHeight="false" outlineLevel="0" collapsed="false">
      <c r="P435" s="371"/>
      <c r="Q435" s="371"/>
      <c r="R435" s="371"/>
      <c r="U435" s="371"/>
      <c r="V435" s="371"/>
      <c r="W435" s="371"/>
      <c r="X435" s="371"/>
    </row>
    <row r="436" customFormat="false" ht="12.75" hidden="false" customHeight="false" outlineLevel="0" collapsed="false">
      <c r="P436" s="371"/>
      <c r="Q436" s="371"/>
      <c r="R436" s="371"/>
      <c r="U436" s="371"/>
      <c r="V436" s="371"/>
      <c r="W436" s="371"/>
      <c r="X436" s="371"/>
    </row>
    <row r="437" customFormat="false" ht="12.75" hidden="false" customHeight="false" outlineLevel="0" collapsed="false">
      <c r="P437" s="371"/>
      <c r="Q437" s="371"/>
      <c r="R437" s="371"/>
      <c r="U437" s="371"/>
      <c r="V437" s="371"/>
      <c r="W437" s="371"/>
      <c r="X437" s="371"/>
    </row>
    <row r="438" customFormat="false" ht="12.75" hidden="false" customHeight="false" outlineLevel="0" collapsed="false">
      <c r="P438" s="371"/>
      <c r="Q438" s="371"/>
      <c r="R438" s="371"/>
      <c r="U438" s="371"/>
      <c r="V438" s="371"/>
      <c r="W438" s="371"/>
      <c r="X438" s="371"/>
    </row>
    <row r="439" customFormat="false" ht="12.75" hidden="false" customHeight="false" outlineLevel="0" collapsed="false">
      <c r="P439" s="371"/>
      <c r="Q439" s="371"/>
      <c r="R439" s="371"/>
      <c r="U439" s="371"/>
      <c r="V439" s="371"/>
      <c r="W439" s="371"/>
      <c r="X439" s="371"/>
    </row>
    <row r="440" customFormat="false" ht="12.75" hidden="false" customHeight="false" outlineLevel="0" collapsed="false">
      <c r="P440" s="371"/>
      <c r="Q440" s="371"/>
      <c r="R440" s="371"/>
      <c r="U440" s="371"/>
      <c r="V440" s="371"/>
      <c r="W440" s="371"/>
      <c r="X440" s="371"/>
    </row>
    <row r="441" customFormat="false" ht="12.75" hidden="false" customHeight="false" outlineLevel="0" collapsed="false">
      <c r="P441" s="371"/>
      <c r="Q441" s="371"/>
      <c r="R441" s="371"/>
      <c r="U441" s="371"/>
      <c r="V441" s="371"/>
      <c r="W441" s="371"/>
      <c r="X441" s="371"/>
    </row>
    <row r="442" customFormat="false" ht="12.75" hidden="false" customHeight="false" outlineLevel="0" collapsed="false">
      <c r="P442" s="371"/>
      <c r="Q442" s="371"/>
      <c r="R442" s="371"/>
      <c r="U442" s="371"/>
      <c r="V442" s="371"/>
      <c r="W442" s="371"/>
      <c r="X442" s="371"/>
    </row>
    <row r="443" customFormat="false" ht="12.75" hidden="false" customHeight="false" outlineLevel="0" collapsed="false">
      <c r="P443" s="371"/>
      <c r="Q443" s="371"/>
      <c r="R443" s="371"/>
      <c r="U443" s="371"/>
      <c r="V443" s="371"/>
      <c r="W443" s="371"/>
      <c r="X443" s="371"/>
    </row>
    <row r="444" customFormat="false" ht="12.75" hidden="false" customHeight="false" outlineLevel="0" collapsed="false">
      <c r="P444" s="371"/>
      <c r="Q444" s="371"/>
      <c r="R444" s="371"/>
      <c r="U444" s="371"/>
      <c r="V444" s="371"/>
      <c r="W444" s="371"/>
      <c r="X444" s="371"/>
    </row>
    <row r="445" customFormat="false" ht="12.75" hidden="false" customHeight="false" outlineLevel="0" collapsed="false">
      <c r="P445" s="371"/>
      <c r="Q445" s="371"/>
      <c r="R445" s="371"/>
      <c r="U445" s="371"/>
      <c r="V445" s="371"/>
      <c r="W445" s="371"/>
      <c r="X445" s="371"/>
    </row>
    <row r="446" customFormat="false" ht="12.75" hidden="false" customHeight="false" outlineLevel="0" collapsed="false">
      <c r="P446" s="371"/>
      <c r="Q446" s="371"/>
      <c r="R446" s="371"/>
      <c r="U446" s="371"/>
      <c r="V446" s="371"/>
      <c r="W446" s="371"/>
      <c r="X446" s="371"/>
    </row>
    <row r="447" customFormat="false" ht="12.75" hidden="false" customHeight="false" outlineLevel="0" collapsed="false">
      <c r="P447" s="371"/>
      <c r="Q447" s="371"/>
      <c r="R447" s="371"/>
      <c r="U447" s="371"/>
      <c r="V447" s="371"/>
      <c r="W447" s="371"/>
      <c r="X447" s="371"/>
    </row>
    <row r="448" customFormat="false" ht="12.75" hidden="false" customHeight="false" outlineLevel="0" collapsed="false">
      <c r="P448" s="371"/>
      <c r="Q448" s="371"/>
      <c r="R448" s="371"/>
      <c r="U448" s="371"/>
      <c r="V448" s="371"/>
      <c r="W448" s="371"/>
      <c r="X448" s="371"/>
    </row>
    <row r="449" customFormat="false" ht="12.75" hidden="false" customHeight="false" outlineLevel="0" collapsed="false">
      <c r="P449" s="371"/>
      <c r="Q449" s="371"/>
      <c r="R449" s="371"/>
      <c r="U449" s="371"/>
      <c r="V449" s="371"/>
      <c r="W449" s="371"/>
      <c r="X449" s="371"/>
    </row>
    <row r="450" customFormat="false" ht="12.75" hidden="false" customHeight="false" outlineLevel="0" collapsed="false">
      <c r="P450" s="371"/>
      <c r="Q450" s="371"/>
      <c r="R450" s="371"/>
      <c r="U450" s="371"/>
      <c r="V450" s="371"/>
      <c r="W450" s="371"/>
      <c r="X450" s="371"/>
    </row>
    <row r="451" customFormat="false" ht="12.75" hidden="false" customHeight="false" outlineLevel="0" collapsed="false">
      <c r="P451" s="371"/>
      <c r="Q451" s="371"/>
      <c r="R451" s="371"/>
      <c r="U451" s="371"/>
      <c r="V451" s="371"/>
      <c r="W451" s="371"/>
      <c r="X451" s="371"/>
    </row>
    <row r="452" customFormat="false" ht="12.75" hidden="false" customHeight="false" outlineLevel="0" collapsed="false">
      <c r="P452" s="371"/>
      <c r="Q452" s="371"/>
      <c r="R452" s="371"/>
      <c r="U452" s="371"/>
      <c r="V452" s="371"/>
      <c r="W452" s="371"/>
      <c r="X452" s="371"/>
    </row>
    <row r="453" customFormat="false" ht="12.75" hidden="false" customHeight="false" outlineLevel="0" collapsed="false">
      <c r="P453" s="371"/>
      <c r="Q453" s="371"/>
      <c r="R453" s="371"/>
      <c r="U453" s="371"/>
      <c r="V453" s="371"/>
      <c r="W453" s="371"/>
      <c r="X453" s="371"/>
    </row>
    <row r="454" customFormat="false" ht="12.75" hidden="false" customHeight="false" outlineLevel="0" collapsed="false">
      <c r="P454" s="371"/>
      <c r="Q454" s="371"/>
      <c r="R454" s="371"/>
      <c r="U454" s="371"/>
      <c r="V454" s="371"/>
      <c r="W454" s="371"/>
      <c r="X454" s="371"/>
    </row>
    <row r="455" customFormat="false" ht="12.75" hidden="false" customHeight="false" outlineLevel="0" collapsed="false">
      <c r="P455" s="371"/>
      <c r="Q455" s="371"/>
      <c r="R455" s="371"/>
      <c r="U455" s="371"/>
      <c r="V455" s="371"/>
      <c r="W455" s="371"/>
      <c r="X455" s="371"/>
    </row>
    <row r="456" customFormat="false" ht="12.75" hidden="false" customHeight="false" outlineLevel="0" collapsed="false">
      <c r="P456" s="371"/>
      <c r="Q456" s="371"/>
      <c r="R456" s="371"/>
      <c r="U456" s="371"/>
      <c r="V456" s="371"/>
      <c r="W456" s="371"/>
      <c r="X456" s="371"/>
    </row>
    <row r="457" customFormat="false" ht="12.75" hidden="false" customHeight="false" outlineLevel="0" collapsed="false">
      <c r="P457" s="371"/>
      <c r="Q457" s="371"/>
      <c r="R457" s="371"/>
      <c r="U457" s="371"/>
      <c r="V457" s="371"/>
      <c r="W457" s="371"/>
      <c r="X457" s="371"/>
    </row>
    <row r="458" customFormat="false" ht="12.75" hidden="false" customHeight="false" outlineLevel="0" collapsed="false">
      <c r="P458" s="371"/>
      <c r="Q458" s="371"/>
      <c r="R458" s="371"/>
      <c r="U458" s="371"/>
      <c r="V458" s="371"/>
      <c r="W458" s="371"/>
      <c r="X458" s="371"/>
    </row>
    <row r="459" customFormat="false" ht="12.75" hidden="false" customHeight="false" outlineLevel="0" collapsed="false">
      <c r="P459" s="371"/>
      <c r="Q459" s="371"/>
      <c r="R459" s="371"/>
      <c r="U459" s="371"/>
      <c r="V459" s="371"/>
      <c r="W459" s="371"/>
      <c r="X459" s="371"/>
    </row>
    <row r="460" customFormat="false" ht="12.75" hidden="false" customHeight="false" outlineLevel="0" collapsed="false">
      <c r="P460" s="371"/>
      <c r="Q460" s="371"/>
      <c r="R460" s="371"/>
      <c r="U460" s="371"/>
      <c r="V460" s="371"/>
      <c r="W460" s="371"/>
      <c r="X460" s="371"/>
    </row>
    <row r="461" customFormat="false" ht="12.75" hidden="false" customHeight="false" outlineLevel="0" collapsed="false">
      <c r="P461" s="371"/>
      <c r="Q461" s="371"/>
      <c r="R461" s="371"/>
      <c r="U461" s="371"/>
      <c r="V461" s="371"/>
      <c r="W461" s="371"/>
      <c r="X461" s="371"/>
    </row>
    <row r="462" customFormat="false" ht="12.75" hidden="false" customHeight="false" outlineLevel="0" collapsed="false">
      <c r="P462" s="371"/>
      <c r="Q462" s="371"/>
      <c r="R462" s="371"/>
      <c r="U462" s="371"/>
      <c r="V462" s="371"/>
      <c r="W462" s="371"/>
      <c r="X462" s="371"/>
    </row>
    <row r="463" customFormat="false" ht="12.75" hidden="false" customHeight="false" outlineLevel="0" collapsed="false">
      <c r="P463" s="371"/>
      <c r="Q463" s="371"/>
      <c r="R463" s="371"/>
      <c r="U463" s="371"/>
      <c r="V463" s="371"/>
      <c r="W463" s="371"/>
      <c r="X463" s="371"/>
    </row>
    <row r="464" customFormat="false" ht="12.75" hidden="false" customHeight="false" outlineLevel="0" collapsed="false">
      <c r="P464" s="371"/>
      <c r="Q464" s="371"/>
      <c r="R464" s="371"/>
      <c r="U464" s="371"/>
      <c r="V464" s="371"/>
      <c r="W464" s="371"/>
      <c r="X464" s="371"/>
    </row>
    <row r="465" customFormat="false" ht="12.75" hidden="false" customHeight="false" outlineLevel="0" collapsed="false">
      <c r="P465" s="371"/>
      <c r="Q465" s="371"/>
      <c r="R465" s="371"/>
      <c r="U465" s="371"/>
      <c r="V465" s="371"/>
      <c r="W465" s="371"/>
      <c r="X465" s="371"/>
    </row>
    <row r="466" customFormat="false" ht="12.75" hidden="false" customHeight="false" outlineLevel="0" collapsed="false">
      <c r="P466" s="371"/>
      <c r="Q466" s="371"/>
      <c r="R466" s="371"/>
      <c r="U466" s="371"/>
      <c r="V466" s="371"/>
      <c r="W466" s="371"/>
      <c r="X466" s="371"/>
    </row>
    <row r="467" customFormat="false" ht="12.75" hidden="false" customHeight="false" outlineLevel="0" collapsed="false">
      <c r="P467" s="371"/>
      <c r="Q467" s="371"/>
      <c r="R467" s="371"/>
      <c r="U467" s="371"/>
      <c r="V467" s="371"/>
      <c r="W467" s="371"/>
      <c r="X467" s="371"/>
    </row>
    <row r="468" customFormat="false" ht="12.75" hidden="false" customHeight="false" outlineLevel="0" collapsed="false">
      <c r="P468" s="371"/>
      <c r="Q468" s="371"/>
      <c r="R468" s="371"/>
      <c r="U468" s="371"/>
      <c r="V468" s="371"/>
      <c r="W468" s="371"/>
      <c r="X468" s="371"/>
    </row>
    <row r="469" customFormat="false" ht="12.75" hidden="false" customHeight="false" outlineLevel="0" collapsed="false">
      <c r="P469" s="371"/>
      <c r="Q469" s="371"/>
      <c r="R469" s="371"/>
      <c r="U469" s="371"/>
      <c r="V469" s="371"/>
      <c r="W469" s="371"/>
      <c r="X469" s="371"/>
    </row>
    <row r="470" customFormat="false" ht="12.75" hidden="false" customHeight="false" outlineLevel="0" collapsed="false">
      <c r="P470" s="371"/>
      <c r="Q470" s="371"/>
      <c r="R470" s="371"/>
      <c r="U470" s="371"/>
      <c r="V470" s="371"/>
      <c r="W470" s="371"/>
      <c r="X470" s="371"/>
    </row>
    <row r="471" customFormat="false" ht="12.75" hidden="false" customHeight="false" outlineLevel="0" collapsed="false">
      <c r="P471" s="371"/>
      <c r="Q471" s="371"/>
      <c r="R471" s="371"/>
      <c r="U471" s="371"/>
      <c r="V471" s="371"/>
      <c r="W471" s="371"/>
      <c r="X471" s="371"/>
    </row>
    <row r="472" customFormat="false" ht="12.75" hidden="false" customHeight="false" outlineLevel="0" collapsed="false">
      <c r="P472" s="371"/>
      <c r="Q472" s="371"/>
      <c r="R472" s="371"/>
      <c r="U472" s="371"/>
      <c r="V472" s="371"/>
      <c r="W472" s="371"/>
      <c r="X472" s="371"/>
    </row>
    <row r="473" customFormat="false" ht="12.75" hidden="false" customHeight="false" outlineLevel="0" collapsed="false">
      <c r="P473" s="371"/>
      <c r="Q473" s="371"/>
      <c r="R473" s="371"/>
      <c r="U473" s="371"/>
      <c r="V473" s="371"/>
      <c r="W473" s="371"/>
      <c r="X473" s="371"/>
    </row>
    <row r="474" customFormat="false" ht="12.75" hidden="false" customHeight="false" outlineLevel="0" collapsed="false">
      <c r="P474" s="371"/>
      <c r="Q474" s="371"/>
      <c r="R474" s="371"/>
      <c r="U474" s="371"/>
      <c r="V474" s="371"/>
      <c r="W474" s="371"/>
      <c r="X474" s="371"/>
    </row>
    <row r="475" customFormat="false" ht="12.75" hidden="false" customHeight="false" outlineLevel="0" collapsed="false">
      <c r="P475" s="371"/>
      <c r="Q475" s="371"/>
      <c r="R475" s="371"/>
      <c r="U475" s="371"/>
      <c r="V475" s="371"/>
      <c r="W475" s="371"/>
      <c r="X475" s="371"/>
    </row>
    <row r="476" customFormat="false" ht="12.75" hidden="false" customHeight="false" outlineLevel="0" collapsed="false">
      <c r="P476" s="371"/>
      <c r="Q476" s="371"/>
      <c r="R476" s="371"/>
      <c r="U476" s="371"/>
      <c r="V476" s="371"/>
      <c r="W476" s="371"/>
      <c r="X476" s="371"/>
    </row>
    <row r="477" customFormat="false" ht="12.75" hidden="false" customHeight="false" outlineLevel="0" collapsed="false">
      <c r="P477" s="371"/>
      <c r="Q477" s="371"/>
      <c r="R477" s="371"/>
      <c r="U477" s="371"/>
      <c r="V477" s="371"/>
      <c r="W477" s="371"/>
      <c r="X477" s="371"/>
    </row>
    <row r="478" customFormat="false" ht="12.75" hidden="false" customHeight="false" outlineLevel="0" collapsed="false">
      <c r="P478" s="371"/>
      <c r="Q478" s="371"/>
      <c r="R478" s="371"/>
      <c r="U478" s="371"/>
      <c r="V478" s="371"/>
      <c r="W478" s="371"/>
      <c r="X478" s="371"/>
    </row>
    <row r="479" customFormat="false" ht="12.75" hidden="false" customHeight="false" outlineLevel="0" collapsed="false">
      <c r="P479" s="371"/>
      <c r="Q479" s="371"/>
      <c r="R479" s="371"/>
      <c r="U479" s="371"/>
      <c r="V479" s="371"/>
      <c r="W479" s="371"/>
      <c r="X479" s="371"/>
    </row>
    <row r="480" customFormat="false" ht="12.75" hidden="false" customHeight="false" outlineLevel="0" collapsed="false">
      <c r="P480" s="371"/>
      <c r="Q480" s="371"/>
      <c r="R480" s="371"/>
      <c r="U480" s="371"/>
      <c r="V480" s="371"/>
      <c r="W480" s="371"/>
      <c r="X480" s="371"/>
    </row>
    <row r="481" customFormat="false" ht="12.75" hidden="false" customHeight="false" outlineLevel="0" collapsed="false">
      <c r="P481" s="371"/>
      <c r="Q481" s="371"/>
      <c r="R481" s="371"/>
      <c r="U481" s="371"/>
      <c r="V481" s="371"/>
      <c r="W481" s="371"/>
      <c r="X481" s="371"/>
    </row>
    <row r="482" customFormat="false" ht="12.75" hidden="false" customHeight="false" outlineLevel="0" collapsed="false">
      <c r="P482" s="371"/>
      <c r="Q482" s="371"/>
      <c r="R482" s="371"/>
      <c r="U482" s="371"/>
      <c r="V482" s="371"/>
      <c r="W482" s="371"/>
      <c r="X482" s="371"/>
    </row>
    <row r="483" customFormat="false" ht="12.75" hidden="false" customHeight="false" outlineLevel="0" collapsed="false">
      <c r="P483" s="371"/>
      <c r="Q483" s="371"/>
      <c r="R483" s="371"/>
      <c r="U483" s="371"/>
      <c r="V483" s="371"/>
      <c r="W483" s="371"/>
      <c r="X483" s="371"/>
    </row>
    <row r="484" customFormat="false" ht="12.75" hidden="false" customHeight="false" outlineLevel="0" collapsed="false">
      <c r="P484" s="371"/>
      <c r="Q484" s="371"/>
      <c r="R484" s="371"/>
      <c r="U484" s="371"/>
      <c r="V484" s="371"/>
      <c r="W484" s="371"/>
      <c r="X484" s="371"/>
    </row>
    <row r="485" customFormat="false" ht="12.75" hidden="false" customHeight="false" outlineLevel="0" collapsed="false">
      <c r="P485" s="371"/>
      <c r="Q485" s="371"/>
      <c r="R485" s="371"/>
      <c r="U485" s="371"/>
      <c r="V485" s="371"/>
      <c r="W485" s="371"/>
      <c r="X485" s="371"/>
    </row>
    <row r="486" customFormat="false" ht="12.75" hidden="false" customHeight="false" outlineLevel="0" collapsed="false">
      <c r="P486" s="371"/>
      <c r="Q486" s="371"/>
      <c r="R486" s="371"/>
      <c r="U486" s="371"/>
      <c r="V486" s="371"/>
      <c r="W486" s="371"/>
      <c r="X486" s="371"/>
    </row>
    <row r="487" customFormat="false" ht="12.75" hidden="false" customHeight="false" outlineLevel="0" collapsed="false">
      <c r="P487" s="371"/>
      <c r="Q487" s="371"/>
      <c r="R487" s="371"/>
      <c r="U487" s="371"/>
      <c r="V487" s="371"/>
      <c r="W487" s="371"/>
      <c r="X487" s="371"/>
    </row>
    <row r="488" customFormat="false" ht="12.75" hidden="false" customHeight="false" outlineLevel="0" collapsed="false">
      <c r="P488" s="371"/>
      <c r="Q488" s="371"/>
      <c r="R488" s="371"/>
      <c r="U488" s="371"/>
      <c r="V488" s="371"/>
      <c r="W488" s="371"/>
      <c r="X488" s="371"/>
    </row>
    <row r="489" customFormat="false" ht="12.75" hidden="false" customHeight="false" outlineLevel="0" collapsed="false">
      <c r="P489" s="371"/>
      <c r="Q489" s="371"/>
      <c r="R489" s="371"/>
      <c r="U489" s="371"/>
      <c r="V489" s="371"/>
      <c r="W489" s="371"/>
      <c r="X489" s="371"/>
    </row>
    <row r="490" customFormat="false" ht="12.75" hidden="false" customHeight="false" outlineLevel="0" collapsed="false">
      <c r="P490" s="371"/>
      <c r="Q490" s="371"/>
      <c r="R490" s="371"/>
      <c r="U490" s="371"/>
      <c r="V490" s="371"/>
      <c r="W490" s="371"/>
      <c r="X490" s="371"/>
    </row>
    <row r="491" customFormat="false" ht="12.75" hidden="false" customHeight="false" outlineLevel="0" collapsed="false">
      <c r="P491" s="371"/>
      <c r="Q491" s="371"/>
      <c r="R491" s="371"/>
      <c r="U491" s="371"/>
      <c r="V491" s="371"/>
      <c r="W491" s="371"/>
      <c r="X491" s="371"/>
    </row>
    <row r="492" customFormat="false" ht="12.75" hidden="false" customHeight="false" outlineLevel="0" collapsed="false">
      <c r="P492" s="371"/>
      <c r="Q492" s="371"/>
      <c r="R492" s="371"/>
      <c r="U492" s="371"/>
      <c r="V492" s="371"/>
      <c r="W492" s="371"/>
      <c r="X492" s="371"/>
    </row>
    <row r="493" customFormat="false" ht="12.75" hidden="false" customHeight="false" outlineLevel="0" collapsed="false">
      <c r="P493" s="371"/>
      <c r="Q493" s="371"/>
      <c r="R493" s="371"/>
      <c r="U493" s="371"/>
      <c r="V493" s="371"/>
      <c r="W493" s="371"/>
      <c r="X493" s="371"/>
    </row>
    <row r="494" customFormat="false" ht="12.75" hidden="false" customHeight="false" outlineLevel="0" collapsed="false">
      <c r="P494" s="371"/>
      <c r="Q494" s="371"/>
      <c r="R494" s="371"/>
      <c r="U494" s="371"/>
      <c r="V494" s="371"/>
      <c r="W494" s="371"/>
      <c r="X494" s="371"/>
    </row>
    <row r="495" customFormat="false" ht="12.75" hidden="false" customHeight="false" outlineLevel="0" collapsed="false">
      <c r="P495" s="371"/>
      <c r="Q495" s="371"/>
      <c r="R495" s="371"/>
      <c r="U495" s="371"/>
      <c r="V495" s="371"/>
      <c r="W495" s="371"/>
      <c r="X495" s="371"/>
    </row>
    <row r="496" customFormat="false" ht="12.75" hidden="false" customHeight="false" outlineLevel="0" collapsed="false">
      <c r="P496" s="371"/>
      <c r="Q496" s="371"/>
      <c r="R496" s="371"/>
      <c r="U496" s="371"/>
      <c r="V496" s="371"/>
      <c r="W496" s="371"/>
      <c r="X496" s="371"/>
    </row>
    <row r="497" customFormat="false" ht="12.75" hidden="false" customHeight="false" outlineLevel="0" collapsed="false">
      <c r="P497" s="371"/>
      <c r="Q497" s="371"/>
      <c r="R497" s="371"/>
      <c r="U497" s="371"/>
      <c r="V497" s="371"/>
      <c r="W497" s="371"/>
      <c r="X497" s="371"/>
    </row>
    <row r="498" customFormat="false" ht="12.75" hidden="false" customHeight="false" outlineLevel="0" collapsed="false">
      <c r="P498" s="371"/>
      <c r="Q498" s="371"/>
      <c r="R498" s="371"/>
      <c r="U498" s="371"/>
      <c r="V498" s="371"/>
      <c r="W498" s="371"/>
      <c r="X498" s="371"/>
    </row>
    <row r="499" customFormat="false" ht="12.75" hidden="false" customHeight="false" outlineLevel="0" collapsed="false">
      <c r="P499" s="371"/>
      <c r="Q499" s="371"/>
      <c r="R499" s="371"/>
      <c r="U499" s="371"/>
      <c r="V499" s="371"/>
      <c r="W499" s="371"/>
      <c r="X499" s="371"/>
    </row>
    <row r="500" customFormat="false" ht="12.75" hidden="false" customHeight="false" outlineLevel="0" collapsed="false">
      <c r="P500" s="371"/>
      <c r="Q500" s="371"/>
      <c r="R500" s="371"/>
      <c r="U500" s="371"/>
      <c r="V500" s="371"/>
      <c r="W500" s="371"/>
      <c r="X500" s="371"/>
    </row>
    <row r="501" customFormat="false" ht="12.75" hidden="false" customHeight="false" outlineLevel="0" collapsed="false">
      <c r="P501" s="371"/>
      <c r="Q501" s="371"/>
      <c r="R501" s="371"/>
      <c r="U501" s="371"/>
      <c r="V501" s="371"/>
      <c r="W501" s="371"/>
      <c r="X501" s="371"/>
    </row>
    <row r="502" customFormat="false" ht="12.75" hidden="false" customHeight="false" outlineLevel="0" collapsed="false">
      <c r="P502" s="371"/>
      <c r="Q502" s="371"/>
      <c r="R502" s="371"/>
      <c r="U502" s="371"/>
      <c r="V502" s="371"/>
      <c r="W502" s="371"/>
      <c r="X502" s="371"/>
    </row>
    <row r="503" customFormat="false" ht="12.75" hidden="false" customHeight="false" outlineLevel="0" collapsed="false">
      <c r="P503" s="371"/>
      <c r="Q503" s="371"/>
      <c r="R503" s="371"/>
      <c r="U503" s="371"/>
      <c r="V503" s="371"/>
      <c r="W503" s="371"/>
      <c r="X503" s="371"/>
    </row>
    <row r="504" customFormat="false" ht="12.75" hidden="false" customHeight="false" outlineLevel="0" collapsed="false">
      <c r="P504" s="371"/>
      <c r="Q504" s="371"/>
      <c r="R504" s="371"/>
      <c r="U504" s="371"/>
      <c r="V504" s="371"/>
      <c r="W504" s="371"/>
      <c r="X504" s="371"/>
    </row>
    <row r="505" customFormat="false" ht="12.75" hidden="false" customHeight="false" outlineLevel="0" collapsed="false">
      <c r="P505" s="371"/>
      <c r="Q505" s="371"/>
      <c r="R505" s="371"/>
      <c r="U505" s="371"/>
      <c r="V505" s="371"/>
      <c r="W505" s="371"/>
      <c r="X505" s="371"/>
    </row>
    <row r="506" customFormat="false" ht="12.75" hidden="false" customHeight="false" outlineLevel="0" collapsed="false">
      <c r="P506" s="371"/>
      <c r="Q506" s="371"/>
      <c r="R506" s="371"/>
      <c r="U506" s="371"/>
      <c r="V506" s="371"/>
      <c r="W506" s="371"/>
      <c r="X506" s="371"/>
    </row>
    <row r="507" customFormat="false" ht="12.75" hidden="false" customHeight="false" outlineLevel="0" collapsed="false">
      <c r="P507" s="371"/>
      <c r="Q507" s="371"/>
      <c r="R507" s="371"/>
      <c r="U507" s="371"/>
      <c r="V507" s="371"/>
      <c r="W507" s="371"/>
      <c r="X507" s="371"/>
    </row>
    <row r="508" customFormat="false" ht="12.75" hidden="false" customHeight="false" outlineLevel="0" collapsed="false">
      <c r="P508" s="371"/>
      <c r="Q508" s="371"/>
      <c r="R508" s="371"/>
      <c r="U508" s="371"/>
      <c r="V508" s="371"/>
      <c r="W508" s="371"/>
      <c r="X508" s="371"/>
    </row>
    <row r="509" customFormat="false" ht="12.75" hidden="false" customHeight="false" outlineLevel="0" collapsed="false">
      <c r="P509" s="371"/>
      <c r="Q509" s="371"/>
      <c r="R509" s="371"/>
      <c r="U509" s="371"/>
      <c r="V509" s="371"/>
      <c r="W509" s="371"/>
      <c r="X509" s="371"/>
    </row>
    <row r="510" customFormat="false" ht="12.75" hidden="false" customHeight="false" outlineLevel="0" collapsed="false">
      <c r="P510" s="371"/>
      <c r="Q510" s="371"/>
      <c r="R510" s="371"/>
      <c r="U510" s="371"/>
      <c r="V510" s="371"/>
      <c r="W510" s="371"/>
      <c r="X510" s="371"/>
    </row>
    <row r="511" customFormat="false" ht="12.75" hidden="false" customHeight="false" outlineLevel="0" collapsed="false">
      <c r="P511" s="371"/>
      <c r="Q511" s="371"/>
      <c r="R511" s="371"/>
      <c r="U511" s="371"/>
      <c r="V511" s="371"/>
      <c r="W511" s="371"/>
      <c r="X511" s="371"/>
    </row>
    <row r="512" customFormat="false" ht="12.75" hidden="false" customHeight="false" outlineLevel="0" collapsed="false">
      <c r="P512" s="371"/>
      <c r="Q512" s="371"/>
      <c r="R512" s="371"/>
      <c r="U512" s="371"/>
      <c r="V512" s="371"/>
      <c r="W512" s="371"/>
      <c r="X512" s="371"/>
    </row>
    <row r="513" customFormat="false" ht="12.75" hidden="false" customHeight="false" outlineLevel="0" collapsed="false">
      <c r="P513" s="371"/>
      <c r="Q513" s="371"/>
      <c r="R513" s="371"/>
      <c r="U513" s="371"/>
      <c r="V513" s="371"/>
      <c r="W513" s="371"/>
      <c r="X513" s="371"/>
    </row>
    <row r="514" customFormat="false" ht="12.75" hidden="false" customHeight="false" outlineLevel="0" collapsed="false">
      <c r="P514" s="371"/>
      <c r="Q514" s="371"/>
      <c r="R514" s="371"/>
      <c r="U514" s="371"/>
      <c r="V514" s="371"/>
      <c r="W514" s="371"/>
      <c r="X514" s="371"/>
    </row>
    <row r="515" customFormat="false" ht="12.75" hidden="false" customHeight="false" outlineLevel="0" collapsed="false">
      <c r="P515" s="371"/>
      <c r="Q515" s="371"/>
      <c r="R515" s="371"/>
      <c r="U515" s="371"/>
      <c r="V515" s="371"/>
      <c r="W515" s="371"/>
      <c r="X515" s="371"/>
    </row>
    <row r="516" customFormat="false" ht="12.75" hidden="false" customHeight="false" outlineLevel="0" collapsed="false">
      <c r="P516" s="371"/>
      <c r="Q516" s="371"/>
      <c r="R516" s="371"/>
      <c r="U516" s="371"/>
      <c r="V516" s="371"/>
      <c r="W516" s="371"/>
      <c r="X516" s="371"/>
    </row>
    <row r="517" customFormat="false" ht="12.75" hidden="false" customHeight="false" outlineLevel="0" collapsed="false">
      <c r="P517" s="371"/>
      <c r="Q517" s="371"/>
      <c r="R517" s="371"/>
      <c r="U517" s="371"/>
      <c r="V517" s="371"/>
      <c r="W517" s="371"/>
      <c r="X517" s="371"/>
    </row>
    <row r="518" customFormat="false" ht="12.75" hidden="false" customHeight="false" outlineLevel="0" collapsed="false">
      <c r="P518" s="371"/>
      <c r="Q518" s="371"/>
      <c r="R518" s="371"/>
      <c r="U518" s="371"/>
      <c r="V518" s="371"/>
      <c r="W518" s="371"/>
      <c r="X518" s="371"/>
    </row>
    <row r="519" customFormat="false" ht="12.75" hidden="false" customHeight="false" outlineLevel="0" collapsed="false">
      <c r="P519" s="371"/>
      <c r="Q519" s="371"/>
      <c r="R519" s="371"/>
      <c r="U519" s="371"/>
      <c r="V519" s="371"/>
      <c r="W519" s="371"/>
      <c r="X519" s="371"/>
    </row>
    <row r="520" customFormat="false" ht="12.75" hidden="false" customHeight="false" outlineLevel="0" collapsed="false">
      <c r="P520" s="371"/>
      <c r="Q520" s="371"/>
      <c r="R520" s="371"/>
      <c r="U520" s="371"/>
      <c r="V520" s="371"/>
      <c r="W520" s="371"/>
      <c r="X520" s="371"/>
    </row>
    <row r="521" customFormat="false" ht="12.75" hidden="false" customHeight="false" outlineLevel="0" collapsed="false">
      <c r="P521" s="371"/>
      <c r="Q521" s="371"/>
      <c r="R521" s="371"/>
      <c r="U521" s="371"/>
      <c r="V521" s="371"/>
      <c r="W521" s="371"/>
      <c r="X521" s="371"/>
    </row>
    <row r="522" customFormat="false" ht="12.75" hidden="false" customHeight="false" outlineLevel="0" collapsed="false">
      <c r="P522" s="371"/>
      <c r="Q522" s="371"/>
      <c r="R522" s="371"/>
      <c r="U522" s="371"/>
      <c r="V522" s="371"/>
      <c r="W522" s="371"/>
      <c r="X522" s="371"/>
    </row>
    <row r="523" customFormat="false" ht="12.75" hidden="false" customHeight="false" outlineLevel="0" collapsed="false">
      <c r="P523" s="371"/>
      <c r="Q523" s="371"/>
      <c r="R523" s="371"/>
      <c r="U523" s="371"/>
      <c r="V523" s="371"/>
      <c r="W523" s="371"/>
      <c r="X523" s="371"/>
    </row>
    <row r="524" customFormat="false" ht="12.75" hidden="false" customHeight="false" outlineLevel="0" collapsed="false">
      <c r="P524" s="371"/>
      <c r="Q524" s="371"/>
      <c r="R524" s="371"/>
      <c r="U524" s="371"/>
      <c r="V524" s="371"/>
      <c r="W524" s="371"/>
      <c r="X524" s="371"/>
    </row>
    <row r="525" customFormat="false" ht="12.75" hidden="false" customHeight="false" outlineLevel="0" collapsed="false">
      <c r="P525" s="371"/>
      <c r="Q525" s="371"/>
      <c r="R525" s="371"/>
      <c r="U525" s="371"/>
      <c r="V525" s="371"/>
      <c r="W525" s="371"/>
      <c r="X525" s="371"/>
    </row>
    <row r="526" customFormat="false" ht="12.75" hidden="false" customHeight="false" outlineLevel="0" collapsed="false">
      <c r="P526" s="371"/>
      <c r="Q526" s="371"/>
      <c r="R526" s="371"/>
      <c r="U526" s="371"/>
      <c r="V526" s="371"/>
      <c r="W526" s="371"/>
      <c r="X526" s="371"/>
    </row>
    <row r="527" customFormat="false" ht="12.75" hidden="false" customHeight="false" outlineLevel="0" collapsed="false">
      <c r="P527" s="371"/>
      <c r="Q527" s="371"/>
      <c r="R527" s="371"/>
      <c r="U527" s="371"/>
      <c r="V527" s="371"/>
      <c r="W527" s="371"/>
      <c r="X527" s="371"/>
    </row>
    <row r="528" customFormat="false" ht="12.75" hidden="false" customHeight="false" outlineLevel="0" collapsed="false">
      <c r="P528" s="371"/>
      <c r="Q528" s="371"/>
      <c r="R528" s="371"/>
      <c r="U528" s="371"/>
      <c r="V528" s="371"/>
      <c r="W528" s="371"/>
      <c r="X528" s="371"/>
    </row>
    <row r="529" customFormat="false" ht="12.75" hidden="false" customHeight="false" outlineLevel="0" collapsed="false">
      <c r="P529" s="371"/>
      <c r="Q529" s="371"/>
      <c r="R529" s="371"/>
      <c r="U529" s="371"/>
      <c r="V529" s="371"/>
      <c r="W529" s="371"/>
      <c r="X529" s="371"/>
    </row>
    <row r="530" customFormat="false" ht="12.75" hidden="false" customHeight="false" outlineLevel="0" collapsed="false">
      <c r="P530" s="371"/>
      <c r="Q530" s="371"/>
      <c r="R530" s="371"/>
      <c r="U530" s="371"/>
      <c r="V530" s="371"/>
      <c r="W530" s="371"/>
      <c r="X530" s="371"/>
    </row>
    <row r="531" customFormat="false" ht="12.75" hidden="false" customHeight="false" outlineLevel="0" collapsed="false">
      <c r="P531" s="371"/>
      <c r="Q531" s="371"/>
      <c r="R531" s="371"/>
      <c r="U531" s="371"/>
      <c r="V531" s="371"/>
      <c r="W531" s="371"/>
      <c r="X531" s="371"/>
    </row>
    <row r="532" customFormat="false" ht="12.75" hidden="false" customHeight="false" outlineLevel="0" collapsed="false">
      <c r="P532" s="371"/>
      <c r="Q532" s="371"/>
      <c r="R532" s="371"/>
      <c r="U532" s="371"/>
      <c r="V532" s="371"/>
      <c r="W532" s="371"/>
      <c r="X532" s="371"/>
    </row>
    <row r="533" customFormat="false" ht="12.75" hidden="false" customHeight="false" outlineLevel="0" collapsed="false">
      <c r="P533" s="371"/>
      <c r="Q533" s="371"/>
      <c r="R533" s="371"/>
      <c r="U533" s="371"/>
      <c r="V533" s="371"/>
      <c r="W533" s="371"/>
      <c r="X533" s="371"/>
    </row>
    <row r="534" customFormat="false" ht="12.75" hidden="false" customHeight="false" outlineLevel="0" collapsed="false">
      <c r="P534" s="371"/>
      <c r="Q534" s="371"/>
      <c r="R534" s="371"/>
      <c r="U534" s="371"/>
      <c r="V534" s="371"/>
      <c r="W534" s="371"/>
      <c r="X534" s="371"/>
    </row>
    <row r="535" customFormat="false" ht="12.75" hidden="false" customHeight="false" outlineLevel="0" collapsed="false">
      <c r="P535" s="371"/>
      <c r="Q535" s="371"/>
      <c r="R535" s="371"/>
      <c r="U535" s="371"/>
      <c r="V535" s="371"/>
      <c r="W535" s="371"/>
      <c r="X535" s="371"/>
    </row>
    <row r="536" customFormat="false" ht="12.75" hidden="false" customHeight="false" outlineLevel="0" collapsed="false">
      <c r="P536" s="371"/>
      <c r="Q536" s="371"/>
      <c r="R536" s="371"/>
      <c r="U536" s="371"/>
      <c r="V536" s="371"/>
      <c r="W536" s="371"/>
      <c r="X536" s="371"/>
    </row>
    <row r="537" customFormat="false" ht="12.75" hidden="false" customHeight="false" outlineLevel="0" collapsed="false">
      <c r="P537" s="371"/>
      <c r="Q537" s="371"/>
      <c r="R537" s="371"/>
      <c r="U537" s="371"/>
      <c r="V537" s="371"/>
      <c r="W537" s="371"/>
      <c r="X537" s="371"/>
    </row>
    <row r="538" customFormat="false" ht="12.75" hidden="false" customHeight="false" outlineLevel="0" collapsed="false">
      <c r="P538" s="371"/>
      <c r="Q538" s="371"/>
      <c r="R538" s="371"/>
      <c r="U538" s="371"/>
      <c r="V538" s="371"/>
      <c r="W538" s="371"/>
      <c r="X538" s="371"/>
    </row>
    <row r="539" customFormat="false" ht="12.75" hidden="false" customHeight="false" outlineLevel="0" collapsed="false">
      <c r="P539" s="371"/>
      <c r="Q539" s="371"/>
      <c r="R539" s="371"/>
      <c r="U539" s="371"/>
      <c r="V539" s="371"/>
      <c r="W539" s="371"/>
      <c r="X539" s="371"/>
    </row>
    <row r="540" customFormat="false" ht="12.75" hidden="false" customHeight="false" outlineLevel="0" collapsed="false">
      <c r="P540" s="371"/>
      <c r="Q540" s="371"/>
      <c r="R540" s="371"/>
      <c r="U540" s="371"/>
      <c r="V540" s="371"/>
      <c r="W540" s="371"/>
      <c r="X540" s="371"/>
    </row>
    <row r="541" customFormat="false" ht="12.75" hidden="false" customHeight="false" outlineLevel="0" collapsed="false">
      <c r="P541" s="371"/>
      <c r="Q541" s="371"/>
      <c r="R541" s="371"/>
      <c r="U541" s="371"/>
      <c r="V541" s="371"/>
      <c r="W541" s="371"/>
      <c r="X541" s="371"/>
    </row>
    <row r="542" customFormat="false" ht="12.75" hidden="false" customHeight="false" outlineLevel="0" collapsed="false">
      <c r="P542" s="371"/>
      <c r="Q542" s="371"/>
      <c r="R542" s="371"/>
      <c r="U542" s="371"/>
      <c r="V542" s="371"/>
      <c r="W542" s="371"/>
      <c r="X542" s="371"/>
    </row>
    <row r="543" customFormat="false" ht="12.75" hidden="false" customHeight="false" outlineLevel="0" collapsed="false">
      <c r="P543" s="371"/>
      <c r="Q543" s="371"/>
      <c r="R543" s="371"/>
      <c r="U543" s="371"/>
      <c r="V543" s="371"/>
      <c r="W543" s="371"/>
      <c r="X543" s="371"/>
    </row>
    <row r="544" customFormat="false" ht="12.75" hidden="false" customHeight="false" outlineLevel="0" collapsed="false">
      <c r="P544" s="371"/>
      <c r="Q544" s="371"/>
      <c r="R544" s="371"/>
      <c r="U544" s="371"/>
      <c r="V544" s="371"/>
      <c r="W544" s="371"/>
      <c r="X544" s="371"/>
    </row>
    <row r="545" customFormat="false" ht="12.75" hidden="false" customHeight="false" outlineLevel="0" collapsed="false">
      <c r="P545" s="371"/>
      <c r="Q545" s="371"/>
      <c r="R545" s="371"/>
      <c r="U545" s="371"/>
      <c r="V545" s="371"/>
      <c r="W545" s="371"/>
      <c r="X545" s="371"/>
    </row>
    <row r="546" customFormat="false" ht="12.75" hidden="false" customHeight="false" outlineLevel="0" collapsed="false">
      <c r="P546" s="371"/>
      <c r="Q546" s="371"/>
      <c r="R546" s="371"/>
      <c r="U546" s="371"/>
      <c r="V546" s="371"/>
      <c r="W546" s="371"/>
      <c r="X546" s="371"/>
    </row>
    <row r="547" customFormat="false" ht="12.75" hidden="false" customHeight="false" outlineLevel="0" collapsed="false">
      <c r="P547" s="371"/>
      <c r="Q547" s="371"/>
      <c r="R547" s="371"/>
      <c r="U547" s="371"/>
      <c r="V547" s="371"/>
      <c r="W547" s="371"/>
      <c r="X547" s="371"/>
    </row>
    <row r="548" customFormat="false" ht="12.75" hidden="false" customHeight="false" outlineLevel="0" collapsed="false">
      <c r="P548" s="371"/>
      <c r="Q548" s="371"/>
      <c r="R548" s="371"/>
      <c r="U548" s="371"/>
      <c r="V548" s="371"/>
      <c r="W548" s="371"/>
      <c r="X548" s="371"/>
    </row>
    <row r="549" customFormat="false" ht="12.75" hidden="false" customHeight="false" outlineLevel="0" collapsed="false">
      <c r="P549" s="371"/>
      <c r="Q549" s="371"/>
      <c r="R549" s="371"/>
      <c r="U549" s="371"/>
      <c r="V549" s="371"/>
      <c r="W549" s="371"/>
      <c r="X549" s="371"/>
    </row>
    <row r="550" customFormat="false" ht="12.75" hidden="false" customHeight="false" outlineLevel="0" collapsed="false">
      <c r="P550" s="371"/>
      <c r="Q550" s="371"/>
      <c r="R550" s="371"/>
      <c r="U550" s="371"/>
      <c r="V550" s="371"/>
      <c r="W550" s="371"/>
      <c r="X550" s="371"/>
    </row>
    <row r="551" customFormat="false" ht="12.75" hidden="false" customHeight="false" outlineLevel="0" collapsed="false">
      <c r="P551" s="371"/>
      <c r="Q551" s="371"/>
      <c r="R551" s="371"/>
      <c r="U551" s="371"/>
      <c r="V551" s="371"/>
      <c r="W551" s="371"/>
      <c r="X551" s="371"/>
    </row>
    <row r="552" customFormat="false" ht="12.75" hidden="false" customHeight="false" outlineLevel="0" collapsed="false">
      <c r="P552" s="371"/>
      <c r="Q552" s="371"/>
      <c r="R552" s="371"/>
      <c r="U552" s="371"/>
      <c r="V552" s="371"/>
      <c r="W552" s="371"/>
      <c r="X552" s="371"/>
    </row>
    <row r="553" customFormat="false" ht="12.75" hidden="false" customHeight="false" outlineLevel="0" collapsed="false">
      <c r="P553" s="371"/>
      <c r="Q553" s="371"/>
      <c r="R553" s="371"/>
      <c r="U553" s="371"/>
      <c r="V553" s="371"/>
      <c r="W553" s="371"/>
      <c r="X553" s="371"/>
    </row>
    <row r="554" customFormat="false" ht="12.75" hidden="false" customHeight="false" outlineLevel="0" collapsed="false">
      <c r="P554" s="371"/>
      <c r="Q554" s="371"/>
      <c r="R554" s="371"/>
      <c r="U554" s="371"/>
      <c r="V554" s="371"/>
      <c r="W554" s="371"/>
      <c r="X554" s="371"/>
    </row>
    <row r="555" customFormat="false" ht="12.75" hidden="false" customHeight="false" outlineLevel="0" collapsed="false">
      <c r="P555" s="371"/>
      <c r="Q555" s="371"/>
      <c r="R555" s="371"/>
      <c r="U555" s="371"/>
      <c r="V555" s="371"/>
      <c r="W555" s="371"/>
      <c r="X555" s="371"/>
    </row>
    <row r="556" customFormat="false" ht="12.75" hidden="false" customHeight="false" outlineLevel="0" collapsed="false">
      <c r="P556" s="371"/>
      <c r="Q556" s="371"/>
      <c r="R556" s="371"/>
      <c r="U556" s="371"/>
      <c r="V556" s="371"/>
      <c r="W556" s="371"/>
      <c r="X556" s="371"/>
    </row>
    <row r="557" customFormat="false" ht="12.75" hidden="false" customHeight="false" outlineLevel="0" collapsed="false">
      <c r="P557" s="371"/>
      <c r="Q557" s="371"/>
      <c r="R557" s="371"/>
      <c r="U557" s="371"/>
      <c r="V557" s="371"/>
      <c r="W557" s="371"/>
      <c r="X557" s="371"/>
    </row>
    <row r="558" customFormat="false" ht="12.75" hidden="false" customHeight="false" outlineLevel="0" collapsed="false">
      <c r="P558" s="371"/>
      <c r="Q558" s="371"/>
      <c r="R558" s="371"/>
      <c r="U558" s="371"/>
      <c r="V558" s="371"/>
      <c r="W558" s="371"/>
      <c r="X558" s="371"/>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262"/>
  <sheetViews>
    <sheetView showFormulas="false" showGridLines="true" showRowColHeaders="true" showZeros="true" rightToLeft="false" tabSelected="false" showOutlineSymbols="true" defaultGridColor="true" view="normal" topLeftCell="C157" colorId="64" zoomScale="80" zoomScaleNormal="80" zoomScalePageLayoutView="100" workbookViewId="0">
      <selection pane="topLeft" activeCell="J180" activeCellId="0" sqref="J180:J181"/>
    </sheetView>
  </sheetViews>
  <sheetFormatPr defaultColWidth="9.13671875" defaultRowHeight="12.75" customHeight="true" zeroHeight="false" outlineLevelRow="0" outlineLevelCol="0"/>
  <cols>
    <col collapsed="false" customWidth="true" hidden="false" outlineLevel="0" max="2" min="1" style="1" width="3.7"/>
    <col collapsed="false" customWidth="true" hidden="false" outlineLevel="0" max="3" min="3" style="1" width="10.71"/>
    <col collapsed="false" customWidth="true" hidden="false" outlineLevel="0" max="4" min="4" style="1" width="18.7"/>
    <col collapsed="false" customWidth="true" hidden="false" outlineLevel="0" max="8" min="5" style="1" width="30.7"/>
    <col collapsed="false" customWidth="true" hidden="false" outlineLevel="0" max="10" min="9" style="1" width="13.7"/>
    <col collapsed="false" customWidth="false" hidden="false" outlineLevel="0" max="257" min="11" style="1" width="9.14"/>
  </cols>
  <sheetData>
    <row r="1" customFormat="false" ht="12.75" hidden="false" customHeight="false" outlineLevel="0" collapsed="false">
      <c r="A1" s="19" t="s">
        <v>9</v>
      </c>
    </row>
    <row r="2" customFormat="false" ht="13.5" hidden="false" customHeight="false" outlineLevel="0" collapsed="false">
      <c r="A2" s="19" t="str">
        <f aca="false">ADDRESS(ROW($C$9),COLUMN($C$9))</f>
        <v>$C$9</v>
      </c>
    </row>
    <row r="3" customFormat="false" ht="12.75" hidden="false" customHeight="false" outlineLevel="0" collapsed="false">
      <c r="C3" s="20" t="s">
        <v>10</v>
      </c>
      <c r="D3" s="20"/>
      <c r="E3" s="20"/>
      <c r="F3" s="20"/>
      <c r="G3" s="20"/>
      <c r="H3" s="20"/>
    </row>
    <row r="4" customFormat="false" ht="12.75" hidden="false" customHeight="false" outlineLevel="0" collapsed="false">
      <c r="C4" s="21"/>
      <c r="D4" s="22"/>
      <c r="E4" s="22"/>
      <c r="F4" s="22"/>
      <c r="G4" s="22"/>
      <c r="H4" s="23"/>
    </row>
    <row r="5" customFormat="false" ht="12.75" hidden="false" customHeight="false" outlineLevel="0" collapsed="false">
      <c r="C5" s="21"/>
      <c r="D5" s="22"/>
      <c r="E5" s="22"/>
      <c r="F5" s="22"/>
      <c r="G5" s="22"/>
      <c r="H5" s="23"/>
    </row>
    <row r="6" customFormat="false" ht="12.75" hidden="false" customHeight="false" outlineLevel="0" collapsed="false">
      <c r="C6" s="21"/>
      <c r="D6" s="22"/>
      <c r="E6" s="22"/>
      <c r="F6" s="22"/>
      <c r="G6" s="22"/>
      <c r="H6" s="23"/>
    </row>
    <row r="7" customFormat="false" ht="13.5" hidden="false" customHeight="false" outlineLevel="0" collapsed="false">
      <c r="C7" s="24"/>
      <c r="D7" s="25"/>
      <c r="E7" s="25"/>
      <c r="F7" s="25"/>
      <c r="G7" s="25"/>
      <c r="H7" s="26"/>
    </row>
    <row r="8" customFormat="false" ht="13.5" hidden="false" customHeight="false" outlineLevel="0" collapsed="false"/>
    <row r="9" customFormat="false" ht="27" hidden="false" customHeight="false" outlineLevel="0" collapsed="false">
      <c r="C9" s="27" t="s">
        <v>11</v>
      </c>
      <c r="D9" s="28" t="s">
        <v>12</v>
      </c>
      <c r="E9" s="28"/>
      <c r="F9" s="28"/>
      <c r="G9" s="28"/>
      <c r="H9" s="28"/>
    </row>
    <row r="10" customFormat="false" ht="15.75" hidden="false" customHeight="false" outlineLevel="0" collapsed="false">
      <c r="C10" s="29"/>
    </row>
    <row r="11" customFormat="false" ht="16.5" hidden="false" customHeight="true" outlineLevel="0" collapsed="false">
      <c r="C11" s="30" t="n">
        <v>9</v>
      </c>
      <c r="D11" s="31" t="s">
        <v>13</v>
      </c>
      <c r="E11" s="31"/>
      <c r="F11" s="31"/>
      <c r="G11" s="31"/>
      <c r="H11" s="31"/>
    </row>
    <row r="12" customFormat="false" ht="15.75" hidden="false" customHeight="true" outlineLevel="0" collapsed="false">
      <c r="C12" s="30"/>
      <c r="D12" s="32" t="s">
        <v>71</v>
      </c>
      <c r="E12" s="33" t="s">
        <v>15</v>
      </c>
      <c r="F12" s="33" t="s">
        <v>16</v>
      </c>
      <c r="G12" s="33" t="s">
        <v>17</v>
      </c>
      <c r="H12" s="34" t="s">
        <v>18</v>
      </c>
    </row>
    <row r="13" customFormat="false" ht="13.5" hidden="false" customHeight="true" outlineLevel="0" collapsed="false">
      <c r="C13" s="30"/>
      <c r="D13" s="35" t="s">
        <v>19</v>
      </c>
      <c r="E13" s="36" t="s">
        <v>72</v>
      </c>
      <c r="F13" s="36" t="s">
        <v>73</v>
      </c>
      <c r="G13" s="37" t="n">
        <v>37196</v>
      </c>
      <c r="H13" s="38" t="n">
        <v>37560</v>
      </c>
    </row>
    <row r="14" customFormat="false" ht="15.75" hidden="false" customHeight="true" outlineLevel="0" collapsed="false">
      <c r="C14" s="30"/>
      <c r="D14" s="39" t="n">
        <v>6557</v>
      </c>
      <c r="E14" s="40" t="s">
        <v>22</v>
      </c>
      <c r="F14" s="41" t="s">
        <v>23</v>
      </c>
      <c r="G14" s="41" t="s">
        <v>24</v>
      </c>
      <c r="H14" s="42" t="s">
        <v>25</v>
      </c>
    </row>
    <row r="15" customFormat="false" ht="12.75" hidden="false" customHeight="true" outlineLevel="0" collapsed="false">
      <c r="C15" s="30"/>
      <c r="D15" s="43" t="s">
        <v>26</v>
      </c>
      <c r="E15" s="44" t="s">
        <v>27</v>
      </c>
      <c r="F15" s="44" t="s">
        <v>28</v>
      </c>
      <c r="G15" s="44" t="s">
        <v>28</v>
      </c>
      <c r="H15" s="45" t="s">
        <v>28</v>
      </c>
    </row>
    <row r="16" customFormat="false" ht="12.75" hidden="false" customHeight="true" outlineLevel="0" collapsed="false">
      <c r="C16" s="30"/>
      <c r="D16" s="46" t="s">
        <v>29</v>
      </c>
      <c r="E16" s="47" t="n">
        <v>10010</v>
      </c>
      <c r="F16" s="47" t="n">
        <v>0</v>
      </c>
      <c r="G16" s="47" t="n">
        <v>0</v>
      </c>
      <c r="H16" s="48" t="n">
        <v>0</v>
      </c>
    </row>
    <row r="17" customFormat="false" ht="12.75" hidden="false" customHeight="true" outlineLevel="0" collapsed="false">
      <c r="C17" s="30"/>
      <c r="D17" s="46" t="s">
        <v>30</v>
      </c>
      <c r="E17" s="49" t="n">
        <v>0</v>
      </c>
      <c r="F17" s="49" t="n">
        <v>0</v>
      </c>
      <c r="G17" s="49" t="n">
        <v>0</v>
      </c>
      <c r="H17" s="50" t="n">
        <v>0</v>
      </c>
    </row>
    <row r="18" customFormat="false" ht="12.75" hidden="false" customHeight="true" outlineLevel="0" collapsed="false">
      <c r="C18" s="30"/>
      <c r="D18" s="46" t="s">
        <v>31</v>
      </c>
      <c r="E18" s="51" t="n">
        <v>0.034</v>
      </c>
      <c r="F18" s="51" t="n">
        <v>0</v>
      </c>
      <c r="G18" s="51" t="n">
        <v>0</v>
      </c>
      <c r="H18" s="52" t="n">
        <v>0</v>
      </c>
    </row>
    <row r="19" customFormat="false" ht="12.75" hidden="false" customHeight="true" outlineLevel="0" collapsed="false">
      <c r="C19" s="30"/>
      <c r="D19" s="46" t="s">
        <v>32</v>
      </c>
      <c r="E19" s="49" t="n">
        <v>0.343</v>
      </c>
      <c r="F19" s="49" t="n">
        <v>0</v>
      </c>
      <c r="G19" s="49" t="n">
        <v>0</v>
      </c>
      <c r="H19" s="50" t="n">
        <v>0</v>
      </c>
    </row>
    <row r="20" customFormat="false" ht="12.75" hidden="false" customHeight="true" outlineLevel="0" collapsed="false">
      <c r="C20" s="30"/>
      <c r="D20" s="53" t="s">
        <v>33</v>
      </c>
      <c r="E20" s="54" t="n">
        <v>0</v>
      </c>
      <c r="F20" s="55" t="n">
        <v>0</v>
      </c>
      <c r="G20" s="56" t="n">
        <v>0</v>
      </c>
      <c r="H20" s="57" t="n">
        <v>0</v>
      </c>
    </row>
    <row r="21" customFormat="false" ht="13.5" hidden="false" customHeight="true" outlineLevel="0" collapsed="false">
      <c r="C21" s="30"/>
      <c r="D21" s="58" t="s">
        <v>34</v>
      </c>
      <c r="E21" s="59" t="n">
        <v>0</v>
      </c>
      <c r="F21" s="60" t="n">
        <v>0</v>
      </c>
      <c r="G21" s="61" t="n">
        <v>0</v>
      </c>
      <c r="H21" s="62" t="n">
        <v>0</v>
      </c>
    </row>
    <row r="22" customFormat="false" ht="13.5" hidden="false" customHeight="true" outlineLevel="0" collapsed="false">
      <c r="C22" s="30"/>
      <c r="D22" s="53" t="s">
        <v>35</v>
      </c>
      <c r="E22" s="54" t="n">
        <v>0</v>
      </c>
      <c r="F22" s="55" t="n">
        <v>0</v>
      </c>
      <c r="G22" s="55" t="n">
        <v>0</v>
      </c>
      <c r="H22" s="63" t="n">
        <v>0</v>
      </c>
    </row>
    <row r="23" customFormat="false" ht="13.5" hidden="false" customHeight="true" outlineLevel="0" collapsed="false">
      <c r="C23" s="30"/>
      <c r="D23" s="64" t="s">
        <v>36</v>
      </c>
      <c r="E23" s="65" t="s">
        <v>74</v>
      </c>
      <c r="F23" s="66" t="s">
        <v>38</v>
      </c>
      <c r="G23" s="67" t="s">
        <v>75</v>
      </c>
      <c r="H23" s="68" t="s">
        <v>40</v>
      </c>
    </row>
    <row r="24" customFormat="false" ht="13.5" hidden="false" customHeight="true" outlineLevel="0" collapsed="false">
      <c r="C24" s="30"/>
      <c r="D24" s="69" t="s">
        <v>41</v>
      </c>
      <c r="E24" s="70" t="s">
        <v>76</v>
      </c>
      <c r="F24" s="71" t="s">
        <v>43</v>
      </c>
      <c r="G24" s="72" t="s">
        <v>77</v>
      </c>
      <c r="H24" s="73" t="s">
        <v>78</v>
      </c>
    </row>
    <row r="25" customFormat="false" ht="13.5" hidden="false" customHeight="true" outlineLevel="0" collapsed="false">
      <c r="C25" s="30"/>
      <c r="D25" s="74" t="s">
        <v>46</v>
      </c>
      <c r="E25" s="75" t="s">
        <v>79</v>
      </c>
      <c r="F25" s="76" t="s">
        <v>48</v>
      </c>
      <c r="G25" s="77" t="s">
        <v>80</v>
      </c>
      <c r="H25" s="68" t="s">
        <v>50</v>
      </c>
    </row>
    <row r="26" customFormat="false" ht="13.5" hidden="false" customHeight="true" outlineLevel="0" collapsed="false">
      <c r="C26" s="30"/>
      <c r="D26" s="78" t="s">
        <v>51</v>
      </c>
      <c r="E26" s="79" t="n">
        <v>10</v>
      </c>
      <c r="F26" s="80" t="e">
        <f aca="false">GetCorrelName1($E26)</f>
        <v>#VALUE!</v>
      </c>
      <c r="G26" s="81" t="e">
        <f aca="false">GetCorrelName2($E26)</f>
        <v>#VALUE!</v>
      </c>
      <c r="H26" s="82" t="s">
        <v>52</v>
      </c>
    </row>
    <row r="27" customFormat="false" ht="13.5" hidden="false" customHeight="true" outlineLevel="0" collapsed="false">
      <c r="C27" s="30"/>
      <c r="D27" s="83" t="s">
        <v>53</v>
      </c>
      <c r="E27" s="84" t="s">
        <v>54</v>
      </c>
      <c r="F27" s="84"/>
      <c r="G27" s="84"/>
      <c r="H27" s="84"/>
    </row>
    <row r="28" customFormat="false" ht="13.5" hidden="false" customHeight="true" outlineLevel="0" collapsed="false">
      <c r="C28" s="30"/>
      <c r="D28" s="83"/>
      <c r="E28" s="84"/>
      <c r="F28" s="84"/>
      <c r="G28" s="84"/>
      <c r="H28" s="84"/>
    </row>
    <row r="29" customFormat="false" ht="16.5" hidden="false" customHeight="true" outlineLevel="0" collapsed="false">
      <c r="C29" s="30" t="n">
        <v>10</v>
      </c>
      <c r="D29" s="31" t="s">
        <v>13</v>
      </c>
      <c r="E29" s="31"/>
      <c r="F29" s="31"/>
      <c r="G29" s="31"/>
      <c r="H29" s="31"/>
    </row>
    <row r="30" customFormat="false" ht="15.75" hidden="false" customHeight="true" outlineLevel="0" collapsed="false">
      <c r="C30" s="30"/>
      <c r="D30" s="32" t="s">
        <v>81</v>
      </c>
      <c r="E30" s="33" t="s">
        <v>15</v>
      </c>
      <c r="F30" s="33" t="s">
        <v>16</v>
      </c>
      <c r="G30" s="33" t="s">
        <v>17</v>
      </c>
      <c r="H30" s="34" t="s">
        <v>18</v>
      </c>
    </row>
    <row r="31" customFormat="false" ht="13.5" hidden="false" customHeight="true" outlineLevel="0" collapsed="false">
      <c r="C31" s="30"/>
      <c r="D31" s="35" t="s">
        <v>19</v>
      </c>
      <c r="E31" s="36" t="s">
        <v>82</v>
      </c>
      <c r="F31" s="36" t="s">
        <v>83</v>
      </c>
      <c r="G31" s="37" t="n">
        <v>36495</v>
      </c>
      <c r="H31" s="38" t="n">
        <v>37468</v>
      </c>
    </row>
    <row r="32" customFormat="false" ht="15.75" hidden="false" customHeight="true" outlineLevel="0" collapsed="false">
      <c r="C32" s="30"/>
      <c r="D32" s="39" t="s">
        <v>84</v>
      </c>
      <c r="E32" s="40" t="s">
        <v>22</v>
      </c>
      <c r="F32" s="41" t="s">
        <v>23</v>
      </c>
      <c r="G32" s="41" t="s">
        <v>24</v>
      </c>
      <c r="H32" s="42" t="s">
        <v>25</v>
      </c>
    </row>
    <row r="33" customFormat="false" ht="12.75" hidden="false" customHeight="true" outlineLevel="0" collapsed="false">
      <c r="C33" s="30"/>
      <c r="D33" s="43" t="s">
        <v>26</v>
      </c>
      <c r="E33" s="44" t="s">
        <v>27</v>
      </c>
      <c r="F33" s="44" t="s">
        <v>28</v>
      </c>
      <c r="G33" s="44" t="s">
        <v>28</v>
      </c>
      <c r="H33" s="45" t="s">
        <v>28</v>
      </c>
    </row>
    <row r="34" customFormat="false" ht="12.75" hidden="false" customHeight="true" outlineLevel="0" collapsed="false">
      <c r="C34" s="30"/>
      <c r="D34" s="46" t="s">
        <v>29</v>
      </c>
      <c r="E34" s="47" t="n">
        <v>16495</v>
      </c>
      <c r="F34" s="47" t="n">
        <v>0</v>
      </c>
      <c r="G34" s="47" t="n">
        <v>0</v>
      </c>
      <c r="H34" s="48" t="n">
        <v>0</v>
      </c>
    </row>
    <row r="35" customFormat="false" ht="12.75" hidden="false" customHeight="true" outlineLevel="0" collapsed="false">
      <c r="C35" s="30"/>
      <c r="D35" s="46" t="s">
        <v>30</v>
      </c>
      <c r="E35" s="49" t="n">
        <v>0.0034</v>
      </c>
      <c r="F35" s="49" t="n">
        <v>0</v>
      </c>
      <c r="G35" s="49" t="n">
        <v>0</v>
      </c>
      <c r="H35" s="50" t="n">
        <v>0</v>
      </c>
    </row>
    <row r="36" customFormat="false" ht="12.75" hidden="false" customHeight="true" outlineLevel="0" collapsed="false">
      <c r="C36" s="30"/>
      <c r="D36" s="46" t="s">
        <v>31</v>
      </c>
      <c r="E36" s="51" t="n">
        <v>0.0388</v>
      </c>
      <c r="F36" s="51" t="n">
        <v>0</v>
      </c>
      <c r="G36" s="51" t="n">
        <v>0</v>
      </c>
      <c r="H36" s="52" t="n">
        <v>0</v>
      </c>
    </row>
    <row r="37" customFormat="false" ht="12.75" hidden="false" customHeight="true" outlineLevel="0" collapsed="false">
      <c r="C37" s="30"/>
      <c r="D37" s="46" t="s">
        <v>32</v>
      </c>
      <c r="E37" s="49" t="n">
        <v>0.1439</v>
      </c>
      <c r="F37" s="49" t="n">
        <v>0</v>
      </c>
      <c r="G37" s="49" t="n">
        <v>0</v>
      </c>
      <c r="H37" s="50" t="n">
        <v>0</v>
      </c>
    </row>
    <row r="38" customFormat="false" ht="12.75" hidden="false" customHeight="true" outlineLevel="0" collapsed="false">
      <c r="C38" s="30"/>
      <c r="D38" s="53" t="s">
        <v>33</v>
      </c>
      <c r="E38" s="54" t="n">
        <v>0.0094</v>
      </c>
      <c r="F38" s="55" t="n">
        <v>0</v>
      </c>
      <c r="G38" s="56" t="n">
        <v>0</v>
      </c>
      <c r="H38" s="57" t="n">
        <v>0</v>
      </c>
    </row>
    <row r="39" customFormat="false" ht="13.5" hidden="false" customHeight="true" outlineLevel="0" collapsed="false">
      <c r="C39" s="30"/>
      <c r="D39" s="58" t="s">
        <v>34</v>
      </c>
      <c r="E39" s="59" t="n">
        <v>0</v>
      </c>
      <c r="F39" s="60" t="n">
        <v>0</v>
      </c>
      <c r="G39" s="61" t="n">
        <v>0</v>
      </c>
      <c r="H39" s="62" t="n">
        <v>0</v>
      </c>
    </row>
    <row r="40" customFormat="false" ht="13.5" hidden="false" customHeight="true" outlineLevel="0" collapsed="false">
      <c r="C40" s="30"/>
      <c r="D40" s="53" t="s">
        <v>35</v>
      </c>
      <c r="E40" s="54" t="n">
        <v>-0.01</v>
      </c>
      <c r="F40" s="55" t="n">
        <v>0</v>
      </c>
      <c r="G40" s="55" t="n">
        <v>0</v>
      </c>
      <c r="H40" s="63" t="n">
        <v>0</v>
      </c>
    </row>
    <row r="41" customFormat="false" ht="13.5" hidden="false" customHeight="true" outlineLevel="0" collapsed="false">
      <c r="C41" s="30"/>
      <c r="D41" s="64" t="s">
        <v>36</v>
      </c>
      <c r="E41" s="65" t="s">
        <v>85</v>
      </c>
      <c r="F41" s="66" t="s">
        <v>38</v>
      </c>
      <c r="G41" s="67" t="s">
        <v>86</v>
      </c>
      <c r="H41" s="68" t="s">
        <v>40</v>
      </c>
    </row>
    <row r="42" customFormat="false" ht="13.5" hidden="false" customHeight="true" outlineLevel="0" collapsed="false">
      <c r="C42" s="30"/>
      <c r="D42" s="69" t="s">
        <v>41</v>
      </c>
      <c r="E42" s="70" t="s">
        <v>87</v>
      </c>
      <c r="F42" s="71" t="s">
        <v>43</v>
      </c>
      <c r="G42" s="72" t="s">
        <v>88</v>
      </c>
      <c r="H42" s="73" t="s">
        <v>89</v>
      </c>
    </row>
    <row r="43" customFormat="false" ht="13.5" hidden="false" customHeight="true" outlineLevel="0" collapsed="false">
      <c r="C43" s="30"/>
      <c r="D43" s="74" t="s">
        <v>46</v>
      </c>
      <c r="E43" s="75" t="s">
        <v>65</v>
      </c>
      <c r="F43" s="76" t="s">
        <v>48</v>
      </c>
      <c r="G43" s="77" t="s">
        <v>65</v>
      </c>
      <c r="H43" s="68" t="s">
        <v>50</v>
      </c>
    </row>
    <row r="44" customFormat="false" ht="13.5" hidden="false" customHeight="true" outlineLevel="0" collapsed="false">
      <c r="C44" s="30"/>
      <c r="D44" s="78" t="s">
        <v>51</v>
      </c>
      <c r="E44" s="79" t="n">
        <v>7</v>
      </c>
      <c r="F44" s="80" t="e">
        <f aca="false">GetCorrelName1($E44)</f>
        <v>#VALUE!</v>
      </c>
      <c r="G44" s="81" t="e">
        <f aca="false">GetCorrelName2($E44)</f>
        <v>#VALUE!</v>
      </c>
      <c r="H44" s="82" t="s">
        <v>52</v>
      </c>
    </row>
    <row r="45" customFormat="false" ht="13.5" hidden="false" customHeight="true" outlineLevel="0" collapsed="false">
      <c r="C45" s="30"/>
      <c r="D45" s="83" t="s">
        <v>53</v>
      </c>
      <c r="E45" s="84" t="s">
        <v>54</v>
      </c>
      <c r="F45" s="84"/>
      <c r="G45" s="84"/>
      <c r="H45" s="84"/>
    </row>
    <row r="46" customFormat="false" ht="13.5" hidden="false" customHeight="true" outlineLevel="0" collapsed="false">
      <c r="C46" s="30"/>
      <c r="D46" s="83"/>
      <c r="E46" s="84"/>
      <c r="F46" s="84"/>
      <c r="G46" s="84"/>
      <c r="H46" s="84"/>
    </row>
    <row r="47" customFormat="false" ht="17.25" hidden="false" customHeight="false" outlineLevel="0" collapsed="false">
      <c r="C47" s="30" t="n">
        <v>56</v>
      </c>
      <c r="D47" s="31" t="s">
        <v>13</v>
      </c>
      <c r="E47" s="31"/>
      <c r="F47" s="31"/>
      <c r="G47" s="31"/>
      <c r="H47" s="31"/>
    </row>
    <row r="48" customFormat="false" ht="15.75" hidden="false" customHeight="false" outlineLevel="0" collapsed="false">
      <c r="C48" s="30"/>
      <c r="D48" s="32" t="s">
        <v>90</v>
      </c>
      <c r="E48" s="33" t="s">
        <v>15</v>
      </c>
      <c r="F48" s="33" t="s">
        <v>16</v>
      </c>
      <c r="G48" s="33" t="s">
        <v>17</v>
      </c>
      <c r="H48" s="34" t="s">
        <v>18</v>
      </c>
    </row>
    <row r="49" customFormat="false" ht="13.5" hidden="false" customHeight="false" outlineLevel="0" collapsed="false">
      <c r="C49" s="30"/>
      <c r="D49" s="35" t="s">
        <v>19</v>
      </c>
      <c r="E49" s="36" t="s">
        <v>91</v>
      </c>
      <c r="F49" s="36" t="s">
        <v>92</v>
      </c>
      <c r="G49" s="37" t="n">
        <v>36982</v>
      </c>
      <c r="H49" s="38" t="n">
        <v>37346</v>
      </c>
    </row>
    <row r="50" customFormat="false" ht="15.75" hidden="false" customHeight="false" outlineLevel="0" collapsed="false">
      <c r="C50" s="30"/>
      <c r="D50" s="39" t="s">
        <v>93</v>
      </c>
      <c r="E50" s="40" t="s">
        <v>22</v>
      </c>
      <c r="F50" s="41" t="s">
        <v>23</v>
      </c>
      <c r="G50" s="41" t="s">
        <v>24</v>
      </c>
      <c r="H50" s="42" t="s">
        <v>25</v>
      </c>
    </row>
    <row r="51" customFormat="false" ht="12.75" hidden="false" customHeight="false" outlineLevel="0" collapsed="false">
      <c r="C51" s="30"/>
      <c r="D51" s="43" t="s">
        <v>26</v>
      </c>
      <c r="E51" s="44" t="s">
        <v>27</v>
      </c>
      <c r="F51" s="44" t="s">
        <v>28</v>
      </c>
      <c r="G51" s="44" t="s">
        <v>28</v>
      </c>
      <c r="H51" s="45" t="s">
        <v>28</v>
      </c>
    </row>
    <row r="52" customFormat="false" ht="12.75" hidden="false" customHeight="false" outlineLevel="0" collapsed="false">
      <c r="C52" s="30"/>
      <c r="D52" s="46" t="s">
        <v>29</v>
      </c>
      <c r="E52" s="47" t="n">
        <v>80000</v>
      </c>
      <c r="F52" s="47" t="n">
        <v>0</v>
      </c>
      <c r="G52" s="47" t="n">
        <v>0</v>
      </c>
      <c r="H52" s="48" t="n">
        <v>0</v>
      </c>
    </row>
    <row r="53" customFormat="false" ht="12.75" hidden="false" customHeight="false" outlineLevel="0" collapsed="false">
      <c r="C53" s="30"/>
      <c r="D53" s="46" t="s">
        <v>30</v>
      </c>
      <c r="E53" s="49" t="n">
        <v>0.045</v>
      </c>
      <c r="F53" s="49" t="n">
        <v>0</v>
      </c>
      <c r="G53" s="49" t="n">
        <v>0</v>
      </c>
      <c r="H53" s="50" t="n">
        <v>0</v>
      </c>
    </row>
    <row r="54" customFormat="false" ht="12.75" hidden="false" customHeight="false" outlineLevel="0" collapsed="false">
      <c r="C54" s="30"/>
      <c r="D54" s="46" t="s">
        <v>31</v>
      </c>
      <c r="E54" s="51" t="n">
        <v>0.0137</v>
      </c>
      <c r="F54" s="51" t="n">
        <v>0</v>
      </c>
      <c r="G54" s="51" t="n">
        <v>0</v>
      </c>
      <c r="H54" s="52" t="n">
        <v>0</v>
      </c>
    </row>
    <row r="55" customFormat="false" ht="12.75" hidden="false" customHeight="false" outlineLevel="0" collapsed="false">
      <c r="C55" s="30"/>
      <c r="D55" s="46" t="s">
        <v>32</v>
      </c>
      <c r="E55" s="49" t="n">
        <f aca="false">3.8573/30</f>
        <v>0.128576666666667</v>
      </c>
      <c r="F55" s="49" t="n">
        <v>0</v>
      </c>
      <c r="G55" s="49" t="n">
        <v>0</v>
      </c>
      <c r="H55" s="50" t="n">
        <v>0</v>
      </c>
    </row>
    <row r="56" customFormat="false" ht="12.75" hidden="false" customHeight="false" outlineLevel="0" collapsed="false">
      <c r="C56" s="30"/>
      <c r="D56" s="53" t="s">
        <v>33</v>
      </c>
      <c r="E56" s="54" t="n">
        <v>0</v>
      </c>
      <c r="F56" s="55" t="n">
        <v>0</v>
      </c>
      <c r="G56" s="56" t="n">
        <v>0</v>
      </c>
      <c r="H56" s="57" t="n">
        <v>0</v>
      </c>
    </row>
    <row r="57" customFormat="false" ht="12.75" hidden="false" customHeight="false" outlineLevel="0" collapsed="false">
      <c r="C57" s="30"/>
      <c r="D57" s="58" t="s">
        <v>34</v>
      </c>
      <c r="E57" s="59" t="n">
        <v>0</v>
      </c>
      <c r="F57" s="60" t="n">
        <v>0</v>
      </c>
      <c r="G57" s="61" t="n">
        <v>0</v>
      </c>
      <c r="H57" s="62" t="n">
        <v>0</v>
      </c>
    </row>
    <row r="58" customFormat="false" ht="13.5" hidden="false" customHeight="false" outlineLevel="0" collapsed="false">
      <c r="C58" s="30"/>
      <c r="D58" s="53" t="s">
        <v>35</v>
      </c>
      <c r="E58" s="54" t="n">
        <v>0</v>
      </c>
      <c r="F58" s="55" t="n">
        <v>0</v>
      </c>
      <c r="G58" s="55" t="n">
        <v>0</v>
      </c>
      <c r="H58" s="63" t="n">
        <v>0</v>
      </c>
    </row>
    <row r="59" customFormat="false" ht="13.5" hidden="false" customHeight="false" outlineLevel="0" collapsed="false">
      <c r="C59" s="30"/>
      <c r="D59" s="64" t="s">
        <v>36</v>
      </c>
      <c r="E59" s="65" t="s">
        <v>94</v>
      </c>
      <c r="F59" s="66" t="s">
        <v>38</v>
      </c>
      <c r="G59" s="65" t="s">
        <v>95</v>
      </c>
      <c r="H59" s="68" t="s">
        <v>40</v>
      </c>
    </row>
    <row r="60" customFormat="false" ht="15.75" hidden="false" customHeight="false" outlineLevel="0" collapsed="false">
      <c r="C60" s="30"/>
      <c r="D60" s="69" t="s">
        <v>41</v>
      </c>
      <c r="E60" s="65" t="s">
        <v>96</v>
      </c>
      <c r="F60" s="71" t="s">
        <v>43</v>
      </c>
      <c r="G60" s="65" t="s">
        <v>97</v>
      </c>
      <c r="H60" s="73" t="s">
        <v>78</v>
      </c>
    </row>
    <row r="61" customFormat="false" ht="13.5" hidden="false" customHeight="false" outlineLevel="0" collapsed="false">
      <c r="C61" s="30"/>
      <c r="D61" s="74" t="s">
        <v>46</v>
      </c>
      <c r="E61" s="75" t="s">
        <v>80</v>
      </c>
      <c r="F61" s="76" t="s">
        <v>48</v>
      </c>
      <c r="G61" s="75" t="s">
        <v>80</v>
      </c>
      <c r="H61" s="68" t="s">
        <v>50</v>
      </c>
    </row>
    <row r="62" customFormat="false" ht="13.5" hidden="false" customHeight="false" outlineLevel="0" collapsed="false">
      <c r="C62" s="30"/>
      <c r="D62" s="78" t="s">
        <v>51</v>
      </c>
      <c r="E62" s="79" t="n">
        <v>56</v>
      </c>
      <c r="F62" s="80" t="e">
        <f aca="false">GetCorrelName1($E62)</f>
        <v>#VALUE!</v>
      </c>
      <c r="G62" s="81" t="e">
        <f aca="false">GetCorrelName2($E62)</f>
        <v>#VALUE!</v>
      </c>
      <c r="H62" s="82" t="s">
        <v>52</v>
      </c>
    </row>
    <row r="63" customFormat="false" ht="12.75" hidden="false" customHeight="true" outlineLevel="0" collapsed="false">
      <c r="C63" s="30"/>
      <c r="D63" s="83" t="s">
        <v>53</v>
      </c>
      <c r="E63" s="84" t="s">
        <v>98</v>
      </c>
      <c r="F63" s="84"/>
      <c r="G63" s="84"/>
      <c r="H63" s="84"/>
    </row>
    <row r="64" customFormat="false" ht="13.5" hidden="false" customHeight="false" outlineLevel="0" collapsed="false">
      <c r="C64" s="30"/>
      <c r="D64" s="83"/>
      <c r="E64" s="84"/>
      <c r="F64" s="84"/>
      <c r="G64" s="84"/>
      <c r="H64" s="84"/>
    </row>
    <row r="65" customFormat="false" ht="17.25" hidden="false" customHeight="false" outlineLevel="0" collapsed="false">
      <c r="C65" s="30" t="n">
        <v>57</v>
      </c>
      <c r="D65" s="31" t="s">
        <v>13</v>
      </c>
      <c r="E65" s="31"/>
      <c r="F65" s="31"/>
      <c r="G65" s="31"/>
      <c r="H65" s="31"/>
    </row>
    <row r="66" customFormat="false" ht="15.75" hidden="false" customHeight="false" outlineLevel="0" collapsed="false">
      <c r="C66" s="30"/>
      <c r="D66" s="32" t="s">
        <v>90</v>
      </c>
      <c r="E66" s="33" t="s">
        <v>15</v>
      </c>
      <c r="F66" s="33" t="s">
        <v>16</v>
      </c>
      <c r="G66" s="33" t="s">
        <v>17</v>
      </c>
      <c r="H66" s="34" t="s">
        <v>18</v>
      </c>
    </row>
    <row r="67" customFormat="false" ht="13.5" hidden="false" customHeight="false" outlineLevel="0" collapsed="false">
      <c r="C67" s="30"/>
      <c r="D67" s="35" t="s">
        <v>19</v>
      </c>
      <c r="E67" s="36" t="s">
        <v>91</v>
      </c>
      <c r="F67" s="36" t="s">
        <v>99</v>
      </c>
      <c r="G67" s="37" t="n">
        <v>36982</v>
      </c>
      <c r="H67" s="38" t="n">
        <v>37346</v>
      </c>
    </row>
    <row r="68" customFormat="false" ht="15.75" hidden="false" customHeight="false" outlineLevel="0" collapsed="false">
      <c r="C68" s="30"/>
      <c r="D68" s="39" t="s">
        <v>100</v>
      </c>
      <c r="E68" s="40" t="s">
        <v>22</v>
      </c>
      <c r="F68" s="41" t="s">
        <v>23</v>
      </c>
      <c r="G68" s="41" t="s">
        <v>24</v>
      </c>
      <c r="H68" s="42" t="s">
        <v>25</v>
      </c>
    </row>
    <row r="69" customFormat="false" ht="12.75" hidden="false" customHeight="false" outlineLevel="0" collapsed="false">
      <c r="C69" s="30"/>
      <c r="D69" s="43" t="s">
        <v>26</v>
      </c>
      <c r="E69" s="44" t="s">
        <v>27</v>
      </c>
      <c r="F69" s="44" t="s">
        <v>28</v>
      </c>
      <c r="G69" s="44" t="s">
        <v>28</v>
      </c>
      <c r="H69" s="45" t="s">
        <v>28</v>
      </c>
    </row>
    <row r="70" customFormat="false" ht="12.75" hidden="false" customHeight="false" outlineLevel="0" collapsed="false">
      <c r="C70" s="30"/>
      <c r="D70" s="46" t="s">
        <v>29</v>
      </c>
      <c r="E70" s="47" t="n">
        <v>20000</v>
      </c>
      <c r="F70" s="47" t="n">
        <v>0</v>
      </c>
      <c r="G70" s="47" t="n">
        <v>0</v>
      </c>
      <c r="H70" s="48" t="n">
        <v>0</v>
      </c>
    </row>
    <row r="71" customFormat="false" ht="12.75" hidden="false" customHeight="false" outlineLevel="0" collapsed="false">
      <c r="C71" s="30"/>
      <c r="D71" s="46" t="s">
        <v>30</v>
      </c>
      <c r="E71" s="49" t="n">
        <v>0.0038</v>
      </c>
      <c r="F71" s="49" t="n">
        <v>0</v>
      </c>
      <c r="G71" s="49" t="n">
        <v>0</v>
      </c>
      <c r="H71" s="50" t="n">
        <v>0</v>
      </c>
    </row>
    <row r="72" customFormat="false" ht="12.75" hidden="false" customHeight="false" outlineLevel="0" collapsed="false">
      <c r="C72" s="30"/>
      <c r="D72" s="46" t="s">
        <v>31</v>
      </c>
      <c r="E72" s="51" t="n">
        <v>0.0137</v>
      </c>
      <c r="F72" s="51" t="n">
        <v>0</v>
      </c>
      <c r="G72" s="51" t="n">
        <v>0</v>
      </c>
      <c r="H72" s="52" t="n">
        <v>0</v>
      </c>
    </row>
    <row r="73" customFormat="false" ht="12.75" hidden="false" customHeight="false" outlineLevel="0" collapsed="false">
      <c r="C73" s="30"/>
      <c r="D73" s="46" t="s">
        <v>32</v>
      </c>
      <c r="E73" s="49" t="n">
        <f aca="false">5.1109/30</f>
        <v>0.170363333333333</v>
      </c>
      <c r="F73" s="49" t="n">
        <v>0</v>
      </c>
      <c r="G73" s="49" t="n">
        <v>0</v>
      </c>
      <c r="H73" s="50" t="n">
        <v>0</v>
      </c>
    </row>
    <row r="74" customFormat="false" ht="12.75" hidden="false" customHeight="false" outlineLevel="0" collapsed="false">
      <c r="C74" s="30"/>
      <c r="D74" s="53" t="s">
        <v>33</v>
      </c>
      <c r="E74" s="54" t="n">
        <v>0</v>
      </c>
      <c r="F74" s="55" t="n">
        <v>0</v>
      </c>
      <c r="G74" s="56" t="n">
        <v>0</v>
      </c>
      <c r="H74" s="57" t="n">
        <v>0</v>
      </c>
    </row>
    <row r="75" customFormat="false" ht="12.75" hidden="false" customHeight="false" outlineLevel="0" collapsed="false">
      <c r="C75" s="30"/>
      <c r="D75" s="58" t="s">
        <v>34</v>
      </c>
      <c r="E75" s="59" t="n">
        <v>0</v>
      </c>
      <c r="F75" s="60" t="n">
        <v>0</v>
      </c>
      <c r="G75" s="61" t="n">
        <v>0</v>
      </c>
      <c r="H75" s="62" t="n">
        <v>0</v>
      </c>
    </row>
    <row r="76" customFormat="false" ht="13.5" hidden="false" customHeight="false" outlineLevel="0" collapsed="false">
      <c r="C76" s="30"/>
      <c r="D76" s="53" t="s">
        <v>35</v>
      </c>
      <c r="E76" s="54" t="n">
        <v>0</v>
      </c>
      <c r="F76" s="55" t="n">
        <v>0</v>
      </c>
      <c r="G76" s="55" t="n">
        <v>0</v>
      </c>
      <c r="H76" s="63" t="n">
        <v>0</v>
      </c>
    </row>
    <row r="77" customFormat="false" ht="13.5" hidden="false" customHeight="false" outlineLevel="0" collapsed="false">
      <c r="C77" s="30"/>
      <c r="D77" s="64" t="s">
        <v>36</v>
      </c>
      <c r="E77" s="65" t="s">
        <v>94</v>
      </c>
      <c r="F77" s="66" t="s">
        <v>38</v>
      </c>
      <c r="G77" s="65" t="s">
        <v>95</v>
      </c>
      <c r="H77" s="68" t="s">
        <v>40</v>
      </c>
    </row>
    <row r="78" customFormat="false" ht="15.75" hidden="false" customHeight="false" outlineLevel="0" collapsed="false">
      <c r="C78" s="30"/>
      <c r="D78" s="69" t="s">
        <v>41</v>
      </c>
      <c r="E78" s="65" t="s">
        <v>96</v>
      </c>
      <c r="F78" s="71" t="s">
        <v>43</v>
      </c>
      <c r="G78" s="65" t="s">
        <v>97</v>
      </c>
      <c r="H78" s="73" t="s">
        <v>78</v>
      </c>
    </row>
    <row r="79" customFormat="false" ht="13.5" hidden="false" customHeight="false" outlineLevel="0" collapsed="false">
      <c r="C79" s="30"/>
      <c r="D79" s="74" t="s">
        <v>46</v>
      </c>
      <c r="E79" s="75" t="s">
        <v>80</v>
      </c>
      <c r="F79" s="76" t="s">
        <v>48</v>
      </c>
      <c r="G79" s="75" t="s">
        <v>80</v>
      </c>
      <c r="H79" s="68" t="s">
        <v>50</v>
      </c>
    </row>
    <row r="80" customFormat="false" ht="13.5" hidden="false" customHeight="false" outlineLevel="0" collapsed="false">
      <c r="C80" s="30"/>
      <c r="D80" s="78" t="s">
        <v>51</v>
      </c>
      <c r="E80" s="79" t="n">
        <v>57</v>
      </c>
      <c r="F80" s="80" t="e">
        <f aca="false">GetCorrelName1($E80)</f>
        <v>#VALUE!</v>
      </c>
      <c r="G80" s="81" t="e">
        <f aca="false">GetCorrelName2($E80)</f>
        <v>#VALUE!</v>
      </c>
      <c r="H80" s="82" t="s">
        <v>52</v>
      </c>
    </row>
    <row r="81" customFormat="false" ht="12.75" hidden="false" customHeight="true" outlineLevel="0" collapsed="false">
      <c r="C81" s="30"/>
      <c r="D81" s="83" t="s">
        <v>53</v>
      </c>
      <c r="E81" s="84" t="s">
        <v>98</v>
      </c>
      <c r="F81" s="84"/>
      <c r="G81" s="84"/>
      <c r="H81" s="84"/>
    </row>
    <row r="82" customFormat="false" ht="13.5" hidden="false" customHeight="false" outlineLevel="0" collapsed="false">
      <c r="C82" s="30"/>
      <c r="D82" s="83"/>
      <c r="E82" s="84"/>
      <c r="F82" s="84"/>
      <c r="G82" s="84"/>
      <c r="H82" s="84"/>
    </row>
    <row r="83" customFormat="false" ht="17.25" hidden="false" customHeight="false" outlineLevel="0" collapsed="false">
      <c r="C83" s="30" t="n">
        <v>74</v>
      </c>
      <c r="D83" s="31" t="s">
        <v>13</v>
      </c>
      <c r="E83" s="31"/>
      <c r="F83" s="31"/>
      <c r="G83" s="31"/>
      <c r="H83" s="31"/>
    </row>
    <row r="84" customFormat="false" ht="15.75" hidden="false" customHeight="false" outlineLevel="0" collapsed="false">
      <c r="C84" s="30"/>
      <c r="D84" s="32" t="s">
        <v>71</v>
      </c>
      <c r="E84" s="33" t="s">
        <v>15</v>
      </c>
      <c r="F84" s="33" t="s">
        <v>16</v>
      </c>
      <c r="G84" s="33" t="s">
        <v>17</v>
      </c>
      <c r="H84" s="34" t="s">
        <v>18</v>
      </c>
    </row>
    <row r="85" customFormat="false" ht="13.5" hidden="false" customHeight="false" outlineLevel="0" collapsed="false">
      <c r="C85" s="30"/>
      <c r="D85" s="35" t="s">
        <v>19</v>
      </c>
      <c r="E85" s="36" t="s">
        <v>72</v>
      </c>
      <c r="F85" s="36" t="s">
        <v>73</v>
      </c>
      <c r="G85" s="37" t="n">
        <v>37073</v>
      </c>
      <c r="H85" s="38" t="n">
        <v>37256</v>
      </c>
    </row>
    <row r="86" customFormat="false" ht="15.75" hidden="false" customHeight="false" outlineLevel="0" collapsed="false">
      <c r="C86" s="30"/>
      <c r="D86" s="39" t="n">
        <v>7454</v>
      </c>
      <c r="E86" s="40" t="s">
        <v>22</v>
      </c>
      <c r="F86" s="41" t="s">
        <v>23</v>
      </c>
      <c r="G86" s="41" t="s">
        <v>24</v>
      </c>
      <c r="H86" s="42" t="s">
        <v>25</v>
      </c>
    </row>
    <row r="87" customFormat="false" ht="12.75" hidden="false" customHeight="false" outlineLevel="0" collapsed="false">
      <c r="C87" s="30"/>
      <c r="D87" s="43" t="s">
        <v>26</v>
      </c>
      <c r="E87" s="44" t="s">
        <v>27</v>
      </c>
      <c r="F87" s="44" t="s">
        <v>28</v>
      </c>
      <c r="G87" s="44" t="s">
        <v>28</v>
      </c>
      <c r="H87" s="45" t="s">
        <v>28</v>
      </c>
    </row>
    <row r="88" customFormat="false" ht="12.75" hidden="false" customHeight="false" outlineLevel="0" collapsed="false">
      <c r="C88" s="30"/>
      <c r="D88" s="46" t="s">
        <v>29</v>
      </c>
      <c r="E88" s="47" t="n">
        <v>628</v>
      </c>
      <c r="F88" s="47" t="n">
        <v>0</v>
      </c>
      <c r="G88" s="47" t="n">
        <v>0</v>
      </c>
      <c r="H88" s="48" t="n">
        <v>0</v>
      </c>
    </row>
    <row r="89" customFormat="false" ht="12.75" hidden="false" customHeight="false" outlineLevel="0" collapsed="false">
      <c r="C89" s="30"/>
      <c r="D89" s="46" t="s">
        <v>30</v>
      </c>
      <c r="E89" s="49" t="n">
        <v>0.017162</v>
      </c>
      <c r="F89" s="49" t="n">
        <v>0</v>
      </c>
      <c r="G89" s="49" t="n">
        <v>0</v>
      </c>
      <c r="H89" s="50" t="n">
        <v>0</v>
      </c>
    </row>
    <row r="90" customFormat="false" ht="12.75" hidden="false" customHeight="false" outlineLevel="0" collapsed="false">
      <c r="C90" s="30"/>
      <c r="D90" s="46" t="s">
        <v>31</v>
      </c>
      <c r="E90" s="51" t="n">
        <v>0.034</v>
      </c>
      <c r="F90" s="51" t="n">
        <v>0</v>
      </c>
      <c r="G90" s="51" t="n">
        <v>0</v>
      </c>
      <c r="H90" s="52" t="n">
        <v>0</v>
      </c>
    </row>
    <row r="91" customFormat="false" ht="12.75" hidden="false" customHeight="false" outlineLevel="0" collapsed="false">
      <c r="C91" s="30"/>
      <c r="D91" s="46" t="s">
        <v>32</v>
      </c>
      <c r="E91" s="49" t="n">
        <v>0.257784</v>
      </c>
      <c r="F91" s="49" t="n">
        <v>0</v>
      </c>
      <c r="G91" s="49" t="n">
        <v>0</v>
      </c>
      <c r="H91" s="50" t="n">
        <v>0</v>
      </c>
    </row>
    <row r="92" customFormat="false" ht="12.75" hidden="false" customHeight="false" outlineLevel="0" collapsed="false">
      <c r="C92" s="30"/>
      <c r="D92" s="53" t="s">
        <v>33</v>
      </c>
      <c r="E92" s="54" t="n">
        <v>0</v>
      </c>
      <c r="F92" s="55" t="n">
        <v>0</v>
      </c>
      <c r="G92" s="56" t="n">
        <v>0</v>
      </c>
      <c r="H92" s="57" t="n">
        <v>0</v>
      </c>
    </row>
    <row r="93" customFormat="false" ht="12.75" hidden="false" customHeight="false" outlineLevel="0" collapsed="false">
      <c r="C93" s="30"/>
      <c r="D93" s="58" t="s">
        <v>34</v>
      </c>
      <c r="E93" s="59" t="n">
        <v>0</v>
      </c>
      <c r="F93" s="60" t="n">
        <v>0</v>
      </c>
      <c r="G93" s="61" t="n">
        <v>0</v>
      </c>
      <c r="H93" s="62" t="n">
        <v>0</v>
      </c>
    </row>
    <row r="94" customFormat="false" ht="13.5" hidden="false" customHeight="false" outlineLevel="0" collapsed="false">
      <c r="C94" s="30"/>
      <c r="D94" s="53" t="s">
        <v>35</v>
      </c>
      <c r="E94" s="54" t="n">
        <v>0</v>
      </c>
      <c r="F94" s="55" t="n">
        <v>0</v>
      </c>
      <c r="G94" s="55" t="n">
        <v>0</v>
      </c>
      <c r="H94" s="63" t="n">
        <v>0</v>
      </c>
    </row>
    <row r="95" customFormat="false" ht="12.75" hidden="false" customHeight="false" outlineLevel="0" collapsed="false">
      <c r="C95" s="30"/>
      <c r="D95" s="64" t="s">
        <v>36</v>
      </c>
      <c r="E95" s="65" t="s">
        <v>74</v>
      </c>
      <c r="F95" s="66" t="s">
        <v>38</v>
      </c>
      <c r="G95" s="67" t="s">
        <v>75</v>
      </c>
      <c r="H95" s="68" t="s">
        <v>40</v>
      </c>
    </row>
    <row r="96" customFormat="false" ht="15.75" hidden="false" customHeight="false" outlineLevel="0" collapsed="false">
      <c r="C96" s="30"/>
      <c r="D96" s="69" t="s">
        <v>41</v>
      </c>
      <c r="E96" s="70" t="s">
        <v>76</v>
      </c>
      <c r="F96" s="71" t="s">
        <v>43</v>
      </c>
      <c r="G96" s="72" t="s">
        <v>77</v>
      </c>
      <c r="H96" s="73" t="s">
        <v>78</v>
      </c>
    </row>
    <row r="97" customFormat="false" ht="13.5" hidden="false" customHeight="false" outlineLevel="0" collapsed="false">
      <c r="C97" s="30"/>
      <c r="D97" s="74" t="s">
        <v>46</v>
      </c>
      <c r="E97" s="75" t="s">
        <v>79</v>
      </c>
      <c r="F97" s="76" t="s">
        <v>48</v>
      </c>
      <c r="G97" s="77" t="s">
        <v>80</v>
      </c>
      <c r="H97" s="68" t="s">
        <v>50</v>
      </c>
    </row>
    <row r="98" customFormat="false" ht="13.5" hidden="false" customHeight="false" outlineLevel="0" collapsed="false">
      <c r="C98" s="30"/>
      <c r="D98" s="78" t="s">
        <v>51</v>
      </c>
      <c r="E98" s="79" t="n">
        <v>10</v>
      </c>
      <c r="F98" s="80" t="e">
        <f aca="false">GetCorrelName1($E98)</f>
        <v>#VALUE!</v>
      </c>
      <c r="G98" s="81" t="e">
        <f aca="false">GetCorrelName2($E98)</f>
        <v>#VALUE!</v>
      </c>
      <c r="H98" s="82" t="s">
        <v>52</v>
      </c>
    </row>
    <row r="99" customFormat="false" ht="12.75" hidden="false" customHeight="true" outlineLevel="0" collapsed="false">
      <c r="C99" s="30"/>
      <c r="D99" s="83" t="s">
        <v>53</v>
      </c>
      <c r="E99" s="85" t="s">
        <v>101</v>
      </c>
      <c r="F99" s="85"/>
      <c r="G99" s="85"/>
      <c r="H99" s="85"/>
    </row>
    <row r="100" customFormat="false" ht="13.5" hidden="false" customHeight="false" outlineLevel="0" collapsed="false">
      <c r="C100" s="30"/>
      <c r="D100" s="83"/>
      <c r="E100" s="85"/>
      <c r="F100" s="85"/>
      <c r="G100" s="85"/>
      <c r="H100" s="85"/>
    </row>
    <row r="101" customFormat="false" ht="17.25" hidden="false" customHeight="true" outlineLevel="0" collapsed="false">
      <c r="C101" s="30" t="n">
        <v>83</v>
      </c>
      <c r="D101" s="31" t="s">
        <v>13</v>
      </c>
      <c r="E101" s="31"/>
      <c r="F101" s="31"/>
      <c r="G101" s="31"/>
      <c r="H101" s="31"/>
    </row>
    <row r="102" customFormat="false" ht="15.75" hidden="false" customHeight="true" outlineLevel="0" collapsed="false">
      <c r="C102" s="30"/>
      <c r="D102" s="32" t="s">
        <v>90</v>
      </c>
      <c r="E102" s="33" t="s">
        <v>15</v>
      </c>
      <c r="F102" s="33" t="s">
        <v>16</v>
      </c>
      <c r="G102" s="33" t="s">
        <v>17</v>
      </c>
      <c r="H102" s="34" t="s">
        <v>18</v>
      </c>
    </row>
    <row r="103" customFormat="false" ht="13.5" hidden="false" customHeight="true" outlineLevel="0" collapsed="false">
      <c r="C103" s="30"/>
      <c r="D103" s="35" t="s">
        <v>19</v>
      </c>
      <c r="E103" s="36" t="s">
        <v>91</v>
      </c>
      <c r="F103" s="36" t="s">
        <v>92</v>
      </c>
      <c r="G103" s="37" t="n">
        <v>37347</v>
      </c>
      <c r="H103" s="38" t="n">
        <v>37621</v>
      </c>
    </row>
    <row r="104" customFormat="false" ht="15.75" hidden="false" customHeight="true" outlineLevel="0" collapsed="false">
      <c r="C104" s="30"/>
      <c r="D104" s="39" t="s">
        <v>102</v>
      </c>
      <c r="E104" s="40" t="s">
        <v>22</v>
      </c>
      <c r="F104" s="41" t="s">
        <v>23</v>
      </c>
      <c r="G104" s="41" t="s">
        <v>24</v>
      </c>
      <c r="H104" s="42" t="s">
        <v>25</v>
      </c>
    </row>
    <row r="105" customFormat="false" ht="12.75" hidden="false" customHeight="true" outlineLevel="0" collapsed="false">
      <c r="C105" s="30"/>
      <c r="D105" s="43" t="s">
        <v>26</v>
      </c>
      <c r="E105" s="44" t="s">
        <v>103</v>
      </c>
      <c r="F105" s="44" t="s">
        <v>104</v>
      </c>
      <c r="G105" s="44" t="s">
        <v>28</v>
      </c>
      <c r="H105" s="45" t="s">
        <v>28</v>
      </c>
    </row>
    <row r="106" customFormat="false" ht="12.75" hidden="false" customHeight="true" outlineLevel="0" collapsed="false">
      <c r="C106" s="30"/>
      <c r="D106" s="46" t="s">
        <v>29</v>
      </c>
      <c r="E106" s="47" t="n">
        <v>225000</v>
      </c>
      <c r="F106" s="47" t="n">
        <v>270000</v>
      </c>
      <c r="G106" s="47" t="n">
        <v>0</v>
      </c>
      <c r="H106" s="48" t="n">
        <v>0</v>
      </c>
    </row>
    <row r="107" customFormat="false" ht="12.75" hidden="false" customHeight="true" outlineLevel="0" collapsed="false">
      <c r="C107" s="30"/>
      <c r="D107" s="46" t="s">
        <v>30</v>
      </c>
      <c r="E107" s="49" t="n">
        <v>0.0552</v>
      </c>
      <c r="F107" s="49" t="n">
        <v>0.0552</v>
      </c>
      <c r="G107" s="49" t="n">
        <v>0</v>
      </c>
      <c r="H107" s="50" t="n">
        <v>0</v>
      </c>
    </row>
    <row r="108" customFormat="false" ht="12.75" hidden="false" customHeight="true" outlineLevel="0" collapsed="false">
      <c r="C108" s="30"/>
      <c r="D108" s="46" t="s">
        <v>31</v>
      </c>
      <c r="E108" s="51" t="n">
        <v>0.0137</v>
      </c>
      <c r="F108" s="51" t="n">
        <v>0.0137</v>
      </c>
      <c r="G108" s="51" t="n">
        <v>0</v>
      </c>
      <c r="H108" s="52" t="n">
        <v>0</v>
      </c>
    </row>
    <row r="109" customFormat="false" ht="12.75" hidden="false" customHeight="true" outlineLevel="0" collapsed="false">
      <c r="C109" s="30"/>
      <c r="D109" s="46" t="s">
        <v>32</v>
      </c>
      <c r="E109" s="49" t="n">
        <v>0.1538</v>
      </c>
      <c r="F109" s="49" t="n">
        <v>0.1538</v>
      </c>
      <c r="G109" s="49" t="n">
        <v>0</v>
      </c>
      <c r="H109" s="50" t="n">
        <v>0</v>
      </c>
    </row>
    <row r="110" customFormat="false" ht="12.75" hidden="false" customHeight="true" outlineLevel="0" collapsed="false">
      <c r="C110" s="30"/>
      <c r="D110" s="53" t="s">
        <v>33</v>
      </c>
      <c r="E110" s="54" t="n">
        <v>0</v>
      </c>
      <c r="F110" s="55" t="n">
        <v>0</v>
      </c>
      <c r="G110" s="56" t="n">
        <v>0</v>
      </c>
      <c r="H110" s="57" t="n">
        <v>0</v>
      </c>
    </row>
    <row r="111" customFormat="false" ht="12.75" hidden="false" customHeight="true" outlineLevel="0" collapsed="false">
      <c r="C111" s="30"/>
      <c r="D111" s="58" t="s">
        <v>34</v>
      </c>
      <c r="E111" s="59" t="n">
        <v>0</v>
      </c>
      <c r="F111" s="60" t="n">
        <v>0</v>
      </c>
      <c r="G111" s="61" t="n">
        <v>0</v>
      </c>
      <c r="H111" s="62" t="n">
        <v>0</v>
      </c>
    </row>
    <row r="112" customFormat="false" ht="13.5" hidden="false" customHeight="true" outlineLevel="0" collapsed="false">
      <c r="C112" s="30"/>
      <c r="D112" s="53" t="s">
        <v>35</v>
      </c>
      <c r="E112" s="54" t="n">
        <v>0</v>
      </c>
      <c r="F112" s="55" t="n">
        <v>0</v>
      </c>
      <c r="G112" s="55" t="n">
        <v>0</v>
      </c>
      <c r="H112" s="63" t="n">
        <v>0</v>
      </c>
    </row>
    <row r="113" customFormat="false" ht="13.5" hidden="false" customHeight="true" outlineLevel="0" collapsed="false">
      <c r="C113" s="30"/>
      <c r="D113" s="64" t="s">
        <v>36</v>
      </c>
      <c r="E113" s="65" t="s">
        <v>94</v>
      </c>
      <c r="F113" s="66" t="s">
        <v>38</v>
      </c>
      <c r="G113" s="65" t="s">
        <v>95</v>
      </c>
      <c r="H113" s="68" t="s">
        <v>40</v>
      </c>
    </row>
    <row r="114" customFormat="false" ht="15.75" hidden="false" customHeight="true" outlineLevel="0" collapsed="false">
      <c r="C114" s="30"/>
      <c r="D114" s="69" t="s">
        <v>41</v>
      </c>
      <c r="E114" s="65" t="s">
        <v>96</v>
      </c>
      <c r="F114" s="71" t="s">
        <v>43</v>
      </c>
      <c r="G114" s="65" t="s">
        <v>97</v>
      </c>
      <c r="H114" s="73" t="s">
        <v>105</v>
      </c>
    </row>
    <row r="115" customFormat="false" ht="13.5" hidden="false" customHeight="true" outlineLevel="0" collapsed="false">
      <c r="C115" s="30"/>
      <c r="D115" s="74" t="s">
        <v>46</v>
      </c>
      <c r="E115" s="75" t="s">
        <v>80</v>
      </c>
      <c r="F115" s="76" t="s">
        <v>48</v>
      </c>
      <c r="G115" s="75" t="s">
        <v>80</v>
      </c>
      <c r="H115" s="68" t="s">
        <v>50</v>
      </c>
    </row>
    <row r="116" customFormat="false" ht="13.5" hidden="false" customHeight="true" outlineLevel="0" collapsed="false">
      <c r="C116" s="30"/>
      <c r="D116" s="78" t="s">
        <v>51</v>
      </c>
      <c r="E116" s="79" t="n">
        <v>56</v>
      </c>
      <c r="F116" s="80" t="e">
        <f aca="false">GetCorrelName1($E116)</f>
        <v>#VALUE!</v>
      </c>
      <c r="G116" s="81" t="e">
        <f aca="false">GetCorrelName2($E116)</f>
        <v>#VALUE!</v>
      </c>
      <c r="H116" s="82" t="s">
        <v>52</v>
      </c>
    </row>
    <row r="117" customFormat="false" ht="12.75" hidden="false" customHeight="true" outlineLevel="0" collapsed="false">
      <c r="C117" s="30"/>
      <c r="D117" s="83" t="s">
        <v>53</v>
      </c>
      <c r="E117" s="84" t="s">
        <v>106</v>
      </c>
      <c r="F117" s="84"/>
      <c r="G117" s="84"/>
      <c r="H117" s="84"/>
    </row>
    <row r="118" customFormat="false" ht="13.5" hidden="false" customHeight="true" outlineLevel="0" collapsed="false">
      <c r="C118" s="30"/>
      <c r="D118" s="83"/>
      <c r="E118" s="84"/>
      <c r="F118" s="84"/>
      <c r="G118" s="84"/>
      <c r="H118" s="84"/>
    </row>
    <row r="119" customFormat="false" ht="17.25" hidden="false" customHeight="false" outlineLevel="0" collapsed="false">
      <c r="C119" s="30" t="n">
        <v>84</v>
      </c>
      <c r="D119" s="31" t="s">
        <v>13</v>
      </c>
      <c r="E119" s="31"/>
      <c r="F119" s="31"/>
      <c r="G119" s="31"/>
      <c r="H119" s="31"/>
    </row>
    <row r="120" customFormat="false" ht="15.75" hidden="false" customHeight="false" outlineLevel="0" collapsed="false">
      <c r="C120" s="30"/>
      <c r="D120" s="32" t="s">
        <v>107</v>
      </c>
      <c r="E120" s="33" t="s">
        <v>15</v>
      </c>
      <c r="F120" s="33" t="s">
        <v>16</v>
      </c>
      <c r="G120" s="33" t="s">
        <v>17</v>
      </c>
      <c r="H120" s="34" t="s">
        <v>18</v>
      </c>
    </row>
    <row r="121" customFormat="false" ht="13.5" hidden="false" customHeight="false" outlineLevel="0" collapsed="false">
      <c r="C121" s="30"/>
      <c r="D121" s="35" t="s">
        <v>19</v>
      </c>
      <c r="E121" s="36" t="s">
        <v>108</v>
      </c>
      <c r="F121" s="36" t="s">
        <v>109</v>
      </c>
      <c r="G121" s="37" t="n">
        <v>37135</v>
      </c>
      <c r="H121" s="38" t="n">
        <v>37376</v>
      </c>
    </row>
    <row r="122" customFormat="false" ht="15.75" hidden="false" customHeight="false" outlineLevel="0" collapsed="false">
      <c r="C122" s="30"/>
      <c r="D122" s="39"/>
      <c r="E122" s="40" t="s">
        <v>22</v>
      </c>
      <c r="F122" s="41" t="s">
        <v>23</v>
      </c>
      <c r="G122" s="41" t="s">
        <v>24</v>
      </c>
      <c r="H122" s="42" t="s">
        <v>25</v>
      </c>
    </row>
    <row r="123" customFormat="false" ht="12.75" hidden="false" customHeight="false" outlineLevel="0" collapsed="false">
      <c r="C123" s="30"/>
      <c r="D123" s="43" t="s">
        <v>26</v>
      </c>
      <c r="E123" s="44" t="s">
        <v>27</v>
      </c>
      <c r="F123" s="44" t="s">
        <v>28</v>
      </c>
      <c r="G123" s="44" t="s">
        <v>28</v>
      </c>
      <c r="H123" s="45" t="s">
        <v>28</v>
      </c>
    </row>
    <row r="124" customFormat="false" ht="12.75" hidden="false" customHeight="false" outlineLevel="0" collapsed="false">
      <c r="C124" s="30"/>
      <c r="D124" s="46" t="s">
        <v>29</v>
      </c>
      <c r="E124" s="47" t="n">
        <v>24500</v>
      </c>
      <c r="F124" s="47" t="n">
        <v>0</v>
      </c>
      <c r="G124" s="47" t="n">
        <v>0</v>
      </c>
      <c r="H124" s="48" t="n">
        <v>0</v>
      </c>
    </row>
    <row r="125" customFormat="false" ht="12.75" hidden="false" customHeight="false" outlineLevel="0" collapsed="false">
      <c r="C125" s="30"/>
      <c r="D125" s="46" t="s">
        <v>30</v>
      </c>
      <c r="E125" s="49" t="n">
        <f aca="false">0.06+0.0022</f>
        <v>0.0622</v>
      </c>
      <c r="F125" s="49" t="n">
        <v>0</v>
      </c>
      <c r="G125" s="49" t="n">
        <v>0</v>
      </c>
      <c r="H125" s="50" t="n">
        <v>0</v>
      </c>
    </row>
    <row r="126" customFormat="false" ht="12.75" hidden="false" customHeight="false" outlineLevel="0" collapsed="false">
      <c r="C126" s="30"/>
      <c r="D126" s="46" t="s">
        <v>31</v>
      </c>
      <c r="E126" s="51" t="n">
        <v>0.042</v>
      </c>
      <c r="F126" s="51" t="n">
        <v>0</v>
      </c>
      <c r="G126" s="51" t="n">
        <v>0</v>
      </c>
      <c r="H126" s="52" t="n">
        <v>0</v>
      </c>
    </row>
    <row r="127" customFormat="false" ht="12.75" hidden="false" customHeight="false" outlineLevel="0" collapsed="false">
      <c r="C127" s="30"/>
      <c r="D127" s="46" t="s">
        <v>32</v>
      </c>
      <c r="E127" s="86" t="s">
        <v>110</v>
      </c>
      <c r="F127" s="49" t="n">
        <v>0</v>
      </c>
      <c r="G127" s="49" t="n">
        <v>0</v>
      </c>
      <c r="H127" s="50" t="n">
        <v>0</v>
      </c>
    </row>
    <row r="128" customFormat="false" ht="12.75" hidden="false" customHeight="false" outlineLevel="0" collapsed="false">
      <c r="C128" s="30"/>
      <c r="D128" s="53" t="s">
        <v>33</v>
      </c>
      <c r="E128" s="54" t="n">
        <v>0</v>
      </c>
      <c r="F128" s="55" t="n">
        <v>0</v>
      </c>
      <c r="G128" s="56" t="n">
        <v>0</v>
      </c>
      <c r="H128" s="57" t="n">
        <v>0</v>
      </c>
    </row>
    <row r="129" customFormat="false" ht="12.75" hidden="false" customHeight="false" outlineLevel="0" collapsed="false">
      <c r="C129" s="30"/>
      <c r="D129" s="58" t="s">
        <v>34</v>
      </c>
      <c r="E129" s="59" t="n">
        <v>0</v>
      </c>
      <c r="F129" s="60" t="n">
        <v>0</v>
      </c>
      <c r="G129" s="61" t="n">
        <v>0</v>
      </c>
      <c r="H129" s="62" t="n">
        <v>0</v>
      </c>
    </row>
    <row r="130" customFormat="false" ht="13.5" hidden="false" customHeight="false" outlineLevel="0" collapsed="false">
      <c r="C130" s="30"/>
      <c r="D130" s="53" t="s">
        <v>35</v>
      </c>
      <c r="E130" s="54" t="n">
        <v>0</v>
      </c>
      <c r="F130" s="55" t="n">
        <v>0</v>
      </c>
      <c r="G130" s="55" t="n">
        <v>0</v>
      </c>
      <c r="H130" s="63" t="n">
        <v>0</v>
      </c>
    </row>
    <row r="131" customFormat="false" ht="13.5" hidden="false" customHeight="false" outlineLevel="0" collapsed="false">
      <c r="C131" s="30"/>
      <c r="D131" s="64" t="s">
        <v>36</v>
      </c>
      <c r="E131" s="65" t="s">
        <v>111</v>
      </c>
      <c r="F131" s="66" t="s">
        <v>38</v>
      </c>
      <c r="G131" s="65" t="s">
        <v>112</v>
      </c>
      <c r="H131" s="68" t="s">
        <v>40</v>
      </c>
    </row>
    <row r="132" customFormat="false" ht="15.75" hidden="false" customHeight="false" outlineLevel="0" collapsed="false">
      <c r="C132" s="30"/>
      <c r="D132" s="69" t="s">
        <v>41</v>
      </c>
      <c r="E132" s="65" t="s">
        <v>113</v>
      </c>
      <c r="F132" s="71" t="s">
        <v>43</v>
      </c>
      <c r="G132" s="70" t="s">
        <v>114</v>
      </c>
      <c r="H132" s="73" t="s">
        <v>115</v>
      </c>
    </row>
    <row r="133" customFormat="false" ht="13.5" hidden="false" customHeight="false" outlineLevel="0" collapsed="false">
      <c r="C133" s="30"/>
      <c r="D133" s="74" t="s">
        <v>46</v>
      </c>
      <c r="E133" s="75" t="s">
        <v>80</v>
      </c>
      <c r="F133" s="76" t="s">
        <v>48</v>
      </c>
      <c r="G133" s="75" t="s">
        <v>80</v>
      </c>
      <c r="H133" s="68" t="s">
        <v>50</v>
      </c>
    </row>
    <row r="134" customFormat="false" ht="13.5" hidden="false" customHeight="false" outlineLevel="0" collapsed="false">
      <c r="C134" s="30"/>
      <c r="D134" s="78" t="s">
        <v>51</v>
      </c>
      <c r="E134" s="79" t="n">
        <v>69</v>
      </c>
      <c r="F134" s="80" t="e">
        <f aca="false">GetCorrelName1($E134)</f>
        <v>#VALUE!</v>
      </c>
      <c r="G134" s="81" t="e">
        <f aca="false">GetCorrelName2($E134)</f>
        <v>#VALUE!</v>
      </c>
      <c r="H134" s="82" t="s">
        <v>116</v>
      </c>
    </row>
    <row r="135" customFormat="false" ht="12.75" hidden="false" customHeight="false" outlineLevel="0" collapsed="false">
      <c r="C135" s="30"/>
      <c r="D135" s="83" t="s">
        <v>53</v>
      </c>
      <c r="E135" s="84"/>
      <c r="F135" s="84"/>
      <c r="G135" s="84"/>
      <c r="H135" s="84"/>
    </row>
    <row r="136" customFormat="false" ht="13.5" hidden="false" customHeight="false" outlineLevel="0" collapsed="false">
      <c r="C136" s="30"/>
      <c r="D136" s="83"/>
      <c r="E136" s="84"/>
      <c r="F136" s="84"/>
      <c r="G136" s="84"/>
      <c r="H136" s="84"/>
    </row>
    <row r="137" customFormat="false" ht="17.25" hidden="false" customHeight="false" outlineLevel="0" collapsed="false">
      <c r="C137" s="30" t="n">
        <v>85</v>
      </c>
      <c r="D137" s="31" t="s">
        <v>13</v>
      </c>
      <c r="E137" s="31"/>
      <c r="F137" s="31"/>
      <c r="G137" s="31"/>
      <c r="H137" s="31"/>
    </row>
    <row r="138" customFormat="false" ht="15.75" hidden="false" customHeight="false" outlineLevel="0" collapsed="false">
      <c r="C138" s="30"/>
      <c r="D138" s="32" t="s">
        <v>107</v>
      </c>
      <c r="E138" s="33" t="s">
        <v>15</v>
      </c>
      <c r="F138" s="33" t="s">
        <v>16</v>
      </c>
      <c r="G138" s="33" t="s">
        <v>17</v>
      </c>
      <c r="H138" s="34" t="s">
        <v>18</v>
      </c>
    </row>
    <row r="139" customFormat="false" ht="13.5" hidden="false" customHeight="false" outlineLevel="0" collapsed="false">
      <c r="C139" s="30"/>
      <c r="D139" s="35" t="s">
        <v>19</v>
      </c>
      <c r="E139" s="36" t="s">
        <v>108</v>
      </c>
      <c r="F139" s="36" t="s">
        <v>109</v>
      </c>
      <c r="G139" s="37" t="n">
        <v>37377</v>
      </c>
      <c r="H139" s="38" t="n">
        <v>37741</v>
      </c>
    </row>
    <row r="140" customFormat="false" ht="15.75" hidden="false" customHeight="false" outlineLevel="0" collapsed="false">
      <c r="C140" s="30"/>
      <c r="D140" s="39"/>
      <c r="E140" s="40" t="s">
        <v>22</v>
      </c>
      <c r="F140" s="41" t="s">
        <v>23</v>
      </c>
      <c r="G140" s="41" t="s">
        <v>24</v>
      </c>
      <c r="H140" s="42" t="s">
        <v>25</v>
      </c>
    </row>
    <row r="141" customFormat="false" ht="12.75" hidden="false" customHeight="false" outlineLevel="0" collapsed="false">
      <c r="C141" s="30"/>
      <c r="D141" s="43" t="s">
        <v>26</v>
      </c>
      <c r="E141" s="44" t="s">
        <v>27</v>
      </c>
      <c r="F141" s="44" t="s">
        <v>28</v>
      </c>
      <c r="G141" s="44" t="s">
        <v>28</v>
      </c>
      <c r="H141" s="45" t="s">
        <v>28</v>
      </c>
    </row>
    <row r="142" customFormat="false" ht="12.75" hidden="false" customHeight="false" outlineLevel="0" collapsed="false">
      <c r="C142" s="30"/>
      <c r="D142" s="46" t="s">
        <v>29</v>
      </c>
      <c r="E142" s="47" t="n">
        <v>3500</v>
      </c>
      <c r="F142" s="47" t="n">
        <v>0</v>
      </c>
      <c r="G142" s="47" t="n">
        <v>0</v>
      </c>
      <c r="H142" s="48" t="n">
        <v>0</v>
      </c>
    </row>
    <row r="143" customFormat="false" ht="12.75" hidden="false" customHeight="false" outlineLevel="0" collapsed="false">
      <c r="C143" s="30"/>
      <c r="D143" s="46" t="s">
        <v>30</v>
      </c>
      <c r="E143" s="49" t="n">
        <f aca="false">0.06+0.0022</f>
        <v>0.0622</v>
      </c>
      <c r="F143" s="49" t="n">
        <v>0</v>
      </c>
      <c r="G143" s="49" t="n">
        <v>0</v>
      </c>
      <c r="H143" s="50" t="n">
        <v>0</v>
      </c>
    </row>
    <row r="144" customFormat="false" ht="12.75" hidden="false" customHeight="false" outlineLevel="0" collapsed="false">
      <c r="C144" s="30"/>
      <c r="D144" s="46" t="s">
        <v>31</v>
      </c>
      <c r="E144" s="51" t="n">
        <v>0.062</v>
      </c>
      <c r="F144" s="51" t="n">
        <v>0</v>
      </c>
      <c r="G144" s="51" t="n">
        <v>0</v>
      </c>
      <c r="H144" s="52" t="n">
        <v>0</v>
      </c>
    </row>
    <row r="145" customFormat="false" ht="12.75" hidden="false" customHeight="false" outlineLevel="0" collapsed="false">
      <c r="C145" s="30"/>
      <c r="D145" s="46" t="s">
        <v>32</v>
      </c>
      <c r="E145" s="86" t="s">
        <v>117</v>
      </c>
      <c r="F145" s="49" t="n">
        <v>0</v>
      </c>
      <c r="G145" s="49" t="n">
        <v>0</v>
      </c>
      <c r="H145" s="50" t="n">
        <v>0</v>
      </c>
    </row>
    <row r="146" customFormat="false" ht="12.75" hidden="false" customHeight="false" outlineLevel="0" collapsed="false">
      <c r="C146" s="30"/>
      <c r="D146" s="53" t="s">
        <v>33</v>
      </c>
      <c r="E146" s="54" t="n">
        <v>0</v>
      </c>
      <c r="F146" s="55" t="n">
        <v>0</v>
      </c>
      <c r="G146" s="56" t="n">
        <v>0</v>
      </c>
      <c r="H146" s="57" t="n">
        <v>0</v>
      </c>
    </row>
    <row r="147" customFormat="false" ht="12.75" hidden="false" customHeight="false" outlineLevel="0" collapsed="false">
      <c r="C147" s="30"/>
      <c r="D147" s="58" t="s">
        <v>34</v>
      </c>
      <c r="E147" s="59" t="n">
        <v>0</v>
      </c>
      <c r="F147" s="60" t="n">
        <v>0</v>
      </c>
      <c r="G147" s="61" t="n">
        <v>0</v>
      </c>
      <c r="H147" s="62" t="n">
        <v>0</v>
      </c>
    </row>
    <row r="148" customFormat="false" ht="13.5" hidden="false" customHeight="false" outlineLevel="0" collapsed="false">
      <c r="C148" s="30"/>
      <c r="D148" s="53" t="s">
        <v>35</v>
      </c>
      <c r="E148" s="54" t="n">
        <v>0</v>
      </c>
      <c r="F148" s="55" t="n">
        <v>0</v>
      </c>
      <c r="G148" s="55" t="n">
        <v>0</v>
      </c>
      <c r="H148" s="63" t="n">
        <v>0</v>
      </c>
    </row>
    <row r="149" customFormat="false" ht="13.5" hidden="false" customHeight="false" outlineLevel="0" collapsed="false">
      <c r="C149" s="30"/>
      <c r="D149" s="64" t="s">
        <v>36</v>
      </c>
      <c r="E149" s="65" t="s">
        <v>111</v>
      </c>
      <c r="F149" s="66" t="s">
        <v>38</v>
      </c>
      <c r="G149" s="65" t="s">
        <v>112</v>
      </c>
      <c r="H149" s="68" t="s">
        <v>40</v>
      </c>
    </row>
    <row r="150" customFormat="false" ht="15.75" hidden="false" customHeight="false" outlineLevel="0" collapsed="false">
      <c r="C150" s="30"/>
      <c r="D150" s="69" t="s">
        <v>41</v>
      </c>
      <c r="E150" s="65" t="s">
        <v>113</v>
      </c>
      <c r="F150" s="71" t="s">
        <v>43</v>
      </c>
      <c r="G150" s="70" t="s">
        <v>114</v>
      </c>
      <c r="H150" s="73" t="s">
        <v>115</v>
      </c>
    </row>
    <row r="151" customFormat="false" ht="13.5" hidden="false" customHeight="false" outlineLevel="0" collapsed="false">
      <c r="C151" s="30"/>
      <c r="D151" s="74" t="s">
        <v>46</v>
      </c>
      <c r="E151" s="75" t="s">
        <v>80</v>
      </c>
      <c r="F151" s="76" t="s">
        <v>48</v>
      </c>
      <c r="G151" s="75" t="s">
        <v>80</v>
      </c>
      <c r="H151" s="68" t="s">
        <v>50</v>
      </c>
    </row>
    <row r="152" customFormat="false" ht="13.5" hidden="false" customHeight="false" outlineLevel="0" collapsed="false">
      <c r="C152" s="30"/>
      <c r="D152" s="78" t="s">
        <v>51</v>
      </c>
      <c r="E152" s="79" t="n">
        <v>69</v>
      </c>
      <c r="F152" s="80" t="e">
        <f aca="false">GetCorrelName1($E152)</f>
        <v>#VALUE!</v>
      </c>
      <c r="G152" s="81" t="e">
        <f aca="false">GetCorrelName2($E152)</f>
        <v>#VALUE!</v>
      </c>
      <c r="H152" s="82" t="s">
        <v>116</v>
      </c>
    </row>
    <row r="153" customFormat="false" ht="12.75" hidden="false" customHeight="false" outlineLevel="0" collapsed="false">
      <c r="C153" s="30"/>
      <c r="D153" s="83" t="s">
        <v>53</v>
      </c>
      <c r="E153" s="84"/>
      <c r="F153" s="84"/>
      <c r="G153" s="84"/>
      <c r="H153" s="84"/>
    </row>
    <row r="154" customFormat="false" ht="13.5" hidden="false" customHeight="false" outlineLevel="0" collapsed="false">
      <c r="C154" s="30"/>
      <c r="D154" s="83"/>
      <c r="E154" s="84"/>
      <c r="F154" s="84"/>
      <c r="G154" s="84"/>
      <c r="H154" s="84"/>
    </row>
    <row r="155" customFormat="false" ht="17.25" hidden="false" customHeight="false" outlineLevel="0" collapsed="false">
      <c r="C155" s="30" t="n">
        <v>86</v>
      </c>
      <c r="D155" s="31" t="s">
        <v>13</v>
      </c>
      <c r="E155" s="31"/>
      <c r="F155" s="31"/>
      <c r="G155" s="31"/>
      <c r="H155" s="31"/>
    </row>
    <row r="156" customFormat="false" ht="15.75" hidden="false" customHeight="false" outlineLevel="0" collapsed="false">
      <c r="C156" s="30"/>
      <c r="D156" s="32" t="s">
        <v>107</v>
      </c>
      <c r="E156" s="33" t="s">
        <v>15</v>
      </c>
      <c r="F156" s="33" t="s">
        <v>16</v>
      </c>
      <c r="G156" s="33" t="s">
        <v>17</v>
      </c>
      <c r="H156" s="34" t="s">
        <v>18</v>
      </c>
    </row>
    <row r="157" customFormat="false" ht="13.5" hidden="false" customHeight="false" outlineLevel="0" collapsed="false">
      <c r="C157" s="30"/>
      <c r="D157" s="35" t="s">
        <v>19</v>
      </c>
      <c r="E157" s="36" t="s">
        <v>108</v>
      </c>
      <c r="F157" s="36" t="s">
        <v>109</v>
      </c>
      <c r="G157" s="37" t="n">
        <v>37135</v>
      </c>
      <c r="H157" s="38" t="n">
        <v>37376</v>
      </c>
    </row>
    <row r="158" customFormat="false" ht="15.75" hidden="false" customHeight="false" outlineLevel="0" collapsed="false">
      <c r="C158" s="30"/>
      <c r="D158" s="39"/>
      <c r="E158" s="40" t="s">
        <v>22</v>
      </c>
      <c r="F158" s="41" t="s">
        <v>23</v>
      </c>
      <c r="G158" s="41" t="s">
        <v>24</v>
      </c>
      <c r="H158" s="42" t="s">
        <v>25</v>
      </c>
    </row>
    <row r="159" customFormat="false" ht="12.75" hidden="false" customHeight="false" outlineLevel="0" collapsed="false">
      <c r="C159" s="30"/>
      <c r="D159" s="43" t="s">
        <v>26</v>
      </c>
      <c r="E159" s="44" t="s">
        <v>27</v>
      </c>
      <c r="F159" s="44" t="s">
        <v>28</v>
      </c>
      <c r="G159" s="44" t="s">
        <v>28</v>
      </c>
      <c r="H159" s="45" t="s">
        <v>28</v>
      </c>
    </row>
    <row r="160" customFormat="false" ht="12.75" hidden="false" customHeight="false" outlineLevel="0" collapsed="false">
      <c r="C160" s="30"/>
      <c r="D160" s="46" t="s">
        <v>29</v>
      </c>
      <c r="E160" s="47" t="n">
        <v>3700</v>
      </c>
      <c r="F160" s="47" t="n">
        <v>0</v>
      </c>
      <c r="G160" s="47" t="n">
        <v>0</v>
      </c>
      <c r="H160" s="48" t="n">
        <v>0</v>
      </c>
    </row>
    <row r="161" customFormat="false" ht="12.75" hidden="false" customHeight="false" outlineLevel="0" collapsed="false">
      <c r="C161" s="30"/>
      <c r="D161" s="46" t="s">
        <v>30</v>
      </c>
      <c r="E161" s="49" t="n">
        <f aca="false">0.06+0.0022</f>
        <v>0.0622</v>
      </c>
      <c r="F161" s="49" t="n">
        <v>0</v>
      </c>
      <c r="G161" s="49" t="n">
        <v>0</v>
      </c>
      <c r="H161" s="50" t="n">
        <v>0</v>
      </c>
    </row>
    <row r="162" customFormat="false" ht="12.75" hidden="false" customHeight="false" outlineLevel="0" collapsed="false">
      <c r="C162" s="30"/>
      <c r="D162" s="46" t="s">
        <v>31</v>
      </c>
      <c r="E162" s="51" t="n">
        <v>0.042</v>
      </c>
      <c r="F162" s="51" t="n">
        <v>0</v>
      </c>
      <c r="G162" s="51" t="n">
        <v>0</v>
      </c>
      <c r="H162" s="52" t="n">
        <v>0</v>
      </c>
    </row>
    <row r="163" customFormat="false" ht="12.75" hidden="false" customHeight="false" outlineLevel="0" collapsed="false">
      <c r="C163" s="30"/>
      <c r="D163" s="46" t="s">
        <v>32</v>
      </c>
      <c r="E163" s="86" t="s">
        <v>118</v>
      </c>
      <c r="F163" s="49" t="n">
        <v>0</v>
      </c>
      <c r="G163" s="49" t="n">
        <v>0</v>
      </c>
      <c r="H163" s="50" t="n">
        <v>0</v>
      </c>
    </row>
    <row r="164" customFormat="false" ht="12.75" hidden="false" customHeight="false" outlineLevel="0" collapsed="false">
      <c r="C164" s="30"/>
      <c r="D164" s="53" t="s">
        <v>33</v>
      </c>
      <c r="E164" s="54" t="n">
        <v>0</v>
      </c>
      <c r="F164" s="55" t="n">
        <v>0</v>
      </c>
      <c r="G164" s="56" t="n">
        <v>0</v>
      </c>
      <c r="H164" s="57" t="n">
        <v>0</v>
      </c>
    </row>
    <row r="165" customFormat="false" ht="12.75" hidden="false" customHeight="false" outlineLevel="0" collapsed="false">
      <c r="C165" s="30"/>
      <c r="D165" s="58" t="s">
        <v>34</v>
      </c>
      <c r="E165" s="59" t="n">
        <v>0</v>
      </c>
      <c r="F165" s="60" t="n">
        <v>0</v>
      </c>
      <c r="G165" s="61" t="n">
        <v>0</v>
      </c>
      <c r="H165" s="62" t="n">
        <v>0</v>
      </c>
    </row>
    <row r="166" customFormat="false" ht="13.5" hidden="false" customHeight="false" outlineLevel="0" collapsed="false">
      <c r="C166" s="30"/>
      <c r="D166" s="53" t="s">
        <v>35</v>
      </c>
      <c r="E166" s="54" t="n">
        <v>0</v>
      </c>
      <c r="F166" s="55" t="n">
        <v>0</v>
      </c>
      <c r="G166" s="55" t="n">
        <v>0</v>
      </c>
      <c r="H166" s="63" t="n">
        <v>0</v>
      </c>
    </row>
    <row r="167" customFormat="false" ht="13.5" hidden="false" customHeight="false" outlineLevel="0" collapsed="false">
      <c r="C167" s="30"/>
      <c r="D167" s="64" t="s">
        <v>36</v>
      </c>
      <c r="E167" s="65" t="s">
        <v>111</v>
      </c>
      <c r="F167" s="66" t="s">
        <v>38</v>
      </c>
      <c r="G167" s="65" t="s">
        <v>112</v>
      </c>
      <c r="H167" s="68" t="s">
        <v>40</v>
      </c>
    </row>
    <row r="168" customFormat="false" ht="15.75" hidden="false" customHeight="false" outlineLevel="0" collapsed="false">
      <c r="C168" s="30"/>
      <c r="D168" s="69" t="s">
        <v>41</v>
      </c>
      <c r="E168" s="65" t="s">
        <v>113</v>
      </c>
      <c r="F168" s="71" t="s">
        <v>43</v>
      </c>
      <c r="G168" s="70" t="s">
        <v>114</v>
      </c>
      <c r="H168" s="73" t="s">
        <v>115</v>
      </c>
    </row>
    <row r="169" customFormat="false" ht="13.5" hidden="false" customHeight="false" outlineLevel="0" collapsed="false">
      <c r="C169" s="30"/>
      <c r="D169" s="74" t="s">
        <v>46</v>
      </c>
      <c r="E169" s="75" t="s">
        <v>80</v>
      </c>
      <c r="F169" s="76" t="s">
        <v>48</v>
      </c>
      <c r="G169" s="75" t="s">
        <v>80</v>
      </c>
      <c r="H169" s="68" t="s">
        <v>50</v>
      </c>
    </row>
    <row r="170" customFormat="false" ht="13.5" hidden="false" customHeight="false" outlineLevel="0" collapsed="false">
      <c r="C170" s="30"/>
      <c r="D170" s="78" t="s">
        <v>51</v>
      </c>
      <c r="E170" s="79" t="n">
        <v>69</v>
      </c>
      <c r="F170" s="80" t="e">
        <f aca="false">GetCorrelName1($E170)</f>
        <v>#VALUE!</v>
      </c>
      <c r="G170" s="81" t="e">
        <f aca="false">GetCorrelName2($E170)</f>
        <v>#VALUE!</v>
      </c>
      <c r="H170" s="82" t="s">
        <v>116</v>
      </c>
    </row>
    <row r="171" customFormat="false" ht="12.75" hidden="false" customHeight="false" outlineLevel="0" collapsed="false">
      <c r="C171" s="30"/>
      <c r="D171" s="83" t="s">
        <v>53</v>
      </c>
      <c r="E171" s="84"/>
      <c r="F171" s="84"/>
      <c r="G171" s="84"/>
      <c r="H171" s="84"/>
    </row>
    <row r="172" customFormat="false" ht="13.5" hidden="false" customHeight="false" outlineLevel="0" collapsed="false">
      <c r="C172" s="30"/>
      <c r="D172" s="83"/>
      <c r="E172" s="84"/>
      <c r="F172" s="84"/>
      <c r="G172" s="84"/>
      <c r="H172" s="84"/>
    </row>
    <row r="173" customFormat="false" ht="17.25" hidden="false" customHeight="false" outlineLevel="0" collapsed="false">
      <c r="C173" s="30" t="n">
        <v>87</v>
      </c>
      <c r="D173" s="31" t="s">
        <v>13</v>
      </c>
      <c r="E173" s="31"/>
      <c r="F173" s="31"/>
      <c r="G173" s="31"/>
      <c r="H173" s="31"/>
    </row>
    <row r="174" customFormat="false" ht="15.75" hidden="false" customHeight="false" outlineLevel="0" collapsed="false">
      <c r="C174" s="30"/>
      <c r="D174" s="32" t="s">
        <v>107</v>
      </c>
      <c r="E174" s="33" t="s">
        <v>15</v>
      </c>
      <c r="F174" s="33" t="s">
        <v>16</v>
      </c>
      <c r="G174" s="33" t="s">
        <v>17</v>
      </c>
      <c r="H174" s="34" t="s">
        <v>18</v>
      </c>
    </row>
    <row r="175" customFormat="false" ht="13.5" hidden="false" customHeight="false" outlineLevel="0" collapsed="false">
      <c r="C175" s="30"/>
      <c r="D175" s="35" t="s">
        <v>19</v>
      </c>
      <c r="E175" s="36" t="s">
        <v>108</v>
      </c>
      <c r="F175" s="36" t="s">
        <v>109</v>
      </c>
      <c r="G175" s="37" t="n">
        <v>37377</v>
      </c>
      <c r="H175" s="38" t="n">
        <v>37741</v>
      </c>
    </row>
    <row r="176" customFormat="false" ht="15.75" hidden="false" customHeight="false" outlineLevel="0" collapsed="false">
      <c r="C176" s="30"/>
      <c r="D176" s="39"/>
      <c r="E176" s="40" t="s">
        <v>22</v>
      </c>
      <c r="F176" s="41" t="s">
        <v>23</v>
      </c>
      <c r="G176" s="41" t="s">
        <v>24</v>
      </c>
      <c r="H176" s="42" t="s">
        <v>25</v>
      </c>
    </row>
    <row r="177" customFormat="false" ht="12.75" hidden="false" customHeight="false" outlineLevel="0" collapsed="false">
      <c r="C177" s="30"/>
      <c r="D177" s="43" t="s">
        <v>26</v>
      </c>
      <c r="E177" s="44" t="s">
        <v>27</v>
      </c>
      <c r="F177" s="44" t="s">
        <v>28</v>
      </c>
      <c r="G177" s="44" t="s">
        <v>28</v>
      </c>
      <c r="H177" s="45" t="s">
        <v>28</v>
      </c>
    </row>
    <row r="178" customFormat="false" ht="12.75" hidden="false" customHeight="false" outlineLevel="0" collapsed="false">
      <c r="C178" s="30"/>
      <c r="D178" s="46" t="s">
        <v>29</v>
      </c>
      <c r="E178" s="47" t="n">
        <v>700</v>
      </c>
      <c r="F178" s="47" t="n">
        <v>0</v>
      </c>
      <c r="G178" s="47" t="n">
        <v>0</v>
      </c>
      <c r="H178" s="48" t="n">
        <v>0</v>
      </c>
    </row>
    <row r="179" customFormat="false" ht="12.75" hidden="false" customHeight="false" outlineLevel="0" collapsed="false">
      <c r="C179" s="30"/>
      <c r="D179" s="46" t="s">
        <v>30</v>
      </c>
      <c r="E179" s="49" t="n">
        <f aca="false">0.06+0.0022</f>
        <v>0.0622</v>
      </c>
      <c r="F179" s="49" t="n">
        <v>0</v>
      </c>
      <c r="G179" s="49" t="n">
        <v>0</v>
      </c>
      <c r="H179" s="50" t="n">
        <v>0</v>
      </c>
    </row>
    <row r="180" customFormat="false" ht="12.75" hidden="false" customHeight="false" outlineLevel="0" collapsed="false">
      <c r="C180" s="30"/>
      <c r="D180" s="46" t="s">
        <v>31</v>
      </c>
      <c r="E180" s="51" t="n">
        <v>0.062</v>
      </c>
      <c r="F180" s="51" t="n">
        <v>0</v>
      </c>
      <c r="G180" s="51" t="n">
        <v>0</v>
      </c>
      <c r="H180" s="52" t="n">
        <v>0</v>
      </c>
    </row>
    <row r="181" customFormat="false" ht="12.75" hidden="false" customHeight="false" outlineLevel="0" collapsed="false">
      <c r="C181" s="30"/>
      <c r="D181" s="46" t="s">
        <v>32</v>
      </c>
      <c r="E181" s="86" t="s">
        <v>119</v>
      </c>
      <c r="F181" s="49" t="n">
        <v>0</v>
      </c>
      <c r="G181" s="49" t="n">
        <v>0</v>
      </c>
      <c r="H181" s="50" t="n">
        <v>0</v>
      </c>
    </row>
    <row r="182" customFormat="false" ht="12.75" hidden="false" customHeight="false" outlineLevel="0" collapsed="false">
      <c r="C182" s="30"/>
      <c r="D182" s="53" t="s">
        <v>33</v>
      </c>
      <c r="E182" s="54" t="n">
        <v>0</v>
      </c>
      <c r="F182" s="55" t="n">
        <v>0</v>
      </c>
      <c r="G182" s="56" t="n">
        <v>0</v>
      </c>
      <c r="H182" s="57" t="n">
        <v>0</v>
      </c>
    </row>
    <row r="183" customFormat="false" ht="12.75" hidden="false" customHeight="false" outlineLevel="0" collapsed="false">
      <c r="C183" s="30"/>
      <c r="D183" s="58" t="s">
        <v>34</v>
      </c>
      <c r="E183" s="59" t="n">
        <v>0</v>
      </c>
      <c r="F183" s="60" t="n">
        <v>0</v>
      </c>
      <c r="G183" s="61" t="n">
        <v>0</v>
      </c>
      <c r="H183" s="62" t="n">
        <v>0</v>
      </c>
    </row>
    <row r="184" customFormat="false" ht="13.5" hidden="false" customHeight="false" outlineLevel="0" collapsed="false">
      <c r="C184" s="30"/>
      <c r="D184" s="53" t="s">
        <v>35</v>
      </c>
      <c r="E184" s="54" t="n">
        <v>0</v>
      </c>
      <c r="F184" s="55" t="n">
        <v>0</v>
      </c>
      <c r="G184" s="55" t="n">
        <v>0</v>
      </c>
      <c r="H184" s="63" t="n">
        <v>0</v>
      </c>
    </row>
    <row r="185" customFormat="false" ht="13.5" hidden="false" customHeight="false" outlineLevel="0" collapsed="false">
      <c r="C185" s="30"/>
      <c r="D185" s="64" t="s">
        <v>36</v>
      </c>
      <c r="E185" s="65" t="s">
        <v>111</v>
      </c>
      <c r="F185" s="66" t="s">
        <v>38</v>
      </c>
      <c r="G185" s="65" t="s">
        <v>112</v>
      </c>
      <c r="H185" s="68" t="s">
        <v>40</v>
      </c>
    </row>
    <row r="186" customFormat="false" ht="15.75" hidden="false" customHeight="false" outlineLevel="0" collapsed="false">
      <c r="C186" s="30"/>
      <c r="D186" s="69" t="s">
        <v>41</v>
      </c>
      <c r="E186" s="65" t="s">
        <v>113</v>
      </c>
      <c r="F186" s="71" t="s">
        <v>43</v>
      </c>
      <c r="G186" s="70" t="s">
        <v>114</v>
      </c>
      <c r="H186" s="73" t="s">
        <v>115</v>
      </c>
    </row>
    <row r="187" customFormat="false" ht="13.5" hidden="false" customHeight="false" outlineLevel="0" collapsed="false">
      <c r="C187" s="30"/>
      <c r="D187" s="74" t="s">
        <v>46</v>
      </c>
      <c r="E187" s="75" t="s">
        <v>80</v>
      </c>
      <c r="F187" s="76" t="s">
        <v>48</v>
      </c>
      <c r="G187" s="75" t="s">
        <v>80</v>
      </c>
      <c r="H187" s="68" t="s">
        <v>50</v>
      </c>
    </row>
    <row r="188" customFormat="false" ht="13.5" hidden="false" customHeight="false" outlineLevel="0" collapsed="false">
      <c r="C188" s="30"/>
      <c r="D188" s="78" t="s">
        <v>51</v>
      </c>
      <c r="E188" s="79" t="n">
        <v>69</v>
      </c>
      <c r="F188" s="80" t="e">
        <f aca="false">GetCorrelName1($E188)</f>
        <v>#VALUE!</v>
      </c>
      <c r="G188" s="81" t="e">
        <f aca="false">GetCorrelName2($E188)</f>
        <v>#VALUE!</v>
      </c>
      <c r="H188" s="82" t="s">
        <v>116</v>
      </c>
    </row>
    <row r="189" customFormat="false" ht="12.75" hidden="false" customHeight="false" outlineLevel="0" collapsed="false">
      <c r="C189" s="30"/>
      <c r="D189" s="83" t="s">
        <v>53</v>
      </c>
      <c r="E189" s="84"/>
      <c r="F189" s="84"/>
      <c r="G189" s="84"/>
      <c r="H189" s="84"/>
    </row>
    <row r="190" customFormat="false" ht="13.5" hidden="false" customHeight="false" outlineLevel="0" collapsed="false">
      <c r="C190" s="30"/>
      <c r="D190" s="83"/>
      <c r="E190" s="84"/>
      <c r="F190" s="84"/>
      <c r="G190" s="84"/>
      <c r="H190" s="84"/>
    </row>
    <row r="191" customFormat="false" ht="13.5" hidden="false" customHeight="false" outlineLevel="0" collapsed="false"/>
    <row r="209" customFormat="false" ht="17.25" hidden="false" customHeight="true" outlineLevel="0" collapsed="false"/>
    <row r="210" customFormat="false" ht="15.75" hidden="false" customHeight="true" outlineLevel="0" collapsed="false"/>
    <row r="211" customFormat="false" ht="13.5" hidden="false" customHeight="true" outlineLevel="0" collapsed="false"/>
    <row r="212" customFormat="false" ht="15.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3.5" hidden="false" customHeight="true" outlineLevel="0" collapsed="false"/>
    <row r="221" customFormat="false" ht="13.5" hidden="false" customHeight="true" outlineLevel="0" collapsed="false"/>
    <row r="222" customFormat="false" ht="15.75" hidden="false" customHeight="true" outlineLevel="0" collapsed="false"/>
    <row r="223" customFormat="false" ht="13.5" hidden="false" customHeight="true" outlineLevel="0" collapsed="false"/>
    <row r="224" customFormat="false" ht="13.5" hidden="false" customHeight="true" outlineLevel="0" collapsed="false"/>
    <row r="225" customFormat="false" ht="12.75" hidden="false" customHeight="true" outlineLevel="0" collapsed="false"/>
    <row r="226" customFormat="false" ht="13.5" hidden="false" customHeight="true" outlineLevel="0" collapsed="false"/>
    <row r="227" customFormat="false" ht="17.25" hidden="false" customHeight="true" outlineLevel="0" collapsed="false"/>
    <row r="228" customFormat="false" ht="15.75" hidden="false" customHeight="true" outlineLevel="0" collapsed="false"/>
    <row r="229" customFormat="false" ht="13.5" hidden="false" customHeight="true" outlineLevel="0" collapsed="false"/>
    <row r="230" customFormat="false" ht="15.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3.5" hidden="false" customHeight="true" outlineLevel="0" collapsed="false"/>
    <row r="239" customFormat="false" ht="13.5" hidden="false" customHeight="true" outlineLevel="0" collapsed="false"/>
    <row r="240" customFormat="false" ht="15.75" hidden="false" customHeight="true" outlineLevel="0" collapsed="false"/>
    <row r="241" customFormat="false" ht="13.5" hidden="false" customHeight="true" outlineLevel="0" collapsed="false"/>
    <row r="242" customFormat="false" ht="13.5" hidden="false" customHeight="true" outlineLevel="0" collapsed="false"/>
    <row r="243" customFormat="false" ht="12.75" hidden="false" customHeight="true" outlineLevel="0" collapsed="false"/>
    <row r="244" customFormat="false" ht="13.5" hidden="false" customHeight="true" outlineLevel="0" collapsed="false"/>
    <row r="245" customFormat="false" ht="17.25" hidden="false" customHeight="true" outlineLevel="0" collapsed="false"/>
    <row r="246" customFormat="false" ht="15.75" hidden="false" customHeight="true" outlineLevel="0" collapsed="false"/>
    <row r="247" customFormat="false" ht="13.5" hidden="false" customHeight="true" outlineLevel="0" collapsed="false"/>
    <row r="248" customFormat="false" ht="15.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3.5" hidden="false" customHeight="true" outlineLevel="0" collapsed="false"/>
    <row r="257" customFormat="false" ht="13.5" hidden="false" customHeight="true" outlineLevel="0" collapsed="false"/>
    <row r="258" customFormat="false" ht="15.75" hidden="false" customHeight="true" outlineLevel="0" collapsed="false"/>
    <row r="259" customFormat="false" ht="13.5" hidden="false" customHeight="true" outlineLevel="0" collapsed="false"/>
    <row r="260" customFormat="false" ht="13.5" hidden="false" customHeight="true" outlineLevel="0" collapsed="false"/>
    <row r="261" customFormat="false" ht="12.75" hidden="false" customHeight="true" outlineLevel="0" collapsed="false"/>
    <row r="262" customFormat="false" ht="13.5" hidden="false" customHeight="true" outlineLevel="0" collapsed="false"/>
  </sheetData>
  <mergeCells count="42">
    <mergeCell ref="C3:H3"/>
    <mergeCell ref="D9:H9"/>
    <mergeCell ref="C11:C28"/>
    <mergeCell ref="D11:H11"/>
    <mergeCell ref="D27:D28"/>
    <mergeCell ref="E27:H28"/>
    <mergeCell ref="C29:C46"/>
    <mergeCell ref="D29:H29"/>
    <mergeCell ref="D45:D46"/>
    <mergeCell ref="E45:H46"/>
    <mergeCell ref="C47:C64"/>
    <mergeCell ref="D47:H47"/>
    <mergeCell ref="D63:D64"/>
    <mergeCell ref="E63:H64"/>
    <mergeCell ref="C65:C82"/>
    <mergeCell ref="D65:H65"/>
    <mergeCell ref="D81:D82"/>
    <mergeCell ref="E81:H82"/>
    <mergeCell ref="C83:C100"/>
    <mergeCell ref="D83:H83"/>
    <mergeCell ref="D99:D100"/>
    <mergeCell ref="E99:H100"/>
    <mergeCell ref="C101:C118"/>
    <mergeCell ref="D101:H101"/>
    <mergeCell ref="D117:D118"/>
    <mergeCell ref="E117:H118"/>
    <mergeCell ref="C119:C136"/>
    <mergeCell ref="D119:H119"/>
    <mergeCell ref="D135:D136"/>
    <mergeCell ref="E135:H136"/>
    <mergeCell ref="C137:C154"/>
    <mergeCell ref="D137:H137"/>
    <mergeCell ref="D153:D154"/>
    <mergeCell ref="E153:H154"/>
    <mergeCell ref="C155:C172"/>
    <mergeCell ref="D155:H155"/>
    <mergeCell ref="D171:D172"/>
    <mergeCell ref="E171:H172"/>
    <mergeCell ref="C173:C190"/>
    <mergeCell ref="D173:H173"/>
    <mergeCell ref="D189:D190"/>
    <mergeCell ref="E189:H190"/>
  </mergeCells>
  <printOptions headings="false" gridLines="false" gridLinesSet="true" horizontalCentered="false" verticalCentered="false"/>
  <pageMargins left="0.747916666666667" right="0.747916666666667" top="0.5" bottom="0.5" header="0.511811023622047" footer="0.511811023622047"/>
  <pageSetup paperSize="5" scale="55"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3.Button11_click">
                <anchor moveWithCells="true" sizeWithCells="false">
                  <from>
                    <xdr:col>4</xdr:col>
                    <xdr:colOff>1006200</xdr:colOff>
                    <xdr:row>3</xdr:row>
                    <xdr:rowOff>104760</xdr:rowOff>
                  </from>
                  <to>
                    <xdr:col>5</xdr:col>
                    <xdr:colOff>435240</xdr:colOff>
                    <xdr:row>5</xdr:row>
                    <xdr:rowOff>162000</xdr:rowOff>
                  </to>
                </anchor>
              </controlPr>
            </control>
          </mc:Choice>
        </mc:AlternateContent>
        <mc:AlternateContent xmlns:mc="http://schemas.openxmlformats.org/markup-compatibility/2006">
          <mc:Choice Requires="x14">
            <control shapeId="1002" r:id="rId4" name="Button 2">
              <controlPr defaultSize="0" print="false" autoFill="0" autoPict="0" macro="Module3.Button10_Click">
                <anchor moveWithCells="true" sizeWithCells="false">
                  <from>
                    <xdr:col>2</xdr:col>
                    <xdr:colOff>130320</xdr:colOff>
                    <xdr:row>3</xdr:row>
                    <xdr:rowOff>104760</xdr:rowOff>
                  </from>
                  <to>
                    <xdr:col>3</xdr:col>
                    <xdr:colOff>966960</xdr:colOff>
                    <xdr:row>5</xdr:row>
                    <xdr:rowOff>162000</xdr:rowOff>
                  </to>
                </anchor>
              </controlPr>
            </control>
          </mc:Choice>
        </mc:AlternateContent>
        <mc:AlternateContent xmlns:mc="http://schemas.openxmlformats.org/markup-compatibility/2006">
          <mc:Choice Requires="x14">
            <control shapeId="1003" r:id="rId5" name="Button 3">
              <controlPr defaultSize="0" print="false" autoFill="0" autoPict="0" macro="Module4.Button18_Click">
                <anchor moveWithCells="true" sizeWithCells="false">
                  <from>
                    <xdr:col>5</xdr:col>
                    <xdr:colOff>1802520</xdr:colOff>
                    <xdr:row>3</xdr:row>
                    <xdr:rowOff>104760</xdr:rowOff>
                  </from>
                  <to>
                    <xdr:col>6</xdr:col>
                    <xdr:colOff>1230120</xdr:colOff>
                    <xdr:row>5</xdr:row>
                    <xdr:rowOff>162000</xdr:rowOff>
                  </to>
                </anchor>
              </controlPr>
            </control>
          </mc:Choice>
        </mc:AlternateContent>
        <mc:AlternateContent xmlns:mc="http://schemas.openxmlformats.org/markup-compatibility/2006">
          <mc:Choice Requires="x14">
            <control shapeId="1004" r:id="rId6" name="Button 4">
              <controlPr defaultSize="0" print="false" autoFill="0" autoPict="0">
                <anchor moveWithCells="true" sizeWithCells="false">
                  <from>
                    <xdr:col>7</xdr:col>
                    <xdr:colOff>433440</xdr:colOff>
                    <xdr:row>3</xdr:row>
                    <xdr:rowOff>104760</xdr:rowOff>
                  </from>
                  <to>
                    <xdr:col>8</xdr:col>
                    <xdr:colOff>-139680</xdr:colOff>
                    <xdr:row>5</xdr:row>
                    <xdr:rowOff>162000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57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4" ySplit="21" topLeftCell="E22" activePane="bottomRight" state="frozen"/>
      <selection pane="topLeft" activeCell="A1" activeCellId="0" sqref="A1"/>
      <selection pane="topRight" activeCell="E1" activeCellId="0" sqref="E1"/>
      <selection pane="bottomLeft" activeCell="A22" activeCellId="0" sqref="A22"/>
      <selection pane="bottomRight" activeCell="CI21" activeCellId="0" sqref="CI21:CI105"/>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257" min="8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25</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5231364.72</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8809310.53</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-3577945.81</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26741.57</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-2339911.58</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-26664.88</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12.04</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581.24</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35.63</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16513.64</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593.68</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5229659.48</v>
      </c>
      <c r="P18" s="415" t="e">
        <f aca="false">N18-O18</f>
        <v>#VALUE!</v>
      </c>
      <c r="AU18" s="433"/>
      <c r="AV18" s="383"/>
      <c r="AW18" s="378"/>
      <c r="AX18" s="383" t="str">
        <f aca="false">ADDRESS(ROW($CI$22),COLUMN($CI$22))</f>
        <v>$CI$22</v>
      </c>
      <c r="AY18" s="378" t="e">
        <f aca="false">GetEnd($AV$1,AX18)</f>
        <v>#VALUE!</v>
      </c>
      <c r="CM18" s="511"/>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1705.24</v>
      </c>
      <c r="P19" s="465" t="e">
        <f aca="false">N19-O19</f>
        <v>#VALUE!</v>
      </c>
      <c r="AU19" s="433"/>
      <c r="AV19" s="383"/>
      <c r="AW19" s="378"/>
      <c r="CM19" s="511"/>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2.70435684647303</v>
      </c>
      <c r="BW22" s="369" t="n">
        <v>3.002</v>
      </c>
      <c r="BX22" s="370" t="n">
        <v>0.807620796755106</v>
      </c>
      <c r="BY22" s="370" t="n">
        <v>0.79</v>
      </c>
      <c r="BZ22" s="370" t="n">
        <v>0.995786506641625</v>
      </c>
      <c r="CA22" s="370" t="n">
        <v>0.0192731753639035</v>
      </c>
      <c r="CB22" s="370" t="n">
        <v>0.99523258517239</v>
      </c>
      <c r="CC22" s="505" t="n">
        <v>-0.45</v>
      </c>
      <c r="CD22" s="505" t="n">
        <v>0.155</v>
      </c>
      <c r="CE22" s="505" t="n">
        <v>0.085</v>
      </c>
      <c r="CF22" s="505" t="n">
        <v>0.015</v>
      </c>
      <c r="CG22" s="505" t="n">
        <v>0</v>
      </c>
      <c r="CH22" s="505" t="n">
        <v>13.6490177660882</v>
      </c>
      <c r="CI22" s="505" t="n">
        <v>2.902</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-T23/(1-AR23)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2.61203319502075</v>
      </c>
      <c r="BW23" s="369" t="n">
        <v>2.9105</v>
      </c>
      <c r="BX23" s="370" t="n">
        <v>0.606420927626525</v>
      </c>
      <c r="BY23" s="370" t="n">
        <v>0.606420927626525</v>
      </c>
      <c r="BZ23" s="370" t="n">
        <v>0.997545763251446</v>
      </c>
      <c r="CA23" s="370" t="n">
        <v>0.0194226401196236</v>
      </c>
      <c r="CB23" s="370" t="n">
        <v>0.993564587749983</v>
      </c>
      <c r="CC23" s="505" t="n">
        <v>-0.485</v>
      </c>
      <c r="CD23" s="505" t="n">
        <v>0.155</v>
      </c>
      <c r="CE23" s="505" t="n">
        <v>0.0275</v>
      </c>
      <c r="CF23" s="505" t="n">
        <v>0.035</v>
      </c>
      <c r="CG23" s="505" t="n">
        <v>0</v>
      </c>
      <c r="CH23" s="505" t="n">
        <v>13.1865892086178</v>
      </c>
      <c r="CI23" s="505" t="n">
        <v>2.848</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-T24/(1-AR24)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2.66182572614108</v>
      </c>
      <c r="BW24" s="369" t="n">
        <v>2.9585</v>
      </c>
      <c r="BX24" s="370" t="n">
        <v>0.57775293402001</v>
      </c>
      <c r="BY24" s="370" t="n">
        <v>0.583015928847491</v>
      </c>
      <c r="BZ24" s="370" t="n">
        <v>0.997256532059827</v>
      </c>
      <c r="CA24" s="370" t="n">
        <v>0.019712159578257</v>
      </c>
      <c r="CB24" s="370" t="n">
        <v>0.991870109542169</v>
      </c>
      <c r="CC24" s="505" t="n">
        <v>-0.485</v>
      </c>
      <c r="CD24" s="505" t="n">
        <v>0.155</v>
      </c>
      <c r="CE24" s="505" t="n">
        <v>0.0275</v>
      </c>
      <c r="CF24" s="505" t="n">
        <v>0.035</v>
      </c>
      <c r="CG24" s="505" t="n">
        <v>0</v>
      </c>
      <c r="CH24" s="505" t="n">
        <v>13.6029034303051</v>
      </c>
      <c r="CI24" s="505" t="n">
        <v>2.896</v>
      </c>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-T25/(1-AR25)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2.71369294605809</v>
      </c>
      <c r="BW25" s="369" t="n">
        <v>3.0135</v>
      </c>
      <c r="BX25" s="370" t="n">
        <v>0.550221330219268</v>
      </c>
      <c r="BY25" s="370" t="n">
        <v>0.554685115579688</v>
      </c>
      <c r="BZ25" s="370" t="n">
        <v>0.997551515518777</v>
      </c>
      <c r="CA25" s="370" t="n">
        <v>0.0200113297153544</v>
      </c>
      <c r="CB25" s="370" t="n">
        <v>0.990073216017117</v>
      </c>
      <c r="CC25" s="505" t="n">
        <v>-0.485</v>
      </c>
      <c r="CD25" s="505" t="n">
        <v>0.155</v>
      </c>
      <c r="CE25" s="505" t="n">
        <v>0.0275</v>
      </c>
      <c r="CF25" s="505" t="n">
        <v>0.04</v>
      </c>
      <c r="CG25" s="505" t="n">
        <v>0</v>
      </c>
      <c r="CH25" s="505" t="n">
        <v>13.1402517229792</v>
      </c>
      <c r="CI25" s="505" t="n">
        <v>2.946</v>
      </c>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-T26/(1-AR26)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2.75311203319502</v>
      </c>
      <c r="BW26" s="369" t="n">
        <v>3.0515</v>
      </c>
      <c r="BX26" s="370" t="n">
        <v>0.549290255131369</v>
      </c>
      <c r="BY26" s="370" t="n">
        <v>0.553581868033433</v>
      </c>
      <c r="BZ26" s="370" t="n">
        <v>0.997493519046531</v>
      </c>
      <c r="CA26" s="370" t="n">
        <v>0.0204286298094831</v>
      </c>
      <c r="CB26" s="370" t="n">
        <v>0.988217193800728</v>
      </c>
      <c r="CC26" s="505" t="n">
        <v>-0.485</v>
      </c>
      <c r="CD26" s="505" t="n">
        <v>0.155</v>
      </c>
      <c r="CE26" s="505" t="n">
        <v>0.0275</v>
      </c>
      <c r="CF26" s="505" t="n">
        <v>0.04</v>
      </c>
      <c r="CG26" s="505" t="n">
        <v>0</v>
      </c>
      <c r="CH26" s="505" t="n">
        <v>13.5528058826607</v>
      </c>
      <c r="CI26" s="505" t="n">
        <v>2.984</v>
      </c>
    </row>
    <row r="27" customFormat="false" ht="12.75" hidden="false" customHeight="false" outlineLevel="0" collapsed="false">
      <c r="A27" s="512"/>
      <c r="B27" s="512"/>
      <c r="C27" s="512"/>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-T27/(1-AR27)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2.79668049792531</v>
      </c>
      <c r="BW27" s="369" t="n">
        <v>3.0935</v>
      </c>
      <c r="BX27" s="370" t="n">
        <v>0.549894268674422</v>
      </c>
      <c r="BY27" s="370" t="n">
        <v>0.553926734220249</v>
      </c>
      <c r="BZ27" s="370" t="n">
        <v>0.997503979134726</v>
      </c>
      <c r="CA27" s="370" t="n">
        <v>0.021065008234304</v>
      </c>
      <c r="CB27" s="370" t="n">
        <v>0.986098940667972</v>
      </c>
      <c r="CC27" s="505" t="n">
        <v>-0.485</v>
      </c>
      <c r="CD27" s="505" t="n">
        <v>0.155</v>
      </c>
      <c r="CE27" s="505" t="n">
        <v>0.0275</v>
      </c>
      <c r="CF27" s="505" t="n">
        <v>0.04</v>
      </c>
      <c r="CG27" s="505" t="n">
        <v>0</v>
      </c>
      <c r="CH27" s="505" t="n">
        <v>13.5237553118968</v>
      </c>
      <c r="CI27" s="505" t="n">
        <v>3.026</v>
      </c>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-T28/(1-AR28)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2.78838174273859</v>
      </c>
      <c r="BW28" s="369" t="n">
        <v>3.0855</v>
      </c>
      <c r="BX28" s="370" t="n">
        <v>0.548527673591454</v>
      </c>
      <c r="BY28" s="370" t="n">
        <v>0.552009176042195</v>
      </c>
      <c r="BZ28" s="370" t="n">
        <v>0.997835492935891</v>
      </c>
      <c r="CA28" s="370" t="n">
        <v>0.0217013867962765</v>
      </c>
      <c r="CB28" s="370" t="n">
        <v>0.983880178541275</v>
      </c>
      <c r="CC28" s="505" t="n">
        <v>-0.485</v>
      </c>
      <c r="CD28" s="505" t="n">
        <v>0.155</v>
      </c>
      <c r="CE28" s="505" t="n">
        <v>0.0275</v>
      </c>
      <c r="CF28" s="505" t="n">
        <v>0.04</v>
      </c>
      <c r="CG28" s="505" t="n">
        <v>0</v>
      </c>
      <c r="CH28" s="505" t="n">
        <v>13.0580577295998</v>
      </c>
      <c r="CI28" s="505" t="n">
        <v>3.018</v>
      </c>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-T29/(1-AR29)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2.80186721991701</v>
      </c>
      <c r="BW29" s="369" t="n">
        <v>3.0985</v>
      </c>
      <c r="BX29" s="370" t="n">
        <v>0.5511830669082</v>
      </c>
      <c r="BY29" s="370" t="n">
        <v>0.554635809260041</v>
      </c>
      <c r="BZ29" s="370" t="n">
        <v>0.99774049046154</v>
      </c>
      <c r="CA29" s="370" t="n">
        <v>0.022410164045374</v>
      </c>
      <c r="CB29" s="370" t="n">
        <v>0.981562668478235</v>
      </c>
      <c r="CC29" s="505" t="n">
        <v>-0.485</v>
      </c>
      <c r="CD29" s="505" t="n">
        <v>0.155</v>
      </c>
      <c r="CE29" s="505" t="n">
        <v>0.0275</v>
      </c>
      <c r="CF29" s="505" t="n">
        <v>0.04</v>
      </c>
      <c r="CG29" s="505" t="n">
        <v>0</v>
      </c>
      <c r="CH29" s="505" t="n">
        <v>13.4615430605779</v>
      </c>
      <c r="CI29" s="505" t="n">
        <v>3.031</v>
      </c>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-T30/(1-AR30)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3.04564315352697</v>
      </c>
      <c r="BW30" s="369" t="n">
        <v>3.346</v>
      </c>
      <c r="BX30" s="370" t="n">
        <v>0.564616148067653</v>
      </c>
      <c r="BY30" s="370" t="n">
        <v>0.557476031074478</v>
      </c>
      <c r="BZ30" s="370" t="n">
        <v>0.998688797329129</v>
      </c>
      <c r="CA30" s="370" t="n">
        <v>0.0232740649677528</v>
      </c>
      <c r="CB30" s="370" t="n">
        <v>0.97893835036076</v>
      </c>
      <c r="CC30" s="505" t="n">
        <v>-0.43</v>
      </c>
      <c r="CD30" s="505" t="n">
        <v>0.155</v>
      </c>
      <c r="CE30" s="505" t="n">
        <v>0.095</v>
      </c>
      <c r="CF30" s="505" t="n">
        <v>0.04</v>
      </c>
      <c r="CG30" s="505" t="n">
        <v>0</v>
      </c>
      <c r="CH30" s="505" t="n">
        <v>12.992469785988</v>
      </c>
      <c r="CI30" s="505" t="n">
        <v>3.211</v>
      </c>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-T31/(1-AR31)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3.21161825726141</v>
      </c>
      <c r="BW31" s="369" t="n">
        <v>3.536</v>
      </c>
      <c r="BX31" s="370" t="n">
        <v>0.583125988417037</v>
      </c>
      <c r="BY31" s="370" t="n">
        <v>0.578861068007188</v>
      </c>
      <c r="BZ31" s="370" t="n">
        <v>0.998836166352704</v>
      </c>
      <c r="CA31" s="370" t="n">
        <v>0.024110098358836</v>
      </c>
      <c r="CB31" s="370" t="n">
        <v>0.976270925999808</v>
      </c>
      <c r="CC31" s="505" t="n">
        <v>-0.43</v>
      </c>
      <c r="CD31" s="505" t="n">
        <v>0.155</v>
      </c>
      <c r="CE31" s="505" t="n">
        <v>0.125</v>
      </c>
      <c r="CF31" s="505" t="n">
        <v>0.04</v>
      </c>
      <c r="CG31" s="505" t="n">
        <v>0</v>
      </c>
      <c r="CH31" s="505" t="n">
        <v>13.3889699875318</v>
      </c>
      <c r="CI31" s="505" t="n">
        <v>3.371</v>
      </c>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-T32/(1-AR32)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3.28941908713693</v>
      </c>
      <c r="BW32" s="369" t="n">
        <v>3.631</v>
      </c>
      <c r="BX32" s="370" t="n">
        <v>0.580098732024006</v>
      </c>
      <c r="BY32" s="370" t="n">
        <v>0.576044779361258</v>
      </c>
      <c r="BZ32" s="370" t="n">
        <v>0.998865453579568</v>
      </c>
      <c r="CA32" s="370" t="n">
        <v>0.0250384261928196</v>
      </c>
      <c r="CB32" s="370" t="n">
        <v>0.97331647833328</v>
      </c>
      <c r="CC32" s="505" t="n">
        <v>-0.43</v>
      </c>
      <c r="CD32" s="505" t="n">
        <v>0.155</v>
      </c>
      <c r="CE32" s="505" t="n">
        <v>0.145</v>
      </c>
      <c r="CF32" s="505" t="n">
        <v>0.04</v>
      </c>
      <c r="CG32" s="505" t="n">
        <v>0</v>
      </c>
      <c r="CH32" s="505" t="n">
        <v>13.3484515104539</v>
      </c>
      <c r="CI32" s="505" t="n">
        <v>3.446</v>
      </c>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-T33/(1-AR33)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3.21161825726141</v>
      </c>
      <c r="BW33" s="369" t="n">
        <v>3.546</v>
      </c>
      <c r="BX33" s="370" t="n">
        <v>0.564483651866287</v>
      </c>
      <c r="BY33" s="370" t="n">
        <v>0.560981465325952</v>
      </c>
      <c r="BZ33" s="370" t="n">
        <v>0.998990701416762</v>
      </c>
      <c r="CA33" s="370" t="n">
        <v>0.0260449864197474</v>
      </c>
      <c r="CB33" s="370" t="n">
        <v>0.970132608451962</v>
      </c>
      <c r="CC33" s="505" t="n">
        <v>-0.43</v>
      </c>
      <c r="CD33" s="505" t="n">
        <v>0.155</v>
      </c>
      <c r="CE33" s="505" t="n">
        <v>0.135</v>
      </c>
      <c r="CF33" s="505" t="n">
        <v>0.04</v>
      </c>
      <c r="CG33" s="505" t="n">
        <v>0</v>
      </c>
      <c r="CH33" s="505" t="n">
        <v>12.0172266474161</v>
      </c>
      <c r="CI33" s="505" t="n">
        <v>3.371</v>
      </c>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-T34/(1-AR34)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3.11825726141079</v>
      </c>
      <c r="BW34" s="369" t="n">
        <v>3.451</v>
      </c>
      <c r="BX34" s="370" t="n">
        <v>0.508829176784843</v>
      </c>
      <c r="BY34" s="370" t="n">
        <v>0.50293567145062</v>
      </c>
      <c r="BZ34" s="370" t="n">
        <v>0.99879275908018</v>
      </c>
      <c r="CA34" s="370" t="n">
        <v>0.0269541378866576</v>
      </c>
      <c r="CB34" s="370" t="n">
        <v>0.967126070368611</v>
      </c>
      <c r="CC34" s="505" t="n">
        <v>-0.43</v>
      </c>
      <c r="CD34" s="505" t="n">
        <v>0.155</v>
      </c>
      <c r="CE34" s="505" t="n">
        <v>0.13</v>
      </c>
      <c r="CF34" s="505" t="n">
        <v>0.04</v>
      </c>
      <c r="CG34" s="505" t="n">
        <v>0</v>
      </c>
      <c r="CH34" s="505" t="n">
        <v>13.2635537794633</v>
      </c>
      <c r="CI34" s="505" t="n">
        <v>3.281</v>
      </c>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-T35/(1-AR35)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2.95228215767635</v>
      </c>
      <c r="BW35" s="369" t="n">
        <v>3.201</v>
      </c>
      <c r="BX35" s="370" t="n">
        <v>0.39066962859815</v>
      </c>
      <c r="BY35" s="370" t="n">
        <v>0.39066962859815</v>
      </c>
      <c r="BZ35" s="370" t="n">
        <v>0.998979160906234</v>
      </c>
      <c r="CA35" s="370" t="n">
        <v>0.0279745964320606</v>
      </c>
      <c r="CB35" s="370" t="n">
        <v>0.963636615990319</v>
      </c>
      <c r="CC35" s="505" t="n">
        <v>-0.435</v>
      </c>
      <c r="CD35" s="505" t="n">
        <v>0.155</v>
      </c>
      <c r="CE35" s="505" t="n">
        <v>0.035</v>
      </c>
      <c r="CF35" s="505" t="n">
        <v>0.04</v>
      </c>
      <c r="CG35" s="505" t="n">
        <v>0</v>
      </c>
      <c r="CH35" s="505" t="n">
        <v>12.7893851674235</v>
      </c>
      <c r="CI35" s="505" t="n">
        <v>3.126</v>
      </c>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-T36/(1-AR36)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2.95331950207469</v>
      </c>
      <c r="BW36" s="369" t="n">
        <v>3.202</v>
      </c>
      <c r="BX36" s="370" t="n">
        <v>0.376159329765107</v>
      </c>
      <c r="BY36" s="370" t="n">
        <v>0.37816065973456</v>
      </c>
      <c r="BZ36" s="370" t="n">
        <v>0.998575205819581</v>
      </c>
      <c r="CA36" s="370" t="n">
        <v>0.0289631800763801</v>
      </c>
      <c r="CB36" s="370" t="n">
        <v>0.960114752892753</v>
      </c>
      <c r="CC36" s="505" t="n">
        <v>-0.435</v>
      </c>
      <c r="CD36" s="505" t="n">
        <v>0.155</v>
      </c>
      <c r="CE36" s="505" t="n">
        <v>0.035</v>
      </c>
      <c r="CF36" s="505" t="n">
        <v>0.04</v>
      </c>
      <c r="CG36" s="505" t="n">
        <v>0</v>
      </c>
      <c r="CH36" s="505" t="n">
        <v>13.1673977670724</v>
      </c>
      <c r="CI36" s="505" t="n">
        <v>3.127</v>
      </c>
    </row>
    <row r="37" customFormat="false" ht="12.75" hidden="false" customHeight="false" outlineLevel="0" collapsed="false">
      <c r="A37" s="512"/>
      <c r="B37" s="512"/>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-T37/(1-AR37)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2.9896265560166</v>
      </c>
      <c r="BW37" s="369" t="n">
        <v>3.237</v>
      </c>
      <c r="BX37" s="370" t="n">
        <v>0.375845949287242</v>
      </c>
      <c r="BY37" s="370" t="n">
        <v>0.377677056513092</v>
      </c>
      <c r="BZ37" s="370" t="n">
        <v>0.998693929821775</v>
      </c>
      <c r="CA37" s="370" t="n">
        <v>0.0299847168551968</v>
      </c>
      <c r="CB37" s="370" t="n">
        <v>0.956328852591432</v>
      </c>
      <c r="CC37" s="505" t="n">
        <v>-0.435</v>
      </c>
      <c r="CD37" s="505" t="n">
        <v>0.155</v>
      </c>
      <c r="CE37" s="505" t="n">
        <v>0.035</v>
      </c>
      <c r="CF37" s="505" t="n">
        <v>0.04</v>
      </c>
      <c r="CG37" s="505" t="n">
        <v>0</v>
      </c>
      <c r="CH37" s="505" t="n">
        <v>12.6923965315935</v>
      </c>
      <c r="CI37" s="505" t="n">
        <v>3.162</v>
      </c>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-T38/(1-AR38)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3.03319502074689</v>
      </c>
      <c r="BW38" s="369" t="n">
        <v>3.279</v>
      </c>
      <c r="BX38" s="370" t="n">
        <v>0.377568797335415</v>
      </c>
      <c r="BY38" s="370" t="n">
        <v>0.379529532568229</v>
      </c>
      <c r="BZ38" s="370" t="n">
        <v>0.998517795538237</v>
      </c>
      <c r="CA38" s="370" t="n">
        <v>0.0309652793004798</v>
      </c>
      <c r="CB38" s="370" t="n">
        <v>0.95253693379797</v>
      </c>
      <c r="CC38" s="505" t="n">
        <v>-0.435</v>
      </c>
      <c r="CD38" s="505" t="n">
        <v>0.155</v>
      </c>
      <c r="CE38" s="505" t="n">
        <v>0.035</v>
      </c>
      <c r="CF38" s="505" t="n">
        <v>0.04</v>
      </c>
      <c r="CG38" s="505" t="n">
        <v>0</v>
      </c>
      <c r="CH38" s="505" t="n">
        <v>13.0634725248789</v>
      </c>
      <c r="CI38" s="505" t="n">
        <v>3.204</v>
      </c>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-T39/(1-AR39)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3.07676348547718</v>
      </c>
      <c r="BW39" s="369" t="n">
        <v>3.321</v>
      </c>
      <c r="BX39" s="370" t="n">
        <v>0.37917572731747</v>
      </c>
      <c r="BY39" s="370" t="n">
        <v>0.381195839723846</v>
      </c>
      <c r="BZ39" s="370" t="n">
        <v>0.998382504409493</v>
      </c>
      <c r="CA39" s="370" t="n">
        <v>0.0319670833322725</v>
      </c>
      <c r="CB39" s="370" t="n">
        <v>0.948494893378275</v>
      </c>
      <c r="CC39" s="505" t="n">
        <v>-0.435</v>
      </c>
      <c r="CD39" s="505" t="n">
        <v>0.155</v>
      </c>
      <c r="CE39" s="505" t="n">
        <v>0.035</v>
      </c>
      <c r="CF39" s="505" t="n">
        <v>0.04</v>
      </c>
      <c r="CG39" s="505" t="n">
        <v>0</v>
      </c>
      <c r="CH39" s="505" t="n">
        <v>13.008038365747</v>
      </c>
      <c r="CI39" s="505" t="n">
        <v>3.246</v>
      </c>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-T40/(1-AR40)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3.07157676348548</v>
      </c>
      <c r="BW40" s="369" t="n">
        <v>3.316</v>
      </c>
      <c r="BX40" s="370" t="n">
        <v>0.376255879342064</v>
      </c>
      <c r="BY40" s="370" t="n">
        <v>0.378132573801484</v>
      </c>
      <c r="BZ40" s="370" t="n">
        <v>0.998484581102603</v>
      </c>
      <c r="CA40" s="370" t="n">
        <v>0.032968887702129</v>
      </c>
      <c r="CB40" s="370" t="n">
        <v>0.944312700032904</v>
      </c>
      <c r="CC40" s="505" t="n">
        <v>-0.435</v>
      </c>
      <c r="CD40" s="505" t="n">
        <v>0.155</v>
      </c>
      <c r="CE40" s="505" t="n">
        <v>0.035</v>
      </c>
      <c r="CF40" s="505" t="n">
        <v>0.04</v>
      </c>
      <c r="CG40" s="505" t="n">
        <v>0</v>
      </c>
      <c r="CH40" s="505" t="n">
        <v>12.5329181548367</v>
      </c>
      <c r="CI40" s="505" t="n">
        <v>3.241</v>
      </c>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-T41/(1-AR41)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3.09854771784232</v>
      </c>
      <c r="BW41" s="369" t="n">
        <v>3.342</v>
      </c>
      <c r="BX41" s="370" t="n">
        <v>0.38041410598552</v>
      </c>
      <c r="BY41" s="370" t="n">
        <v>0.382396137086886</v>
      </c>
      <c r="BZ41" s="370" t="n">
        <v>0.998319651260424</v>
      </c>
      <c r="CA41" s="370" t="n">
        <v>0.0339067018220711</v>
      </c>
      <c r="CB41" s="370" t="n">
        <v>0.940187685777986</v>
      </c>
      <c r="CC41" s="505" t="n">
        <v>-0.435</v>
      </c>
      <c r="CD41" s="505" t="n">
        <v>0.155</v>
      </c>
      <c r="CE41" s="505" t="n">
        <v>0.035</v>
      </c>
      <c r="CF41" s="505" t="n">
        <v>0.04</v>
      </c>
      <c r="CG41" s="505" t="n">
        <v>0</v>
      </c>
      <c r="CH41" s="505" t="n">
        <v>12.8941099978336</v>
      </c>
      <c r="CI41" s="505" t="n">
        <v>3.267</v>
      </c>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-T42/(1-AR42)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3.28008298755187</v>
      </c>
      <c r="BW42" s="369" t="n">
        <v>3.562</v>
      </c>
      <c r="BX42" s="370" t="n">
        <v>0.390455574368654</v>
      </c>
      <c r="BY42" s="370" t="n">
        <v>0.385609740274895</v>
      </c>
      <c r="BZ42" s="370" t="n">
        <v>0.998711121044908</v>
      </c>
      <c r="CA42" s="370" t="n">
        <v>0.0348361539671314</v>
      </c>
      <c r="CB42" s="370" t="n">
        <v>0.93586587426758</v>
      </c>
      <c r="CC42" s="505" t="n">
        <v>-0.395</v>
      </c>
      <c r="CD42" s="505" t="n">
        <v>0.155</v>
      </c>
      <c r="CE42" s="505" t="n">
        <v>0.125</v>
      </c>
      <c r="CF42" s="505" t="n">
        <v>0.035</v>
      </c>
      <c r="CG42" s="505" t="n">
        <v>0</v>
      </c>
      <c r="CH42" s="505" t="n">
        <v>12.4208118832793</v>
      </c>
      <c r="CI42" s="505" t="n">
        <v>3.402</v>
      </c>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-T43/(1-AR43)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3.4201244813278</v>
      </c>
      <c r="BW43" s="369" t="n">
        <v>3.697</v>
      </c>
      <c r="BX43" s="370" t="n">
        <v>0.404310393383539</v>
      </c>
      <c r="BY43" s="370" t="n">
        <v>0.401276546653549</v>
      </c>
      <c r="BZ43" s="370" t="n">
        <v>0.998821869997912</v>
      </c>
      <c r="CA43" s="370" t="n">
        <v>0.0357356240616102</v>
      </c>
      <c r="CB43" s="370" t="n">
        <v>0.931565547567078</v>
      </c>
      <c r="CC43" s="505" t="n">
        <v>-0.395</v>
      </c>
      <c r="CD43" s="505" t="n">
        <v>0.155</v>
      </c>
      <c r="CE43" s="505" t="n">
        <v>0.125</v>
      </c>
      <c r="CF43" s="505" t="n">
        <v>0.035</v>
      </c>
      <c r="CG43" s="505" t="n">
        <v>0</v>
      </c>
      <c r="CH43" s="505" t="n">
        <v>12.7758625455539</v>
      </c>
      <c r="CI43" s="505" t="n">
        <v>3.537</v>
      </c>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-T44/(1-AR44)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3.48236514522822</v>
      </c>
      <c r="BW44" s="369" t="n">
        <v>3.757</v>
      </c>
      <c r="BX44" s="370" t="n">
        <v>0.401209615047156</v>
      </c>
      <c r="BY44" s="370" t="n">
        <v>0.398353191559868</v>
      </c>
      <c r="BZ44" s="370" t="n">
        <v>0.998902640556001</v>
      </c>
      <c r="CA44" s="370" t="n">
        <v>0.0366293995889575</v>
      </c>
      <c r="CB44" s="370" t="n">
        <v>0.927069774742957</v>
      </c>
      <c r="CC44" s="505" t="n">
        <v>-0.395</v>
      </c>
      <c r="CD44" s="505" t="n">
        <v>0.155</v>
      </c>
      <c r="CE44" s="505" t="n">
        <v>0.125</v>
      </c>
      <c r="CF44" s="505" t="n">
        <v>0.035</v>
      </c>
      <c r="CG44" s="505" t="n">
        <v>0</v>
      </c>
      <c r="CH44" s="505" t="n">
        <v>12.7142057187348</v>
      </c>
      <c r="CI44" s="505" t="n">
        <v>3.597</v>
      </c>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-T45/(1-AR45)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3.39419087136929</v>
      </c>
      <c r="BW45" s="369" t="n">
        <v>3.672</v>
      </c>
      <c r="BX45" s="370" t="n">
        <v>0.398202245542874</v>
      </c>
      <c r="BY45" s="370" t="n">
        <v>0.395612515929317</v>
      </c>
      <c r="BZ45" s="370" t="n">
        <v>0.998995871678255</v>
      </c>
      <c r="CA45" s="370" t="n">
        <v>0.0374851197051385</v>
      </c>
      <c r="CB45" s="370" t="n">
        <v>0.922533811762705</v>
      </c>
      <c r="CC45" s="505" t="n">
        <v>-0.395</v>
      </c>
      <c r="CD45" s="505" t="n">
        <v>0.155</v>
      </c>
      <c r="CE45" s="505" t="n">
        <v>0.125</v>
      </c>
      <c r="CF45" s="505" t="n">
        <v>0.035</v>
      </c>
      <c r="CG45" s="505" t="n">
        <v>0</v>
      </c>
      <c r="CH45" s="505" t="n">
        <v>11.8357397913908</v>
      </c>
      <c r="CI45" s="505" t="n">
        <v>3.512</v>
      </c>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-T46/(1-AR46)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3.25933609958506</v>
      </c>
      <c r="BW46" s="369" t="n">
        <v>3.542</v>
      </c>
      <c r="BX46" s="370" t="n">
        <v>0.370475252302102</v>
      </c>
      <c r="BY46" s="370" t="n">
        <v>0.366388286442151</v>
      </c>
      <c r="BZ46" s="370" t="n">
        <v>0.998837807870812</v>
      </c>
      <c r="CA46" s="370" t="n">
        <v>0.0382856322945879</v>
      </c>
      <c r="CB46" s="370" t="n">
        <v>0.918192690834127</v>
      </c>
      <c r="CC46" s="505" t="n">
        <v>-0.395</v>
      </c>
      <c r="CD46" s="505" t="n">
        <v>0.155</v>
      </c>
      <c r="CE46" s="505" t="n">
        <v>0.125</v>
      </c>
      <c r="CF46" s="505" t="n">
        <v>0.035</v>
      </c>
      <c r="CG46" s="505" t="n">
        <v>0</v>
      </c>
      <c r="CH46" s="505" t="n">
        <v>12.5924618391756</v>
      </c>
      <c r="CI46" s="505" t="n">
        <v>3.382</v>
      </c>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-T47/(1-AR47)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3.03112033195021</v>
      </c>
      <c r="BW47" s="369" t="n">
        <v>3.277</v>
      </c>
      <c r="BX47" s="370" t="n">
        <v>0.332481620699618</v>
      </c>
      <c r="BY47" s="370" t="n">
        <v>0.332481620699618</v>
      </c>
      <c r="BZ47" s="370" t="n">
        <v>0.999292142543901</v>
      </c>
      <c r="CA47" s="370" t="n">
        <v>0.0390847146165725</v>
      </c>
      <c r="CB47" s="370" t="n">
        <v>0.913567985593808</v>
      </c>
      <c r="CC47" s="505" t="n">
        <v>-0.43</v>
      </c>
      <c r="CD47" s="505" t="n">
        <v>0.155</v>
      </c>
      <c r="CE47" s="505" t="n">
        <v>0.04</v>
      </c>
      <c r="CF47" s="505" t="n">
        <v>0.04</v>
      </c>
      <c r="CG47" s="505" t="n">
        <v>0</v>
      </c>
      <c r="CH47" s="505" t="n">
        <v>12.124874304801</v>
      </c>
      <c r="CI47" s="505" t="n">
        <v>3.197</v>
      </c>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-T48/(1-AR48)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3.02593360995851</v>
      </c>
      <c r="BW48" s="369" t="n">
        <v>3.272</v>
      </c>
      <c r="BX48" s="370" t="n">
        <v>0.327601342960546</v>
      </c>
      <c r="BY48" s="370" t="n">
        <v>0.328869322210224</v>
      </c>
      <c r="BZ48" s="370" t="n">
        <v>0.99899900650767</v>
      </c>
      <c r="CA48" s="370" t="n">
        <v>0.0397995549683068</v>
      </c>
      <c r="CB48" s="370" t="n">
        <v>0.909126089677525</v>
      </c>
      <c r="CC48" s="505" t="n">
        <v>-0.43</v>
      </c>
      <c r="CD48" s="505" t="n">
        <v>0.155</v>
      </c>
      <c r="CE48" s="505" t="n">
        <v>0.04</v>
      </c>
      <c r="CF48" s="505" t="n">
        <v>0.04</v>
      </c>
      <c r="CG48" s="505" t="n">
        <v>0</v>
      </c>
      <c r="CH48" s="505" t="n">
        <v>12.4681188442734</v>
      </c>
      <c r="CI48" s="505" t="n">
        <v>3.192</v>
      </c>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-T49/(1-AR49)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3.06224066390041</v>
      </c>
      <c r="BW49" s="369" t="n">
        <v>3.307</v>
      </c>
      <c r="BX49" s="370" t="n">
        <v>0.322553846057612</v>
      </c>
      <c r="BY49" s="370" t="n">
        <v>0.323758663407093</v>
      </c>
      <c r="BZ49" s="370" t="n">
        <v>0.99903366909542</v>
      </c>
      <c r="CA49" s="370" t="n">
        <v>0.0405382235118998</v>
      </c>
      <c r="CB49" s="370" t="n">
        <v>0.904449976505324</v>
      </c>
      <c r="CC49" s="505" t="n">
        <v>-0.43</v>
      </c>
      <c r="CD49" s="505" t="n">
        <v>0.155</v>
      </c>
      <c r="CE49" s="505" t="n">
        <v>0.04</v>
      </c>
      <c r="CF49" s="505" t="n">
        <v>0.04</v>
      </c>
      <c r="CG49" s="505" t="n">
        <v>0</v>
      </c>
      <c r="CH49" s="505" t="n">
        <v>12.0038600881787</v>
      </c>
      <c r="CI49" s="505" t="n">
        <v>3.227</v>
      </c>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-T50/(1-AR50)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3.10373443983402</v>
      </c>
      <c r="BW50" s="369" t="n">
        <v>3.347</v>
      </c>
      <c r="BX50" s="370" t="n">
        <v>0.323758663407093</v>
      </c>
      <c r="BY50" s="370" t="n">
        <v>0.325085108654415</v>
      </c>
      <c r="BZ50" s="370" t="n">
        <v>0.998871321657188</v>
      </c>
      <c r="CA50" s="370" t="n">
        <v>0.0412152492802473</v>
      </c>
      <c r="CB50" s="370" t="n">
        <v>0.899929041596613</v>
      </c>
      <c r="CC50" s="505" t="n">
        <v>-0.43</v>
      </c>
      <c r="CD50" s="505" t="n">
        <v>0.155</v>
      </c>
      <c r="CE50" s="505" t="n">
        <v>0.04</v>
      </c>
      <c r="CF50" s="505" t="n">
        <v>0.04</v>
      </c>
      <c r="CG50" s="505" t="n">
        <v>0</v>
      </c>
      <c r="CH50" s="505" t="n">
        <v>12.3419868480726</v>
      </c>
      <c r="CI50" s="505" t="n">
        <v>3.267</v>
      </c>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-T51/(1-AR51)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3.14522821576763</v>
      </c>
      <c r="BW51" s="369" t="n">
        <v>3.387</v>
      </c>
      <c r="BX51" s="370" t="n">
        <v>0.324924899747912</v>
      </c>
      <c r="BY51" s="370" t="n">
        <v>0.326326353347211</v>
      </c>
      <c r="BZ51" s="370" t="n">
        <v>0.998735307374895</v>
      </c>
      <c r="CA51" s="370" t="n">
        <v>0.0418733656308259</v>
      </c>
      <c r="CB51" s="370" t="n">
        <v>0.895276283112479</v>
      </c>
      <c r="CC51" s="505" t="n">
        <v>-0.43</v>
      </c>
      <c r="CD51" s="505" t="n">
        <v>0.155</v>
      </c>
      <c r="CE51" s="505" t="n">
        <v>0.04</v>
      </c>
      <c r="CF51" s="505" t="n">
        <v>0.04</v>
      </c>
      <c r="CG51" s="505" t="n">
        <v>0</v>
      </c>
      <c r="CH51" s="505" t="n">
        <v>12.2781770571178</v>
      </c>
      <c r="CI51" s="505" t="n">
        <v>3.307</v>
      </c>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-T52/(1-AR52)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3.14004149377593</v>
      </c>
      <c r="BW52" s="369" t="n">
        <v>3.382</v>
      </c>
      <c r="BX52" s="370" t="n">
        <v>0.324623837003911</v>
      </c>
      <c r="BY52" s="370" t="n">
        <v>0.325940393354155</v>
      </c>
      <c r="BZ52" s="370" t="n">
        <v>0.998810146908336</v>
      </c>
      <c r="CA52" s="370" t="n">
        <v>0.0425314821265914</v>
      </c>
      <c r="CB52" s="370" t="n">
        <v>0.890550622336601</v>
      </c>
      <c r="CC52" s="505" t="n">
        <v>-0.43</v>
      </c>
      <c r="CD52" s="505" t="n">
        <v>0.155</v>
      </c>
      <c r="CE52" s="505" t="n">
        <v>0.04</v>
      </c>
      <c r="CF52" s="505" t="n">
        <v>0.04</v>
      </c>
      <c r="CG52" s="505" t="n">
        <v>0</v>
      </c>
      <c r="CH52" s="505" t="n">
        <v>11.8193878596514</v>
      </c>
      <c r="CI52" s="505" t="n">
        <v>3.302</v>
      </c>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-T53/(1-AR53)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3.16597510373444</v>
      </c>
      <c r="BW53" s="369" t="n">
        <v>3.407</v>
      </c>
      <c r="BX53" s="370" t="n">
        <v>0.325957791635222</v>
      </c>
      <c r="BY53" s="370" t="n">
        <v>0.327386952805804</v>
      </c>
      <c r="BZ53" s="370" t="n">
        <v>0.998633392694006</v>
      </c>
      <c r="CA53" s="370" t="n">
        <v>0.0431331290786572</v>
      </c>
      <c r="CB53" s="370" t="n">
        <v>0.885996047822783</v>
      </c>
      <c r="CC53" s="505" t="n">
        <v>-0.43</v>
      </c>
      <c r="CD53" s="505" t="n">
        <v>0.155</v>
      </c>
      <c r="CE53" s="505" t="n">
        <v>0.04</v>
      </c>
      <c r="CF53" s="505" t="n">
        <v>0.04</v>
      </c>
      <c r="CG53" s="505" t="n">
        <v>0</v>
      </c>
      <c r="CH53" s="505" t="n">
        <v>12.1509041982608</v>
      </c>
      <c r="CI53" s="505" t="n">
        <v>3.327</v>
      </c>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-T54/(1-AR54)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3.37033195020747</v>
      </c>
      <c r="BW54" s="369" t="n">
        <v>3.639</v>
      </c>
      <c r="BX54" s="370" t="n">
        <v>0.335168915991909</v>
      </c>
      <c r="BY54" s="370" t="n">
        <v>0.331587939765235</v>
      </c>
      <c r="BZ54" s="370" t="n">
        <v>0.998879886139093</v>
      </c>
      <c r="CA54" s="370" t="n">
        <v>0.0437209690349563</v>
      </c>
      <c r="CB54" s="370" t="n">
        <v>0.881310319234489</v>
      </c>
      <c r="CC54" s="505" t="n">
        <v>-0.385</v>
      </c>
      <c r="CD54" s="505" t="n">
        <v>0.155</v>
      </c>
      <c r="CE54" s="505" t="n">
        <v>0.125</v>
      </c>
      <c r="CF54" s="505" t="n">
        <v>0.035</v>
      </c>
      <c r="CG54" s="505" t="n">
        <v>0</v>
      </c>
      <c r="CH54" s="505" t="n">
        <v>11.6967505568801</v>
      </c>
      <c r="CI54" s="505" t="n">
        <v>3.479</v>
      </c>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-T55/(1-AR55)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3.51867219917012</v>
      </c>
      <c r="BW55" s="369" t="n">
        <v>3.782</v>
      </c>
      <c r="BX55" s="370" t="n">
        <v>0.345855163710052</v>
      </c>
      <c r="BY55" s="370" t="n">
        <v>0.343552619502259</v>
      </c>
      <c r="BZ55" s="370" t="n">
        <v>0.998972534584994</v>
      </c>
      <c r="CA55" s="370" t="n">
        <v>0.044289846522211</v>
      </c>
      <c r="CB55" s="370" t="n">
        <v>0.876718225648428</v>
      </c>
      <c r="CC55" s="505" t="n">
        <v>-0.385</v>
      </c>
      <c r="CD55" s="505" t="n">
        <v>0.155</v>
      </c>
      <c r="CE55" s="505" t="n">
        <v>0.125</v>
      </c>
      <c r="CF55" s="505" t="n">
        <v>0.035</v>
      </c>
      <c r="CG55" s="505" t="n">
        <v>0</v>
      </c>
      <c r="CH55" s="505" t="n">
        <v>12.0236644338328</v>
      </c>
      <c r="CI55" s="505" t="n">
        <v>3.622</v>
      </c>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-T56/(1-AR56)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3.58091286307054</v>
      </c>
      <c r="BW56" s="369" t="n">
        <v>3.842</v>
      </c>
      <c r="BX56" s="370" t="n">
        <v>0.34517139726909</v>
      </c>
      <c r="BY56" s="370" t="n">
        <v>0.34292778947105</v>
      </c>
      <c r="BZ56" s="370" t="n">
        <v>0.998996413228502</v>
      </c>
      <c r="CA56" s="370" t="n">
        <v>0.0448548874957364</v>
      </c>
      <c r="CB56" s="370" t="n">
        <v>0.871974921810256</v>
      </c>
      <c r="CC56" s="505" t="n">
        <v>-0.385</v>
      </c>
      <c r="CD56" s="505" t="n">
        <v>0.155</v>
      </c>
      <c r="CE56" s="505" t="n">
        <v>0.125</v>
      </c>
      <c r="CF56" s="505" t="n">
        <v>0.035</v>
      </c>
      <c r="CG56" s="505" t="n">
        <v>0</v>
      </c>
      <c r="CH56" s="505" t="n">
        <v>11.9586128676746</v>
      </c>
      <c r="CI56" s="505" t="n">
        <v>3.682</v>
      </c>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-T57/(1-AR57)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3.49273858921162</v>
      </c>
      <c r="BW57" s="369" t="n">
        <v>3.757</v>
      </c>
      <c r="BX57" s="370" t="n">
        <v>0.339946395117029</v>
      </c>
      <c r="BY57" s="370" t="n">
        <v>0.337941742673049</v>
      </c>
      <c r="BZ57" s="370" t="n">
        <v>0.999088000537339</v>
      </c>
      <c r="CA57" s="370" t="n">
        <v>0.0454011527523237</v>
      </c>
      <c r="CB57" s="370" t="n">
        <v>0.867226855595254</v>
      </c>
      <c r="CC57" s="505" t="n">
        <v>-0.385</v>
      </c>
      <c r="CD57" s="505" t="n">
        <v>0.155</v>
      </c>
      <c r="CE57" s="505" t="n">
        <v>0.125</v>
      </c>
      <c r="CF57" s="505" t="n">
        <v>0.035</v>
      </c>
      <c r="CG57" s="505" t="n">
        <v>0</v>
      </c>
      <c r="CH57" s="505" t="n">
        <v>10.7425125056295</v>
      </c>
      <c r="CI57" s="505" t="n">
        <v>3.597</v>
      </c>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-T58/(1-AR58)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3.35788381742739</v>
      </c>
      <c r="BW58" s="369" t="n">
        <v>3.627</v>
      </c>
      <c r="BX58" s="370" t="n">
        <v>0.320539657555238</v>
      </c>
      <c r="BY58" s="370" t="n">
        <v>0.317268038421172</v>
      </c>
      <c r="BZ58" s="370" t="n">
        <v>0.998920904055287</v>
      </c>
      <c r="CA58" s="370" t="n">
        <v>0.0458945537150708</v>
      </c>
      <c r="CB58" s="370" t="n">
        <v>0.862893591140207</v>
      </c>
      <c r="CC58" s="505" t="n">
        <v>-0.385</v>
      </c>
      <c r="CD58" s="505" t="n">
        <v>0.155</v>
      </c>
      <c r="CE58" s="505" t="n">
        <v>0.125</v>
      </c>
      <c r="CF58" s="505" t="n">
        <v>0.035</v>
      </c>
      <c r="CG58" s="505" t="n">
        <v>0</v>
      </c>
      <c r="CH58" s="505" t="n">
        <v>11.8340678663332</v>
      </c>
      <c r="CI58" s="505" t="n">
        <v>3.467</v>
      </c>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-T59/(1-AR59)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3.12966804979253</v>
      </c>
      <c r="BW59" s="369" t="n">
        <v>3.362</v>
      </c>
      <c r="BX59" s="370" t="n">
        <v>0.299848232051068</v>
      </c>
      <c r="BY59" s="370" t="n">
        <v>0.299848232051068</v>
      </c>
      <c r="BZ59" s="370" t="n">
        <v>0.999390277422632</v>
      </c>
      <c r="CA59" s="370" t="n">
        <v>0.0464010564150716</v>
      </c>
      <c r="CB59" s="370" t="n">
        <v>0.85815886093194</v>
      </c>
      <c r="CC59" s="505" t="n">
        <v>-0.42</v>
      </c>
      <c r="CD59" s="505" t="n">
        <v>0.155</v>
      </c>
      <c r="CE59" s="505" t="n">
        <v>0.04</v>
      </c>
      <c r="CF59" s="505" t="n">
        <v>0.04</v>
      </c>
      <c r="CG59" s="505" t="n">
        <v>0</v>
      </c>
      <c r="CH59" s="505" t="n">
        <v>11.3894844022887</v>
      </c>
      <c r="CI59" s="505" t="n">
        <v>3.282</v>
      </c>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-T60/(1-AR60)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3.12448132780083</v>
      </c>
      <c r="BW60" s="369" t="n">
        <v>3.357</v>
      </c>
      <c r="BX60" s="370" t="n">
        <v>0.292521362466059</v>
      </c>
      <c r="BY60" s="370" t="n">
        <v>0.293526801490558</v>
      </c>
      <c r="BZ60" s="370" t="n">
        <v>0.999110147151102</v>
      </c>
      <c r="CA60" s="370" t="n">
        <v>0.0468566770502532</v>
      </c>
      <c r="CB60" s="370" t="n">
        <v>0.853632083295416</v>
      </c>
      <c r="CC60" s="505" t="n">
        <v>-0.42</v>
      </c>
      <c r="CD60" s="505" t="n">
        <v>0.155</v>
      </c>
      <c r="CE60" s="505" t="n">
        <v>0.04</v>
      </c>
      <c r="CF60" s="505" t="n">
        <v>0.04</v>
      </c>
      <c r="CG60" s="505" t="n">
        <v>0</v>
      </c>
      <c r="CH60" s="505" t="n">
        <v>11.7070518431467</v>
      </c>
      <c r="CI60" s="505" t="n">
        <v>3.277</v>
      </c>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-T61/(1-AR61)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3.16078838174274</v>
      </c>
      <c r="BW61" s="369" t="n">
        <v>3.392</v>
      </c>
      <c r="BX61" s="370" t="n">
        <v>0.292382455013977</v>
      </c>
      <c r="BY61" s="370" t="n">
        <v>0.293332815458823</v>
      </c>
      <c r="BZ61" s="370" t="n">
        <v>0.999158114066434</v>
      </c>
      <c r="CA61" s="370" t="n">
        <v>0.0473274851128664</v>
      </c>
      <c r="CB61" s="370" t="n">
        <v>0.848914575635623</v>
      </c>
      <c r="CC61" s="505" t="n">
        <v>-0.42</v>
      </c>
      <c r="CD61" s="505" t="n">
        <v>0.155</v>
      </c>
      <c r="CE61" s="505" t="n">
        <v>0.04</v>
      </c>
      <c r="CF61" s="505" t="n">
        <v>0.04</v>
      </c>
      <c r="CG61" s="505" t="n">
        <v>0</v>
      </c>
      <c r="CH61" s="505" t="n">
        <v>11.266794247836</v>
      </c>
      <c r="CI61" s="505" t="n">
        <v>3.312</v>
      </c>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-T62/(1-AR62)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3.20228215767635</v>
      </c>
      <c r="BW62" s="369" t="n">
        <v>3.432</v>
      </c>
      <c r="BX62" s="370" t="n">
        <v>0.288480838532972</v>
      </c>
      <c r="BY62" s="370" t="n">
        <v>0.28955507318026</v>
      </c>
      <c r="BZ62" s="370" t="n">
        <v>0.998973267308891</v>
      </c>
      <c r="CA62" s="370" t="n">
        <v>0.047760481058801</v>
      </c>
      <c r="CB62" s="370" t="n">
        <v>0.844378469838596</v>
      </c>
      <c r="CC62" s="505" t="n">
        <v>-0.42</v>
      </c>
      <c r="CD62" s="505" t="n">
        <v>0.155</v>
      </c>
      <c r="CE62" s="505" t="n">
        <v>0.04</v>
      </c>
      <c r="CF62" s="505" t="n">
        <v>0.04</v>
      </c>
      <c r="CG62" s="505" t="n">
        <v>0</v>
      </c>
      <c r="CH62" s="505" t="n">
        <v>11.5801440867544</v>
      </c>
      <c r="CI62" s="505" t="n">
        <v>3.352</v>
      </c>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-T63/(1-AR63)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3.24377593360996</v>
      </c>
      <c r="BW63" s="369" t="n">
        <v>3.472</v>
      </c>
      <c r="BX63" s="370" t="n">
        <v>0.289450621554524</v>
      </c>
      <c r="BY63" s="370" t="n">
        <v>0.2905959919937</v>
      </c>
      <c r="BZ63" s="370" t="n">
        <v>0.998838819894004</v>
      </c>
      <c r="CA63" s="370" t="n">
        <v>0.0481861434694211</v>
      </c>
      <c r="CB63" s="370" t="n">
        <v>0.839721100096823</v>
      </c>
      <c r="CC63" s="505" t="n">
        <v>-0.42</v>
      </c>
      <c r="CD63" s="505" t="n">
        <v>0.155</v>
      </c>
      <c r="CE63" s="505" t="n">
        <v>0.04</v>
      </c>
      <c r="CF63" s="505" t="n">
        <v>0.04</v>
      </c>
      <c r="CG63" s="505" t="n">
        <v>0</v>
      </c>
      <c r="CH63" s="505" t="n">
        <v>11.5162710551679</v>
      </c>
      <c r="CI63" s="505" t="n">
        <v>3.392</v>
      </c>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-T64/(1-AR64)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3.23858921161826</v>
      </c>
      <c r="BW64" s="369" t="n">
        <v>3.467</v>
      </c>
      <c r="BX64" s="370" t="n">
        <v>0.289213048318682</v>
      </c>
      <c r="BY64" s="370" t="n">
        <v>0.290297832635128</v>
      </c>
      <c r="BZ64" s="370" t="n">
        <v>0.998898841480514</v>
      </c>
      <c r="CA64" s="370" t="n">
        <v>0.0486118059405909</v>
      </c>
      <c r="CB64" s="370" t="n">
        <v>0.835030766033085</v>
      </c>
      <c r="CC64" s="505" t="n">
        <v>-0.42</v>
      </c>
      <c r="CD64" s="505" t="n">
        <v>0.155</v>
      </c>
      <c r="CE64" s="505" t="n">
        <v>0.04</v>
      </c>
      <c r="CF64" s="505" t="n">
        <v>0.04</v>
      </c>
      <c r="CG64" s="505" t="n">
        <v>0</v>
      </c>
      <c r="CH64" s="505" t="n">
        <v>11.0825283267911</v>
      </c>
      <c r="CI64" s="505" t="n">
        <v>3.387</v>
      </c>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-T65/(1-AR65)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3.26452282157676</v>
      </c>
      <c r="BW65" s="369" t="n">
        <v>3.492</v>
      </c>
      <c r="BX65" s="370" t="n">
        <v>0.290354844679535</v>
      </c>
      <c r="BY65" s="370" t="n">
        <v>0.291541878066714</v>
      </c>
      <c r="BZ65" s="370" t="n">
        <v>0.99953962456616</v>
      </c>
      <c r="CA65" s="370" t="n">
        <v>0.0490091513549218</v>
      </c>
      <c r="CB65" s="370" t="n">
        <v>0.830506508545646</v>
      </c>
      <c r="CC65" s="505" t="n">
        <v>-0.42</v>
      </c>
      <c r="CD65" s="505" t="n">
        <v>0.155</v>
      </c>
      <c r="CE65" s="505" t="n">
        <v>0.04</v>
      </c>
      <c r="CF65" s="505" t="n">
        <v>0.04</v>
      </c>
      <c r="CG65" s="505" t="n">
        <v>0</v>
      </c>
      <c r="CH65" s="505" t="n">
        <v>11.3898984607984</v>
      </c>
      <c r="CI65" s="505" t="n">
        <v>3.412</v>
      </c>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-T66/(1-AR66)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3.45850622406639</v>
      </c>
      <c r="BW66" s="369" t="n">
        <v>3.724</v>
      </c>
      <c r="BX66" s="370" t="n">
        <v>0.298083023977433</v>
      </c>
      <c r="BY66" s="370" t="n">
        <v>0.295083048619696</v>
      </c>
      <c r="BZ66" s="370" t="n">
        <v>0.998942036816536</v>
      </c>
      <c r="CA66" s="370" t="n">
        <v>0.0493920179871608</v>
      </c>
      <c r="CB66" s="370" t="n">
        <v>0.825889768863549</v>
      </c>
      <c r="CC66" s="505" t="n">
        <v>-0.385</v>
      </c>
      <c r="CD66" s="505" t="n">
        <v>0.155</v>
      </c>
      <c r="CE66" s="505" t="n">
        <v>0.125</v>
      </c>
      <c r="CF66" s="505" t="n">
        <v>0.035</v>
      </c>
      <c r="CG66" s="505" t="n">
        <v>0</v>
      </c>
      <c r="CH66" s="505" t="n">
        <v>10.961209012357</v>
      </c>
      <c r="CI66" s="505" t="n">
        <v>3.564</v>
      </c>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-T67/(1-AR67)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3.60684647302905</v>
      </c>
      <c r="BW67" s="369" t="n">
        <v>3.867</v>
      </c>
      <c r="BX67" s="370" t="n">
        <v>0.307199290637349</v>
      </c>
      <c r="BY67" s="370" t="n">
        <v>0.305253847104092</v>
      </c>
      <c r="BZ67" s="370" t="n">
        <v>0.999021768014501</v>
      </c>
      <c r="CA67" s="370" t="n">
        <v>0.0497625341294907</v>
      </c>
      <c r="CB67" s="370" t="n">
        <v>0.821397003079716</v>
      </c>
      <c r="CC67" s="505" t="n">
        <v>-0.385</v>
      </c>
      <c r="CD67" s="505" t="n">
        <v>0.155</v>
      </c>
      <c r="CE67" s="505" t="n">
        <v>0.125</v>
      </c>
      <c r="CF67" s="505" t="n">
        <v>0.035</v>
      </c>
      <c r="CG67" s="505" t="n">
        <v>0</v>
      </c>
      <c r="CH67" s="505" t="n">
        <v>11.2649670590365</v>
      </c>
      <c r="CI67" s="505" t="n">
        <v>3.707</v>
      </c>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-T68/(1-AR68)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3.66390041493776</v>
      </c>
      <c r="BW68" s="369" t="n">
        <v>3.922</v>
      </c>
      <c r="BX68" s="370" t="n">
        <v>0.306755133524761</v>
      </c>
      <c r="BY68" s="370" t="n">
        <v>0.304847394210791</v>
      </c>
      <c r="BZ68" s="370" t="n">
        <v>0.9990390360811</v>
      </c>
      <c r="CA68" s="370" t="n">
        <v>0.0501238670100874</v>
      </c>
      <c r="CB68" s="370" t="n">
        <v>0.816799555121222</v>
      </c>
      <c r="CC68" s="505" t="n">
        <v>-0.385</v>
      </c>
      <c r="CD68" s="505" t="n">
        <v>0.155</v>
      </c>
      <c r="CE68" s="505" t="n">
        <v>0.125</v>
      </c>
      <c r="CF68" s="505" t="n">
        <v>0.035</v>
      </c>
      <c r="CG68" s="505" t="n">
        <v>0</v>
      </c>
      <c r="CH68" s="505" t="n">
        <v>11.2019158187545</v>
      </c>
      <c r="CI68" s="505" t="n">
        <v>3.762</v>
      </c>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-T69/(1-AR69)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3.57572614107884</v>
      </c>
      <c r="BW69" s="369" t="n">
        <v>3.837</v>
      </c>
      <c r="BX69" s="370" t="n">
        <v>0.299714431013057</v>
      </c>
      <c r="BY69" s="370" t="n">
        <v>0.297985361369567</v>
      </c>
      <c r="BZ69" s="370" t="n">
        <v>0.999107467805769</v>
      </c>
      <c r="CA69" s="370" t="n">
        <v>0.0504460474790935</v>
      </c>
      <c r="CB69" s="370" t="n">
        <v>0.812308871993658</v>
      </c>
      <c r="CC69" s="505" t="n">
        <v>-0.385</v>
      </c>
      <c r="CD69" s="505" t="n">
        <v>0.155</v>
      </c>
      <c r="CE69" s="505" t="n">
        <v>0.125</v>
      </c>
      <c r="CF69" s="505" t="n">
        <v>0.035</v>
      </c>
      <c r="CG69" s="505" t="n">
        <v>0</v>
      </c>
      <c r="CH69" s="505" t="n">
        <v>10.0622324591598</v>
      </c>
      <c r="CI69" s="505" t="n">
        <v>3.677</v>
      </c>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-T70/(1-AR70)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3.44087136929461</v>
      </c>
      <c r="BW70" s="369" t="n">
        <v>3.707</v>
      </c>
      <c r="BX70" s="370" t="n">
        <v>0.281746986958945</v>
      </c>
      <c r="BY70" s="370" t="n">
        <v>0.278899568705084</v>
      </c>
      <c r="BZ70" s="370" t="n">
        <v>0.998931048264015</v>
      </c>
      <c r="CA70" s="370" t="n">
        <v>0.0507370492228172</v>
      </c>
      <c r="CB70" s="370" t="n">
        <v>0.808237080144648</v>
      </c>
      <c r="CC70" s="505" t="n">
        <v>-0.385</v>
      </c>
      <c r="CD70" s="505" t="n">
        <v>0.155</v>
      </c>
      <c r="CE70" s="505" t="n">
        <v>0.125</v>
      </c>
      <c r="CF70" s="505" t="n">
        <v>0.035</v>
      </c>
      <c r="CG70" s="505" t="n">
        <v>0</v>
      </c>
      <c r="CH70" s="505" t="n">
        <v>11.0844866119358</v>
      </c>
      <c r="CI70" s="505" t="n">
        <v>3.547</v>
      </c>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-T71/(1-AR71)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3.21265560165975</v>
      </c>
      <c r="BW71" s="369" t="n">
        <v>3.442</v>
      </c>
      <c r="BX71" s="370" t="n">
        <v>0.25263760127059</v>
      </c>
      <c r="BY71" s="370" t="n">
        <v>0.25263760127059</v>
      </c>
      <c r="BZ71" s="370" t="n">
        <v>0.999339020771513</v>
      </c>
      <c r="CA71" s="370" t="n">
        <v>0.0510592297577648</v>
      </c>
      <c r="CB71" s="370" t="n">
        <v>0.803712195296429</v>
      </c>
      <c r="CC71" s="505" t="n">
        <v>-0.42</v>
      </c>
      <c r="CD71" s="505" t="n">
        <v>0.155</v>
      </c>
      <c r="CE71" s="505" t="n">
        <v>0.04</v>
      </c>
      <c r="CF71" s="505" t="n">
        <v>0.04</v>
      </c>
      <c r="CG71" s="505" t="n">
        <v>0</v>
      </c>
      <c r="CH71" s="505" t="n">
        <v>10.6668682559742</v>
      </c>
      <c r="CI71" s="505" t="n">
        <v>3.362</v>
      </c>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-T72/(1-AR72)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3.20746887966805</v>
      </c>
      <c r="BW72" s="369" t="n">
        <v>3.437</v>
      </c>
      <c r="BX72" s="370" t="n">
        <v>0.24777576676848</v>
      </c>
      <c r="BY72" s="370" t="n">
        <v>0.248694298556294</v>
      </c>
      <c r="BZ72" s="370" t="n">
        <v>0.999040882529829</v>
      </c>
      <c r="CA72" s="370" t="n">
        <v>0.051371017405212</v>
      </c>
      <c r="CB72" s="370" t="n">
        <v>0.799316971929618</v>
      </c>
      <c r="CC72" s="505" t="n">
        <v>-0.42</v>
      </c>
      <c r="CD72" s="505" t="n">
        <v>0.155</v>
      </c>
      <c r="CE72" s="505" t="n">
        <v>0.04</v>
      </c>
      <c r="CF72" s="505" t="n">
        <v>0.04</v>
      </c>
      <c r="CG72" s="505" t="n">
        <v>0</v>
      </c>
      <c r="CH72" s="505" t="n">
        <v>10.9621526798316</v>
      </c>
      <c r="CI72" s="505" t="n">
        <v>3.357</v>
      </c>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-T73/(1-AR73)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3.24377593360996</v>
      </c>
      <c r="BW73" s="369" t="n">
        <v>3.472</v>
      </c>
      <c r="BX73" s="370" t="n">
        <v>0.250088358245823</v>
      </c>
      <c r="BY73" s="370" t="n">
        <v>0.250952819528252</v>
      </c>
      <c r="BZ73" s="370" t="n">
        <v>0.999105147085213</v>
      </c>
      <c r="CA73" s="370" t="n">
        <v>0.0516931980083157</v>
      </c>
      <c r="CB73" s="370" t="n">
        <v>0.794758967227619</v>
      </c>
      <c r="CC73" s="505" t="n">
        <v>-0.42</v>
      </c>
      <c r="CD73" s="505" t="n">
        <v>0.155</v>
      </c>
      <c r="CE73" s="505" t="n">
        <v>0.04</v>
      </c>
      <c r="CF73" s="505" t="n">
        <v>0.04</v>
      </c>
      <c r="CG73" s="505" t="n">
        <v>0</v>
      </c>
      <c r="CH73" s="505" t="n">
        <v>10.548041013045</v>
      </c>
      <c r="CI73" s="505" t="n">
        <v>3.392</v>
      </c>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-T74/(1-AR74)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3.28526970954357</v>
      </c>
      <c r="BW74" s="369" t="n">
        <v>3.512</v>
      </c>
      <c r="BX74" s="370" t="n">
        <v>0.251002615011208</v>
      </c>
      <c r="BY74" s="370" t="n">
        <v>0.251968229465743</v>
      </c>
      <c r="BZ74" s="370" t="n">
        <v>0.998939580853734</v>
      </c>
      <c r="CA74" s="370" t="n">
        <v>0.0520049857217106</v>
      </c>
      <c r="CB74" s="370" t="n">
        <v>0.790332792803782</v>
      </c>
      <c r="CC74" s="505" t="n">
        <v>-0.42</v>
      </c>
      <c r="CD74" s="505" t="n">
        <v>0.155</v>
      </c>
      <c r="CE74" s="505" t="n">
        <v>0.04</v>
      </c>
      <c r="CF74" s="505" t="n">
        <v>0.04</v>
      </c>
      <c r="CG74" s="505" t="n">
        <v>0</v>
      </c>
      <c r="CH74" s="505" t="n">
        <v>10.8389400536282</v>
      </c>
      <c r="CI74" s="505" t="n">
        <v>3.432</v>
      </c>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-T75/(1-AR75)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3.32676348547718</v>
      </c>
      <c r="BW75" s="369" t="n">
        <v>3.552</v>
      </c>
      <c r="BX75" s="370" t="n">
        <v>0.251887767191014</v>
      </c>
      <c r="BY75" s="370" t="n">
        <v>0.252922349862689</v>
      </c>
      <c r="BZ75" s="370" t="n">
        <v>0.998795121518692</v>
      </c>
      <c r="CA75" s="370" t="n">
        <v>0.0523271663929492</v>
      </c>
      <c r="CB75" s="370" t="n">
        <v>0.785743940633574</v>
      </c>
      <c r="CC75" s="505" t="n">
        <v>-0.42</v>
      </c>
      <c r="CD75" s="505" t="n">
        <v>0.155</v>
      </c>
      <c r="CE75" s="505" t="n">
        <v>0.04</v>
      </c>
      <c r="CF75" s="505" t="n">
        <v>0.04</v>
      </c>
      <c r="CG75" s="505" t="n">
        <v>0</v>
      </c>
      <c r="CH75" s="505" t="n">
        <v>10.7760066994251</v>
      </c>
      <c r="CI75" s="505" t="n">
        <v>3.472</v>
      </c>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-T76/(1-AR76)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3.32157676348548</v>
      </c>
      <c r="BW76" s="369" t="n">
        <v>3.547</v>
      </c>
      <c r="BX76" s="370" t="n">
        <v>0.251673457799918</v>
      </c>
      <c r="BY76" s="370" t="n">
        <v>0.252658020117181</v>
      </c>
      <c r="BZ76" s="370" t="n">
        <v>0.998851907973688</v>
      </c>
      <c r="CA76" s="370" t="n">
        <v>0.0526493470988063</v>
      </c>
      <c r="CB76" s="370" t="n">
        <v>0.781140280211496</v>
      </c>
      <c r="CC76" s="505" t="n">
        <v>-0.42</v>
      </c>
      <c r="CD76" s="505" t="n">
        <v>0.155</v>
      </c>
      <c r="CE76" s="505" t="n">
        <v>0.04</v>
      </c>
      <c r="CF76" s="505" t="n">
        <v>0.04</v>
      </c>
      <c r="CG76" s="505" t="n">
        <v>0</v>
      </c>
      <c r="CH76" s="505" t="n">
        <v>10.367293798967</v>
      </c>
      <c r="CI76" s="505" t="n">
        <v>3.467</v>
      </c>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-T77/(1-AR77)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3.34751037344398</v>
      </c>
      <c r="BW77" s="369" t="n">
        <v>3.572</v>
      </c>
      <c r="BX77" s="370" t="n">
        <v>0.252737151785216</v>
      </c>
      <c r="BY77" s="370" t="n">
        <v>0.253819145093197</v>
      </c>
      <c r="BZ77" s="370" t="n">
        <v>0.999518360213065</v>
      </c>
      <c r="CA77" s="370" t="n">
        <v>0.0529611349116244</v>
      </c>
      <c r="CB77" s="370" t="n">
        <v>0.776671575219578</v>
      </c>
      <c r="CC77" s="505" t="n">
        <v>-0.42</v>
      </c>
      <c r="CD77" s="505" t="n">
        <v>0.155</v>
      </c>
      <c r="CE77" s="505" t="n">
        <v>0.04</v>
      </c>
      <c r="CF77" s="505" t="n">
        <v>0.04</v>
      </c>
      <c r="CG77" s="505" t="n">
        <v>0</v>
      </c>
      <c r="CH77" s="505" t="n">
        <v>10.6515846511914</v>
      </c>
      <c r="CI77" s="505" t="n">
        <v>3.492</v>
      </c>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-T78/(1-AR78)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3.52593360995851</v>
      </c>
      <c r="BW78" s="369" t="n">
        <v>3.809</v>
      </c>
      <c r="BX78" s="370" t="n">
        <v>0.259812859139407</v>
      </c>
      <c r="BY78" s="370" t="n">
        <v>0.257069016574414</v>
      </c>
      <c r="BZ78" s="370" t="n">
        <v>0.998892215834599</v>
      </c>
      <c r="CA78" s="370" t="n">
        <v>0.0532833156855848</v>
      </c>
      <c r="CB78" s="370" t="n">
        <v>0.772040478692847</v>
      </c>
      <c r="CC78" s="505" t="n">
        <v>-0.4</v>
      </c>
      <c r="CD78" s="505" t="n">
        <v>0.155</v>
      </c>
      <c r="CE78" s="505" t="n">
        <v>0.13</v>
      </c>
      <c r="CF78" s="505" t="n">
        <v>0.035</v>
      </c>
      <c r="CG78" s="505" t="n">
        <v>0</v>
      </c>
      <c r="CH78" s="505" t="n">
        <v>10.2465212332115</v>
      </c>
      <c r="CI78" s="505" t="n">
        <v>3.644</v>
      </c>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-T79/(1-AR79)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3.67427385892116</v>
      </c>
      <c r="BW79" s="369" t="n">
        <v>3.952</v>
      </c>
      <c r="BX79" s="370" t="n">
        <v>0.268230645356863</v>
      </c>
      <c r="BY79" s="370" t="n">
        <v>0.266447046475158</v>
      </c>
      <c r="BZ79" s="370" t="n">
        <v>0.998973752857135</v>
      </c>
      <c r="CA79" s="370" t="n">
        <v>0.0535951035642985</v>
      </c>
      <c r="CB79" s="370" t="n">
        <v>0.767546312167612</v>
      </c>
      <c r="CC79" s="505" t="n">
        <v>-0.4</v>
      </c>
      <c r="CD79" s="505" t="n">
        <v>0.155</v>
      </c>
      <c r="CE79" s="505" t="n">
        <v>0.13</v>
      </c>
      <c r="CF79" s="505" t="n">
        <v>0.035</v>
      </c>
      <c r="CG79" s="505" t="n">
        <v>0</v>
      </c>
      <c r="CH79" s="505" t="n">
        <v>10.5264371435915</v>
      </c>
      <c r="CI79" s="505" t="n">
        <v>3.787</v>
      </c>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-T80/(1-AR80)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3.72873443983403</v>
      </c>
      <c r="BW80" s="369" t="n">
        <v>4.0045</v>
      </c>
      <c r="BX80" s="370" t="n">
        <v>0.267898190941761</v>
      </c>
      <c r="BY80" s="370" t="n">
        <v>0.266142233826153</v>
      </c>
      <c r="BZ80" s="370" t="n">
        <v>0.998988137857261</v>
      </c>
      <c r="CA80" s="370" t="n">
        <v>0.0538548873933569</v>
      </c>
      <c r="CB80" s="370" t="n">
        <v>0.76312585991901</v>
      </c>
      <c r="CC80" s="505" t="n">
        <v>-0.4</v>
      </c>
      <c r="CD80" s="505" t="n">
        <v>0.155</v>
      </c>
      <c r="CE80" s="505" t="n">
        <v>0.13</v>
      </c>
      <c r="CF80" s="505" t="n">
        <v>0.035</v>
      </c>
      <c r="CG80" s="505" t="n">
        <v>0</v>
      </c>
      <c r="CH80" s="505" t="n">
        <v>10.4658132932733</v>
      </c>
      <c r="CI80" s="505" t="n">
        <v>3.8395</v>
      </c>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-T81/(1-AR81)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3.6405601659751</v>
      </c>
      <c r="BW81" s="369" t="n">
        <v>3.9195</v>
      </c>
      <c r="BX81" s="370" t="n">
        <v>0.261097491015745</v>
      </c>
      <c r="BY81" s="370" t="n">
        <v>0.259495906192878</v>
      </c>
      <c r="BZ81" s="370" t="n">
        <v>0.999051954643638</v>
      </c>
      <c r="CA81" s="370" t="n">
        <v>0.0540389034386073</v>
      </c>
      <c r="CB81" s="370" t="n">
        <v>0.758987938070646</v>
      </c>
      <c r="CC81" s="505" t="n">
        <v>-0.4</v>
      </c>
      <c r="CD81" s="505" t="n">
        <v>0.155</v>
      </c>
      <c r="CE81" s="505" t="n">
        <v>0.13</v>
      </c>
      <c r="CF81" s="505" t="n">
        <v>0.035</v>
      </c>
      <c r="CG81" s="505" t="n">
        <v>0</v>
      </c>
      <c r="CH81" s="505" t="n">
        <v>9.40173538646871</v>
      </c>
      <c r="CI81" s="505" t="n">
        <v>3.7545</v>
      </c>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-T82/(1-AR82)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3.50570539419087</v>
      </c>
      <c r="BW82" s="369" t="n">
        <v>3.7895</v>
      </c>
      <c r="BX82" s="370" t="n">
        <v>0.250941983478636</v>
      </c>
      <c r="BY82" s="370" t="n">
        <v>0.248352979651855</v>
      </c>
      <c r="BZ82" s="370" t="n">
        <v>0.998909734680142</v>
      </c>
      <c r="CA82" s="370" t="n">
        <v>0.054205111489178</v>
      </c>
      <c r="CB82" s="370" t="n">
        <v>0.755250058821463</v>
      </c>
      <c r="CC82" s="505" t="n">
        <v>-0.4</v>
      </c>
      <c r="CD82" s="505" t="n">
        <v>0.155</v>
      </c>
      <c r="CE82" s="505" t="n">
        <v>0.13</v>
      </c>
      <c r="CF82" s="505" t="n">
        <v>0.035</v>
      </c>
      <c r="CG82" s="505" t="n">
        <v>0</v>
      </c>
      <c r="CH82" s="505" t="n">
        <v>10.3578014067011</v>
      </c>
      <c r="CI82" s="505" t="n">
        <v>3.6245</v>
      </c>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-T83/(1-AR83)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3.27748962655602</v>
      </c>
      <c r="BW83" s="369" t="n">
        <v>3.5195</v>
      </c>
      <c r="BX83" s="370" t="n">
        <v>0.242312169061989</v>
      </c>
      <c r="BY83" s="370" t="n">
        <v>0.242312169061989</v>
      </c>
      <c r="BZ83" s="370" t="n">
        <v>0.999416048635088</v>
      </c>
      <c r="CA83" s="370" t="n">
        <v>0.0543891275559032</v>
      </c>
      <c r="CB83" s="370" t="n">
        <v>0.751111483785009</v>
      </c>
      <c r="CC83" s="505" t="n">
        <v>-0.435</v>
      </c>
      <c r="CD83" s="505" t="n">
        <v>0.155</v>
      </c>
      <c r="CE83" s="505" t="n">
        <v>0.04</v>
      </c>
      <c r="CF83" s="505" t="n">
        <v>0.04</v>
      </c>
      <c r="CG83" s="505" t="n">
        <v>0</v>
      </c>
      <c r="CH83" s="505" t="n">
        <v>9.96875161279464</v>
      </c>
      <c r="CI83" s="505" t="n">
        <v>3.4395</v>
      </c>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-T84/(1-AR84)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3.27230290456432</v>
      </c>
      <c r="BW84" s="369" t="n">
        <v>3.5145</v>
      </c>
      <c r="BX84" s="370" t="n">
        <v>0.242352232707182</v>
      </c>
      <c r="BY84" s="370" t="n">
        <v>0.243118370461952</v>
      </c>
      <c r="BZ84" s="370" t="n">
        <v>0.999181026811293</v>
      </c>
      <c r="CA84" s="370" t="n">
        <v>0.054567207631218</v>
      </c>
      <c r="CB84" s="370" t="n">
        <v>0.747106434315284</v>
      </c>
      <c r="CC84" s="505" t="n">
        <v>-0.435</v>
      </c>
      <c r="CD84" s="505" t="n">
        <v>0.155</v>
      </c>
      <c r="CE84" s="505" t="n">
        <v>0.04</v>
      </c>
      <c r="CF84" s="505" t="n">
        <v>0.04</v>
      </c>
      <c r="CG84" s="505" t="n">
        <v>0</v>
      </c>
      <c r="CH84" s="505" t="n">
        <v>10.2461164827735</v>
      </c>
      <c r="CI84" s="505" t="n">
        <v>3.4345</v>
      </c>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-T85/(1-AR85)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3.30860995850622</v>
      </c>
      <c r="BW85" s="369" t="n">
        <v>3.5495</v>
      </c>
      <c r="BX85" s="370" t="n">
        <v>0.242242323477096</v>
      </c>
      <c r="BY85" s="370" t="n">
        <v>0.242972880987822</v>
      </c>
      <c r="BZ85" s="370" t="n">
        <v>0.999218431594643</v>
      </c>
      <c r="CA85" s="370" t="n">
        <v>0.0547512237201424</v>
      </c>
      <c r="CB85" s="370" t="n">
        <v>0.742968153544342</v>
      </c>
      <c r="CC85" s="505" t="n">
        <v>-0.435</v>
      </c>
      <c r="CD85" s="505" t="n">
        <v>0.155</v>
      </c>
      <c r="CE85" s="505" t="n">
        <v>0.04</v>
      </c>
      <c r="CF85" s="505" t="n">
        <v>0.04</v>
      </c>
      <c r="CG85" s="505" t="n">
        <v>0</v>
      </c>
      <c r="CH85" s="505" t="n">
        <v>9.8606733338405</v>
      </c>
      <c r="CI85" s="505" t="n">
        <v>3.4695</v>
      </c>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-T86/(1-AR86)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3.35010373443983</v>
      </c>
      <c r="BW86" s="369" t="n">
        <v>3.5895</v>
      </c>
      <c r="BX86" s="370" t="n">
        <v>0.243025728130177</v>
      </c>
      <c r="BY86" s="370" t="n">
        <v>0.243844835596525</v>
      </c>
      <c r="BZ86" s="370" t="n">
        <v>0.999069927478878</v>
      </c>
      <c r="CA86" s="370" t="n">
        <v>0.0549293038169378</v>
      </c>
      <c r="CB86" s="370" t="n">
        <v>0.738963861865164</v>
      </c>
      <c r="CC86" s="505" t="n">
        <v>-0.435</v>
      </c>
      <c r="CD86" s="505" t="n">
        <v>0.155</v>
      </c>
      <c r="CE86" s="505" t="n">
        <v>0.04</v>
      </c>
      <c r="CF86" s="505" t="n">
        <v>0.04</v>
      </c>
      <c r="CG86" s="505" t="n">
        <v>0</v>
      </c>
      <c r="CH86" s="505" t="n">
        <v>10.1344459871636</v>
      </c>
      <c r="CI86" s="505" t="n">
        <v>3.5095</v>
      </c>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-T87/(1-AR87)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3.39159751037344</v>
      </c>
      <c r="BW87" s="369" t="n">
        <v>3.6295</v>
      </c>
      <c r="BX87" s="370" t="n">
        <v>0.243787744560262</v>
      </c>
      <c r="BY87" s="370" t="n">
        <v>0.244668568031279</v>
      </c>
      <c r="BZ87" s="370" t="n">
        <v>0.998938958461147</v>
      </c>
      <c r="CA87" s="370" t="n">
        <v>0.0551133199280565</v>
      </c>
      <c r="CB87" s="370" t="n">
        <v>0.734826850083913</v>
      </c>
      <c r="CC87" s="505" t="n">
        <v>-0.435</v>
      </c>
      <c r="CD87" s="505" t="n">
        <v>0.155</v>
      </c>
      <c r="CE87" s="505" t="n">
        <v>0.04</v>
      </c>
      <c r="CF87" s="505" t="n">
        <v>0.04</v>
      </c>
      <c r="CG87" s="505" t="n">
        <v>0</v>
      </c>
      <c r="CH87" s="505" t="n">
        <v>10.0777093527908</v>
      </c>
      <c r="CI87" s="505" t="n">
        <v>3.5495</v>
      </c>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-T88/(1-AR88)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3.38641078838174</v>
      </c>
      <c r="BW88" s="369" t="n">
        <v>3.6245</v>
      </c>
      <c r="BX88" s="370" t="n">
        <v>0.243613672262119</v>
      </c>
      <c r="BY88" s="370" t="n">
        <v>0.244454381867993</v>
      </c>
      <c r="BZ88" s="370" t="n">
        <v>0.998986196159793</v>
      </c>
      <c r="CA88" s="370" t="n">
        <v>0.0552973360504536</v>
      </c>
      <c r="CB88" s="370" t="n">
        <v>0.730690853076224</v>
      </c>
      <c r="CC88" s="505" t="n">
        <v>-0.435</v>
      </c>
      <c r="CD88" s="505" t="n">
        <v>0.155</v>
      </c>
      <c r="CE88" s="505" t="n">
        <v>0.04</v>
      </c>
      <c r="CF88" s="505" t="n">
        <v>0.04</v>
      </c>
      <c r="CG88" s="505" t="n">
        <v>0</v>
      </c>
      <c r="CH88" s="505" t="n">
        <v>9.69772900202764</v>
      </c>
      <c r="CI88" s="505" t="n">
        <v>3.5445</v>
      </c>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-T89/(1-AR89)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3.41234439834025</v>
      </c>
      <c r="BW89" s="369" t="n">
        <v>3.6495</v>
      </c>
      <c r="BX89" s="370" t="n">
        <v>0.244536262315712</v>
      </c>
      <c r="BY89" s="370" t="n">
        <v>0.245463363055628</v>
      </c>
      <c r="BZ89" s="370" t="n">
        <v>0.999572442151427</v>
      </c>
      <c r="CA89" s="370" t="n">
        <v>0.0554754161796391</v>
      </c>
      <c r="CB89" s="370" t="n">
        <v>0.726689474408526</v>
      </c>
      <c r="CC89" s="505" t="n">
        <v>-0.435</v>
      </c>
      <c r="CD89" s="505" t="n">
        <v>0.155</v>
      </c>
      <c r="CE89" s="505" t="n">
        <v>0.04</v>
      </c>
      <c r="CF89" s="505" t="n">
        <v>0.04</v>
      </c>
      <c r="CG89" s="505" t="n">
        <v>0</v>
      </c>
      <c r="CH89" s="505" t="n">
        <v>9.96611012782829</v>
      </c>
      <c r="CI89" s="505" t="n">
        <v>3.5695</v>
      </c>
    </row>
    <row r="90" customFormat="false" ht="12.75" hidden="false" customHeight="false" outlineLevel="0" collapsed="false">
      <c r="A90" s="500"/>
      <c r="B90" s="500"/>
      <c r="D90" s="361" t="e">
        <f aca="false">D89+AH89</f>
        <v>#VALUE!</v>
      </c>
      <c r="F90" s="362" t="e">
        <f aca="false">VLOOKUP(AG90,$AL$4:$AS$15,2)</f>
        <v>#VALUE!</v>
      </c>
      <c r="G90" s="362" t="e">
        <f aca="false">F90*$AU90</f>
        <v>#VALUE!</v>
      </c>
      <c r="H90" s="363" t="e">
        <f aca="false">(AL90+AM90+AN90)/(1-(AR90))</f>
        <v>#VALUE!</v>
      </c>
      <c r="I90" s="363" t="e">
        <f aca="false">(AL90+AO90+AP90)</f>
        <v>#VALUE!</v>
      </c>
      <c r="K90" s="363" t="e">
        <f aca="false">MAX(((I90-H90)-AQ90)*AU90*AH90,0)</f>
        <v>#VALUE!</v>
      </c>
      <c r="L90" s="501" t="e">
        <f aca="false">MAX(Q90-K90,0)</f>
        <v>#VALUE!</v>
      </c>
      <c r="N90" s="502" t="e">
        <f aca="false">SQRT(($AX90^2*($AH90/2)+$AW90^2*$AI90)/(($AH90/2)+$AI90))</f>
        <v>#VALUE!</v>
      </c>
      <c r="O90" s="502" t="e">
        <f aca="false">SQRT(($AY90^2*($AH90/2)+$AW90^2*$AI90)/(($AH90/2)+$AI90))</f>
        <v>#VALUE!</v>
      </c>
      <c r="P90" s="371" t="e">
        <f aca="false">(VLOOKUP(AI90,CorrelationTwo,2)*(AW90^2)*AI90+VLOOKUP(D90,CorrelationOne,$AK$9)*AX90*AY90*(AH90/2))/((AI90+(AH90/2))*O90*N90)*AF90</f>
        <v>#VALUE!</v>
      </c>
      <c r="Q90" s="501" t="e">
        <f aca="false">xSPRDOPT(I90,H90,AQ90,0,O90,N90,P90,D90-$G$5,1,0)*AH90*AU90</f>
        <v>#VALUE!</v>
      </c>
      <c r="R90" s="501"/>
      <c r="S90" s="365" t="e">
        <f aca="false">-T90/(1-AR90)</f>
        <v>#VALUE!</v>
      </c>
      <c r="T90" s="365" t="e">
        <f aca="false">xSPRDOPT(I90,H90,AQ90,AT90,O90,N90,P90,D90-$G$5,1,1)*AF90*F90*AH90</f>
        <v>#VALUE!</v>
      </c>
      <c r="U90" s="501"/>
      <c r="V90" s="503" t="e">
        <f aca="false">VLOOKUP($AG90,$AL$4:$AS$15,8)*AH90*AU90</f>
        <v>#VALUE!</v>
      </c>
      <c r="W90" s="503"/>
      <c r="X90" s="504" t="e">
        <f aca="false">((BM90*BC90)+(BL90*BB90))*AH90*F90</f>
        <v>#VALUE!</v>
      </c>
      <c r="Y90" s="504" t="e">
        <f aca="false">($F90*$AH90)*((($BG90/2)*($BC90)^2)+(($BF90/2)*($BB90)^2)+($BH90*$BC90*$BB90))</f>
        <v>#VALUE!</v>
      </c>
      <c r="Z90" s="504" t="e">
        <f aca="false">($BI90*$F90*$AH90*($G$5-$BV$5))/365.25</f>
        <v>#VALUE!</v>
      </c>
      <c r="AA90" s="504" t="e">
        <f aca="false">(($BK90*$BE90)+($BJ90*$BD90))*$F90*$AH90*$AF90</f>
        <v>#VALUE!</v>
      </c>
      <c r="AB90" s="504" t="e">
        <f aca="false">BN90*(AT90-CA90)*F90*AH90</f>
        <v>#VALUE!</v>
      </c>
      <c r="AC90" s="504" t="e">
        <f aca="false">BO90*CB90*F90*AH90*CA90*($G$5-$BV$5)/365.25</f>
        <v>#NAME?</v>
      </c>
      <c r="AF90" s="378" t="e">
        <f aca="false">IF(AND(D90&gt;=$G$7,D90&lt;=$G$8),1,0)</f>
        <v>#VALUE!</v>
      </c>
      <c r="AG90" s="378" t="e">
        <f aca="false">MONTH(D90)</f>
        <v>#VALUE!</v>
      </c>
      <c r="AH90" s="378" t="e">
        <f aca="false">(EOMONTH(D90,0)-EOMONTH(D90-DAY(D90),0))*AF90</f>
        <v>#VALUE!</v>
      </c>
      <c r="AI90" s="378" t="e">
        <f aca="false">AI89+AH89</f>
        <v>#VALUE!</v>
      </c>
      <c r="AJ90" s="378" t="e">
        <f aca="false">D90-$BV$5</f>
        <v>#VALUE!</v>
      </c>
      <c r="AL90" s="369" t="e">
        <f aca="false">VLOOKUP($D90,CurveTbl,$AK$4)</f>
        <v>#VALUE!</v>
      </c>
      <c r="AM90" s="505" t="e">
        <f aca="false">VLOOKUP($D90,CurveTbl,$AH$3)</f>
        <v>#VALUE!</v>
      </c>
      <c r="AN90" s="505" t="e">
        <f aca="false">VLOOKUP($D90,CurveTbl,$AH$4)+VLOOKUP($AG90,$AL$3:$AS$15,6)</f>
        <v>#VALUE!</v>
      </c>
      <c r="AO90" s="505" t="e">
        <f aca="false">VLOOKUP($D90,CurveTbl,$AH$5)</f>
        <v>#VALUE!</v>
      </c>
      <c r="AP90" s="505" t="e">
        <f aca="false">VLOOKUP($D90,CurveTbl,$AH$6)+VLOOKUP($AG90,$AL$3:$AS$15,7)</f>
        <v>#VALUE!</v>
      </c>
      <c r="AQ90" s="369" t="e">
        <f aca="false">VLOOKUP($AG90,$AL$4:$AS$15,3)+VLOOKUP($AG90,$AL$4:$AS$15,5)+($AH$10*VLOOKUP(D90,GRITable,2))</f>
        <v>#VALUE!</v>
      </c>
      <c r="AR90" s="370" t="e">
        <f aca="false">VLOOKUP($AG90,$AL$4:$AS$15,4)</f>
        <v>#VALUE!</v>
      </c>
      <c r="AS90" s="369" t="e">
        <f aca="false">(AL90+AM90+AN90)</f>
        <v>#VALUE!</v>
      </c>
      <c r="AT90" s="370" t="e">
        <f aca="false">VLOOKUP(D90,CurveTbl,$AK$6)</f>
        <v>#VALUE!</v>
      </c>
      <c r="AU90" s="370" t="e">
        <f aca="false">(1+$AT90/2)^(-2*($D90-$G$5)/365.25)*$AF90</f>
        <v>#VALUE!</v>
      </c>
      <c r="AV90" s="506" t="e">
        <f aca="false">ROUND((F90/(1-AR90))-F90,0)*AF90*AH90*AU90</f>
        <v>#VALUE!</v>
      </c>
      <c r="AW90" s="370" t="e">
        <f aca="false">VLOOKUP($D90,CurveTbl,$AK$8)</f>
        <v>#VALUE!</v>
      </c>
      <c r="AX90" s="370" t="e">
        <f aca="false">VLOOKUP($D90,CurveTbl,$AH$7)</f>
        <v>#VALUE!</v>
      </c>
      <c r="AY90" s="370" t="e">
        <f aca="false">VLOOKUP($D90,CurveTbl,$AH$8)</f>
        <v>#VALUE!</v>
      </c>
      <c r="AZ90" s="370"/>
      <c r="BA90" s="507"/>
      <c r="BB90" s="505" t="e">
        <f aca="false">$H90-$BV90</f>
        <v>#VALUE!</v>
      </c>
      <c r="BC90" s="505" t="e">
        <f aca="false">I90-BW90</f>
        <v>#VALUE!</v>
      </c>
      <c r="BD90" s="370" t="e">
        <f aca="false">N90-BX90</f>
        <v>#VALUE!</v>
      </c>
      <c r="BE90" s="370" t="e">
        <f aca="false">O90-BY90</f>
        <v>#VALUE!</v>
      </c>
      <c r="BF90" s="370" t="e">
        <f aca="false">xSPRDOPT($BW90,$BV90,$CG90,0,$BY90,$BX90,$BZ90,$AJ90,1,4)*$CB90</f>
        <v>#NAME?</v>
      </c>
      <c r="BG90" s="370" t="e">
        <f aca="false">xSPRDOPT($BW90,$BV90,$CG90,0,$BY90,$BX90,$BZ90,$AJ90,1,3)*$CB90</f>
        <v>#NAME?</v>
      </c>
      <c r="BH90" s="370" t="e">
        <f aca="false">IF(OR(BF90&lt;&gt;0,BG90&lt;&gt;0),xSPRDOPT($BW90,$BV90,$CG90,0,$BY90,$BX90,$BZ90,$AJ90,1,12)*$CB90,0)</f>
        <v>#NAME?</v>
      </c>
      <c r="BI90" s="370" t="e">
        <f aca="false">xSPRDOPT($BW90,$BV90,$CG90,2*LN(1+CA90/2),$BY90,$BX90,$BZ90,$AJ90,1,9)</f>
        <v>#NAME?</v>
      </c>
      <c r="BJ90" s="370" t="e">
        <f aca="false">xSPRDOPT($BW90,$BV90,$CG90,0,$BY90,$BX90,$BZ90,$AJ90,1,6)*$CB90</f>
        <v>#NAME?</v>
      </c>
      <c r="BK90" s="370" t="e">
        <f aca="false">xSPRDOPT($BW90,$BV90,$CG90,0,$BY90,$BX90,$BZ90,$AJ90,1,5)*$CB90</f>
        <v>#NAME?</v>
      </c>
      <c r="BL90" s="370" t="e">
        <f aca="false">xSPRDOPT(BW90,BV90,CG90,0,BY90,BX90,BZ90,AJ90,1,2)*CB90</f>
        <v>#NAME?</v>
      </c>
      <c r="BM90" s="370" t="e">
        <f aca="false">xSPRDOPT(BW90,BV90,CG90,0,BY90,BX90,BZ90,AJ90,1,1)*CB90</f>
        <v>#NAME?</v>
      </c>
      <c r="BN90" s="370" t="e">
        <f aca="false">IF(AH90&lt;&gt;0,xSPRDOPT($BW90,$BV90,$CG90,2*LN(1+CA90/2),$BY90,$BX90,$BZ90,$AJ90,1,8)+(AJ90/365.25)*CH90/AH90,0)</f>
        <v>#VALUE!</v>
      </c>
      <c r="BO90" s="370" t="e">
        <f aca="false">xSPRDOPT($BW90,$BV90,$CG90,0,$BY90,$BX90,$BZ90,$AJ90,1,0)</f>
        <v>#NAME?</v>
      </c>
      <c r="BP90" s="370"/>
      <c r="BQ90" s="370"/>
      <c r="BR90" s="370"/>
      <c r="BS90" s="370"/>
      <c r="BV90" s="508" t="n">
        <v>3.60632780082988</v>
      </c>
      <c r="BW90" s="369" t="n">
        <v>3.8865</v>
      </c>
      <c r="BX90" s="370" t="n">
        <v>0.250634700551751</v>
      </c>
      <c r="BY90" s="370" t="n">
        <v>0.248271695832321</v>
      </c>
      <c r="BZ90" s="370" t="n">
        <v>0.999006186255723</v>
      </c>
      <c r="CA90" s="370" t="n">
        <v>0.0556594323242252</v>
      </c>
      <c r="CB90" s="370" t="n">
        <v>0.722556194641321</v>
      </c>
      <c r="CC90" s="505" t="n">
        <v>-0.4</v>
      </c>
      <c r="CD90" s="505" t="n">
        <v>0.155</v>
      </c>
      <c r="CE90" s="505" t="n">
        <v>0.13</v>
      </c>
      <c r="CF90" s="505" t="n">
        <v>0.035</v>
      </c>
      <c r="CG90" s="505" t="n">
        <v>0</v>
      </c>
      <c r="CH90" s="505" t="n">
        <v>9.58976581527961</v>
      </c>
      <c r="CI90" s="505" t="n">
        <v>3.7215</v>
      </c>
    </row>
    <row r="91" customFormat="false" ht="12.75" hidden="false" customHeight="false" outlineLevel="0" collapsed="false">
      <c r="A91" s="500"/>
      <c r="B91" s="500"/>
      <c r="D91" s="361" t="e">
        <f aca="false">D90+AH90</f>
        <v>#VALUE!</v>
      </c>
      <c r="F91" s="362" t="e">
        <f aca="false">VLOOKUP(AG91,$AL$4:$AS$15,2)</f>
        <v>#VALUE!</v>
      </c>
      <c r="G91" s="362" t="e">
        <f aca="false">F91*$AU91</f>
        <v>#VALUE!</v>
      </c>
      <c r="H91" s="363" t="e">
        <f aca="false">(AL91+AM91+AN91)/(1-(AR91))</f>
        <v>#VALUE!</v>
      </c>
      <c r="I91" s="363" t="e">
        <f aca="false">(AL91+AO91+AP91)</f>
        <v>#VALUE!</v>
      </c>
      <c r="K91" s="363" t="e">
        <f aca="false">MAX(((I91-H91)-AQ91)*AU91*AH91,0)</f>
        <v>#VALUE!</v>
      </c>
      <c r="L91" s="501" t="e">
        <f aca="false">MAX(Q91-K91,0)</f>
        <v>#VALUE!</v>
      </c>
      <c r="N91" s="502" t="e">
        <f aca="false">SQRT(($AX91^2*($AH91/2)+$AW91^2*$AI91)/(($AH91/2)+$AI91))</f>
        <v>#VALUE!</v>
      </c>
      <c r="O91" s="502" t="e">
        <f aca="false">SQRT(($AY91^2*($AH91/2)+$AW91^2*$AI91)/(($AH91/2)+$AI91))</f>
        <v>#VALUE!</v>
      </c>
      <c r="P91" s="371" t="e">
        <f aca="false">(VLOOKUP(AI91,CorrelationTwo,2)*(AW91^2)*AI91+VLOOKUP(D91,CorrelationOne,$AK$9)*AX91*AY91*(AH91/2))/((AI91+(AH91/2))*O91*N91)*AF91</f>
        <v>#VALUE!</v>
      </c>
      <c r="Q91" s="501" t="e">
        <f aca="false">xSPRDOPT(I91,H91,AQ91,0,O91,N91,P91,D91-$G$5,1,0)*AH91*AU91</f>
        <v>#VALUE!</v>
      </c>
      <c r="R91" s="501"/>
      <c r="S91" s="365" t="e">
        <f aca="false">-T91/(1-AR91)</f>
        <v>#VALUE!</v>
      </c>
      <c r="T91" s="365" t="e">
        <f aca="false">xSPRDOPT(I91,H91,AQ91,AT91,O91,N91,P91,D91-$G$5,1,1)*AF91*F91*AH91</f>
        <v>#VALUE!</v>
      </c>
      <c r="U91" s="501"/>
      <c r="V91" s="503" t="e">
        <f aca="false">VLOOKUP($AG91,$AL$4:$AS$15,8)*AH91*AU91</f>
        <v>#VALUE!</v>
      </c>
      <c r="W91" s="503"/>
      <c r="X91" s="504" t="e">
        <f aca="false">((BM91*BC91)+(BL91*BB91))*AH91*F91</f>
        <v>#VALUE!</v>
      </c>
      <c r="Y91" s="504" t="e">
        <f aca="false">($F91*$AH91)*((($BG91/2)*($BC91)^2)+(($BF91/2)*($BB91)^2)+($BH91*$BC91*$BB91))</f>
        <v>#VALUE!</v>
      </c>
      <c r="Z91" s="504" t="e">
        <f aca="false">($BI91*$F91*$AH91*($G$5-$BV$5))/365.25</f>
        <v>#VALUE!</v>
      </c>
      <c r="AA91" s="504" t="e">
        <f aca="false">(($BK91*$BE91)+($BJ91*$BD91))*$F91*$AH91*$AF91</f>
        <v>#VALUE!</v>
      </c>
      <c r="AB91" s="504" t="e">
        <f aca="false">BN91*(AT91-CA91)*F91*AH91</f>
        <v>#VALUE!</v>
      </c>
      <c r="AC91" s="504" t="e">
        <f aca="false">BO91*CB91*F91*AH91*CA91*($G$5-$BV$5)/365.25</f>
        <v>#NAME?</v>
      </c>
      <c r="AF91" s="378" t="e">
        <f aca="false">IF(AND(D91&gt;=$G$7,D91&lt;=$G$8),1,0)</f>
        <v>#VALUE!</v>
      </c>
      <c r="AG91" s="378" t="e">
        <f aca="false">MONTH(D91)</f>
        <v>#VALUE!</v>
      </c>
      <c r="AH91" s="378" t="e">
        <f aca="false">(EOMONTH(D91,0)-EOMONTH(D91-DAY(D91),0))*AF91</f>
        <v>#VALUE!</v>
      </c>
      <c r="AI91" s="378" t="e">
        <f aca="false">AI90+AH90</f>
        <v>#VALUE!</v>
      </c>
      <c r="AJ91" s="378" t="e">
        <f aca="false">D91-$BV$5</f>
        <v>#VALUE!</v>
      </c>
      <c r="AL91" s="369" t="e">
        <f aca="false">VLOOKUP($D91,CurveTbl,$AK$4)</f>
        <v>#VALUE!</v>
      </c>
      <c r="AM91" s="505" t="e">
        <f aca="false">VLOOKUP($D91,CurveTbl,$AH$3)</f>
        <v>#VALUE!</v>
      </c>
      <c r="AN91" s="505" t="e">
        <f aca="false">VLOOKUP($D91,CurveTbl,$AH$4)+VLOOKUP($AG91,$AL$3:$AS$15,6)</f>
        <v>#VALUE!</v>
      </c>
      <c r="AO91" s="505" t="e">
        <f aca="false">VLOOKUP($D91,CurveTbl,$AH$5)</f>
        <v>#VALUE!</v>
      </c>
      <c r="AP91" s="505" t="e">
        <f aca="false">VLOOKUP($D91,CurveTbl,$AH$6)+VLOOKUP($AG91,$AL$3:$AS$15,7)</f>
        <v>#VALUE!</v>
      </c>
      <c r="AQ91" s="369" t="e">
        <f aca="false">VLOOKUP($AG91,$AL$4:$AS$15,3)+VLOOKUP($AG91,$AL$4:$AS$15,5)+($AH$10*VLOOKUP(D91,GRITable,2))</f>
        <v>#VALUE!</v>
      </c>
      <c r="AR91" s="370" t="e">
        <f aca="false">VLOOKUP($AG91,$AL$4:$AS$15,4)</f>
        <v>#VALUE!</v>
      </c>
      <c r="AS91" s="369" t="e">
        <f aca="false">(AL91+AM91+AN91)</f>
        <v>#VALUE!</v>
      </c>
      <c r="AT91" s="370" t="e">
        <f aca="false">VLOOKUP(D91,CurveTbl,$AK$6)</f>
        <v>#VALUE!</v>
      </c>
      <c r="AU91" s="370" t="e">
        <f aca="false">(1+$AT91/2)^(-2*($D91-$G$5)/365.25)*$AF91</f>
        <v>#VALUE!</v>
      </c>
      <c r="AV91" s="506" t="e">
        <f aca="false">ROUND((F91/(1-AR91))-F91,0)*AF91*AH91*AU91</f>
        <v>#VALUE!</v>
      </c>
      <c r="AW91" s="370" t="e">
        <f aca="false">VLOOKUP($D91,CurveTbl,$AK$8)</f>
        <v>#VALUE!</v>
      </c>
      <c r="AX91" s="370" t="e">
        <f aca="false">VLOOKUP($D91,CurveTbl,$AH$7)</f>
        <v>#VALUE!</v>
      </c>
      <c r="AY91" s="370" t="e">
        <f aca="false">VLOOKUP($D91,CurveTbl,$AH$8)</f>
        <v>#VALUE!</v>
      </c>
      <c r="AZ91" s="370"/>
      <c r="BA91" s="507"/>
      <c r="BB91" s="505" t="e">
        <f aca="false">$H91-$BV91</f>
        <v>#VALUE!</v>
      </c>
      <c r="BC91" s="505" t="e">
        <f aca="false">I91-BW91</f>
        <v>#VALUE!</v>
      </c>
      <c r="BD91" s="370" t="e">
        <f aca="false">N91-BX91</f>
        <v>#VALUE!</v>
      </c>
      <c r="BE91" s="370" t="e">
        <f aca="false">O91-BY91</f>
        <v>#VALUE!</v>
      </c>
      <c r="BF91" s="370" t="e">
        <f aca="false">xSPRDOPT($BW91,$BV91,$CG91,0,$BY91,$BX91,$BZ91,$AJ91,1,4)*$CB91</f>
        <v>#NAME?</v>
      </c>
      <c r="BG91" s="370" t="e">
        <f aca="false">xSPRDOPT($BW91,$BV91,$CG91,0,$BY91,$BX91,$BZ91,$AJ91,1,3)*$CB91</f>
        <v>#NAME?</v>
      </c>
      <c r="BH91" s="370" t="e">
        <f aca="false">IF(OR(BF91&lt;&gt;0,BG91&lt;&gt;0),xSPRDOPT($BW91,$BV91,$CG91,0,$BY91,$BX91,$BZ91,$AJ91,1,12)*$CB91,0)</f>
        <v>#NAME?</v>
      </c>
      <c r="BI91" s="370" t="e">
        <f aca="false">xSPRDOPT($BW91,$BV91,$CG91,2*LN(1+CA91/2),$BY91,$BX91,$BZ91,$AJ91,1,9)</f>
        <v>#NAME?</v>
      </c>
      <c r="BJ91" s="370" t="e">
        <f aca="false">xSPRDOPT($BW91,$BV91,$CG91,0,$BY91,$BX91,$BZ91,$AJ91,1,6)*$CB91</f>
        <v>#NAME?</v>
      </c>
      <c r="BK91" s="370" t="e">
        <f aca="false">xSPRDOPT($BW91,$BV91,$CG91,0,$BY91,$BX91,$BZ91,$AJ91,1,5)*$CB91</f>
        <v>#NAME?</v>
      </c>
      <c r="BL91" s="370" t="e">
        <f aca="false">xSPRDOPT(BW91,BV91,CG91,0,BY91,BX91,BZ91,AJ91,1,2)*CB91</f>
        <v>#NAME?</v>
      </c>
      <c r="BM91" s="370" t="e">
        <f aca="false">xSPRDOPT(BW91,BV91,CG91,0,BY91,BX91,BZ91,AJ91,1,1)*CB91</f>
        <v>#NAME?</v>
      </c>
      <c r="BN91" s="370" t="e">
        <f aca="false">IF(AH91&lt;&gt;0,xSPRDOPT($BW91,$BV91,$CG91,2*LN(1+CA91/2),$BY91,$BX91,$BZ91,$AJ91,1,8)+(AJ91/365.25)*CH91/AH91,0)</f>
        <v>#VALUE!</v>
      </c>
      <c r="BO91" s="370" t="e">
        <f aca="false">xSPRDOPT($BW91,$BV91,$CG91,0,$BY91,$BX91,$BZ91,$AJ91,1,0)</f>
        <v>#NAME?</v>
      </c>
      <c r="BP91" s="370"/>
      <c r="BQ91" s="370"/>
      <c r="BR91" s="370"/>
      <c r="BS91" s="370"/>
      <c r="BV91" s="508" t="n">
        <v>3.75466804979253</v>
      </c>
      <c r="BW91" s="369" t="n">
        <v>4.0295</v>
      </c>
      <c r="BX91" s="370" t="n">
        <v>0.257950002488674</v>
      </c>
      <c r="BY91" s="370" t="n">
        <v>0.256404448859669</v>
      </c>
      <c r="BZ91" s="370" t="n">
        <v>0.999073594693334</v>
      </c>
      <c r="CA91" s="370" t="n">
        <v>0.0558375124748816</v>
      </c>
      <c r="CB91" s="370" t="n">
        <v>0.718557904444993</v>
      </c>
      <c r="CC91" s="505" t="n">
        <v>-0.4</v>
      </c>
      <c r="CD91" s="505" t="n">
        <v>0.155</v>
      </c>
      <c r="CE91" s="505" t="n">
        <v>0.13</v>
      </c>
      <c r="CF91" s="505" t="n">
        <v>0.035</v>
      </c>
      <c r="CG91" s="505" t="n">
        <v>0</v>
      </c>
      <c r="CH91" s="505" t="n">
        <v>9.85459052472042</v>
      </c>
      <c r="CI91" s="505" t="n">
        <v>3.8645</v>
      </c>
    </row>
    <row r="92" customFormat="false" ht="12.75" hidden="false" customHeight="false" outlineLevel="0" collapsed="false">
      <c r="A92" s="500"/>
      <c r="B92" s="500"/>
      <c r="D92" s="361" t="e">
        <f aca="false">D91+AH91</f>
        <v>#VALUE!</v>
      </c>
      <c r="F92" s="362" t="e">
        <f aca="false">VLOOKUP(AG92,$AL$4:$AS$15,2)</f>
        <v>#VALUE!</v>
      </c>
      <c r="G92" s="362" t="e">
        <f aca="false">F92*$AU92</f>
        <v>#VALUE!</v>
      </c>
      <c r="H92" s="363" t="e">
        <f aca="false">(AL92+AM92+AN92)/(1-(AR92))</f>
        <v>#VALUE!</v>
      </c>
      <c r="I92" s="363" t="e">
        <f aca="false">(AL92+AO92+AP92)</f>
        <v>#VALUE!</v>
      </c>
      <c r="K92" s="363" t="e">
        <f aca="false">MAX(((I92-H92)-AQ92)*AU92*AH92,0)</f>
        <v>#VALUE!</v>
      </c>
      <c r="L92" s="501" t="e">
        <f aca="false">MAX(Q92-K92,0)</f>
        <v>#VALUE!</v>
      </c>
      <c r="N92" s="502" t="e">
        <f aca="false">SQRT(($AX92^2*($AH92/2)+$AW92^2*$AI92)/(($AH92/2)+$AI92))</f>
        <v>#VALUE!</v>
      </c>
      <c r="O92" s="502" t="e">
        <f aca="false">SQRT(($AY92^2*($AH92/2)+$AW92^2*$AI92)/(($AH92/2)+$AI92))</f>
        <v>#VALUE!</v>
      </c>
      <c r="P92" s="371" t="e">
        <f aca="false">(VLOOKUP(AI92,CorrelationTwo,2)*(AW92^2)*AI92+VLOOKUP(D92,CorrelationOne,$AK$9)*AX92*AY92*(AH92/2))/((AI92+(AH92/2))*O92*N92)*AF92</f>
        <v>#VALUE!</v>
      </c>
      <c r="Q92" s="501" t="e">
        <f aca="false">xSPRDOPT(I92,H92,AQ92,0,O92,N92,P92,D92-$G$5,1,0)*AH92*AU92</f>
        <v>#VALUE!</v>
      </c>
      <c r="R92" s="501"/>
      <c r="S92" s="365" t="e">
        <f aca="false">-T92/(1-AR92)</f>
        <v>#VALUE!</v>
      </c>
      <c r="T92" s="365" t="e">
        <f aca="false">xSPRDOPT(I92,H92,AQ92,AT92,O92,N92,P92,D92-$G$5,1,1)*AF92*F92*AH92</f>
        <v>#VALUE!</v>
      </c>
      <c r="U92" s="501"/>
      <c r="V92" s="503" t="e">
        <f aca="false">VLOOKUP($AG92,$AL$4:$AS$15,8)*AH92*AU92</f>
        <v>#VALUE!</v>
      </c>
      <c r="W92" s="503"/>
      <c r="X92" s="504" t="e">
        <f aca="false">((BM92*BC92)+(BL92*BB92))*AH92*F92</f>
        <v>#VALUE!</v>
      </c>
      <c r="Y92" s="504" t="e">
        <f aca="false">($F92*$AH92)*((($BG92/2)*($BC92)^2)+(($BF92/2)*($BB92)^2)+($BH92*$BC92*$BB92))</f>
        <v>#VALUE!</v>
      </c>
      <c r="Z92" s="504" t="e">
        <f aca="false">($BI92*$F92*$AH92*($G$5-$BV$5))/365.25</f>
        <v>#VALUE!</v>
      </c>
      <c r="AA92" s="504" t="e">
        <f aca="false">(($BK92*$BE92)+($BJ92*$BD92))*$F92*$AH92*$AF92</f>
        <v>#VALUE!</v>
      </c>
      <c r="AB92" s="504" t="e">
        <f aca="false">BN92*(AT92-CA92)*F92*AH92</f>
        <v>#VALUE!</v>
      </c>
      <c r="AC92" s="504" t="e">
        <f aca="false">BO92*CB92*F92*AH92*CA92*($G$5-$BV$5)/365.25</f>
        <v>#NAME?</v>
      </c>
      <c r="AF92" s="378" t="e">
        <f aca="false">IF(AND(D92&gt;=$G$7,D92&lt;=$G$8),1,0)</f>
        <v>#VALUE!</v>
      </c>
      <c r="AG92" s="378" t="e">
        <f aca="false">MONTH(D92)</f>
        <v>#VALUE!</v>
      </c>
      <c r="AH92" s="378" t="e">
        <f aca="false">(EOMONTH(D92,0)-EOMONTH(D92-DAY(D92),0))*AF92</f>
        <v>#VALUE!</v>
      </c>
      <c r="AI92" s="378" t="e">
        <f aca="false">AI91+AH91</f>
        <v>#VALUE!</v>
      </c>
      <c r="AJ92" s="378" t="e">
        <f aca="false">D92-$BV$5</f>
        <v>#VALUE!</v>
      </c>
      <c r="AL92" s="369" t="e">
        <f aca="false">VLOOKUP($D92,CurveTbl,$AK$4)</f>
        <v>#VALUE!</v>
      </c>
      <c r="AM92" s="505" t="e">
        <f aca="false">VLOOKUP($D92,CurveTbl,$AH$3)</f>
        <v>#VALUE!</v>
      </c>
      <c r="AN92" s="505" t="e">
        <f aca="false">VLOOKUP($D92,CurveTbl,$AH$4)+VLOOKUP($AG92,$AL$3:$AS$15,6)</f>
        <v>#VALUE!</v>
      </c>
      <c r="AO92" s="505" t="e">
        <f aca="false">VLOOKUP($D92,CurveTbl,$AH$5)</f>
        <v>#VALUE!</v>
      </c>
      <c r="AP92" s="505" t="e">
        <f aca="false">VLOOKUP($D92,CurveTbl,$AH$6)+VLOOKUP($AG92,$AL$3:$AS$15,7)</f>
        <v>#VALUE!</v>
      </c>
      <c r="AQ92" s="369" t="e">
        <f aca="false">VLOOKUP($AG92,$AL$4:$AS$15,3)+VLOOKUP($AG92,$AL$4:$AS$15,5)+($AH$10*VLOOKUP(D92,GRITable,2))</f>
        <v>#VALUE!</v>
      </c>
      <c r="AR92" s="370" t="e">
        <f aca="false">VLOOKUP($AG92,$AL$4:$AS$15,4)</f>
        <v>#VALUE!</v>
      </c>
      <c r="AS92" s="369" t="e">
        <f aca="false">(AL92+AM92+AN92)</f>
        <v>#VALUE!</v>
      </c>
      <c r="AT92" s="370" t="e">
        <f aca="false">VLOOKUP(D92,CurveTbl,$AK$6)</f>
        <v>#VALUE!</v>
      </c>
      <c r="AU92" s="370" t="e">
        <f aca="false">(1+$AT92/2)^(-2*($D92-$G$5)/365.25)*$AF92</f>
        <v>#VALUE!</v>
      </c>
      <c r="AV92" s="506" t="e">
        <f aca="false">ROUND((F92/(1-AR92))-F92,0)*AF92*AH92*AU92</f>
        <v>#VALUE!</v>
      </c>
      <c r="AW92" s="370" t="e">
        <f aca="false">VLOOKUP($D92,CurveTbl,$AK$8)</f>
        <v>#VALUE!</v>
      </c>
      <c r="AX92" s="370" t="e">
        <f aca="false">VLOOKUP($D92,CurveTbl,$AH$7)</f>
        <v>#VALUE!</v>
      </c>
      <c r="AY92" s="370" t="e">
        <f aca="false">VLOOKUP($D92,CurveTbl,$AH$8)</f>
        <v>#VALUE!</v>
      </c>
      <c r="AZ92" s="370"/>
      <c r="BA92" s="507"/>
      <c r="BB92" s="505" t="e">
        <f aca="false">$H92-$BV92</f>
        <v>#VALUE!</v>
      </c>
      <c r="BC92" s="505" t="e">
        <f aca="false">I92-BW92</f>
        <v>#VALUE!</v>
      </c>
      <c r="BD92" s="370" t="e">
        <f aca="false">N92-BX92</f>
        <v>#VALUE!</v>
      </c>
      <c r="BE92" s="370" t="e">
        <f aca="false">O92-BY92</f>
        <v>#VALUE!</v>
      </c>
      <c r="BF92" s="370" t="e">
        <f aca="false">xSPRDOPT($BW92,$BV92,$CG92,0,$BY92,$BX92,$BZ92,$AJ92,1,4)*$CB92</f>
        <v>#NAME?</v>
      </c>
      <c r="BG92" s="370" t="e">
        <f aca="false">xSPRDOPT($BW92,$BV92,$CG92,0,$BY92,$BX92,$BZ92,$AJ92,1,3)*$CB92</f>
        <v>#NAME?</v>
      </c>
      <c r="BH92" s="370" t="e">
        <f aca="false">IF(OR(BF92&lt;&gt;0,BG92&lt;&gt;0),xSPRDOPT($BW92,$BV92,$CG92,0,$BY92,$BX92,$BZ92,$AJ92,1,12)*$CB92,0)</f>
        <v>#NAME?</v>
      </c>
      <c r="BI92" s="370" t="e">
        <f aca="false">xSPRDOPT($BW92,$BV92,$CG92,2*LN(1+CA92/2),$BY92,$BX92,$BZ92,$AJ92,1,9)</f>
        <v>#NAME?</v>
      </c>
      <c r="BJ92" s="370" t="e">
        <f aca="false">xSPRDOPT($BW92,$BV92,$CG92,0,$BY92,$BX92,$BZ92,$AJ92,1,6)*$CB92</f>
        <v>#NAME?</v>
      </c>
      <c r="BK92" s="370" t="e">
        <f aca="false">xSPRDOPT($BW92,$BV92,$CG92,0,$BY92,$BX92,$BZ92,$AJ92,1,5)*$CB92</f>
        <v>#NAME?</v>
      </c>
      <c r="BL92" s="370" t="e">
        <f aca="false">xSPRDOPT(BW92,BV92,CG92,0,BY92,BX92,BZ92,AJ92,1,2)*CB92</f>
        <v>#NAME?</v>
      </c>
      <c r="BM92" s="370" t="e">
        <f aca="false">xSPRDOPT(BW92,BV92,CG92,0,BY92,BX92,BZ92,AJ92,1,1)*CB92</f>
        <v>#NAME?</v>
      </c>
      <c r="BN92" s="370" t="e">
        <f aca="false">IF(AH92&lt;&gt;0,xSPRDOPT($BW92,$BV92,$CG92,2*LN(1+CA92/2),$BY92,$BX92,$BZ92,$AJ92,1,8)+(AJ92/365.25)*CH92/AH92,0)</f>
        <v>#VALUE!</v>
      </c>
      <c r="BO92" s="370" t="e">
        <f aca="false">xSPRDOPT($BW92,$BV92,$CG92,0,$BY92,$BX92,$BZ92,$AJ92,1,0)</f>
        <v>#NAME?</v>
      </c>
      <c r="BP92" s="370"/>
      <c r="BQ92" s="370"/>
      <c r="BR92" s="370"/>
      <c r="BS92" s="370"/>
      <c r="BV92" s="508" t="n">
        <v>3.80653526970954</v>
      </c>
      <c r="BW92" s="369" t="n">
        <v>4.0795</v>
      </c>
      <c r="BX92" s="370" t="n">
        <v>0.25770844672885</v>
      </c>
      <c r="BY92" s="370" t="n">
        <v>0.256183058566557</v>
      </c>
      <c r="BZ92" s="370" t="n">
        <v>0.999084641515289</v>
      </c>
      <c r="CA92" s="370" t="n">
        <v>0.0560215286416526</v>
      </c>
      <c r="CB92" s="370" t="n">
        <v>0.714428287231</v>
      </c>
      <c r="CC92" s="505" t="n">
        <v>-0.4</v>
      </c>
      <c r="CD92" s="505" t="n">
        <v>0.155</v>
      </c>
      <c r="CE92" s="505" t="n">
        <v>0.13</v>
      </c>
      <c r="CF92" s="505" t="n">
        <v>0.035</v>
      </c>
      <c r="CG92" s="505" t="n">
        <v>0</v>
      </c>
      <c r="CH92" s="505" t="n">
        <v>9.79795530240083</v>
      </c>
      <c r="CI92" s="505" t="n">
        <v>3.9145</v>
      </c>
    </row>
    <row r="93" customFormat="false" ht="12.75" hidden="false" customHeight="false" outlineLevel="0" collapsed="false">
      <c r="A93" s="500"/>
      <c r="B93" s="500"/>
      <c r="D93" s="361" t="e">
        <f aca="false">D92+AH92</f>
        <v>#VALUE!</v>
      </c>
      <c r="F93" s="362" t="e">
        <f aca="false">VLOOKUP(AG93,$AL$4:$AS$15,2)</f>
        <v>#VALUE!</v>
      </c>
      <c r="G93" s="362" t="e">
        <f aca="false">F93*$AU93</f>
        <v>#VALUE!</v>
      </c>
      <c r="H93" s="363" t="e">
        <f aca="false">(AL93+AM93+AN93)/(1-(AR93))</f>
        <v>#VALUE!</v>
      </c>
      <c r="I93" s="363" t="e">
        <f aca="false">(AL93+AO93+AP93)</f>
        <v>#VALUE!</v>
      </c>
      <c r="K93" s="363" t="e">
        <f aca="false">MAX(((I93-H93)-AQ93)*AU93*AH93,0)</f>
        <v>#VALUE!</v>
      </c>
      <c r="L93" s="501" t="e">
        <f aca="false">MAX(Q93-K93,0)</f>
        <v>#VALUE!</v>
      </c>
      <c r="N93" s="502" t="e">
        <f aca="false">SQRT(($AX93^2*($AH93/2)+$AW93^2*$AI93)/(($AH93/2)+$AI93))</f>
        <v>#VALUE!</v>
      </c>
      <c r="O93" s="502" t="e">
        <f aca="false">SQRT(($AY93^2*($AH93/2)+$AW93^2*$AI93)/(($AH93/2)+$AI93))</f>
        <v>#VALUE!</v>
      </c>
      <c r="P93" s="371" t="e">
        <f aca="false">(VLOOKUP(AI93,CorrelationTwo,2)*(AW93^2)*AI93+VLOOKUP(D93,CorrelationOne,$AK$9)*AX93*AY93*(AH93/2))/((AI93+(AH93/2))*O93*N93)*AF93</f>
        <v>#VALUE!</v>
      </c>
      <c r="Q93" s="501" t="e">
        <f aca="false">xSPRDOPT(I93,H93,AQ93,0,O93,N93,P93,D93-$G$5,1,0)*AH93*AU93</f>
        <v>#VALUE!</v>
      </c>
      <c r="R93" s="501"/>
      <c r="S93" s="365" t="e">
        <f aca="false">-T93/(1-AR93)</f>
        <v>#VALUE!</v>
      </c>
      <c r="T93" s="365" t="e">
        <f aca="false">xSPRDOPT(I93,H93,AQ93,AT93,O93,N93,P93,D93-$G$5,1,1)*AF93*F93*AH93</f>
        <v>#VALUE!</v>
      </c>
      <c r="U93" s="501"/>
      <c r="V93" s="503" t="e">
        <f aca="false">VLOOKUP($AG93,$AL$4:$AS$15,8)*AH93*AU93</f>
        <v>#VALUE!</v>
      </c>
      <c r="W93" s="503"/>
      <c r="X93" s="504" t="e">
        <f aca="false">((BM93*BC93)+(BL93*BB93))*AH93*F93</f>
        <v>#VALUE!</v>
      </c>
      <c r="Y93" s="504" t="e">
        <f aca="false">($F93*$AH93)*((($BG93/2)*($BC93)^2)+(($BF93/2)*($BB93)^2)+($BH93*$BC93*$BB93))</f>
        <v>#VALUE!</v>
      </c>
      <c r="Z93" s="504" t="e">
        <f aca="false">($BI93*$F93*$AH93*($G$5-$BV$5))/365.25</f>
        <v>#VALUE!</v>
      </c>
      <c r="AA93" s="504" t="e">
        <f aca="false">(($BK93*$BE93)+($BJ93*$BD93))*$F93*$AH93*$AF93</f>
        <v>#VALUE!</v>
      </c>
      <c r="AB93" s="504" t="e">
        <f aca="false">BN93*(AT93-CA93)*F93*AH93</f>
        <v>#VALUE!</v>
      </c>
      <c r="AC93" s="504" t="e">
        <f aca="false">BO93*CB93*F93*AH93*CA93*($G$5-$BV$5)/365.25</f>
        <v>#NAME?</v>
      </c>
      <c r="AF93" s="378" t="e">
        <f aca="false">IF(AND(D93&gt;=$G$7,D93&lt;=$G$8),1,0)</f>
        <v>#VALUE!</v>
      </c>
      <c r="AG93" s="378" t="e">
        <f aca="false">MONTH(D93)</f>
        <v>#VALUE!</v>
      </c>
      <c r="AH93" s="378" t="e">
        <f aca="false">(EOMONTH(D93,0)-EOMONTH(D93-DAY(D93),0))*AF93</f>
        <v>#VALUE!</v>
      </c>
      <c r="AI93" s="378" t="e">
        <f aca="false">AI92+AH92</f>
        <v>#VALUE!</v>
      </c>
      <c r="AJ93" s="378" t="e">
        <f aca="false">D93-$BV$5</f>
        <v>#VALUE!</v>
      </c>
      <c r="AL93" s="369" t="e">
        <f aca="false">VLOOKUP($D93,CurveTbl,$AK$4)</f>
        <v>#VALUE!</v>
      </c>
      <c r="AM93" s="505" t="e">
        <f aca="false">VLOOKUP($D93,CurveTbl,$AH$3)</f>
        <v>#VALUE!</v>
      </c>
      <c r="AN93" s="505" t="e">
        <f aca="false">VLOOKUP($D93,CurveTbl,$AH$4)+VLOOKUP($AG93,$AL$3:$AS$15,6)</f>
        <v>#VALUE!</v>
      </c>
      <c r="AO93" s="505" t="e">
        <f aca="false">VLOOKUP($D93,CurveTbl,$AH$5)</f>
        <v>#VALUE!</v>
      </c>
      <c r="AP93" s="505" t="e">
        <f aca="false">VLOOKUP($D93,CurveTbl,$AH$6)+VLOOKUP($AG93,$AL$3:$AS$15,7)</f>
        <v>#VALUE!</v>
      </c>
      <c r="AQ93" s="369" t="e">
        <f aca="false">VLOOKUP($AG93,$AL$4:$AS$15,3)+VLOOKUP($AG93,$AL$4:$AS$15,5)+($AH$10*VLOOKUP(D93,GRITable,2))</f>
        <v>#VALUE!</v>
      </c>
      <c r="AR93" s="370" t="e">
        <f aca="false">VLOOKUP($AG93,$AL$4:$AS$15,4)</f>
        <v>#VALUE!</v>
      </c>
      <c r="AS93" s="369" t="e">
        <f aca="false">(AL93+AM93+AN93)</f>
        <v>#VALUE!</v>
      </c>
      <c r="AT93" s="370" t="e">
        <f aca="false">VLOOKUP(D93,CurveTbl,$AK$6)</f>
        <v>#VALUE!</v>
      </c>
      <c r="AU93" s="370" t="e">
        <f aca="false">(1+$AT93/2)^(-2*($D93-$G$5)/365.25)*$AF93</f>
        <v>#VALUE!</v>
      </c>
      <c r="AV93" s="506" t="e">
        <f aca="false">ROUND((F93/(1-AR93))-F93,0)*AF93*AH93*AU93</f>
        <v>#VALUE!</v>
      </c>
      <c r="AW93" s="370" t="e">
        <f aca="false">VLOOKUP($D93,CurveTbl,$AK$8)</f>
        <v>#VALUE!</v>
      </c>
      <c r="AX93" s="370" t="e">
        <f aca="false">VLOOKUP($D93,CurveTbl,$AH$7)</f>
        <v>#VALUE!</v>
      </c>
      <c r="AY93" s="370" t="e">
        <f aca="false">VLOOKUP($D93,CurveTbl,$AH$8)</f>
        <v>#VALUE!</v>
      </c>
      <c r="AZ93" s="370"/>
      <c r="BA93" s="507"/>
      <c r="BB93" s="505" t="e">
        <f aca="false">$H93-$BV93</f>
        <v>#VALUE!</v>
      </c>
      <c r="BC93" s="505" t="e">
        <f aca="false">I93-BW93</f>
        <v>#VALUE!</v>
      </c>
      <c r="BD93" s="370" t="e">
        <f aca="false">N93-BX93</f>
        <v>#VALUE!</v>
      </c>
      <c r="BE93" s="370" t="e">
        <f aca="false">O93-BY93</f>
        <v>#VALUE!</v>
      </c>
      <c r="BF93" s="370" t="e">
        <f aca="false">xSPRDOPT($BW93,$BV93,$CG93,0,$BY93,$BX93,$BZ93,$AJ93,1,4)*$CB93</f>
        <v>#NAME?</v>
      </c>
      <c r="BG93" s="370" t="e">
        <f aca="false">xSPRDOPT($BW93,$BV93,$CG93,0,$BY93,$BX93,$BZ93,$AJ93,1,3)*$CB93</f>
        <v>#NAME?</v>
      </c>
      <c r="BH93" s="370" t="e">
        <f aca="false">IF(OR(BF93&lt;&gt;0,BG93&lt;&gt;0),xSPRDOPT($BW93,$BV93,$CG93,0,$BY93,$BX93,$BZ93,$AJ93,1,12)*$CB93,0)</f>
        <v>#NAME?</v>
      </c>
      <c r="BI93" s="370" t="e">
        <f aca="false">xSPRDOPT($BW93,$BV93,$CG93,2*LN(1+CA93/2),$BY93,$BX93,$BZ93,$AJ93,1,9)</f>
        <v>#NAME?</v>
      </c>
      <c r="BJ93" s="370" t="e">
        <f aca="false">xSPRDOPT($BW93,$BV93,$CG93,0,$BY93,$BX93,$BZ93,$AJ93,1,6)*$CB93</f>
        <v>#NAME?</v>
      </c>
      <c r="BK93" s="370" t="e">
        <f aca="false">xSPRDOPT($BW93,$BV93,$CG93,0,$BY93,$BX93,$BZ93,$AJ93,1,5)*$CB93</f>
        <v>#NAME?</v>
      </c>
      <c r="BL93" s="370" t="e">
        <f aca="false">xSPRDOPT(BW93,BV93,CG93,0,BY93,BX93,BZ93,AJ93,1,2)*CB93</f>
        <v>#NAME?</v>
      </c>
      <c r="BM93" s="370" t="e">
        <f aca="false">xSPRDOPT(BW93,BV93,CG93,0,BY93,BX93,BZ93,AJ93,1,1)*CB93</f>
        <v>#NAME?</v>
      </c>
      <c r="BN93" s="370" t="e">
        <f aca="false">IF(AH93&lt;&gt;0,xSPRDOPT($BW93,$BV93,$CG93,2*LN(1+CA93/2),$BY93,$BX93,$BZ93,$AJ93,1,8)+(AJ93/365.25)*CH93/AH93,0)</f>
        <v>#VALUE!</v>
      </c>
      <c r="BO93" s="370" t="e">
        <f aca="false">xSPRDOPT($BW93,$BV93,$CG93,0,$BY93,$BX93,$BZ93,$AJ93,1,0)</f>
        <v>#NAME?</v>
      </c>
      <c r="BP93" s="370"/>
      <c r="BQ93" s="370"/>
      <c r="BR93" s="370"/>
      <c r="BS93" s="370"/>
      <c r="BV93" s="508" t="n">
        <v>3.71836099585062</v>
      </c>
      <c r="BW93" s="369" t="n">
        <v>3.9945</v>
      </c>
      <c r="BX93" s="370" t="n">
        <v>0.256388976290813</v>
      </c>
      <c r="BY93" s="370" t="n">
        <v>0.254974026656127</v>
      </c>
      <c r="BZ93" s="370" t="n">
        <v>0.999145602326007</v>
      </c>
      <c r="CA93" s="370" t="n">
        <v>0.0562055448196963</v>
      </c>
      <c r="CB93" s="370" t="n">
        <v>0.710300889666288</v>
      </c>
      <c r="CC93" s="505" t="n">
        <v>-0.4</v>
      </c>
      <c r="CD93" s="505" t="n">
        <v>0.155</v>
      </c>
      <c r="CE93" s="505" t="n">
        <v>0.13</v>
      </c>
      <c r="CF93" s="505" t="n">
        <v>0.035</v>
      </c>
      <c r="CG93" s="505" t="n">
        <v>0</v>
      </c>
      <c r="CH93" s="505" t="n">
        <v>9.11287629406261</v>
      </c>
      <c r="CI93" s="505" t="n">
        <v>3.8295</v>
      </c>
    </row>
    <row r="94" customFormat="false" ht="12.75" hidden="false" customHeight="false" outlineLevel="0" collapsed="false">
      <c r="A94" s="500"/>
      <c r="B94" s="500"/>
      <c r="D94" s="361" t="e">
        <f aca="false">D93+AH93</f>
        <v>#VALUE!</v>
      </c>
      <c r="F94" s="362" t="e">
        <f aca="false">VLOOKUP(AG94,$AL$4:$AS$15,2)</f>
        <v>#VALUE!</v>
      </c>
      <c r="G94" s="362" t="e">
        <f aca="false">F94*$AU94</f>
        <v>#VALUE!</v>
      </c>
      <c r="H94" s="363" t="e">
        <f aca="false">(AL94+AM94+AN94)/(1-(AR94))</f>
        <v>#VALUE!</v>
      </c>
      <c r="I94" s="363" t="e">
        <f aca="false">(AL94+AO94+AP94)</f>
        <v>#VALUE!</v>
      </c>
      <c r="K94" s="363" t="e">
        <f aca="false">MAX(((I94-H94)-AQ94)*AU94*AH94,0)</f>
        <v>#VALUE!</v>
      </c>
      <c r="L94" s="501" t="e">
        <f aca="false">MAX(Q94-K94,0)</f>
        <v>#VALUE!</v>
      </c>
      <c r="N94" s="502" t="e">
        <f aca="false">SQRT(($AX94^2*($AH94/2)+$AW94^2*$AI94)/(($AH94/2)+$AI94))</f>
        <v>#VALUE!</v>
      </c>
      <c r="O94" s="502" t="e">
        <f aca="false">SQRT(($AY94^2*($AH94/2)+$AW94^2*$AI94)/(($AH94/2)+$AI94))</f>
        <v>#VALUE!</v>
      </c>
      <c r="P94" s="371" t="e">
        <f aca="false">(VLOOKUP(AI94,CorrelationTwo,2)*(AW94^2)*AI94+VLOOKUP(D94,CorrelationOne,$AK$9)*AX94*AY94*(AH94/2))/((AI94+(AH94/2))*O94*N94)*AF94</f>
        <v>#VALUE!</v>
      </c>
      <c r="Q94" s="501" t="e">
        <f aca="false">xSPRDOPT(I94,H94,AQ94,0,O94,N94,P94,D94-$G$5,1,0)*AH94*AU94</f>
        <v>#VALUE!</v>
      </c>
      <c r="R94" s="501"/>
      <c r="S94" s="365" t="e">
        <f aca="false">-T94/(1-AR94)</f>
        <v>#VALUE!</v>
      </c>
      <c r="T94" s="365" t="e">
        <f aca="false">xSPRDOPT(I94,H94,AQ94,AT94,O94,N94,P94,D94-$G$5,1,1)*AF94*F94*AH94</f>
        <v>#VALUE!</v>
      </c>
      <c r="U94" s="501"/>
      <c r="V94" s="503" t="e">
        <f aca="false">VLOOKUP($AG94,$AL$4:$AS$15,8)*AH94*AU94</f>
        <v>#VALUE!</v>
      </c>
      <c r="W94" s="503"/>
      <c r="X94" s="504" t="e">
        <f aca="false">((BM94*BC94)+(BL94*BB94))*AH94*F94</f>
        <v>#VALUE!</v>
      </c>
      <c r="Y94" s="504" t="e">
        <f aca="false">($F94*$AH94)*((($BG94/2)*($BC94)^2)+(($BF94/2)*($BB94)^2)+($BH94*$BC94*$BB94))</f>
        <v>#VALUE!</v>
      </c>
      <c r="Z94" s="504" t="e">
        <f aca="false">($BI94*$F94*$AH94*($G$5-$BV$5))/365.25</f>
        <v>#VALUE!</v>
      </c>
      <c r="AA94" s="504" t="e">
        <f aca="false">(($BK94*$BE94)+($BJ94*$BD94))*$F94*$AH94*$AF94</f>
        <v>#VALUE!</v>
      </c>
      <c r="AB94" s="504" t="e">
        <f aca="false">BN94*(AT94-CA94)*F94*AH94</f>
        <v>#VALUE!</v>
      </c>
      <c r="AC94" s="504" t="e">
        <f aca="false">BO94*CB94*F94*AH94*CA94*($G$5-$BV$5)/365.25</f>
        <v>#NAME?</v>
      </c>
      <c r="AF94" s="378" t="e">
        <f aca="false">IF(AND(D94&gt;=$G$7,D94&lt;=$G$8),1,0)</f>
        <v>#VALUE!</v>
      </c>
      <c r="AG94" s="378" t="e">
        <f aca="false">MONTH(D94)</f>
        <v>#VALUE!</v>
      </c>
      <c r="AH94" s="378" t="e">
        <f aca="false">(EOMONTH(D94,0)-EOMONTH(D94-DAY(D94),0))*AF94</f>
        <v>#VALUE!</v>
      </c>
      <c r="AI94" s="378" t="e">
        <f aca="false">AI93+AH93</f>
        <v>#VALUE!</v>
      </c>
      <c r="AJ94" s="378" t="e">
        <f aca="false">D94-$BV$5</f>
        <v>#VALUE!</v>
      </c>
      <c r="AL94" s="369" t="e">
        <f aca="false">VLOOKUP($D94,CurveTbl,$AK$4)</f>
        <v>#VALUE!</v>
      </c>
      <c r="AM94" s="505" t="e">
        <f aca="false">VLOOKUP($D94,CurveTbl,$AH$3)</f>
        <v>#VALUE!</v>
      </c>
      <c r="AN94" s="505" t="e">
        <f aca="false">VLOOKUP($D94,CurveTbl,$AH$4)+VLOOKUP($AG94,$AL$3:$AS$15,6)</f>
        <v>#VALUE!</v>
      </c>
      <c r="AO94" s="505" t="e">
        <f aca="false">VLOOKUP($D94,CurveTbl,$AH$5)</f>
        <v>#VALUE!</v>
      </c>
      <c r="AP94" s="505" t="e">
        <f aca="false">VLOOKUP($D94,CurveTbl,$AH$6)+VLOOKUP($AG94,$AL$3:$AS$15,7)</f>
        <v>#VALUE!</v>
      </c>
      <c r="AQ94" s="369" t="e">
        <f aca="false">VLOOKUP($AG94,$AL$4:$AS$15,3)+VLOOKUP($AG94,$AL$4:$AS$15,5)+($AH$10*VLOOKUP(D94,GRITable,2))</f>
        <v>#VALUE!</v>
      </c>
      <c r="AR94" s="370" t="e">
        <f aca="false">VLOOKUP($AG94,$AL$4:$AS$15,4)</f>
        <v>#VALUE!</v>
      </c>
      <c r="AS94" s="369" t="e">
        <f aca="false">(AL94+AM94+AN94)</f>
        <v>#VALUE!</v>
      </c>
      <c r="AT94" s="370" t="e">
        <f aca="false">VLOOKUP(D94,CurveTbl,$AK$6)</f>
        <v>#VALUE!</v>
      </c>
      <c r="AU94" s="370" t="e">
        <f aca="false">(1+$AT94/2)^(-2*($D94-$G$5)/365.25)*$AF94</f>
        <v>#VALUE!</v>
      </c>
      <c r="AV94" s="506" t="e">
        <f aca="false">ROUND((F94/(1-AR94))-F94,0)*AF94*AH94*AU94</f>
        <v>#VALUE!</v>
      </c>
      <c r="AW94" s="370" t="e">
        <f aca="false">VLOOKUP($D94,CurveTbl,$AK$8)</f>
        <v>#VALUE!</v>
      </c>
      <c r="AX94" s="370" t="e">
        <f aca="false">VLOOKUP($D94,CurveTbl,$AH$7)</f>
        <v>#VALUE!</v>
      </c>
      <c r="AY94" s="370" t="e">
        <f aca="false">VLOOKUP($D94,CurveTbl,$AH$8)</f>
        <v>#VALUE!</v>
      </c>
      <c r="AZ94" s="370"/>
      <c r="BA94" s="507"/>
      <c r="BB94" s="505" t="e">
        <f aca="false">$H94-$BV94</f>
        <v>#VALUE!</v>
      </c>
      <c r="BC94" s="505" t="e">
        <f aca="false">I94-BW94</f>
        <v>#VALUE!</v>
      </c>
      <c r="BD94" s="370" t="e">
        <f aca="false">N94-BX94</f>
        <v>#VALUE!</v>
      </c>
      <c r="BE94" s="370" t="e">
        <f aca="false">O94-BY94</f>
        <v>#VALUE!</v>
      </c>
      <c r="BF94" s="370" t="e">
        <f aca="false">xSPRDOPT($BW94,$BV94,$CG94,0,$BY94,$BX94,$BZ94,$AJ94,1,4)*$CB94</f>
        <v>#NAME?</v>
      </c>
      <c r="BG94" s="370" t="e">
        <f aca="false">xSPRDOPT($BW94,$BV94,$CG94,0,$BY94,$BX94,$BZ94,$AJ94,1,3)*$CB94</f>
        <v>#NAME?</v>
      </c>
      <c r="BH94" s="370" t="e">
        <f aca="false">IF(OR(BF94&lt;&gt;0,BG94&lt;&gt;0),xSPRDOPT($BW94,$BV94,$CG94,0,$BY94,$BX94,$BZ94,$AJ94,1,12)*$CB94,0)</f>
        <v>#NAME?</v>
      </c>
      <c r="BI94" s="370" t="e">
        <f aca="false">xSPRDOPT($BW94,$BV94,$CG94,2*LN(1+CA94/2),$BY94,$BX94,$BZ94,$AJ94,1,9)</f>
        <v>#NAME?</v>
      </c>
      <c r="BJ94" s="370" t="e">
        <f aca="false">xSPRDOPT($BW94,$BV94,$CG94,0,$BY94,$BX94,$BZ94,$AJ94,1,6)*$CB94</f>
        <v>#NAME?</v>
      </c>
      <c r="BK94" s="370" t="e">
        <f aca="false">xSPRDOPT($BW94,$BV94,$CG94,0,$BY94,$BX94,$BZ94,$AJ94,1,5)*$CB94</f>
        <v>#NAME?</v>
      </c>
      <c r="BL94" s="370" t="e">
        <f aca="false">xSPRDOPT(BW94,BV94,CG94,0,BY94,BX94,BZ94,AJ94,1,2)*CB94</f>
        <v>#NAME?</v>
      </c>
      <c r="BM94" s="370" t="e">
        <f aca="false">xSPRDOPT(BW94,BV94,CG94,0,BY94,BX94,BZ94,AJ94,1,1)*CB94</f>
        <v>#NAME?</v>
      </c>
      <c r="BN94" s="370" t="e">
        <f aca="false">IF(AH94&lt;&gt;0,xSPRDOPT($BW94,$BV94,$CG94,2*LN(1+CA94/2),$BY94,$BX94,$BZ94,$AJ94,1,8)+(AJ94/365.25)*CH94/AH94,0)</f>
        <v>#VALUE!</v>
      </c>
      <c r="BO94" s="370" t="e">
        <f aca="false">xSPRDOPT($BW94,$BV94,$CG94,0,$BY94,$BX94,$BZ94,$AJ94,1,0)</f>
        <v>#NAME?</v>
      </c>
      <c r="BP94" s="370"/>
      <c r="BQ94" s="370"/>
      <c r="BR94" s="370"/>
      <c r="BS94" s="370"/>
      <c r="BV94" s="508" t="n">
        <v>3.58350622406639</v>
      </c>
      <c r="BW94" s="369" t="n">
        <v>3.8645</v>
      </c>
      <c r="BX94" s="370" t="n">
        <v>0.244442966263595</v>
      </c>
      <c r="BY94" s="370" t="n">
        <v>0.242212276821627</v>
      </c>
      <c r="BZ94" s="370" t="n">
        <v>0.999030718189808</v>
      </c>
      <c r="CA94" s="370" t="n">
        <v>0.056377688996458</v>
      </c>
      <c r="CB94" s="370" t="n">
        <v>0.706441997314755</v>
      </c>
      <c r="CC94" s="505" t="n">
        <v>-0.4</v>
      </c>
      <c r="CD94" s="505" t="n">
        <v>0.155</v>
      </c>
      <c r="CE94" s="505" t="n">
        <v>0.13</v>
      </c>
      <c r="CF94" s="505" t="n">
        <v>0.035</v>
      </c>
      <c r="CG94" s="505" t="n">
        <v>0</v>
      </c>
      <c r="CH94" s="505" t="n">
        <v>9.68842812797348</v>
      </c>
      <c r="CI94" s="505" t="n">
        <v>3.6995</v>
      </c>
    </row>
    <row r="95" customFormat="false" ht="12.75" hidden="false" customHeight="false" outlineLevel="0" collapsed="false">
      <c r="A95" s="500"/>
      <c r="B95" s="500"/>
      <c r="D95" s="361" t="e">
        <f aca="false">D94+AH94</f>
        <v>#VALUE!</v>
      </c>
      <c r="F95" s="362" t="e">
        <f aca="false">VLOOKUP(AG95,$AL$4:$AS$15,2)</f>
        <v>#VALUE!</v>
      </c>
      <c r="G95" s="362" t="e">
        <f aca="false">F95*$AU95</f>
        <v>#VALUE!</v>
      </c>
      <c r="H95" s="363" t="e">
        <f aca="false">(AL95+AM95+AN95)/(1-(AR95))</f>
        <v>#VALUE!</v>
      </c>
      <c r="I95" s="363" t="e">
        <f aca="false">(AL95+AO95+AP95)</f>
        <v>#VALUE!</v>
      </c>
      <c r="K95" s="363" t="e">
        <f aca="false">MAX(((I95-H95)-AQ95)*AU95*AH95,0)</f>
        <v>#VALUE!</v>
      </c>
      <c r="L95" s="501" t="e">
        <f aca="false">MAX(Q95-K95,0)</f>
        <v>#VALUE!</v>
      </c>
      <c r="N95" s="502" t="e">
        <f aca="false">SQRT(($AX95^2*($AH95/2)+$AW95^2*$AI95)/(($AH95/2)+$AI95))</f>
        <v>#VALUE!</v>
      </c>
      <c r="O95" s="502" t="e">
        <f aca="false">SQRT(($AY95^2*($AH95/2)+$AW95^2*$AI95)/(($AH95/2)+$AI95))</f>
        <v>#VALUE!</v>
      </c>
      <c r="P95" s="371" t="e">
        <f aca="false">(VLOOKUP(AI95,CorrelationTwo,2)*(AW95^2)*AI95+VLOOKUP(D95,CorrelationOne,$AK$9)*AX95*AY95*(AH95/2))/((AI95+(AH95/2))*O95*N95)*AF95</f>
        <v>#VALUE!</v>
      </c>
      <c r="Q95" s="501" t="e">
        <f aca="false">xSPRDOPT(I95,H95,AQ95,0,O95,N95,P95,D95-$G$5,1,0)*AH95*AU95</f>
        <v>#VALUE!</v>
      </c>
      <c r="R95" s="501"/>
      <c r="S95" s="365" t="e">
        <f aca="false">-T95/(1-AR95)</f>
        <v>#VALUE!</v>
      </c>
      <c r="T95" s="365" t="e">
        <f aca="false">xSPRDOPT(I95,H95,AQ95,AT95,O95,N95,P95,D95-$G$5,1,1)*AF95*F95*AH95</f>
        <v>#VALUE!</v>
      </c>
      <c r="U95" s="501"/>
      <c r="V95" s="503" t="e">
        <f aca="false">VLOOKUP($AG95,$AL$4:$AS$15,8)*AH95*AU95</f>
        <v>#VALUE!</v>
      </c>
      <c r="W95" s="503"/>
      <c r="X95" s="504" t="e">
        <f aca="false">((BM95*BC95)+(BL95*BB95))*AH95*F95</f>
        <v>#VALUE!</v>
      </c>
      <c r="Y95" s="504" t="e">
        <f aca="false">($F95*$AH95)*((($BG95/2)*($BC95)^2)+(($BF95/2)*($BB95)^2)+($BH95*$BC95*$BB95))</f>
        <v>#VALUE!</v>
      </c>
      <c r="Z95" s="504" t="e">
        <f aca="false">($BI95*$F95*$AH95*($G$5-$BV$5))/365.25</f>
        <v>#VALUE!</v>
      </c>
      <c r="AA95" s="504" t="e">
        <f aca="false">(($BK95*$BE95)+($BJ95*$BD95))*$F95*$AH95*$AF95</f>
        <v>#VALUE!</v>
      </c>
      <c r="AB95" s="504" t="e">
        <f aca="false">BN95*(AT95-CA95)*F95*AH95</f>
        <v>#VALUE!</v>
      </c>
      <c r="AC95" s="504" t="e">
        <f aca="false">BO95*CB95*F95*AH95*CA95*($G$5-$BV$5)/365.25</f>
        <v>#NAME?</v>
      </c>
      <c r="AF95" s="378" t="e">
        <f aca="false">IF(AND(D95&gt;=$G$7,D95&lt;=$G$8),1,0)</f>
        <v>#VALUE!</v>
      </c>
      <c r="AG95" s="378" t="e">
        <f aca="false">MONTH(D95)</f>
        <v>#VALUE!</v>
      </c>
      <c r="AH95" s="378" t="e">
        <f aca="false">(EOMONTH(D95,0)-EOMONTH(D95-DAY(D95),0))*AF95</f>
        <v>#VALUE!</v>
      </c>
      <c r="AI95" s="378" t="e">
        <f aca="false">AI94+AH94</f>
        <v>#VALUE!</v>
      </c>
      <c r="AJ95" s="378" t="e">
        <f aca="false">D95-$BV$5</f>
        <v>#VALUE!</v>
      </c>
      <c r="AL95" s="369" t="e">
        <f aca="false">VLOOKUP($D95,CurveTbl,$AK$4)</f>
        <v>#VALUE!</v>
      </c>
      <c r="AM95" s="505" t="e">
        <f aca="false">VLOOKUP($D95,CurveTbl,$AH$3)</f>
        <v>#VALUE!</v>
      </c>
      <c r="AN95" s="505" t="e">
        <f aca="false">VLOOKUP($D95,CurveTbl,$AH$4)+VLOOKUP($AG95,$AL$3:$AS$15,6)</f>
        <v>#VALUE!</v>
      </c>
      <c r="AO95" s="505" t="e">
        <f aca="false">VLOOKUP($D95,CurveTbl,$AH$5)</f>
        <v>#VALUE!</v>
      </c>
      <c r="AP95" s="505" t="e">
        <f aca="false">VLOOKUP($D95,CurveTbl,$AH$6)+VLOOKUP($AG95,$AL$3:$AS$15,7)</f>
        <v>#VALUE!</v>
      </c>
      <c r="AQ95" s="369" t="e">
        <f aca="false">VLOOKUP($AG95,$AL$4:$AS$15,3)+VLOOKUP($AG95,$AL$4:$AS$15,5)+($AH$10*VLOOKUP(D95,GRITable,2))</f>
        <v>#VALUE!</v>
      </c>
      <c r="AR95" s="370" t="e">
        <f aca="false">VLOOKUP($AG95,$AL$4:$AS$15,4)</f>
        <v>#VALUE!</v>
      </c>
      <c r="AS95" s="369" t="e">
        <f aca="false">(AL95+AM95+AN95)</f>
        <v>#VALUE!</v>
      </c>
      <c r="AT95" s="370" t="e">
        <f aca="false">VLOOKUP(D95,CurveTbl,$AK$6)</f>
        <v>#VALUE!</v>
      </c>
      <c r="AU95" s="370" t="e">
        <f aca="false">(1+$AT95/2)^(-2*($D95-$G$5)/365.25)*$AF95</f>
        <v>#VALUE!</v>
      </c>
      <c r="AV95" s="506" t="e">
        <f aca="false">ROUND((F95/(1-AR95))-F95,0)*AF95*AH95*AU95</f>
        <v>#VALUE!</v>
      </c>
      <c r="AW95" s="370" t="e">
        <f aca="false">VLOOKUP($D95,CurveTbl,$AK$8)</f>
        <v>#VALUE!</v>
      </c>
      <c r="AX95" s="370" t="e">
        <f aca="false">VLOOKUP($D95,CurveTbl,$AH$7)</f>
        <v>#VALUE!</v>
      </c>
      <c r="AY95" s="370" t="e">
        <f aca="false">VLOOKUP($D95,CurveTbl,$AH$8)</f>
        <v>#VALUE!</v>
      </c>
      <c r="AZ95" s="370"/>
      <c r="BA95" s="507"/>
      <c r="BB95" s="505" t="e">
        <f aca="false">$H95-$BV95</f>
        <v>#VALUE!</v>
      </c>
      <c r="BC95" s="505" t="e">
        <f aca="false">I95-BW95</f>
        <v>#VALUE!</v>
      </c>
      <c r="BD95" s="370" t="e">
        <f aca="false">N95-BX95</f>
        <v>#VALUE!</v>
      </c>
      <c r="BE95" s="370" t="e">
        <f aca="false">O95-BY95</f>
        <v>#VALUE!</v>
      </c>
      <c r="BF95" s="370" t="e">
        <f aca="false">xSPRDOPT($BW95,$BV95,$CG95,0,$BY95,$BX95,$BZ95,$AJ95,1,4)*$CB95</f>
        <v>#NAME?</v>
      </c>
      <c r="BG95" s="370" t="e">
        <f aca="false">xSPRDOPT($BW95,$BV95,$CG95,0,$BY95,$BX95,$BZ95,$AJ95,1,3)*$CB95</f>
        <v>#NAME?</v>
      </c>
      <c r="BH95" s="370" t="e">
        <f aca="false">IF(OR(BF95&lt;&gt;0,BG95&lt;&gt;0),xSPRDOPT($BW95,$BV95,$CG95,0,$BY95,$BX95,$BZ95,$AJ95,1,12)*$CB95,0)</f>
        <v>#NAME?</v>
      </c>
      <c r="BI95" s="370" t="e">
        <f aca="false">xSPRDOPT($BW95,$BV95,$CG95,2*LN(1+CA95/2),$BY95,$BX95,$BZ95,$AJ95,1,9)</f>
        <v>#NAME?</v>
      </c>
      <c r="BJ95" s="370" t="e">
        <f aca="false">xSPRDOPT($BW95,$BV95,$CG95,0,$BY95,$BX95,$BZ95,$AJ95,1,6)*$CB95</f>
        <v>#NAME?</v>
      </c>
      <c r="BK95" s="370" t="e">
        <f aca="false">xSPRDOPT($BW95,$BV95,$CG95,0,$BY95,$BX95,$BZ95,$AJ95,1,5)*$CB95</f>
        <v>#NAME?</v>
      </c>
      <c r="BL95" s="370" t="e">
        <f aca="false">xSPRDOPT(BW95,BV95,CG95,0,BY95,BX95,BZ95,AJ95,1,2)*CB95</f>
        <v>#NAME?</v>
      </c>
      <c r="BM95" s="370" t="e">
        <f aca="false">xSPRDOPT(BW95,BV95,CG95,0,BY95,BX95,BZ95,AJ95,1,1)*CB95</f>
        <v>#NAME?</v>
      </c>
      <c r="BN95" s="370" t="e">
        <f aca="false">IF(AH95&lt;&gt;0,xSPRDOPT($BW95,$BV95,$CG95,2*LN(1+CA95/2),$BY95,$BX95,$BZ95,$AJ95,1,8)+(AJ95/365.25)*CH95/AH95,0)</f>
        <v>#VALUE!</v>
      </c>
      <c r="BO95" s="370" t="e">
        <f aca="false">xSPRDOPT($BW95,$BV95,$CG95,0,$BY95,$BX95,$BZ95,$AJ95,1,0)</f>
        <v>#NAME?</v>
      </c>
      <c r="BP95" s="370"/>
      <c r="BQ95" s="370"/>
      <c r="BR95" s="370"/>
      <c r="BS95" s="370"/>
      <c r="BV95" s="508" t="n">
        <v>3.34491701244813</v>
      </c>
      <c r="BW95" s="369" t="n">
        <v>3.5945</v>
      </c>
      <c r="BX95" s="370" t="n">
        <v>0.232097674382066</v>
      </c>
      <c r="BY95" s="370" t="n">
        <v>0.232097674382066</v>
      </c>
      <c r="BZ95" s="370" t="n">
        <v>0.999464146101878</v>
      </c>
      <c r="CA95" s="370" t="n">
        <v>0.0565617051963172</v>
      </c>
      <c r="CB95" s="370" t="n">
        <v>0.702319574274981</v>
      </c>
      <c r="CC95" s="505" t="n">
        <v>-0.445</v>
      </c>
      <c r="CD95" s="505" t="n">
        <v>0.155</v>
      </c>
      <c r="CE95" s="505" t="n">
        <v>0.04</v>
      </c>
      <c r="CF95" s="505" t="n">
        <v>0.04</v>
      </c>
      <c r="CG95" s="505" t="n">
        <v>0</v>
      </c>
      <c r="CH95" s="505" t="n">
        <v>9.32118538977755</v>
      </c>
      <c r="CI95" s="505" t="n">
        <v>3.5145</v>
      </c>
    </row>
    <row r="96" customFormat="false" ht="12.75" hidden="false" customHeight="false" outlineLevel="0" collapsed="false">
      <c r="A96" s="500"/>
      <c r="B96" s="500"/>
      <c r="D96" s="361" t="e">
        <f aca="false">D95+AH95</f>
        <v>#VALUE!</v>
      </c>
      <c r="F96" s="362" t="e">
        <f aca="false">VLOOKUP(AG96,$AL$4:$AS$15,2)</f>
        <v>#VALUE!</v>
      </c>
      <c r="G96" s="362" t="e">
        <f aca="false">F96*$AU96</f>
        <v>#VALUE!</v>
      </c>
      <c r="H96" s="363" t="e">
        <f aca="false">(AL96+AM96+AN96)/(1-(AR96))</f>
        <v>#VALUE!</v>
      </c>
      <c r="I96" s="363" t="e">
        <f aca="false">(AL96+AO96+AP96)</f>
        <v>#VALUE!</v>
      </c>
      <c r="K96" s="363" t="e">
        <f aca="false">MAX(((I96-H96)-AQ96)*AU96*AH96,0)</f>
        <v>#VALUE!</v>
      </c>
      <c r="L96" s="501" t="e">
        <f aca="false">MAX(Q96-K96,0)</f>
        <v>#VALUE!</v>
      </c>
      <c r="N96" s="502" t="e">
        <f aca="false">SQRT(($AX96^2*($AH96/2)+$AW96^2*$AI96)/(($AH96/2)+$AI96))</f>
        <v>#VALUE!</v>
      </c>
      <c r="O96" s="502" t="e">
        <f aca="false">SQRT(($AY96^2*($AH96/2)+$AW96^2*$AI96)/(($AH96/2)+$AI96))</f>
        <v>#VALUE!</v>
      </c>
      <c r="P96" s="371" t="e">
        <f aca="false">(VLOOKUP(AI96,CorrelationTwo,2)*(AW96^2)*AI96+VLOOKUP(D96,CorrelationOne,$AK$9)*AX96*AY96*(AH96/2))/((AI96+(AH96/2))*O96*N96)*AF96</f>
        <v>#VALUE!</v>
      </c>
      <c r="Q96" s="501" t="e">
        <f aca="false">xSPRDOPT(I96,H96,AQ96,0,O96,N96,P96,D96-$G$5,1,0)*AH96*AU96</f>
        <v>#VALUE!</v>
      </c>
      <c r="R96" s="501"/>
      <c r="S96" s="365" t="e">
        <f aca="false">-T96/(1-AR96)</f>
        <v>#VALUE!</v>
      </c>
      <c r="T96" s="365" t="e">
        <f aca="false">xSPRDOPT(I96,H96,AQ96,AT96,O96,N96,P96,D96-$G$5,1,1)*AF96*F96*AH96</f>
        <v>#VALUE!</v>
      </c>
      <c r="U96" s="501"/>
      <c r="V96" s="503" t="e">
        <f aca="false">VLOOKUP($AG96,$AL$4:$AS$15,8)*AH96*AU96</f>
        <v>#VALUE!</v>
      </c>
      <c r="W96" s="503"/>
      <c r="X96" s="504" t="e">
        <f aca="false">((BM96*BC96)+(BL96*BB96))*AH96*F96</f>
        <v>#VALUE!</v>
      </c>
      <c r="Y96" s="504" t="e">
        <f aca="false">($F96*$AH96)*((($BG96/2)*($BC96)^2)+(($BF96/2)*($BB96)^2)+($BH96*$BC96*$BB96))</f>
        <v>#VALUE!</v>
      </c>
      <c r="Z96" s="504" t="e">
        <f aca="false">($BI96*$F96*$AH96*($G$5-$BV$5))/365.25</f>
        <v>#VALUE!</v>
      </c>
      <c r="AA96" s="504" t="e">
        <f aca="false">(($BK96*$BE96)+($BJ96*$BD96))*$F96*$AH96*$AF96</f>
        <v>#VALUE!</v>
      </c>
      <c r="AB96" s="504" t="e">
        <f aca="false">BN96*(AT96-CA96)*F96*AH96</f>
        <v>#VALUE!</v>
      </c>
      <c r="AC96" s="504" t="e">
        <f aca="false">BO96*CB96*F96*AH96*CA96*($G$5-$BV$5)/365.25</f>
        <v>#NAME?</v>
      </c>
      <c r="AF96" s="378" t="e">
        <f aca="false">IF(AND(D96&gt;=$G$7,D96&lt;=$G$8),1,0)</f>
        <v>#VALUE!</v>
      </c>
      <c r="AG96" s="378" t="e">
        <f aca="false">MONTH(D96)</f>
        <v>#VALUE!</v>
      </c>
      <c r="AH96" s="378" t="e">
        <f aca="false">(EOMONTH(D96,0)-EOMONTH(D96-DAY(D96),0))*AF96</f>
        <v>#VALUE!</v>
      </c>
      <c r="AI96" s="378" t="e">
        <f aca="false">AI95+AH95</f>
        <v>#VALUE!</v>
      </c>
      <c r="AJ96" s="378" t="e">
        <f aca="false">D96-$BV$5</f>
        <v>#VALUE!</v>
      </c>
      <c r="AL96" s="369" t="e">
        <f aca="false">VLOOKUP($D96,CurveTbl,$AK$4)</f>
        <v>#VALUE!</v>
      </c>
      <c r="AM96" s="505" t="e">
        <f aca="false">VLOOKUP($D96,CurveTbl,$AH$3)</f>
        <v>#VALUE!</v>
      </c>
      <c r="AN96" s="505" t="e">
        <f aca="false">VLOOKUP($D96,CurveTbl,$AH$4)+VLOOKUP($AG96,$AL$3:$AS$15,6)</f>
        <v>#VALUE!</v>
      </c>
      <c r="AO96" s="505" t="e">
        <f aca="false">VLOOKUP($D96,CurveTbl,$AH$5)</f>
        <v>#VALUE!</v>
      </c>
      <c r="AP96" s="505" t="e">
        <f aca="false">VLOOKUP($D96,CurveTbl,$AH$6)+VLOOKUP($AG96,$AL$3:$AS$15,7)</f>
        <v>#VALUE!</v>
      </c>
      <c r="AQ96" s="369" t="e">
        <f aca="false">VLOOKUP($AG96,$AL$4:$AS$15,3)+VLOOKUP($AG96,$AL$4:$AS$15,5)+($AH$10*VLOOKUP(D96,GRITable,2))</f>
        <v>#VALUE!</v>
      </c>
      <c r="AR96" s="370" t="e">
        <f aca="false">VLOOKUP($AG96,$AL$4:$AS$15,4)</f>
        <v>#VALUE!</v>
      </c>
      <c r="AS96" s="369" t="e">
        <f aca="false">(AL96+AM96+AN96)</f>
        <v>#VALUE!</v>
      </c>
      <c r="AT96" s="370" t="e">
        <f aca="false">VLOOKUP(D96,CurveTbl,$AK$6)</f>
        <v>#VALUE!</v>
      </c>
      <c r="AU96" s="370" t="e">
        <f aca="false">(1+$AT96/2)^(-2*($D96-$G$5)/365.25)*$AF96</f>
        <v>#VALUE!</v>
      </c>
      <c r="AV96" s="506" t="e">
        <f aca="false">ROUND((F96/(1-AR96))-F96,0)*AF96*AH96*AU96</f>
        <v>#VALUE!</v>
      </c>
      <c r="AW96" s="370" t="e">
        <f aca="false">VLOOKUP($D96,CurveTbl,$AK$8)</f>
        <v>#VALUE!</v>
      </c>
      <c r="AX96" s="370" t="e">
        <f aca="false">VLOOKUP($D96,CurveTbl,$AH$7)</f>
        <v>#VALUE!</v>
      </c>
      <c r="AY96" s="370" t="e">
        <f aca="false">VLOOKUP($D96,CurveTbl,$AH$8)</f>
        <v>#VALUE!</v>
      </c>
      <c r="AZ96" s="370"/>
      <c r="BA96" s="507"/>
      <c r="BB96" s="505" t="e">
        <f aca="false">$H96-$BV96</f>
        <v>#VALUE!</v>
      </c>
      <c r="BC96" s="505" t="e">
        <f aca="false">I96-BW96</f>
        <v>#VALUE!</v>
      </c>
      <c r="BD96" s="370" t="e">
        <f aca="false">N96-BX96</f>
        <v>#VALUE!</v>
      </c>
      <c r="BE96" s="370" t="e">
        <f aca="false">O96-BY96</f>
        <v>#VALUE!</v>
      </c>
      <c r="BF96" s="370" t="e">
        <f aca="false">xSPRDOPT($BW96,$BV96,$CG96,0,$BY96,$BX96,$BZ96,$AJ96,1,4)*$CB96</f>
        <v>#NAME?</v>
      </c>
      <c r="BG96" s="370" t="e">
        <f aca="false">xSPRDOPT($BW96,$BV96,$CG96,0,$BY96,$BX96,$BZ96,$AJ96,1,3)*$CB96</f>
        <v>#NAME?</v>
      </c>
      <c r="BH96" s="370" t="e">
        <f aca="false">IF(OR(BF96&lt;&gt;0,BG96&lt;&gt;0),xSPRDOPT($BW96,$BV96,$CG96,0,$BY96,$BX96,$BZ96,$AJ96,1,12)*$CB96,0)</f>
        <v>#NAME?</v>
      </c>
      <c r="BI96" s="370" t="e">
        <f aca="false">xSPRDOPT($BW96,$BV96,$CG96,2*LN(1+CA96/2),$BY96,$BX96,$BZ96,$AJ96,1,9)</f>
        <v>#NAME?</v>
      </c>
      <c r="BJ96" s="370" t="e">
        <f aca="false">xSPRDOPT($BW96,$BV96,$CG96,0,$BY96,$BX96,$BZ96,$AJ96,1,6)*$CB96</f>
        <v>#NAME?</v>
      </c>
      <c r="BK96" s="370" t="e">
        <f aca="false">xSPRDOPT($BW96,$BV96,$CG96,0,$BY96,$BX96,$BZ96,$AJ96,1,5)*$CB96</f>
        <v>#NAME?</v>
      </c>
      <c r="BL96" s="370" t="e">
        <f aca="false">xSPRDOPT(BW96,BV96,CG96,0,BY96,BX96,BZ96,AJ96,1,2)*CB96</f>
        <v>#NAME?</v>
      </c>
      <c r="BM96" s="370" t="e">
        <f aca="false">xSPRDOPT(BW96,BV96,CG96,0,BY96,BX96,BZ96,AJ96,1,1)*CB96</f>
        <v>#NAME?</v>
      </c>
      <c r="BN96" s="370" t="e">
        <f aca="false">IF(AH96&lt;&gt;0,xSPRDOPT($BW96,$BV96,$CG96,2*LN(1+CA96/2),$BY96,$BX96,$BZ96,$AJ96,1,8)+(AJ96/365.25)*CH96/AH96,0)</f>
        <v>#VALUE!</v>
      </c>
      <c r="BO96" s="370" t="e">
        <f aca="false">xSPRDOPT($BW96,$BV96,$CG96,0,$BY96,$BX96,$BZ96,$AJ96,1,0)</f>
        <v>#NAME?</v>
      </c>
      <c r="BP96" s="370"/>
      <c r="BQ96" s="370"/>
      <c r="BR96" s="370"/>
      <c r="BS96" s="370"/>
      <c r="BV96" s="508" t="n">
        <v>3.33973029045643</v>
      </c>
      <c r="BW96" s="369" t="n">
        <v>3.5895</v>
      </c>
      <c r="BX96" s="370" t="n">
        <v>0.23213921792683</v>
      </c>
      <c r="BY96" s="370" t="n">
        <v>0.232814336876247</v>
      </c>
      <c r="BZ96" s="370" t="n">
        <v>0.9992461110832</v>
      </c>
      <c r="CA96" s="370" t="n">
        <v>0.0567397854004592</v>
      </c>
      <c r="CB96" s="370" t="n">
        <v>0.698332908048983</v>
      </c>
      <c r="CC96" s="505" t="n">
        <v>-0.445</v>
      </c>
      <c r="CD96" s="505" t="n">
        <v>0.155</v>
      </c>
      <c r="CE96" s="505" t="n">
        <v>0.04</v>
      </c>
      <c r="CF96" s="505" t="n">
        <v>0.04</v>
      </c>
      <c r="CG96" s="505" t="n">
        <v>0</v>
      </c>
      <c r="CH96" s="505" t="n">
        <v>9.57721683414697</v>
      </c>
      <c r="CI96" s="505" t="n">
        <v>3.5095</v>
      </c>
    </row>
    <row r="97" customFormat="false" ht="12.75" hidden="false" customHeight="false" outlineLevel="0" collapsed="false">
      <c r="A97" s="500"/>
      <c r="B97" s="500"/>
      <c r="D97" s="361" t="e">
        <f aca="false">D96+AH96</f>
        <v>#VALUE!</v>
      </c>
      <c r="F97" s="362" t="e">
        <f aca="false">VLOOKUP(AG97,$AL$4:$AS$15,2)</f>
        <v>#VALUE!</v>
      </c>
      <c r="G97" s="362" t="e">
        <f aca="false">F97*$AU97</f>
        <v>#VALUE!</v>
      </c>
      <c r="H97" s="363" t="e">
        <f aca="false">(AL97+AM97+AN97)/(1-(AR97))</f>
        <v>#VALUE!</v>
      </c>
      <c r="I97" s="363" t="e">
        <f aca="false">(AL97+AO97+AP97)</f>
        <v>#VALUE!</v>
      </c>
      <c r="K97" s="363" t="e">
        <f aca="false">MAX(((I97-H97)-AQ97)*AU97*AH97,0)</f>
        <v>#VALUE!</v>
      </c>
      <c r="L97" s="501" t="e">
        <f aca="false">MAX(Q97-K97,0)</f>
        <v>#VALUE!</v>
      </c>
      <c r="N97" s="502" t="e">
        <f aca="false">SQRT(($AX97^2*($AH97/2)+$AW97^2*$AI97)/(($AH97/2)+$AI97))</f>
        <v>#VALUE!</v>
      </c>
      <c r="O97" s="502" t="e">
        <f aca="false">SQRT(($AY97^2*($AH97/2)+$AW97^2*$AI97)/(($AH97/2)+$AI97))</f>
        <v>#VALUE!</v>
      </c>
      <c r="P97" s="371" t="e">
        <f aca="false">(VLOOKUP(AI97,CorrelationTwo,2)*(AW97^2)*AI97+VLOOKUP(D97,CorrelationOne,$AK$9)*AX97*AY97*(AH97/2))/((AI97+(AH97/2))*O97*N97)*AF97</f>
        <v>#VALUE!</v>
      </c>
      <c r="Q97" s="501" t="e">
        <f aca="false">xSPRDOPT(I97,H97,AQ97,0,O97,N97,P97,D97-$G$5,1,0)*AH97*AU97</f>
        <v>#VALUE!</v>
      </c>
      <c r="R97" s="501"/>
      <c r="S97" s="365" t="e">
        <f aca="false">-T97/(1-AR97)</f>
        <v>#VALUE!</v>
      </c>
      <c r="T97" s="365" t="e">
        <f aca="false">xSPRDOPT(I97,H97,AQ97,AT97,O97,N97,P97,D97-$G$5,1,1)*AF97*F97*AH97</f>
        <v>#VALUE!</v>
      </c>
      <c r="U97" s="501"/>
      <c r="V97" s="503" t="e">
        <f aca="false">VLOOKUP($AG97,$AL$4:$AS$15,8)*AH97*AU97</f>
        <v>#VALUE!</v>
      </c>
      <c r="W97" s="503"/>
      <c r="X97" s="504" t="e">
        <f aca="false">((BM97*BC97)+(BL97*BB97))*AH97*F97</f>
        <v>#VALUE!</v>
      </c>
      <c r="Y97" s="504" t="e">
        <f aca="false">($F97*$AH97)*((($BG97/2)*($BC97)^2)+(($BF97/2)*($BB97)^2)+($BH97*$BC97*$BB97))</f>
        <v>#VALUE!</v>
      </c>
      <c r="Z97" s="504" t="e">
        <f aca="false">($BI97*$F97*$AH97*($G$5-$BV$5))/365.25</f>
        <v>#VALUE!</v>
      </c>
      <c r="AA97" s="504" t="e">
        <f aca="false">(($BK97*$BE97)+($BJ97*$BD97))*$F97*$AH97*$AF97</f>
        <v>#VALUE!</v>
      </c>
      <c r="AB97" s="504" t="e">
        <f aca="false">BN97*(AT97-CA97)*F97*AH97</f>
        <v>#VALUE!</v>
      </c>
      <c r="AC97" s="504" t="e">
        <f aca="false">BO97*CB97*F97*AH97*CA97*($G$5-$BV$5)/365.25</f>
        <v>#NAME?</v>
      </c>
      <c r="AF97" s="378" t="e">
        <f aca="false">IF(AND(D97&gt;=$G$7,D97&lt;=$G$8),1,0)</f>
        <v>#VALUE!</v>
      </c>
      <c r="AG97" s="378" t="e">
        <f aca="false">MONTH(D97)</f>
        <v>#VALUE!</v>
      </c>
      <c r="AH97" s="378" t="e">
        <f aca="false">(EOMONTH(D97,0)-EOMONTH(D97-DAY(D97),0))*AF97</f>
        <v>#VALUE!</v>
      </c>
      <c r="AI97" s="378" t="e">
        <f aca="false">AI96+AH96</f>
        <v>#VALUE!</v>
      </c>
      <c r="AJ97" s="378" t="e">
        <f aca="false">D97-$BV$5</f>
        <v>#VALUE!</v>
      </c>
      <c r="AL97" s="369" t="e">
        <f aca="false">VLOOKUP($D97,CurveTbl,$AK$4)</f>
        <v>#VALUE!</v>
      </c>
      <c r="AM97" s="505" t="e">
        <f aca="false">VLOOKUP($D97,CurveTbl,$AH$3)</f>
        <v>#VALUE!</v>
      </c>
      <c r="AN97" s="505" t="e">
        <f aca="false">VLOOKUP($D97,CurveTbl,$AH$4)+VLOOKUP($AG97,$AL$3:$AS$15,6)</f>
        <v>#VALUE!</v>
      </c>
      <c r="AO97" s="505" t="e">
        <f aca="false">VLOOKUP($D97,CurveTbl,$AH$5)</f>
        <v>#VALUE!</v>
      </c>
      <c r="AP97" s="505" t="e">
        <f aca="false">VLOOKUP($D97,CurveTbl,$AH$6)+VLOOKUP($AG97,$AL$3:$AS$15,7)</f>
        <v>#VALUE!</v>
      </c>
      <c r="AQ97" s="369" t="e">
        <f aca="false">VLOOKUP($AG97,$AL$4:$AS$15,3)+VLOOKUP($AG97,$AL$4:$AS$15,5)+($AH$10*VLOOKUP(D97,GRITable,2))</f>
        <v>#VALUE!</v>
      </c>
      <c r="AR97" s="370" t="e">
        <f aca="false">VLOOKUP($AG97,$AL$4:$AS$15,4)</f>
        <v>#VALUE!</v>
      </c>
      <c r="AS97" s="369" t="e">
        <f aca="false">(AL97+AM97+AN97)</f>
        <v>#VALUE!</v>
      </c>
      <c r="AT97" s="370" t="e">
        <f aca="false">VLOOKUP(D97,CurveTbl,$AK$6)</f>
        <v>#VALUE!</v>
      </c>
      <c r="AU97" s="370" t="e">
        <f aca="false">(1+$AT97/2)^(-2*($D97-$G$5)/365.25)*$AF97</f>
        <v>#VALUE!</v>
      </c>
      <c r="AV97" s="506" t="e">
        <f aca="false">ROUND((F97/(1-AR97))-F97,0)*AF97*AH97*AU97</f>
        <v>#VALUE!</v>
      </c>
      <c r="AW97" s="370" t="e">
        <f aca="false">VLOOKUP($D97,CurveTbl,$AK$8)</f>
        <v>#VALUE!</v>
      </c>
      <c r="AX97" s="370" t="e">
        <f aca="false">VLOOKUP($D97,CurveTbl,$AH$7)</f>
        <v>#VALUE!</v>
      </c>
      <c r="AY97" s="370" t="e">
        <f aca="false">VLOOKUP($D97,CurveTbl,$AH$8)</f>
        <v>#VALUE!</v>
      </c>
      <c r="AZ97" s="370"/>
      <c r="BA97" s="507"/>
      <c r="BB97" s="505" t="e">
        <f aca="false">$H97-$BV97</f>
        <v>#VALUE!</v>
      </c>
      <c r="BC97" s="505" t="e">
        <f aca="false">I97-BW97</f>
        <v>#VALUE!</v>
      </c>
      <c r="BD97" s="370" t="e">
        <f aca="false">N97-BX97</f>
        <v>#VALUE!</v>
      </c>
      <c r="BE97" s="370" t="e">
        <f aca="false">O97-BY97</f>
        <v>#VALUE!</v>
      </c>
      <c r="BF97" s="370" t="e">
        <f aca="false">xSPRDOPT($BW97,$BV97,$CG97,0,$BY97,$BX97,$BZ97,$AJ97,1,4)*$CB97</f>
        <v>#NAME?</v>
      </c>
      <c r="BG97" s="370" t="e">
        <f aca="false">xSPRDOPT($BW97,$BV97,$CG97,0,$BY97,$BX97,$BZ97,$AJ97,1,3)*$CB97</f>
        <v>#NAME?</v>
      </c>
      <c r="BH97" s="370" t="e">
        <f aca="false">IF(OR(BF97&lt;&gt;0,BG97&lt;&gt;0),xSPRDOPT($BW97,$BV97,$CG97,0,$BY97,$BX97,$BZ97,$AJ97,1,12)*$CB97,0)</f>
        <v>#NAME?</v>
      </c>
      <c r="BI97" s="370" t="e">
        <f aca="false">xSPRDOPT($BW97,$BV97,$CG97,2*LN(1+CA97/2),$BY97,$BX97,$BZ97,$AJ97,1,9)</f>
        <v>#NAME?</v>
      </c>
      <c r="BJ97" s="370" t="e">
        <f aca="false">xSPRDOPT($BW97,$BV97,$CG97,0,$BY97,$BX97,$BZ97,$AJ97,1,6)*$CB97</f>
        <v>#NAME?</v>
      </c>
      <c r="BK97" s="370" t="e">
        <f aca="false">xSPRDOPT($BW97,$BV97,$CG97,0,$BY97,$BX97,$BZ97,$AJ97,1,5)*$CB97</f>
        <v>#NAME?</v>
      </c>
      <c r="BL97" s="370" t="e">
        <f aca="false">xSPRDOPT(BW97,BV97,CG97,0,BY97,BX97,BZ97,AJ97,1,2)*CB97</f>
        <v>#NAME?</v>
      </c>
      <c r="BM97" s="370" t="e">
        <f aca="false">xSPRDOPT(BW97,BV97,CG97,0,BY97,BX97,BZ97,AJ97,1,1)*CB97</f>
        <v>#NAME?</v>
      </c>
      <c r="BN97" s="370" t="e">
        <f aca="false">IF(AH97&lt;&gt;0,xSPRDOPT($BW97,$BV97,$CG97,2*LN(1+CA97/2),$BY97,$BX97,$BZ97,$AJ97,1,8)+(AJ97/365.25)*CH97/AH97,0)</f>
        <v>#VALUE!</v>
      </c>
      <c r="BO97" s="370" t="e">
        <f aca="false">xSPRDOPT($BW97,$BV97,$CG97,0,$BY97,$BX97,$BZ97,$AJ97,1,0)</f>
        <v>#NAME?</v>
      </c>
      <c r="BP97" s="370"/>
      <c r="BQ97" s="370"/>
      <c r="BR97" s="370"/>
      <c r="BS97" s="370"/>
      <c r="BV97" s="508" t="n">
        <v>3.37603734439834</v>
      </c>
      <c r="BW97" s="369" t="n">
        <v>3.6245</v>
      </c>
      <c r="BX97" s="370" t="n">
        <v>0.232044057119428</v>
      </c>
      <c r="BY97" s="370" t="n">
        <v>0.232689316862245</v>
      </c>
      <c r="BZ97" s="370" t="n">
        <v>0.999278936377494</v>
      </c>
      <c r="CA97" s="370" t="n">
        <v>0.056923801622494</v>
      </c>
      <c r="CB97" s="370" t="n">
        <v>0.694216449063231</v>
      </c>
      <c r="CC97" s="505" t="n">
        <v>-0.445</v>
      </c>
      <c r="CD97" s="505" t="n">
        <v>0.155</v>
      </c>
      <c r="CE97" s="505" t="n">
        <v>0.04</v>
      </c>
      <c r="CF97" s="505" t="n">
        <v>0.04</v>
      </c>
      <c r="CG97" s="505" t="n">
        <v>0</v>
      </c>
      <c r="CH97" s="505" t="n">
        <v>9.2136407119672</v>
      </c>
      <c r="CI97" s="505" t="n">
        <v>3.5445</v>
      </c>
    </row>
    <row r="98" customFormat="false" ht="12.75" hidden="false" customHeight="false" outlineLevel="0" collapsed="false">
      <c r="A98" s="500"/>
      <c r="B98" s="500"/>
      <c r="D98" s="361" t="e">
        <f aca="false">D97+AH97</f>
        <v>#VALUE!</v>
      </c>
      <c r="F98" s="362" t="e">
        <f aca="false">VLOOKUP(AG98,$AL$4:$AS$15,2)</f>
        <v>#VALUE!</v>
      </c>
      <c r="G98" s="362" t="e">
        <f aca="false">F98*$AU98</f>
        <v>#VALUE!</v>
      </c>
      <c r="H98" s="363" t="e">
        <f aca="false">(AL98+AM98+AN98)/(1-(AR98))</f>
        <v>#VALUE!</v>
      </c>
      <c r="I98" s="363" t="e">
        <f aca="false">(AL98+AO98+AP98)</f>
        <v>#VALUE!</v>
      </c>
      <c r="K98" s="363" t="e">
        <f aca="false">MAX(((I98-H98)-AQ98)*AU98*AH98,0)</f>
        <v>#VALUE!</v>
      </c>
      <c r="L98" s="501" t="e">
        <f aca="false">MAX(Q98-K98,0)</f>
        <v>#VALUE!</v>
      </c>
      <c r="N98" s="502" t="e">
        <f aca="false">SQRT(($AX98^2*($AH98/2)+$AW98^2*$AI98)/(($AH98/2)+$AI98))</f>
        <v>#VALUE!</v>
      </c>
      <c r="O98" s="502" t="e">
        <f aca="false">SQRT(($AY98^2*($AH98/2)+$AW98^2*$AI98)/(($AH98/2)+$AI98))</f>
        <v>#VALUE!</v>
      </c>
      <c r="P98" s="371" t="e">
        <f aca="false">(VLOOKUP(AI98,CorrelationTwo,2)*(AW98^2)*AI98+VLOOKUP(D98,CorrelationOne,$AK$9)*AX98*AY98*(AH98/2))/((AI98+(AH98/2))*O98*N98)*AF98</f>
        <v>#VALUE!</v>
      </c>
      <c r="Q98" s="501" t="e">
        <f aca="false">xSPRDOPT(I98,H98,AQ98,0,O98,N98,P98,D98-$G$5,1,0)*AH98*AU98</f>
        <v>#VALUE!</v>
      </c>
      <c r="R98" s="501"/>
      <c r="S98" s="365" t="e">
        <f aca="false">-T98/(1-AR98)</f>
        <v>#VALUE!</v>
      </c>
      <c r="T98" s="365" t="e">
        <f aca="false">xSPRDOPT(I98,H98,AQ98,AT98,O98,N98,P98,D98-$G$5,1,1)*AF98*F98*AH98</f>
        <v>#VALUE!</v>
      </c>
      <c r="U98" s="501"/>
      <c r="V98" s="503" t="e">
        <f aca="false">VLOOKUP($AG98,$AL$4:$AS$15,8)*AH98*AU98</f>
        <v>#VALUE!</v>
      </c>
      <c r="W98" s="503"/>
      <c r="X98" s="504" t="e">
        <f aca="false">((BM98*BC98)+(BL98*BB98))*AH98*F98</f>
        <v>#VALUE!</v>
      </c>
      <c r="Y98" s="504" t="e">
        <f aca="false">($F98*$AH98)*((($BG98/2)*($BC98)^2)+(($BF98/2)*($BB98)^2)+($BH98*$BC98*$BB98))</f>
        <v>#VALUE!</v>
      </c>
      <c r="Z98" s="504" t="e">
        <f aca="false">($BI98*$F98*$AH98*($G$5-$BV$5))/365.25</f>
        <v>#VALUE!</v>
      </c>
      <c r="AA98" s="504" t="e">
        <f aca="false">(($BK98*$BE98)+($BJ98*$BD98))*$F98*$AH98*$AF98</f>
        <v>#VALUE!</v>
      </c>
      <c r="AB98" s="504" t="e">
        <f aca="false">BN98*(AT98-CA98)*F98*AH98</f>
        <v>#VALUE!</v>
      </c>
      <c r="AC98" s="504" t="e">
        <f aca="false">BO98*CB98*F98*AH98*CA98*($G$5-$BV$5)/365.25</f>
        <v>#NAME?</v>
      </c>
      <c r="AF98" s="378" t="e">
        <f aca="false">IF(AND(D98&gt;=$G$7,D98&lt;=$G$8),1,0)</f>
        <v>#VALUE!</v>
      </c>
      <c r="AG98" s="378" t="e">
        <f aca="false">MONTH(D98)</f>
        <v>#VALUE!</v>
      </c>
      <c r="AH98" s="378" t="e">
        <f aca="false">(EOMONTH(D98,0)-EOMONTH(D98-DAY(D98),0))*AF98</f>
        <v>#VALUE!</v>
      </c>
      <c r="AI98" s="378" t="e">
        <f aca="false">AI97+AH97</f>
        <v>#VALUE!</v>
      </c>
      <c r="AJ98" s="378" t="e">
        <f aca="false">D98-$BV$5</f>
        <v>#VALUE!</v>
      </c>
      <c r="AL98" s="369" t="e">
        <f aca="false">VLOOKUP($D98,CurveTbl,$AK$4)</f>
        <v>#VALUE!</v>
      </c>
      <c r="AM98" s="505" t="e">
        <f aca="false">VLOOKUP($D98,CurveTbl,$AH$3)</f>
        <v>#VALUE!</v>
      </c>
      <c r="AN98" s="505" t="e">
        <f aca="false">VLOOKUP($D98,CurveTbl,$AH$4)+VLOOKUP($AG98,$AL$3:$AS$15,6)</f>
        <v>#VALUE!</v>
      </c>
      <c r="AO98" s="505" t="e">
        <f aca="false">VLOOKUP($D98,CurveTbl,$AH$5)</f>
        <v>#VALUE!</v>
      </c>
      <c r="AP98" s="505" t="e">
        <f aca="false">VLOOKUP($D98,CurveTbl,$AH$6)+VLOOKUP($AG98,$AL$3:$AS$15,7)</f>
        <v>#VALUE!</v>
      </c>
      <c r="AQ98" s="369" t="e">
        <f aca="false">VLOOKUP($AG98,$AL$4:$AS$15,3)+VLOOKUP($AG98,$AL$4:$AS$15,5)+($AH$10*VLOOKUP(D98,GRITable,2))</f>
        <v>#VALUE!</v>
      </c>
      <c r="AR98" s="370" t="e">
        <f aca="false">VLOOKUP($AG98,$AL$4:$AS$15,4)</f>
        <v>#VALUE!</v>
      </c>
      <c r="AS98" s="369" t="e">
        <f aca="false">(AL98+AM98+AN98)</f>
        <v>#VALUE!</v>
      </c>
      <c r="AT98" s="370" t="e">
        <f aca="false">VLOOKUP(D98,CurveTbl,$AK$6)</f>
        <v>#VALUE!</v>
      </c>
      <c r="AU98" s="370" t="e">
        <f aca="false">(1+$AT98/2)^(-2*($D98-$G$5)/365.25)*$AF98</f>
        <v>#VALUE!</v>
      </c>
      <c r="AV98" s="506" t="e">
        <f aca="false">ROUND((F98/(1-AR98))-F98,0)*AF98*AH98*AU98</f>
        <v>#VALUE!</v>
      </c>
      <c r="AW98" s="370" t="e">
        <f aca="false">VLOOKUP($D98,CurveTbl,$AK$8)</f>
        <v>#VALUE!</v>
      </c>
      <c r="AX98" s="370" t="e">
        <f aca="false">VLOOKUP($D98,CurveTbl,$AH$7)</f>
        <v>#VALUE!</v>
      </c>
      <c r="AY98" s="370" t="e">
        <f aca="false">VLOOKUP($D98,CurveTbl,$AH$8)</f>
        <v>#VALUE!</v>
      </c>
      <c r="AZ98" s="370"/>
      <c r="BA98" s="507"/>
      <c r="BB98" s="505" t="e">
        <f aca="false">$H98-$BV98</f>
        <v>#VALUE!</v>
      </c>
      <c r="BC98" s="505" t="e">
        <f aca="false">I98-BW98</f>
        <v>#VALUE!</v>
      </c>
      <c r="BD98" s="370" t="e">
        <f aca="false">N98-BX98</f>
        <v>#VALUE!</v>
      </c>
      <c r="BE98" s="370" t="e">
        <f aca="false">O98-BY98</f>
        <v>#VALUE!</v>
      </c>
      <c r="BF98" s="370" t="e">
        <f aca="false">xSPRDOPT($BW98,$BV98,$CG98,0,$BY98,$BX98,$BZ98,$AJ98,1,4)*$CB98</f>
        <v>#NAME?</v>
      </c>
      <c r="BG98" s="370" t="e">
        <f aca="false">xSPRDOPT($BW98,$BV98,$CG98,0,$BY98,$BX98,$BZ98,$AJ98,1,3)*$CB98</f>
        <v>#NAME?</v>
      </c>
      <c r="BH98" s="370" t="e">
        <f aca="false">IF(OR(BF98&lt;&gt;0,BG98&lt;&gt;0),xSPRDOPT($BW98,$BV98,$CG98,0,$BY98,$BX98,$BZ98,$AJ98,1,12)*$CB98,0)</f>
        <v>#NAME?</v>
      </c>
      <c r="BI98" s="370" t="e">
        <f aca="false">xSPRDOPT($BW98,$BV98,$CG98,2*LN(1+CA98/2),$BY98,$BX98,$BZ98,$AJ98,1,9)</f>
        <v>#NAME?</v>
      </c>
      <c r="BJ98" s="370" t="e">
        <f aca="false">xSPRDOPT($BW98,$BV98,$CG98,0,$BY98,$BX98,$BZ98,$AJ98,1,6)*$CB98</f>
        <v>#NAME?</v>
      </c>
      <c r="BK98" s="370" t="e">
        <f aca="false">xSPRDOPT($BW98,$BV98,$CG98,0,$BY98,$BX98,$BZ98,$AJ98,1,5)*$CB98</f>
        <v>#NAME?</v>
      </c>
      <c r="BL98" s="370" t="e">
        <f aca="false">xSPRDOPT(BW98,BV98,CG98,0,BY98,BX98,BZ98,AJ98,1,2)*CB98</f>
        <v>#NAME?</v>
      </c>
      <c r="BM98" s="370" t="e">
        <f aca="false">xSPRDOPT(BW98,BV98,CG98,0,BY98,BX98,BZ98,AJ98,1,1)*CB98</f>
        <v>#NAME?</v>
      </c>
      <c r="BN98" s="370" t="e">
        <f aca="false">IF(AH98&lt;&gt;0,xSPRDOPT($BW98,$BV98,$CG98,2*LN(1+CA98/2),$BY98,$BX98,$BZ98,$AJ98,1,8)+(AJ98/365.25)*CH98/AH98,0)</f>
        <v>#VALUE!</v>
      </c>
      <c r="BO98" s="370" t="e">
        <f aca="false">xSPRDOPT($BW98,$BV98,$CG98,0,$BY98,$BX98,$BZ98,$AJ98,1,0)</f>
        <v>#NAME?</v>
      </c>
      <c r="BP98" s="370"/>
      <c r="BQ98" s="370"/>
      <c r="BR98" s="370"/>
      <c r="BS98" s="370"/>
      <c r="BV98" s="508" t="n">
        <v>3.41753112033195</v>
      </c>
      <c r="BW98" s="369" t="n">
        <v>3.6645</v>
      </c>
      <c r="BX98" s="370" t="n">
        <v>0.232743419397419</v>
      </c>
      <c r="BY98" s="370" t="n">
        <v>0.23346872586893</v>
      </c>
      <c r="BZ98" s="370" t="n">
        <v>0.999139548925851</v>
      </c>
      <c r="CA98" s="370" t="n">
        <v>0.0571018818480948</v>
      </c>
      <c r="CB98" s="370" t="n">
        <v>0.690235992159944</v>
      </c>
      <c r="CC98" s="505" t="n">
        <v>-0.445</v>
      </c>
      <c r="CD98" s="505" t="n">
        <v>0.155</v>
      </c>
      <c r="CE98" s="505" t="n">
        <v>0.04</v>
      </c>
      <c r="CF98" s="505" t="n">
        <v>0.04</v>
      </c>
      <c r="CG98" s="505" t="n">
        <v>0</v>
      </c>
      <c r="CH98" s="505" t="n">
        <v>9.46617249087833</v>
      </c>
      <c r="CI98" s="505" t="n">
        <v>3.5845</v>
      </c>
    </row>
    <row r="99" customFormat="false" ht="12.75" hidden="false" customHeight="false" outlineLevel="0" collapsed="false">
      <c r="A99" s="500"/>
      <c r="B99" s="500"/>
      <c r="D99" s="361" t="e">
        <f aca="false">D98+AH98</f>
        <v>#VALUE!</v>
      </c>
      <c r="F99" s="362" t="e">
        <f aca="false">VLOOKUP(AG99,$AL$4:$AS$15,2)</f>
        <v>#VALUE!</v>
      </c>
      <c r="G99" s="362" t="e">
        <f aca="false">F99*$AU99</f>
        <v>#VALUE!</v>
      </c>
      <c r="H99" s="363" t="e">
        <f aca="false">(AL99+AM99+AN99)/(1-(AR99))</f>
        <v>#VALUE!</v>
      </c>
      <c r="I99" s="363" t="e">
        <f aca="false">(AL99+AO99+AP99)</f>
        <v>#VALUE!</v>
      </c>
      <c r="K99" s="363" t="e">
        <f aca="false">MAX(((I99-H99)-AQ99)*AU99*AH99,0)</f>
        <v>#VALUE!</v>
      </c>
      <c r="L99" s="501" t="e">
        <f aca="false">MAX(Q99-K99,0)</f>
        <v>#VALUE!</v>
      </c>
      <c r="N99" s="502" t="e">
        <f aca="false">SQRT(($AX99^2*($AH99/2)+$AW99^2*$AI99)/(($AH99/2)+$AI99))</f>
        <v>#VALUE!</v>
      </c>
      <c r="O99" s="502" t="e">
        <f aca="false">SQRT(($AY99^2*($AH99/2)+$AW99^2*$AI99)/(($AH99/2)+$AI99))</f>
        <v>#VALUE!</v>
      </c>
      <c r="P99" s="371" t="e">
        <f aca="false">(VLOOKUP(AI99,CorrelationTwo,2)*(AW99^2)*AI99+VLOOKUP(D99,CorrelationOne,$AK$9)*AX99*AY99*(AH99/2))/((AI99+(AH99/2))*O99*N99)*AF99</f>
        <v>#VALUE!</v>
      </c>
      <c r="Q99" s="501" t="e">
        <f aca="false">xSPRDOPT(I99,H99,AQ99,0,O99,N99,P99,D99-$G$5,1,0)*AH99*AU99</f>
        <v>#VALUE!</v>
      </c>
      <c r="R99" s="501"/>
      <c r="S99" s="365" t="e">
        <f aca="false">-T99/(1-AR99)</f>
        <v>#VALUE!</v>
      </c>
      <c r="T99" s="365" t="e">
        <f aca="false">xSPRDOPT(I99,H99,AQ99,AT99,O99,N99,P99,D99-$G$5,1,1)*AF99*F99*AH99</f>
        <v>#VALUE!</v>
      </c>
      <c r="U99" s="501"/>
      <c r="V99" s="503" t="e">
        <f aca="false">VLOOKUP($AG99,$AL$4:$AS$15,8)*AH99*AU99</f>
        <v>#VALUE!</v>
      </c>
      <c r="W99" s="503"/>
      <c r="X99" s="504" t="e">
        <f aca="false">((BM99*BC99)+(BL99*BB99))*AH99*F99</f>
        <v>#VALUE!</v>
      </c>
      <c r="Y99" s="504" t="e">
        <f aca="false">($F99*$AH99)*((($BG99/2)*($BC99)^2)+(($BF99/2)*($BB99)^2)+($BH99*$BC99*$BB99))</f>
        <v>#VALUE!</v>
      </c>
      <c r="Z99" s="504" t="e">
        <f aca="false">($BI99*$F99*$AH99*($G$5-$BV$5))/365.25</f>
        <v>#VALUE!</v>
      </c>
      <c r="AA99" s="504" t="e">
        <f aca="false">(($BK99*$BE99)+($BJ99*$BD99))*$F99*$AH99*$AF99</f>
        <v>#VALUE!</v>
      </c>
      <c r="AB99" s="504" t="e">
        <f aca="false">BN99*(AT99-CA99)*F99*AH99</f>
        <v>#VALUE!</v>
      </c>
      <c r="AC99" s="504" t="e">
        <f aca="false">BO99*CB99*F99*AH99*CA99*($G$5-$BV$5)/365.25</f>
        <v>#NAME?</v>
      </c>
      <c r="AF99" s="378" t="e">
        <f aca="false">IF(AND(D99&gt;=$G$7,D99&lt;=$G$8),1,0)</f>
        <v>#VALUE!</v>
      </c>
      <c r="AG99" s="378" t="e">
        <f aca="false">MONTH(D99)</f>
        <v>#VALUE!</v>
      </c>
      <c r="AH99" s="378" t="e">
        <f aca="false">(EOMONTH(D99,0)-EOMONTH(D99-DAY(D99),0))*AF99</f>
        <v>#VALUE!</v>
      </c>
      <c r="AI99" s="378" t="e">
        <f aca="false">AI98+AH98</f>
        <v>#VALUE!</v>
      </c>
      <c r="AJ99" s="378" t="e">
        <f aca="false">D99-$BV$5</f>
        <v>#VALUE!</v>
      </c>
      <c r="AL99" s="369" t="e">
        <f aca="false">VLOOKUP($D99,CurveTbl,$AK$4)</f>
        <v>#VALUE!</v>
      </c>
      <c r="AM99" s="505" t="e">
        <f aca="false">VLOOKUP($D99,CurveTbl,$AH$3)</f>
        <v>#VALUE!</v>
      </c>
      <c r="AN99" s="505" t="e">
        <f aca="false">VLOOKUP($D99,CurveTbl,$AH$4)+VLOOKUP($AG99,$AL$3:$AS$15,6)</f>
        <v>#VALUE!</v>
      </c>
      <c r="AO99" s="505" t="e">
        <f aca="false">VLOOKUP($D99,CurveTbl,$AH$5)</f>
        <v>#VALUE!</v>
      </c>
      <c r="AP99" s="505" t="e">
        <f aca="false">VLOOKUP($D99,CurveTbl,$AH$6)+VLOOKUP($AG99,$AL$3:$AS$15,7)</f>
        <v>#VALUE!</v>
      </c>
      <c r="AQ99" s="369" t="e">
        <f aca="false">VLOOKUP($AG99,$AL$4:$AS$15,3)+VLOOKUP($AG99,$AL$4:$AS$15,5)+($AH$10*VLOOKUP(D99,GRITable,2))</f>
        <v>#VALUE!</v>
      </c>
      <c r="AR99" s="370" t="e">
        <f aca="false">VLOOKUP($AG99,$AL$4:$AS$15,4)</f>
        <v>#VALUE!</v>
      </c>
      <c r="AS99" s="369" t="e">
        <f aca="false">(AL99+AM99+AN99)</f>
        <v>#VALUE!</v>
      </c>
      <c r="AT99" s="370" t="e">
        <f aca="false">VLOOKUP(D99,CurveTbl,$AK$6)</f>
        <v>#VALUE!</v>
      </c>
      <c r="AU99" s="370" t="e">
        <f aca="false">(1+$AT99/2)^(-2*($D99-$G$5)/365.25)*$AF99</f>
        <v>#VALUE!</v>
      </c>
      <c r="AV99" s="506" t="e">
        <f aca="false">ROUND((F99/(1-AR99))-F99,0)*AF99*AH99*AU99</f>
        <v>#VALUE!</v>
      </c>
      <c r="AW99" s="370" t="e">
        <f aca="false">VLOOKUP($D99,CurveTbl,$AK$8)</f>
        <v>#VALUE!</v>
      </c>
      <c r="AX99" s="370" t="e">
        <f aca="false">VLOOKUP($D99,CurveTbl,$AH$7)</f>
        <v>#VALUE!</v>
      </c>
      <c r="AY99" s="370" t="e">
        <f aca="false">VLOOKUP($D99,CurveTbl,$AH$8)</f>
        <v>#VALUE!</v>
      </c>
      <c r="AZ99" s="370"/>
      <c r="BA99" s="507"/>
      <c r="BB99" s="505" t="e">
        <f aca="false">$H99-$BV99</f>
        <v>#VALUE!</v>
      </c>
      <c r="BC99" s="505" t="e">
        <f aca="false">I99-BW99</f>
        <v>#VALUE!</v>
      </c>
      <c r="BD99" s="370" t="e">
        <f aca="false">N99-BX99</f>
        <v>#VALUE!</v>
      </c>
      <c r="BE99" s="370" t="e">
        <f aca="false">O99-BY99</f>
        <v>#VALUE!</v>
      </c>
      <c r="BF99" s="370" t="e">
        <f aca="false">xSPRDOPT($BW99,$BV99,$CG99,0,$BY99,$BX99,$BZ99,$AJ99,1,4)*$CB99</f>
        <v>#NAME?</v>
      </c>
      <c r="BG99" s="370" t="e">
        <f aca="false">xSPRDOPT($BW99,$BV99,$CG99,0,$BY99,$BX99,$BZ99,$AJ99,1,3)*$CB99</f>
        <v>#NAME?</v>
      </c>
      <c r="BH99" s="370" t="e">
        <f aca="false">IF(OR(BF99&lt;&gt;0,BG99&lt;&gt;0),xSPRDOPT($BW99,$BV99,$CG99,0,$BY99,$BX99,$BZ99,$AJ99,1,12)*$CB99,0)</f>
        <v>#NAME?</v>
      </c>
      <c r="BI99" s="370" t="e">
        <f aca="false">xSPRDOPT($BW99,$BV99,$CG99,2*LN(1+CA99/2),$BY99,$BX99,$BZ99,$AJ99,1,9)</f>
        <v>#NAME?</v>
      </c>
      <c r="BJ99" s="370" t="e">
        <f aca="false">xSPRDOPT($BW99,$BV99,$CG99,0,$BY99,$BX99,$BZ99,$AJ99,1,6)*$CB99</f>
        <v>#NAME?</v>
      </c>
      <c r="BK99" s="370" t="e">
        <f aca="false">xSPRDOPT($BW99,$BV99,$CG99,0,$BY99,$BX99,$BZ99,$AJ99,1,5)*$CB99</f>
        <v>#NAME?</v>
      </c>
      <c r="BL99" s="370" t="e">
        <f aca="false">xSPRDOPT(BW99,BV99,CG99,0,BY99,BX99,BZ99,AJ99,1,2)*CB99</f>
        <v>#NAME?</v>
      </c>
      <c r="BM99" s="370" t="e">
        <f aca="false">xSPRDOPT(BW99,BV99,CG99,0,BY99,BX99,BZ99,AJ99,1,1)*CB99</f>
        <v>#NAME?</v>
      </c>
      <c r="BN99" s="370" t="e">
        <f aca="false">IF(AH99&lt;&gt;0,xSPRDOPT($BW99,$BV99,$CG99,2*LN(1+CA99/2),$BY99,$BX99,$BZ99,$AJ99,1,8)+(AJ99/365.25)*CH99/AH99,0)</f>
        <v>#VALUE!</v>
      </c>
      <c r="BO99" s="370" t="e">
        <f aca="false">xSPRDOPT($BW99,$BV99,$CG99,0,$BY99,$BX99,$BZ99,$AJ99,1,0)</f>
        <v>#NAME?</v>
      </c>
      <c r="BP99" s="370"/>
      <c r="BQ99" s="370"/>
      <c r="BR99" s="370"/>
      <c r="BS99" s="370"/>
      <c r="BV99" s="508" t="n">
        <v>3.45902489626556</v>
      </c>
      <c r="BW99" s="369" t="n">
        <v>3.7045</v>
      </c>
      <c r="BX99" s="370" t="n">
        <v>0.233424934400762</v>
      </c>
      <c r="BY99" s="370" t="n">
        <v>0.234206833857685</v>
      </c>
      <c r="BZ99" s="370" t="n">
        <v>0.999015740459185</v>
      </c>
      <c r="CA99" s="370" t="n">
        <v>0.0572858980923008</v>
      </c>
      <c r="CB99" s="370" t="n">
        <v>0.686126398420888</v>
      </c>
      <c r="CC99" s="505" t="n">
        <v>-0.445</v>
      </c>
      <c r="CD99" s="505" t="n">
        <v>0.155</v>
      </c>
      <c r="CE99" s="505" t="n">
        <v>0.04</v>
      </c>
      <c r="CF99" s="505" t="n">
        <v>0.04</v>
      </c>
      <c r="CG99" s="505" t="n">
        <v>0</v>
      </c>
      <c r="CH99" s="505" t="n">
        <v>9.40981187850343</v>
      </c>
      <c r="CI99" s="505" t="n">
        <v>3.6245</v>
      </c>
    </row>
    <row r="100" customFormat="false" ht="12.75" hidden="false" customHeight="false" outlineLevel="0" collapsed="false">
      <c r="A100" s="500"/>
      <c r="B100" s="500"/>
      <c r="D100" s="361" t="e">
        <f aca="false">D99+AH99</f>
        <v>#VALUE!</v>
      </c>
      <c r="F100" s="362" t="e">
        <f aca="false">VLOOKUP(AG100,$AL$4:$AS$15,2)</f>
        <v>#VALUE!</v>
      </c>
      <c r="G100" s="362" t="e">
        <f aca="false">F100*$AU100</f>
        <v>#VALUE!</v>
      </c>
      <c r="H100" s="363" t="e">
        <f aca="false">(AL100+AM100+AN100)/(1-(AR100))</f>
        <v>#VALUE!</v>
      </c>
      <c r="I100" s="363" t="e">
        <f aca="false">(AL100+AO100+AP100)</f>
        <v>#VALUE!</v>
      </c>
      <c r="K100" s="363" t="e">
        <f aca="false">MAX(((I100-H100)-AQ100)*AU100*AH100,0)</f>
        <v>#VALUE!</v>
      </c>
      <c r="L100" s="501" t="e">
        <f aca="false">MAX(Q100-K100,0)</f>
        <v>#VALUE!</v>
      </c>
      <c r="N100" s="502" t="e">
        <f aca="false">SQRT(($AX100^2*($AH100/2)+$AW100^2*$AI100)/(($AH100/2)+$AI100))</f>
        <v>#VALUE!</v>
      </c>
      <c r="O100" s="502" t="e">
        <f aca="false">SQRT(($AY100^2*($AH100/2)+$AW100^2*$AI100)/(($AH100/2)+$AI100))</f>
        <v>#VALUE!</v>
      </c>
      <c r="P100" s="371" t="e">
        <f aca="false">(VLOOKUP(AI100,CorrelationTwo,2)*(AW100^2)*AI100+VLOOKUP(D100,CorrelationOne,$AK$9)*AX100*AY100*(AH100/2))/((AI100+(AH100/2))*O100*N100)*AF100</f>
        <v>#VALUE!</v>
      </c>
      <c r="Q100" s="501" t="e">
        <f aca="false">xSPRDOPT(I100,H100,AQ100,0,O100,N100,P100,D100-$G$5,1,0)*AH100*AU100</f>
        <v>#VALUE!</v>
      </c>
      <c r="R100" s="501"/>
      <c r="S100" s="365" t="e">
        <f aca="false">-T100/(1-AR100)</f>
        <v>#VALUE!</v>
      </c>
      <c r="T100" s="365" t="e">
        <f aca="false">xSPRDOPT(I100,H100,AQ100,AT100,O100,N100,P100,D100-$G$5,1,1)*AF100*F100*AH100</f>
        <v>#VALUE!</v>
      </c>
      <c r="U100" s="501"/>
      <c r="V100" s="503" t="e">
        <f aca="false">VLOOKUP($AG100,$AL$4:$AS$15,8)*AH100*AU100</f>
        <v>#VALUE!</v>
      </c>
      <c r="W100" s="503"/>
      <c r="X100" s="504" t="e">
        <f aca="false">((BM100*BC100)+(BL100*BB100))*AH100*F100</f>
        <v>#VALUE!</v>
      </c>
      <c r="Y100" s="504" t="e">
        <f aca="false">($F100*$AH100)*((($BG100/2)*($BC100)^2)+(($BF100/2)*($BB100)^2)+($BH100*$BC100*$BB100))</f>
        <v>#VALUE!</v>
      </c>
      <c r="Z100" s="504" t="e">
        <f aca="false">($BI100*$F100*$AH100*($G$5-$BV$5))/365.25</f>
        <v>#VALUE!</v>
      </c>
      <c r="AA100" s="504" t="e">
        <f aca="false">(($BK100*$BE100)+($BJ100*$BD100))*$F100*$AH100*$AF100</f>
        <v>#VALUE!</v>
      </c>
      <c r="AB100" s="504" t="e">
        <f aca="false">BN100*(AT100-CA100)*F100*AH100</f>
        <v>#VALUE!</v>
      </c>
      <c r="AC100" s="504" t="e">
        <f aca="false">BO100*CB100*F100*AH100*CA100*($G$5-$BV$5)/365.25</f>
        <v>#NAME?</v>
      </c>
      <c r="AF100" s="378" t="e">
        <f aca="false">IF(AND(D100&gt;=$G$7,D100&lt;=$G$8),1,0)</f>
        <v>#VALUE!</v>
      </c>
      <c r="AG100" s="378" t="e">
        <f aca="false">MONTH(D100)</f>
        <v>#VALUE!</v>
      </c>
      <c r="AH100" s="378" t="e">
        <f aca="false">(EOMONTH(D100,0)-EOMONTH(D100-DAY(D100),0))*AF100</f>
        <v>#VALUE!</v>
      </c>
      <c r="AI100" s="378" t="e">
        <f aca="false">AI99+AH99</f>
        <v>#VALUE!</v>
      </c>
      <c r="AJ100" s="378" t="e">
        <f aca="false">D100-$BV$5</f>
        <v>#VALUE!</v>
      </c>
      <c r="AL100" s="369" t="e">
        <f aca="false">VLOOKUP($D100,CurveTbl,$AK$4)</f>
        <v>#VALUE!</v>
      </c>
      <c r="AM100" s="505" t="e">
        <f aca="false">VLOOKUP($D100,CurveTbl,$AH$3)</f>
        <v>#VALUE!</v>
      </c>
      <c r="AN100" s="505" t="e">
        <f aca="false">VLOOKUP($D100,CurveTbl,$AH$4)+VLOOKUP($AG100,$AL$3:$AS$15,6)</f>
        <v>#VALUE!</v>
      </c>
      <c r="AO100" s="505" t="e">
        <f aca="false">VLOOKUP($D100,CurveTbl,$AH$5)</f>
        <v>#VALUE!</v>
      </c>
      <c r="AP100" s="505" t="e">
        <f aca="false">VLOOKUP($D100,CurveTbl,$AH$6)+VLOOKUP($AG100,$AL$3:$AS$15,7)</f>
        <v>#VALUE!</v>
      </c>
      <c r="AQ100" s="369" t="e">
        <f aca="false">VLOOKUP($AG100,$AL$4:$AS$15,3)+VLOOKUP($AG100,$AL$4:$AS$15,5)+($AH$10*VLOOKUP(D100,GRITable,2))</f>
        <v>#VALUE!</v>
      </c>
      <c r="AR100" s="370" t="e">
        <f aca="false">VLOOKUP($AG100,$AL$4:$AS$15,4)</f>
        <v>#VALUE!</v>
      </c>
      <c r="AS100" s="369" t="e">
        <f aca="false">(AL100+AM100+AN100)</f>
        <v>#VALUE!</v>
      </c>
      <c r="AT100" s="370" t="e">
        <f aca="false">VLOOKUP(D100,CurveTbl,$AK$6)</f>
        <v>#VALUE!</v>
      </c>
      <c r="AU100" s="370" t="e">
        <f aca="false">(1+$AT100/2)^(-2*($D100-$G$5)/365.25)*$AF100</f>
        <v>#VALUE!</v>
      </c>
      <c r="AV100" s="506" t="e">
        <f aca="false">ROUND((F100/(1-AR100))-F100,0)*AF100*AH100*AU100</f>
        <v>#VALUE!</v>
      </c>
      <c r="AW100" s="370" t="e">
        <f aca="false">VLOOKUP($D100,CurveTbl,$AK$8)</f>
        <v>#VALUE!</v>
      </c>
      <c r="AX100" s="370" t="e">
        <f aca="false">VLOOKUP($D100,CurveTbl,$AH$7)</f>
        <v>#VALUE!</v>
      </c>
      <c r="AY100" s="370" t="e">
        <f aca="false">VLOOKUP($D100,CurveTbl,$AH$8)</f>
        <v>#VALUE!</v>
      </c>
      <c r="AZ100" s="370"/>
      <c r="BA100" s="507"/>
      <c r="BB100" s="505" t="e">
        <f aca="false">$H100-$BV100</f>
        <v>#VALUE!</v>
      </c>
      <c r="BC100" s="505" t="e">
        <f aca="false">I100-BW100</f>
        <v>#VALUE!</v>
      </c>
      <c r="BD100" s="370" t="e">
        <f aca="false">N100-BX100</f>
        <v>#VALUE!</v>
      </c>
      <c r="BE100" s="370" t="e">
        <f aca="false">O100-BY100</f>
        <v>#VALUE!</v>
      </c>
      <c r="BF100" s="370" t="e">
        <f aca="false">xSPRDOPT($BW100,$BV100,$CG100,0,$BY100,$BX100,$BZ100,$AJ100,1,4)*$CB100</f>
        <v>#NAME?</v>
      </c>
      <c r="BG100" s="370" t="e">
        <f aca="false">xSPRDOPT($BW100,$BV100,$CG100,0,$BY100,$BX100,$BZ100,$AJ100,1,3)*$CB100</f>
        <v>#NAME?</v>
      </c>
      <c r="BH100" s="370" t="e">
        <f aca="false">IF(OR(BF100&lt;&gt;0,BG100&lt;&gt;0),xSPRDOPT($BW100,$BV100,$CG100,0,$BY100,$BX100,$BZ100,$AJ100,1,12)*$CB100,0)</f>
        <v>#NAME?</v>
      </c>
      <c r="BI100" s="370" t="e">
        <f aca="false">xSPRDOPT($BW100,$BV100,$CG100,2*LN(1+CA100/2),$BY100,$BX100,$BZ100,$AJ100,1,9)</f>
        <v>#NAME?</v>
      </c>
      <c r="BJ100" s="370" t="e">
        <f aca="false">xSPRDOPT($BW100,$BV100,$CG100,0,$BY100,$BX100,$BZ100,$AJ100,1,6)*$CB100</f>
        <v>#NAME?</v>
      </c>
      <c r="BK100" s="370" t="e">
        <f aca="false">xSPRDOPT($BW100,$BV100,$CG100,0,$BY100,$BX100,$BZ100,$AJ100,1,5)*$CB100</f>
        <v>#NAME?</v>
      </c>
      <c r="BL100" s="370" t="e">
        <f aca="false">xSPRDOPT(BW100,BV100,CG100,0,BY100,BX100,BZ100,AJ100,1,2)*CB100</f>
        <v>#NAME?</v>
      </c>
      <c r="BM100" s="370" t="e">
        <f aca="false">xSPRDOPT(BW100,BV100,CG100,0,BY100,BX100,BZ100,AJ100,1,1)*CB100</f>
        <v>#NAME?</v>
      </c>
      <c r="BN100" s="370" t="e">
        <f aca="false">IF(AH100&lt;&gt;0,xSPRDOPT($BW100,$BV100,$CG100,2*LN(1+CA100/2),$BY100,$BX100,$BZ100,$AJ100,1,8)+(AJ100/365.25)*CH100/AH100,0)</f>
        <v>#VALUE!</v>
      </c>
      <c r="BO100" s="370" t="e">
        <f aca="false">xSPRDOPT($BW100,$BV100,$CG100,0,$BY100,$BX100,$BZ100,$AJ100,1,0)</f>
        <v>#NAME?</v>
      </c>
      <c r="BP100" s="370"/>
      <c r="BQ100" s="370"/>
      <c r="BR100" s="370"/>
      <c r="BS100" s="370"/>
      <c r="BV100" s="508" t="n">
        <v>3.45383817427386</v>
      </c>
      <c r="BW100" s="369" t="n">
        <v>3.6995</v>
      </c>
      <c r="BX100" s="370" t="n">
        <v>0.233274554609372</v>
      </c>
      <c r="BY100" s="370" t="n">
        <v>0.234022415776565</v>
      </c>
      <c r="BZ100" s="370" t="n">
        <v>0.999057684479916</v>
      </c>
      <c r="CA100" s="370" t="n">
        <v>0.0574699143477724</v>
      </c>
      <c r="CB100" s="370" t="n">
        <v>0.682020634704181</v>
      </c>
      <c r="CC100" s="505" t="n">
        <v>-0.445</v>
      </c>
      <c r="CD100" s="505" t="n">
        <v>0.155</v>
      </c>
      <c r="CE100" s="505" t="n">
        <v>0.04</v>
      </c>
      <c r="CF100" s="505" t="n">
        <v>0.04</v>
      </c>
      <c r="CG100" s="505" t="n">
        <v>0</v>
      </c>
      <c r="CH100" s="505" t="n">
        <v>9.05177786379389</v>
      </c>
      <c r="CI100" s="505" t="n">
        <v>3.6195</v>
      </c>
    </row>
    <row r="101" customFormat="false" ht="12.75" hidden="false" customHeight="false" outlineLevel="0" collapsed="false">
      <c r="A101" s="500"/>
      <c r="B101" s="500"/>
      <c r="D101" s="361" t="e">
        <f aca="false">D100+AH100</f>
        <v>#VALUE!</v>
      </c>
      <c r="F101" s="362" t="e">
        <f aca="false">VLOOKUP(AG101,$AL$4:$AS$15,2)</f>
        <v>#VALUE!</v>
      </c>
      <c r="G101" s="362" t="e">
        <f aca="false">F101*$AU101</f>
        <v>#VALUE!</v>
      </c>
      <c r="H101" s="363" t="e">
        <f aca="false">(AL101+AM101+AN101)/(1-(AR101))</f>
        <v>#VALUE!</v>
      </c>
      <c r="I101" s="363" t="e">
        <f aca="false">(AL101+AO101+AP101)</f>
        <v>#VALUE!</v>
      </c>
      <c r="K101" s="363" t="e">
        <f aca="false">MAX(((I101-H101)-AQ101)*AU101*AH101,0)</f>
        <v>#VALUE!</v>
      </c>
      <c r="L101" s="501" t="e">
        <f aca="false">MAX(Q101-K101,0)</f>
        <v>#VALUE!</v>
      </c>
      <c r="N101" s="502" t="e">
        <f aca="false">SQRT(($AX101^2*($AH101/2)+$AW101^2*$AI101)/(($AH101/2)+$AI101))</f>
        <v>#VALUE!</v>
      </c>
      <c r="O101" s="502" t="e">
        <f aca="false">SQRT(($AY101^2*($AH101/2)+$AW101^2*$AI101)/(($AH101/2)+$AI101))</f>
        <v>#VALUE!</v>
      </c>
      <c r="P101" s="371" t="e">
        <f aca="false">(VLOOKUP(AI101,CorrelationTwo,2)*(AW101^2)*AI101+VLOOKUP(D101,CorrelationOne,$AK$9)*AX101*AY101*(AH101/2))/((AI101+(AH101/2))*O101*N101)*AF101</f>
        <v>#VALUE!</v>
      </c>
      <c r="Q101" s="501" t="e">
        <f aca="false">xSPRDOPT(I101,H101,AQ101,0,O101,N101,P101,D101-$G$5,1,0)*AH101*AU101</f>
        <v>#VALUE!</v>
      </c>
      <c r="R101" s="501"/>
      <c r="S101" s="365" t="e">
        <f aca="false">-T101/(1-AR101)</f>
        <v>#VALUE!</v>
      </c>
      <c r="T101" s="365" t="e">
        <f aca="false">xSPRDOPT(I101,H101,AQ101,AT101,O101,N101,P101,D101-$G$5,1,1)*AF101*F101*AH101</f>
        <v>#VALUE!</v>
      </c>
      <c r="U101" s="501"/>
      <c r="V101" s="503" t="e">
        <f aca="false">VLOOKUP($AG101,$AL$4:$AS$15,8)*AH101*AU101</f>
        <v>#VALUE!</v>
      </c>
      <c r="W101" s="503"/>
      <c r="X101" s="504" t="e">
        <f aca="false">((BM101*BC101)+(BL101*BB101))*AH101*F101</f>
        <v>#VALUE!</v>
      </c>
      <c r="Y101" s="504" t="e">
        <f aca="false">($F101*$AH101)*((($BG101/2)*($BC101)^2)+(($BF101/2)*($BB101)^2)+($BH101*$BC101*$BB101))</f>
        <v>#VALUE!</v>
      </c>
      <c r="Z101" s="504" t="e">
        <f aca="false">($BI101*$F101*$AH101*($G$5-$BV$5))/365.25</f>
        <v>#VALUE!</v>
      </c>
      <c r="AA101" s="504" t="e">
        <f aca="false">(($BK101*$BE101)+($BJ101*$BD101))*$F101*$AH101*$AF101</f>
        <v>#VALUE!</v>
      </c>
      <c r="AB101" s="504" t="e">
        <f aca="false">BN101*(AT101-CA101)*F101*AH101</f>
        <v>#VALUE!</v>
      </c>
      <c r="AC101" s="504" t="e">
        <f aca="false">BO101*CB101*F101*AH101*CA101*($G$5-$BV$5)/365.25</f>
        <v>#NAME?</v>
      </c>
      <c r="AF101" s="378" t="e">
        <f aca="false">IF(AND(D101&gt;=$G$7,D101&lt;=$G$8),1,0)</f>
        <v>#VALUE!</v>
      </c>
      <c r="AG101" s="378" t="e">
        <f aca="false">MONTH(D101)</f>
        <v>#VALUE!</v>
      </c>
      <c r="AH101" s="378" t="e">
        <f aca="false">(EOMONTH(D101,0)-EOMONTH(D101-DAY(D101),0))*AF101</f>
        <v>#VALUE!</v>
      </c>
      <c r="AI101" s="378" t="e">
        <f aca="false">AI100+AH100</f>
        <v>#VALUE!</v>
      </c>
      <c r="AJ101" s="378" t="e">
        <f aca="false">D101-$BV$5</f>
        <v>#VALUE!</v>
      </c>
      <c r="AL101" s="369" t="e">
        <f aca="false">VLOOKUP($D101,CurveTbl,$AK$4)</f>
        <v>#VALUE!</v>
      </c>
      <c r="AM101" s="505" t="e">
        <f aca="false">VLOOKUP($D101,CurveTbl,$AH$3)</f>
        <v>#VALUE!</v>
      </c>
      <c r="AN101" s="505" t="e">
        <f aca="false">VLOOKUP($D101,CurveTbl,$AH$4)+VLOOKUP($AG101,$AL$3:$AS$15,6)</f>
        <v>#VALUE!</v>
      </c>
      <c r="AO101" s="505" t="e">
        <f aca="false">VLOOKUP($D101,CurveTbl,$AH$5)</f>
        <v>#VALUE!</v>
      </c>
      <c r="AP101" s="505" t="e">
        <f aca="false">VLOOKUP($D101,CurveTbl,$AH$6)+VLOOKUP($AG101,$AL$3:$AS$15,7)</f>
        <v>#VALUE!</v>
      </c>
      <c r="AQ101" s="369" t="e">
        <f aca="false">VLOOKUP($AG101,$AL$4:$AS$15,3)+VLOOKUP($AG101,$AL$4:$AS$15,5)+($AH$10*VLOOKUP(D101,GRITable,2))</f>
        <v>#VALUE!</v>
      </c>
      <c r="AR101" s="370" t="e">
        <f aca="false">VLOOKUP($AG101,$AL$4:$AS$15,4)</f>
        <v>#VALUE!</v>
      </c>
      <c r="AS101" s="369" t="e">
        <f aca="false">(AL101+AM101+AN101)</f>
        <v>#VALUE!</v>
      </c>
      <c r="AT101" s="370" t="e">
        <f aca="false">VLOOKUP(D101,CurveTbl,$AK$6)</f>
        <v>#VALUE!</v>
      </c>
      <c r="AU101" s="370" t="e">
        <f aca="false">(1+$AT101/2)^(-2*($D101-$G$5)/365.25)*$AF101</f>
        <v>#VALUE!</v>
      </c>
      <c r="AV101" s="506" t="e">
        <f aca="false">ROUND((F101/(1-AR101))-F101,0)*AF101*AH101*AU101</f>
        <v>#VALUE!</v>
      </c>
      <c r="AW101" s="370" t="e">
        <f aca="false">VLOOKUP($D101,CurveTbl,$AK$8)</f>
        <v>#VALUE!</v>
      </c>
      <c r="AX101" s="370" t="e">
        <f aca="false">VLOOKUP($D101,CurveTbl,$AH$7)</f>
        <v>#VALUE!</v>
      </c>
      <c r="AY101" s="370" t="e">
        <f aca="false">VLOOKUP($D101,CurveTbl,$AH$8)</f>
        <v>#VALUE!</v>
      </c>
      <c r="AZ101" s="370"/>
      <c r="BA101" s="507"/>
      <c r="BB101" s="505" t="e">
        <f aca="false">$H101-$BV101</f>
        <v>#VALUE!</v>
      </c>
      <c r="BC101" s="505" t="e">
        <f aca="false">I101-BW101</f>
        <v>#VALUE!</v>
      </c>
      <c r="BD101" s="370" t="e">
        <f aca="false">N101-BX101</f>
        <v>#VALUE!</v>
      </c>
      <c r="BE101" s="370" t="e">
        <f aca="false">O101-BY101</f>
        <v>#VALUE!</v>
      </c>
      <c r="BF101" s="370" t="e">
        <f aca="false">xSPRDOPT($BW101,$BV101,$CG101,0,$BY101,$BX101,$BZ101,$AJ101,1,4)*$CB101</f>
        <v>#NAME?</v>
      </c>
      <c r="BG101" s="370" t="e">
        <f aca="false">xSPRDOPT($BW101,$BV101,$CG101,0,$BY101,$BX101,$BZ101,$AJ101,1,3)*$CB101</f>
        <v>#NAME?</v>
      </c>
      <c r="BH101" s="370" t="e">
        <f aca="false">IF(OR(BF101&lt;&gt;0,BG101&lt;&gt;0),xSPRDOPT($BW101,$BV101,$CG101,0,$BY101,$BX101,$BZ101,$AJ101,1,12)*$CB101,0)</f>
        <v>#NAME?</v>
      </c>
      <c r="BI101" s="370" t="e">
        <f aca="false">xSPRDOPT($BW101,$BV101,$CG101,2*LN(1+CA101/2),$BY101,$BX101,$BZ101,$AJ101,1,9)</f>
        <v>#NAME?</v>
      </c>
      <c r="BJ101" s="370" t="e">
        <f aca="false">xSPRDOPT($BW101,$BV101,$CG101,0,$BY101,$BX101,$BZ101,$AJ101,1,6)*$CB101</f>
        <v>#NAME?</v>
      </c>
      <c r="BK101" s="370" t="e">
        <f aca="false">xSPRDOPT($BW101,$BV101,$CG101,0,$BY101,$BX101,$BZ101,$AJ101,1,5)*$CB101</f>
        <v>#NAME?</v>
      </c>
      <c r="BL101" s="370" t="e">
        <f aca="false">xSPRDOPT(BW101,BV101,CG101,0,BY101,BX101,BZ101,AJ101,1,2)*CB101</f>
        <v>#NAME?</v>
      </c>
      <c r="BM101" s="370" t="e">
        <f aca="false">xSPRDOPT(BW101,BV101,CG101,0,BY101,BX101,BZ101,AJ101,1,1)*CB101</f>
        <v>#NAME?</v>
      </c>
      <c r="BN101" s="370" t="e">
        <f aca="false">IF(AH101&lt;&gt;0,xSPRDOPT($BW101,$BV101,$CG101,2*LN(1+CA101/2),$BY101,$BX101,$BZ101,$AJ101,1,8)+(AJ101/365.25)*CH101/AH101,0)</f>
        <v>#VALUE!</v>
      </c>
      <c r="BO101" s="370" t="e">
        <f aca="false">xSPRDOPT($BW101,$BV101,$CG101,0,$BY101,$BX101,$BZ101,$AJ101,1,0)</f>
        <v>#NAME?</v>
      </c>
      <c r="BP101" s="370"/>
      <c r="BQ101" s="370"/>
      <c r="BR101" s="370"/>
      <c r="BS101" s="370"/>
      <c r="BV101" s="508" t="n">
        <v>3.47977178423237</v>
      </c>
      <c r="BW101" s="369" t="n">
        <v>3.7245</v>
      </c>
      <c r="BX101" s="370" t="n">
        <v>0.234105025785135</v>
      </c>
      <c r="BY101" s="370" t="n">
        <v>0.234931683128186</v>
      </c>
      <c r="BZ101" s="370" t="n">
        <v>0.999601269002247</v>
      </c>
      <c r="CA101" s="370" t="n">
        <v>0.0576479946057291</v>
      </c>
      <c r="CB101" s="370" t="n">
        <v>0.678051176020484</v>
      </c>
      <c r="CC101" s="505" t="n">
        <v>-0.445</v>
      </c>
      <c r="CD101" s="505" t="n">
        <v>0.155</v>
      </c>
      <c r="CE101" s="505" t="n">
        <v>0.04</v>
      </c>
      <c r="CF101" s="505" t="n">
        <v>0.04</v>
      </c>
      <c r="CG101" s="505" t="n">
        <v>0</v>
      </c>
      <c r="CH101" s="505" t="n">
        <v>9.29906504841533</v>
      </c>
      <c r="CI101" s="505" t="n">
        <v>3.6445</v>
      </c>
    </row>
    <row r="102" customFormat="false" ht="12.75" hidden="false" customHeight="false" outlineLevel="0" collapsed="false">
      <c r="A102" s="500"/>
      <c r="B102" s="500"/>
      <c r="D102" s="361" t="e">
        <f aca="false">D101+AH101</f>
        <v>#VALUE!</v>
      </c>
      <c r="F102" s="362" t="e">
        <f aca="false">VLOOKUP(AG102,$AL$4:$AS$15,2)</f>
        <v>#VALUE!</v>
      </c>
      <c r="G102" s="362" t="e">
        <f aca="false">F102*$AU102</f>
        <v>#VALUE!</v>
      </c>
      <c r="H102" s="363" t="e">
        <f aca="false">(AL102+AM102+AN102)/(1-(AR102))</f>
        <v>#VALUE!</v>
      </c>
      <c r="I102" s="363" t="e">
        <f aca="false">(AL102+AO102+AP102)</f>
        <v>#VALUE!</v>
      </c>
      <c r="K102" s="363" t="e">
        <f aca="false">MAX(((I102-H102)-AQ102)*AU102*AH102,0)</f>
        <v>#VALUE!</v>
      </c>
      <c r="L102" s="501" t="e">
        <f aca="false">MAX(Q102-K102,0)</f>
        <v>#VALUE!</v>
      </c>
      <c r="N102" s="502" t="e">
        <f aca="false">SQRT(($AX102^2*($AH102/2)+$AW102^2*$AI102)/(($AH102/2)+$AI102))</f>
        <v>#VALUE!</v>
      </c>
      <c r="O102" s="502" t="e">
        <f aca="false">SQRT(($AY102^2*($AH102/2)+$AW102^2*$AI102)/(($AH102/2)+$AI102))</f>
        <v>#VALUE!</v>
      </c>
      <c r="P102" s="371" t="e">
        <f aca="false">(VLOOKUP(AI102,CorrelationTwo,2)*(AW102^2)*AI102+VLOOKUP(D102,CorrelationOne,$AK$9)*AX102*AY102*(AH102/2))/((AI102+(AH102/2))*O102*N102)*AF102</f>
        <v>#VALUE!</v>
      </c>
      <c r="Q102" s="501" t="e">
        <f aca="false">xSPRDOPT(I102,H102,AQ102,0,O102,N102,P102,D102-$G$5,1,0)*AH102*AU102</f>
        <v>#VALUE!</v>
      </c>
      <c r="R102" s="501"/>
      <c r="S102" s="365" t="e">
        <f aca="false">-T102/(1-AR102)</f>
        <v>#VALUE!</v>
      </c>
      <c r="T102" s="365" t="e">
        <f aca="false">xSPRDOPT(I102,H102,AQ102,AT102,O102,N102,P102,D102-$G$5,1,1)*AF102*F102*AH102</f>
        <v>#VALUE!</v>
      </c>
      <c r="U102" s="501"/>
      <c r="V102" s="503" t="e">
        <f aca="false">VLOOKUP($AG102,$AL$4:$AS$15,8)*AH102*AU102</f>
        <v>#VALUE!</v>
      </c>
      <c r="W102" s="503"/>
      <c r="X102" s="504" t="e">
        <f aca="false">((BM102*BC102)+(BL102*BB102))*AH102*F102</f>
        <v>#VALUE!</v>
      </c>
      <c r="Y102" s="504" t="e">
        <f aca="false">($F102*$AH102)*((($BG102/2)*($BC102)^2)+(($BF102/2)*($BB102)^2)+($BH102*$BC102*$BB102))</f>
        <v>#VALUE!</v>
      </c>
      <c r="Z102" s="504" t="e">
        <f aca="false">($BI102*$F102*$AH102*($G$5-$BV$5))/365.25</f>
        <v>#VALUE!</v>
      </c>
      <c r="AA102" s="504" t="e">
        <f aca="false">(($BK102*$BE102)+($BJ102*$BD102))*$F102*$AH102*$AF102</f>
        <v>#VALUE!</v>
      </c>
      <c r="AB102" s="504" t="e">
        <f aca="false">BN102*(AT102-CA102)*F102*AH102</f>
        <v>#VALUE!</v>
      </c>
      <c r="AC102" s="504" t="e">
        <f aca="false">BO102*CB102*F102*AH102*CA102*($G$5-$BV$5)/365.25</f>
        <v>#NAME?</v>
      </c>
      <c r="AF102" s="378" t="e">
        <f aca="false">IF(AND(D102&gt;=$G$7,D102&lt;=$G$8),1,0)</f>
        <v>#VALUE!</v>
      </c>
      <c r="AG102" s="378" t="e">
        <f aca="false">MONTH(D102)</f>
        <v>#VALUE!</v>
      </c>
      <c r="AH102" s="378" t="e">
        <f aca="false">(EOMONTH(D102,0)-EOMONTH(D102-DAY(D102),0))*AF102</f>
        <v>#VALUE!</v>
      </c>
      <c r="AI102" s="378" t="e">
        <f aca="false">AI101+AH101</f>
        <v>#VALUE!</v>
      </c>
      <c r="AJ102" s="378" t="e">
        <f aca="false">D102-$BV$5</f>
        <v>#VALUE!</v>
      </c>
      <c r="AL102" s="369" t="e">
        <f aca="false">VLOOKUP($D102,CurveTbl,$AK$4)</f>
        <v>#VALUE!</v>
      </c>
      <c r="AM102" s="505" t="e">
        <f aca="false">VLOOKUP($D102,CurveTbl,$AH$3)</f>
        <v>#VALUE!</v>
      </c>
      <c r="AN102" s="505" t="e">
        <f aca="false">VLOOKUP($D102,CurveTbl,$AH$4)+VLOOKUP($AG102,$AL$3:$AS$15,6)</f>
        <v>#VALUE!</v>
      </c>
      <c r="AO102" s="505" t="e">
        <f aca="false">VLOOKUP($D102,CurveTbl,$AH$5)</f>
        <v>#VALUE!</v>
      </c>
      <c r="AP102" s="505" t="e">
        <f aca="false">VLOOKUP($D102,CurveTbl,$AH$6)+VLOOKUP($AG102,$AL$3:$AS$15,7)</f>
        <v>#VALUE!</v>
      </c>
      <c r="AQ102" s="369" t="e">
        <f aca="false">VLOOKUP($AG102,$AL$4:$AS$15,3)+VLOOKUP($AG102,$AL$4:$AS$15,5)+($AH$10*VLOOKUP(D102,GRITable,2))</f>
        <v>#VALUE!</v>
      </c>
      <c r="AR102" s="370" t="e">
        <f aca="false">VLOOKUP($AG102,$AL$4:$AS$15,4)</f>
        <v>#VALUE!</v>
      </c>
      <c r="AS102" s="369" t="e">
        <f aca="false">(AL102+AM102+AN102)</f>
        <v>#VALUE!</v>
      </c>
      <c r="AT102" s="370" t="e">
        <f aca="false">VLOOKUP(D102,CurveTbl,$AK$6)</f>
        <v>#VALUE!</v>
      </c>
      <c r="AU102" s="370" t="e">
        <f aca="false">(1+$AT102/2)^(-2*($D102-$G$5)/365.25)*$AF102</f>
        <v>#VALUE!</v>
      </c>
      <c r="AV102" s="506" t="e">
        <f aca="false">ROUND((F102/(1-AR102))-F102,0)*AF102*AH102*AU102</f>
        <v>#VALUE!</v>
      </c>
      <c r="AW102" s="370" t="e">
        <f aca="false">VLOOKUP($D102,CurveTbl,$AK$8)</f>
        <v>#VALUE!</v>
      </c>
      <c r="AX102" s="370" t="e">
        <f aca="false">VLOOKUP($D102,CurveTbl,$AH$7)</f>
        <v>#VALUE!</v>
      </c>
      <c r="AY102" s="370" t="e">
        <f aca="false">VLOOKUP($D102,CurveTbl,$AH$8)</f>
        <v>#VALUE!</v>
      </c>
      <c r="AZ102" s="370"/>
      <c r="BA102" s="507"/>
      <c r="BB102" s="505" t="e">
        <f aca="false">$H102-$BV102</f>
        <v>#VALUE!</v>
      </c>
      <c r="BC102" s="505" t="e">
        <f aca="false">I102-BW102</f>
        <v>#VALUE!</v>
      </c>
      <c r="BD102" s="370" t="e">
        <f aca="false">N102-BX102</f>
        <v>#VALUE!</v>
      </c>
      <c r="BE102" s="370" t="e">
        <f aca="false">O102-BY102</f>
        <v>#VALUE!</v>
      </c>
      <c r="BF102" s="370" t="e">
        <f aca="false">xSPRDOPT($BW102,$BV102,$CG102,0,$BY102,$BX102,$BZ102,$AJ102,1,4)*$CB102</f>
        <v>#NAME?</v>
      </c>
      <c r="BG102" s="370" t="e">
        <f aca="false">xSPRDOPT($BW102,$BV102,$CG102,0,$BY102,$BX102,$BZ102,$AJ102,1,3)*$CB102</f>
        <v>#NAME?</v>
      </c>
      <c r="BH102" s="370" t="e">
        <f aca="false">IF(OR(BF102&lt;&gt;0,BG102&lt;&gt;0),xSPRDOPT($BW102,$BV102,$CG102,0,$BY102,$BX102,$BZ102,$AJ102,1,12)*$CB102,0)</f>
        <v>#NAME?</v>
      </c>
      <c r="BI102" s="370" t="e">
        <f aca="false">xSPRDOPT($BW102,$BV102,$CG102,2*LN(1+CA102/2),$BY102,$BX102,$BZ102,$AJ102,1,9)</f>
        <v>#NAME?</v>
      </c>
      <c r="BJ102" s="370" t="e">
        <f aca="false">xSPRDOPT($BW102,$BV102,$CG102,0,$BY102,$BX102,$BZ102,$AJ102,1,6)*$CB102</f>
        <v>#NAME?</v>
      </c>
      <c r="BK102" s="370" t="e">
        <f aca="false">xSPRDOPT($BW102,$BV102,$CG102,0,$BY102,$BX102,$BZ102,$AJ102,1,5)*$CB102</f>
        <v>#NAME?</v>
      </c>
      <c r="BL102" s="370" t="e">
        <f aca="false">xSPRDOPT(BW102,BV102,CG102,0,BY102,BX102,BZ102,AJ102,1,2)*CB102</f>
        <v>#NAME?</v>
      </c>
      <c r="BM102" s="370" t="e">
        <f aca="false">xSPRDOPT(BW102,BV102,CG102,0,BY102,BX102,BZ102,AJ102,1,1)*CB102</f>
        <v>#NAME?</v>
      </c>
      <c r="BN102" s="370" t="e">
        <f aca="false">IF(AH102&lt;&gt;0,xSPRDOPT($BW102,$BV102,$CG102,2*LN(1+CA102/2),$BY102,$BX102,$BZ102,$AJ102,1,8)+(AJ102/365.25)*CH102/AH102,0)</f>
        <v>#VALUE!</v>
      </c>
      <c r="BO102" s="370" t="e">
        <f aca="false">xSPRDOPT($BW102,$BV102,$CG102,0,$BY102,$BX102,$BZ102,$AJ102,1,0)</f>
        <v>#NAME?</v>
      </c>
      <c r="BP102" s="370"/>
      <c r="BQ102" s="370"/>
      <c r="BR102" s="370"/>
      <c r="BS102" s="370"/>
      <c r="BV102" s="508" t="n">
        <v>3.68412863070539</v>
      </c>
      <c r="BW102" s="369" t="n">
        <v>3.9615</v>
      </c>
      <c r="BX102" s="370" t="n">
        <v>0.239563165121512</v>
      </c>
      <c r="BY102" s="370" t="n">
        <v>0.237449376511487</v>
      </c>
      <c r="BZ102" s="370" t="n">
        <v>0.999067495264818</v>
      </c>
      <c r="CA102" s="370" t="n">
        <v>0.0578320108833665</v>
      </c>
      <c r="CB102" s="370" t="n">
        <v>0.673953611565774</v>
      </c>
      <c r="CC102" s="505" t="n">
        <v>-0.4</v>
      </c>
      <c r="CD102" s="505" t="n">
        <v>0.155</v>
      </c>
      <c r="CE102" s="505" t="n">
        <v>0.13</v>
      </c>
      <c r="CF102" s="505" t="n">
        <v>0.035</v>
      </c>
      <c r="CG102" s="505" t="n">
        <v>0</v>
      </c>
      <c r="CH102" s="505" t="n">
        <v>8.94471233270095</v>
      </c>
      <c r="CI102" s="505" t="n">
        <v>3.7965</v>
      </c>
    </row>
    <row r="103" customFormat="false" ht="12.75" hidden="false" customHeight="false" outlineLevel="0" collapsed="false">
      <c r="A103" s="500"/>
      <c r="B103" s="500"/>
      <c r="D103" s="361" t="e">
        <f aca="false">D102+AH102</f>
        <v>#VALUE!</v>
      </c>
      <c r="F103" s="362" t="e">
        <f aca="false">VLOOKUP(AG103,$AL$4:$AS$15,2)</f>
        <v>#VALUE!</v>
      </c>
      <c r="G103" s="362" t="e">
        <f aca="false">F103*$AU103</f>
        <v>#VALUE!</v>
      </c>
      <c r="H103" s="363" t="e">
        <f aca="false">(AL103+AM103+AN103)/(1-(AR103))</f>
        <v>#VALUE!</v>
      </c>
      <c r="I103" s="363" t="e">
        <f aca="false">(AL103+AO103+AP103)</f>
        <v>#VALUE!</v>
      </c>
      <c r="K103" s="363" t="e">
        <f aca="false">MAX(((I103-H103)-AQ103)*AU103*AH103,0)</f>
        <v>#VALUE!</v>
      </c>
      <c r="L103" s="501" t="e">
        <f aca="false">MAX(Q103-K103,0)</f>
        <v>#VALUE!</v>
      </c>
      <c r="N103" s="502" t="e">
        <f aca="false">SQRT(($AX103^2*($AH103/2)+$AW103^2*$AI103)/(($AH103/2)+$AI103))</f>
        <v>#VALUE!</v>
      </c>
      <c r="O103" s="502" t="e">
        <f aca="false">SQRT(($AY103^2*($AH103/2)+$AW103^2*$AI103)/(($AH103/2)+$AI103))</f>
        <v>#VALUE!</v>
      </c>
      <c r="P103" s="371" t="e">
        <f aca="false">(VLOOKUP(AI103,CorrelationTwo,2)*(AW103^2)*AI103+VLOOKUP(D103,CorrelationOne,$AK$9)*AX103*AY103*(AH103/2))/((AI103+(AH103/2))*O103*N103)*AF103</f>
        <v>#VALUE!</v>
      </c>
      <c r="Q103" s="501" t="e">
        <f aca="false">xSPRDOPT(I103,H103,AQ103,0,O103,N103,P103,D103-$G$5,1,0)*AH103*AU103</f>
        <v>#VALUE!</v>
      </c>
      <c r="R103" s="501"/>
      <c r="S103" s="365" t="e">
        <f aca="false">-T103/(1-AR103)</f>
        <v>#VALUE!</v>
      </c>
      <c r="T103" s="365" t="e">
        <f aca="false">xSPRDOPT(I103,H103,AQ103,AT103,O103,N103,P103,D103-$G$5,1,1)*AF103*F103*AH103</f>
        <v>#VALUE!</v>
      </c>
      <c r="U103" s="501"/>
      <c r="V103" s="503" t="e">
        <f aca="false">VLOOKUP($AG103,$AL$4:$AS$15,8)*AH103*AU103</f>
        <v>#VALUE!</v>
      </c>
      <c r="W103" s="503"/>
      <c r="X103" s="504" t="e">
        <f aca="false">((BM103*BC103)+(BL103*BB103))*AH103*F103</f>
        <v>#VALUE!</v>
      </c>
      <c r="Y103" s="504" t="e">
        <f aca="false">($F103*$AH103)*((($BG103/2)*($BC103)^2)+(($BF103/2)*($BB103)^2)+($BH103*$BC103*$BB103))</f>
        <v>#VALUE!</v>
      </c>
      <c r="Z103" s="504" t="e">
        <f aca="false">($BI103*$F103*$AH103*($G$5-$BV$5))/365.25</f>
        <v>#VALUE!</v>
      </c>
      <c r="AA103" s="504" t="e">
        <f aca="false">(($BK103*$BE103)+($BJ103*$BD103))*$F103*$AH103*$AF103</f>
        <v>#VALUE!</v>
      </c>
      <c r="AB103" s="504" t="e">
        <f aca="false">BN103*(AT103-CA103)*F103*AH103</f>
        <v>#VALUE!</v>
      </c>
      <c r="AC103" s="504" t="e">
        <f aca="false">BO103*CB103*F103*AH103*CA103*($G$5-$BV$5)/365.25</f>
        <v>#NAME?</v>
      </c>
      <c r="AF103" s="378" t="e">
        <f aca="false">IF(AND(D103&gt;=$G$7,D103&lt;=$G$8),1,0)</f>
        <v>#VALUE!</v>
      </c>
      <c r="AG103" s="378" t="e">
        <f aca="false">MONTH(D103)</f>
        <v>#VALUE!</v>
      </c>
      <c r="AH103" s="378" t="e">
        <f aca="false">(EOMONTH(D103,0)-EOMONTH(D103-DAY(D103),0))*AF103</f>
        <v>#VALUE!</v>
      </c>
      <c r="AI103" s="378" t="e">
        <f aca="false">AI102+AH102</f>
        <v>#VALUE!</v>
      </c>
      <c r="AJ103" s="378" t="e">
        <f aca="false">D103-$BV$5</f>
        <v>#VALUE!</v>
      </c>
      <c r="AL103" s="369" t="e">
        <f aca="false">VLOOKUP($D103,CurveTbl,$AK$4)</f>
        <v>#VALUE!</v>
      </c>
      <c r="AM103" s="505" t="e">
        <f aca="false">VLOOKUP($D103,CurveTbl,$AH$3)</f>
        <v>#VALUE!</v>
      </c>
      <c r="AN103" s="505" t="e">
        <f aca="false">VLOOKUP($D103,CurveTbl,$AH$4)+VLOOKUP($AG103,$AL$3:$AS$15,6)</f>
        <v>#VALUE!</v>
      </c>
      <c r="AO103" s="505" t="e">
        <f aca="false">VLOOKUP($D103,CurveTbl,$AH$5)</f>
        <v>#VALUE!</v>
      </c>
      <c r="AP103" s="505" t="e">
        <f aca="false">VLOOKUP($D103,CurveTbl,$AH$6)+VLOOKUP($AG103,$AL$3:$AS$15,7)</f>
        <v>#VALUE!</v>
      </c>
      <c r="AQ103" s="369" t="e">
        <f aca="false">VLOOKUP($AG103,$AL$4:$AS$15,3)+VLOOKUP($AG103,$AL$4:$AS$15,5)+($AH$10*VLOOKUP(D103,GRITable,2))</f>
        <v>#VALUE!</v>
      </c>
      <c r="AR103" s="370" t="e">
        <f aca="false">VLOOKUP($AG103,$AL$4:$AS$15,4)</f>
        <v>#VALUE!</v>
      </c>
      <c r="AS103" s="369" t="e">
        <f aca="false">(AL103+AM103+AN103)</f>
        <v>#VALUE!</v>
      </c>
      <c r="AT103" s="370" t="e">
        <f aca="false">VLOOKUP(D103,CurveTbl,$AK$6)</f>
        <v>#VALUE!</v>
      </c>
      <c r="AU103" s="370" t="e">
        <f aca="false">(1+$AT103/2)^(-2*($D103-$G$5)/365.25)*$AF103</f>
        <v>#VALUE!</v>
      </c>
      <c r="AV103" s="506" t="e">
        <f aca="false">ROUND((F103/(1-AR103))-F103,0)*AF103*AH103*AU103</f>
        <v>#VALUE!</v>
      </c>
      <c r="AW103" s="370" t="e">
        <f aca="false">VLOOKUP($D103,CurveTbl,$AK$8)</f>
        <v>#VALUE!</v>
      </c>
      <c r="AX103" s="370" t="e">
        <f aca="false">VLOOKUP($D103,CurveTbl,$AH$7)</f>
        <v>#VALUE!</v>
      </c>
      <c r="AY103" s="370" t="e">
        <f aca="false">VLOOKUP($D103,CurveTbl,$AH$8)</f>
        <v>#VALUE!</v>
      </c>
      <c r="AZ103" s="370"/>
      <c r="BA103" s="507"/>
      <c r="BB103" s="505" t="e">
        <f aca="false">$H103-$BV103</f>
        <v>#VALUE!</v>
      </c>
      <c r="BC103" s="505" t="e">
        <f aca="false">I103-BW103</f>
        <v>#VALUE!</v>
      </c>
      <c r="BD103" s="370" t="e">
        <f aca="false">N103-BX103</f>
        <v>#VALUE!</v>
      </c>
      <c r="BE103" s="370" t="e">
        <f aca="false">O103-BY103</f>
        <v>#VALUE!</v>
      </c>
      <c r="BF103" s="370" t="e">
        <f aca="false">xSPRDOPT($BW103,$BV103,$CG103,0,$BY103,$BX103,$BZ103,$AJ103,1,4)*$CB103</f>
        <v>#NAME?</v>
      </c>
      <c r="BG103" s="370" t="e">
        <f aca="false">xSPRDOPT($BW103,$BV103,$CG103,0,$BY103,$BX103,$BZ103,$AJ103,1,3)*$CB103</f>
        <v>#NAME?</v>
      </c>
      <c r="BH103" s="370" t="e">
        <f aca="false">IF(OR(BF103&lt;&gt;0,BG103&lt;&gt;0),xSPRDOPT($BW103,$BV103,$CG103,0,$BY103,$BX103,$BZ103,$AJ103,1,12)*$CB103,0)</f>
        <v>#NAME?</v>
      </c>
      <c r="BI103" s="370" t="e">
        <f aca="false">xSPRDOPT($BW103,$BV103,$CG103,2*LN(1+CA103/2),$BY103,$BX103,$BZ103,$AJ103,1,9)</f>
        <v>#NAME?</v>
      </c>
      <c r="BJ103" s="370" t="e">
        <f aca="false">xSPRDOPT($BW103,$BV103,$CG103,0,$BY103,$BX103,$BZ103,$AJ103,1,6)*$CB103</f>
        <v>#NAME?</v>
      </c>
      <c r="BK103" s="370" t="e">
        <f aca="false">xSPRDOPT($BW103,$BV103,$CG103,0,$BY103,$BX103,$BZ103,$AJ103,1,5)*$CB103</f>
        <v>#NAME?</v>
      </c>
      <c r="BL103" s="370" t="e">
        <f aca="false">xSPRDOPT(BW103,BV103,CG103,0,BY103,BX103,BZ103,AJ103,1,2)*CB103</f>
        <v>#NAME?</v>
      </c>
      <c r="BM103" s="370" t="e">
        <f aca="false">xSPRDOPT(BW103,BV103,CG103,0,BY103,BX103,BZ103,AJ103,1,1)*CB103</f>
        <v>#NAME?</v>
      </c>
      <c r="BN103" s="370" t="e">
        <f aca="false">IF(AH103&lt;&gt;0,xSPRDOPT($BW103,$BV103,$CG103,2*LN(1+CA103/2),$BY103,$BX103,$BZ103,$AJ103,1,8)+(AJ103/365.25)*CH103/AH103,0)</f>
        <v>#VALUE!</v>
      </c>
      <c r="BO103" s="370" t="e">
        <f aca="false">xSPRDOPT($BW103,$BV103,$CG103,0,$BY103,$BX103,$BZ103,$AJ103,1,0)</f>
        <v>#NAME?</v>
      </c>
      <c r="BP103" s="370"/>
      <c r="BQ103" s="370"/>
      <c r="BR103" s="370"/>
      <c r="BS103" s="370"/>
      <c r="BV103" s="508" t="n">
        <v>3.83246887966805</v>
      </c>
      <c r="BW103" s="369" t="n">
        <v>4.1045</v>
      </c>
      <c r="BX103" s="370" t="n">
        <v>0.246147380478821</v>
      </c>
      <c r="BY103" s="370" t="n">
        <v>0.244759570822632</v>
      </c>
      <c r="BZ103" s="370" t="n">
        <v>0.999127409679523</v>
      </c>
      <c r="CA103" s="370" t="n">
        <v>0.0580100911627719</v>
      </c>
      <c r="CB103" s="370" t="n">
        <v>0.669992509061986</v>
      </c>
      <c r="CC103" s="505" t="n">
        <v>-0.4</v>
      </c>
      <c r="CD103" s="505" t="n">
        <v>0.155</v>
      </c>
      <c r="CE103" s="505" t="n">
        <v>0.13</v>
      </c>
      <c r="CF103" s="505" t="n">
        <v>0.035</v>
      </c>
      <c r="CG103" s="505" t="n">
        <v>0</v>
      </c>
      <c r="CH103" s="505" t="n">
        <v>9.1885452662797</v>
      </c>
      <c r="CI103" s="505" t="n">
        <v>3.9395</v>
      </c>
    </row>
    <row r="104" customFormat="false" ht="12.75" hidden="false" customHeight="false" outlineLevel="0" collapsed="false">
      <c r="A104" s="500"/>
      <c r="B104" s="500"/>
      <c r="D104" s="361" t="e">
        <f aca="false">D103+AH103</f>
        <v>#VALUE!</v>
      </c>
      <c r="F104" s="362" t="e">
        <f aca="false">VLOOKUP(AG104,$AL$4:$AS$15,2)</f>
        <v>#VALUE!</v>
      </c>
      <c r="G104" s="362" t="e">
        <f aca="false">F104*$AU104</f>
        <v>#VALUE!</v>
      </c>
      <c r="H104" s="363" t="e">
        <f aca="false">(AL104+AM104+AN104)/(1-(AR104))</f>
        <v>#VALUE!</v>
      </c>
      <c r="I104" s="363" t="e">
        <f aca="false">(AL104+AO104+AP104)</f>
        <v>#VALUE!</v>
      </c>
      <c r="K104" s="363" t="e">
        <f aca="false">MAX(((I104-H104)-AQ104)*AU104*AH104,0)</f>
        <v>#VALUE!</v>
      </c>
      <c r="L104" s="501" t="e">
        <f aca="false">MAX(Q104-K104,0)</f>
        <v>#VALUE!</v>
      </c>
      <c r="N104" s="502" t="e">
        <f aca="false">SQRT(($AX104^2*($AH104/2)+$AW104^2*$AI104)/(($AH104/2)+$AI104))</f>
        <v>#VALUE!</v>
      </c>
      <c r="O104" s="502" t="e">
        <f aca="false">SQRT(($AY104^2*($AH104/2)+$AW104^2*$AI104)/(($AH104/2)+$AI104))</f>
        <v>#VALUE!</v>
      </c>
      <c r="P104" s="371" t="e">
        <f aca="false">(VLOOKUP(AI104,CorrelationTwo,2)*(AW104^2)*AI104+VLOOKUP(D104,CorrelationOne,$AK$9)*AX104*AY104*(AH104/2))/((AI104+(AH104/2))*O104*N104)*AF104</f>
        <v>#VALUE!</v>
      </c>
      <c r="Q104" s="501" t="e">
        <f aca="false">xSPRDOPT(I104,H104,AQ104,0,O104,N104,P104,D104-$G$5,1,0)*AH104*AU104</f>
        <v>#VALUE!</v>
      </c>
      <c r="R104" s="501"/>
      <c r="S104" s="365" t="e">
        <f aca="false">-T104/(1-AR104)</f>
        <v>#VALUE!</v>
      </c>
      <c r="T104" s="365" t="e">
        <f aca="false">xSPRDOPT(I104,H104,AQ104,AT104,O104,N104,P104,D104-$G$5,1,1)*AF104*F104*AH104</f>
        <v>#VALUE!</v>
      </c>
      <c r="U104" s="501"/>
      <c r="V104" s="503" t="e">
        <f aca="false">VLOOKUP($AG104,$AL$4:$AS$15,8)*AH104*AU104</f>
        <v>#VALUE!</v>
      </c>
      <c r="W104" s="503"/>
      <c r="X104" s="504" t="e">
        <f aca="false">((BM104*BC104)+(BL104*BB104))*AH104*F104</f>
        <v>#VALUE!</v>
      </c>
      <c r="Y104" s="504" t="e">
        <f aca="false">($F104*$AH104)*((($BG104/2)*($BC104)^2)+(($BF104/2)*($BB104)^2)+($BH104*$BC104*$BB104))</f>
        <v>#VALUE!</v>
      </c>
      <c r="Z104" s="504" t="e">
        <f aca="false">($BI104*$F104*$AH104*($G$5-$BV$5))/365.25</f>
        <v>#VALUE!</v>
      </c>
      <c r="AA104" s="504" t="e">
        <f aca="false">(($BK104*$BE104)+($BJ104*$BD104))*$F104*$AH104*$AF104</f>
        <v>#VALUE!</v>
      </c>
      <c r="AB104" s="504" t="e">
        <f aca="false">BN104*(AT104-CA104)*F104*AH104</f>
        <v>#VALUE!</v>
      </c>
      <c r="AC104" s="504" t="e">
        <f aca="false">BO104*CB104*F104*AH104*CA104*($G$5-$BV$5)/365.25</f>
        <v>#NAME?</v>
      </c>
      <c r="AF104" s="378" t="e">
        <f aca="false">IF(AND(D104&gt;=$G$7,D104&lt;=$G$8),1,0)</f>
        <v>#VALUE!</v>
      </c>
      <c r="AG104" s="378" t="e">
        <f aca="false">MONTH(D104)</f>
        <v>#VALUE!</v>
      </c>
      <c r="AH104" s="378" t="e">
        <f aca="false">(EOMONTH(D104,0)-EOMONTH(D104-DAY(D104),0))*AF104</f>
        <v>#VALUE!</v>
      </c>
      <c r="AI104" s="378" t="e">
        <f aca="false">AI103+AH103</f>
        <v>#VALUE!</v>
      </c>
      <c r="AJ104" s="378" t="e">
        <f aca="false">D104-$BV$5</f>
        <v>#VALUE!</v>
      </c>
      <c r="AL104" s="369" t="e">
        <f aca="false">VLOOKUP($D104,CurveTbl,$AK$4)</f>
        <v>#VALUE!</v>
      </c>
      <c r="AM104" s="505" t="e">
        <f aca="false">VLOOKUP($D104,CurveTbl,$AH$3)</f>
        <v>#VALUE!</v>
      </c>
      <c r="AN104" s="505" t="e">
        <f aca="false">VLOOKUP($D104,CurveTbl,$AH$4)+VLOOKUP($AG104,$AL$3:$AS$15,6)</f>
        <v>#VALUE!</v>
      </c>
      <c r="AO104" s="505" t="e">
        <f aca="false">VLOOKUP($D104,CurveTbl,$AH$5)</f>
        <v>#VALUE!</v>
      </c>
      <c r="AP104" s="505" t="e">
        <f aca="false">VLOOKUP($D104,CurveTbl,$AH$6)+VLOOKUP($AG104,$AL$3:$AS$15,7)</f>
        <v>#VALUE!</v>
      </c>
      <c r="AQ104" s="369" t="e">
        <f aca="false">VLOOKUP($AG104,$AL$4:$AS$15,3)+VLOOKUP($AG104,$AL$4:$AS$15,5)+($AH$10*VLOOKUP(D104,GRITable,2))</f>
        <v>#VALUE!</v>
      </c>
      <c r="AR104" s="370" t="e">
        <f aca="false">VLOOKUP($AG104,$AL$4:$AS$15,4)</f>
        <v>#VALUE!</v>
      </c>
      <c r="AS104" s="369" t="e">
        <f aca="false">(AL104+AM104+AN104)</f>
        <v>#VALUE!</v>
      </c>
      <c r="AT104" s="370" t="e">
        <f aca="false">VLOOKUP(D104,CurveTbl,$AK$6)</f>
        <v>#VALUE!</v>
      </c>
      <c r="AU104" s="370" t="e">
        <f aca="false">(1+$AT104/2)^(-2*($D104-$G$5)/365.25)*$AF104</f>
        <v>#VALUE!</v>
      </c>
      <c r="AV104" s="506" t="e">
        <f aca="false">ROUND((F104/(1-AR104))-F104,0)*AF104*AH104*AU104</f>
        <v>#VALUE!</v>
      </c>
      <c r="AW104" s="370" t="e">
        <f aca="false">VLOOKUP($D104,CurveTbl,$AK$8)</f>
        <v>#VALUE!</v>
      </c>
      <c r="AX104" s="370" t="e">
        <f aca="false">VLOOKUP($D104,CurveTbl,$AH$7)</f>
        <v>#VALUE!</v>
      </c>
      <c r="AY104" s="370" t="e">
        <f aca="false">VLOOKUP($D104,CurveTbl,$AH$8)</f>
        <v>#VALUE!</v>
      </c>
      <c r="AZ104" s="370"/>
      <c r="BA104" s="507"/>
      <c r="BB104" s="505" t="e">
        <f aca="false">$H104-$BV104</f>
        <v>#VALUE!</v>
      </c>
      <c r="BC104" s="505" t="e">
        <f aca="false">I104-BW104</f>
        <v>#VALUE!</v>
      </c>
      <c r="BD104" s="370" t="e">
        <f aca="false">N104-BX104</f>
        <v>#VALUE!</v>
      </c>
      <c r="BE104" s="370" t="e">
        <f aca="false">O104-BY104</f>
        <v>#VALUE!</v>
      </c>
      <c r="BF104" s="370" t="e">
        <f aca="false">xSPRDOPT($BW104,$BV104,$CG104,0,$BY104,$BX104,$BZ104,$AJ104,1,4)*$CB104</f>
        <v>#NAME?</v>
      </c>
      <c r="BG104" s="370" t="e">
        <f aca="false">xSPRDOPT($BW104,$BV104,$CG104,0,$BY104,$BX104,$BZ104,$AJ104,1,3)*$CB104</f>
        <v>#NAME?</v>
      </c>
      <c r="BH104" s="370" t="e">
        <f aca="false">IF(OR(BF104&lt;&gt;0,BG104&lt;&gt;0),xSPRDOPT($BW104,$BV104,$CG104,0,$BY104,$BX104,$BZ104,$AJ104,1,12)*$CB104,0)</f>
        <v>#NAME?</v>
      </c>
      <c r="BI104" s="370" t="e">
        <f aca="false">xSPRDOPT($BW104,$BV104,$CG104,2*LN(1+CA104/2),$BY104,$BX104,$BZ104,$AJ104,1,9)</f>
        <v>#NAME?</v>
      </c>
      <c r="BJ104" s="370" t="e">
        <f aca="false">xSPRDOPT($BW104,$BV104,$CG104,0,$BY104,$BX104,$BZ104,$AJ104,1,6)*$CB104</f>
        <v>#NAME?</v>
      </c>
      <c r="BK104" s="370" t="e">
        <f aca="false">xSPRDOPT($BW104,$BV104,$CG104,0,$BY104,$BX104,$BZ104,$AJ104,1,5)*$CB104</f>
        <v>#NAME?</v>
      </c>
      <c r="BL104" s="370" t="e">
        <f aca="false">xSPRDOPT(BW104,BV104,CG104,0,BY104,BX104,BZ104,AJ104,1,2)*CB104</f>
        <v>#NAME?</v>
      </c>
      <c r="BM104" s="370" t="e">
        <f aca="false">xSPRDOPT(BW104,BV104,CG104,0,BY104,BX104,BZ104,AJ104,1,1)*CB104</f>
        <v>#NAME?</v>
      </c>
      <c r="BN104" s="370" t="e">
        <f aca="false">IF(AH104&lt;&gt;0,xSPRDOPT($BW104,$BV104,$CG104,2*LN(1+CA104/2),$BY104,$BX104,$BZ104,$AJ104,1,8)+(AJ104/365.25)*CH104/AH104,0)</f>
        <v>#VALUE!</v>
      </c>
      <c r="BO104" s="370" t="e">
        <f aca="false">xSPRDOPT($BW104,$BV104,$CG104,0,$BY104,$BX104,$BZ104,$AJ104,1,0)</f>
        <v>#NAME?</v>
      </c>
      <c r="BP104" s="370"/>
      <c r="BQ104" s="370"/>
      <c r="BR104" s="370"/>
      <c r="BS104" s="370"/>
      <c r="BV104" s="508" t="n">
        <v>3.88692946058091</v>
      </c>
      <c r="BW104" s="369" t="n">
        <v>4.157</v>
      </c>
      <c r="BX104" s="370" t="n">
        <v>0.245960415041174</v>
      </c>
      <c r="BY104" s="370" t="n">
        <v>0.244588211423491</v>
      </c>
      <c r="BZ104" s="370" t="n">
        <v>0.999136425523634</v>
      </c>
      <c r="CA104" s="370" t="n">
        <v>0.0581602801293144</v>
      </c>
      <c r="CB104" s="370" t="n">
        <v>0.666059185357402</v>
      </c>
      <c r="CC104" s="505" t="n">
        <v>-0.4</v>
      </c>
      <c r="CD104" s="505" t="n">
        <v>0.155</v>
      </c>
      <c r="CE104" s="505" t="n">
        <v>0.13</v>
      </c>
      <c r="CF104" s="505" t="n">
        <v>0.035</v>
      </c>
      <c r="CG104" s="505" t="n">
        <v>0</v>
      </c>
      <c r="CH104" s="505" t="n">
        <v>9.13460209166556</v>
      </c>
      <c r="CI104" s="505" t="n">
        <v>3.992</v>
      </c>
    </row>
    <row r="105" customFormat="false" ht="12.75" hidden="false" customHeight="false" outlineLevel="0" collapsed="false">
      <c r="A105" s="500"/>
      <c r="B105" s="500"/>
      <c r="D105" s="361" t="e">
        <f aca="false">D104+AH104</f>
        <v>#VALUE!</v>
      </c>
      <c r="F105" s="362" t="e">
        <f aca="false">VLOOKUP(AG105,$AL$4:$AS$15,2)</f>
        <v>#VALUE!</v>
      </c>
      <c r="G105" s="362" t="e">
        <f aca="false">F105*$AU105</f>
        <v>#VALUE!</v>
      </c>
      <c r="H105" s="363" t="e">
        <f aca="false">(AL105+AM105+AN105)/(1-(AR105))</f>
        <v>#VALUE!</v>
      </c>
      <c r="I105" s="363" t="e">
        <f aca="false">(AL105+AO105+AP105)</f>
        <v>#VALUE!</v>
      </c>
      <c r="K105" s="363" t="e">
        <f aca="false">MAX(((I105-H105)-AQ105)*AU105*AH105,0)</f>
        <v>#VALUE!</v>
      </c>
      <c r="L105" s="501" t="e">
        <f aca="false">MAX(Q105-K105,0)</f>
        <v>#VALUE!</v>
      </c>
      <c r="N105" s="502" t="e">
        <f aca="false">SQRT(($AX105^2*($AH105/2)+$AW105^2*$AI105)/(($AH105/2)+$AI105))</f>
        <v>#VALUE!</v>
      </c>
      <c r="O105" s="502" t="e">
        <f aca="false">SQRT(($AY105^2*($AH105/2)+$AW105^2*$AI105)/(($AH105/2)+$AI105))</f>
        <v>#VALUE!</v>
      </c>
      <c r="P105" s="371" t="e">
        <f aca="false">(VLOOKUP(AI105,CorrelationTwo,2)*(AW105^2)*AI105+VLOOKUP(D105,CorrelationOne,$AK$9)*AX105*AY105*(AH105/2))/((AI105+(AH105/2))*O105*N105)*AF105</f>
        <v>#VALUE!</v>
      </c>
      <c r="Q105" s="501" t="e">
        <f aca="false">xSPRDOPT(I105,H105,AQ105,0,O105,N105,P105,D105-$G$5,1,0)*AH105*AU105</f>
        <v>#VALUE!</v>
      </c>
      <c r="R105" s="501"/>
      <c r="S105" s="365" t="e">
        <f aca="false">-T105/(1-AR105)</f>
        <v>#VALUE!</v>
      </c>
      <c r="T105" s="365" t="e">
        <f aca="false">xSPRDOPT(I105,H105,AQ105,AT105,O105,N105,P105,D105-$G$5,1,1)*AF105*F105*AH105</f>
        <v>#VALUE!</v>
      </c>
      <c r="U105" s="501"/>
      <c r="V105" s="503" t="e">
        <f aca="false">VLOOKUP($AG105,$AL$4:$AS$15,8)*AH105*AU105</f>
        <v>#VALUE!</v>
      </c>
      <c r="W105" s="503"/>
      <c r="X105" s="504" t="e">
        <f aca="false">((BM105*BC105)+(BL105*BB105))*AH105*F105</f>
        <v>#VALUE!</v>
      </c>
      <c r="Y105" s="504" t="e">
        <f aca="false">($F105*$AH105)*((($BG105/2)*($BC105)^2)+(($BF105/2)*($BB105)^2)+($BH105*$BC105*$BB105))</f>
        <v>#VALUE!</v>
      </c>
      <c r="Z105" s="504" t="e">
        <f aca="false">($BI105*$F105*$AH105*($G$5-$BV$5))/365.25</f>
        <v>#VALUE!</v>
      </c>
      <c r="AA105" s="504" t="e">
        <f aca="false">(($BK105*$BE105)+($BJ105*$BD105))*$F105*$AH105*$AF105</f>
        <v>#VALUE!</v>
      </c>
      <c r="AB105" s="504" t="e">
        <f aca="false">BN105*(AT105-CA105)*F105*AH105</f>
        <v>#VALUE!</v>
      </c>
      <c r="AC105" s="504" t="e">
        <f aca="false">BO105*CB105*F105*AH105*CA105*($G$5-$BV$5)/365.25</f>
        <v>#NAME?</v>
      </c>
      <c r="AF105" s="378" t="e">
        <f aca="false">IF(AND(D105&gt;=$G$7,D105&lt;=$G$8),1,0)</f>
        <v>#VALUE!</v>
      </c>
      <c r="AG105" s="378" t="e">
        <f aca="false">MONTH(D105)</f>
        <v>#VALUE!</v>
      </c>
      <c r="AH105" s="378" t="e">
        <f aca="false">(EOMONTH(D105,0)-EOMONTH(D105-DAY(D105),0))*AF105</f>
        <v>#VALUE!</v>
      </c>
      <c r="AI105" s="378" t="e">
        <f aca="false">AI104+AH104</f>
        <v>#VALUE!</v>
      </c>
      <c r="AJ105" s="378" t="e">
        <f aca="false">D105-$BV$5</f>
        <v>#VALUE!</v>
      </c>
      <c r="AL105" s="369" t="e">
        <f aca="false">VLOOKUP($D105,CurveTbl,$AK$4)</f>
        <v>#VALUE!</v>
      </c>
      <c r="AM105" s="505" t="e">
        <f aca="false">VLOOKUP($D105,CurveTbl,$AH$3)</f>
        <v>#VALUE!</v>
      </c>
      <c r="AN105" s="505" t="e">
        <f aca="false">VLOOKUP($D105,CurveTbl,$AH$4)+VLOOKUP($AG105,$AL$3:$AS$15,6)</f>
        <v>#VALUE!</v>
      </c>
      <c r="AO105" s="505" t="e">
        <f aca="false">VLOOKUP($D105,CurveTbl,$AH$5)</f>
        <v>#VALUE!</v>
      </c>
      <c r="AP105" s="505" t="e">
        <f aca="false">VLOOKUP($D105,CurveTbl,$AH$6)+VLOOKUP($AG105,$AL$3:$AS$15,7)</f>
        <v>#VALUE!</v>
      </c>
      <c r="AQ105" s="369" t="e">
        <f aca="false">VLOOKUP($AG105,$AL$4:$AS$15,3)+VLOOKUP($AG105,$AL$4:$AS$15,5)+($AH$10*VLOOKUP(D105,GRITable,2))</f>
        <v>#VALUE!</v>
      </c>
      <c r="AR105" s="370" t="e">
        <f aca="false">VLOOKUP($AG105,$AL$4:$AS$15,4)</f>
        <v>#VALUE!</v>
      </c>
      <c r="AS105" s="369" t="e">
        <f aca="false">(AL105+AM105+AN105)</f>
        <v>#VALUE!</v>
      </c>
      <c r="AT105" s="370" t="e">
        <f aca="false">VLOOKUP(D105,CurveTbl,$AK$6)</f>
        <v>#VALUE!</v>
      </c>
      <c r="AU105" s="370" t="e">
        <f aca="false">(1+$AT105/2)^(-2*($D105-$G$5)/365.25)*$AF105</f>
        <v>#VALUE!</v>
      </c>
      <c r="AV105" s="506" t="e">
        <f aca="false">ROUND((F105/(1-AR105))-F105,0)*AF105*AH105*AU105</f>
        <v>#VALUE!</v>
      </c>
      <c r="AW105" s="370" t="e">
        <f aca="false">VLOOKUP($D105,CurveTbl,$AK$8)</f>
        <v>#VALUE!</v>
      </c>
      <c r="AX105" s="370" t="e">
        <f aca="false">VLOOKUP($D105,CurveTbl,$AH$7)</f>
        <v>#VALUE!</v>
      </c>
      <c r="AY105" s="370" t="e">
        <f aca="false">VLOOKUP($D105,CurveTbl,$AH$8)</f>
        <v>#VALUE!</v>
      </c>
      <c r="AZ105" s="370"/>
      <c r="BA105" s="507"/>
      <c r="BB105" s="505" t="e">
        <f aca="false">$H105-$BV105</f>
        <v>#VALUE!</v>
      </c>
      <c r="BC105" s="505" t="e">
        <f aca="false">I105-BW105</f>
        <v>#VALUE!</v>
      </c>
      <c r="BD105" s="370" t="e">
        <f aca="false">N105-BX105</f>
        <v>#VALUE!</v>
      </c>
      <c r="BE105" s="370" t="e">
        <f aca="false">O105-BY105</f>
        <v>#VALUE!</v>
      </c>
      <c r="BF105" s="370" t="e">
        <f aca="false">xSPRDOPT($BW105,$BV105,$CG105,0,$BY105,$BX105,$BZ105,$AJ105,1,4)*$CB105</f>
        <v>#NAME?</v>
      </c>
      <c r="BG105" s="370" t="e">
        <f aca="false">xSPRDOPT($BW105,$BV105,$CG105,0,$BY105,$BX105,$BZ105,$AJ105,1,3)*$CB105</f>
        <v>#NAME?</v>
      </c>
      <c r="BH105" s="370" t="e">
        <f aca="false">IF(OR(BF105&lt;&gt;0,BG105&lt;&gt;0),xSPRDOPT($BW105,$BV105,$CG105,0,$BY105,$BX105,$BZ105,$AJ105,1,12)*$CB105,0)</f>
        <v>#NAME?</v>
      </c>
      <c r="BI105" s="370" t="e">
        <f aca="false">xSPRDOPT($BW105,$BV105,$CG105,2*LN(1+CA105/2),$BY105,$BX105,$BZ105,$AJ105,1,9)</f>
        <v>#NAME?</v>
      </c>
      <c r="BJ105" s="370" t="e">
        <f aca="false">xSPRDOPT($BW105,$BV105,$CG105,0,$BY105,$BX105,$BZ105,$AJ105,1,6)*$CB105</f>
        <v>#NAME?</v>
      </c>
      <c r="BK105" s="370" t="e">
        <f aca="false">xSPRDOPT($BW105,$BV105,$CG105,0,$BY105,$BX105,$BZ105,$AJ105,1,5)*$CB105</f>
        <v>#NAME?</v>
      </c>
      <c r="BL105" s="370" t="e">
        <f aca="false">xSPRDOPT(BW105,BV105,CG105,0,BY105,BX105,BZ105,AJ105,1,2)*CB105</f>
        <v>#NAME?</v>
      </c>
      <c r="BM105" s="370" t="e">
        <f aca="false">xSPRDOPT(BW105,BV105,CG105,0,BY105,BX105,BZ105,AJ105,1,1)*CB105</f>
        <v>#NAME?</v>
      </c>
      <c r="BN105" s="370" t="e">
        <f aca="false">IF(AH105&lt;&gt;0,xSPRDOPT($BW105,$BV105,$CG105,2*LN(1+CA105/2),$BY105,$BX105,$BZ105,$AJ105,1,8)+(AJ105/365.25)*CH105/AH105,0)</f>
        <v>#VALUE!</v>
      </c>
      <c r="BO105" s="370" t="e">
        <f aca="false">xSPRDOPT($BW105,$BV105,$CG105,0,$BY105,$BX105,$BZ105,$AJ105,1,0)</f>
        <v>#NAME?</v>
      </c>
      <c r="BP105" s="370"/>
      <c r="BQ105" s="370"/>
      <c r="BR105" s="370"/>
      <c r="BS105" s="370"/>
      <c r="BV105" s="508" t="n">
        <v>3.79875518672199</v>
      </c>
      <c r="BW105" s="369" t="n">
        <v>4.072</v>
      </c>
      <c r="BX105" s="370" t="n">
        <v>0.24196380675346</v>
      </c>
      <c r="BY105" s="370" t="n">
        <v>0.240718380562137</v>
      </c>
      <c r="BZ105" s="370" t="n">
        <v>0.999202317971262</v>
      </c>
      <c r="CA105" s="370" t="n">
        <v>0.0582693930542924</v>
      </c>
      <c r="CB105" s="370" t="n">
        <v>0.662322195804784</v>
      </c>
      <c r="CC105" s="505" t="n">
        <v>-0.4</v>
      </c>
      <c r="CD105" s="505" t="n">
        <v>0.155</v>
      </c>
      <c r="CE105" s="505" t="n">
        <v>0.13</v>
      </c>
      <c r="CF105" s="505" t="n">
        <v>0.035</v>
      </c>
      <c r="CG105" s="505" t="n">
        <v>0</v>
      </c>
      <c r="CH105" s="505" t="n">
        <v>8.20431750387302</v>
      </c>
      <c r="CI105" s="505" t="n">
        <v>3.907</v>
      </c>
    </row>
    <row r="106" customFormat="false" ht="12.75" hidden="false" customHeight="false" outlineLevel="0" collapsed="false">
      <c r="A106" s="500"/>
      <c r="B106" s="500"/>
      <c r="K106" s="363"/>
      <c r="L106" s="501"/>
      <c r="N106" s="502"/>
      <c r="O106" s="502"/>
      <c r="P106" s="371"/>
      <c r="Q106" s="501"/>
      <c r="R106" s="501"/>
      <c r="U106" s="501"/>
      <c r="V106" s="503"/>
      <c r="W106" s="503"/>
      <c r="X106" s="504"/>
      <c r="Y106" s="504"/>
      <c r="Z106" s="504"/>
      <c r="AA106" s="504"/>
      <c r="AB106" s="504"/>
      <c r="AC106" s="504"/>
      <c r="AF106" s="378"/>
      <c r="AG106" s="378"/>
      <c r="AH106" s="378"/>
      <c r="AI106" s="378"/>
      <c r="AJ106" s="378"/>
      <c r="AM106" s="505"/>
      <c r="AN106" s="505"/>
      <c r="AO106" s="505"/>
      <c r="AP106" s="505"/>
      <c r="AR106" s="370"/>
      <c r="AT106" s="370"/>
      <c r="AV106" s="134"/>
      <c r="AW106" s="370"/>
      <c r="AX106" s="370"/>
      <c r="AY106" s="370"/>
      <c r="AZ106" s="370"/>
      <c r="BA106" s="507"/>
      <c r="BB106" s="505"/>
      <c r="BC106" s="505"/>
      <c r="BD106" s="370"/>
      <c r="BE106" s="370"/>
      <c r="BF106" s="370"/>
      <c r="BG106" s="370"/>
      <c r="BH106" s="370"/>
      <c r="BI106" s="370"/>
      <c r="BJ106" s="370"/>
      <c r="BK106" s="370"/>
      <c r="BL106" s="370"/>
      <c r="BM106" s="370"/>
      <c r="BN106" s="370"/>
      <c r="BO106" s="370"/>
      <c r="BP106" s="370"/>
      <c r="BQ106" s="370"/>
      <c r="BR106" s="370"/>
      <c r="BS106" s="370"/>
      <c r="BV106" s="508"/>
      <c r="BW106" s="369"/>
      <c r="BX106" s="370"/>
      <c r="BY106" s="370"/>
      <c r="BZ106" s="370"/>
      <c r="CA106" s="370"/>
      <c r="CB106" s="370"/>
      <c r="CC106" s="505"/>
      <c r="CD106" s="505"/>
      <c r="CE106" s="505"/>
      <c r="CF106" s="505"/>
      <c r="CG106" s="505"/>
      <c r="CH106" s="505"/>
      <c r="CI106" s="505"/>
    </row>
    <row r="107" customFormat="false" ht="12.75" hidden="false" customHeight="false" outlineLevel="0" collapsed="false">
      <c r="A107" s="500"/>
      <c r="B107" s="500"/>
      <c r="K107" s="363"/>
      <c r="L107" s="501"/>
      <c r="N107" s="502"/>
      <c r="O107" s="502"/>
      <c r="P107" s="371"/>
      <c r="Q107" s="501"/>
      <c r="R107" s="501"/>
      <c r="U107" s="501"/>
      <c r="V107" s="503"/>
      <c r="W107" s="503"/>
      <c r="X107" s="504"/>
      <c r="Y107" s="504"/>
      <c r="Z107" s="504"/>
      <c r="AA107" s="504"/>
      <c r="AB107" s="504"/>
      <c r="AC107" s="504"/>
      <c r="AF107" s="378"/>
      <c r="AG107" s="378"/>
      <c r="AH107" s="378"/>
      <c r="AI107" s="378"/>
      <c r="AJ107" s="378"/>
      <c r="AM107" s="505"/>
      <c r="AN107" s="505"/>
      <c r="AO107" s="505"/>
      <c r="AP107" s="505"/>
      <c r="AR107" s="370"/>
      <c r="AT107" s="370"/>
      <c r="AV107" s="134"/>
      <c r="AW107" s="370"/>
      <c r="AX107" s="370"/>
      <c r="AY107" s="370"/>
      <c r="AZ107" s="370"/>
      <c r="BA107" s="507"/>
      <c r="BB107" s="505"/>
      <c r="BC107" s="505"/>
      <c r="BD107" s="370"/>
      <c r="BE107" s="370"/>
      <c r="BF107" s="370"/>
      <c r="BG107" s="370"/>
      <c r="BH107" s="370"/>
      <c r="BI107" s="370"/>
      <c r="BJ107" s="370"/>
      <c r="BK107" s="370"/>
      <c r="BL107" s="370"/>
      <c r="BM107" s="370"/>
      <c r="BN107" s="370"/>
      <c r="BO107" s="370"/>
      <c r="BP107" s="370"/>
      <c r="BQ107" s="370"/>
      <c r="BR107" s="370"/>
      <c r="BS107" s="370"/>
      <c r="BV107" s="508"/>
      <c r="BW107" s="369"/>
      <c r="BX107" s="370"/>
      <c r="BY107" s="370"/>
      <c r="BZ107" s="370"/>
      <c r="CA107" s="370"/>
      <c r="CB107" s="370"/>
      <c r="CC107" s="505"/>
      <c r="CD107" s="505"/>
      <c r="CE107" s="505"/>
      <c r="CF107" s="505"/>
      <c r="CG107" s="505"/>
      <c r="CH107" s="505"/>
      <c r="CI107" s="505"/>
    </row>
    <row r="108" customFormat="false" ht="12.75" hidden="false" customHeight="false" outlineLevel="0" collapsed="false">
      <c r="A108" s="500"/>
      <c r="B108" s="500"/>
      <c r="K108" s="363"/>
      <c r="L108" s="501"/>
      <c r="N108" s="502"/>
      <c r="O108" s="502"/>
      <c r="P108" s="371"/>
      <c r="Q108" s="501"/>
      <c r="R108" s="501"/>
      <c r="U108" s="501"/>
      <c r="V108" s="503"/>
      <c r="W108" s="503"/>
      <c r="X108" s="504"/>
      <c r="Y108" s="504"/>
      <c r="Z108" s="504"/>
      <c r="AA108" s="504"/>
      <c r="AB108" s="504"/>
      <c r="AC108" s="504"/>
      <c r="AF108" s="378"/>
      <c r="AG108" s="378"/>
      <c r="AH108" s="378"/>
      <c r="AI108" s="378"/>
      <c r="AJ108" s="378"/>
      <c r="AM108" s="505"/>
      <c r="AN108" s="505"/>
      <c r="AO108" s="505"/>
      <c r="AP108" s="505"/>
      <c r="AR108" s="370"/>
      <c r="AT108" s="370"/>
      <c r="AV108" s="134"/>
      <c r="AW108" s="370"/>
      <c r="AX108" s="370"/>
      <c r="AY108" s="370"/>
      <c r="AZ108" s="370"/>
      <c r="BA108" s="507"/>
      <c r="BB108" s="505"/>
      <c r="BC108" s="505"/>
      <c r="BD108" s="370"/>
      <c r="BE108" s="370"/>
      <c r="BF108" s="370"/>
      <c r="BG108" s="370"/>
      <c r="BH108" s="370"/>
      <c r="BI108" s="370"/>
      <c r="BJ108" s="370"/>
      <c r="BK108" s="370"/>
      <c r="BL108" s="370"/>
      <c r="BM108" s="370"/>
      <c r="BN108" s="370"/>
      <c r="BO108" s="370"/>
      <c r="BP108" s="370"/>
      <c r="BQ108" s="370"/>
      <c r="BR108" s="370"/>
      <c r="BS108" s="370"/>
      <c r="BV108" s="508"/>
      <c r="BW108" s="369"/>
      <c r="BX108" s="370"/>
      <c r="BY108" s="370"/>
      <c r="BZ108" s="370"/>
      <c r="CA108" s="370"/>
      <c r="CB108" s="370"/>
      <c r="CC108" s="505"/>
      <c r="CD108" s="505"/>
      <c r="CE108" s="505"/>
      <c r="CF108" s="505"/>
      <c r="CG108" s="505"/>
      <c r="CH108" s="505"/>
      <c r="CI108" s="505"/>
    </row>
    <row r="109" customFormat="false" ht="12.75" hidden="false" customHeight="false" outlineLevel="0" collapsed="false">
      <c r="A109" s="500"/>
      <c r="B109" s="500"/>
      <c r="K109" s="363"/>
      <c r="L109" s="501"/>
      <c r="N109" s="502"/>
      <c r="O109" s="502"/>
      <c r="P109" s="371"/>
      <c r="Q109" s="501"/>
      <c r="R109" s="501"/>
      <c r="U109" s="501"/>
      <c r="V109" s="503"/>
      <c r="W109" s="503"/>
      <c r="X109" s="504"/>
      <c r="Y109" s="504"/>
      <c r="Z109" s="504"/>
      <c r="AA109" s="504"/>
      <c r="AB109" s="504"/>
      <c r="AC109" s="504"/>
      <c r="AF109" s="378"/>
      <c r="AG109" s="378"/>
      <c r="AH109" s="378"/>
      <c r="AI109" s="378"/>
      <c r="AJ109" s="378"/>
      <c r="AM109" s="505"/>
      <c r="AN109" s="505"/>
      <c r="AO109" s="505"/>
      <c r="AP109" s="505"/>
      <c r="AR109" s="370"/>
      <c r="AT109" s="370"/>
      <c r="AV109" s="134"/>
      <c r="AW109" s="370"/>
      <c r="AX109" s="370"/>
      <c r="AY109" s="370"/>
      <c r="AZ109" s="370"/>
      <c r="BA109" s="507"/>
      <c r="BB109" s="505"/>
      <c r="BC109" s="505"/>
      <c r="BD109" s="370"/>
      <c r="BE109" s="370"/>
      <c r="BF109" s="370"/>
      <c r="BG109" s="370"/>
      <c r="BH109" s="370"/>
      <c r="BI109" s="370"/>
      <c r="BJ109" s="370"/>
      <c r="BK109" s="370"/>
      <c r="BL109" s="370"/>
      <c r="BM109" s="370"/>
      <c r="BN109" s="370"/>
      <c r="BO109" s="370"/>
      <c r="BP109" s="370"/>
      <c r="BQ109" s="370"/>
      <c r="BR109" s="370"/>
      <c r="BS109" s="370"/>
      <c r="BV109" s="508"/>
      <c r="BW109" s="369"/>
      <c r="BX109" s="370"/>
      <c r="BY109" s="370"/>
      <c r="BZ109" s="370"/>
      <c r="CA109" s="370"/>
      <c r="CB109" s="370"/>
      <c r="CC109" s="505"/>
      <c r="CD109" s="505"/>
      <c r="CE109" s="505"/>
      <c r="CF109" s="505"/>
      <c r="CG109" s="505"/>
      <c r="CH109" s="505"/>
      <c r="CI109" s="505"/>
    </row>
    <row r="110" customFormat="false" ht="12.75" hidden="false" customHeight="false" outlineLevel="0" collapsed="false">
      <c r="A110" s="500"/>
      <c r="B110" s="500"/>
      <c r="K110" s="363"/>
      <c r="L110" s="501"/>
      <c r="N110" s="502"/>
      <c r="O110" s="502"/>
      <c r="P110" s="371"/>
      <c r="Q110" s="501"/>
      <c r="R110" s="501"/>
      <c r="U110" s="501"/>
      <c r="V110" s="503"/>
      <c r="W110" s="503"/>
      <c r="X110" s="504"/>
      <c r="Y110" s="504"/>
      <c r="Z110" s="504"/>
      <c r="AA110" s="504"/>
      <c r="AB110" s="504"/>
      <c r="AC110" s="504"/>
      <c r="AF110" s="378"/>
      <c r="AG110" s="378"/>
      <c r="AH110" s="378"/>
      <c r="AI110" s="378"/>
      <c r="AJ110" s="378"/>
      <c r="AM110" s="505"/>
      <c r="AN110" s="505"/>
      <c r="AO110" s="505"/>
      <c r="AP110" s="505"/>
      <c r="AR110" s="370"/>
      <c r="AT110" s="370"/>
      <c r="AV110" s="134"/>
      <c r="AW110" s="370"/>
      <c r="AX110" s="370"/>
      <c r="AY110" s="370"/>
      <c r="AZ110" s="370"/>
      <c r="BA110" s="507"/>
      <c r="BB110" s="505"/>
      <c r="BC110" s="505"/>
      <c r="BD110" s="370"/>
      <c r="BE110" s="370"/>
      <c r="BF110" s="370"/>
      <c r="BG110" s="370"/>
      <c r="BH110" s="370"/>
      <c r="BI110" s="370"/>
      <c r="BJ110" s="370"/>
      <c r="BK110" s="370"/>
      <c r="BL110" s="370"/>
      <c r="BM110" s="370"/>
      <c r="BN110" s="370"/>
      <c r="BO110" s="370"/>
      <c r="BP110" s="370"/>
      <c r="BQ110" s="370"/>
      <c r="BR110" s="370"/>
      <c r="BS110" s="370"/>
      <c r="BV110" s="508"/>
      <c r="BW110" s="369"/>
      <c r="BX110" s="370"/>
      <c r="BY110" s="370"/>
      <c r="BZ110" s="370"/>
      <c r="CA110" s="370"/>
      <c r="CB110" s="370"/>
      <c r="CC110" s="505"/>
      <c r="CD110" s="505"/>
      <c r="CE110" s="505"/>
      <c r="CF110" s="505"/>
      <c r="CG110" s="505"/>
      <c r="CH110" s="505"/>
      <c r="CI110" s="505"/>
    </row>
    <row r="111" customFormat="false" ht="12.75" hidden="false" customHeight="false" outlineLevel="0" collapsed="false">
      <c r="A111" s="500"/>
      <c r="B111" s="500"/>
      <c r="K111" s="363"/>
      <c r="L111" s="501"/>
      <c r="N111" s="502"/>
      <c r="O111" s="502"/>
      <c r="P111" s="371"/>
      <c r="Q111" s="501"/>
      <c r="R111" s="501"/>
      <c r="U111" s="501"/>
      <c r="V111" s="503"/>
      <c r="W111" s="503"/>
      <c r="X111" s="504"/>
      <c r="Y111" s="504"/>
      <c r="Z111" s="504"/>
      <c r="AA111" s="504"/>
      <c r="AB111" s="504"/>
      <c r="AC111" s="504"/>
      <c r="AF111" s="378"/>
      <c r="AG111" s="378"/>
      <c r="AH111" s="378"/>
      <c r="AI111" s="378"/>
      <c r="AJ111" s="378"/>
      <c r="AM111" s="505"/>
      <c r="AN111" s="505"/>
      <c r="AO111" s="505"/>
      <c r="AP111" s="505"/>
      <c r="AR111" s="370"/>
      <c r="AT111" s="370"/>
      <c r="AV111" s="134"/>
      <c r="AW111" s="370"/>
      <c r="AX111" s="370"/>
      <c r="AY111" s="370"/>
      <c r="AZ111" s="370"/>
      <c r="BA111" s="507"/>
      <c r="BB111" s="505"/>
      <c r="BC111" s="505"/>
      <c r="BD111" s="370"/>
      <c r="BE111" s="370"/>
      <c r="BF111" s="370"/>
      <c r="BG111" s="370"/>
      <c r="BH111" s="370"/>
      <c r="BI111" s="370"/>
      <c r="BJ111" s="370"/>
      <c r="BK111" s="370"/>
      <c r="BL111" s="370"/>
      <c r="BM111" s="370"/>
      <c r="BN111" s="370"/>
      <c r="BO111" s="370"/>
      <c r="BP111" s="370"/>
      <c r="BQ111" s="370"/>
      <c r="BR111" s="370"/>
      <c r="BS111" s="370"/>
      <c r="BV111" s="508"/>
      <c r="BW111" s="369"/>
      <c r="BX111" s="370"/>
      <c r="BY111" s="370"/>
      <c r="BZ111" s="370"/>
      <c r="CA111" s="370"/>
      <c r="CB111" s="370"/>
      <c r="CC111" s="505"/>
      <c r="CD111" s="505"/>
      <c r="CE111" s="505"/>
      <c r="CF111" s="505"/>
      <c r="CG111" s="505"/>
      <c r="CH111" s="505"/>
      <c r="CI111" s="505"/>
    </row>
    <row r="112" customFormat="false" ht="12.75" hidden="false" customHeight="false" outlineLevel="0" collapsed="false">
      <c r="A112" s="500"/>
      <c r="B112" s="500"/>
      <c r="K112" s="363"/>
      <c r="L112" s="501"/>
      <c r="N112" s="502"/>
      <c r="O112" s="502"/>
      <c r="P112" s="371"/>
      <c r="Q112" s="501"/>
      <c r="R112" s="501"/>
      <c r="U112" s="501"/>
      <c r="V112" s="503"/>
      <c r="W112" s="503"/>
      <c r="X112" s="504"/>
      <c r="Y112" s="504"/>
      <c r="Z112" s="504"/>
      <c r="AA112" s="504"/>
      <c r="AB112" s="504"/>
      <c r="AC112" s="504"/>
      <c r="AF112" s="378"/>
      <c r="AG112" s="378"/>
      <c r="AH112" s="378"/>
      <c r="AI112" s="378"/>
      <c r="AJ112" s="378"/>
      <c r="AM112" s="505"/>
      <c r="AN112" s="505"/>
      <c r="AO112" s="505"/>
      <c r="AP112" s="505"/>
      <c r="AR112" s="370"/>
      <c r="AT112" s="370"/>
      <c r="AV112" s="134"/>
      <c r="AW112" s="370"/>
      <c r="AX112" s="370"/>
      <c r="AY112" s="370"/>
      <c r="AZ112" s="370"/>
      <c r="BA112" s="507"/>
      <c r="BB112" s="505"/>
      <c r="BC112" s="505"/>
      <c r="BD112" s="370"/>
      <c r="BE112" s="370"/>
      <c r="BF112" s="370"/>
      <c r="BG112" s="370"/>
      <c r="BH112" s="370"/>
      <c r="BI112" s="370"/>
      <c r="BJ112" s="370"/>
      <c r="BK112" s="370"/>
      <c r="BL112" s="370"/>
      <c r="BM112" s="370"/>
      <c r="BN112" s="370"/>
      <c r="BO112" s="370"/>
      <c r="BP112" s="370"/>
      <c r="BQ112" s="370"/>
      <c r="BR112" s="370"/>
      <c r="BS112" s="370"/>
      <c r="BV112" s="508"/>
      <c r="BW112" s="369"/>
      <c r="BX112" s="370"/>
      <c r="BY112" s="370"/>
      <c r="BZ112" s="370"/>
      <c r="CA112" s="370"/>
      <c r="CB112" s="370"/>
      <c r="CC112" s="505"/>
      <c r="CD112" s="505"/>
      <c r="CE112" s="505"/>
      <c r="CF112" s="505"/>
      <c r="CG112" s="505"/>
      <c r="CH112" s="505"/>
      <c r="CI112" s="505"/>
    </row>
    <row r="113" customFormat="false" ht="12.75" hidden="false" customHeight="false" outlineLevel="0" collapsed="false">
      <c r="A113" s="500"/>
      <c r="B113" s="500"/>
      <c r="K113" s="363"/>
      <c r="L113" s="501"/>
      <c r="N113" s="502"/>
      <c r="O113" s="502"/>
      <c r="P113" s="371"/>
      <c r="Q113" s="501"/>
      <c r="R113" s="501"/>
      <c r="U113" s="501"/>
      <c r="V113" s="503"/>
      <c r="W113" s="503"/>
      <c r="X113" s="504"/>
      <c r="Y113" s="504"/>
      <c r="Z113" s="504"/>
      <c r="AA113" s="504"/>
      <c r="AB113" s="504"/>
      <c r="AC113" s="504"/>
      <c r="AF113" s="378"/>
      <c r="AG113" s="378"/>
      <c r="AH113" s="378"/>
      <c r="AI113" s="378"/>
      <c r="AJ113" s="378"/>
      <c r="AM113" s="505"/>
      <c r="AN113" s="505"/>
      <c r="AO113" s="505"/>
      <c r="AP113" s="505"/>
      <c r="AR113" s="370"/>
      <c r="AT113" s="370"/>
      <c r="AV113" s="134"/>
      <c r="AW113" s="370"/>
      <c r="AX113" s="370"/>
      <c r="AY113" s="370"/>
      <c r="AZ113" s="370"/>
      <c r="BA113" s="507"/>
      <c r="BB113" s="505"/>
      <c r="BC113" s="505"/>
      <c r="BD113" s="370"/>
      <c r="BE113" s="370"/>
      <c r="BF113" s="370"/>
      <c r="BG113" s="370"/>
      <c r="BH113" s="370"/>
      <c r="BI113" s="370"/>
      <c r="BJ113" s="370"/>
      <c r="BK113" s="370"/>
      <c r="BL113" s="370"/>
      <c r="BM113" s="370"/>
      <c r="BN113" s="370"/>
      <c r="BO113" s="370"/>
      <c r="BP113" s="370"/>
      <c r="BQ113" s="370"/>
      <c r="BR113" s="370"/>
      <c r="BS113" s="370"/>
      <c r="BV113" s="508"/>
      <c r="BW113" s="369"/>
      <c r="BX113" s="370"/>
      <c r="BY113" s="370"/>
      <c r="BZ113" s="370"/>
      <c r="CA113" s="370"/>
      <c r="CB113" s="370"/>
      <c r="CC113" s="505"/>
      <c r="CD113" s="505"/>
      <c r="CE113" s="505"/>
      <c r="CF113" s="505"/>
      <c r="CG113" s="505"/>
      <c r="CH113" s="505"/>
      <c r="CI113" s="505"/>
    </row>
    <row r="114" customFormat="false" ht="12.75" hidden="false" customHeight="false" outlineLevel="0" collapsed="false">
      <c r="A114" s="500"/>
      <c r="B114" s="500"/>
      <c r="L114" s="501"/>
      <c r="P114" s="371"/>
      <c r="Q114" s="501"/>
      <c r="R114" s="371"/>
      <c r="U114" s="371"/>
      <c r="V114" s="371"/>
      <c r="W114" s="371"/>
      <c r="X114" s="371"/>
      <c r="AO114" s="369"/>
      <c r="AQ114" s="370"/>
      <c r="AU114" s="530"/>
      <c r="AV114" s="134"/>
      <c r="AW114" s="370"/>
    </row>
    <row r="115" customFormat="false" ht="12.75" hidden="false" customHeight="false" outlineLevel="0" collapsed="false">
      <c r="A115" s="500"/>
      <c r="B115" s="500"/>
      <c r="L115" s="501"/>
      <c r="P115" s="371"/>
      <c r="Q115" s="501"/>
      <c r="R115" s="371"/>
      <c r="U115" s="371"/>
      <c r="V115" s="371"/>
      <c r="W115" s="371"/>
      <c r="X115" s="371"/>
      <c r="AO115" s="369"/>
      <c r="AQ115" s="370"/>
      <c r="AU115" s="530"/>
      <c r="AV115" s="134"/>
      <c r="AW115" s="370"/>
    </row>
    <row r="116" customFormat="false" ht="12.75" hidden="false" customHeight="false" outlineLevel="0" collapsed="false">
      <c r="A116" s="500"/>
      <c r="B116" s="500"/>
      <c r="L116" s="501"/>
      <c r="P116" s="371"/>
      <c r="Q116" s="501"/>
      <c r="R116" s="371"/>
      <c r="U116" s="371"/>
      <c r="V116" s="371"/>
      <c r="W116" s="371"/>
      <c r="X116" s="371"/>
      <c r="AO116" s="369"/>
      <c r="AQ116" s="370"/>
      <c r="AU116" s="530"/>
      <c r="AV116" s="134"/>
      <c r="AW116" s="370"/>
    </row>
    <row r="117" customFormat="false" ht="12.75" hidden="false" customHeight="false" outlineLevel="0" collapsed="false">
      <c r="A117" s="500"/>
      <c r="B117" s="500"/>
      <c r="L117" s="501"/>
      <c r="P117" s="371"/>
      <c r="Q117" s="501"/>
      <c r="R117" s="371"/>
      <c r="U117" s="371"/>
      <c r="V117" s="371"/>
      <c r="W117" s="371"/>
      <c r="X117" s="371"/>
      <c r="AO117" s="369"/>
      <c r="AQ117" s="370"/>
      <c r="AU117" s="530"/>
      <c r="AV117" s="134"/>
      <c r="AW117" s="370"/>
    </row>
    <row r="118" customFormat="false" ht="12.75" hidden="false" customHeight="false" outlineLevel="0" collapsed="false">
      <c r="A118" s="500"/>
      <c r="B118" s="500"/>
      <c r="L118" s="501"/>
      <c r="P118" s="371"/>
      <c r="Q118" s="501"/>
      <c r="R118" s="371"/>
      <c r="U118" s="371"/>
      <c r="V118" s="371"/>
      <c r="W118" s="371"/>
      <c r="X118" s="371"/>
      <c r="AO118" s="369"/>
      <c r="AQ118" s="370"/>
      <c r="AU118" s="530"/>
      <c r="AV118" s="134"/>
      <c r="AW118" s="370"/>
    </row>
    <row r="119" customFormat="false" ht="12.75" hidden="false" customHeight="false" outlineLevel="0" collapsed="false">
      <c r="A119" s="500"/>
      <c r="B119" s="500"/>
      <c r="L119" s="501"/>
      <c r="P119" s="371"/>
      <c r="Q119" s="501"/>
      <c r="R119" s="371"/>
      <c r="U119" s="371"/>
      <c r="V119" s="371"/>
      <c r="W119" s="371"/>
      <c r="X119" s="371"/>
      <c r="AO119" s="369"/>
      <c r="AQ119" s="370"/>
      <c r="AU119" s="530"/>
      <c r="AV119" s="134"/>
      <c r="AW119" s="370"/>
    </row>
    <row r="120" customFormat="false" ht="12.75" hidden="false" customHeight="false" outlineLevel="0" collapsed="false">
      <c r="A120" s="500"/>
      <c r="B120" s="500"/>
      <c r="L120" s="501"/>
      <c r="P120" s="371"/>
      <c r="Q120" s="501"/>
      <c r="R120" s="371"/>
      <c r="U120" s="371"/>
      <c r="V120" s="371"/>
      <c r="W120" s="371"/>
      <c r="X120" s="371"/>
      <c r="AO120" s="369"/>
      <c r="AQ120" s="370"/>
      <c r="AU120" s="530"/>
      <c r="AV120" s="134"/>
      <c r="AW120" s="370"/>
    </row>
    <row r="121" customFormat="false" ht="12.75" hidden="false" customHeight="false" outlineLevel="0" collapsed="false">
      <c r="A121" s="500"/>
      <c r="B121" s="500"/>
      <c r="L121" s="501"/>
      <c r="P121" s="371"/>
      <c r="Q121" s="501"/>
      <c r="R121" s="371"/>
      <c r="U121" s="371"/>
      <c r="V121" s="371"/>
      <c r="W121" s="371"/>
      <c r="X121" s="371"/>
      <c r="AO121" s="369"/>
      <c r="AQ121" s="370"/>
      <c r="AU121" s="530"/>
      <c r="AV121" s="134"/>
      <c r="AW121" s="370"/>
    </row>
    <row r="122" customFormat="false" ht="12.75" hidden="false" customHeight="false" outlineLevel="0" collapsed="false">
      <c r="A122" s="500"/>
      <c r="B122" s="500"/>
      <c r="L122" s="501"/>
      <c r="P122" s="371"/>
      <c r="Q122" s="501"/>
      <c r="R122" s="371"/>
      <c r="U122" s="371"/>
      <c r="V122" s="371"/>
      <c r="W122" s="371"/>
      <c r="X122" s="371"/>
      <c r="AO122" s="369"/>
      <c r="AQ122" s="370"/>
      <c r="AU122" s="530"/>
      <c r="AV122" s="134"/>
      <c r="AW122" s="370"/>
    </row>
    <row r="123" customFormat="false" ht="12.75" hidden="false" customHeight="false" outlineLevel="0" collapsed="false">
      <c r="A123" s="500"/>
      <c r="B123" s="500"/>
      <c r="L123" s="501"/>
      <c r="P123" s="371"/>
      <c r="Q123" s="501"/>
      <c r="R123" s="371"/>
      <c r="U123" s="371"/>
      <c r="V123" s="371"/>
      <c r="W123" s="371"/>
      <c r="X123" s="371"/>
      <c r="AO123" s="369"/>
      <c r="AQ123" s="370"/>
      <c r="AU123" s="530"/>
      <c r="AV123" s="134"/>
      <c r="AW123" s="370"/>
    </row>
    <row r="124" customFormat="false" ht="12.75" hidden="false" customHeight="false" outlineLevel="0" collapsed="false">
      <c r="A124" s="500"/>
      <c r="B124" s="500"/>
      <c r="L124" s="501"/>
      <c r="P124" s="371"/>
      <c r="Q124" s="501"/>
      <c r="R124" s="371"/>
      <c r="U124" s="371"/>
      <c r="V124" s="371"/>
      <c r="W124" s="371"/>
      <c r="X124" s="371"/>
      <c r="AO124" s="369"/>
      <c r="AQ124" s="370"/>
      <c r="AU124" s="530"/>
      <c r="AV124" s="134"/>
      <c r="AW124" s="370"/>
    </row>
    <row r="125" customFormat="false" ht="12.75" hidden="false" customHeight="false" outlineLevel="0" collapsed="false">
      <c r="A125" s="500"/>
      <c r="B125" s="500"/>
      <c r="L125" s="501"/>
      <c r="P125" s="371"/>
      <c r="Q125" s="501"/>
      <c r="R125" s="371"/>
      <c r="U125" s="371"/>
      <c r="V125" s="371"/>
      <c r="W125" s="371"/>
      <c r="X125" s="371"/>
      <c r="AO125" s="369"/>
      <c r="AQ125" s="370"/>
      <c r="AU125" s="530"/>
      <c r="AV125" s="134"/>
      <c r="AW125" s="370"/>
    </row>
    <row r="126" customFormat="false" ht="12.75" hidden="false" customHeight="false" outlineLevel="0" collapsed="false">
      <c r="A126" s="500"/>
      <c r="B126" s="500"/>
      <c r="L126" s="501"/>
      <c r="P126" s="371"/>
      <c r="Q126" s="501"/>
      <c r="R126" s="371"/>
      <c r="U126" s="371"/>
      <c r="V126" s="371"/>
      <c r="W126" s="371"/>
      <c r="X126" s="371"/>
      <c r="AO126" s="369"/>
      <c r="AQ126" s="370"/>
      <c r="AU126" s="530"/>
      <c r="AV126" s="134"/>
      <c r="AW126" s="370"/>
    </row>
    <row r="127" customFormat="false" ht="12.75" hidden="false" customHeight="false" outlineLevel="0" collapsed="false">
      <c r="A127" s="500"/>
      <c r="B127" s="500"/>
      <c r="L127" s="501"/>
      <c r="P127" s="371"/>
      <c r="Q127" s="501"/>
      <c r="R127" s="371"/>
      <c r="U127" s="371"/>
      <c r="V127" s="371"/>
      <c r="W127" s="371"/>
      <c r="X127" s="371"/>
      <c r="AO127" s="369"/>
      <c r="AQ127" s="370"/>
      <c r="AU127" s="530"/>
      <c r="AV127" s="134"/>
      <c r="AW127" s="370"/>
    </row>
    <row r="128" customFormat="false" ht="12.75" hidden="false" customHeight="false" outlineLevel="0" collapsed="false">
      <c r="A128" s="500"/>
      <c r="B128" s="500"/>
      <c r="L128" s="501"/>
      <c r="P128" s="371"/>
      <c r="Q128" s="501"/>
      <c r="R128" s="371"/>
      <c r="U128" s="371"/>
      <c r="V128" s="371"/>
      <c r="W128" s="371"/>
      <c r="X128" s="371"/>
      <c r="AO128" s="369"/>
      <c r="AQ128" s="370"/>
      <c r="AU128" s="530"/>
      <c r="AV128" s="134"/>
      <c r="AW128" s="370"/>
    </row>
    <row r="129" customFormat="false" ht="12.75" hidden="false" customHeight="false" outlineLevel="0" collapsed="false">
      <c r="A129" s="500"/>
      <c r="B129" s="500"/>
      <c r="L129" s="501"/>
      <c r="P129" s="371"/>
      <c r="Q129" s="501"/>
      <c r="R129" s="371"/>
      <c r="U129" s="371"/>
      <c r="V129" s="371"/>
      <c r="W129" s="371"/>
      <c r="X129" s="371"/>
      <c r="AO129" s="369"/>
      <c r="AQ129" s="370"/>
      <c r="AU129" s="530"/>
      <c r="AV129" s="134"/>
      <c r="AW129" s="370"/>
    </row>
    <row r="130" customFormat="false" ht="12.75" hidden="false" customHeight="false" outlineLevel="0" collapsed="false">
      <c r="P130" s="371"/>
      <c r="Q130" s="371"/>
      <c r="R130" s="371"/>
      <c r="U130" s="371"/>
      <c r="V130" s="371"/>
      <c r="W130" s="371"/>
      <c r="X130" s="371"/>
      <c r="AO130" s="369"/>
      <c r="AQ130" s="370"/>
      <c r="AS130" s="370"/>
      <c r="AU130" s="530"/>
      <c r="AV130" s="369"/>
      <c r="AW130" s="370"/>
    </row>
    <row r="131" customFormat="false" ht="12.75" hidden="false" customHeight="false" outlineLevel="0" collapsed="false">
      <c r="P131" s="371"/>
      <c r="Q131" s="371"/>
      <c r="R131" s="371"/>
      <c r="U131" s="371"/>
      <c r="V131" s="371"/>
      <c r="W131" s="371"/>
      <c r="X131" s="371"/>
      <c r="AO131" s="369"/>
      <c r="AQ131" s="370"/>
      <c r="AS131" s="370"/>
      <c r="AU131" s="530"/>
      <c r="AV131" s="369"/>
      <c r="AW131" s="370"/>
    </row>
    <row r="132" customFormat="false" ht="12.75" hidden="false" customHeight="false" outlineLevel="0" collapsed="false">
      <c r="P132" s="371"/>
      <c r="Q132" s="371"/>
      <c r="R132" s="371"/>
      <c r="U132" s="371"/>
      <c r="V132" s="371"/>
      <c r="W132" s="371"/>
      <c r="X132" s="371"/>
      <c r="AO132" s="369"/>
      <c r="AQ132" s="370"/>
      <c r="AS132" s="370"/>
      <c r="AU132" s="530"/>
      <c r="AV132" s="369"/>
      <c r="AW132" s="370"/>
    </row>
    <row r="133" customFormat="false" ht="12.75" hidden="false" customHeight="false" outlineLevel="0" collapsed="false">
      <c r="P133" s="371"/>
      <c r="Q133" s="371"/>
      <c r="R133" s="371"/>
      <c r="U133" s="371"/>
      <c r="V133" s="371"/>
      <c r="W133" s="371"/>
      <c r="X133" s="371"/>
      <c r="AO133" s="369"/>
      <c r="AQ133" s="370"/>
      <c r="AS133" s="370"/>
      <c r="AU133" s="530"/>
      <c r="AV133" s="369"/>
      <c r="AW133" s="370"/>
    </row>
    <row r="134" customFormat="false" ht="12.75" hidden="false" customHeight="false" outlineLevel="0" collapsed="false">
      <c r="P134" s="371"/>
      <c r="Q134" s="371"/>
      <c r="R134" s="371"/>
      <c r="U134" s="371"/>
      <c r="V134" s="371"/>
      <c r="W134" s="371"/>
      <c r="X134" s="371"/>
      <c r="AO134" s="369"/>
      <c r="AQ134" s="370"/>
      <c r="AS134" s="370"/>
      <c r="AU134" s="530"/>
      <c r="AV134" s="369"/>
      <c r="AW134" s="370"/>
    </row>
    <row r="135" customFormat="false" ht="12.75" hidden="false" customHeight="false" outlineLevel="0" collapsed="false">
      <c r="P135" s="371"/>
      <c r="Q135" s="371"/>
      <c r="R135" s="371"/>
      <c r="U135" s="371"/>
      <c r="V135" s="371"/>
      <c r="W135" s="371"/>
      <c r="X135" s="371"/>
      <c r="AO135" s="369"/>
      <c r="AQ135" s="370"/>
      <c r="AS135" s="370"/>
      <c r="AU135" s="530"/>
      <c r="AV135" s="369"/>
      <c r="AW135" s="370"/>
    </row>
    <row r="136" customFormat="false" ht="12.75" hidden="false" customHeight="false" outlineLevel="0" collapsed="false">
      <c r="P136" s="371"/>
      <c r="Q136" s="371"/>
      <c r="R136" s="371"/>
      <c r="U136" s="371"/>
      <c r="V136" s="371"/>
      <c r="W136" s="371"/>
      <c r="X136" s="371"/>
      <c r="AO136" s="369"/>
      <c r="AQ136" s="370"/>
      <c r="AS136" s="370"/>
      <c r="AU136" s="530"/>
      <c r="AV136" s="369"/>
      <c r="AW136" s="370"/>
    </row>
    <row r="137" customFormat="false" ht="12.75" hidden="false" customHeight="false" outlineLevel="0" collapsed="false">
      <c r="P137" s="371"/>
      <c r="Q137" s="371"/>
      <c r="R137" s="371"/>
      <c r="U137" s="371"/>
      <c r="V137" s="371"/>
      <c r="W137" s="371"/>
      <c r="X137" s="371"/>
      <c r="AO137" s="369"/>
      <c r="AQ137" s="370"/>
      <c r="AS137" s="370"/>
      <c r="AU137" s="530"/>
      <c r="AV137" s="369"/>
      <c r="AW137" s="370"/>
    </row>
    <row r="138" customFormat="false" ht="12.75" hidden="false" customHeight="false" outlineLevel="0" collapsed="false">
      <c r="P138" s="371"/>
      <c r="Q138" s="371"/>
      <c r="R138" s="371"/>
      <c r="U138" s="371"/>
      <c r="V138" s="371"/>
      <c r="W138" s="371"/>
      <c r="X138" s="371"/>
      <c r="AO138" s="369"/>
      <c r="AQ138" s="370"/>
      <c r="AS138" s="370"/>
      <c r="AU138" s="530"/>
      <c r="AV138" s="369"/>
      <c r="AW138" s="370"/>
    </row>
    <row r="139" customFormat="false" ht="12.75" hidden="false" customHeight="false" outlineLevel="0" collapsed="false">
      <c r="P139" s="371"/>
      <c r="Q139" s="371"/>
      <c r="R139" s="371"/>
      <c r="U139" s="371"/>
      <c r="V139" s="371"/>
      <c r="W139" s="371"/>
      <c r="X139" s="371"/>
      <c r="AO139" s="369"/>
      <c r="AQ139" s="370"/>
      <c r="AS139" s="370"/>
      <c r="AU139" s="530"/>
      <c r="AV139" s="369"/>
      <c r="AW139" s="370"/>
    </row>
    <row r="140" customFormat="false" ht="12.75" hidden="false" customHeight="false" outlineLevel="0" collapsed="false">
      <c r="P140" s="371"/>
      <c r="Q140" s="371"/>
      <c r="R140" s="371"/>
      <c r="U140" s="371"/>
      <c r="V140" s="371"/>
      <c r="W140" s="371"/>
      <c r="X140" s="371"/>
      <c r="AO140" s="369"/>
      <c r="AQ140" s="370"/>
      <c r="AS140" s="370"/>
      <c r="AU140" s="530"/>
      <c r="AV140" s="369"/>
      <c r="AW140" s="370"/>
    </row>
    <row r="141" customFormat="false" ht="12.75" hidden="false" customHeight="false" outlineLevel="0" collapsed="false">
      <c r="P141" s="371"/>
      <c r="Q141" s="371"/>
      <c r="R141" s="371"/>
      <c r="U141" s="371"/>
      <c r="V141" s="371"/>
      <c r="W141" s="371"/>
      <c r="X141" s="371"/>
      <c r="AO141" s="369"/>
      <c r="AQ141" s="370"/>
      <c r="AS141" s="370"/>
      <c r="AU141" s="530"/>
      <c r="AV141" s="369"/>
      <c r="AW141" s="370"/>
    </row>
    <row r="142" customFormat="false" ht="12.75" hidden="false" customHeight="false" outlineLevel="0" collapsed="false">
      <c r="P142" s="371"/>
      <c r="Q142" s="371"/>
      <c r="R142" s="371"/>
      <c r="U142" s="371"/>
      <c r="V142" s="371"/>
      <c r="W142" s="371"/>
      <c r="X142" s="371"/>
      <c r="AO142" s="369"/>
      <c r="AQ142" s="370"/>
      <c r="AS142" s="370"/>
      <c r="AU142" s="530"/>
      <c r="AV142" s="369"/>
      <c r="AW142" s="370"/>
    </row>
    <row r="143" customFormat="false" ht="12.75" hidden="false" customHeight="false" outlineLevel="0" collapsed="false">
      <c r="P143" s="371"/>
      <c r="Q143" s="371"/>
      <c r="R143" s="371"/>
      <c r="U143" s="371"/>
      <c r="V143" s="371"/>
      <c r="W143" s="371"/>
      <c r="X143" s="371"/>
      <c r="AO143" s="369"/>
      <c r="AQ143" s="370"/>
      <c r="AS143" s="370"/>
      <c r="AU143" s="530"/>
      <c r="AV143" s="369"/>
      <c r="AW143" s="370"/>
    </row>
    <row r="144" customFormat="false" ht="12.75" hidden="false" customHeight="false" outlineLevel="0" collapsed="false">
      <c r="P144" s="371"/>
      <c r="Q144" s="371"/>
      <c r="R144" s="371"/>
      <c r="U144" s="371"/>
      <c r="V144" s="371"/>
      <c r="W144" s="371"/>
      <c r="X144" s="371"/>
      <c r="AO144" s="369"/>
      <c r="AQ144" s="370"/>
      <c r="AS144" s="370"/>
      <c r="AU144" s="530"/>
      <c r="AV144" s="369"/>
      <c r="AW144" s="370"/>
    </row>
    <row r="145" customFormat="false" ht="12.75" hidden="false" customHeight="false" outlineLevel="0" collapsed="false">
      <c r="P145" s="371"/>
      <c r="Q145" s="371"/>
      <c r="R145" s="371"/>
      <c r="U145" s="371"/>
      <c r="V145" s="371"/>
      <c r="W145" s="371"/>
      <c r="X145" s="371"/>
      <c r="AO145" s="369"/>
      <c r="AQ145" s="370"/>
      <c r="AS145" s="370"/>
      <c r="AU145" s="530"/>
      <c r="AV145" s="369"/>
      <c r="AW145" s="370"/>
    </row>
    <row r="146" customFormat="false" ht="12.75" hidden="false" customHeight="false" outlineLevel="0" collapsed="false">
      <c r="P146" s="371"/>
      <c r="Q146" s="371"/>
      <c r="R146" s="371"/>
      <c r="U146" s="371"/>
      <c r="V146" s="371"/>
      <c r="W146" s="371"/>
      <c r="X146" s="371"/>
      <c r="AO146" s="369"/>
      <c r="AQ146" s="370"/>
      <c r="AS146" s="370"/>
      <c r="AU146" s="530"/>
      <c r="AV146" s="369"/>
      <c r="AW146" s="370"/>
    </row>
    <row r="147" customFormat="false" ht="12.75" hidden="false" customHeight="false" outlineLevel="0" collapsed="false">
      <c r="P147" s="371"/>
      <c r="Q147" s="371"/>
      <c r="R147" s="371"/>
      <c r="U147" s="371"/>
      <c r="V147" s="371"/>
      <c r="W147" s="371"/>
      <c r="X147" s="371"/>
      <c r="AO147" s="369"/>
      <c r="AQ147" s="370"/>
      <c r="AS147" s="370"/>
      <c r="AU147" s="530"/>
      <c r="AV147" s="369"/>
      <c r="AW147" s="370"/>
    </row>
    <row r="148" customFormat="false" ht="12.75" hidden="false" customHeight="false" outlineLevel="0" collapsed="false">
      <c r="P148" s="371"/>
      <c r="Q148" s="371"/>
      <c r="R148" s="371"/>
      <c r="U148" s="371"/>
      <c r="V148" s="371"/>
      <c r="W148" s="371"/>
      <c r="X148" s="371"/>
      <c r="AO148" s="369"/>
      <c r="AQ148" s="370"/>
      <c r="AS148" s="370"/>
      <c r="AU148" s="530"/>
      <c r="AV148" s="369"/>
      <c r="AW148" s="370"/>
    </row>
    <row r="149" customFormat="false" ht="12.75" hidden="false" customHeight="false" outlineLevel="0" collapsed="false">
      <c r="P149" s="371"/>
      <c r="Q149" s="371"/>
      <c r="R149" s="371"/>
      <c r="U149" s="371"/>
      <c r="V149" s="371"/>
      <c r="W149" s="371"/>
      <c r="X149" s="371"/>
      <c r="AO149" s="369"/>
      <c r="AQ149" s="370"/>
      <c r="AS149" s="370"/>
      <c r="AU149" s="530"/>
      <c r="AV149" s="369"/>
      <c r="AW149" s="370"/>
    </row>
    <row r="150" customFormat="false" ht="12.75" hidden="false" customHeight="false" outlineLevel="0" collapsed="false">
      <c r="P150" s="371"/>
      <c r="Q150" s="371"/>
      <c r="R150" s="371"/>
      <c r="U150" s="371"/>
      <c r="V150" s="371"/>
      <c r="W150" s="371"/>
      <c r="X150" s="371"/>
      <c r="AO150" s="369"/>
      <c r="AQ150" s="370"/>
      <c r="AS150" s="370"/>
      <c r="AU150" s="530"/>
      <c r="AV150" s="369"/>
      <c r="AW150" s="370"/>
    </row>
    <row r="151" customFormat="false" ht="12.75" hidden="false" customHeight="false" outlineLevel="0" collapsed="false">
      <c r="P151" s="371"/>
      <c r="Q151" s="371"/>
      <c r="R151" s="371"/>
      <c r="U151" s="371"/>
      <c r="V151" s="371"/>
      <c r="W151" s="371"/>
      <c r="X151" s="371"/>
      <c r="AO151" s="369"/>
      <c r="AQ151" s="370"/>
      <c r="AS151" s="370"/>
      <c r="AU151" s="530"/>
      <c r="AV151" s="369"/>
      <c r="AW151" s="370"/>
    </row>
    <row r="152" customFormat="false" ht="12.75" hidden="false" customHeight="false" outlineLevel="0" collapsed="false">
      <c r="P152" s="371"/>
      <c r="Q152" s="371"/>
      <c r="R152" s="371"/>
      <c r="U152" s="371"/>
      <c r="V152" s="371"/>
      <c r="W152" s="371"/>
      <c r="X152" s="371"/>
      <c r="AO152" s="369"/>
      <c r="AQ152" s="370"/>
      <c r="AS152" s="370"/>
      <c r="AU152" s="530"/>
      <c r="AV152" s="369"/>
      <c r="AW152" s="370"/>
    </row>
    <row r="153" customFormat="false" ht="12.75" hidden="false" customHeight="false" outlineLevel="0" collapsed="false">
      <c r="P153" s="371"/>
      <c r="Q153" s="371"/>
      <c r="R153" s="371"/>
      <c r="U153" s="371"/>
      <c r="V153" s="371"/>
      <c r="W153" s="371"/>
      <c r="X153" s="371"/>
      <c r="AO153" s="369"/>
      <c r="AQ153" s="370"/>
      <c r="AS153" s="370"/>
      <c r="AU153" s="530"/>
      <c r="AV153" s="369"/>
      <c r="AW153" s="370"/>
    </row>
    <row r="154" customFormat="false" ht="12.75" hidden="false" customHeight="false" outlineLevel="0" collapsed="false">
      <c r="P154" s="371"/>
      <c r="Q154" s="371"/>
      <c r="R154" s="371"/>
      <c r="U154" s="371"/>
      <c r="V154" s="371"/>
      <c r="W154" s="371"/>
      <c r="X154" s="371"/>
      <c r="AO154" s="369"/>
      <c r="AQ154" s="370"/>
      <c r="AS154" s="370"/>
      <c r="AU154" s="530"/>
      <c r="AV154" s="369"/>
      <c r="AW154" s="370"/>
    </row>
    <row r="155" customFormat="false" ht="12.75" hidden="false" customHeight="false" outlineLevel="0" collapsed="false">
      <c r="P155" s="371"/>
      <c r="Q155" s="371"/>
      <c r="R155" s="371"/>
      <c r="U155" s="371"/>
      <c r="V155" s="371"/>
      <c r="W155" s="371"/>
      <c r="X155" s="371"/>
      <c r="AO155" s="369"/>
      <c r="AQ155" s="370"/>
      <c r="AS155" s="370"/>
      <c r="AU155" s="530"/>
      <c r="AV155" s="369"/>
      <c r="AW155" s="370"/>
    </row>
    <row r="156" customFormat="false" ht="12.75" hidden="false" customHeight="false" outlineLevel="0" collapsed="false">
      <c r="P156" s="371"/>
      <c r="Q156" s="371"/>
      <c r="R156" s="371"/>
      <c r="U156" s="371"/>
      <c r="V156" s="371"/>
      <c r="W156" s="371"/>
      <c r="X156" s="371"/>
      <c r="AO156" s="369"/>
      <c r="AQ156" s="370"/>
      <c r="AS156" s="370"/>
      <c r="AU156" s="530"/>
      <c r="AV156" s="369"/>
      <c r="AW156" s="370"/>
    </row>
    <row r="157" customFormat="false" ht="12.75" hidden="false" customHeight="false" outlineLevel="0" collapsed="false">
      <c r="P157" s="371"/>
      <c r="Q157" s="371"/>
      <c r="R157" s="371"/>
      <c r="U157" s="371"/>
      <c r="V157" s="371"/>
      <c r="W157" s="371"/>
      <c r="X157" s="371"/>
      <c r="AO157" s="369"/>
      <c r="AQ157" s="370"/>
      <c r="AS157" s="370"/>
      <c r="AU157" s="530"/>
      <c r="AV157" s="369"/>
      <c r="AW157" s="370"/>
    </row>
    <row r="158" customFormat="false" ht="12.75" hidden="false" customHeight="false" outlineLevel="0" collapsed="false">
      <c r="P158" s="371"/>
      <c r="Q158" s="371"/>
      <c r="R158" s="371"/>
      <c r="U158" s="371"/>
      <c r="V158" s="371"/>
      <c r="W158" s="371"/>
      <c r="X158" s="371"/>
      <c r="AO158" s="369"/>
      <c r="AQ158" s="370"/>
      <c r="AS158" s="370"/>
      <c r="AU158" s="530"/>
      <c r="AV158" s="369"/>
      <c r="AW158" s="370"/>
    </row>
    <row r="159" customFormat="false" ht="12.75" hidden="false" customHeight="false" outlineLevel="0" collapsed="false">
      <c r="P159" s="371"/>
      <c r="Q159" s="371"/>
      <c r="R159" s="371"/>
      <c r="U159" s="371"/>
      <c r="V159" s="371"/>
      <c r="W159" s="371"/>
      <c r="X159" s="371"/>
      <c r="AO159" s="369"/>
      <c r="AQ159" s="370"/>
      <c r="AS159" s="370"/>
      <c r="AU159" s="530"/>
      <c r="AV159" s="369"/>
      <c r="AW159" s="370"/>
    </row>
    <row r="160" customFormat="false" ht="12.75" hidden="false" customHeight="false" outlineLevel="0" collapsed="false">
      <c r="P160" s="371"/>
      <c r="Q160" s="371"/>
      <c r="R160" s="371"/>
      <c r="U160" s="371"/>
      <c r="V160" s="371"/>
      <c r="W160" s="371"/>
      <c r="X160" s="371"/>
      <c r="AO160" s="369"/>
      <c r="AQ160" s="370"/>
      <c r="AS160" s="370"/>
      <c r="AU160" s="530"/>
      <c r="AV160" s="369"/>
      <c r="AW160" s="370"/>
    </row>
    <row r="161" customFormat="false" ht="12.75" hidden="false" customHeight="false" outlineLevel="0" collapsed="false">
      <c r="P161" s="371"/>
      <c r="Q161" s="371"/>
      <c r="R161" s="371"/>
      <c r="U161" s="371"/>
      <c r="V161" s="371"/>
      <c r="W161" s="371"/>
      <c r="X161" s="371"/>
      <c r="AO161" s="369"/>
      <c r="AQ161" s="370"/>
      <c r="AS161" s="370"/>
      <c r="AU161" s="530"/>
      <c r="AV161" s="369"/>
      <c r="AW161" s="370"/>
    </row>
    <row r="162" customFormat="false" ht="12.75" hidden="false" customHeight="false" outlineLevel="0" collapsed="false">
      <c r="P162" s="371"/>
      <c r="Q162" s="371"/>
      <c r="R162" s="371"/>
      <c r="U162" s="371"/>
      <c r="V162" s="371"/>
      <c r="W162" s="371"/>
      <c r="X162" s="371"/>
      <c r="AO162" s="369"/>
      <c r="AQ162" s="370"/>
      <c r="AS162" s="370"/>
      <c r="AU162" s="530"/>
      <c r="AV162" s="369"/>
      <c r="AW162" s="370"/>
    </row>
    <row r="163" customFormat="false" ht="12.75" hidden="false" customHeight="false" outlineLevel="0" collapsed="false">
      <c r="P163" s="371"/>
      <c r="Q163" s="371"/>
      <c r="R163" s="371"/>
      <c r="U163" s="371"/>
      <c r="V163" s="371"/>
      <c r="W163" s="371"/>
      <c r="X163" s="371"/>
      <c r="AO163" s="369"/>
      <c r="AQ163" s="370"/>
      <c r="AS163" s="370"/>
      <c r="AU163" s="530"/>
      <c r="AV163" s="369"/>
      <c r="AW163" s="370"/>
    </row>
    <row r="164" customFormat="false" ht="12.75" hidden="false" customHeight="false" outlineLevel="0" collapsed="false">
      <c r="P164" s="371"/>
      <c r="Q164" s="371"/>
      <c r="R164" s="371"/>
      <c r="U164" s="371"/>
      <c r="V164" s="371"/>
      <c r="W164" s="371"/>
      <c r="X164" s="371"/>
      <c r="AO164" s="369"/>
      <c r="AQ164" s="370"/>
      <c r="AS164" s="370"/>
      <c r="AU164" s="530"/>
      <c r="AV164" s="369"/>
      <c r="AW164" s="370"/>
    </row>
    <row r="165" customFormat="false" ht="12.75" hidden="false" customHeight="false" outlineLevel="0" collapsed="false">
      <c r="P165" s="371"/>
      <c r="Q165" s="371"/>
      <c r="R165" s="371"/>
      <c r="U165" s="371"/>
      <c r="V165" s="371"/>
      <c r="W165" s="371"/>
      <c r="X165" s="371"/>
      <c r="AO165" s="369"/>
      <c r="AQ165" s="370"/>
      <c r="AS165" s="370"/>
      <c r="AU165" s="530"/>
      <c r="AV165" s="369"/>
      <c r="AW165" s="370"/>
    </row>
    <row r="166" customFormat="false" ht="12.75" hidden="false" customHeight="false" outlineLevel="0" collapsed="false">
      <c r="P166" s="371"/>
      <c r="Q166" s="371"/>
      <c r="R166" s="371"/>
      <c r="U166" s="371"/>
      <c r="V166" s="371"/>
      <c r="W166" s="371"/>
      <c r="X166" s="371"/>
      <c r="AO166" s="369"/>
      <c r="AQ166" s="370"/>
      <c r="AS166" s="370"/>
      <c r="AU166" s="530"/>
      <c r="AV166" s="369"/>
      <c r="AW166" s="370"/>
    </row>
    <row r="167" customFormat="false" ht="12.75" hidden="false" customHeight="false" outlineLevel="0" collapsed="false">
      <c r="P167" s="371"/>
      <c r="Q167" s="371"/>
      <c r="R167" s="371"/>
      <c r="U167" s="371"/>
      <c r="V167" s="371"/>
      <c r="W167" s="371"/>
      <c r="X167" s="371"/>
      <c r="AO167" s="369"/>
      <c r="AQ167" s="370"/>
      <c r="AS167" s="370"/>
      <c r="AU167" s="530"/>
      <c r="AV167" s="369"/>
      <c r="AW167" s="370"/>
    </row>
    <row r="168" customFormat="false" ht="12.75" hidden="false" customHeight="false" outlineLevel="0" collapsed="false">
      <c r="P168" s="371"/>
      <c r="Q168" s="371"/>
      <c r="R168" s="371"/>
      <c r="U168" s="371"/>
      <c r="V168" s="371"/>
      <c r="W168" s="371"/>
      <c r="X168" s="371"/>
      <c r="AO168" s="369"/>
      <c r="AQ168" s="370"/>
      <c r="AS168" s="370"/>
      <c r="AU168" s="530"/>
      <c r="AV168" s="369"/>
      <c r="AW168" s="370"/>
    </row>
    <row r="169" customFormat="false" ht="12.75" hidden="false" customHeight="false" outlineLevel="0" collapsed="false">
      <c r="P169" s="371"/>
      <c r="Q169" s="371"/>
      <c r="R169" s="371"/>
      <c r="U169" s="371"/>
      <c r="V169" s="371"/>
      <c r="W169" s="371"/>
      <c r="X169" s="371"/>
      <c r="AO169" s="369"/>
      <c r="AQ169" s="370"/>
      <c r="AS169" s="370"/>
      <c r="AU169" s="530"/>
      <c r="AV169" s="369"/>
      <c r="AW169" s="370"/>
    </row>
    <row r="170" customFormat="false" ht="12.75" hidden="false" customHeight="false" outlineLevel="0" collapsed="false">
      <c r="P170" s="371"/>
      <c r="Q170" s="371"/>
      <c r="R170" s="371"/>
      <c r="U170" s="371"/>
      <c r="V170" s="371"/>
      <c r="W170" s="371"/>
      <c r="X170" s="371"/>
      <c r="AO170" s="369"/>
      <c r="AQ170" s="370"/>
      <c r="AS170" s="370"/>
      <c r="AU170" s="530"/>
      <c r="AV170" s="369"/>
      <c r="AW170" s="370"/>
    </row>
    <row r="171" customFormat="false" ht="12.75" hidden="false" customHeight="false" outlineLevel="0" collapsed="false">
      <c r="P171" s="371"/>
      <c r="Q171" s="371"/>
      <c r="R171" s="371"/>
      <c r="U171" s="371"/>
      <c r="V171" s="371"/>
      <c r="W171" s="371"/>
      <c r="X171" s="371"/>
      <c r="AO171" s="369"/>
      <c r="AQ171" s="370"/>
      <c r="AS171" s="370"/>
      <c r="AU171" s="530"/>
      <c r="AV171" s="369"/>
      <c r="AW171" s="370"/>
    </row>
    <row r="172" customFormat="false" ht="12.75" hidden="false" customHeight="false" outlineLevel="0" collapsed="false">
      <c r="P172" s="371"/>
      <c r="Q172" s="371"/>
      <c r="R172" s="371"/>
      <c r="U172" s="371"/>
      <c r="V172" s="371"/>
      <c r="W172" s="371"/>
      <c r="X172" s="371"/>
      <c r="AO172" s="369"/>
      <c r="AQ172" s="370"/>
      <c r="AS172" s="370"/>
      <c r="AU172" s="530"/>
      <c r="AV172" s="369"/>
      <c r="AW172" s="370"/>
    </row>
    <row r="173" customFormat="false" ht="12.75" hidden="false" customHeight="false" outlineLevel="0" collapsed="false">
      <c r="P173" s="371"/>
      <c r="Q173" s="371"/>
      <c r="R173" s="371"/>
      <c r="U173" s="371"/>
      <c r="V173" s="371"/>
      <c r="W173" s="371"/>
      <c r="X173" s="371"/>
      <c r="AO173" s="369"/>
      <c r="AQ173" s="370"/>
      <c r="AS173" s="370"/>
      <c r="AU173" s="530"/>
      <c r="AV173" s="369"/>
      <c r="AW173" s="370"/>
    </row>
    <row r="174" customFormat="false" ht="12.75" hidden="false" customHeight="false" outlineLevel="0" collapsed="false">
      <c r="P174" s="371"/>
      <c r="Q174" s="371"/>
      <c r="R174" s="371"/>
      <c r="U174" s="371"/>
      <c r="V174" s="371"/>
      <c r="W174" s="371"/>
      <c r="X174" s="371"/>
      <c r="AO174" s="369"/>
      <c r="AQ174" s="370"/>
      <c r="AS174" s="370"/>
      <c r="AU174" s="530"/>
      <c r="AV174" s="369"/>
      <c r="AW174" s="370"/>
    </row>
    <row r="175" customFormat="false" ht="12.75" hidden="false" customHeight="false" outlineLevel="0" collapsed="false">
      <c r="P175" s="371"/>
      <c r="Q175" s="371"/>
      <c r="R175" s="371"/>
      <c r="U175" s="371"/>
      <c r="V175" s="371"/>
      <c r="W175" s="371"/>
      <c r="X175" s="371"/>
      <c r="AO175" s="369"/>
      <c r="AQ175" s="370"/>
      <c r="AS175" s="370"/>
      <c r="AU175" s="530"/>
      <c r="AV175" s="369"/>
      <c r="AW175" s="370"/>
    </row>
    <row r="176" customFormat="false" ht="12.75" hidden="false" customHeight="false" outlineLevel="0" collapsed="false">
      <c r="P176" s="371"/>
      <c r="Q176" s="371"/>
      <c r="R176" s="371"/>
      <c r="U176" s="371"/>
      <c r="V176" s="371"/>
      <c r="W176" s="371"/>
      <c r="X176" s="371"/>
      <c r="AO176" s="369"/>
      <c r="AQ176" s="370"/>
      <c r="AS176" s="370"/>
      <c r="AU176" s="530"/>
      <c r="AV176" s="369"/>
      <c r="AW176" s="370"/>
    </row>
    <row r="177" customFormat="false" ht="12.75" hidden="false" customHeight="false" outlineLevel="0" collapsed="false">
      <c r="P177" s="371"/>
      <c r="Q177" s="371"/>
      <c r="R177" s="371"/>
      <c r="U177" s="371"/>
      <c r="V177" s="371"/>
      <c r="W177" s="371"/>
      <c r="X177" s="371"/>
      <c r="AO177" s="369"/>
      <c r="AQ177" s="370"/>
      <c r="AS177" s="370"/>
      <c r="AU177" s="530"/>
      <c r="AV177" s="369"/>
      <c r="AW177" s="370"/>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row r="404" customFormat="false" ht="12.75" hidden="false" customHeight="false" outlineLevel="0" collapsed="false">
      <c r="P404" s="371"/>
      <c r="Q404" s="371"/>
      <c r="R404" s="371"/>
      <c r="U404" s="371"/>
      <c r="V404" s="371"/>
      <c r="W404" s="371"/>
      <c r="X404" s="371"/>
    </row>
    <row r="405" customFormat="false" ht="12.75" hidden="false" customHeight="false" outlineLevel="0" collapsed="false">
      <c r="P405" s="371"/>
      <c r="Q405" s="371"/>
      <c r="R405" s="371"/>
      <c r="U405" s="371"/>
      <c r="V405" s="371"/>
      <c r="W405" s="371"/>
      <c r="X405" s="371"/>
    </row>
    <row r="406" customFormat="false" ht="12.75" hidden="false" customHeight="false" outlineLevel="0" collapsed="false">
      <c r="P406" s="371"/>
      <c r="Q406" s="371"/>
      <c r="R406" s="371"/>
      <c r="U406" s="371"/>
      <c r="V406" s="371"/>
      <c r="W406" s="371"/>
      <c r="X406" s="371"/>
    </row>
    <row r="407" customFormat="false" ht="12.75" hidden="false" customHeight="false" outlineLevel="0" collapsed="false">
      <c r="P407" s="371"/>
      <c r="Q407" s="371"/>
      <c r="R407" s="371"/>
      <c r="U407" s="371"/>
      <c r="V407" s="371"/>
      <c r="W407" s="371"/>
      <c r="X407" s="371"/>
    </row>
    <row r="408" customFormat="false" ht="12.75" hidden="false" customHeight="false" outlineLevel="0" collapsed="false">
      <c r="P408" s="371"/>
      <c r="Q408" s="371"/>
      <c r="R408" s="371"/>
      <c r="U408" s="371"/>
      <c r="V408" s="371"/>
      <c r="W408" s="371"/>
      <c r="X408" s="371"/>
    </row>
    <row r="409" customFormat="false" ht="12.75" hidden="false" customHeight="false" outlineLevel="0" collapsed="false">
      <c r="P409" s="371"/>
      <c r="Q409" s="371"/>
      <c r="R409" s="371"/>
      <c r="U409" s="371"/>
      <c r="V409" s="371"/>
      <c r="W409" s="371"/>
      <c r="X409" s="371"/>
    </row>
    <row r="410" customFormat="false" ht="12.75" hidden="false" customHeight="false" outlineLevel="0" collapsed="false">
      <c r="P410" s="371"/>
      <c r="Q410" s="371"/>
      <c r="R410" s="371"/>
      <c r="U410" s="371"/>
      <c r="V410" s="371"/>
      <c r="W410" s="371"/>
      <c r="X410" s="371"/>
    </row>
    <row r="411" customFormat="false" ht="12.75" hidden="false" customHeight="false" outlineLevel="0" collapsed="false">
      <c r="P411" s="371"/>
      <c r="Q411" s="371"/>
      <c r="R411" s="371"/>
      <c r="U411" s="371"/>
      <c r="V411" s="371"/>
      <c r="W411" s="371"/>
      <c r="X411" s="371"/>
    </row>
    <row r="412" customFormat="false" ht="12.75" hidden="false" customHeight="false" outlineLevel="0" collapsed="false">
      <c r="P412" s="371"/>
      <c r="Q412" s="371"/>
      <c r="R412" s="371"/>
      <c r="U412" s="371"/>
      <c r="V412" s="371"/>
      <c r="W412" s="371"/>
      <c r="X412" s="371"/>
    </row>
    <row r="413" customFormat="false" ht="12.75" hidden="false" customHeight="false" outlineLevel="0" collapsed="false">
      <c r="P413" s="371"/>
      <c r="Q413" s="371"/>
      <c r="R413" s="371"/>
      <c r="U413" s="371"/>
      <c r="V413" s="371"/>
      <c r="W413" s="371"/>
      <c r="X413" s="371"/>
    </row>
    <row r="414" customFormat="false" ht="12.75" hidden="false" customHeight="false" outlineLevel="0" collapsed="false">
      <c r="P414" s="371"/>
      <c r="Q414" s="371"/>
      <c r="R414" s="371"/>
      <c r="U414" s="371"/>
      <c r="V414" s="371"/>
      <c r="W414" s="371"/>
      <c r="X414" s="371"/>
    </row>
    <row r="415" customFormat="false" ht="12.75" hidden="false" customHeight="false" outlineLevel="0" collapsed="false">
      <c r="P415" s="371"/>
      <c r="Q415" s="371"/>
      <c r="R415" s="371"/>
      <c r="U415" s="371"/>
      <c r="V415" s="371"/>
      <c r="W415" s="371"/>
      <c r="X415" s="371"/>
    </row>
    <row r="416" customFormat="false" ht="12.75" hidden="false" customHeight="false" outlineLevel="0" collapsed="false">
      <c r="P416" s="371"/>
      <c r="Q416" s="371"/>
      <c r="R416" s="371"/>
      <c r="U416" s="371"/>
      <c r="V416" s="371"/>
      <c r="W416" s="371"/>
      <c r="X416" s="371"/>
    </row>
    <row r="417" customFormat="false" ht="12.75" hidden="false" customHeight="false" outlineLevel="0" collapsed="false">
      <c r="P417" s="371"/>
      <c r="Q417" s="371"/>
      <c r="R417" s="371"/>
      <c r="U417" s="371"/>
      <c r="V417" s="371"/>
      <c r="W417" s="371"/>
      <c r="X417" s="371"/>
    </row>
    <row r="418" customFormat="false" ht="12.75" hidden="false" customHeight="false" outlineLevel="0" collapsed="false">
      <c r="P418" s="371"/>
      <c r="Q418" s="371"/>
      <c r="R418" s="371"/>
      <c r="U418" s="371"/>
      <c r="V418" s="371"/>
      <c r="W418" s="371"/>
      <c r="X418" s="371"/>
    </row>
    <row r="419" customFormat="false" ht="12.75" hidden="false" customHeight="false" outlineLevel="0" collapsed="false">
      <c r="P419" s="371"/>
      <c r="Q419" s="371"/>
      <c r="R419" s="371"/>
      <c r="U419" s="371"/>
      <c r="V419" s="371"/>
      <c r="W419" s="371"/>
      <c r="X419" s="371"/>
    </row>
    <row r="420" customFormat="false" ht="12.75" hidden="false" customHeight="false" outlineLevel="0" collapsed="false">
      <c r="P420" s="371"/>
      <c r="Q420" s="371"/>
      <c r="R420" s="371"/>
      <c r="U420" s="371"/>
      <c r="V420" s="371"/>
      <c r="W420" s="371"/>
      <c r="X420" s="371"/>
    </row>
    <row r="421" customFormat="false" ht="12.75" hidden="false" customHeight="false" outlineLevel="0" collapsed="false">
      <c r="P421" s="371"/>
      <c r="Q421" s="371"/>
      <c r="R421" s="371"/>
      <c r="U421" s="371"/>
      <c r="V421" s="371"/>
      <c r="W421" s="371"/>
      <c r="X421" s="371"/>
    </row>
    <row r="422" customFormat="false" ht="12.75" hidden="false" customHeight="false" outlineLevel="0" collapsed="false">
      <c r="P422" s="371"/>
      <c r="Q422" s="371"/>
      <c r="R422" s="371"/>
      <c r="U422" s="371"/>
      <c r="V422" s="371"/>
      <c r="W422" s="371"/>
      <c r="X422" s="371"/>
    </row>
    <row r="423" customFormat="false" ht="12.75" hidden="false" customHeight="false" outlineLevel="0" collapsed="false">
      <c r="P423" s="371"/>
      <c r="Q423" s="371"/>
      <c r="R423" s="371"/>
      <c r="U423" s="371"/>
      <c r="V423" s="371"/>
      <c r="W423" s="371"/>
      <c r="X423" s="371"/>
    </row>
    <row r="424" customFormat="false" ht="12.75" hidden="false" customHeight="false" outlineLevel="0" collapsed="false">
      <c r="P424" s="371"/>
      <c r="Q424" s="371"/>
      <c r="R424" s="371"/>
      <c r="U424" s="371"/>
      <c r="V424" s="371"/>
      <c r="W424" s="371"/>
      <c r="X424" s="371"/>
    </row>
    <row r="425" customFormat="false" ht="12.75" hidden="false" customHeight="false" outlineLevel="0" collapsed="false">
      <c r="P425" s="371"/>
      <c r="Q425" s="371"/>
      <c r="R425" s="371"/>
      <c r="U425" s="371"/>
      <c r="V425" s="371"/>
      <c r="W425" s="371"/>
      <c r="X425" s="371"/>
    </row>
    <row r="426" customFormat="false" ht="12.75" hidden="false" customHeight="false" outlineLevel="0" collapsed="false">
      <c r="P426" s="371"/>
      <c r="Q426" s="371"/>
      <c r="R426" s="371"/>
      <c r="U426" s="371"/>
      <c r="V426" s="371"/>
      <c r="W426" s="371"/>
      <c r="X426" s="371"/>
    </row>
    <row r="427" customFormat="false" ht="12.75" hidden="false" customHeight="false" outlineLevel="0" collapsed="false">
      <c r="P427" s="371"/>
      <c r="Q427" s="371"/>
      <c r="R427" s="371"/>
      <c r="U427" s="371"/>
      <c r="V427" s="371"/>
      <c r="W427" s="371"/>
      <c r="X427" s="371"/>
    </row>
    <row r="428" customFormat="false" ht="12.75" hidden="false" customHeight="false" outlineLevel="0" collapsed="false">
      <c r="P428" s="371"/>
      <c r="Q428" s="371"/>
      <c r="R428" s="371"/>
      <c r="U428" s="371"/>
      <c r="V428" s="371"/>
      <c r="W428" s="371"/>
      <c r="X428" s="371"/>
    </row>
    <row r="429" customFormat="false" ht="12.75" hidden="false" customHeight="false" outlineLevel="0" collapsed="false">
      <c r="P429" s="371"/>
      <c r="Q429" s="371"/>
      <c r="R429" s="371"/>
      <c r="U429" s="371"/>
      <c r="V429" s="371"/>
      <c r="W429" s="371"/>
      <c r="X429" s="371"/>
    </row>
    <row r="430" customFormat="false" ht="12.75" hidden="false" customHeight="false" outlineLevel="0" collapsed="false">
      <c r="P430" s="371"/>
      <c r="Q430" s="371"/>
      <c r="R430" s="371"/>
      <c r="U430" s="371"/>
      <c r="V430" s="371"/>
      <c r="W430" s="371"/>
      <c r="X430" s="371"/>
    </row>
    <row r="431" customFormat="false" ht="12.75" hidden="false" customHeight="false" outlineLevel="0" collapsed="false">
      <c r="P431" s="371"/>
      <c r="Q431" s="371"/>
      <c r="R431" s="371"/>
      <c r="U431" s="371"/>
      <c r="V431" s="371"/>
      <c r="W431" s="371"/>
      <c r="X431" s="371"/>
    </row>
    <row r="432" customFormat="false" ht="12.75" hidden="false" customHeight="false" outlineLevel="0" collapsed="false">
      <c r="P432" s="371"/>
      <c r="Q432" s="371"/>
      <c r="R432" s="371"/>
      <c r="U432" s="371"/>
      <c r="V432" s="371"/>
      <c r="W432" s="371"/>
      <c r="X432" s="371"/>
    </row>
    <row r="433" customFormat="false" ht="12.75" hidden="false" customHeight="false" outlineLevel="0" collapsed="false">
      <c r="P433" s="371"/>
      <c r="Q433" s="371"/>
      <c r="R433" s="371"/>
      <c r="U433" s="371"/>
      <c r="V433" s="371"/>
      <c r="W433" s="371"/>
      <c r="X433" s="371"/>
    </row>
    <row r="434" customFormat="false" ht="12.75" hidden="false" customHeight="false" outlineLevel="0" collapsed="false">
      <c r="P434" s="371"/>
      <c r="Q434" s="371"/>
      <c r="R434" s="371"/>
      <c r="U434" s="371"/>
      <c r="V434" s="371"/>
      <c r="W434" s="371"/>
      <c r="X434" s="371"/>
    </row>
    <row r="435" customFormat="false" ht="12.75" hidden="false" customHeight="false" outlineLevel="0" collapsed="false">
      <c r="P435" s="371"/>
      <c r="Q435" s="371"/>
      <c r="R435" s="371"/>
      <c r="U435" s="371"/>
      <c r="V435" s="371"/>
      <c r="W435" s="371"/>
      <c r="X435" s="371"/>
    </row>
    <row r="436" customFormat="false" ht="12.75" hidden="false" customHeight="false" outlineLevel="0" collapsed="false">
      <c r="P436" s="371"/>
      <c r="Q436" s="371"/>
      <c r="R436" s="371"/>
      <c r="U436" s="371"/>
      <c r="V436" s="371"/>
      <c r="W436" s="371"/>
      <c r="X436" s="371"/>
    </row>
    <row r="437" customFormat="false" ht="12.75" hidden="false" customHeight="false" outlineLevel="0" collapsed="false">
      <c r="P437" s="371"/>
      <c r="Q437" s="371"/>
      <c r="R437" s="371"/>
      <c r="U437" s="371"/>
      <c r="V437" s="371"/>
      <c r="W437" s="371"/>
      <c r="X437" s="371"/>
    </row>
    <row r="438" customFormat="false" ht="12.75" hidden="false" customHeight="false" outlineLevel="0" collapsed="false">
      <c r="P438" s="371"/>
      <c r="Q438" s="371"/>
      <c r="R438" s="371"/>
      <c r="U438" s="371"/>
      <c r="V438" s="371"/>
      <c r="W438" s="371"/>
      <c r="X438" s="371"/>
    </row>
    <row r="439" customFormat="false" ht="12.75" hidden="false" customHeight="false" outlineLevel="0" collapsed="false">
      <c r="P439" s="371"/>
      <c r="Q439" s="371"/>
      <c r="R439" s="371"/>
      <c r="U439" s="371"/>
      <c r="V439" s="371"/>
      <c r="W439" s="371"/>
      <c r="X439" s="371"/>
    </row>
    <row r="440" customFormat="false" ht="12.75" hidden="false" customHeight="false" outlineLevel="0" collapsed="false">
      <c r="P440" s="371"/>
      <c r="Q440" s="371"/>
      <c r="R440" s="371"/>
      <c r="U440" s="371"/>
      <c r="V440" s="371"/>
      <c r="W440" s="371"/>
      <c r="X440" s="371"/>
    </row>
    <row r="441" customFormat="false" ht="12.75" hidden="false" customHeight="false" outlineLevel="0" collapsed="false">
      <c r="P441" s="371"/>
      <c r="Q441" s="371"/>
      <c r="R441" s="371"/>
      <c r="U441" s="371"/>
      <c r="V441" s="371"/>
      <c r="W441" s="371"/>
      <c r="X441" s="371"/>
    </row>
    <row r="442" customFormat="false" ht="12.75" hidden="false" customHeight="false" outlineLevel="0" collapsed="false">
      <c r="P442" s="371"/>
      <c r="Q442" s="371"/>
      <c r="R442" s="371"/>
      <c r="U442" s="371"/>
      <c r="V442" s="371"/>
      <c r="W442" s="371"/>
      <c r="X442" s="371"/>
    </row>
    <row r="443" customFormat="false" ht="12.75" hidden="false" customHeight="false" outlineLevel="0" collapsed="false">
      <c r="P443" s="371"/>
      <c r="Q443" s="371"/>
      <c r="R443" s="371"/>
      <c r="U443" s="371"/>
      <c r="V443" s="371"/>
      <c r="W443" s="371"/>
      <c r="X443" s="371"/>
    </row>
    <row r="444" customFormat="false" ht="12.75" hidden="false" customHeight="false" outlineLevel="0" collapsed="false">
      <c r="P444" s="371"/>
      <c r="Q444" s="371"/>
      <c r="R444" s="371"/>
      <c r="U444" s="371"/>
      <c r="V444" s="371"/>
      <c r="W444" s="371"/>
      <c r="X444" s="371"/>
    </row>
    <row r="445" customFormat="false" ht="12.75" hidden="false" customHeight="false" outlineLevel="0" collapsed="false">
      <c r="P445" s="371"/>
      <c r="Q445" s="371"/>
      <c r="R445" s="371"/>
      <c r="U445" s="371"/>
      <c r="V445" s="371"/>
      <c r="W445" s="371"/>
      <c r="X445" s="371"/>
    </row>
    <row r="446" customFormat="false" ht="12.75" hidden="false" customHeight="false" outlineLevel="0" collapsed="false">
      <c r="P446" s="371"/>
      <c r="Q446" s="371"/>
      <c r="R446" s="371"/>
      <c r="U446" s="371"/>
      <c r="V446" s="371"/>
      <c r="W446" s="371"/>
      <c r="X446" s="371"/>
    </row>
    <row r="447" customFormat="false" ht="12.75" hidden="false" customHeight="false" outlineLevel="0" collapsed="false">
      <c r="P447" s="371"/>
      <c r="Q447" s="371"/>
      <c r="R447" s="371"/>
      <c r="U447" s="371"/>
      <c r="V447" s="371"/>
      <c r="W447" s="371"/>
      <c r="X447" s="371"/>
    </row>
    <row r="448" customFormat="false" ht="12.75" hidden="false" customHeight="false" outlineLevel="0" collapsed="false">
      <c r="P448" s="371"/>
      <c r="Q448" s="371"/>
      <c r="R448" s="371"/>
      <c r="U448" s="371"/>
      <c r="V448" s="371"/>
      <c r="W448" s="371"/>
      <c r="X448" s="371"/>
    </row>
    <row r="449" customFormat="false" ht="12.75" hidden="false" customHeight="false" outlineLevel="0" collapsed="false">
      <c r="P449" s="371"/>
      <c r="Q449" s="371"/>
      <c r="R449" s="371"/>
      <c r="U449" s="371"/>
      <c r="V449" s="371"/>
      <c r="W449" s="371"/>
      <c r="X449" s="371"/>
    </row>
    <row r="450" customFormat="false" ht="12.75" hidden="false" customHeight="false" outlineLevel="0" collapsed="false">
      <c r="P450" s="371"/>
      <c r="Q450" s="371"/>
      <c r="R450" s="371"/>
      <c r="U450" s="371"/>
      <c r="V450" s="371"/>
      <c r="W450" s="371"/>
      <c r="X450" s="371"/>
    </row>
    <row r="451" customFormat="false" ht="12.75" hidden="false" customHeight="false" outlineLevel="0" collapsed="false">
      <c r="P451" s="371"/>
      <c r="Q451" s="371"/>
      <c r="R451" s="371"/>
      <c r="U451" s="371"/>
      <c r="V451" s="371"/>
      <c r="W451" s="371"/>
      <c r="X451" s="371"/>
    </row>
    <row r="452" customFormat="false" ht="12.75" hidden="false" customHeight="false" outlineLevel="0" collapsed="false">
      <c r="P452" s="371"/>
      <c r="Q452" s="371"/>
      <c r="R452" s="371"/>
      <c r="U452" s="371"/>
      <c r="V452" s="371"/>
      <c r="W452" s="371"/>
      <c r="X452" s="371"/>
    </row>
    <row r="453" customFormat="false" ht="12.75" hidden="false" customHeight="false" outlineLevel="0" collapsed="false">
      <c r="P453" s="371"/>
      <c r="Q453" s="371"/>
      <c r="R453" s="371"/>
      <c r="U453" s="371"/>
      <c r="V453" s="371"/>
      <c r="W453" s="371"/>
      <c r="X453" s="371"/>
    </row>
    <row r="454" customFormat="false" ht="12.75" hidden="false" customHeight="false" outlineLevel="0" collapsed="false">
      <c r="P454" s="371"/>
      <c r="Q454" s="371"/>
      <c r="R454" s="371"/>
      <c r="U454" s="371"/>
      <c r="V454" s="371"/>
      <c r="W454" s="371"/>
      <c r="X454" s="371"/>
    </row>
    <row r="455" customFormat="false" ht="12.75" hidden="false" customHeight="false" outlineLevel="0" collapsed="false">
      <c r="P455" s="371"/>
      <c r="Q455" s="371"/>
      <c r="R455" s="371"/>
      <c r="U455" s="371"/>
      <c r="V455" s="371"/>
      <c r="W455" s="371"/>
      <c r="X455" s="371"/>
    </row>
    <row r="456" customFormat="false" ht="12.75" hidden="false" customHeight="false" outlineLevel="0" collapsed="false">
      <c r="P456" s="371"/>
      <c r="Q456" s="371"/>
      <c r="R456" s="371"/>
      <c r="U456" s="371"/>
      <c r="V456" s="371"/>
      <c r="W456" s="371"/>
      <c r="X456" s="371"/>
    </row>
    <row r="457" customFormat="false" ht="12.75" hidden="false" customHeight="false" outlineLevel="0" collapsed="false">
      <c r="P457" s="371"/>
      <c r="Q457" s="371"/>
      <c r="R457" s="371"/>
      <c r="U457" s="371"/>
      <c r="V457" s="371"/>
      <c r="W457" s="371"/>
      <c r="X457" s="371"/>
    </row>
    <row r="458" customFormat="false" ht="12.75" hidden="false" customHeight="false" outlineLevel="0" collapsed="false">
      <c r="P458" s="371"/>
      <c r="Q458" s="371"/>
      <c r="R458" s="371"/>
      <c r="U458" s="371"/>
      <c r="V458" s="371"/>
      <c r="W458" s="371"/>
      <c r="X458" s="371"/>
    </row>
    <row r="459" customFormat="false" ht="12.75" hidden="false" customHeight="false" outlineLevel="0" collapsed="false">
      <c r="P459" s="371"/>
      <c r="Q459" s="371"/>
      <c r="R459" s="371"/>
      <c r="U459" s="371"/>
      <c r="V459" s="371"/>
      <c r="W459" s="371"/>
      <c r="X459" s="371"/>
    </row>
    <row r="460" customFormat="false" ht="12.75" hidden="false" customHeight="false" outlineLevel="0" collapsed="false">
      <c r="P460" s="371"/>
      <c r="Q460" s="371"/>
      <c r="R460" s="371"/>
      <c r="U460" s="371"/>
      <c r="V460" s="371"/>
      <c r="W460" s="371"/>
      <c r="X460" s="371"/>
    </row>
    <row r="461" customFormat="false" ht="12.75" hidden="false" customHeight="false" outlineLevel="0" collapsed="false">
      <c r="P461" s="371"/>
      <c r="Q461" s="371"/>
      <c r="R461" s="371"/>
      <c r="U461" s="371"/>
      <c r="V461" s="371"/>
      <c r="W461" s="371"/>
      <c r="X461" s="371"/>
    </row>
    <row r="462" customFormat="false" ht="12.75" hidden="false" customHeight="false" outlineLevel="0" collapsed="false">
      <c r="P462" s="371"/>
      <c r="Q462" s="371"/>
      <c r="R462" s="371"/>
      <c r="U462" s="371"/>
      <c r="V462" s="371"/>
      <c r="W462" s="371"/>
      <c r="X462" s="371"/>
    </row>
    <row r="463" customFormat="false" ht="12.75" hidden="false" customHeight="false" outlineLevel="0" collapsed="false">
      <c r="P463" s="371"/>
      <c r="Q463" s="371"/>
      <c r="R463" s="371"/>
      <c r="U463" s="371"/>
      <c r="V463" s="371"/>
      <c r="W463" s="371"/>
      <c r="X463" s="371"/>
    </row>
    <row r="464" customFormat="false" ht="12.75" hidden="false" customHeight="false" outlineLevel="0" collapsed="false">
      <c r="P464" s="371"/>
      <c r="Q464" s="371"/>
      <c r="R464" s="371"/>
      <c r="U464" s="371"/>
      <c r="V464" s="371"/>
      <c r="W464" s="371"/>
      <c r="X464" s="371"/>
    </row>
    <row r="465" customFormat="false" ht="12.75" hidden="false" customHeight="false" outlineLevel="0" collapsed="false">
      <c r="P465" s="371"/>
      <c r="Q465" s="371"/>
      <c r="R465" s="371"/>
      <c r="U465" s="371"/>
      <c r="V465" s="371"/>
      <c r="W465" s="371"/>
      <c r="X465" s="371"/>
    </row>
    <row r="466" customFormat="false" ht="12.75" hidden="false" customHeight="false" outlineLevel="0" collapsed="false">
      <c r="P466" s="371"/>
      <c r="Q466" s="371"/>
      <c r="R466" s="371"/>
      <c r="U466" s="371"/>
      <c r="V466" s="371"/>
      <c r="W466" s="371"/>
      <c r="X466" s="371"/>
    </row>
    <row r="467" customFormat="false" ht="12.75" hidden="false" customHeight="false" outlineLevel="0" collapsed="false">
      <c r="P467" s="371"/>
      <c r="Q467" s="371"/>
      <c r="R467" s="371"/>
      <c r="U467" s="371"/>
      <c r="V467" s="371"/>
      <c r="W467" s="371"/>
      <c r="X467" s="371"/>
    </row>
    <row r="468" customFormat="false" ht="12.75" hidden="false" customHeight="false" outlineLevel="0" collapsed="false">
      <c r="P468" s="371"/>
      <c r="Q468" s="371"/>
      <c r="R468" s="371"/>
      <c r="U468" s="371"/>
      <c r="V468" s="371"/>
      <c r="W468" s="371"/>
      <c r="X468" s="371"/>
    </row>
    <row r="469" customFormat="false" ht="12.75" hidden="false" customHeight="false" outlineLevel="0" collapsed="false">
      <c r="P469" s="371"/>
      <c r="Q469" s="371"/>
      <c r="R469" s="371"/>
      <c r="U469" s="371"/>
      <c r="V469" s="371"/>
      <c r="W469" s="371"/>
      <c r="X469" s="371"/>
    </row>
    <row r="470" customFormat="false" ht="12.75" hidden="false" customHeight="false" outlineLevel="0" collapsed="false">
      <c r="P470" s="371"/>
      <c r="Q470" s="371"/>
      <c r="R470" s="371"/>
      <c r="U470" s="371"/>
      <c r="V470" s="371"/>
      <c r="W470" s="371"/>
      <c r="X470" s="371"/>
    </row>
    <row r="471" customFormat="false" ht="12.75" hidden="false" customHeight="false" outlineLevel="0" collapsed="false">
      <c r="P471" s="371"/>
      <c r="Q471" s="371"/>
      <c r="R471" s="371"/>
      <c r="U471" s="371"/>
      <c r="V471" s="371"/>
      <c r="W471" s="371"/>
      <c r="X471" s="371"/>
    </row>
    <row r="472" customFormat="false" ht="12.75" hidden="false" customHeight="false" outlineLevel="0" collapsed="false">
      <c r="P472" s="371"/>
      <c r="Q472" s="371"/>
      <c r="R472" s="371"/>
      <c r="U472" s="371"/>
      <c r="V472" s="371"/>
      <c r="W472" s="371"/>
      <c r="X472" s="371"/>
    </row>
    <row r="473" customFormat="false" ht="12.75" hidden="false" customHeight="false" outlineLevel="0" collapsed="false">
      <c r="P473" s="371"/>
      <c r="Q473" s="371"/>
      <c r="R473" s="371"/>
      <c r="U473" s="371"/>
      <c r="V473" s="371"/>
      <c r="W473" s="371"/>
      <c r="X473" s="371"/>
    </row>
    <row r="474" customFormat="false" ht="12.75" hidden="false" customHeight="false" outlineLevel="0" collapsed="false">
      <c r="P474" s="371"/>
      <c r="Q474" s="371"/>
      <c r="R474" s="371"/>
      <c r="U474" s="371"/>
      <c r="V474" s="371"/>
      <c r="W474" s="371"/>
      <c r="X474" s="371"/>
    </row>
    <row r="475" customFormat="false" ht="12.75" hidden="false" customHeight="false" outlineLevel="0" collapsed="false">
      <c r="P475" s="371"/>
      <c r="Q475" s="371"/>
      <c r="R475" s="371"/>
      <c r="U475" s="371"/>
      <c r="V475" s="371"/>
      <c r="W475" s="371"/>
      <c r="X475" s="371"/>
    </row>
    <row r="476" customFormat="false" ht="12.75" hidden="false" customHeight="false" outlineLevel="0" collapsed="false">
      <c r="P476" s="371"/>
      <c r="Q476" s="371"/>
      <c r="R476" s="371"/>
      <c r="U476" s="371"/>
      <c r="V476" s="371"/>
      <c r="W476" s="371"/>
      <c r="X476" s="371"/>
    </row>
    <row r="477" customFormat="false" ht="12.75" hidden="false" customHeight="false" outlineLevel="0" collapsed="false">
      <c r="P477" s="371"/>
      <c r="Q477" s="371"/>
      <c r="R477" s="371"/>
      <c r="U477" s="371"/>
      <c r="V477" s="371"/>
      <c r="W477" s="371"/>
      <c r="X477" s="371"/>
    </row>
    <row r="478" customFormat="false" ht="12.75" hidden="false" customHeight="false" outlineLevel="0" collapsed="false">
      <c r="P478" s="371"/>
      <c r="Q478" s="371"/>
      <c r="R478" s="371"/>
      <c r="U478" s="371"/>
      <c r="V478" s="371"/>
      <c r="W478" s="371"/>
      <c r="X478" s="371"/>
    </row>
    <row r="479" customFormat="false" ht="12.75" hidden="false" customHeight="false" outlineLevel="0" collapsed="false">
      <c r="P479" s="371"/>
      <c r="Q479" s="371"/>
      <c r="R479" s="371"/>
      <c r="U479" s="371"/>
      <c r="V479" s="371"/>
      <c r="W479" s="371"/>
      <c r="X479" s="371"/>
    </row>
    <row r="480" customFormat="false" ht="12.75" hidden="false" customHeight="false" outlineLevel="0" collapsed="false">
      <c r="P480" s="371"/>
      <c r="Q480" s="371"/>
      <c r="R480" s="371"/>
      <c r="U480" s="371"/>
      <c r="V480" s="371"/>
      <c r="W480" s="371"/>
      <c r="X480" s="371"/>
    </row>
    <row r="481" customFormat="false" ht="12.75" hidden="false" customHeight="false" outlineLevel="0" collapsed="false">
      <c r="P481" s="371"/>
      <c r="Q481" s="371"/>
      <c r="R481" s="371"/>
      <c r="U481" s="371"/>
      <c r="V481" s="371"/>
      <c r="W481" s="371"/>
      <c r="X481" s="371"/>
    </row>
    <row r="482" customFormat="false" ht="12.75" hidden="false" customHeight="false" outlineLevel="0" collapsed="false">
      <c r="P482" s="371"/>
      <c r="Q482" s="371"/>
      <c r="R482" s="371"/>
      <c r="U482" s="371"/>
      <c r="V482" s="371"/>
      <c r="W482" s="371"/>
      <c r="X482" s="371"/>
    </row>
    <row r="483" customFormat="false" ht="12.75" hidden="false" customHeight="false" outlineLevel="0" collapsed="false">
      <c r="P483" s="371"/>
      <c r="Q483" s="371"/>
      <c r="R483" s="371"/>
      <c r="U483" s="371"/>
      <c r="V483" s="371"/>
      <c r="W483" s="371"/>
      <c r="X483" s="371"/>
    </row>
    <row r="484" customFormat="false" ht="12.75" hidden="false" customHeight="false" outlineLevel="0" collapsed="false">
      <c r="P484" s="371"/>
      <c r="Q484" s="371"/>
      <c r="R484" s="371"/>
      <c r="U484" s="371"/>
      <c r="V484" s="371"/>
      <c r="W484" s="371"/>
      <c r="X484" s="371"/>
    </row>
    <row r="485" customFormat="false" ht="12.75" hidden="false" customHeight="false" outlineLevel="0" collapsed="false">
      <c r="P485" s="371"/>
      <c r="Q485" s="371"/>
      <c r="R485" s="371"/>
      <c r="U485" s="371"/>
      <c r="V485" s="371"/>
      <c r="W485" s="371"/>
      <c r="X485" s="371"/>
    </row>
    <row r="486" customFormat="false" ht="12.75" hidden="false" customHeight="false" outlineLevel="0" collapsed="false">
      <c r="P486" s="371"/>
      <c r="Q486" s="371"/>
      <c r="R486" s="371"/>
      <c r="U486" s="371"/>
      <c r="V486" s="371"/>
      <c r="W486" s="371"/>
      <c r="X486" s="371"/>
    </row>
    <row r="487" customFormat="false" ht="12.75" hidden="false" customHeight="false" outlineLevel="0" collapsed="false">
      <c r="P487" s="371"/>
      <c r="Q487" s="371"/>
      <c r="R487" s="371"/>
      <c r="U487" s="371"/>
      <c r="V487" s="371"/>
      <c r="W487" s="371"/>
      <c r="X487" s="371"/>
    </row>
    <row r="488" customFormat="false" ht="12.75" hidden="false" customHeight="false" outlineLevel="0" collapsed="false">
      <c r="P488" s="371"/>
      <c r="Q488" s="371"/>
      <c r="R488" s="371"/>
      <c r="U488" s="371"/>
      <c r="V488" s="371"/>
      <c r="W488" s="371"/>
      <c r="X488" s="371"/>
    </row>
    <row r="489" customFormat="false" ht="12.75" hidden="false" customHeight="false" outlineLevel="0" collapsed="false">
      <c r="P489" s="371"/>
      <c r="Q489" s="371"/>
      <c r="R489" s="371"/>
      <c r="U489" s="371"/>
      <c r="V489" s="371"/>
      <c r="W489" s="371"/>
      <c r="X489" s="371"/>
    </row>
    <row r="490" customFormat="false" ht="12.75" hidden="false" customHeight="false" outlineLevel="0" collapsed="false">
      <c r="P490" s="371"/>
      <c r="Q490" s="371"/>
      <c r="R490" s="371"/>
      <c r="U490" s="371"/>
      <c r="V490" s="371"/>
      <c r="W490" s="371"/>
      <c r="X490" s="371"/>
    </row>
    <row r="491" customFormat="false" ht="12.75" hidden="false" customHeight="false" outlineLevel="0" collapsed="false">
      <c r="P491" s="371"/>
      <c r="Q491" s="371"/>
      <c r="R491" s="371"/>
      <c r="U491" s="371"/>
      <c r="V491" s="371"/>
      <c r="W491" s="371"/>
      <c r="X491" s="371"/>
    </row>
    <row r="492" customFormat="false" ht="12.75" hidden="false" customHeight="false" outlineLevel="0" collapsed="false">
      <c r="P492" s="371"/>
      <c r="Q492" s="371"/>
      <c r="R492" s="371"/>
      <c r="U492" s="371"/>
      <c r="V492" s="371"/>
      <c r="W492" s="371"/>
      <c r="X492" s="371"/>
    </row>
    <row r="493" customFormat="false" ht="12.75" hidden="false" customHeight="false" outlineLevel="0" collapsed="false">
      <c r="P493" s="371"/>
      <c r="Q493" s="371"/>
      <c r="R493" s="371"/>
      <c r="U493" s="371"/>
      <c r="V493" s="371"/>
      <c r="W493" s="371"/>
      <c r="X493" s="371"/>
    </row>
    <row r="494" customFormat="false" ht="12.75" hidden="false" customHeight="false" outlineLevel="0" collapsed="false">
      <c r="P494" s="371"/>
      <c r="Q494" s="371"/>
      <c r="R494" s="371"/>
      <c r="U494" s="371"/>
      <c r="V494" s="371"/>
      <c r="W494" s="371"/>
      <c r="X494" s="371"/>
    </row>
    <row r="495" customFormat="false" ht="12.75" hidden="false" customHeight="false" outlineLevel="0" collapsed="false">
      <c r="P495" s="371"/>
      <c r="Q495" s="371"/>
      <c r="R495" s="371"/>
      <c r="U495" s="371"/>
      <c r="V495" s="371"/>
      <c r="W495" s="371"/>
      <c r="X495" s="371"/>
    </row>
    <row r="496" customFormat="false" ht="12.75" hidden="false" customHeight="false" outlineLevel="0" collapsed="false">
      <c r="P496" s="371"/>
      <c r="Q496" s="371"/>
      <c r="R496" s="371"/>
      <c r="U496" s="371"/>
      <c r="V496" s="371"/>
      <c r="W496" s="371"/>
      <c r="X496" s="371"/>
    </row>
    <row r="497" customFormat="false" ht="12.75" hidden="false" customHeight="false" outlineLevel="0" collapsed="false">
      <c r="P497" s="371"/>
      <c r="Q497" s="371"/>
      <c r="R497" s="371"/>
      <c r="U497" s="371"/>
      <c r="V497" s="371"/>
      <c r="W497" s="371"/>
      <c r="X497" s="371"/>
    </row>
    <row r="498" customFormat="false" ht="12.75" hidden="false" customHeight="false" outlineLevel="0" collapsed="false">
      <c r="P498" s="371"/>
      <c r="Q498" s="371"/>
      <c r="R498" s="371"/>
      <c r="U498" s="371"/>
      <c r="V498" s="371"/>
      <c r="W498" s="371"/>
      <c r="X498" s="371"/>
    </row>
    <row r="499" customFormat="false" ht="12.75" hidden="false" customHeight="false" outlineLevel="0" collapsed="false">
      <c r="P499" s="371"/>
      <c r="Q499" s="371"/>
      <c r="R499" s="371"/>
      <c r="U499" s="371"/>
      <c r="V499" s="371"/>
      <c r="W499" s="371"/>
      <c r="X499" s="371"/>
    </row>
    <row r="500" customFormat="false" ht="12.75" hidden="false" customHeight="false" outlineLevel="0" collapsed="false">
      <c r="P500" s="371"/>
      <c r="Q500" s="371"/>
      <c r="R500" s="371"/>
      <c r="U500" s="371"/>
      <c r="V500" s="371"/>
      <c r="W500" s="371"/>
      <c r="X500" s="371"/>
    </row>
    <row r="501" customFormat="false" ht="12.75" hidden="false" customHeight="false" outlineLevel="0" collapsed="false">
      <c r="P501" s="371"/>
      <c r="Q501" s="371"/>
      <c r="R501" s="371"/>
      <c r="U501" s="371"/>
      <c r="V501" s="371"/>
      <c r="W501" s="371"/>
      <c r="X501" s="371"/>
    </row>
    <row r="502" customFormat="false" ht="12.75" hidden="false" customHeight="false" outlineLevel="0" collapsed="false">
      <c r="P502" s="371"/>
      <c r="Q502" s="371"/>
      <c r="R502" s="371"/>
      <c r="U502" s="371"/>
      <c r="V502" s="371"/>
      <c r="W502" s="371"/>
      <c r="X502" s="371"/>
    </row>
    <row r="503" customFormat="false" ht="12.75" hidden="false" customHeight="false" outlineLevel="0" collapsed="false">
      <c r="P503" s="371"/>
      <c r="Q503" s="371"/>
      <c r="R503" s="371"/>
      <c r="U503" s="371"/>
      <c r="V503" s="371"/>
      <c r="W503" s="371"/>
      <c r="X503" s="371"/>
    </row>
    <row r="504" customFormat="false" ht="12.75" hidden="false" customHeight="false" outlineLevel="0" collapsed="false">
      <c r="P504" s="371"/>
      <c r="Q504" s="371"/>
      <c r="R504" s="371"/>
      <c r="U504" s="371"/>
      <c r="V504" s="371"/>
      <c r="W504" s="371"/>
      <c r="X504" s="371"/>
    </row>
    <row r="505" customFormat="false" ht="12.75" hidden="false" customHeight="false" outlineLevel="0" collapsed="false">
      <c r="P505" s="371"/>
      <c r="Q505" s="371"/>
      <c r="R505" s="371"/>
      <c r="U505" s="371"/>
      <c r="V505" s="371"/>
      <c r="W505" s="371"/>
      <c r="X505" s="371"/>
    </row>
    <row r="506" customFormat="false" ht="12.75" hidden="false" customHeight="false" outlineLevel="0" collapsed="false">
      <c r="P506" s="371"/>
      <c r="Q506" s="371"/>
      <c r="R506" s="371"/>
      <c r="U506" s="371"/>
      <c r="V506" s="371"/>
      <c r="W506" s="371"/>
      <c r="X506" s="371"/>
    </row>
    <row r="507" customFormat="false" ht="12.75" hidden="false" customHeight="false" outlineLevel="0" collapsed="false">
      <c r="P507" s="371"/>
      <c r="Q507" s="371"/>
      <c r="R507" s="371"/>
      <c r="U507" s="371"/>
      <c r="V507" s="371"/>
      <c r="W507" s="371"/>
      <c r="X507" s="371"/>
    </row>
    <row r="508" customFormat="false" ht="12.75" hidden="false" customHeight="false" outlineLevel="0" collapsed="false">
      <c r="P508" s="371"/>
      <c r="Q508" s="371"/>
      <c r="R508" s="371"/>
      <c r="U508" s="371"/>
      <c r="V508" s="371"/>
      <c r="W508" s="371"/>
      <c r="X508" s="371"/>
    </row>
    <row r="509" customFormat="false" ht="12.75" hidden="false" customHeight="false" outlineLevel="0" collapsed="false">
      <c r="P509" s="371"/>
      <c r="Q509" s="371"/>
      <c r="R509" s="371"/>
      <c r="U509" s="371"/>
      <c r="V509" s="371"/>
      <c r="W509" s="371"/>
      <c r="X509" s="371"/>
    </row>
    <row r="510" customFormat="false" ht="12.75" hidden="false" customHeight="false" outlineLevel="0" collapsed="false">
      <c r="P510" s="371"/>
      <c r="Q510" s="371"/>
      <c r="R510" s="371"/>
      <c r="U510" s="371"/>
      <c r="V510" s="371"/>
      <c r="W510" s="371"/>
      <c r="X510" s="371"/>
    </row>
    <row r="511" customFormat="false" ht="12.75" hidden="false" customHeight="false" outlineLevel="0" collapsed="false">
      <c r="P511" s="371"/>
      <c r="Q511" s="371"/>
      <c r="R511" s="371"/>
      <c r="U511" s="371"/>
      <c r="V511" s="371"/>
      <c r="W511" s="371"/>
      <c r="X511" s="371"/>
    </row>
    <row r="512" customFormat="false" ht="12.75" hidden="false" customHeight="false" outlineLevel="0" collapsed="false">
      <c r="P512" s="371"/>
      <c r="Q512" s="371"/>
      <c r="R512" s="371"/>
      <c r="U512" s="371"/>
      <c r="V512" s="371"/>
      <c r="W512" s="371"/>
      <c r="X512" s="371"/>
    </row>
    <row r="513" customFormat="false" ht="12.75" hidden="false" customHeight="false" outlineLevel="0" collapsed="false">
      <c r="P513" s="371"/>
      <c r="Q513" s="371"/>
      <c r="R513" s="371"/>
      <c r="U513" s="371"/>
      <c r="V513" s="371"/>
      <c r="W513" s="371"/>
      <c r="X513" s="371"/>
    </row>
    <row r="514" customFormat="false" ht="12.75" hidden="false" customHeight="false" outlineLevel="0" collapsed="false">
      <c r="P514" s="371"/>
      <c r="Q514" s="371"/>
      <c r="R514" s="371"/>
      <c r="U514" s="371"/>
      <c r="V514" s="371"/>
      <c r="W514" s="371"/>
      <c r="X514" s="371"/>
    </row>
    <row r="515" customFormat="false" ht="12.75" hidden="false" customHeight="false" outlineLevel="0" collapsed="false">
      <c r="P515" s="371"/>
      <c r="Q515" s="371"/>
      <c r="R515" s="371"/>
      <c r="U515" s="371"/>
      <c r="V515" s="371"/>
      <c r="W515" s="371"/>
      <c r="X515" s="371"/>
    </row>
    <row r="516" customFormat="false" ht="12.75" hidden="false" customHeight="false" outlineLevel="0" collapsed="false">
      <c r="P516" s="371"/>
      <c r="Q516" s="371"/>
      <c r="R516" s="371"/>
      <c r="U516" s="371"/>
      <c r="V516" s="371"/>
      <c r="W516" s="371"/>
      <c r="X516" s="371"/>
    </row>
    <row r="517" customFormat="false" ht="12.75" hidden="false" customHeight="false" outlineLevel="0" collapsed="false">
      <c r="P517" s="371"/>
      <c r="Q517" s="371"/>
      <c r="R517" s="371"/>
      <c r="U517" s="371"/>
      <c r="V517" s="371"/>
      <c r="W517" s="371"/>
      <c r="X517" s="371"/>
    </row>
    <row r="518" customFormat="false" ht="12.75" hidden="false" customHeight="false" outlineLevel="0" collapsed="false">
      <c r="P518" s="371"/>
      <c r="Q518" s="371"/>
      <c r="R518" s="371"/>
      <c r="U518" s="371"/>
      <c r="V518" s="371"/>
      <c r="W518" s="371"/>
      <c r="X518" s="371"/>
    </row>
    <row r="519" customFormat="false" ht="12.75" hidden="false" customHeight="false" outlineLevel="0" collapsed="false">
      <c r="P519" s="371"/>
      <c r="Q519" s="371"/>
      <c r="R519" s="371"/>
      <c r="U519" s="371"/>
      <c r="V519" s="371"/>
      <c r="W519" s="371"/>
      <c r="X519" s="371"/>
    </row>
    <row r="520" customFormat="false" ht="12.75" hidden="false" customHeight="false" outlineLevel="0" collapsed="false">
      <c r="P520" s="371"/>
      <c r="Q520" s="371"/>
      <c r="R520" s="371"/>
      <c r="U520" s="371"/>
      <c r="V520" s="371"/>
      <c r="W520" s="371"/>
      <c r="X520" s="371"/>
    </row>
    <row r="521" customFormat="false" ht="12.75" hidden="false" customHeight="false" outlineLevel="0" collapsed="false">
      <c r="P521" s="371"/>
      <c r="Q521" s="371"/>
      <c r="R521" s="371"/>
      <c r="U521" s="371"/>
      <c r="V521" s="371"/>
      <c r="W521" s="371"/>
      <c r="X521" s="371"/>
    </row>
    <row r="522" customFormat="false" ht="12.75" hidden="false" customHeight="false" outlineLevel="0" collapsed="false">
      <c r="P522" s="371"/>
      <c r="Q522" s="371"/>
      <c r="R522" s="371"/>
      <c r="U522" s="371"/>
      <c r="V522" s="371"/>
      <c r="W522" s="371"/>
      <c r="X522" s="371"/>
    </row>
    <row r="523" customFormat="false" ht="12.75" hidden="false" customHeight="false" outlineLevel="0" collapsed="false">
      <c r="P523" s="371"/>
      <c r="Q523" s="371"/>
      <c r="R523" s="371"/>
      <c r="U523" s="371"/>
      <c r="V523" s="371"/>
      <c r="W523" s="371"/>
      <c r="X523" s="371"/>
    </row>
    <row r="524" customFormat="false" ht="12.75" hidden="false" customHeight="false" outlineLevel="0" collapsed="false">
      <c r="P524" s="371"/>
      <c r="Q524" s="371"/>
      <c r="R524" s="371"/>
      <c r="U524" s="371"/>
      <c r="V524" s="371"/>
      <c r="W524" s="371"/>
      <c r="X524" s="371"/>
    </row>
    <row r="525" customFormat="false" ht="12.75" hidden="false" customHeight="false" outlineLevel="0" collapsed="false">
      <c r="P525" s="371"/>
      <c r="Q525" s="371"/>
      <c r="R525" s="371"/>
      <c r="U525" s="371"/>
      <c r="V525" s="371"/>
      <c r="W525" s="371"/>
      <c r="X525" s="371"/>
    </row>
    <row r="526" customFormat="false" ht="12.75" hidden="false" customHeight="false" outlineLevel="0" collapsed="false">
      <c r="P526" s="371"/>
      <c r="Q526" s="371"/>
      <c r="R526" s="371"/>
      <c r="U526" s="371"/>
      <c r="V526" s="371"/>
      <c r="W526" s="371"/>
      <c r="X526" s="371"/>
    </row>
    <row r="527" customFormat="false" ht="12.75" hidden="false" customHeight="false" outlineLevel="0" collapsed="false">
      <c r="P527" s="371"/>
      <c r="Q527" s="371"/>
      <c r="R527" s="371"/>
      <c r="U527" s="371"/>
      <c r="V527" s="371"/>
      <c r="W527" s="371"/>
      <c r="X527" s="371"/>
    </row>
    <row r="528" customFormat="false" ht="12.75" hidden="false" customHeight="false" outlineLevel="0" collapsed="false">
      <c r="P528" s="371"/>
      <c r="Q528" s="371"/>
      <c r="R528" s="371"/>
      <c r="U528" s="371"/>
      <c r="V528" s="371"/>
      <c r="W528" s="371"/>
      <c r="X528" s="371"/>
    </row>
    <row r="529" customFormat="false" ht="12.75" hidden="false" customHeight="false" outlineLevel="0" collapsed="false">
      <c r="P529" s="371"/>
      <c r="Q529" s="371"/>
      <c r="R529" s="371"/>
      <c r="U529" s="371"/>
      <c r="V529" s="371"/>
      <c r="W529" s="371"/>
      <c r="X529" s="371"/>
    </row>
    <row r="530" customFormat="false" ht="12.75" hidden="false" customHeight="false" outlineLevel="0" collapsed="false">
      <c r="P530" s="371"/>
      <c r="Q530" s="371"/>
      <c r="R530" s="371"/>
      <c r="U530" s="371"/>
      <c r="V530" s="371"/>
      <c r="W530" s="371"/>
      <c r="X530" s="371"/>
    </row>
    <row r="531" customFormat="false" ht="12.75" hidden="false" customHeight="false" outlineLevel="0" collapsed="false">
      <c r="P531" s="371"/>
      <c r="Q531" s="371"/>
      <c r="R531" s="371"/>
      <c r="U531" s="371"/>
      <c r="V531" s="371"/>
      <c r="W531" s="371"/>
      <c r="X531" s="371"/>
    </row>
    <row r="532" customFormat="false" ht="12.75" hidden="false" customHeight="false" outlineLevel="0" collapsed="false">
      <c r="P532" s="371"/>
      <c r="Q532" s="371"/>
      <c r="R532" s="371"/>
      <c r="U532" s="371"/>
      <c r="V532" s="371"/>
      <c r="W532" s="371"/>
      <c r="X532" s="371"/>
    </row>
    <row r="533" customFormat="false" ht="12.75" hidden="false" customHeight="false" outlineLevel="0" collapsed="false">
      <c r="P533" s="371"/>
      <c r="Q533" s="371"/>
      <c r="R533" s="371"/>
      <c r="U533" s="371"/>
      <c r="V533" s="371"/>
      <c r="W533" s="371"/>
      <c r="X533" s="371"/>
    </row>
    <row r="534" customFormat="false" ht="12.75" hidden="false" customHeight="false" outlineLevel="0" collapsed="false">
      <c r="P534" s="371"/>
      <c r="Q534" s="371"/>
      <c r="R534" s="371"/>
      <c r="U534" s="371"/>
      <c r="V534" s="371"/>
      <c r="W534" s="371"/>
      <c r="X534" s="371"/>
    </row>
    <row r="535" customFormat="false" ht="12.75" hidden="false" customHeight="false" outlineLevel="0" collapsed="false">
      <c r="P535" s="371"/>
      <c r="Q535" s="371"/>
      <c r="R535" s="371"/>
      <c r="U535" s="371"/>
      <c r="V535" s="371"/>
      <c r="W535" s="371"/>
      <c r="X535" s="371"/>
    </row>
    <row r="536" customFormat="false" ht="12.75" hidden="false" customHeight="false" outlineLevel="0" collapsed="false">
      <c r="P536" s="371"/>
      <c r="Q536" s="371"/>
      <c r="R536" s="371"/>
      <c r="U536" s="371"/>
      <c r="V536" s="371"/>
      <c r="W536" s="371"/>
      <c r="X536" s="371"/>
    </row>
    <row r="537" customFormat="false" ht="12.75" hidden="false" customHeight="false" outlineLevel="0" collapsed="false">
      <c r="P537" s="371"/>
      <c r="Q537" s="371"/>
      <c r="R537" s="371"/>
      <c r="U537" s="371"/>
      <c r="V537" s="371"/>
      <c r="W537" s="371"/>
      <c r="X537" s="371"/>
    </row>
    <row r="538" customFormat="false" ht="12.75" hidden="false" customHeight="false" outlineLevel="0" collapsed="false">
      <c r="P538" s="371"/>
      <c r="Q538" s="371"/>
      <c r="R538" s="371"/>
      <c r="U538" s="371"/>
      <c r="V538" s="371"/>
      <c r="W538" s="371"/>
      <c r="X538" s="371"/>
    </row>
    <row r="539" customFormat="false" ht="12.75" hidden="false" customHeight="false" outlineLevel="0" collapsed="false">
      <c r="P539" s="371"/>
      <c r="Q539" s="371"/>
      <c r="R539" s="371"/>
      <c r="U539" s="371"/>
      <c r="V539" s="371"/>
      <c r="W539" s="371"/>
      <c r="X539" s="371"/>
    </row>
    <row r="540" customFormat="false" ht="12.75" hidden="false" customHeight="false" outlineLevel="0" collapsed="false">
      <c r="P540" s="371"/>
      <c r="Q540" s="371"/>
      <c r="R540" s="371"/>
      <c r="U540" s="371"/>
      <c r="V540" s="371"/>
      <c r="W540" s="371"/>
      <c r="X540" s="371"/>
    </row>
    <row r="541" customFormat="false" ht="12.75" hidden="false" customHeight="false" outlineLevel="0" collapsed="false">
      <c r="P541" s="371"/>
      <c r="Q541" s="371"/>
      <c r="R541" s="371"/>
      <c r="U541" s="371"/>
      <c r="V541" s="371"/>
      <c r="W541" s="371"/>
      <c r="X541" s="371"/>
    </row>
    <row r="542" customFormat="false" ht="12.75" hidden="false" customHeight="false" outlineLevel="0" collapsed="false">
      <c r="P542" s="371"/>
      <c r="Q542" s="371"/>
      <c r="R542" s="371"/>
      <c r="U542" s="371"/>
      <c r="V542" s="371"/>
      <c r="W542" s="371"/>
      <c r="X542" s="371"/>
    </row>
    <row r="543" customFormat="false" ht="12.75" hidden="false" customHeight="false" outlineLevel="0" collapsed="false">
      <c r="P543" s="371"/>
      <c r="Q543" s="371"/>
      <c r="R543" s="371"/>
      <c r="U543" s="371"/>
      <c r="V543" s="371"/>
      <c r="W543" s="371"/>
      <c r="X543" s="371"/>
    </row>
    <row r="544" customFormat="false" ht="12.75" hidden="false" customHeight="false" outlineLevel="0" collapsed="false">
      <c r="P544" s="371"/>
      <c r="Q544" s="371"/>
      <c r="R544" s="371"/>
      <c r="U544" s="371"/>
      <c r="V544" s="371"/>
      <c r="W544" s="371"/>
      <c r="X544" s="371"/>
    </row>
    <row r="545" customFormat="false" ht="12.75" hidden="false" customHeight="false" outlineLevel="0" collapsed="false">
      <c r="P545" s="371"/>
      <c r="Q545" s="371"/>
      <c r="R545" s="371"/>
      <c r="U545" s="371"/>
      <c r="V545" s="371"/>
      <c r="W545" s="371"/>
      <c r="X545" s="371"/>
    </row>
    <row r="546" customFormat="false" ht="12.75" hidden="false" customHeight="false" outlineLevel="0" collapsed="false">
      <c r="P546" s="371"/>
      <c r="Q546" s="371"/>
      <c r="R546" s="371"/>
      <c r="U546" s="371"/>
      <c r="V546" s="371"/>
      <c r="W546" s="371"/>
      <c r="X546" s="371"/>
    </row>
    <row r="547" customFormat="false" ht="12.75" hidden="false" customHeight="false" outlineLevel="0" collapsed="false">
      <c r="P547" s="371"/>
      <c r="Q547" s="371"/>
      <c r="R547" s="371"/>
      <c r="U547" s="371"/>
      <c r="V547" s="371"/>
      <c r="W547" s="371"/>
      <c r="X547" s="371"/>
    </row>
    <row r="548" customFormat="false" ht="12.75" hidden="false" customHeight="false" outlineLevel="0" collapsed="false">
      <c r="P548" s="371"/>
      <c r="Q548" s="371"/>
      <c r="R548" s="371"/>
      <c r="U548" s="371"/>
      <c r="V548" s="371"/>
      <c r="W548" s="371"/>
      <c r="X548" s="371"/>
    </row>
    <row r="549" customFormat="false" ht="12.75" hidden="false" customHeight="false" outlineLevel="0" collapsed="false">
      <c r="P549" s="371"/>
      <c r="Q549" s="371"/>
      <c r="R549" s="371"/>
      <c r="U549" s="371"/>
      <c r="V549" s="371"/>
      <c r="W549" s="371"/>
      <c r="X549" s="371"/>
    </row>
    <row r="550" customFormat="false" ht="12.75" hidden="false" customHeight="false" outlineLevel="0" collapsed="false">
      <c r="P550" s="371"/>
      <c r="Q550" s="371"/>
      <c r="R550" s="371"/>
      <c r="U550" s="371"/>
      <c r="V550" s="371"/>
      <c r="W550" s="371"/>
      <c r="X550" s="371"/>
    </row>
    <row r="551" customFormat="false" ht="12.75" hidden="false" customHeight="false" outlineLevel="0" collapsed="false">
      <c r="P551" s="371"/>
      <c r="Q551" s="371"/>
      <c r="R551" s="371"/>
      <c r="U551" s="371"/>
      <c r="V551" s="371"/>
      <c r="W551" s="371"/>
      <c r="X551" s="371"/>
    </row>
    <row r="552" customFormat="false" ht="12.75" hidden="false" customHeight="false" outlineLevel="0" collapsed="false">
      <c r="P552" s="371"/>
      <c r="Q552" s="371"/>
      <c r="R552" s="371"/>
      <c r="U552" s="371"/>
      <c r="V552" s="371"/>
      <c r="W552" s="371"/>
      <c r="X552" s="371"/>
    </row>
    <row r="553" customFormat="false" ht="12.75" hidden="false" customHeight="false" outlineLevel="0" collapsed="false">
      <c r="P553" s="371"/>
      <c r="Q553" s="371"/>
      <c r="R553" s="371"/>
      <c r="U553" s="371"/>
      <c r="V553" s="371"/>
      <c r="W553" s="371"/>
      <c r="X553" s="371"/>
    </row>
    <row r="554" customFormat="false" ht="12.75" hidden="false" customHeight="false" outlineLevel="0" collapsed="false">
      <c r="P554" s="371"/>
      <c r="Q554" s="371"/>
      <c r="R554" s="371"/>
      <c r="U554" s="371"/>
      <c r="V554" s="371"/>
      <c r="W554" s="371"/>
      <c r="X554" s="371"/>
    </row>
    <row r="555" customFormat="false" ht="12.75" hidden="false" customHeight="false" outlineLevel="0" collapsed="false">
      <c r="P555" s="371"/>
      <c r="Q555" s="371"/>
      <c r="R555" s="371"/>
      <c r="U555" s="371"/>
      <c r="V555" s="371"/>
      <c r="W555" s="371"/>
      <c r="X555" s="371"/>
    </row>
    <row r="556" customFormat="false" ht="12.75" hidden="false" customHeight="false" outlineLevel="0" collapsed="false">
      <c r="P556" s="371"/>
      <c r="Q556" s="371"/>
      <c r="R556" s="371"/>
      <c r="U556" s="371"/>
      <c r="V556" s="371"/>
      <c r="W556" s="371"/>
      <c r="X556" s="371"/>
    </row>
    <row r="557" customFormat="false" ht="12.75" hidden="false" customHeight="false" outlineLevel="0" collapsed="false">
      <c r="P557" s="371"/>
      <c r="Q557" s="371"/>
      <c r="R557" s="371"/>
      <c r="U557" s="371"/>
      <c r="V557" s="371"/>
      <c r="W557" s="371"/>
      <c r="X557" s="371"/>
    </row>
    <row r="558" customFormat="false" ht="12.75" hidden="false" customHeight="false" outlineLevel="0" collapsed="false">
      <c r="P558" s="371"/>
      <c r="Q558" s="371"/>
      <c r="R558" s="371"/>
      <c r="U558" s="371"/>
      <c r="V558" s="371"/>
      <c r="W558" s="371"/>
      <c r="X558" s="371"/>
    </row>
    <row r="559" customFormat="false" ht="12.75" hidden="false" customHeight="false" outlineLevel="0" collapsed="false">
      <c r="P559" s="371"/>
      <c r="Q559" s="371"/>
      <c r="R559" s="371"/>
      <c r="U559" s="371"/>
      <c r="V559" s="371"/>
      <c r="W559" s="371"/>
      <c r="X559" s="371"/>
    </row>
    <row r="560" customFormat="false" ht="12.75" hidden="false" customHeight="false" outlineLevel="0" collapsed="false">
      <c r="P560" s="371"/>
      <c r="Q560" s="371"/>
      <c r="R560" s="371"/>
      <c r="U560" s="371"/>
      <c r="V560" s="371"/>
      <c r="W560" s="371"/>
      <c r="X560" s="371"/>
    </row>
    <row r="561" customFormat="false" ht="12.75" hidden="false" customHeight="false" outlineLevel="0" collapsed="false">
      <c r="P561" s="371"/>
      <c r="Q561" s="371"/>
      <c r="R561" s="371"/>
      <c r="U561" s="371"/>
      <c r="V561" s="371"/>
      <c r="W561" s="371"/>
      <c r="X561" s="371"/>
    </row>
    <row r="562" customFormat="false" ht="12.75" hidden="false" customHeight="false" outlineLevel="0" collapsed="false">
      <c r="P562" s="371"/>
      <c r="Q562" s="371"/>
      <c r="R562" s="371"/>
      <c r="U562" s="371"/>
      <c r="V562" s="371"/>
      <c r="W562" s="371"/>
      <c r="X562" s="371"/>
    </row>
    <row r="563" customFormat="false" ht="12.75" hidden="false" customHeight="false" outlineLevel="0" collapsed="false">
      <c r="P563" s="371"/>
      <c r="Q563" s="371"/>
      <c r="R563" s="371"/>
      <c r="U563" s="371"/>
      <c r="V563" s="371"/>
      <c r="W563" s="371"/>
      <c r="X563" s="371"/>
    </row>
    <row r="564" customFormat="false" ht="12.75" hidden="false" customHeight="false" outlineLevel="0" collapsed="false">
      <c r="P564" s="371"/>
      <c r="Q564" s="371"/>
      <c r="R564" s="371"/>
      <c r="U564" s="371"/>
      <c r="V564" s="371"/>
      <c r="W564" s="371"/>
      <c r="X564" s="371"/>
    </row>
    <row r="565" customFormat="false" ht="12.75" hidden="false" customHeight="false" outlineLevel="0" collapsed="false">
      <c r="P565" s="371"/>
      <c r="Q565" s="371"/>
      <c r="R565" s="371"/>
      <c r="U565" s="371"/>
      <c r="V565" s="371"/>
      <c r="W565" s="371"/>
      <c r="X565" s="371"/>
    </row>
    <row r="566" customFormat="false" ht="12.75" hidden="false" customHeight="false" outlineLevel="0" collapsed="false">
      <c r="P566" s="371"/>
      <c r="Q566" s="371"/>
      <c r="R566" s="371"/>
      <c r="U566" s="371"/>
      <c r="V566" s="371"/>
      <c r="W566" s="371"/>
      <c r="X566" s="371"/>
    </row>
    <row r="567" customFormat="false" ht="12.75" hidden="false" customHeight="false" outlineLevel="0" collapsed="false">
      <c r="P567" s="371"/>
      <c r="Q567" s="371"/>
      <c r="R567" s="371"/>
      <c r="U567" s="371"/>
      <c r="V567" s="371"/>
      <c r="W567" s="371"/>
      <c r="X567" s="371"/>
    </row>
    <row r="568" customFormat="false" ht="12.75" hidden="false" customHeight="false" outlineLevel="0" collapsed="false">
      <c r="P568" s="371"/>
      <c r="Q568" s="371"/>
      <c r="R568" s="371"/>
      <c r="U568" s="371"/>
      <c r="V568" s="371"/>
      <c r="W568" s="371"/>
      <c r="X568" s="371"/>
    </row>
    <row r="569" customFormat="false" ht="12.75" hidden="false" customHeight="false" outlineLevel="0" collapsed="false">
      <c r="P569" s="371"/>
      <c r="Q569" s="371"/>
      <c r="R569" s="371"/>
      <c r="U569" s="371"/>
      <c r="V569" s="371"/>
      <c r="W569" s="371"/>
      <c r="X569" s="371"/>
    </row>
    <row r="570" customFormat="false" ht="12.75" hidden="false" customHeight="false" outlineLevel="0" collapsed="false">
      <c r="P570" s="371"/>
      <c r="Q570" s="371"/>
      <c r="R570" s="371"/>
      <c r="U570" s="371"/>
      <c r="V570" s="371"/>
      <c r="W570" s="371"/>
      <c r="X570" s="371"/>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57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24"/>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88" min="75" style="95" width="15.7"/>
    <col collapsed="false" customWidth="false" hidden="false" outlineLevel="0" max="257" min="89"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26</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Q3" s="510"/>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266914.94</v>
      </c>
      <c r="P4" s="401" t="e">
        <f aca="false">N4-O4</f>
        <v>#VALUE!</v>
      </c>
      <c r="Q4" s="365"/>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400055.45</v>
      </c>
      <c r="P5" s="415" t="e">
        <f aca="false">N5-O5</f>
        <v>#VALUE!</v>
      </c>
      <c r="Q5" s="365"/>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-133140.5</v>
      </c>
      <c r="P6" s="428" t="e">
        <f aca="false">N6-O6</f>
        <v>#VALUE!</v>
      </c>
      <c r="Q6" s="365"/>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1114.08</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-112822.25</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-1121.58</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0.27</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41.57</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0.01</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1538.86</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c r="CM16" s="511"/>
    </row>
    <row r="17" customFormat="false" ht="12.75" hidden="false" customHeight="false" outlineLevel="0" collapsed="false">
      <c r="D17" s="447"/>
      <c r="E17" s="447"/>
      <c r="F17" s="448"/>
      <c r="G17" s="448"/>
      <c r="H17" s="448"/>
      <c r="L17" s="425" t="s">
        <v>232</v>
      </c>
      <c r="M17" s="425"/>
      <c r="N17" s="426" t="e">
        <f aca="true">SUM(INDIRECT(CONCATENATE(AV17,":",AW17)))</f>
        <v>#VALUE!</v>
      </c>
      <c r="O17" s="427" t="n">
        <v>42.22</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c r="CM17" s="511"/>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266869</v>
      </c>
      <c r="P18" s="415" t="e">
        <f aca="false">N18-O18</f>
        <v>#VALUE!</v>
      </c>
      <c r="AU18" s="433"/>
      <c r="AV18" s="383"/>
      <c r="AW18" s="378"/>
      <c r="AX18" s="383" t="str">
        <f aca="false">ADDRESS(ROW($CI$22),COLUMN($CI$22))</f>
        <v>$CI$22</v>
      </c>
      <c r="AY18" s="378" t="e">
        <f aca="false">GetEnd($AV$1,AX18)</f>
        <v>#VALUE!</v>
      </c>
      <c r="CM18" s="511"/>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45.94</v>
      </c>
      <c r="P19" s="465" t="e">
        <f aca="false">N19-O19</f>
        <v>#VALUE!</v>
      </c>
      <c r="AU19" s="433"/>
      <c r="AV19" s="383"/>
      <c r="AW19" s="378"/>
      <c r="CM19" s="511"/>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74"/>
      <c r="CK21" s="474"/>
      <c r="CL21" s="474"/>
      <c r="CM21" s="474"/>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3.66390041493776</v>
      </c>
      <c r="BW22" s="369" t="n">
        <v>3.942</v>
      </c>
      <c r="BX22" s="370" t="n">
        <v>0.228787222394039</v>
      </c>
      <c r="BY22" s="370" t="n">
        <v>0.226732369690698</v>
      </c>
      <c r="BZ22" s="370" t="n">
        <v>0.999045437742043</v>
      </c>
      <c r="CA22" s="370" t="n">
        <v>0.058367946667353</v>
      </c>
      <c r="CB22" s="370" t="n">
        <v>0.658954704378408</v>
      </c>
      <c r="CC22" s="505" t="n">
        <v>-0.4</v>
      </c>
      <c r="CD22" s="505" t="n">
        <v>0.155</v>
      </c>
      <c r="CE22" s="505" t="n">
        <v>0.13</v>
      </c>
      <c r="CF22" s="505" t="n">
        <v>0.035</v>
      </c>
      <c r="CG22" s="505" t="n">
        <v>0</v>
      </c>
      <c r="CH22" s="505" t="n">
        <v>9.03716839772724</v>
      </c>
      <c r="CI22" s="505" t="n">
        <v>3.777</v>
      </c>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3.36825726141079</v>
      </c>
      <c r="BW23" s="369" t="n">
        <v>3.672</v>
      </c>
      <c r="BX23" s="370" t="n">
        <v>0.204719644707352</v>
      </c>
      <c r="BY23" s="370" t="n">
        <v>0.204719644707352</v>
      </c>
      <c r="BZ23" s="370" t="n">
        <v>0.999405043607599</v>
      </c>
      <c r="CA23" s="370" t="n">
        <v>0.0584770595998663</v>
      </c>
      <c r="CB23" s="370" t="n">
        <v>0.655235182244367</v>
      </c>
      <c r="CC23" s="505" t="n">
        <v>-0.5</v>
      </c>
      <c r="CD23" s="505" t="n">
        <v>0.155</v>
      </c>
      <c r="CE23" s="505" t="n">
        <v>0.04</v>
      </c>
      <c r="CF23" s="505" t="n">
        <v>0.04</v>
      </c>
      <c r="CG23" s="505" t="n">
        <v>0</v>
      </c>
      <c r="CH23" s="505" t="n">
        <v>8.69628133874724</v>
      </c>
      <c r="CI23" s="505" t="n">
        <v>3.592</v>
      </c>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3.36307053941909</v>
      </c>
      <c r="BW24" s="369" t="n">
        <v>3.667</v>
      </c>
      <c r="BX24" s="370" t="n">
        <v>0.204767556883322</v>
      </c>
      <c r="BY24" s="370" t="n">
        <v>0.20542974760908</v>
      </c>
      <c r="BZ24" s="370" t="n">
        <v>0.999162363633165</v>
      </c>
      <c r="CA24" s="370" t="n">
        <v>0.0585826527641324</v>
      </c>
      <c r="CB24" s="370" t="n">
        <v>0.651644496236389</v>
      </c>
      <c r="CC24" s="505" t="n">
        <v>-0.5</v>
      </c>
      <c r="CD24" s="505" t="n">
        <v>0.155</v>
      </c>
      <c r="CE24" s="505" t="n">
        <v>0.04</v>
      </c>
      <c r="CF24" s="505" t="n">
        <v>0.04</v>
      </c>
      <c r="CG24" s="505" t="n">
        <v>0</v>
      </c>
      <c r="CH24" s="505" t="n">
        <v>8.93691327918433</v>
      </c>
      <c r="CI24" s="505" t="n">
        <v>3.587</v>
      </c>
    </row>
    <row r="25" customFormat="false" ht="12.75" hidden="false" customHeight="false" outlineLevel="0" collapsed="false">
      <c r="A25" s="500"/>
      <c r="B25" s="500"/>
      <c r="K25" s="363"/>
      <c r="L25" s="501"/>
      <c r="N25" s="502"/>
      <c r="O25" s="502"/>
      <c r="P25" s="371"/>
      <c r="Q25" s="501"/>
      <c r="R25" s="501"/>
      <c r="U25" s="501"/>
      <c r="V25" s="503"/>
      <c r="W25" s="503"/>
      <c r="X25" s="504"/>
      <c r="Y25" s="504"/>
      <c r="Z25" s="504"/>
      <c r="AA25" s="504"/>
      <c r="AB25" s="504"/>
      <c r="AC25" s="504"/>
      <c r="AF25" s="378"/>
      <c r="AG25" s="378"/>
      <c r="AH25" s="378"/>
      <c r="AI25" s="378"/>
      <c r="AJ25" s="378"/>
      <c r="AM25" s="505"/>
      <c r="AN25" s="505"/>
      <c r="AO25" s="505"/>
      <c r="AP25" s="505"/>
      <c r="AR25" s="370"/>
      <c r="AT25" s="370"/>
      <c r="AV25" s="134"/>
      <c r="AW25" s="370"/>
      <c r="AX25" s="370"/>
      <c r="AY25" s="370"/>
      <c r="AZ25" s="370"/>
      <c r="BA25" s="507"/>
      <c r="BB25" s="505"/>
      <c r="BC25" s="505"/>
      <c r="BD25" s="370"/>
      <c r="BE25" s="370"/>
      <c r="BF25" s="370"/>
      <c r="BG25" s="370"/>
      <c r="BH25" s="370"/>
      <c r="BI25" s="370"/>
      <c r="BJ25" s="370"/>
      <c r="BK25" s="370"/>
      <c r="BL25" s="370"/>
      <c r="BM25" s="370"/>
      <c r="BN25" s="370"/>
      <c r="BO25" s="370"/>
      <c r="BP25" s="370"/>
      <c r="BQ25" s="370"/>
      <c r="BR25" s="370"/>
      <c r="BS25" s="370"/>
      <c r="BV25" s="508"/>
      <c r="BW25" s="369"/>
      <c r="BX25" s="370"/>
      <c r="BY25" s="370"/>
      <c r="BZ25" s="370"/>
      <c r="CA25" s="370"/>
      <c r="CB25" s="370"/>
      <c r="CC25" s="505"/>
      <c r="CD25" s="505"/>
      <c r="CE25" s="505"/>
      <c r="CF25" s="505"/>
      <c r="CG25" s="505"/>
      <c r="CH25" s="505"/>
      <c r="CI25" s="505"/>
    </row>
    <row r="26" customFormat="false" ht="12.75" hidden="false" customHeight="false" outlineLevel="0" collapsed="false">
      <c r="A26" s="500"/>
      <c r="B26" s="500"/>
      <c r="K26" s="363"/>
      <c r="L26" s="501"/>
      <c r="N26" s="502"/>
      <c r="O26" s="502"/>
      <c r="P26" s="371"/>
      <c r="Q26" s="501"/>
      <c r="R26" s="501"/>
      <c r="U26" s="501"/>
      <c r="V26" s="503"/>
      <c r="W26" s="503"/>
      <c r="X26" s="504"/>
      <c r="Y26" s="504"/>
      <c r="Z26" s="504"/>
      <c r="AA26" s="504"/>
      <c r="AB26" s="504"/>
      <c r="AC26" s="504"/>
      <c r="AF26" s="378"/>
      <c r="AG26" s="378"/>
      <c r="AH26" s="378"/>
      <c r="AI26" s="378"/>
      <c r="AJ26" s="378"/>
      <c r="AM26" s="505"/>
      <c r="AN26" s="505"/>
      <c r="AO26" s="505"/>
      <c r="AP26" s="505"/>
      <c r="AR26" s="370"/>
      <c r="AT26" s="370"/>
      <c r="AV26" s="134"/>
      <c r="AW26" s="370"/>
      <c r="AX26" s="370"/>
      <c r="AY26" s="370"/>
      <c r="AZ26" s="370"/>
      <c r="BA26" s="507"/>
      <c r="BB26" s="505"/>
      <c r="BC26" s="505"/>
      <c r="BD26" s="370"/>
      <c r="BE26" s="370"/>
      <c r="BF26" s="370"/>
      <c r="BG26" s="370"/>
      <c r="BH26" s="370"/>
      <c r="BI26" s="370"/>
      <c r="BJ26" s="370"/>
      <c r="BK26" s="370"/>
      <c r="BL26" s="370"/>
      <c r="BM26" s="370"/>
      <c r="BN26" s="370"/>
      <c r="BO26" s="370"/>
      <c r="BP26" s="370"/>
      <c r="BQ26" s="370"/>
      <c r="BR26" s="370"/>
      <c r="BS26" s="370"/>
      <c r="BV26" s="508"/>
      <c r="BW26" s="369"/>
      <c r="BX26" s="370"/>
      <c r="BY26" s="370"/>
      <c r="BZ26" s="370"/>
      <c r="CA26" s="370"/>
      <c r="CB26" s="370"/>
      <c r="CC26" s="505"/>
      <c r="CD26" s="505"/>
      <c r="CE26" s="505"/>
      <c r="CF26" s="505"/>
      <c r="CG26" s="505"/>
      <c r="CH26" s="505"/>
      <c r="CI26" s="505"/>
    </row>
    <row r="27" customFormat="false" ht="12.75" hidden="false" customHeight="false" outlineLevel="0" collapsed="false">
      <c r="A27" s="512"/>
      <c r="B27" s="512"/>
      <c r="C27" s="512"/>
      <c r="K27" s="363"/>
      <c r="L27" s="501"/>
      <c r="N27" s="502"/>
      <c r="O27" s="502"/>
      <c r="P27" s="371"/>
      <c r="Q27" s="501"/>
      <c r="R27" s="501"/>
      <c r="U27" s="501"/>
      <c r="V27" s="503"/>
      <c r="W27" s="503"/>
      <c r="X27" s="504"/>
      <c r="Y27" s="504"/>
      <c r="Z27" s="504"/>
      <c r="AA27" s="504"/>
      <c r="AB27" s="504"/>
      <c r="AC27" s="504"/>
      <c r="AF27" s="378"/>
      <c r="AG27" s="378"/>
      <c r="AH27" s="378"/>
      <c r="AI27" s="378"/>
      <c r="AJ27" s="378"/>
      <c r="AM27" s="505"/>
      <c r="AN27" s="505"/>
      <c r="AO27" s="505"/>
      <c r="AP27" s="505"/>
      <c r="AR27" s="370"/>
      <c r="AT27" s="370"/>
      <c r="AV27" s="134"/>
      <c r="AW27" s="370"/>
      <c r="AX27" s="370"/>
      <c r="AY27" s="370"/>
      <c r="AZ27" s="370"/>
      <c r="BA27" s="507"/>
      <c r="BB27" s="505"/>
      <c r="BC27" s="505"/>
      <c r="BD27" s="370"/>
      <c r="BE27" s="370"/>
      <c r="BF27" s="370"/>
      <c r="BG27" s="370"/>
      <c r="BH27" s="370"/>
      <c r="BI27" s="370"/>
      <c r="BJ27" s="370"/>
      <c r="BK27" s="370"/>
      <c r="BL27" s="370"/>
      <c r="BM27" s="370"/>
      <c r="BN27" s="370"/>
      <c r="BO27" s="370"/>
      <c r="BP27" s="370"/>
      <c r="BQ27" s="370"/>
      <c r="BR27" s="370"/>
      <c r="BS27" s="370"/>
      <c r="BV27" s="508"/>
      <c r="BW27" s="369"/>
      <c r="BX27" s="370"/>
      <c r="BY27" s="370"/>
      <c r="BZ27" s="370"/>
      <c r="CA27" s="370"/>
      <c r="CB27" s="370"/>
      <c r="CC27" s="505"/>
      <c r="CD27" s="505"/>
      <c r="CE27" s="505"/>
      <c r="CF27" s="505"/>
      <c r="CG27" s="505"/>
      <c r="CH27" s="505"/>
      <c r="CI27" s="505"/>
    </row>
    <row r="28" customFormat="false" ht="12.75" hidden="false" customHeight="false" outlineLevel="0" collapsed="false">
      <c r="A28" s="500"/>
      <c r="B28" s="500"/>
      <c r="K28" s="363"/>
      <c r="L28" s="501"/>
      <c r="N28" s="502"/>
      <c r="O28" s="502"/>
      <c r="P28" s="371"/>
      <c r="Q28" s="501"/>
      <c r="R28" s="501"/>
      <c r="U28" s="501"/>
      <c r="V28" s="503"/>
      <c r="W28" s="503"/>
      <c r="X28" s="504"/>
      <c r="Y28" s="504"/>
      <c r="Z28" s="504"/>
      <c r="AA28" s="504"/>
      <c r="AB28" s="504"/>
      <c r="AC28" s="504"/>
      <c r="AF28" s="378"/>
      <c r="AG28" s="378"/>
      <c r="AH28" s="378"/>
      <c r="AI28" s="378"/>
      <c r="AJ28" s="378"/>
      <c r="AM28" s="505"/>
      <c r="AN28" s="505"/>
      <c r="AO28" s="505"/>
      <c r="AP28" s="505"/>
      <c r="AR28" s="370"/>
      <c r="AT28" s="370"/>
      <c r="AV28" s="134"/>
      <c r="AW28" s="370"/>
      <c r="AX28" s="370"/>
      <c r="AY28" s="370"/>
      <c r="AZ28" s="370"/>
      <c r="BA28" s="507"/>
      <c r="BB28" s="505"/>
      <c r="BC28" s="505"/>
      <c r="BD28" s="370"/>
      <c r="BE28" s="370"/>
      <c r="BF28" s="370"/>
      <c r="BG28" s="370"/>
      <c r="BH28" s="370"/>
      <c r="BI28" s="370"/>
      <c r="BJ28" s="370"/>
      <c r="BK28" s="370"/>
      <c r="BL28" s="370"/>
      <c r="BM28" s="370"/>
      <c r="BN28" s="370"/>
      <c r="BO28" s="370"/>
      <c r="BP28" s="370"/>
      <c r="BQ28" s="370"/>
      <c r="BR28" s="370"/>
      <c r="BS28" s="370"/>
      <c r="BV28" s="508"/>
      <c r="BW28" s="369"/>
      <c r="BX28" s="370"/>
      <c r="BY28" s="370"/>
      <c r="BZ28" s="370"/>
      <c r="CA28" s="370"/>
      <c r="CB28" s="370"/>
      <c r="CC28" s="505"/>
      <c r="CD28" s="505"/>
      <c r="CE28" s="505"/>
      <c r="CF28" s="505"/>
      <c r="CG28" s="505"/>
      <c r="CH28" s="505"/>
      <c r="CI28" s="505"/>
    </row>
    <row r="29" customFormat="false" ht="12.75" hidden="false" customHeight="false" outlineLevel="0" collapsed="false">
      <c r="A29" s="500"/>
      <c r="B29" s="500"/>
      <c r="K29" s="363"/>
      <c r="L29" s="501"/>
      <c r="N29" s="502"/>
      <c r="O29" s="502"/>
      <c r="P29" s="371"/>
      <c r="Q29" s="501"/>
      <c r="R29" s="501"/>
      <c r="U29" s="501"/>
      <c r="V29" s="503"/>
      <c r="W29" s="503"/>
      <c r="X29" s="504"/>
      <c r="Y29" s="504"/>
      <c r="Z29" s="504"/>
      <c r="AA29" s="504"/>
      <c r="AB29" s="504"/>
      <c r="AC29" s="504"/>
      <c r="AF29" s="378"/>
      <c r="AG29" s="378"/>
      <c r="AH29" s="378"/>
      <c r="AI29" s="378"/>
      <c r="AJ29" s="378"/>
      <c r="AM29" s="505"/>
      <c r="AN29" s="505"/>
      <c r="AO29" s="505"/>
      <c r="AP29" s="505"/>
      <c r="AR29" s="370"/>
      <c r="AT29" s="370"/>
      <c r="AV29" s="134"/>
      <c r="AW29" s="370"/>
      <c r="AX29" s="370"/>
      <c r="AY29" s="370"/>
      <c r="AZ29" s="370"/>
      <c r="BA29" s="507"/>
      <c r="BB29" s="505"/>
      <c r="BC29" s="505"/>
      <c r="BD29" s="370"/>
      <c r="BE29" s="370"/>
      <c r="BF29" s="370"/>
      <c r="BG29" s="370"/>
      <c r="BH29" s="370"/>
      <c r="BI29" s="370"/>
      <c r="BJ29" s="370"/>
      <c r="BK29" s="370"/>
      <c r="BL29" s="370"/>
      <c r="BM29" s="370"/>
      <c r="BN29" s="370"/>
      <c r="BO29" s="370"/>
      <c r="BP29" s="370"/>
      <c r="BQ29" s="370"/>
      <c r="BR29" s="370"/>
      <c r="BS29" s="370"/>
      <c r="BV29" s="508"/>
      <c r="BW29" s="369"/>
      <c r="BX29" s="370"/>
      <c r="BY29" s="370"/>
      <c r="BZ29" s="370"/>
      <c r="CA29" s="370"/>
      <c r="CB29" s="370"/>
      <c r="CC29" s="505"/>
      <c r="CD29" s="505"/>
      <c r="CE29" s="505"/>
      <c r="CF29" s="505"/>
      <c r="CG29" s="505"/>
      <c r="CH29" s="505"/>
      <c r="CI29" s="505"/>
    </row>
    <row r="30" customFormat="false" ht="12.75" hidden="false" customHeight="false" outlineLevel="0" collapsed="false">
      <c r="A30" s="500"/>
      <c r="B30" s="500"/>
      <c r="K30" s="363"/>
      <c r="L30" s="501"/>
      <c r="N30" s="502"/>
      <c r="O30" s="502"/>
      <c r="P30" s="371"/>
      <c r="Q30" s="501"/>
      <c r="R30" s="501"/>
      <c r="U30" s="501"/>
      <c r="V30" s="503"/>
      <c r="W30" s="503"/>
      <c r="X30" s="504"/>
      <c r="Y30" s="504"/>
      <c r="Z30" s="504"/>
      <c r="AA30" s="504"/>
      <c r="AB30" s="504"/>
      <c r="AC30" s="504"/>
      <c r="AF30" s="378"/>
      <c r="AG30" s="378"/>
      <c r="AH30" s="378"/>
      <c r="AI30" s="378"/>
      <c r="AJ30" s="378"/>
      <c r="AM30" s="505"/>
      <c r="AN30" s="505"/>
      <c r="AO30" s="505"/>
      <c r="AP30" s="505"/>
      <c r="AR30" s="370"/>
      <c r="AT30" s="370"/>
      <c r="AV30" s="134"/>
      <c r="AW30" s="370"/>
      <c r="AX30" s="370"/>
      <c r="AY30" s="370"/>
      <c r="AZ30" s="370"/>
      <c r="BA30" s="507"/>
      <c r="BB30" s="505"/>
      <c r="BC30" s="505"/>
      <c r="BD30" s="370"/>
      <c r="BE30" s="370"/>
      <c r="BF30" s="370"/>
      <c r="BG30" s="370"/>
      <c r="BH30" s="370"/>
      <c r="BI30" s="370"/>
      <c r="BJ30" s="370"/>
      <c r="BK30" s="370"/>
      <c r="BL30" s="370"/>
      <c r="BM30" s="370"/>
      <c r="BN30" s="370"/>
      <c r="BO30" s="370"/>
      <c r="BP30" s="370"/>
      <c r="BQ30" s="370"/>
      <c r="BR30" s="370"/>
      <c r="BS30" s="370"/>
      <c r="BV30" s="508"/>
      <c r="BW30" s="369"/>
      <c r="BX30" s="370"/>
      <c r="BY30" s="370"/>
      <c r="BZ30" s="370"/>
      <c r="CA30" s="370"/>
      <c r="CB30" s="370"/>
      <c r="CC30" s="505"/>
      <c r="CD30" s="505"/>
      <c r="CE30" s="505"/>
      <c r="CF30" s="505"/>
      <c r="CG30" s="505"/>
      <c r="CH30" s="505"/>
      <c r="CI30" s="505"/>
    </row>
    <row r="31" customFormat="false" ht="12.75" hidden="false" customHeight="false" outlineLevel="0" collapsed="false">
      <c r="A31" s="500"/>
      <c r="B31" s="500"/>
      <c r="K31" s="363"/>
      <c r="L31" s="501"/>
      <c r="N31" s="502"/>
      <c r="O31" s="502"/>
      <c r="P31" s="371"/>
      <c r="Q31" s="501"/>
      <c r="R31" s="501"/>
      <c r="U31" s="501"/>
      <c r="V31" s="503"/>
      <c r="W31" s="503"/>
      <c r="X31" s="504"/>
      <c r="Y31" s="504"/>
      <c r="Z31" s="504"/>
      <c r="AA31" s="504"/>
      <c r="AB31" s="504"/>
      <c r="AC31" s="504"/>
      <c r="AF31" s="378"/>
      <c r="AG31" s="378"/>
      <c r="AH31" s="378"/>
      <c r="AI31" s="378"/>
      <c r="AJ31" s="378"/>
      <c r="AM31" s="505"/>
      <c r="AN31" s="505"/>
      <c r="AO31" s="505"/>
      <c r="AP31" s="505"/>
      <c r="AR31" s="370"/>
      <c r="AT31" s="370"/>
      <c r="AV31" s="134"/>
      <c r="AW31" s="370"/>
      <c r="AX31" s="370"/>
      <c r="AY31" s="370"/>
      <c r="AZ31" s="370"/>
      <c r="BA31" s="507"/>
      <c r="BB31" s="505"/>
      <c r="BC31" s="505"/>
      <c r="BD31" s="370"/>
      <c r="BE31" s="370"/>
      <c r="BF31" s="370"/>
      <c r="BG31" s="370"/>
      <c r="BH31" s="370"/>
      <c r="BI31" s="370"/>
      <c r="BJ31" s="370"/>
      <c r="BK31" s="370"/>
      <c r="BL31" s="370"/>
      <c r="BM31" s="370"/>
      <c r="BN31" s="370"/>
      <c r="BO31" s="370"/>
      <c r="BP31" s="370"/>
      <c r="BQ31" s="370"/>
      <c r="BR31" s="370"/>
      <c r="BS31" s="370"/>
      <c r="BV31" s="508"/>
      <c r="BW31" s="369"/>
      <c r="BX31" s="370"/>
      <c r="BY31" s="370"/>
      <c r="BZ31" s="370"/>
      <c r="CA31" s="370"/>
      <c r="CB31" s="370"/>
      <c r="CC31" s="505"/>
      <c r="CD31" s="505"/>
      <c r="CE31" s="505"/>
      <c r="CF31" s="505"/>
      <c r="CG31" s="505"/>
      <c r="CH31" s="505"/>
      <c r="CI31" s="505"/>
    </row>
    <row r="32" customFormat="false" ht="12.75" hidden="false" customHeight="false" outlineLevel="0" collapsed="false">
      <c r="A32" s="500"/>
      <c r="B32" s="500"/>
      <c r="K32" s="363"/>
      <c r="L32" s="501"/>
      <c r="N32" s="502"/>
      <c r="O32" s="502"/>
      <c r="P32" s="371"/>
      <c r="Q32" s="501"/>
      <c r="R32" s="501"/>
      <c r="U32" s="501"/>
      <c r="V32" s="503"/>
      <c r="W32" s="503"/>
      <c r="X32" s="504"/>
      <c r="Y32" s="504"/>
      <c r="Z32" s="504"/>
      <c r="AA32" s="504"/>
      <c r="AB32" s="504"/>
      <c r="AC32" s="504"/>
      <c r="AF32" s="378"/>
      <c r="AG32" s="378"/>
      <c r="AH32" s="378"/>
      <c r="AI32" s="378"/>
      <c r="AJ32" s="378"/>
      <c r="AM32" s="505"/>
      <c r="AN32" s="505"/>
      <c r="AO32" s="505"/>
      <c r="AP32" s="505"/>
      <c r="AR32" s="370"/>
      <c r="AT32" s="370"/>
      <c r="AV32" s="134"/>
      <c r="AW32" s="370"/>
      <c r="AX32" s="370"/>
      <c r="AY32" s="370"/>
      <c r="AZ32" s="370"/>
      <c r="BA32" s="507"/>
      <c r="BB32" s="505"/>
      <c r="BC32" s="505"/>
      <c r="BD32" s="370"/>
      <c r="BE32" s="370"/>
      <c r="BF32" s="370"/>
      <c r="BG32" s="370"/>
      <c r="BH32" s="370"/>
      <c r="BI32" s="370"/>
      <c r="BJ32" s="370"/>
      <c r="BK32" s="370"/>
      <c r="BL32" s="370"/>
      <c r="BM32" s="370"/>
      <c r="BN32" s="370"/>
      <c r="BO32" s="370"/>
      <c r="BP32" s="370"/>
      <c r="BQ32" s="370"/>
      <c r="BR32" s="370"/>
      <c r="BS32" s="370"/>
      <c r="BV32" s="508"/>
      <c r="BW32" s="369"/>
      <c r="BX32" s="370"/>
      <c r="BY32" s="370"/>
      <c r="BZ32" s="370"/>
      <c r="CA32" s="370"/>
      <c r="CB32" s="370"/>
      <c r="CC32" s="505"/>
      <c r="CD32" s="505"/>
      <c r="CE32" s="505"/>
      <c r="CF32" s="505"/>
      <c r="CG32" s="505"/>
      <c r="CH32" s="505"/>
      <c r="CI32" s="505"/>
    </row>
    <row r="33" customFormat="false" ht="12.75" hidden="false" customHeight="false" outlineLevel="0" collapsed="false">
      <c r="A33" s="500"/>
      <c r="B33" s="500"/>
      <c r="K33" s="363"/>
      <c r="L33" s="501"/>
      <c r="N33" s="502"/>
      <c r="O33" s="502"/>
      <c r="P33" s="371"/>
      <c r="Q33" s="501"/>
      <c r="R33" s="501"/>
      <c r="U33" s="501"/>
      <c r="V33" s="503"/>
      <c r="W33" s="503"/>
      <c r="X33" s="504"/>
      <c r="Y33" s="504"/>
      <c r="Z33" s="504"/>
      <c r="AA33" s="504"/>
      <c r="AB33" s="504"/>
      <c r="AC33" s="504"/>
      <c r="AF33" s="378"/>
      <c r="AG33" s="378"/>
      <c r="AH33" s="378"/>
      <c r="AI33" s="378"/>
      <c r="AJ33" s="378"/>
      <c r="AM33" s="505"/>
      <c r="AN33" s="505"/>
      <c r="AO33" s="505"/>
      <c r="AP33" s="505"/>
      <c r="AR33" s="370"/>
      <c r="AT33" s="370"/>
      <c r="AV33" s="134"/>
      <c r="AW33" s="370"/>
      <c r="AX33" s="370"/>
      <c r="AY33" s="370"/>
      <c r="AZ33" s="370"/>
      <c r="BA33" s="507"/>
      <c r="BB33" s="505"/>
      <c r="BC33" s="505"/>
      <c r="BD33" s="370"/>
      <c r="BE33" s="370"/>
      <c r="BF33" s="370"/>
      <c r="BG33" s="370"/>
      <c r="BH33" s="370"/>
      <c r="BI33" s="370"/>
      <c r="BJ33" s="370"/>
      <c r="BK33" s="370"/>
      <c r="BL33" s="370"/>
      <c r="BM33" s="370"/>
      <c r="BN33" s="370"/>
      <c r="BO33" s="370"/>
      <c r="BP33" s="370"/>
      <c r="BQ33" s="370"/>
      <c r="BR33" s="370"/>
      <c r="BS33" s="370"/>
      <c r="BV33" s="508"/>
      <c r="BW33" s="369"/>
      <c r="BX33" s="370"/>
      <c r="BY33" s="370"/>
      <c r="BZ33" s="370"/>
      <c r="CA33" s="370"/>
      <c r="CB33" s="370"/>
      <c r="CC33" s="505"/>
      <c r="CD33" s="505"/>
      <c r="CE33" s="505"/>
      <c r="CF33" s="505"/>
      <c r="CG33" s="505"/>
      <c r="CH33" s="505"/>
      <c r="CI33" s="505"/>
    </row>
    <row r="34" customFormat="false" ht="12.75" hidden="false" customHeight="false" outlineLevel="0" collapsed="false">
      <c r="A34" s="500"/>
      <c r="B34" s="500"/>
      <c r="K34" s="363"/>
      <c r="L34" s="501"/>
      <c r="N34" s="502"/>
      <c r="O34" s="502"/>
      <c r="P34" s="371"/>
      <c r="Q34" s="501"/>
      <c r="R34" s="501"/>
      <c r="U34" s="501"/>
      <c r="V34" s="503"/>
      <c r="W34" s="503"/>
      <c r="X34" s="504"/>
      <c r="Y34" s="504"/>
      <c r="Z34" s="504"/>
      <c r="AA34" s="504"/>
      <c r="AB34" s="504"/>
      <c r="AC34" s="504"/>
      <c r="AF34" s="378"/>
      <c r="AG34" s="378"/>
      <c r="AH34" s="378"/>
      <c r="AI34" s="378"/>
      <c r="AJ34" s="378"/>
      <c r="AM34" s="505"/>
      <c r="AN34" s="505"/>
      <c r="AO34" s="505"/>
      <c r="AP34" s="505"/>
      <c r="AR34" s="370"/>
      <c r="AT34" s="370"/>
      <c r="AV34" s="134"/>
      <c r="AW34" s="370"/>
      <c r="AX34" s="370"/>
      <c r="AY34" s="370"/>
      <c r="AZ34" s="370"/>
      <c r="BA34" s="507"/>
      <c r="BB34" s="505"/>
      <c r="BC34" s="505"/>
      <c r="BD34" s="370"/>
      <c r="BE34" s="370"/>
      <c r="BF34" s="370"/>
      <c r="BG34" s="370"/>
      <c r="BH34" s="370"/>
      <c r="BI34" s="370"/>
      <c r="BJ34" s="370"/>
      <c r="BK34" s="370"/>
      <c r="BL34" s="370"/>
      <c r="BM34" s="370"/>
      <c r="BN34" s="370"/>
      <c r="BO34" s="370"/>
      <c r="BP34" s="370"/>
      <c r="BQ34" s="370"/>
      <c r="BR34" s="370"/>
      <c r="BS34" s="370"/>
      <c r="BV34" s="508"/>
      <c r="BW34" s="369"/>
      <c r="BX34" s="370"/>
      <c r="BY34" s="370"/>
      <c r="BZ34" s="370"/>
      <c r="CA34" s="370"/>
      <c r="CB34" s="370"/>
      <c r="CC34" s="505"/>
      <c r="CD34" s="505"/>
      <c r="CE34" s="505"/>
      <c r="CF34" s="505"/>
      <c r="CG34" s="505"/>
      <c r="CH34" s="505"/>
      <c r="CI34" s="505"/>
    </row>
    <row r="35" customFormat="false" ht="12.75" hidden="false" customHeight="false" outlineLevel="0" collapsed="false">
      <c r="A35" s="500"/>
      <c r="B35" s="500"/>
      <c r="K35" s="363"/>
      <c r="L35" s="501"/>
      <c r="N35" s="502"/>
      <c r="O35" s="502"/>
      <c r="P35" s="371"/>
      <c r="Q35" s="501"/>
      <c r="R35" s="501"/>
      <c r="U35" s="501"/>
      <c r="V35" s="503"/>
      <c r="W35" s="503"/>
      <c r="X35" s="504"/>
      <c r="Y35" s="504"/>
      <c r="Z35" s="504"/>
      <c r="AA35" s="504"/>
      <c r="AB35" s="504"/>
      <c r="AC35" s="504"/>
      <c r="AF35" s="378"/>
      <c r="AG35" s="378"/>
      <c r="AH35" s="378"/>
      <c r="AI35" s="378"/>
      <c r="AJ35" s="378"/>
      <c r="AM35" s="505"/>
      <c r="AN35" s="505"/>
      <c r="AO35" s="505"/>
      <c r="AP35" s="505"/>
      <c r="AR35" s="370"/>
      <c r="AT35" s="370"/>
      <c r="AV35" s="134"/>
      <c r="AW35" s="370"/>
      <c r="AX35" s="370"/>
      <c r="AY35" s="370"/>
      <c r="AZ35" s="370"/>
      <c r="BA35" s="507"/>
      <c r="BB35" s="505"/>
      <c r="BC35" s="505"/>
      <c r="BD35" s="370"/>
      <c r="BE35" s="370"/>
      <c r="BF35" s="370"/>
      <c r="BG35" s="370"/>
      <c r="BH35" s="370"/>
      <c r="BI35" s="370"/>
      <c r="BJ35" s="370"/>
      <c r="BK35" s="370"/>
      <c r="BL35" s="370"/>
      <c r="BM35" s="370"/>
      <c r="BN35" s="370"/>
      <c r="BO35" s="370"/>
      <c r="BP35" s="370"/>
      <c r="BQ35" s="370"/>
      <c r="BR35" s="370"/>
      <c r="BS35" s="370"/>
      <c r="BV35" s="508"/>
      <c r="BW35" s="369"/>
      <c r="BX35" s="370"/>
      <c r="BY35" s="370"/>
      <c r="BZ35" s="370"/>
      <c r="CA35" s="370"/>
      <c r="CB35" s="370"/>
      <c r="CC35" s="505"/>
      <c r="CD35" s="505"/>
      <c r="CE35" s="505"/>
      <c r="CF35" s="505"/>
      <c r="CG35" s="505"/>
      <c r="CH35" s="505"/>
      <c r="CI35" s="505"/>
    </row>
    <row r="36" customFormat="false" ht="12.75" hidden="false" customHeight="false" outlineLevel="0" collapsed="false">
      <c r="A36" s="500"/>
      <c r="B36" s="500"/>
      <c r="K36" s="363"/>
      <c r="L36" s="501"/>
      <c r="N36" s="502"/>
      <c r="O36" s="502"/>
      <c r="P36" s="371"/>
      <c r="Q36" s="501"/>
      <c r="R36" s="501"/>
      <c r="U36" s="501"/>
      <c r="V36" s="503"/>
      <c r="W36" s="503"/>
      <c r="X36" s="504"/>
      <c r="Y36" s="504"/>
      <c r="Z36" s="504"/>
      <c r="AA36" s="504"/>
      <c r="AB36" s="504"/>
      <c r="AC36" s="504"/>
      <c r="AF36" s="378"/>
      <c r="AG36" s="378"/>
      <c r="AH36" s="378"/>
      <c r="AI36" s="378"/>
      <c r="AJ36" s="378"/>
      <c r="AM36" s="505"/>
      <c r="AN36" s="505"/>
      <c r="AO36" s="505"/>
      <c r="AP36" s="505"/>
      <c r="AR36" s="370"/>
      <c r="AT36" s="370"/>
      <c r="AV36" s="134"/>
      <c r="AW36" s="370"/>
      <c r="AX36" s="370"/>
      <c r="AY36" s="370"/>
      <c r="AZ36" s="370"/>
      <c r="BA36" s="507"/>
      <c r="BB36" s="505"/>
      <c r="BC36" s="505"/>
      <c r="BD36" s="370"/>
      <c r="BE36" s="370"/>
      <c r="BF36" s="370"/>
      <c r="BG36" s="370"/>
      <c r="BH36" s="370"/>
      <c r="BI36" s="370"/>
      <c r="BJ36" s="370"/>
      <c r="BK36" s="370"/>
      <c r="BL36" s="370"/>
      <c r="BM36" s="370"/>
      <c r="BN36" s="370"/>
      <c r="BO36" s="370"/>
      <c r="BP36" s="370"/>
      <c r="BQ36" s="370"/>
      <c r="BR36" s="370"/>
      <c r="BS36" s="370"/>
      <c r="BV36" s="508"/>
      <c r="BW36" s="369"/>
      <c r="BX36" s="370"/>
      <c r="BY36" s="370"/>
      <c r="BZ36" s="370"/>
      <c r="CA36" s="370"/>
      <c r="CB36" s="370"/>
      <c r="CC36" s="505"/>
      <c r="CD36" s="505"/>
      <c r="CE36" s="505"/>
      <c r="CF36" s="505"/>
      <c r="CG36" s="505"/>
      <c r="CH36" s="505"/>
      <c r="CI36" s="505"/>
    </row>
    <row r="37" customFormat="false" ht="12.75" hidden="false" customHeight="false" outlineLevel="0" collapsed="false">
      <c r="A37" s="512"/>
      <c r="B37" s="512"/>
      <c r="K37" s="363"/>
      <c r="L37" s="501"/>
      <c r="N37" s="502"/>
      <c r="O37" s="502"/>
      <c r="P37" s="371"/>
      <c r="Q37" s="501"/>
      <c r="R37" s="501"/>
      <c r="U37" s="501"/>
      <c r="V37" s="503"/>
      <c r="W37" s="503"/>
      <c r="X37" s="504"/>
      <c r="Y37" s="504"/>
      <c r="Z37" s="504"/>
      <c r="AA37" s="504"/>
      <c r="AB37" s="504"/>
      <c r="AC37" s="504"/>
      <c r="AF37" s="378"/>
      <c r="AG37" s="378"/>
      <c r="AH37" s="378"/>
      <c r="AI37" s="378"/>
      <c r="AJ37" s="378"/>
      <c r="AM37" s="505"/>
      <c r="AN37" s="505"/>
      <c r="AO37" s="505"/>
      <c r="AP37" s="505"/>
      <c r="AR37" s="370"/>
      <c r="AT37" s="370"/>
      <c r="AV37" s="134"/>
      <c r="AW37" s="370"/>
      <c r="AX37" s="370"/>
      <c r="AY37" s="370"/>
      <c r="AZ37" s="370"/>
      <c r="BA37" s="507"/>
      <c r="BB37" s="505"/>
      <c r="BC37" s="505"/>
      <c r="BD37" s="370"/>
      <c r="BE37" s="370"/>
      <c r="BF37" s="370"/>
      <c r="BG37" s="370"/>
      <c r="BH37" s="370"/>
      <c r="BI37" s="370"/>
      <c r="BJ37" s="370"/>
      <c r="BK37" s="370"/>
      <c r="BL37" s="370"/>
      <c r="BM37" s="370"/>
      <c r="BN37" s="370"/>
      <c r="BO37" s="370"/>
      <c r="BP37" s="370"/>
      <c r="BQ37" s="370"/>
      <c r="BR37" s="370"/>
      <c r="BS37" s="370"/>
      <c r="BV37" s="508"/>
      <c r="BW37" s="369"/>
      <c r="BX37" s="370"/>
      <c r="BY37" s="370"/>
      <c r="BZ37" s="370"/>
      <c r="CA37" s="370"/>
      <c r="CB37" s="370"/>
      <c r="CC37" s="505"/>
      <c r="CD37" s="505"/>
      <c r="CE37" s="505"/>
      <c r="CF37" s="505"/>
      <c r="CG37" s="505"/>
      <c r="CH37" s="505"/>
      <c r="CI37" s="505"/>
    </row>
    <row r="38" customFormat="false" ht="12.75" hidden="false" customHeight="false" outlineLevel="0" collapsed="false">
      <c r="A38" s="500"/>
      <c r="B38" s="500"/>
      <c r="K38" s="363"/>
      <c r="L38" s="501"/>
      <c r="N38" s="502"/>
      <c r="O38" s="502"/>
      <c r="P38" s="371"/>
      <c r="Q38" s="501"/>
      <c r="R38" s="501"/>
      <c r="U38" s="501"/>
      <c r="V38" s="503"/>
      <c r="W38" s="503"/>
      <c r="X38" s="504"/>
      <c r="Y38" s="504"/>
      <c r="Z38" s="504"/>
      <c r="AA38" s="504"/>
      <c r="AB38" s="504"/>
      <c r="AC38" s="504"/>
      <c r="AF38" s="378"/>
      <c r="AG38" s="378"/>
      <c r="AH38" s="378"/>
      <c r="AI38" s="378"/>
      <c r="AJ38" s="378"/>
      <c r="AM38" s="505"/>
      <c r="AN38" s="505"/>
      <c r="AO38" s="505"/>
      <c r="AP38" s="505"/>
      <c r="AR38" s="370"/>
      <c r="AT38" s="370"/>
      <c r="AV38" s="134"/>
      <c r="AW38" s="370"/>
      <c r="AX38" s="370"/>
      <c r="AY38" s="370"/>
      <c r="AZ38" s="370"/>
      <c r="BA38" s="507"/>
      <c r="BB38" s="505"/>
      <c r="BC38" s="505"/>
      <c r="BD38" s="370"/>
      <c r="BE38" s="370"/>
      <c r="BF38" s="370"/>
      <c r="BG38" s="370"/>
      <c r="BH38" s="370"/>
      <c r="BI38" s="370"/>
      <c r="BJ38" s="370"/>
      <c r="BK38" s="370"/>
      <c r="BL38" s="370"/>
      <c r="BM38" s="370"/>
      <c r="BN38" s="370"/>
      <c r="BO38" s="370"/>
      <c r="BP38" s="370"/>
      <c r="BQ38" s="370"/>
      <c r="BR38" s="370"/>
      <c r="BS38" s="370"/>
      <c r="BV38" s="508"/>
      <c r="BW38" s="369"/>
      <c r="BX38" s="370"/>
      <c r="BY38" s="370"/>
      <c r="BZ38" s="370"/>
      <c r="CA38" s="370"/>
      <c r="CB38" s="370"/>
      <c r="CC38" s="505"/>
      <c r="CD38" s="505"/>
      <c r="CE38" s="505"/>
      <c r="CF38" s="505"/>
      <c r="CG38" s="505"/>
      <c r="CH38" s="505"/>
      <c r="CI38" s="505"/>
    </row>
    <row r="39" customFormat="false" ht="12.75" hidden="false" customHeight="false" outlineLevel="0" collapsed="false">
      <c r="A39" s="500"/>
      <c r="B39" s="500"/>
      <c r="K39" s="363"/>
      <c r="L39" s="501"/>
      <c r="N39" s="502"/>
      <c r="O39" s="502"/>
      <c r="P39" s="371"/>
      <c r="Q39" s="501"/>
      <c r="R39" s="501"/>
      <c r="U39" s="501"/>
      <c r="V39" s="503"/>
      <c r="W39" s="503"/>
      <c r="X39" s="504"/>
      <c r="Y39" s="504"/>
      <c r="Z39" s="504"/>
      <c r="AA39" s="504"/>
      <c r="AB39" s="504"/>
      <c r="AC39" s="504"/>
      <c r="AF39" s="378"/>
      <c r="AG39" s="378"/>
      <c r="AH39" s="378"/>
      <c r="AI39" s="378"/>
      <c r="AJ39" s="378"/>
      <c r="AM39" s="505"/>
      <c r="AN39" s="505"/>
      <c r="AO39" s="505"/>
      <c r="AP39" s="505"/>
      <c r="AR39" s="370"/>
      <c r="AT39" s="370"/>
      <c r="AV39" s="134"/>
      <c r="AW39" s="370"/>
      <c r="AX39" s="370"/>
      <c r="AY39" s="370"/>
      <c r="AZ39" s="370"/>
      <c r="BA39" s="507"/>
      <c r="BB39" s="505"/>
      <c r="BC39" s="505"/>
      <c r="BD39" s="370"/>
      <c r="BE39" s="370"/>
      <c r="BF39" s="370"/>
      <c r="BG39" s="370"/>
      <c r="BH39" s="370"/>
      <c r="BI39" s="370"/>
      <c r="BJ39" s="370"/>
      <c r="BK39" s="370"/>
      <c r="BL39" s="370"/>
      <c r="BM39" s="370"/>
      <c r="BN39" s="370"/>
      <c r="BO39" s="370"/>
      <c r="BP39" s="370"/>
      <c r="BQ39" s="370"/>
      <c r="BR39" s="370"/>
      <c r="BS39" s="370"/>
      <c r="BV39" s="508"/>
      <c r="BW39" s="369"/>
      <c r="BX39" s="370"/>
      <c r="BY39" s="370"/>
      <c r="BZ39" s="370"/>
      <c r="CA39" s="370"/>
      <c r="CB39" s="370"/>
      <c r="CC39" s="505"/>
      <c r="CD39" s="505"/>
      <c r="CE39" s="505"/>
      <c r="CF39" s="505"/>
      <c r="CG39" s="505"/>
      <c r="CH39" s="505"/>
      <c r="CI39" s="505"/>
    </row>
    <row r="40" customFormat="false" ht="12.75" hidden="false" customHeight="false" outlineLevel="0" collapsed="false">
      <c r="A40" s="500"/>
      <c r="B40" s="500"/>
      <c r="K40" s="363"/>
      <c r="L40" s="501"/>
      <c r="N40" s="502"/>
      <c r="O40" s="502"/>
      <c r="P40" s="371"/>
      <c r="Q40" s="501"/>
      <c r="R40" s="501"/>
      <c r="U40" s="501"/>
      <c r="V40" s="503"/>
      <c r="W40" s="503"/>
      <c r="X40" s="504"/>
      <c r="Y40" s="504"/>
      <c r="Z40" s="504"/>
      <c r="AA40" s="504"/>
      <c r="AB40" s="504"/>
      <c r="AC40" s="504"/>
      <c r="AF40" s="378"/>
      <c r="AG40" s="378"/>
      <c r="AH40" s="378"/>
      <c r="AI40" s="378"/>
      <c r="AJ40" s="378"/>
      <c r="AM40" s="505"/>
      <c r="AN40" s="505"/>
      <c r="AO40" s="505"/>
      <c r="AP40" s="505"/>
      <c r="AR40" s="370"/>
      <c r="AT40" s="370"/>
      <c r="AV40" s="134"/>
      <c r="AW40" s="370"/>
      <c r="AX40" s="370"/>
      <c r="AY40" s="370"/>
      <c r="AZ40" s="370"/>
      <c r="BA40" s="507"/>
      <c r="BB40" s="505"/>
      <c r="BC40" s="505"/>
      <c r="BD40" s="370"/>
      <c r="BE40" s="370"/>
      <c r="BF40" s="370"/>
      <c r="BG40" s="370"/>
      <c r="BH40" s="370"/>
      <c r="BI40" s="370"/>
      <c r="BJ40" s="370"/>
      <c r="BK40" s="370"/>
      <c r="BL40" s="370"/>
      <c r="BM40" s="370"/>
      <c r="BN40" s="370"/>
      <c r="BO40" s="370"/>
      <c r="BP40" s="370"/>
      <c r="BQ40" s="370"/>
      <c r="BR40" s="370"/>
      <c r="BS40" s="370"/>
      <c r="BV40" s="508"/>
      <c r="BW40" s="369"/>
      <c r="BX40" s="370"/>
      <c r="BY40" s="370"/>
      <c r="BZ40" s="370"/>
      <c r="CA40" s="370"/>
      <c r="CB40" s="370"/>
      <c r="CC40" s="505"/>
      <c r="CD40" s="505"/>
      <c r="CE40" s="505"/>
      <c r="CF40" s="505"/>
      <c r="CG40" s="505"/>
      <c r="CH40" s="505"/>
      <c r="CI40" s="505"/>
    </row>
    <row r="41" customFormat="false" ht="12.75" hidden="false" customHeight="false" outlineLevel="0" collapsed="false">
      <c r="A41" s="500"/>
      <c r="B41" s="500"/>
      <c r="K41" s="363"/>
      <c r="L41" s="501"/>
      <c r="N41" s="502"/>
      <c r="O41" s="502"/>
      <c r="P41" s="371"/>
      <c r="Q41" s="501"/>
      <c r="R41" s="501"/>
      <c r="U41" s="501"/>
      <c r="V41" s="503"/>
      <c r="W41" s="503"/>
      <c r="X41" s="504"/>
      <c r="Y41" s="504"/>
      <c r="Z41" s="504"/>
      <c r="AA41" s="504"/>
      <c r="AB41" s="504"/>
      <c r="AC41" s="504"/>
      <c r="AF41" s="378"/>
      <c r="AG41" s="378"/>
      <c r="AH41" s="378"/>
      <c r="AI41" s="378"/>
      <c r="AJ41" s="378"/>
      <c r="AM41" s="505"/>
      <c r="AN41" s="505"/>
      <c r="AO41" s="505"/>
      <c r="AP41" s="505"/>
      <c r="AR41" s="370"/>
      <c r="AT41" s="370"/>
      <c r="AV41" s="134"/>
      <c r="AW41" s="370"/>
      <c r="AX41" s="370"/>
      <c r="AY41" s="370"/>
      <c r="AZ41" s="370"/>
      <c r="BA41" s="507"/>
      <c r="BB41" s="505"/>
      <c r="BC41" s="505"/>
      <c r="BD41" s="370"/>
      <c r="BE41" s="370"/>
      <c r="BF41" s="370"/>
      <c r="BG41" s="370"/>
      <c r="BH41" s="370"/>
      <c r="BI41" s="370"/>
      <c r="BJ41" s="370"/>
      <c r="BK41" s="370"/>
      <c r="BL41" s="370"/>
      <c r="BM41" s="370"/>
      <c r="BN41" s="370"/>
      <c r="BO41" s="370"/>
      <c r="BP41" s="370"/>
      <c r="BQ41" s="370"/>
      <c r="BR41" s="370"/>
      <c r="BS41" s="370"/>
      <c r="BV41" s="508"/>
      <c r="BW41" s="369"/>
      <c r="BX41" s="370"/>
      <c r="BY41" s="370"/>
      <c r="BZ41" s="370"/>
      <c r="CA41" s="370"/>
      <c r="CB41" s="370"/>
      <c r="CC41" s="505"/>
      <c r="CD41" s="505"/>
      <c r="CE41" s="505"/>
      <c r="CF41" s="505"/>
      <c r="CG41" s="505"/>
      <c r="CH41" s="505"/>
      <c r="CI41" s="505"/>
    </row>
    <row r="42" customFormat="false" ht="12.75" hidden="false" customHeight="false" outlineLevel="0" collapsed="false">
      <c r="A42" s="500"/>
      <c r="B42" s="500"/>
      <c r="K42" s="363"/>
      <c r="L42" s="501"/>
      <c r="N42" s="502"/>
      <c r="O42" s="502"/>
      <c r="P42" s="371"/>
      <c r="Q42" s="501"/>
      <c r="R42" s="501"/>
      <c r="U42" s="501"/>
      <c r="V42" s="503"/>
      <c r="W42" s="503"/>
      <c r="X42" s="504"/>
      <c r="Y42" s="504"/>
      <c r="Z42" s="504"/>
      <c r="AA42" s="504"/>
      <c r="AB42" s="504"/>
      <c r="AC42" s="504"/>
      <c r="AF42" s="378"/>
      <c r="AG42" s="378"/>
      <c r="AH42" s="378"/>
      <c r="AI42" s="378"/>
      <c r="AJ42" s="378"/>
      <c r="AM42" s="505"/>
      <c r="AN42" s="505"/>
      <c r="AO42" s="505"/>
      <c r="AP42" s="505"/>
      <c r="AR42" s="370"/>
      <c r="AT42" s="370"/>
      <c r="AV42" s="134"/>
      <c r="AW42" s="370"/>
      <c r="AX42" s="370"/>
      <c r="AY42" s="370"/>
      <c r="AZ42" s="370"/>
      <c r="BA42" s="507"/>
      <c r="BB42" s="505"/>
      <c r="BC42" s="505"/>
      <c r="BD42" s="370"/>
      <c r="BE42" s="370"/>
      <c r="BF42" s="370"/>
      <c r="BG42" s="370"/>
      <c r="BH42" s="370"/>
      <c r="BI42" s="370"/>
      <c r="BJ42" s="370"/>
      <c r="BK42" s="370"/>
      <c r="BL42" s="370"/>
      <c r="BM42" s="370"/>
      <c r="BN42" s="370"/>
      <c r="BO42" s="370"/>
      <c r="BP42" s="370"/>
      <c r="BQ42" s="370"/>
      <c r="BR42" s="370"/>
      <c r="BS42" s="370"/>
      <c r="BV42" s="508"/>
      <c r="BW42" s="369"/>
      <c r="BX42" s="370"/>
      <c r="BY42" s="370"/>
      <c r="BZ42" s="370"/>
      <c r="CA42" s="370"/>
      <c r="CB42" s="370"/>
      <c r="CC42" s="505"/>
      <c r="CD42" s="505"/>
      <c r="CE42" s="505"/>
      <c r="CF42" s="505"/>
      <c r="CG42" s="505"/>
      <c r="CH42" s="505"/>
      <c r="CI42" s="505"/>
    </row>
    <row r="43" customFormat="false" ht="12.75" hidden="false" customHeight="false" outlineLevel="0" collapsed="false">
      <c r="A43" s="500"/>
      <c r="B43" s="500"/>
      <c r="K43" s="363"/>
      <c r="L43" s="501"/>
      <c r="N43" s="502"/>
      <c r="O43" s="502"/>
      <c r="P43" s="371"/>
      <c r="Q43" s="501"/>
      <c r="R43" s="501"/>
      <c r="U43" s="501"/>
      <c r="V43" s="503"/>
      <c r="W43" s="503"/>
      <c r="X43" s="504"/>
      <c r="Y43" s="504"/>
      <c r="Z43" s="504"/>
      <c r="AA43" s="504"/>
      <c r="AB43" s="504"/>
      <c r="AC43" s="504"/>
      <c r="AF43" s="378"/>
      <c r="AG43" s="378"/>
      <c r="AH43" s="378"/>
      <c r="AI43" s="378"/>
      <c r="AJ43" s="378"/>
      <c r="AM43" s="505"/>
      <c r="AN43" s="505"/>
      <c r="AO43" s="505"/>
      <c r="AP43" s="505"/>
      <c r="AR43" s="370"/>
      <c r="AT43" s="370"/>
      <c r="AV43" s="134"/>
      <c r="AW43" s="370"/>
      <c r="AX43" s="370"/>
      <c r="AY43" s="370"/>
      <c r="AZ43" s="370"/>
      <c r="BA43" s="507"/>
      <c r="BB43" s="505"/>
      <c r="BC43" s="505"/>
      <c r="BD43" s="370"/>
      <c r="BE43" s="370"/>
      <c r="BF43" s="370"/>
      <c r="BG43" s="370"/>
      <c r="BH43" s="370"/>
      <c r="BI43" s="370"/>
      <c r="BJ43" s="370"/>
      <c r="BK43" s="370"/>
      <c r="BL43" s="370"/>
      <c r="BM43" s="370"/>
      <c r="BN43" s="370"/>
      <c r="BO43" s="370"/>
      <c r="BP43" s="370"/>
      <c r="BQ43" s="370"/>
      <c r="BR43" s="370"/>
      <c r="BS43" s="370"/>
      <c r="BV43" s="508"/>
      <c r="BW43" s="369"/>
      <c r="BX43" s="370"/>
      <c r="BY43" s="370"/>
      <c r="BZ43" s="370"/>
      <c r="CA43" s="370"/>
      <c r="CB43" s="370"/>
      <c r="CC43" s="505"/>
      <c r="CD43" s="505"/>
      <c r="CE43" s="505"/>
      <c r="CF43" s="505"/>
      <c r="CG43" s="505"/>
      <c r="CH43" s="505"/>
      <c r="CI43" s="505"/>
    </row>
    <row r="44" customFormat="false" ht="12.75" hidden="false" customHeight="false" outlineLevel="0" collapsed="false">
      <c r="A44" s="500"/>
      <c r="B44" s="500"/>
      <c r="K44" s="363"/>
      <c r="L44" s="501"/>
      <c r="N44" s="502"/>
      <c r="O44" s="502"/>
      <c r="P44" s="371"/>
      <c r="Q44" s="501"/>
      <c r="R44" s="501"/>
      <c r="U44" s="501"/>
      <c r="V44" s="503"/>
      <c r="W44" s="503"/>
      <c r="X44" s="503"/>
      <c r="Y44" s="504"/>
      <c r="Z44" s="504"/>
      <c r="AA44" s="504"/>
      <c r="AB44" s="504"/>
      <c r="AC44" s="504"/>
      <c r="AF44" s="378"/>
      <c r="AG44" s="378"/>
      <c r="AH44" s="378"/>
      <c r="AI44" s="378"/>
      <c r="AL44" s="505"/>
      <c r="AM44" s="505"/>
      <c r="AN44" s="505"/>
      <c r="AO44" s="505"/>
      <c r="AQ44" s="370"/>
      <c r="AT44" s="370"/>
      <c r="AV44" s="134"/>
      <c r="AW44" s="370"/>
      <c r="AX44" s="370"/>
      <c r="AY44" s="370"/>
      <c r="AZ44" s="370"/>
      <c r="BA44" s="507"/>
      <c r="BB44" s="505"/>
      <c r="BC44" s="505"/>
      <c r="BD44" s="370"/>
      <c r="BE44" s="370"/>
      <c r="BF44" s="370"/>
      <c r="BG44" s="370"/>
      <c r="BH44" s="370"/>
      <c r="BI44" s="370"/>
      <c r="BJ44" s="370"/>
      <c r="BK44" s="370"/>
      <c r="BL44" s="370"/>
      <c r="BM44" s="370"/>
      <c r="BO44" s="370"/>
      <c r="BP44" s="370"/>
      <c r="BQ44" s="370"/>
      <c r="BR44" s="370"/>
      <c r="BS44" s="370"/>
      <c r="BV44" s="508"/>
      <c r="BW44" s="369"/>
      <c r="BX44" s="370"/>
      <c r="BY44" s="370"/>
      <c r="BZ44" s="370"/>
      <c r="CA44" s="370"/>
      <c r="CB44" s="370"/>
      <c r="CC44" s="505"/>
      <c r="CD44" s="505"/>
      <c r="CE44" s="505"/>
      <c r="CF44" s="505"/>
    </row>
    <row r="45" customFormat="false" ht="12.75" hidden="false" customHeight="false" outlineLevel="0" collapsed="false">
      <c r="A45" s="500"/>
      <c r="B45" s="500"/>
      <c r="K45" s="363"/>
      <c r="L45" s="501"/>
      <c r="N45" s="502"/>
      <c r="O45" s="502"/>
      <c r="P45" s="371"/>
      <c r="Q45" s="501"/>
      <c r="R45" s="501"/>
      <c r="U45" s="501"/>
      <c r="V45" s="503"/>
      <c r="W45" s="503"/>
      <c r="X45" s="503"/>
      <c r="Y45" s="504"/>
      <c r="Z45" s="504"/>
      <c r="AA45" s="504"/>
      <c r="AB45" s="504"/>
      <c r="AC45" s="504"/>
      <c r="AF45" s="378"/>
      <c r="AG45" s="378"/>
      <c r="AH45" s="378"/>
      <c r="AI45" s="378"/>
      <c r="AL45" s="505"/>
      <c r="AM45" s="505"/>
      <c r="AN45" s="505"/>
      <c r="AO45" s="505"/>
      <c r="AQ45" s="370"/>
      <c r="AT45" s="370"/>
      <c r="AV45" s="134"/>
      <c r="AW45" s="370"/>
      <c r="AX45" s="370"/>
      <c r="AY45" s="370"/>
      <c r="AZ45" s="370"/>
      <c r="BA45" s="507"/>
      <c r="BB45" s="505"/>
      <c r="BC45" s="505"/>
      <c r="BD45" s="370"/>
      <c r="BE45" s="370"/>
      <c r="BF45" s="370"/>
      <c r="BG45" s="370"/>
      <c r="BH45" s="370"/>
      <c r="BI45" s="370"/>
      <c r="BJ45" s="370"/>
      <c r="BK45" s="370"/>
      <c r="BL45" s="370"/>
      <c r="BM45" s="370"/>
      <c r="BO45" s="370"/>
      <c r="BP45" s="370"/>
      <c r="BQ45" s="370"/>
      <c r="BR45" s="370"/>
      <c r="BS45" s="370"/>
      <c r="BV45" s="508"/>
      <c r="BW45" s="369"/>
      <c r="BX45" s="370"/>
      <c r="BY45" s="370"/>
      <c r="BZ45" s="370"/>
      <c r="CA45" s="370"/>
      <c r="CB45" s="370"/>
      <c r="CC45" s="505"/>
      <c r="CD45" s="505"/>
      <c r="CE45" s="505"/>
      <c r="CF45" s="505"/>
    </row>
    <row r="46" customFormat="false" ht="12.75" hidden="false" customHeight="false" outlineLevel="0" collapsed="false">
      <c r="A46" s="500"/>
      <c r="B46" s="500"/>
      <c r="K46" s="363"/>
      <c r="L46" s="501"/>
      <c r="N46" s="502"/>
      <c r="O46" s="502"/>
      <c r="P46" s="371"/>
      <c r="Q46" s="501"/>
      <c r="R46" s="501"/>
      <c r="U46" s="501"/>
      <c r="V46" s="503"/>
      <c r="W46" s="503"/>
      <c r="X46" s="503"/>
      <c r="Y46" s="504"/>
      <c r="Z46" s="504"/>
      <c r="AA46" s="504"/>
      <c r="AB46" s="504"/>
      <c r="AC46" s="504"/>
      <c r="AF46" s="378"/>
      <c r="AG46" s="378"/>
      <c r="AH46" s="378"/>
      <c r="AI46" s="378"/>
      <c r="AL46" s="505"/>
      <c r="AM46" s="505"/>
      <c r="AN46" s="505"/>
      <c r="AO46" s="505"/>
      <c r="AQ46" s="370"/>
      <c r="AT46" s="370"/>
      <c r="AV46" s="134"/>
      <c r="AW46" s="370"/>
      <c r="AX46" s="370"/>
      <c r="AY46" s="370"/>
      <c r="AZ46" s="370"/>
      <c r="BA46" s="507"/>
      <c r="BB46" s="505"/>
      <c r="BC46" s="505"/>
      <c r="BD46" s="370"/>
      <c r="BE46" s="370"/>
      <c r="BF46" s="370"/>
      <c r="BG46" s="370"/>
      <c r="BH46" s="370"/>
      <c r="BI46" s="370"/>
      <c r="BJ46" s="370"/>
      <c r="BK46" s="370"/>
      <c r="BL46" s="370"/>
      <c r="BM46" s="370"/>
      <c r="BO46" s="370"/>
      <c r="BP46" s="370"/>
      <c r="BQ46" s="370"/>
      <c r="BR46" s="370"/>
      <c r="BS46" s="370"/>
      <c r="BV46" s="508"/>
      <c r="BW46" s="369"/>
      <c r="BX46" s="370"/>
      <c r="BY46" s="370"/>
      <c r="BZ46" s="370"/>
      <c r="CA46" s="370"/>
      <c r="CB46" s="370"/>
      <c r="CC46" s="505"/>
      <c r="CD46" s="505"/>
      <c r="CE46" s="505"/>
      <c r="CF46" s="505"/>
    </row>
    <row r="47" customFormat="false" ht="12.75" hidden="false" customHeight="false" outlineLevel="0" collapsed="false">
      <c r="A47" s="500"/>
      <c r="B47" s="500"/>
      <c r="K47" s="363"/>
      <c r="L47" s="501"/>
      <c r="N47" s="502"/>
      <c r="O47" s="502"/>
      <c r="P47" s="371"/>
      <c r="Q47" s="501"/>
      <c r="R47" s="501"/>
      <c r="U47" s="501"/>
      <c r="V47" s="503"/>
      <c r="W47" s="503"/>
      <c r="X47" s="503"/>
      <c r="Y47" s="504"/>
      <c r="Z47" s="504"/>
      <c r="AA47" s="504"/>
      <c r="AB47" s="504"/>
      <c r="AC47" s="504"/>
      <c r="AF47" s="378"/>
      <c r="AG47" s="378"/>
      <c r="AH47" s="378"/>
      <c r="AI47" s="378"/>
      <c r="AL47" s="505"/>
      <c r="AM47" s="505"/>
      <c r="AN47" s="505"/>
      <c r="AO47" s="505"/>
      <c r="AQ47" s="370"/>
      <c r="AT47" s="370"/>
      <c r="AV47" s="134"/>
      <c r="AW47" s="370"/>
      <c r="AX47" s="370"/>
      <c r="AY47" s="370"/>
      <c r="AZ47" s="370"/>
      <c r="BA47" s="507"/>
      <c r="BB47" s="505"/>
      <c r="BC47" s="505"/>
      <c r="BD47" s="370"/>
      <c r="BE47" s="370"/>
      <c r="BF47" s="370"/>
      <c r="BG47" s="370"/>
      <c r="BH47" s="370"/>
      <c r="BI47" s="370"/>
      <c r="BJ47" s="370"/>
      <c r="BK47" s="370"/>
      <c r="BL47" s="370"/>
      <c r="BM47" s="370"/>
      <c r="BO47" s="370"/>
      <c r="BP47" s="370"/>
      <c r="BQ47" s="370"/>
      <c r="BR47" s="370"/>
      <c r="BS47" s="370"/>
      <c r="BV47" s="508"/>
      <c r="BW47" s="369"/>
      <c r="BX47" s="370"/>
      <c r="BY47" s="370"/>
      <c r="BZ47" s="370"/>
      <c r="CA47" s="370"/>
      <c r="CB47" s="370"/>
      <c r="CC47" s="505"/>
      <c r="CD47" s="505"/>
      <c r="CE47" s="505"/>
      <c r="CF47" s="505"/>
    </row>
    <row r="48" customFormat="false" ht="12.75" hidden="false" customHeight="false" outlineLevel="0" collapsed="false">
      <c r="A48" s="500"/>
      <c r="B48" s="500"/>
      <c r="K48" s="363"/>
      <c r="L48" s="501"/>
      <c r="N48" s="502"/>
      <c r="O48" s="502"/>
      <c r="P48" s="371"/>
      <c r="Q48" s="501"/>
      <c r="R48" s="501"/>
      <c r="U48" s="501"/>
      <c r="V48" s="503"/>
      <c r="W48" s="503"/>
      <c r="X48" s="503"/>
      <c r="Y48" s="504"/>
      <c r="Z48" s="504"/>
      <c r="AA48" s="504"/>
      <c r="AB48" s="504"/>
      <c r="AC48" s="504"/>
      <c r="AF48" s="378"/>
      <c r="AG48" s="378"/>
      <c r="AH48" s="378"/>
      <c r="AI48" s="378"/>
      <c r="AL48" s="505"/>
      <c r="AM48" s="505"/>
      <c r="AN48" s="505"/>
      <c r="AO48" s="505"/>
      <c r="AQ48" s="370"/>
      <c r="AT48" s="370"/>
      <c r="AV48" s="134"/>
      <c r="AW48" s="370"/>
      <c r="AX48" s="370"/>
      <c r="AY48" s="370"/>
      <c r="AZ48" s="370"/>
      <c r="BA48" s="507"/>
      <c r="BB48" s="505"/>
      <c r="BC48" s="505"/>
      <c r="BD48" s="370"/>
      <c r="BE48" s="370"/>
      <c r="BF48" s="370"/>
      <c r="BG48" s="370"/>
      <c r="BH48" s="370"/>
      <c r="BI48" s="370"/>
      <c r="BJ48" s="370"/>
      <c r="BK48" s="370"/>
      <c r="BL48" s="370"/>
      <c r="BM48" s="370"/>
      <c r="BO48" s="370"/>
      <c r="BP48" s="370"/>
      <c r="BQ48" s="370"/>
      <c r="BR48" s="370"/>
      <c r="BS48" s="370"/>
      <c r="BV48" s="508"/>
      <c r="BW48" s="369"/>
      <c r="BX48" s="370"/>
      <c r="BY48" s="370"/>
      <c r="BZ48" s="370"/>
      <c r="CA48" s="370"/>
      <c r="CB48" s="370"/>
      <c r="CC48" s="505"/>
      <c r="CD48" s="505"/>
      <c r="CE48" s="505"/>
      <c r="CF48" s="505"/>
    </row>
    <row r="49" customFormat="false" ht="12.75" hidden="false" customHeight="false" outlineLevel="0" collapsed="false">
      <c r="A49" s="500"/>
      <c r="B49" s="500"/>
      <c r="K49" s="363"/>
      <c r="L49" s="501"/>
      <c r="N49" s="502"/>
      <c r="O49" s="502"/>
      <c r="P49" s="371"/>
      <c r="Q49" s="501"/>
      <c r="R49" s="501"/>
      <c r="U49" s="501"/>
      <c r="V49" s="503"/>
      <c r="W49" s="503"/>
      <c r="X49" s="503"/>
      <c r="Y49" s="504"/>
      <c r="Z49" s="504"/>
      <c r="AA49" s="504"/>
      <c r="AB49" s="504"/>
      <c r="AC49" s="504"/>
      <c r="AF49" s="378"/>
      <c r="AG49" s="378"/>
      <c r="AH49" s="378"/>
      <c r="AI49" s="378"/>
      <c r="AL49" s="505"/>
      <c r="AM49" s="505"/>
      <c r="AN49" s="505"/>
      <c r="AO49" s="505"/>
      <c r="AQ49" s="370"/>
      <c r="AT49" s="370"/>
      <c r="AV49" s="134"/>
      <c r="AW49" s="370"/>
      <c r="AX49" s="370"/>
      <c r="AY49" s="370"/>
      <c r="AZ49" s="370"/>
      <c r="BA49" s="507"/>
      <c r="BB49" s="505"/>
      <c r="BC49" s="505"/>
      <c r="BD49" s="370"/>
      <c r="BE49" s="370"/>
      <c r="BF49" s="370"/>
      <c r="BG49" s="370"/>
      <c r="BH49" s="370"/>
      <c r="BI49" s="370"/>
      <c r="BJ49" s="370"/>
      <c r="BK49" s="370"/>
      <c r="BL49" s="370"/>
      <c r="BM49" s="370"/>
      <c r="BO49" s="370"/>
      <c r="BP49" s="370"/>
      <c r="BQ49" s="370"/>
      <c r="BR49" s="370"/>
      <c r="BS49" s="370"/>
      <c r="BV49" s="508"/>
      <c r="BW49" s="369"/>
      <c r="BX49" s="370"/>
      <c r="BY49" s="370"/>
      <c r="BZ49" s="370"/>
      <c r="CA49" s="370"/>
      <c r="CB49" s="370"/>
      <c r="CC49" s="505"/>
      <c r="CD49" s="505"/>
      <c r="CE49" s="505"/>
      <c r="CF49" s="505"/>
    </row>
    <row r="50" customFormat="false" ht="12.75" hidden="false" customHeight="false" outlineLevel="0" collapsed="false">
      <c r="A50" s="500"/>
      <c r="B50" s="500"/>
      <c r="K50" s="363"/>
      <c r="L50" s="501"/>
      <c r="N50" s="502"/>
      <c r="O50" s="502"/>
      <c r="P50" s="371"/>
      <c r="Q50" s="501"/>
      <c r="R50" s="501"/>
      <c r="U50" s="501"/>
      <c r="V50" s="503"/>
      <c r="W50" s="503"/>
      <c r="X50" s="503"/>
      <c r="Y50" s="504"/>
      <c r="Z50" s="504"/>
      <c r="AA50" s="504"/>
      <c r="AB50" s="504"/>
      <c r="AC50" s="504"/>
      <c r="AF50" s="378"/>
      <c r="AG50" s="378"/>
      <c r="AH50" s="378"/>
      <c r="AI50" s="378"/>
      <c r="AL50" s="505"/>
      <c r="AM50" s="505"/>
      <c r="AN50" s="505"/>
      <c r="AO50" s="505"/>
      <c r="AQ50" s="370"/>
      <c r="AT50" s="370"/>
      <c r="AV50" s="134"/>
      <c r="AW50" s="370"/>
      <c r="AX50" s="370"/>
      <c r="AY50" s="370"/>
      <c r="AZ50" s="370"/>
      <c r="BA50" s="507"/>
      <c r="BB50" s="505"/>
      <c r="BC50" s="505"/>
      <c r="BD50" s="370"/>
      <c r="BE50" s="370"/>
      <c r="BF50" s="370"/>
      <c r="BG50" s="370"/>
      <c r="BH50" s="370"/>
      <c r="BI50" s="370"/>
      <c r="BJ50" s="370"/>
      <c r="BK50" s="370"/>
      <c r="BL50" s="370"/>
      <c r="BM50" s="370"/>
      <c r="BO50" s="370"/>
      <c r="BP50" s="370"/>
      <c r="BQ50" s="370"/>
      <c r="BR50" s="370"/>
      <c r="BS50" s="370"/>
      <c r="BV50" s="508"/>
      <c r="BW50" s="369"/>
      <c r="BX50" s="370"/>
      <c r="BY50" s="370"/>
      <c r="BZ50" s="370"/>
      <c r="CA50" s="370"/>
      <c r="CB50" s="370"/>
      <c r="CC50" s="505"/>
      <c r="CD50" s="505"/>
      <c r="CE50" s="505"/>
      <c r="CF50" s="505"/>
    </row>
    <row r="51" customFormat="false" ht="12.75" hidden="false" customHeight="false" outlineLevel="0" collapsed="false">
      <c r="A51" s="500"/>
      <c r="B51" s="500"/>
      <c r="K51" s="363"/>
      <c r="L51" s="501"/>
      <c r="N51" s="502"/>
      <c r="O51" s="502"/>
      <c r="P51" s="371"/>
      <c r="Q51" s="501"/>
      <c r="R51" s="501"/>
      <c r="U51" s="501"/>
      <c r="V51" s="503"/>
      <c r="W51" s="503"/>
      <c r="X51" s="503"/>
      <c r="Y51" s="504"/>
      <c r="Z51" s="504"/>
      <c r="AA51" s="504"/>
      <c r="AB51" s="504"/>
      <c r="AC51" s="504"/>
      <c r="AF51" s="378"/>
      <c r="AG51" s="378"/>
      <c r="AH51" s="378"/>
      <c r="AI51" s="378"/>
      <c r="AL51" s="505"/>
      <c r="AM51" s="505"/>
      <c r="AN51" s="505"/>
      <c r="AO51" s="505"/>
      <c r="AQ51" s="370"/>
      <c r="AT51" s="370"/>
      <c r="AV51" s="134"/>
      <c r="AW51" s="370"/>
      <c r="AX51" s="370"/>
      <c r="AY51" s="370"/>
      <c r="AZ51" s="370"/>
      <c r="BA51" s="507"/>
      <c r="BB51" s="505"/>
      <c r="BC51" s="505"/>
      <c r="BD51" s="370"/>
      <c r="BE51" s="370"/>
      <c r="BF51" s="370"/>
      <c r="BG51" s="370"/>
      <c r="BH51" s="370"/>
      <c r="BI51" s="370"/>
      <c r="BJ51" s="370"/>
      <c r="BK51" s="370"/>
      <c r="BL51" s="370"/>
      <c r="BM51" s="370"/>
      <c r="BO51" s="370"/>
      <c r="BP51" s="370"/>
      <c r="BQ51" s="370"/>
      <c r="BR51" s="370"/>
      <c r="BS51" s="370"/>
      <c r="BV51" s="508"/>
      <c r="BW51" s="369"/>
      <c r="BX51" s="370"/>
      <c r="BY51" s="370"/>
      <c r="BZ51" s="370"/>
      <c r="CA51" s="370"/>
      <c r="CB51" s="370"/>
      <c r="CC51" s="505"/>
      <c r="CD51" s="505"/>
      <c r="CE51" s="505"/>
      <c r="CF51" s="505"/>
    </row>
    <row r="52" customFormat="false" ht="12.75" hidden="false" customHeight="false" outlineLevel="0" collapsed="false">
      <c r="A52" s="500"/>
      <c r="B52" s="500"/>
      <c r="K52" s="363"/>
      <c r="L52" s="501"/>
      <c r="N52" s="502"/>
      <c r="O52" s="502"/>
      <c r="P52" s="371"/>
      <c r="Q52" s="501"/>
      <c r="R52" s="501"/>
      <c r="U52" s="501"/>
      <c r="V52" s="503"/>
      <c r="W52" s="503"/>
      <c r="X52" s="503"/>
      <c r="Y52" s="504"/>
      <c r="Z52" s="504"/>
      <c r="AA52" s="504"/>
      <c r="AB52" s="504"/>
      <c r="AC52" s="504"/>
      <c r="AF52" s="378"/>
      <c r="AG52" s="378"/>
      <c r="AH52" s="378"/>
      <c r="AI52" s="378"/>
      <c r="AL52" s="505"/>
      <c r="AM52" s="505"/>
      <c r="AN52" s="505"/>
      <c r="AO52" s="505"/>
      <c r="AQ52" s="370"/>
      <c r="AT52" s="370"/>
      <c r="AV52" s="134"/>
      <c r="AW52" s="370"/>
      <c r="AX52" s="370"/>
      <c r="AY52" s="370"/>
      <c r="AZ52" s="370"/>
      <c r="BA52" s="507"/>
      <c r="BB52" s="505"/>
      <c r="BC52" s="505"/>
      <c r="BD52" s="370"/>
      <c r="BE52" s="370"/>
      <c r="BF52" s="370"/>
      <c r="BG52" s="370"/>
      <c r="BH52" s="370"/>
      <c r="BI52" s="370"/>
      <c r="BJ52" s="370"/>
      <c r="BK52" s="370"/>
      <c r="BL52" s="370"/>
      <c r="BM52" s="370"/>
      <c r="BO52" s="370"/>
      <c r="BP52" s="370"/>
      <c r="BQ52" s="370"/>
      <c r="BR52" s="370"/>
      <c r="BS52" s="370"/>
      <c r="BV52" s="508"/>
      <c r="BW52" s="369"/>
      <c r="BX52" s="370"/>
      <c r="BY52" s="370"/>
      <c r="BZ52" s="370"/>
      <c r="CA52" s="370"/>
      <c r="CB52" s="370"/>
      <c r="CC52" s="505"/>
      <c r="CD52" s="505"/>
      <c r="CE52" s="505"/>
      <c r="CF52" s="505"/>
    </row>
    <row r="53" customFormat="false" ht="12.75" hidden="false" customHeight="false" outlineLevel="0" collapsed="false">
      <c r="A53" s="500"/>
      <c r="B53" s="500"/>
      <c r="K53" s="363"/>
      <c r="L53" s="501"/>
      <c r="N53" s="502"/>
      <c r="O53" s="502"/>
      <c r="P53" s="371"/>
      <c r="Q53" s="501"/>
      <c r="R53" s="501"/>
      <c r="U53" s="501"/>
      <c r="V53" s="503"/>
      <c r="W53" s="503"/>
      <c r="X53" s="503"/>
      <c r="Y53" s="504"/>
      <c r="Z53" s="504"/>
      <c r="AA53" s="504"/>
      <c r="AB53" s="504"/>
      <c r="AC53" s="504"/>
      <c r="AF53" s="378"/>
      <c r="AG53" s="378"/>
      <c r="AH53" s="378"/>
      <c r="AI53" s="378"/>
      <c r="AL53" s="505"/>
      <c r="AM53" s="505"/>
      <c r="AN53" s="505"/>
      <c r="AO53" s="505"/>
      <c r="AQ53" s="370"/>
      <c r="AT53" s="370"/>
      <c r="AV53" s="134"/>
      <c r="AW53" s="370"/>
      <c r="AX53" s="370"/>
      <c r="AY53" s="370"/>
      <c r="AZ53" s="370"/>
      <c r="BA53" s="507"/>
      <c r="BB53" s="505"/>
      <c r="BC53" s="505"/>
      <c r="BD53" s="370"/>
      <c r="BE53" s="370"/>
      <c r="BF53" s="370"/>
      <c r="BG53" s="370"/>
      <c r="BH53" s="370"/>
      <c r="BI53" s="370"/>
      <c r="BJ53" s="370"/>
      <c r="BK53" s="370"/>
      <c r="BL53" s="370"/>
      <c r="BM53" s="370"/>
      <c r="BO53" s="370"/>
      <c r="BP53" s="370"/>
      <c r="BQ53" s="370"/>
      <c r="BR53" s="370"/>
      <c r="BS53" s="370"/>
      <c r="BV53" s="508"/>
      <c r="BW53" s="369"/>
      <c r="BX53" s="370"/>
      <c r="BY53" s="370"/>
      <c r="BZ53" s="370"/>
      <c r="CA53" s="370"/>
      <c r="CB53" s="370"/>
      <c r="CC53" s="505"/>
      <c r="CD53" s="505"/>
      <c r="CE53" s="505"/>
      <c r="CF53" s="505"/>
    </row>
    <row r="54" customFormat="false" ht="12.75" hidden="false" customHeight="false" outlineLevel="0" collapsed="false">
      <c r="A54" s="500"/>
      <c r="B54" s="500"/>
      <c r="K54" s="363"/>
      <c r="L54" s="501"/>
      <c r="N54" s="502"/>
      <c r="O54" s="502"/>
      <c r="P54" s="371"/>
      <c r="Q54" s="501"/>
      <c r="R54" s="501"/>
      <c r="U54" s="501"/>
      <c r="V54" s="503"/>
      <c r="W54" s="503"/>
      <c r="X54" s="503"/>
      <c r="Y54" s="504"/>
      <c r="Z54" s="504"/>
      <c r="AA54" s="504"/>
      <c r="AB54" s="504"/>
      <c r="AC54" s="504"/>
      <c r="AF54" s="378"/>
      <c r="AG54" s="378"/>
      <c r="AH54" s="378"/>
      <c r="AI54" s="378"/>
      <c r="AL54" s="505"/>
      <c r="AM54" s="505"/>
      <c r="AN54" s="505"/>
      <c r="AO54" s="505"/>
      <c r="AQ54" s="370"/>
      <c r="AT54" s="370"/>
      <c r="AV54" s="134"/>
      <c r="AW54" s="370"/>
      <c r="AX54" s="370"/>
      <c r="AY54" s="370"/>
      <c r="AZ54" s="370"/>
      <c r="BA54" s="507"/>
      <c r="BB54" s="505"/>
      <c r="BC54" s="505"/>
      <c r="BD54" s="370"/>
      <c r="BE54" s="370"/>
      <c r="BF54" s="370"/>
      <c r="BG54" s="370"/>
      <c r="BH54" s="370"/>
      <c r="BI54" s="370"/>
      <c r="BJ54" s="370"/>
      <c r="BK54" s="370"/>
      <c r="BL54" s="370"/>
      <c r="BM54" s="370"/>
      <c r="BO54" s="370"/>
      <c r="BP54" s="370"/>
      <c r="BQ54" s="370"/>
      <c r="BR54" s="370"/>
      <c r="BS54" s="370"/>
      <c r="BV54" s="508"/>
      <c r="BW54" s="369"/>
      <c r="BX54" s="370"/>
      <c r="BY54" s="370"/>
      <c r="BZ54" s="370"/>
      <c r="CA54" s="370"/>
      <c r="CB54" s="370"/>
      <c r="CC54" s="505"/>
      <c r="CD54" s="505"/>
      <c r="CE54" s="505"/>
      <c r="CF54" s="505"/>
    </row>
    <row r="55" customFormat="false" ht="12.75" hidden="false" customHeight="false" outlineLevel="0" collapsed="false">
      <c r="A55" s="500"/>
      <c r="B55" s="500"/>
      <c r="K55" s="363"/>
      <c r="L55" s="501"/>
      <c r="N55" s="502"/>
      <c r="O55" s="502"/>
      <c r="P55" s="371"/>
      <c r="Q55" s="501"/>
      <c r="R55" s="501"/>
      <c r="U55" s="501"/>
      <c r="V55" s="503"/>
      <c r="W55" s="503"/>
      <c r="X55" s="503"/>
      <c r="Y55" s="504"/>
      <c r="Z55" s="504"/>
      <c r="AA55" s="504"/>
      <c r="AB55" s="504"/>
      <c r="AC55" s="504"/>
      <c r="AF55" s="378"/>
      <c r="AG55" s="378"/>
      <c r="AH55" s="378"/>
      <c r="AI55" s="378"/>
      <c r="AL55" s="505"/>
      <c r="AM55" s="505"/>
      <c r="AN55" s="505"/>
      <c r="AO55" s="505"/>
      <c r="AQ55" s="370"/>
      <c r="AT55" s="370"/>
      <c r="AV55" s="134"/>
      <c r="AW55" s="370"/>
      <c r="AX55" s="370"/>
      <c r="AY55" s="370"/>
      <c r="AZ55" s="370"/>
      <c r="BA55" s="507"/>
      <c r="BB55" s="505"/>
      <c r="BC55" s="505"/>
      <c r="BD55" s="370"/>
      <c r="BE55" s="370"/>
      <c r="BF55" s="370"/>
      <c r="BG55" s="370"/>
      <c r="BH55" s="370"/>
      <c r="BI55" s="370"/>
      <c r="BJ55" s="370"/>
      <c r="BK55" s="370"/>
      <c r="BL55" s="370"/>
      <c r="BM55" s="370"/>
      <c r="BO55" s="370"/>
      <c r="BP55" s="370"/>
      <c r="BQ55" s="370"/>
      <c r="BR55" s="370"/>
      <c r="BS55" s="370"/>
      <c r="BV55" s="508"/>
      <c r="BW55" s="369"/>
      <c r="BX55" s="370"/>
      <c r="BY55" s="370"/>
      <c r="BZ55" s="370"/>
      <c r="CA55" s="370"/>
      <c r="CB55" s="370"/>
      <c r="CC55" s="505"/>
      <c r="CD55" s="505"/>
      <c r="CE55" s="505"/>
      <c r="CF55" s="505"/>
    </row>
    <row r="56" customFormat="false" ht="12.75" hidden="false" customHeight="false" outlineLevel="0" collapsed="false">
      <c r="A56" s="500"/>
      <c r="B56" s="500"/>
      <c r="K56" s="363"/>
      <c r="L56" s="501"/>
      <c r="N56" s="502"/>
      <c r="O56" s="502"/>
      <c r="P56" s="371"/>
      <c r="Q56" s="501"/>
      <c r="R56" s="501"/>
      <c r="U56" s="501"/>
      <c r="V56" s="503"/>
      <c r="W56" s="503"/>
      <c r="X56" s="503"/>
      <c r="Y56" s="504"/>
      <c r="Z56" s="504"/>
      <c r="AA56" s="504"/>
      <c r="AB56" s="504"/>
      <c r="AC56" s="504"/>
      <c r="AF56" s="378"/>
      <c r="AG56" s="378"/>
      <c r="AH56" s="378"/>
      <c r="AI56" s="378"/>
      <c r="AL56" s="505"/>
      <c r="AM56" s="505"/>
      <c r="AN56" s="505"/>
      <c r="AO56" s="505"/>
      <c r="AQ56" s="370"/>
      <c r="AT56" s="370"/>
      <c r="AV56" s="134"/>
      <c r="AW56" s="370"/>
      <c r="AX56" s="370"/>
      <c r="AY56" s="370"/>
      <c r="AZ56" s="370"/>
      <c r="BA56" s="507"/>
      <c r="BB56" s="505"/>
      <c r="BC56" s="505"/>
      <c r="BD56" s="370"/>
      <c r="BE56" s="370"/>
      <c r="BF56" s="370"/>
      <c r="BG56" s="370"/>
      <c r="BH56" s="370"/>
      <c r="BI56" s="370"/>
      <c r="BJ56" s="370"/>
      <c r="BK56" s="370"/>
      <c r="BL56" s="370"/>
      <c r="BM56" s="370"/>
      <c r="BO56" s="370"/>
      <c r="BP56" s="370"/>
      <c r="BQ56" s="370"/>
      <c r="BR56" s="370"/>
      <c r="BS56" s="370"/>
      <c r="BV56" s="508"/>
      <c r="BW56" s="369"/>
      <c r="BX56" s="370"/>
      <c r="BY56" s="370"/>
      <c r="BZ56" s="370"/>
      <c r="CA56" s="370"/>
      <c r="CB56" s="370"/>
      <c r="CC56" s="505"/>
      <c r="CD56" s="505"/>
      <c r="CE56" s="505"/>
      <c r="CF56" s="505"/>
    </row>
    <row r="57" customFormat="false" ht="12.75" hidden="false" customHeight="false" outlineLevel="0" collapsed="false">
      <c r="A57" s="500"/>
      <c r="B57" s="500"/>
      <c r="K57" s="363"/>
      <c r="L57" s="501"/>
      <c r="N57" s="502"/>
      <c r="O57" s="502"/>
      <c r="P57" s="371"/>
      <c r="Q57" s="501"/>
      <c r="R57" s="501"/>
      <c r="U57" s="501"/>
      <c r="V57" s="503"/>
      <c r="W57" s="503"/>
      <c r="X57" s="503"/>
      <c r="Y57" s="504"/>
      <c r="Z57" s="504"/>
      <c r="AA57" s="504"/>
      <c r="AB57" s="504"/>
      <c r="AC57" s="504"/>
      <c r="AF57" s="378"/>
      <c r="AG57" s="378"/>
      <c r="AH57" s="378"/>
      <c r="AI57" s="378"/>
      <c r="AL57" s="505"/>
      <c r="AM57" s="505"/>
      <c r="AN57" s="505"/>
      <c r="AO57" s="505"/>
      <c r="AQ57" s="370"/>
      <c r="AT57" s="370"/>
      <c r="AV57" s="134"/>
      <c r="AW57" s="370"/>
      <c r="AX57" s="370"/>
      <c r="AY57" s="370"/>
      <c r="AZ57" s="370"/>
      <c r="BA57" s="507"/>
      <c r="BB57" s="505"/>
      <c r="BC57" s="505"/>
      <c r="BD57" s="370"/>
      <c r="BE57" s="370"/>
      <c r="BF57" s="370"/>
      <c r="BG57" s="370"/>
      <c r="BH57" s="370"/>
      <c r="BI57" s="370"/>
      <c r="BJ57" s="370"/>
      <c r="BK57" s="370"/>
      <c r="BL57" s="370"/>
      <c r="BM57" s="370"/>
      <c r="BO57" s="370"/>
      <c r="BP57" s="370"/>
      <c r="BQ57" s="370"/>
      <c r="BR57" s="370"/>
      <c r="BS57" s="370"/>
      <c r="BV57" s="508"/>
      <c r="BW57" s="369"/>
      <c r="BX57" s="370"/>
      <c r="BY57" s="370"/>
      <c r="BZ57" s="370"/>
      <c r="CA57" s="370"/>
      <c r="CB57" s="370"/>
      <c r="CC57" s="505"/>
      <c r="CD57" s="505"/>
      <c r="CE57" s="505"/>
      <c r="CF57" s="505"/>
    </row>
    <row r="58" customFormat="false" ht="12.75" hidden="false" customHeight="false" outlineLevel="0" collapsed="false">
      <c r="A58" s="500"/>
      <c r="B58" s="500"/>
      <c r="K58" s="363"/>
      <c r="L58" s="501"/>
      <c r="N58" s="502"/>
      <c r="O58" s="502"/>
      <c r="P58" s="371"/>
      <c r="Q58" s="501"/>
      <c r="R58" s="501"/>
      <c r="U58" s="501"/>
      <c r="V58" s="503"/>
      <c r="W58" s="503"/>
      <c r="X58" s="503"/>
      <c r="Y58" s="504"/>
      <c r="Z58" s="504"/>
      <c r="AA58" s="504"/>
      <c r="AB58" s="504"/>
      <c r="AC58" s="504"/>
      <c r="AF58" s="378"/>
      <c r="AG58" s="378"/>
      <c r="AH58" s="378"/>
      <c r="AI58" s="378"/>
      <c r="AL58" s="505"/>
      <c r="AM58" s="505"/>
      <c r="AN58" s="505"/>
      <c r="AO58" s="505"/>
      <c r="AQ58" s="370"/>
      <c r="AT58" s="370"/>
      <c r="AV58" s="134"/>
      <c r="AW58" s="370"/>
      <c r="AX58" s="370"/>
      <c r="AY58" s="370"/>
      <c r="AZ58" s="370"/>
      <c r="BA58" s="507"/>
      <c r="BB58" s="505"/>
      <c r="BC58" s="505"/>
      <c r="BD58" s="370"/>
      <c r="BE58" s="370"/>
      <c r="BF58" s="370"/>
      <c r="BG58" s="370"/>
      <c r="BH58" s="370"/>
      <c r="BI58" s="370"/>
      <c r="BJ58" s="370"/>
      <c r="BK58" s="370"/>
      <c r="BL58" s="370"/>
      <c r="BM58" s="370"/>
      <c r="BO58" s="370"/>
      <c r="BP58" s="370"/>
      <c r="BQ58" s="370"/>
      <c r="BR58" s="370"/>
      <c r="BS58" s="370"/>
      <c r="BV58" s="508"/>
      <c r="BW58" s="369"/>
      <c r="BX58" s="370"/>
      <c r="BY58" s="370"/>
      <c r="BZ58" s="370"/>
      <c r="CA58" s="370"/>
      <c r="CB58" s="370"/>
      <c r="CC58" s="505"/>
      <c r="CD58" s="505"/>
      <c r="CE58" s="505"/>
      <c r="CF58" s="505"/>
    </row>
    <row r="59" customFormat="false" ht="12.75" hidden="false" customHeight="false" outlineLevel="0" collapsed="false">
      <c r="A59" s="500"/>
      <c r="B59" s="500"/>
      <c r="K59" s="363"/>
      <c r="L59" s="501"/>
      <c r="N59" s="502"/>
      <c r="O59" s="502"/>
      <c r="P59" s="371"/>
      <c r="Q59" s="501"/>
      <c r="R59" s="501"/>
      <c r="U59" s="501"/>
      <c r="V59" s="503"/>
      <c r="W59" s="503"/>
      <c r="X59" s="503"/>
      <c r="Y59" s="504"/>
      <c r="Z59" s="504"/>
      <c r="AA59" s="504"/>
      <c r="AB59" s="504"/>
      <c r="AC59" s="504"/>
      <c r="AF59" s="378"/>
      <c r="AG59" s="378"/>
      <c r="AH59" s="378"/>
      <c r="AI59" s="378"/>
      <c r="AL59" s="505"/>
      <c r="AM59" s="505"/>
      <c r="AN59" s="505"/>
      <c r="AO59" s="505"/>
      <c r="AQ59" s="370"/>
      <c r="AT59" s="370"/>
      <c r="AV59" s="134"/>
      <c r="AW59" s="370"/>
      <c r="AX59" s="370"/>
      <c r="AY59" s="370"/>
      <c r="AZ59" s="370"/>
      <c r="BA59" s="507"/>
      <c r="BB59" s="505"/>
      <c r="BC59" s="505"/>
      <c r="BD59" s="370"/>
      <c r="BE59" s="370"/>
      <c r="BF59" s="370"/>
      <c r="BG59" s="370"/>
      <c r="BH59" s="370"/>
      <c r="BI59" s="370"/>
      <c r="BJ59" s="370"/>
      <c r="BK59" s="370"/>
      <c r="BL59" s="370"/>
      <c r="BM59" s="370"/>
      <c r="BO59" s="370"/>
      <c r="BP59" s="370"/>
      <c r="BQ59" s="370"/>
      <c r="BR59" s="370"/>
      <c r="BS59" s="370"/>
      <c r="BV59" s="508"/>
      <c r="BW59" s="369"/>
      <c r="BX59" s="370"/>
      <c r="BY59" s="370"/>
      <c r="BZ59" s="370"/>
      <c r="CA59" s="370"/>
      <c r="CB59" s="370"/>
      <c r="CC59" s="505"/>
      <c r="CD59" s="505"/>
      <c r="CE59" s="505"/>
      <c r="CF59" s="505"/>
    </row>
    <row r="60" customFormat="false" ht="12.75" hidden="false" customHeight="false" outlineLevel="0" collapsed="false">
      <c r="A60" s="500"/>
      <c r="B60" s="500"/>
      <c r="K60" s="363"/>
      <c r="L60" s="501"/>
      <c r="N60" s="502"/>
      <c r="O60" s="502"/>
      <c r="P60" s="371"/>
      <c r="Q60" s="501"/>
      <c r="R60" s="501"/>
      <c r="U60" s="501"/>
      <c r="V60" s="503"/>
      <c r="W60" s="503"/>
      <c r="X60" s="503"/>
      <c r="Y60" s="504"/>
      <c r="Z60" s="504"/>
      <c r="AA60" s="504"/>
      <c r="AB60" s="504"/>
      <c r="AC60" s="504"/>
      <c r="AF60" s="378"/>
      <c r="AG60" s="378"/>
      <c r="AH60" s="378"/>
      <c r="AI60" s="378"/>
      <c r="AL60" s="505"/>
      <c r="AM60" s="505"/>
      <c r="AN60" s="505"/>
      <c r="AO60" s="505"/>
      <c r="AQ60" s="370"/>
      <c r="AT60" s="370"/>
      <c r="AV60" s="134"/>
      <c r="AW60" s="370"/>
      <c r="AX60" s="370"/>
      <c r="AY60" s="370"/>
      <c r="AZ60" s="370"/>
      <c r="BA60" s="507"/>
      <c r="BB60" s="505"/>
      <c r="BC60" s="505"/>
      <c r="BD60" s="370"/>
      <c r="BE60" s="370"/>
      <c r="BF60" s="370"/>
      <c r="BG60" s="370"/>
      <c r="BH60" s="370"/>
      <c r="BI60" s="370"/>
      <c r="BJ60" s="370"/>
      <c r="BK60" s="370"/>
      <c r="BL60" s="370"/>
      <c r="BM60" s="370"/>
      <c r="BO60" s="370"/>
      <c r="BP60" s="370"/>
      <c r="BQ60" s="370"/>
      <c r="BR60" s="370"/>
      <c r="BS60" s="370"/>
      <c r="BV60" s="508"/>
      <c r="BW60" s="369"/>
      <c r="BX60" s="370"/>
      <c r="BY60" s="370"/>
      <c r="BZ60" s="370"/>
      <c r="CA60" s="370"/>
      <c r="CB60" s="370"/>
      <c r="CC60" s="505"/>
      <c r="CD60" s="505"/>
      <c r="CE60" s="505"/>
      <c r="CF60" s="505"/>
    </row>
    <row r="61" customFormat="false" ht="12.75" hidden="false" customHeight="false" outlineLevel="0" collapsed="false">
      <c r="A61" s="500"/>
      <c r="B61" s="500"/>
      <c r="K61" s="363"/>
      <c r="L61" s="501"/>
      <c r="N61" s="502"/>
      <c r="O61" s="502"/>
      <c r="P61" s="371"/>
      <c r="Q61" s="501"/>
      <c r="R61" s="501"/>
      <c r="U61" s="501"/>
      <c r="V61" s="503"/>
      <c r="W61" s="503"/>
      <c r="X61" s="503"/>
      <c r="Y61" s="504"/>
      <c r="Z61" s="504"/>
      <c r="AA61" s="504"/>
      <c r="AB61" s="504"/>
      <c r="AC61" s="504"/>
      <c r="AF61" s="378"/>
      <c r="AG61" s="378"/>
      <c r="AH61" s="378"/>
      <c r="AI61" s="378"/>
      <c r="AL61" s="505"/>
      <c r="AM61" s="505"/>
      <c r="AN61" s="505"/>
      <c r="AO61" s="505"/>
      <c r="AQ61" s="370"/>
      <c r="AT61" s="370"/>
      <c r="AV61" s="134"/>
      <c r="AW61" s="370"/>
      <c r="AX61" s="370"/>
      <c r="AY61" s="370"/>
      <c r="AZ61" s="370"/>
      <c r="BA61" s="507"/>
      <c r="BB61" s="505"/>
      <c r="BC61" s="505"/>
      <c r="BD61" s="370"/>
      <c r="BE61" s="370"/>
      <c r="BF61" s="370"/>
      <c r="BG61" s="370"/>
      <c r="BH61" s="370"/>
      <c r="BI61" s="370"/>
      <c r="BJ61" s="370"/>
      <c r="BK61" s="370"/>
      <c r="BL61" s="370"/>
      <c r="BM61" s="370"/>
      <c r="BO61" s="370"/>
      <c r="BP61" s="370"/>
      <c r="BQ61" s="370"/>
      <c r="BR61" s="370"/>
      <c r="BS61" s="370"/>
      <c r="BV61" s="508"/>
      <c r="BW61" s="369"/>
      <c r="BX61" s="370"/>
      <c r="BY61" s="370"/>
      <c r="BZ61" s="370"/>
      <c r="CA61" s="370"/>
      <c r="CB61" s="370"/>
      <c r="CC61" s="505"/>
      <c r="CD61" s="505"/>
      <c r="CE61" s="505"/>
      <c r="CF61" s="505"/>
    </row>
    <row r="62" customFormat="false" ht="12.75" hidden="false" customHeight="false" outlineLevel="0" collapsed="false">
      <c r="A62" s="500"/>
      <c r="B62" s="500"/>
      <c r="K62" s="363"/>
      <c r="L62" s="501"/>
      <c r="N62" s="502"/>
      <c r="O62" s="502"/>
      <c r="P62" s="371"/>
      <c r="Q62" s="501"/>
      <c r="R62" s="501"/>
      <c r="U62" s="501"/>
      <c r="V62" s="503"/>
      <c r="W62" s="503"/>
      <c r="X62" s="503"/>
      <c r="Y62" s="504"/>
      <c r="Z62" s="504"/>
      <c r="AA62" s="504"/>
      <c r="AB62" s="504"/>
      <c r="AC62" s="504"/>
      <c r="AF62" s="378"/>
      <c r="AG62" s="378"/>
      <c r="AH62" s="378"/>
      <c r="AI62" s="378"/>
      <c r="AL62" s="505"/>
      <c r="AM62" s="505"/>
      <c r="AN62" s="505"/>
      <c r="AO62" s="505"/>
      <c r="AQ62" s="370"/>
      <c r="AT62" s="370"/>
      <c r="AV62" s="134"/>
      <c r="AW62" s="370"/>
      <c r="AX62" s="370"/>
      <c r="AY62" s="370"/>
      <c r="AZ62" s="370"/>
      <c r="BA62" s="507"/>
      <c r="BB62" s="505"/>
      <c r="BC62" s="505"/>
      <c r="BD62" s="370"/>
      <c r="BE62" s="370"/>
      <c r="BF62" s="370"/>
      <c r="BG62" s="370"/>
      <c r="BH62" s="370"/>
      <c r="BI62" s="370"/>
      <c r="BJ62" s="370"/>
      <c r="BK62" s="370"/>
      <c r="BL62" s="370"/>
      <c r="BM62" s="370"/>
      <c r="BO62" s="370"/>
      <c r="BP62" s="370"/>
      <c r="BQ62" s="370"/>
      <c r="BR62" s="370"/>
      <c r="BS62" s="370"/>
      <c r="BV62" s="508"/>
      <c r="BW62" s="369"/>
      <c r="BX62" s="370"/>
      <c r="BY62" s="370"/>
      <c r="BZ62" s="370"/>
      <c r="CA62" s="370"/>
      <c r="CB62" s="370"/>
      <c r="CC62" s="505"/>
      <c r="CD62" s="505"/>
      <c r="CE62" s="505"/>
      <c r="CF62" s="505"/>
    </row>
    <row r="63" customFormat="false" ht="12.75" hidden="false" customHeight="false" outlineLevel="0" collapsed="false">
      <c r="A63" s="500"/>
      <c r="B63" s="500"/>
      <c r="K63" s="363"/>
      <c r="L63" s="501"/>
      <c r="N63" s="502"/>
      <c r="O63" s="502"/>
      <c r="P63" s="371"/>
      <c r="Q63" s="501"/>
      <c r="R63" s="501"/>
      <c r="U63" s="501"/>
      <c r="V63" s="503"/>
      <c r="W63" s="503"/>
      <c r="X63" s="503"/>
      <c r="Y63" s="504"/>
      <c r="Z63" s="504"/>
      <c r="AA63" s="504"/>
      <c r="AB63" s="504"/>
      <c r="AC63" s="504"/>
      <c r="AF63" s="378"/>
      <c r="AG63" s="378"/>
      <c r="AH63" s="378"/>
      <c r="AI63" s="378"/>
      <c r="AL63" s="505"/>
      <c r="AM63" s="505"/>
      <c r="AN63" s="505"/>
      <c r="AO63" s="505"/>
      <c r="AQ63" s="370"/>
      <c r="AT63" s="370"/>
      <c r="AV63" s="134"/>
      <c r="AW63" s="370"/>
      <c r="AX63" s="370"/>
      <c r="AY63" s="370"/>
      <c r="AZ63" s="370"/>
      <c r="BA63" s="507"/>
      <c r="BB63" s="505"/>
      <c r="BC63" s="505"/>
      <c r="BD63" s="370"/>
      <c r="BE63" s="370"/>
      <c r="BF63" s="370"/>
      <c r="BG63" s="370"/>
      <c r="BH63" s="370"/>
      <c r="BI63" s="370"/>
      <c r="BJ63" s="370"/>
      <c r="BK63" s="370"/>
      <c r="BL63" s="370"/>
      <c r="BM63" s="370"/>
      <c r="BO63" s="370"/>
      <c r="BP63" s="370"/>
      <c r="BQ63" s="370"/>
      <c r="BR63" s="370"/>
      <c r="BS63" s="370"/>
      <c r="BV63" s="508"/>
      <c r="BW63" s="369"/>
      <c r="BX63" s="370"/>
      <c r="BY63" s="370"/>
      <c r="BZ63" s="370"/>
      <c r="CA63" s="370"/>
      <c r="CB63" s="370"/>
      <c r="CC63" s="505"/>
      <c r="CD63" s="505"/>
      <c r="CE63" s="505"/>
      <c r="CF63" s="505"/>
    </row>
    <row r="64" customFormat="false" ht="12.75" hidden="false" customHeight="false" outlineLevel="0" collapsed="false">
      <c r="A64" s="500"/>
      <c r="B64" s="500"/>
      <c r="K64" s="363"/>
      <c r="L64" s="501"/>
      <c r="N64" s="502"/>
      <c r="O64" s="502"/>
      <c r="P64" s="371"/>
      <c r="Q64" s="501"/>
      <c r="R64" s="501"/>
      <c r="U64" s="501"/>
      <c r="V64" s="503"/>
      <c r="W64" s="503"/>
      <c r="X64" s="503"/>
      <c r="Y64" s="504"/>
      <c r="Z64" s="504"/>
      <c r="AA64" s="504"/>
      <c r="AB64" s="504"/>
      <c r="AC64" s="504"/>
      <c r="AF64" s="378"/>
      <c r="AG64" s="378"/>
      <c r="AH64" s="378"/>
      <c r="AI64" s="378"/>
      <c r="AL64" s="505"/>
      <c r="AM64" s="505"/>
      <c r="AN64" s="505"/>
      <c r="AO64" s="505"/>
      <c r="AQ64" s="370"/>
      <c r="AT64" s="370"/>
      <c r="AV64" s="134"/>
      <c r="AW64" s="370"/>
      <c r="AX64" s="370"/>
      <c r="AY64" s="370"/>
      <c r="AZ64" s="370"/>
      <c r="BA64" s="507"/>
      <c r="BB64" s="505"/>
      <c r="BC64" s="505"/>
      <c r="BD64" s="370"/>
      <c r="BE64" s="370"/>
      <c r="BF64" s="370"/>
      <c r="BG64" s="370"/>
      <c r="BH64" s="370"/>
      <c r="BI64" s="370"/>
      <c r="BJ64" s="370"/>
      <c r="BK64" s="370"/>
      <c r="BL64" s="370"/>
      <c r="BM64" s="370"/>
      <c r="BO64" s="370"/>
      <c r="BP64" s="370"/>
      <c r="BQ64" s="370"/>
      <c r="BR64" s="370"/>
      <c r="BS64" s="370"/>
      <c r="BV64" s="508"/>
      <c r="BW64" s="369"/>
      <c r="BX64" s="370"/>
      <c r="BY64" s="370"/>
      <c r="BZ64" s="370"/>
      <c r="CA64" s="370"/>
      <c r="CB64" s="370"/>
      <c r="CC64" s="505"/>
      <c r="CD64" s="505"/>
      <c r="CE64" s="505"/>
      <c r="CF64" s="505"/>
    </row>
    <row r="65" customFormat="false" ht="12.75" hidden="false" customHeight="false" outlineLevel="0" collapsed="false">
      <c r="A65" s="500"/>
      <c r="B65" s="500"/>
      <c r="K65" s="363"/>
      <c r="L65" s="501"/>
      <c r="N65" s="502"/>
      <c r="O65" s="502"/>
      <c r="P65" s="371"/>
      <c r="Q65" s="501"/>
      <c r="R65" s="501"/>
      <c r="U65" s="501"/>
      <c r="V65" s="503"/>
      <c r="W65" s="503"/>
      <c r="X65" s="503"/>
      <c r="Y65" s="504"/>
      <c r="Z65" s="504"/>
      <c r="AA65" s="504"/>
      <c r="AB65" s="504"/>
      <c r="AC65" s="504"/>
      <c r="AF65" s="378"/>
      <c r="AG65" s="378"/>
      <c r="AH65" s="378"/>
      <c r="AI65" s="378"/>
      <c r="AL65" s="505"/>
      <c r="AM65" s="505"/>
      <c r="AN65" s="505"/>
      <c r="AO65" s="505"/>
      <c r="AQ65" s="370"/>
      <c r="AT65" s="370"/>
      <c r="AV65" s="134"/>
      <c r="AW65" s="370"/>
      <c r="AX65" s="370"/>
      <c r="AY65" s="370"/>
      <c r="AZ65" s="370"/>
      <c r="BA65" s="507"/>
      <c r="BB65" s="505"/>
      <c r="BC65" s="505"/>
      <c r="BD65" s="370"/>
      <c r="BE65" s="370"/>
      <c r="BF65" s="370"/>
      <c r="BG65" s="370"/>
      <c r="BH65" s="370"/>
      <c r="BI65" s="370"/>
      <c r="BJ65" s="370"/>
      <c r="BK65" s="370"/>
      <c r="BL65" s="370"/>
      <c r="BM65" s="370"/>
      <c r="BO65" s="370"/>
      <c r="BP65" s="370"/>
      <c r="BQ65" s="370"/>
      <c r="BR65" s="370"/>
      <c r="BS65" s="370"/>
      <c r="BV65" s="508"/>
      <c r="BW65" s="369"/>
      <c r="BX65" s="370"/>
      <c r="BY65" s="370"/>
      <c r="BZ65" s="370"/>
      <c r="CA65" s="370"/>
      <c r="CB65" s="370"/>
      <c r="CC65" s="505"/>
      <c r="CD65" s="505"/>
      <c r="CE65" s="505"/>
      <c r="CF65" s="505"/>
    </row>
    <row r="66" customFormat="false" ht="12.75" hidden="false" customHeight="false" outlineLevel="0" collapsed="false">
      <c r="A66" s="500"/>
      <c r="B66" s="500"/>
      <c r="K66" s="363"/>
      <c r="L66" s="501"/>
      <c r="N66" s="502"/>
      <c r="O66" s="502"/>
      <c r="P66" s="371"/>
      <c r="Q66" s="501"/>
      <c r="R66" s="501"/>
      <c r="U66" s="501"/>
      <c r="V66" s="503"/>
      <c r="W66" s="503"/>
      <c r="X66" s="503"/>
      <c r="Y66" s="504"/>
      <c r="Z66" s="504"/>
      <c r="AA66" s="504"/>
      <c r="AB66" s="504"/>
      <c r="AC66" s="504"/>
      <c r="AF66" s="378"/>
      <c r="AG66" s="378"/>
      <c r="AH66" s="378"/>
      <c r="AI66" s="378"/>
      <c r="AL66" s="505"/>
      <c r="AM66" s="505"/>
      <c r="AN66" s="505"/>
      <c r="AO66" s="505"/>
      <c r="AQ66" s="370"/>
      <c r="AT66" s="370"/>
      <c r="AV66" s="134"/>
      <c r="AW66" s="370"/>
      <c r="AX66" s="370"/>
      <c r="AY66" s="370"/>
      <c r="AZ66" s="370"/>
      <c r="BA66" s="507"/>
      <c r="BB66" s="505"/>
      <c r="BC66" s="505"/>
      <c r="BD66" s="370"/>
      <c r="BE66" s="370"/>
      <c r="BF66" s="370"/>
      <c r="BG66" s="370"/>
      <c r="BH66" s="370"/>
      <c r="BI66" s="370"/>
      <c r="BJ66" s="370"/>
      <c r="BK66" s="370"/>
      <c r="BL66" s="370"/>
      <c r="BM66" s="370"/>
      <c r="BO66" s="370"/>
      <c r="BP66" s="370"/>
      <c r="BQ66" s="370"/>
      <c r="BR66" s="370"/>
      <c r="BS66" s="370"/>
      <c r="BV66" s="508"/>
      <c r="BW66" s="369"/>
      <c r="BX66" s="370"/>
      <c r="BY66" s="370"/>
      <c r="BZ66" s="370"/>
      <c r="CA66" s="370"/>
      <c r="CB66" s="370"/>
      <c r="CC66" s="505"/>
      <c r="CD66" s="505"/>
      <c r="CE66" s="505"/>
      <c r="CF66" s="505"/>
    </row>
    <row r="67" customFormat="false" ht="12.75" hidden="false" customHeight="false" outlineLevel="0" collapsed="false">
      <c r="A67" s="500"/>
      <c r="B67" s="500"/>
      <c r="K67" s="363"/>
      <c r="L67" s="501"/>
      <c r="N67" s="502"/>
      <c r="O67" s="502"/>
      <c r="P67" s="371"/>
      <c r="Q67" s="501"/>
      <c r="R67" s="501"/>
      <c r="U67" s="501"/>
      <c r="V67" s="503"/>
      <c r="W67" s="503"/>
      <c r="X67" s="503"/>
      <c r="Y67" s="504"/>
      <c r="Z67" s="504"/>
      <c r="AA67" s="504"/>
      <c r="AB67" s="504"/>
      <c r="AC67" s="504"/>
      <c r="AF67" s="378"/>
      <c r="AG67" s="378"/>
      <c r="AH67" s="378"/>
      <c r="AI67" s="378"/>
      <c r="AL67" s="505"/>
      <c r="AM67" s="505"/>
      <c r="AN67" s="505"/>
      <c r="AO67" s="505"/>
      <c r="AQ67" s="370"/>
      <c r="AT67" s="370"/>
      <c r="AV67" s="134"/>
      <c r="AW67" s="370"/>
      <c r="AX67" s="370"/>
      <c r="AY67" s="370"/>
      <c r="AZ67" s="370"/>
      <c r="BA67" s="507"/>
      <c r="BB67" s="505"/>
      <c r="BC67" s="505"/>
      <c r="BD67" s="370"/>
      <c r="BE67" s="370"/>
      <c r="BF67" s="370"/>
      <c r="BG67" s="370"/>
      <c r="BH67" s="370"/>
      <c r="BI67" s="370"/>
      <c r="BJ67" s="370"/>
      <c r="BK67" s="370"/>
      <c r="BL67" s="370"/>
      <c r="BM67" s="370"/>
      <c r="BO67" s="370"/>
      <c r="BP67" s="370"/>
      <c r="BQ67" s="370"/>
      <c r="BR67" s="370"/>
      <c r="BS67" s="370"/>
      <c r="BV67" s="508"/>
      <c r="BW67" s="369"/>
      <c r="BX67" s="370"/>
      <c r="BY67" s="370"/>
      <c r="BZ67" s="370"/>
      <c r="CA67" s="370"/>
      <c r="CB67" s="370"/>
      <c r="CC67" s="505"/>
      <c r="CD67" s="505"/>
      <c r="CE67" s="505"/>
      <c r="CF67" s="505"/>
    </row>
    <row r="68" customFormat="false" ht="12.75" hidden="false" customHeight="false" outlineLevel="0" collapsed="false">
      <c r="A68" s="500"/>
      <c r="B68" s="500"/>
      <c r="K68" s="363"/>
      <c r="L68" s="501"/>
      <c r="N68" s="502"/>
      <c r="O68" s="502"/>
      <c r="P68" s="371"/>
      <c r="Q68" s="501"/>
      <c r="R68" s="501"/>
      <c r="U68" s="501"/>
      <c r="V68" s="503"/>
      <c r="W68" s="503"/>
      <c r="X68" s="503"/>
      <c r="Y68" s="504"/>
      <c r="Z68" s="504"/>
      <c r="AA68" s="504"/>
      <c r="AB68" s="504"/>
      <c r="AC68" s="504"/>
      <c r="AF68" s="378"/>
      <c r="AG68" s="378"/>
      <c r="AH68" s="378"/>
      <c r="AI68" s="378"/>
      <c r="AL68" s="505"/>
      <c r="AM68" s="505"/>
      <c r="AN68" s="505"/>
      <c r="AO68" s="505"/>
      <c r="AQ68" s="370"/>
      <c r="AT68" s="370"/>
      <c r="AV68" s="134"/>
      <c r="AW68" s="370"/>
      <c r="AX68" s="370"/>
      <c r="AY68" s="370"/>
      <c r="AZ68" s="370"/>
      <c r="BA68" s="507"/>
      <c r="BB68" s="505"/>
      <c r="BC68" s="505"/>
      <c r="BD68" s="370"/>
      <c r="BE68" s="370"/>
      <c r="BF68" s="370"/>
      <c r="BG68" s="370"/>
      <c r="BH68" s="370"/>
      <c r="BI68" s="370"/>
      <c r="BJ68" s="370"/>
      <c r="BK68" s="370"/>
      <c r="BL68" s="370"/>
      <c r="BM68" s="370"/>
      <c r="BO68" s="370"/>
      <c r="BP68" s="370"/>
      <c r="BQ68" s="370"/>
      <c r="BR68" s="370"/>
      <c r="BS68" s="370"/>
      <c r="BV68" s="508"/>
      <c r="BW68" s="369"/>
      <c r="BX68" s="370"/>
      <c r="BY68" s="370"/>
      <c r="BZ68" s="370"/>
      <c r="CA68" s="370"/>
      <c r="CB68" s="370"/>
      <c r="CC68" s="505"/>
      <c r="CD68" s="505"/>
      <c r="CE68" s="505"/>
      <c r="CF68" s="505"/>
    </row>
    <row r="69" customFormat="false" ht="12.75" hidden="false" customHeight="false" outlineLevel="0" collapsed="false">
      <c r="A69" s="500"/>
      <c r="B69" s="500"/>
      <c r="K69" s="363"/>
      <c r="L69" s="501"/>
      <c r="N69" s="502"/>
      <c r="O69" s="502"/>
      <c r="P69" s="371"/>
      <c r="Q69" s="501"/>
      <c r="R69" s="501"/>
      <c r="U69" s="501"/>
      <c r="V69" s="503"/>
      <c r="W69" s="503"/>
      <c r="X69" s="503"/>
      <c r="Y69" s="504"/>
      <c r="Z69" s="504"/>
      <c r="AA69" s="504"/>
      <c r="AB69" s="504"/>
      <c r="AC69" s="504"/>
      <c r="AF69" s="378"/>
      <c r="AG69" s="378"/>
      <c r="AH69" s="378"/>
      <c r="AI69" s="378"/>
      <c r="AL69" s="505"/>
      <c r="AM69" s="505"/>
      <c r="AN69" s="505"/>
      <c r="AO69" s="505"/>
      <c r="AQ69" s="370"/>
      <c r="AT69" s="370"/>
      <c r="AV69" s="134"/>
      <c r="AW69" s="370"/>
      <c r="AX69" s="370"/>
      <c r="AY69" s="370"/>
      <c r="AZ69" s="370"/>
      <c r="BA69" s="507"/>
      <c r="BB69" s="505"/>
      <c r="BC69" s="505"/>
      <c r="BD69" s="370"/>
      <c r="BE69" s="370"/>
      <c r="BF69" s="370"/>
      <c r="BG69" s="370"/>
      <c r="BH69" s="370"/>
      <c r="BI69" s="370"/>
      <c r="BJ69" s="370"/>
      <c r="BK69" s="370"/>
      <c r="BL69" s="370"/>
      <c r="BM69" s="370"/>
      <c r="BO69" s="370"/>
      <c r="BP69" s="370"/>
      <c r="BQ69" s="370"/>
      <c r="BR69" s="370"/>
      <c r="BS69" s="370"/>
      <c r="BV69" s="508"/>
      <c r="BW69" s="369"/>
      <c r="BX69" s="370"/>
      <c r="BY69" s="370"/>
      <c r="BZ69" s="370"/>
      <c r="CA69" s="370"/>
      <c r="CB69" s="370"/>
      <c r="CC69" s="505"/>
      <c r="CD69" s="505"/>
      <c r="CE69" s="505"/>
      <c r="CF69" s="505"/>
    </row>
    <row r="70" customFormat="false" ht="12.75" hidden="false" customHeight="false" outlineLevel="0" collapsed="false">
      <c r="A70" s="500"/>
      <c r="B70" s="500"/>
      <c r="K70" s="363"/>
      <c r="L70" s="501"/>
      <c r="N70" s="502"/>
      <c r="O70" s="502"/>
      <c r="P70" s="371"/>
      <c r="Q70" s="501"/>
      <c r="R70" s="501"/>
      <c r="U70" s="501"/>
      <c r="V70" s="503"/>
      <c r="W70" s="503"/>
      <c r="X70" s="503"/>
      <c r="Y70" s="504"/>
      <c r="Z70" s="504"/>
      <c r="AA70" s="504"/>
      <c r="AB70" s="504"/>
      <c r="AC70" s="504"/>
      <c r="AF70" s="378"/>
      <c r="AG70" s="378"/>
      <c r="AH70" s="378"/>
      <c r="AI70" s="378"/>
      <c r="AL70" s="505"/>
      <c r="AM70" s="505"/>
      <c r="AN70" s="505"/>
      <c r="AO70" s="505"/>
      <c r="AQ70" s="370"/>
      <c r="AT70" s="370"/>
      <c r="AV70" s="134"/>
      <c r="AW70" s="370"/>
      <c r="AX70" s="370"/>
      <c r="AY70" s="370"/>
      <c r="AZ70" s="370"/>
      <c r="BA70" s="507"/>
      <c r="BB70" s="505"/>
      <c r="BC70" s="505"/>
      <c r="BD70" s="370"/>
      <c r="BE70" s="370"/>
      <c r="BF70" s="370"/>
      <c r="BG70" s="370"/>
      <c r="BH70" s="370"/>
      <c r="BI70" s="370"/>
      <c r="BJ70" s="370"/>
      <c r="BK70" s="370"/>
      <c r="BL70" s="370"/>
      <c r="BM70" s="370"/>
      <c r="BO70" s="370"/>
      <c r="BP70" s="370"/>
      <c r="BQ70" s="370"/>
      <c r="BR70" s="370"/>
      <c r="BS70" s="370"/>
      <c r="BV70" s="508"/>
      <c r="BW70" s="369"/>
      <c r="BX70" s="370"/>
      <c r="BY70" s="370"/>
      <c r="BZ70" s="370"/>
      <c r="CA70" s="370"/>
      <c r="CB70" s="370"/>
      <c r="CC70" s="505"/>
      <c r="CD70" s="505"/>
      <c r="CE70" s="505"/>
      <c r="CF70" s="505"/>
    </row>
    <row r="71" customFormat="false" ht="12.75" hidden="false" customHeight="false" outlineLevel="0" collapsed="false">
      <c r="A71" s="500"/>
      <c r="B71" s="500"/>
      <c r="K71" s="363"/>
      <c r="L71" s="501"/>
      <c r="N71" s="502"/>
      <c r="O71" s="502"/>
      <c r="P71" s="371"/>
      <c r="Q71" s="501"/>
      <c r="R71" s="501"/>
      <c r="U71" s="501"/>
      <c r="V71" s="503"/>
      <c r="W71" s="503"/>
      <c r="X71" s="503"/>
      <c r="Y71" s="504"/>
      <c r="Z71" s="504"/>
      <c r="AA71" s="504"/>
      <c r="AB71" s="504"/>
      <c r="AC71" s="504"/>
      <c r="AF71" s="378"/>
      <c r="AG71" s="378"/>
      <c r="AH71" s="378"/>
      <c r="AI71" s="378"/>
      <c r="AL71" s="505"/>
      <c r="AM71" s="505"/>
      <c r="AN71" s="505"/>
      <c r="AO71" s="505"/>
      <c r="AQ71" s="370"/>
      <c r="AT71" s="370"/>
      <c r="AV71" s="134"/>
      <c r="AW71" s="370"/>
      <c r="AX71" s="370"/>
      <c r="AY71" s="370"/>
      <c r="AZ71" s="370"/>
      <c r="BA71" s="507"/>
      <c r="BB71" s="505"/>
      <c r="BC71" s="505"/>
      <c r="BD71" s="370"/>
      <c r="BE71" s="370"/>
      <c r="BF71" s="370"/>
      <c r="BG71" s="370"/>
      <c r="BH71" s="370"/>
      <c r="BI71" s="370"/>
      <c r="BJ71" s="370"/>
      <c r="BK71" s="370"/>
      <c r="BL71" s="370"/>
      <c r="BM71" s="370"/>
      <c r="BO71" s="370"/>
      <c r="BP71" s="370"/>
      <c r="BQ71" s="370"/>
      <c r="BR71" s="370"/>
      <c r="BS71" s="370"/>
      <c r="BV71" s="508"/>
      <c r="BW71" s="369"/>
      <c r="BX71" s="370"/>
      <c r="BY71" s="370"/>
      <c r="BZ71" s="370"/>
      <c r="CA71" s="370"/>
      <c r="CB71" s="370"/>
      <c r="CC71" s="505"/>
      <c r="CD71" s="505"/>
      <c r="CE71" s="505"/>
      <c r="CF71" s="505"/>
    </row>
    <row r="72" customFormat="false" ht="12.75" hidden="false" customHeight="false" outlineLevel="0" collapsed="false">
      <c r="A72" s="500"/>
      <c r="B72" s="500"/>
      <c r="K72" s="363"/>
      <c r="L72" s="501"/>
      <c r="N72" s="502"/>
      <c r="O72" s="502"/>
      <c r="P72" s="371"/>
      <c r="Q72" s="501"/>
      <c r="R72" s="501"/>
      <c r="U72" s="501"/>
      <c r="V72" s="503"/>
      <c r="W72" s="503"/>
      <c r="X72" s="503"/>
      <c r="Y72" s="504"/>
      <c r="Z72" s="504"/>
      <c r="AA72" s="504"/>
      <c r="AB72" s="504"/>
      <c r="AC72" s="504"/>
      <c r="AF72" s="378"/>
      <c r="AG72" s="378"/>
      <c r="AH72" s="378"/>
      <c r="AI72" s="378"/>
      <c r="AL72" s="505"/>
      <c r="AM72" s="505"/>
      <c r="AN72" s="505"/>
      <c r="AO72" s="505"/>
      <c r="AQ72" s="370"/>
      <c r="AT72" s="370"/>
      <c r="AV72" s="134"/>
      <c r="AW72" s="370"/>
      <c r="AX72" s="370"/>
      <c r="AY72" s="370"/>
      <c r="AZ72" s="370"/>
      <c r="BA72" s="507"/>
      <c r="BB72" s="505"/>
      <c r="BC72" s="505"/>
      <c r="BD72" s="370"/>
      <c r="BE72" s="370"/>
      <c r="BF72" s="370"/>
      <c r="BG72" s="370"/>
      <c r="BH72" s="370"/>
      <c r="BI72" s="370"/>
      <c r="BJ72" s="370"/>
      <c r="BK72" s="370"/>
      <c r="BL72" s="370"/>
      <c r="BM72" s="370"/>
      <c r="BO72" s="370"/>
      <c r="BP72" s="370"/>
      <c r="BQ72" s="370"/>
      <c r="BR72" s="370"/>
      <c r="BS72" s="370"/>
      <c r="BV72" s="508"/>
      <c r="BW72" s="369"/>
      <c r="BX72" s="370"/>
      <c r="BY72" s="370"/>
      <c r="BZ72" s="370"/>
      <c r="CA72" s="370"/>
      <c r="CB72" s="370"/>
      <c r="CC72" s="505"/>
      <c r="CD72" s="505"/>
      <c r="CE72" s="505"/>
      <c r="CF72" s="505"/>
    </row>
    <row r="73" customFormat="false" ht="12.75" hidden="false" customHeight="false" outlineLevel="0" collapsed="false">
      <c r="A73" s="500"/>
      <c r="B73" s="500"/>
      <c r="K73" s="363"/>
      <c r="L73" s="501"/>
      <c r="N73" s="502"/>
      <c r="O73" s="502"/>
      <c r="P73" s="371"/>
      <c r="Q73" s="501"/>
      <c r="R73" s="501"/>
      <c r="U73" s="501"/>
      <c r="V73" s="503"/>
      <c r="W73" s="503"/>
      <c r="X73" s="503"/>
      <c r="Y73" s="504"/>
      <c r="Z73" s="504"/>
      <c r="AA73" s="504"/>
      <c r="AB73" s="504"/>
      <c r="AC73" s="504"/>
      <c r="AF73" s="378"/>
      <c r="AG73" s="378"/>
      <c r="AH73" s="378"/>
      <c r="AI73" s="378"/>
      <c r="AL73" s="505"/>
      <c r="AM73" s="505"/>
      <c r="AN73" s="505"/>
      <c r="AO73" s="505"/>
      <c r="AQ73" s="370"/>
      <c r="AT73" s="370"/>
      <c r="AV73" s="134"/>
      <c r="AW73" s="370"/>
      <c r="AX73" s="370"/>
      <c r="AY73" s="370"/>
      <c r="AZ73" s="370"/>
      <c r="BA73" s="507"/>
      <c r="BB73" s="505"/>
      <c r="BC73" s="505"/>
      <c r="BD73" s="370"/>
      <c r="BE73" s="370"/>
      <c r="BF73" s="370"/>
      <c r="BG73" s="370"/>
      <c r="BH73" s="370"/>
      <c r="BI73" s="370"/>
      <c r="BJ73" s="370"/>
      <c r="BK73" s="370"/>
      <c r="BL73" s="370"/>
      <c r="BM73" s="370"/>
      <c r="BO73" s="370"/>
      <c r="BP73" s="370"/>
      <c r="BQ73" s="370"/>
      <c r="BR73" s="370"/>
      <c r="BS73" s="370"/>
      <c r="BV73" s="508"/>
      <c r="BW73" s="369"/>
      <c r="BX73" s="370"/>
      <c r="BY73" s="370"/>
      <c r="BZ73" s="370"/>
      <c r="CA73" s="370"/>
      <c r="CB73" s="370"/>
      <c r="CC73" s="505"/>
      <c r="CD73" s="505"/>
      <c r="CE73" s="505"/>
      <c r="CF73" s="505"/>
    </row>
    <row r="74" customFormat="false" ht="12.75" hidden="false" customHeight="false" outlineLevel="0" collapsed="false">
      <c r="A74" s="500"/>
      <c r="B74" s="500"/>
      <c r="K74" s="363"/>
      <c r="L74" s="501"/>
      <c r="N74" s="502"/>
      <c r="O74" s="502"/>
      <c r="P74" s="371"/>
      <c r="Q74" s="501"/>
      <c r="R74" s="501"/>
      <c r="U74" s="501"/>
      <c r="V74" s="503"/>
      <c r="W74" s="503"/>
      <c r="X74" s="503"/>
      <c r="Y74" s="504"/>
      <c r="Z74" s="504"/>
      <c r="AA74" s="504"/>
      <c r="AB74" s="504"/>
      <c r="AC74" s="504"/>
      <c r="AF74" s="378"/>
      <c r="AG74" s="378"/>
      <c r="AH74" s="378"/>
      <c r="AI74" s="378"/>
      <c r="AL74" s="505"/>
      <c r="AM74" s="505"/>
      <c r="AN74" s="505"/>
      <c r="AO74" s="505"/>
      <c r="AQ74" s="370"/>
      <c r="AT74" s="370"/>
      <c r="AV74" s="134"/>
      <c r="AW74" s="370"/>
      <c r="AX74" s="370"/>
      <c r="AY74" s="370"/>
      <c r="AZ74" s="370"/>
      <c r="BA74" s="507"/>
      <c r="BB74" s="505"/>
      <c r="BC74" s="505"/>
      <c r="BD74" s="370"/>
      <c r="BE74" s="370"/>
      <c r="BF74" s="370"/>
      <c r="BG74" s="370"/>
      <c r="BH74" s="370"/>
      <c r="BI74" s="370"/>
      <c r="BJ74" s="370"/>
      <c r="BK74" s="370"/>
      <c r="BL74" s="370"/>
      <c r="BM74" s="370"/>
      <c r="BO74" s="370"/>
      <c r="BP74" s="370"/>
      <c r="BQ74" s="370"/>
      <c r="BR74" s="370"/>
      <c r="BS74" s="370"/>
      <c r="BV74" s="508"/>
      <c r="BW74" s="369"/>
      <c r="BX74" s="370"/>
      <c r="BY74" s="370"/>
      <c r="BZ74" s="370"/>
      <c r="CA74" s="370"/>
      <c r="CB74" s="370"/>
      <c r="CC74" s="505"/>
      <c r="CD74" s="505"/>
      <c r="CE74" s="505"/>
      <c r="CF74" s="505"/>
    </row>
    <row r="75" customFormat="false" ht="12.75" hidden="false" customHeight="false" outlineLevel="0" collapsed="false">
      <c r="A75" s="500"/>
      <c r="B75" s="500"/>
      <c r="K75" s="363"/>
      <c r="L75" s="501"/>
      <c r="N75" s="502"/>
      <c r="O75" s="502"/>
      <c r="P75" s="371"/>
      <c r="Q75" s="501"/>
      <c r="R75" s="501"/>
      <c r="U75" s="501"/>
      <c r="V75" s="503"/>
      <c r="W75" s="503"/>
      <c r="X75" s="503"/>
      <c r="Y75" s="504"/>
      <c r="Z75" s="504"/>
      <c r="AA75" s="504"/>
      <c r="AB75" s="504"/>
      <c r="AC75" s="504"/>
      <c r="AF75" s="378"/>
      <c r="AG75" s="378"/>
      <c r="AH75" s="378"/>
      <c r="AI75" s="378"/>
      <c r="AL75" s="505"/>
      <c r="AM75" s="505"/>
      <c r="AN75" s="505"/>
      <c r="AO75" s="505"/>
      <c r="AQ75" s="370"/>
      <c r="AT75" s="370"/>
      <c r="AV75" s="134"/>
      <c r="AW75" s="370"/>
      <c r="AX75" s="370"/>
      <c r="AY75" s="370"/>
      <c r="AZ75" s="370"/>
      <c r="BA75" s="507"/>
      <c r="BB75" s="505"/>
      <c r="BC75" s="505"/>
      <c r="BD75" s="370"/>
      <c r="BE75" s="370"/>
      <c r="BF75" s="370"/>
      <c r="BG75" s="370"/>
      <c r="BH75" s="370"/>
      <c r="BI75" s="370"/>
      <c r="BJ75" s="370"/>
      <c r="BK75" s="370"/>
      <c r="BL75" s="370"/>
      <c r="BM75" s="370"/>
      <c r="BO75" s="370"/>
      <c r="BP75" s="370"/>
      <c r="BQ75" s="370"/>
      <c r="BR75" s="370"/>
      <c r="BS75" s="370"/>
      <c r="BV75" s="508"/>
      <c r="BW75" s="369"/>
      <c r="BX75" s="370"/>
      <c r="BY75" s="370"/>
      <c r="BZ75" s="370"/>
      <c r="CA75" s="370"/>
      <c r="CB75" s="370"/>
      <c r="CC75" s="505"/>
      <c r="CD75" s="505"/>
      <c r="CE75" s="505"/>
      <c r="CF75" s="505"/>
    </row>
    <row r="76" customFormat="false" ht="12.75" hidden="false" customHeight="false" outlineLevel="0" collapsed="false">
      <c r="A76" s="500"/>
      <c r="B76" s="500"/>
      <c r="K76" s="363"/>
      <c r="L76" s="501"/>
      <c r="N76" s="502"/>
      <c r="O76" s="502"/>
      <c r="P76" s="371"/>
      <c r="Q76" s="501"/>
      <c r="R76" s="501"/>
      <c r="U76" s="501"/>
      <c r="V76" s="503"/>
      <c r="W76" s="503"/>
      <c r="X76" s="503"/>
      <c r="Y76" s="504"/>
      <c r="Z76" s="504"/>
      <c r="AA76" s="504"/>
      <c r="AB76" s="504"/>
      <c r="AC76" s="504"/>
      <c r="AF76" s="378"/>
      <c r="AG76" s="378"/>
      <c r="AH76" s="378"/>
      <c r="AI76" s="378"/>
      <c r="AL76" s="505"/>
      <c r="AM76" s="505"/>
      <c r="AN76" s="505"/>
      <c r="AO76" s="505"/>
      <c r="AQ76" s="370"/>
      <c r="AT76" s="370"/>
      <c r="AV76" s="134"/>
      <c r="AW76" s="370"/>
      <c r="AX76" s="370"/>
      <c r="AY76" s="370"/>
      <c r="AZ76" s="370"/>
      <c r="BA76" s="507"/>
      <c r="BB76" s="505"/>
      <c r="BC76" s="505"/>
      <c r="BD76" s="370"/>
      <c r="BE76" s="370"/>
      <c r="BF76" s="370"/>
      <c r="BG76" s="370"/>
      <c r="BH76" s="370"/>
      <c r="BI76" s="370"/>
      <c r="BJ76" s="370"/>
      <c r="BK76" s="370"/>
      <c r="BL76" s="370"/>
      <c r="BM76" s="370"/>
      <c r="BO76" s="370"/>
      <c r="BP76" s="370"/>
      <c r="BQ76" s="370"/>
      <c r="BR76" s="370"/>
      <c r="BS76" s="370"/>
      <c r="BV76" s="508"/>
      <c r="BW76" s="369"/>
      <c r="BX76" s="370"/>
      <c r="BY76" s="370"/>
      <c r="BZ76" s="370"/>
      <c r="CA76" s="370"/>
      <c r="CB76" s="370"/>
      <c r="CC76" s="505"/>
      <c r="CD76" s="505"/>
      <c r="CE76" s="505"/>
      <c r="CF76" s="505"/>
    </row>
    <row r="77" customFormat="false" ht="12.75" hidden="false" customHeight="false" outlineLevel="0" collapsed="false">
      <c r="A77" s="500"/>
      <c r="B77" s="500"/>
      <c r="K77" s="363"/>
      <c r="L77" s="501"/>
      <c r="N77" s="502"/>
      <c r="O77" s="502"/>
      <c r="P77" s="371"/>
      <c r="Q77" s="501"/>
      <c r="R77" s="501"/>
      <c r="U77" s="501"/>
      <c r="V77" s="503"/>
      <c r="W77" s="503"/>
      <c r="X77" s="503"/>
      <c r="Y77" s="504"/>
      <c r="Z77" s="504"/>
      <c r="AA77" s="504"/>
      <c r="AB77" s="504"/>
      <c r="AC77" s="504"/>
      <c r="AF77" s="378"/>
      <c r="AG77" s="378"/>
      <c r="AH77" s="378"/>
      <c r="AI77" s="378"/>
      <c r="AL77" s="505"/>
      <c r="AM77" s="505"/>
      <c r="AN77" s="505"/>
      <c r="AO77" s="505"/>
      <c r="AQ77" s="370"/>
      <c r="AT77" s="370"/>
      <c r="AV77" s="134"/>
      <c r="AW77" s="370"/>
      <c r="AX77" s="370"/>
      <c r="AY77" s="370"/>
      <c r="AZ77" s="370"/>
      <c r="BA77" s="507"/>
      <c r="BB77" s="505"/>
      <c r="BC77" s="505"/>
      <c r="BD77" s="370"/>
      <c r="BE77" s="370"/>
      <c r="BF77" s="370"/>
      <c r="BG77" s="370"/>
      <c r="BH77" s="370"/>
      <c r="BI77" s="370"/>
      <c r="BJ77" s="370"/>
      <c r="BK77" s="370"/>
      <c r="BL77" s="370"/>
      <c r="BM77" s="370"/>
      <c r="BO77" s="370"/>
      <c r="BP77" s="370"/>
      <c r="BQ77" s="370"/>
      <c r="BR77" s="370"/>
      <c r="BS77" s="370"/>
      <c r="BV77" s="508"/>
      <c r="BW77" s="369"/>
      <c r="BX77" s="370"/>
      <c r="BY77" s="370"/>
      <c r="BZ77" s="370"/>
      <c r="CA77" s="370"/>
      <c r="CB77" s="370"/>
      <c r="CC77" s="505"/>
      <c r="CD77" s="505"/>
      <c r="CE77" s="505"/>
      <c r="CF77" s="505"/>
    </row>
    <row r="78" customFormat="false" ht="12.75" hidden="false" customHeight="false" outlineLevel="0" collapsed="false">
      <c r="A78" s="500"/>
      <c r="B78" s="500"/>
      <c r="K78" s="363"/>
      <c r="L78" s="501"/>
      <c r="N78" s="502"/>
      <c r="O78" s="502"/>
      <c r="P78" s="371"/>
      <c r="Q78" s="501"/>
      <c r="R78" s="501"/>
      <c r="U78" s="501"/>
      <c r="V78" s="503"/>
      <c r="W78" s="503"/>
      <c r="X78" s="503"/>
      <c r="Y78" s="504"/>
      <c r="Z78" s="504"/>
      <c r="AA78" s="504"/>
      <c r="AB78" s="504"/>
      <c r="AC78" s="504"/>
      <c r="AF78" s="378"/>
      <c r="AG78" s="378"/>
      <c r="AH78" s="378"/>
      <c r="AI78" s="378"/>
      <c r="AL78" s="505"/>
      <c r="AM78" s="505"/>
      <c r="AN78" s="505"/>
      <c r="AO78" s="505"/>
      <c r="AQ78" s="370"/>
      <c r="AT78" s="370"/>
      <c r="AV78" s="134"/>
      <c r="AW78" s="370"/>
      <c r="AX78" s="370"/>
      <c r="AY78" s="370"/>
      <c r="AZ78" s="370"/>
      <c r="BA78" s="507"/>
      <c r="BB78" s="505"/>
      <c r="BC78" s="505"/>
      <c r="BD78" s="370"/>
      <c r="BE78" s="370"/>
      <c r="BF78" s="370"/>
      <c r="BG78" s="370"/>
      <c r="BH78" s="370"/>
      <c r="BI78" s="370"/>
      <c r="BJ78" s="370"/>
      <c r="BK78" s="370"/>
      <c r="BL78" s="370"/>
      <c r="BM78" s="370"/>
      <c r="BO78" s="370"/>
      <c r="BP78" s="370"/>
      <c r="BQ78" s="370"/>
      <c r="BR78" s="370"/>
      <c r="BS78" s="370"/>
      <c r="BV78" s="508"/>
      <c r="BW78" s="369"/>
      <c r="BX78" s="370"/>
      <c r="BY78" s="370"/>
      <c r="BZ78" s="370"/>
      <c r="CA78" s="370"/>
      <c r="CB78" s="370"/>
      <c r="CC78" s="505"/>
      <c r="CD78" s="505"/>
      <c r="CE78" s="505"/>
      <c r="CF78" s="505"/>
    </row>
    <row r="79" customFormat="false" ht="12.75" hidden="false" customHeight="false" outlineLevel="0" collapsed="false">
      <c r="A79" s="500"/>
      <c r="B79" s="500"/>
      <c r="K79" s="363"/>
      <c r="L79" s="501"/>
      <c r="N79" s="502"/>
      <c r="O79" s="502"/>
      <c r="P79" s="371"/>
      <c r="Q79" s="501"/>
      <c r="R79" s="501"/>
      <c r="U79" s="501"/>
      <c r="V79" s="503"/>
      <c r="W79" s="503"/>
      <c r="X79" s="503"/>
      <c r="Y79" s="504"/>
      <c r="Z79" s="504"/>
      <c r="AA79" s="504"/>
      <c r="AB79" s="504"/>
      <c r="AC79" s="504"/>
      <c r="AF79" s="378"/>
      <c r="AG79" s="378"/>
      <c r="AH79" s="378"/>
      <c r="AI79" s="378"/>
      <c r="AL79" s="505"/>
      <c r="AM79" s="505"/>
      <c r="AN79" s="505"/>
      <c r="AO79" s="505"/>
      <c r="AQ79" s="370"/>
      <c r="AT79" s="370"/>
      <c r="AV79" s="134"/>
      <c r="AW79" s="370"/>
      <c r="AX79" s="370"/>
      <c r="AY79" s="370"/>
      <c r="AZ79" s="370"/>
      <c r="BA79" s="507"/>
      <c r="BB79" s="505"/>
      <c r="BC79" s="505"/>
      <c r="BD79" s="370"/>
      <c r="BE79" s="370"/>
      <c r="BF79" s="370"/>
      <c r="BG79" s="370"/>
      <c r="BH79" s="370"/>
      <c r="BI79" s="370"/>
      <c r="BJ79" s="370"/>
      <c r="BK79" s="370"/>
      <c r="BL79" s="370"/>
      <c r="BM79" s="370"/>
      <c r="BO79" s="370"/>
      <c r="BP79" s="370"/>
      <c r="BQ79" s="370"/>
      <c r="BR79" s="370"/>
      <c r="BS79" s="370"/>
      <c r="BV79" s="508"/>
      <c r="BW79" s="369"/>
      <c r="BX79" s="370"/>
      <c r="BY79" s="370"/>
      <c r="BZ79" s="370"/>
      <c r="CA79" s="370"/>
      <c r="CB79" s="370"/>
      <c r="CC79" s="505"/>
      <c r="CD79" s="505"/>
      <c r="CE79" s="505"/>
      <c r="CF79" s="505"/>
    </row>
    <row r="80" customFormat="false" ht="12.75" hidden="false" customHeight="false" outlineLevel="0" collapsed="false">
      <c r="A80" s="500"/>
      <c r="B80" s="500"/>
      <c r="K80" s="363"/>
      <c r="L80" s="501"/>
      <c r="N80" s="502"/>
      <c r="O80" s="502"/>
      <c r="P80" s="371"/>
      <c r="Q80" s="501"/>
      <c r="R80" s="501"/>
      <c r="U80" s="501"/>
      <c r="V80" s="503"/>
      <c r="W80" s="503"/>
      <c r="X80" s="503"/>
      <c r="Y80" s="504"/>
      <c r="Z80" s="504"/>
      <c r="AA80" s="504"/>
      <c r="AB80" s="504"/>
      <c r="AC80" s="504"/>
      <c r="AF80" s="378"/>
      <c r="AG80" s="378"/>
      <c r="AH80" s="378"/>
      <c r="AI80" s="378"/>
      <c r="AL80" s="505"/>
      <c r="AM80" s="505"/>
      <c r="AN80" s="505"/>
      <c r="AO80" s="505"/>
      <c r="AQ80" s="370"/>
      <c r="AT80" s="370"/>
      <c r="AV80" s="134"/>
      <c r="AW80" s="370"/>
      <c r="AX80" s="370"/>
      <c r="AY80" s="370"/>
      <c r="AZ80" s="370"/>
      <c r="BA80" s="507"/>
      <c r="BB80" s="505"/>
      <c r="BC80" s="505"/>
      <c r="BD80" s="370"/>
      <c r="BE80" s="370"/>
      <c r="BF80" s="370"/>
      <c r="BG80" s="370"/>
      <c r="BH80" s="370"/>
      <c r="BI80" s="370"/>
      <c r="BJ80" s="370"/>
      <c r="BK80" s="370"/>
      <c r="BL80" s="370"/>
      <c r="BM80" s="370"/>
      <c r="BO80" s="370"/>
      <c r="BP80" s="370"/>
      <c r="BQ80" s="370"/>
      <c r="BR80" s="370"/>
      <c r="BS80" s="370"/>
      <c r="BV80" s="508"/>
      <c r="BW80" s="369"/>
      <c r="BX80" s="370"/>
      <c r="BY80" s="370"/>
      <c r="BZ80" s="370"/>
      <c r="CA80" s="370"/>
      <c r="CB80" s="370"/>
      <c r="CC80" s="505"/>
      <c r="CD80" s="505"/>
      <c r="CE80" s="505"/>
      <c r="CF80" s="505"/>
    </row>
    <row r="81" customFormat="false" ht="12.75" hidden="false" customHeight="false" outlineLevel="0" collapsed="false">
      <c r="A81" s="500"/>
      <c r="B81" s="500"/>
      <c r="K81" s="363"/>
      <c r="L81" s="501"/>
      <c r="N81" s="502"/>
      <c r="O81" s="502"/>
      <c r="P81" s="371"/>
      <c r="Q81" s="501"/>
      <c r="R81" s="501"/>
      <c r="U81" s="501"/>
      <c r="V81" s="503"/>
      <c r="W81" s="503"/>
      <c r="X81" s="503"/>
      <c r="Y81" s="504"/>
      <c r="Z81" s="504"/>
      <c r="AA81" s="504"/>
      <c r="AB81" s="504"/>
      <c r="AC81" s="504"/>
      <c r="AF81" s="378"/>
      <c r="AG81" s="378"/>
      <c r="AH81" s="378"/>
      <c r="AI81" s="378"/>
      <c r="AL81" s="505"/>
      <c r="AM81" s="505"/>
      <c r="AN81" s="505"/>
      <c r="AO81" s="505"/>
      <c r="AQ81" s="370"/>
      <c r="AT81" s="370"/>
      <c r="AV81" s="134"/>
      <c r="AW81" s="370"/>
      <c r="AX81" s="370"/>
      <c r="AY81" s="370"/>
      <c r="AZ81" s="370"/>
      <c r="BA81" s="507"/>
      <c r="BB81" s="505"/>
      <c r="BC81" s="505"/>
      <c r="BD81" s="370"/>
      <c r="BE81" s="370"/>
      <c r="BF81" s="370"/>
      <c r="BG81" s="370"/>
      <c r="BH81" s="370"/>
      <c r="BI81" s="370"/>
      <c r="BJ81" s="370"/>
      <c r="BK81" s="370"/>
      <c r="BL81" s="370"/>
      <c r="BM81" s="370"/>
      <c r="BO81" s="370"/>
      <c r="BP81" s="370"/>
      <c r="BQ81" s="370"/>
      <c r="BR81" s="370"/>
      <c r="BS81" s="370"/>
      <c r="BV81" s="508"/>
      <c r="BW81" s="369"/>
      <c r="BX81" s="370"/>
      <c r="BY81" s="370"/>
      <c r="BZ81" s="370"/>
      <c r="CA81" s="370"/>
      <c r="CB81" s="370"/>
      <c r="CC81" s="505"/>
      <c r="CD81" s="505"/>
      <c r="CE81" s="505"/>
      <c r="CF81" s="505"/>
    </row>
    <row r="82" customFormat="false" ht="12.75" hidden="false" customHeight="false" outlineLevel="0" collapsed="false">
      <c r="A82" s="500"/>
      <c r="B82" s="500"/>
      <c r="K82" s="363"/>
      <c r="L82" s="501"/>
      <c r="N82" s="502"/>
      <c r="O82" s="502"/>
      <c r="P82" s="371"/>
      <c r="Q82" s="501"/>
      <c r="R82" s="501"/>
      <c r="U82" s="501"/>
      <c r="V82" s="503"/>
      <c r="W82" s="503"/>
      <c r="X82" s="503"/>
      <c r="Y82" s="504"/>
      <c r="Z82" s="504"/>
      <c r="AA82" s="504"/>
      <c r="AB82" s="504"/>
      <c r="AC82" s="504"/>
      <c r="AF82" s="378"/>
      <c r="AG82" s="378"/>
      <c r="AH82" s="378"/>
      <c r="AI82" s="378"/>
      <c r="AL82" s="505"/>
      <c r="AM82" s="505"/>
      <c r="AN82" s="505"/>
      <c r="AO82" s="505"/>
      <c r="AQ82" s="370"/>
      <c r="AT82" s="370"/>
      <c r="AV82" s="134"/>
      <c r="AW82" s="370"/>
      <c r="AX82" s="370"/>
      <c r="AY82" s="370"/>
      <c r="AZ82" s="370"/>
      <c r="BA82" s="507"/>
      <c r="BB82" s="505"/>
      <c r="BC82" s="505"/>
      <c r="BD82" s="370"/>
      <c r="BE82" s="370"/>
      <c r="BF82" s="370"/>
      <c r="BG82" s="370"/>
      <c r="BH82" s="370"/>
      <c r="BI82" s="370"/>
      <c r="BJ82" s="370"/>
      <c r="BK82" s="370"/>
      <c r="BL82" s="370"/>
      <c r="BM82" s="370"/>
      <c r="BO82" s="370"/>
      <c r="BP82" s="370"/>
      <c r="BQ82" s="370"/>
      <c r="BR82" s="370"/>
      <c r="BS82" s="370"/>
      <c r="BV82" s="508"/>
      <c r="BW82" s="369"/>
      <c r="BX82" s="370"/>
      <c r="BY82" s="370"/>
      <c r="BZ82" s="370"/>
      <c r="CA82" s="370"/>
      <c r="CB82" s="370"/>
      <c r="CC82" s="505"/>
      <c r="CD82" s="505"/>
      <c r="CE82" s="505"/>
      <c r="CF82" s="505"/>
    </row>
    <row r="83" customFormat="false" ht="12.75" hidden="false" customHeight="false" outlineLevel="0" collapsed="false">
      <c r="A83" s="500"/>
      <c r="B83" s="500"/>
      <c r="K83" s="363"/>
      <c r="L83" s="501"/>
      <c r="N83" s="502"/>
      <c r="O83" s="502"/>
      <c r="P83" s="371"/>
      <c r="Q83" s="501"/>
      <c r="R83" s="501"/>
      <c r="U83" s="501"/>
      <c r="V83" s="503"/>
      <c r="W83" s="503"/>
      <c r="X83" s="503"/>
      <c r="Y83" s="504"/>
      <c r="Z83" s="504"/>
      <c r="AA83" s="504"/>
      <c r="AB83" s="504"/>
      <c r="AC83" s="504"/>
      <c r="AF83" s="378"/>
      <c r="AG83" s="378"/>
      <c r="AH83" s="378"/>
      <c r="AI83" s="378"/>
      <c r="AL83" s="505"/>
      <c r="AM83" s="505"/>
      <c r="AN83" s="505"/>
      <c r="AO83" s="505"/>
      <c r="AQ83" s="370"/>
      <c r="AT83" s="370"/>
      <c r="AV83" s="134"/>
      <c r="AW83" s="370"/>
      <c r="AX83" s="370"/>
      <c r="AY83" s="370"/>
      <c r="AZ83" s="370"/>
      <c r="BA83" s="507"/>
      <c r="BB83" s="505"/>
      <c r="BC83" s="505"/>
      <c r="BD83" s="370"/>
      <c r="BE83" s="370"/>
      <c r="BF83" s="370"/>
      <c r="BG83" s="370"/>
      <c r="BH83" s="370"/>
      <c r="BI83" s="370"/>
      <c r="BJ83" s="370"/>
      <c r="BK83" s="370"/>
      <c r="BL83" s="370"/>
      <c r="BM83" s="370"/>
      <c r="BO83" s="370"/>
      <c r="BP83" s="370"/>
      <c r="BQ83" s="370"/>
      <c r="BR83" s="370"/>
      <c r="BS83" s="370"/>
      <c r="BV83" s="508"/>
      <c r="BW83" s="369"/>
      <c r="BX83" s="370"/>
      <c r="BY83" s="370"/>
      <c r="BZ83" s="370"/>
      <c r="CA83" s="370"/>
      <c r="CB83" s="370"/>
      <c r="CC83" s="505"/>
      <c r="CD83" s="505"/>
      <c r="CE83" s="505"/>
      <c r="CF83" s="505"/>
    </row>
    <row r="84" customFormat="false" ht="12.75" hidden="false" customHeight="false" outlineLevel="0" collapsed="false">
      <c r="A84" s="500"/>
      <c r="B84" s="500"/>
      <c r="K84" s="363"/>
      <c r="L84" s="501"/>
      <c r="N84" s="502"/>
      <c r="O84" s="502"/>
      <c r="P84" s="371"/>
      <c r="Q84" s="501"/>
      <c r="R84" s="501"/>
      <c r="U84" s="501"/>
      <c r="V84" s="503"/>
      <c r="W84" s="503"/>
      <c r="X84" s="503"/>
      <c r="Y84" s="504"/>
      <c r="Z84" s="504"/>
      <c r="AA84" s="504"/>
      <c r="AB84" s="504"/>
      <c r="AC84" s="504"/>
      <c r="AF84" s="378"/>
      <c r="AG84" s="378"/>
      <c r="AH84" s="378"/>
      <c r="AI84" s="378"/>
      <c r="AL84" s="505"/>
      <c r="AM84" s="505"/>
      <c r="AN84" s="505"/>
      <c r="AO84" s="505"/>
      <c r="AQ84" s="370"/>
      <c r="AT84" s="370"/>
      <c r="AV84" s="134"/>
      <c r="AW84" s="370"/>
      <c r="AX84" s="370"/>
      <c r="AY84" s="370"/>
      <c r="AZ84" s="370"/>
      <c r="BA84" s="507"/>
      <c r="BB84" s="505"/>
      <c r="BC84" s="505"/>
      <c r="BD84" s="370"/>
      <c r="BE84" s="370"/>
      <c r="BF84" s="370"/>
      <c r="BG84" s="370"/>
      <c r="BH84" s="370"/>
      <c r="BI84" s="370"/>
      <c r="BJ84" s="370"/>
      <c r="BK84" s="370"/>
      <c r="BL84" s="370"/>
      <c r="BM84" s="370"/>
      <c r="BO84" s="370"/>
      <c r="BP84" s="370"/>
      <c r="BQ84" s="370"/>
      <c r="BR84" s="370"/>
      <c r="BS84" s="370"/>
      <c r="BV84" s="508"/>
      <c r="BW84" s="369"/>
      <c r="BX84" s="370"/>
      <c r="BY84" s="370"/>
      <c r="BZ84" s="370"/>
      <c r="CA84" s="370"/>
      <c r="CB84" s="370"/>
      <c r="CC84" s="505"/>
      <c r="CD84" s="505"/>
      <c r="CE84" s="505"/>
      <c r="CF84" s="505"/>
    </row>
    <row r="85" customFormat="false" ht="12.75" hidden="false" customHeight="false" outlineLevel="0" collapsed="false">
      <c r="A85" s="500"/>
      <c r="B85" s="500"/>
      <c r="K85" s="363"/>
      <c r="L85" s="501"/>
      <c r="N85" s="502"/>
      <c r="O85" s="502"/>
      <c r="P85" s="371"/>
      <c r="Q85" s="501"/>
      <c r="R85" s="501"/>
      <c r="U85" s="501"/>
      <c r="V85" s="503"/>
      <c r="W85" s="503"/>
      <c r="X85" s="503"/>
      <c r="Y85" s="504"/>
      <c r="Z85" s="504"/>
      <c r="AA85" s="504"/>
      <c r="AB85" s="504"/>
      <c r="AC85" s="504"/>
      <c r="AF85" s="378"/>
      <c r="AG85" s="378"/>
      <c r="AH85" s="378"/>
      <c r="AI85" s="378"/>
      <c r="AL85" s="505"/>
      <c r="AM85" s="505"/>
      <c r="AN85" s="505"/>
      <c r="AO85" s="505"/>
      <c r="AQ85" s="370"/>
      <c r="AT85" s="370"/>
      <c r="AV85" s="134"/>
      <c r="AW85" s="370"/>
      <c r="AX85" s="370"/>
      <c r="AY85" s="370"/>
      <c r="AZ85" s="370"/>
      <c r="BA85" s="507"/>
      <c r="BB85" s="505"/>
      <c r="BC85" s="505"/>
      <c r="BD85" s="370"/>
      <c r="BE85" s="370"/>
      <c r="BF85" s="370"/>
      <c r="BG85" s="370"/>
      <c r="BH85" s="370"/>
      <c r="BI85" s="370"/>
      <c r="BJ85" s="370"/>
      <c r="BK85" s="370"/>
      <c r="BL85" s="370"/>
      <c r="BM85" s="370"/>
      <c r="BO85" s="370"/>
      <c r="BP85" s="370"/>
      <c r="BQ85" s="370"/>
      <c r="BR85" s="370"/>
      <c r="BS85" s="370"/>
      <c r="BV85" s="508"/>
      <c r="BW85" s="369"/>
      <c r="BX85" s="370"/>
      <c r="BY85" s="370"/>
      <c r="BZ85" s="370"/>
      <c r="CA85" s="370"/>
      <c r="CB85" s="370"/>
      <c r="CC85" s="505"/>
      <c r="CD85" s="505"/>
      <c r="CE85" s="505"/>
      <c r="CF85" s="505"/>
    </row>
    <row r="86" customFormat="false" ht="12.75" hidden="false" customHeight="false" outlineLevel="0" collapsed="false">
      <c r="A86" s="500"/>
      <c r="B86" s="500"/>
      <c r="K86" s="363"/>
      <c r="L86" s="501"/>
      <c r="N86" s="502"/>
      <c r="O86" s="502"/>
      <c r="P86" s="371"/>
      <c r="Q86" s="501"/>
      <c r="R86" s="501"/>
      <c r="U86" s="501"/>
      <c r="V86" s="503"/>
      <c r="W86" s="503"/>
      <c r="X86" s="503"/>
      <c r="Y86" s="504"/>
      <c r="Z86" s="504"/>
      <c r="AA86" s="504"/>
      <c r="AB86" s="504"/>
      <c r="AC86" s="504"/>
      <c r="AF86" s="378"/>
      <c r="AG86" s="378"/>
      <c r="AH86" s="378"/>
      <c r="AI86" s="378"/>
      <c r="AL86" s="505"/>
      <c r="AM86" s="505"/>
      <c r="AN86" s="505"/>
      <c r="AO86" s="505"/>
      <c r="AQ86" s="370"/>
      <c r="AT86" s="370"/>
      <c r="AV86" s="134"/>
      <c r="AW86" s="370"/>
      <c r="AX86" s="370"/>
      <c r="AY86" s="370"/>
      <c r="AZ86" s="370"/>
      <c r="BA86" s="507"/>
      <c r="BB86" s="505"/>
      <c r="BC86" s="505"/>
      <c r="BD86" s="370"/>
      <c r="BE86" s="370"/>
      <c r="BF86" s="370"/>
      <c r="BG86" s="370"/>
      <c r="BH86" s="370"/>
      <c r="BI86" s="370"/>
      <c r="BJ86" s="370"/>
      <c r="BK86" s="370"/>
      <c r="BL86" s="370"/>
      <c r="BM86" s="370"/>
      <c r="BO86" s="370"/>
      <c r="BP86" s="370"/>
      <c r="BQ86" s="370"/>
      <c r="BR86" s="370"/>
      <c r="BS86" s="370"/>
      <c r="BV86" s="508"/>
      <c r="BW86" s="369"/>
      <c r="BX86" s="370"/>
      <c r="BY86" s="370"/>
      <c r="BZ86" s="370"/>
      <c r="CA86" s="370"/>
      <c r="CB86" s="370"/>
      <c r="CC86" s="505"/>
      <c r="CD86" s="505"/>
      <c r="CE86" s="505"/>
      <c r="CF86" s="505"/>
    </row>
    <row r="87" customFormat="false" ht="12.75" hidden="false" customHeight="false" outlineLevel="0" collapsed="false">
      <c r="A87" s="500"/>
      <c r="B87" s="500"/>
      <c r="K87" s="363"/>
      <c r="L87" s="501"/>
      <c r="N87" s="502"/>
      <c r="O87" s="502"/>
      <c r="P87" s="371"/>
      <c r="Q87" s="501"/>
      <c r="R87" s="501"/>
      <c r="U87" s="501"/>
      <c r="V87" s="503"/>
      <c r="W87" s="503"/>
      <c r="X87" s="503"/>
      <c r="Y87" s="504"/>
      <c r="Z87" s="504"/>
      <c r="AA87" s="504"/>
      <c r="AB87" s="504"/>
      <c r="AC87" s="504"/>
      <c r="AF87" s="378"/>
      <c r="AG87" s="378"/>
      <c r="AH87" s="378"/>
      <c r="AI87" s="378"/>
      <c r="AL87" s="505"/>
      <c r="AM87" s="505"/>
      <c r="AN87" s="505"/>
      <c r="AO87" s="505"/>
      <c r="AQ87" s="370"/>
      <c r="AT87" s="370"/>
      <c r="AV87" s="134"/>
      <c r="AW87" s="370"/>
      <c r="AX87" s="370"/>
      <c r="AY87" s="370"/>
      <c r="AZ87" s="370"/>
      <c r="BA87" s="507"/>
      <c r="BB87" s="505"/>
      <c r="BC87" s="505"/>
      <c r="BD87" s="370"/>
      <c r="BE87" s="370"/>
      <c r="BF87" s="370"/>
      <c r="BG87" s="370"/>
      <c r="BH87" s="370"/>
      <c r="BI87" s="370"/>
      <c r="BJ87" s="370"/>
      <c r="BK87" s="370"/>
      <c r="BL87" s="370"/>
      <c r="BM87" s="370"/>
      <c r="BO87" s="370"/>
      <c r="BP87" s="370"/>
      <c r="BQ87" s="370"/>
      <c r="BR87" s="370"/>
      <c r="BS87" s="370"/>
      <c r="BV87" s="508"/>
      <c r="BW87" s="369"/>
      <c r="BX87" s="370"/>
      <c r="BY87" s="370"/>
      <c r="BZ87" s="370"/>
      <c r="CA87" s="370"/>
      <c r="CB87" s="370"/>
      <c r="CC87" s="505"/>
      <c r="CD87" s="505"/>
      <c r="CE87" s="505"/>
      <c r="CF87" s="505"/>
    </row>
    <row r="88" customFormat="false" ht="12.75" hidden="false" customHeight="false" outlineLevel="0" collapsed="false">
      <c r="A88" s="500"/>
      <c r="B88" s="500"/>
      <c r="K88" s="363"/>
      <c r="L88" s="501"/>
      <c r="N88" s="502"/>
      <c r="O88" s="502"/>
      <c r="P88" s="371"/>
      <c r="Q88" s="501"/>
      <c r="R88" s="501"/>
      <c r="U88" s="501"/>
      <c r="V88" s="503"/>
      <c r="W88" s="503"/>
      <c r="X88" s="503"/>
      <c r="Y88" s="504"/>
      <c r="Z88" s="504"/>
      <c r="AA88" s="504"/>
      <c r="AB88" s="504"/>
      <c r="AC88" s="504"/>
      <c r="AF88" s="378"/>
      <c r="AG88" s="378"/>
      <c r="AH88" s="378"/>
      <c r="AI88" s="378"/>
      <c r="AL88" s="505"/>
      <c r="AM88" s="505"/>
      <c r="AN88" s="505"/>
      <c r="AO88" s="505"/>
      <c r="AQ88" s="370"/>
      <c r="AT88" s="370"/>
      <c r="AV88" s="134"/>
      <c r="AW88" s="370"/>
      <c r="AX88" s="370"/>
      <c r="AY88" s="370"/>
      <c r="AZ88" s="370"/>
      <c r="BA88" s="507"/>
      <c r="BB88" s="505"/>
      <c r="BC88" s="505"/>
      <c r="BD88" s="370"/>
      <c r="BE88" s="370"/>
      <c r="BF88" s="370"/>
      <c r="BG88" s="370"/>
      <c r="BH88" s="370"/>
      <c r="BI88" s="370"/>
      <c r="BJ88" s="370"/>
      <c r="BK88" s="370"/>
      <c r="BL88" s="370"/>
      <c r="BM88" s="370"/>
      <c r="BO88" s="370"/>
      <c r="BP88" s="370"/>
      <c r="BQ88" s="370"/>
      <c r="BR88" s="370"/>
      <c r="BS88" s="370"/>
      <c r="BV88" s="508"/>
      <c r="BW88" s="369"/>
      <c r="BX88" s="370"/>
      <c r="BY88" s="370"/>
      <c r="BZ88" s="370"/>
      <c r="CA88" s="370"/>
      <c r="CB88" s="370"/>
      <c r="CC88" s="505"/>
      <c r="CD88" s="505"/>
      <c r="CE88" s="505"/>
      <c r="CF88" s="505"/>
    </row>
    <row r="89" customFormat="false" ht="12.75" hidden="false" customHeight="false" outlineLevel="0" collapsed="false">
      <c r="A89" s="500"/>
      <c r="B89" s="500"/>
      <c r="K89" s="363"/>
      <c r="L89" s="501"/>
      <c r="N89" s="502"/>
      <c r="O89" s="502"/>
      <c r="P89" s="371"/>
      <c r="Q89" s="501"/>
      <c r="R89" s="501"/>
      <c r="U89" s="501"/>
      <c r="V89" s="503"/>
      <c r="W89" s="503"/>
      <c r="X89" s="503"/>
      <c r="Y89" s="504"/>
      <c r="Z89" s="504"/>
      <c r="AA89" s="504"/>
      <c r="AB89" s="504"/>
      <c r="AC89" s="504"/>
      <c r="AF89" s="378"/>
      <c r="AG89" s="378"/>
      <c r="AH89" s="378"/>
      <c r="AI89" s="378"/>
      <c r="AL89" s="505"/>
      <c r="AM89" s="505"/>
      <c r="AN89" s="505"/>
      <c r="AO89" s="505"/>
      <c r="AQ89" s="370"/>
      <c r="AT89" s="370"/>
      <c r="AV89" s="134"/>
      <c r="AW89" s="370"/>
      <c r="AX89" s="370"/>
      <c r="AY89" s="370"/>
      <c r="AZ89" s="370"/>
      <c r="BA89" s="507"/>
      <c r="BB89" s="505"/>
      <c r="BC89" s="505"/>
      <c r="BD89" s="370"/>
      <c r="BE89" s="370"/>
      <c r="BF89" s="370"/>
      <c r="BG89" s="370"/>
      <c r="BH89" s="370"/>
      <c r="BI89" s="370"/>
      <c r="BJ89" s="370"/>
      <c r="BK89" s="370"/>
      <c r="BL89" s="370"/>
      <c r="BM89" s="370"/>
      <c r="BO89" s="370"/>
      <c r="BP89" s="370"/>
      <c r="BQ89" s="370"/>
      <c r="BR89" s="370"/>
      <c r="BS89" s="370"/>
      <c r="BV89" s="508"/>
      <c r="BW89" s="369"/>
      <c r="BX89" s="370"/>
      <c r="BY89" s="370"/>
      <c r="BZ89" s="370"/>
      <c r="CA89" s="370"/>
      <c r="CB89" s="370"/>
      <c r="CC89" s="505"/>
      <c r="CD89" s="505"/>
      <c r="CE89" s="505"/>
      <c r="CF89" s="505"/>
    </row>
    <row r="90" customFormat="false" ht="12.75" hidden="false" customHeight="false" outlineLevel="0" collapsed="false">
      <c r="A90" s="500"/>
      <c r="B90" s="500"/>
      <c r="K90" s="363"/>
      <c r="L90" s="501"/>
      <c r="N90" s="502"/>
      <c r="O90" s="502"/>
      <c r="P90" s="371"/>
      <c r="Q90" s="501"/>
      <c r="R90" s="501"/>
      <c r="U90" s="501"/>
      <c r="V90" s="503"/>
      <c r="W90" s="503"/>
      <c r="X90" s="503"/>
      <c r="Y90" s="504"/>
      <c r="Z90" s="504"/>
      <c r="AA90" s="504"/>
      <c r="AB90" s="504"/>
      <c r="AC90" s="504"/>
      <c r="AF90" s="378"/>
      <c r="AG90" s="378"/>
      <c r="AH90" s="378"/>
      <c r="AI90" s="378"/>
      <c r="AL90" s="505"/>
      <c r="AM90" s="505"/>
      <c r="AN90" s="505"/>
      <c r="AO90" s="505"/>
      <c r="AQ90" s="370"/>
      <c r="AT90" s="370"/>
      <c r="AV90" s="134"/>
      <c r="AW90" s="370"/>
      <c r="AX90" s="370"/>
      <c r="AY90" s="370"/>
      <c r="AZ90" s="370"/>
      <c r="BA90" s="507"/>
      <c r="BB90" s="505"/>
      <c r="BC90" s="505"/>
      <c r="BD90" s="370"/>
      <c r="BE90" s="370"/>
      <c r="BF90" s="370"/>
      <c r="BG90" s="370"/>
      <c r="BH90" s="370"/>
      <c r="BI90" s="370"/>
      <c r="BJ90" s="370"/>
      <c r="BK90" s="370"/>
      <c r="BL90" s="370"/>
      <c r="BM90" s="370"/>
      <c r="BO90" s="370"/>
      <c r="BP90" s="370"/>
      <c r="BQ90" s="370"/>
      <c r="BR90" s="370"/>
      <c r="BS90" s="370"/>
      <c r="BV90" s="508"/>
      <c r="BW90" s="369"/>
      <c r="BX90" s="370"/>
      <c r="BY90" s="370"/>
      <c r="BZ90" s="370"/>
      <c r="CA90" s="370"/>
      <c r="CB90" s="370"/>
      <c r="CC90" s="505"/>
      <c r="CD90" s="505"/>
      <c r="CE90" s="505"/>
      <c r="CF90" s="505"/>
    </row>
    <row r="91" customFormat="false" ht="12.75" hidden="false" customHeight="false" outlineLevel="0" collapsed="false">
      <c r="A91" s="500"/>
      <c r="B91" s="500"/>
      <c r="K91" s="363"/>
      <c r="L91" s="501"/>
      <c r="N91" s="502"/>
      <c r="O91" s="502"/>
      <c r="P91" s="371"/>
      <c r="Q91" s="501"/>
      <c r="R91" s="501"/>
      <c r="U91" s="501"/>
      <c r="V91" s="503"/>
      <c r="W91" s="503"/>
      <c r="X91" s="503"/>
      <c r="Y91" s="504"/>
      <c r="Z91" s="504"/>
      <c r="AA91" s="504"/>
      <c r="AB91" s="504"/>
      <c r="AC91" s="504"/>
      <c r="AF91" s="378"/>
      <c r="AG91" s="378"/>
      <c r="AH91" s="378"/>
      <c r="AI91" s="378"/>
      <c r="AL91" s="505"/>
      <c r="AM91" s="505"/>
      <c r="AN91" s="505"/>
      <c r="AO91" s="505"/>
      <c r="AQ91" s="370"/>
      <c r="AT91" s="370"/>
      <c r="AV91" s="134"/>
      <c r="AW91" s="370"/>
      <c r="AX91" s="370"/>
      <c r="AY91" s="370"/>
      <c r="AZ91" s="370"/>
      <c r="BA91" s="507"/>
      <c r="BB91" s="505"/>
      <c r="BC91" s="505"/>
      <c r="BD91" s="370"/>
      <c r="BE91" s="370"/>
      <c r="BF91" s="370"/>
      <c r="BG91" s="370"/>
      <c r="BH91" s="370"/>
      <c r="BI91" s="370"/>
      <c r="BJ91" s="370"/>
      <c r="BK91" s="370"/>
      <c r="BL91" s="370"/>
      <c r="BM91" s="370"/>
      <c r="BO91" s="370"/>
      <c r="BP91" s="370"/>
      <c r="BQ91" s="370"/>
      <c r="BR91" s="370"/>
      <c r="BS91" s="370"/>
      <c r="BV91" s="508"/>
      <c r="BW91" s="369"/>
      <c r="BX91" s="370"/>
      <c r="BY91" s="370"/>
      <c r="BZ91" s="370"/>
      <c r="CA91" s="370"/>
      <c r="CB91" s="370"/>
      <c r="CC91" s="505"/>
      <c r="CD91" s="505"/>
      <c r="CE91" s="505"/>
      <c r="CF91" s="505"/>
    </row>
    <row r="92" customFormat="false" ht="12.75" hidden="false" customHeight="false" outlineLevel="0" collapsed="false">
      <c r="A92" s="500"/>
      <c r="B92" s="500"/>
      <c r="K92" s="363"/>
      <c r="L92" s="501"/>
      <c r="N92" s="502"/>
      <c r="O92" s="502"/>
      <c r="P92" s="371"/>
      <c r="Q92" s="501"/>
      <c r="R92" s="501"/>
      <c r="U92" s="501"/>
      <c r="V92" s="503"/>
      <c r="W92" s="503"/>
      <c r="X92" s="503"/>
      <c r="Y92" s="504"/>
      <c r="Z92" s="504"/>
      <c r="AA92" s="504"/>
      <c r="AB92" s="504"/>
      <c r="AC92" s="504"/>
      <c r="AF92" s="378"/>
      <c r="AG92" s="378"/>
      <c r="AH92" s="378"/>
      <c r="AI92" s="378"/>
      <c r="AL92" s="505"/>
      <c r="AM92" s="505"/>
      <c r="AN92" s="505"/>
      <c r="AO92" s="505"/>
      <c r="AQ92" s="370"/>
      <c r="AT92" s="370"/>
      <c r="AV92" s="134"/>
      <c r="AW92" s="370"/>
      <c r="AX92" s="370"/>
      <c r="AY92" s="370"/>
      <c r="AZ92" s="370"/>
      <c r="BA92" s="507"/>
      <c r="BB92" s="505"/>
      <c r="BC92" s="505"/>
      <c r="BD92" s="370"/>
      <c r="BE92" s="370"/>
      <c r="BF92" s="370"/>
      <c r="BG92" s="370"/>
      <c r="BH92" s="370"/>
      <c r="BI92" s="370"/>
      <c r="BJ92" s="370"/>
      <c r="BK92" s="370"/>
      <c r="BL92" s="370"/>
      <c r="BM92" s="370"/>
      <c r="BO92" s="370"/>
      <c r="BP92" s="370"/>
      <c r="BQ92" s="370"/>
      <c r="BR92" s="370"/>
      <c r="BS92" s="370"/>
      <c r="BV92" s="508"/>
      <c r="BW92" s="369"/>
      <c r="BX92" s="370"/>
      <c r="BY92" s="370"/>
      <c r="BZ92" s="370"/>
      <c r="CA92" s="370"/>
      <c r="CB92" s="370"/>
      <c r="CC92" s="505"/>
      <c r="CD92" s="505"/>
      <c r="CE92" s="505"/>
      <c r="CF92" s="505"/>
    </row>
    <row r="93" customFormat="false" ht="12.75" hidden="false" customHeight="false" outlineLevel="0" collapsed="false">
      <c r="A93" s="500"/>
      <c r="B93" s="500"/>
      <c r="K93" s="363"/>
      <c r="L93" s="501"/>
      <c r="N93" s="502"/>
      <c r="O93" s="502"/>
      <c r="P93" s="371"/>
      <c r="Q93" s="501"/>
      <c r="R93" s="501"/>
      <c r="U93" s="501"/>
      <c r="V93" s="503"/>
      <c r="W93" s="503"/>
      <c r="X93" s="503"/>
      <c r="Y93" s="504"/>
      <c r="Z93" s="504"/>
      <c r="AA93" s="504"/>
      <c r="AB93" s="504"/>
      <c r="AC93" s="504"/>
      <c r="AF93" s="378"/>
      <c r="AG93" s="378"/>
      <c r="AH93" s="378"/>
      <c r="AI93" s="378"/>
      <c r="AL93" s="505"/>
      <c r="AM93" s="505"/>
      <c r="AN93" s="505"/>
      <c r="AO93" s="505"/>
      <c r="AQ93" s="370"/>
      <c r="AT93" s="370"/>
      <c r="AV93" s="134"/>
      <c r="AW93" s="370"/>
      <c r="AX93" s="370"/>
      <c r="AY93" s="370"/>
      <c r="AZ93" s="370"/>
      <c r="BA93" s="507"/>
      <c r="BB93" s="505"/>
      <c r="BC93" s="505"/>
      <c r="BD93" s="370"/>
      <c r="BE93" s="370"/>
      <c r="BF93" s="370"/>
      <c r="BG93" s="370"/>
      <c r="BH93" s="370"/>
      <c r="BI93" s="370"/>
      <c r="BJ93" s="370"/>
      <c r="BK93" s="370"/>
      <c r="BL93" s="370"/>
      <c r="BM93" s="370"/>
      <c r="BO93" s="370"/>
      <c r="BP93" s="370"/>
      <c r="BQ93" s="370"/>
      <c r="BR93" s="370"/>
      <c r="BS93" s="370"/>
      <c r="BV93" s="508"/>
      <c r="BW93" s="369"/>
      <c r="BX93" s="370"/>
      <c r="BY93" s="370"/>
      <c r="BZ93" s="370"/>
      <c r="CA93" s="370"/>
      <c r="CB93" s="370"/>
      <c r="CC93" s="505"/>
      <c r="CD93" s="505"/>
      <c r="CE93" s="505"/>
      <c r="CF93" s="505"/>
    </row>
    <row r="94" customFormat="false" ht="12.75" hidden="false" customHeight="false" outlineLevel="0" collapsed="false">
      <c r="A94" s="500"/>
      <c r="B94" s="500"/>
      <c r="K94" s="363"/>
      <c r="L94" s="501"/>
      <c r="N94" s="502"/>
      <c r="O94" s="502"/>
      <c r="P94" s="371"/>
      <c r="Q94" s="501"/>
      <c r="R94" s="501"/>
      <c r="U94" s="501"/>
      <c r="V94" s="503"/>
      <c r="W94" s="503"/>
      <c r="X94" s="503"/>
      <c r="Y94" s="504"/>
      <c r="Z94" s="504"/>
      <c r="AA94" s="504"/>
      <c r="AB94" s="504"/>
      <c r="AC94" s="504"/>
      <c r="AF94" s="378"/>
      <c r="AG94" s="378"/>
      <c r="AH94" s="378"/>
      <c r="AI94" s="378"/>
      <c r="AL94" s="505"/>
      <c r="AM94" s="505"/>
      <c r="AN94" s="505"/>
      <c r="AO94" s="505"/>
      <c r="AQ94" s="370"/>
      <c r="AT94" s="370"/>
      <c r="AV94" s="134"/>
      <c r="AW94" s="370"/>
      <c r="AX94" s="370"/>
      <c r="AY94" s="370"/>
      <c r="AZ94" s="370"/>
      <c r="BA94" s="507"/>
      <c r="BB94" s="505"/>
      <c r="BC94" s="505"/>
      <c r="BD94" s="370"/>
      <c r="BE94" s="370"/>
      <c r="BF94" s="370"/>
      <c r="BG94" s="370"/>
      <c r="BH94" s="370"/>
      <c r="BI94" s="370"/>
      <c r="BJ94" s="370"/>
      <c r="BK94" s="370"/>
      <c r="BL94" s="370"/>
      <c r="BM94" s="370"/>
      <c r="BO94" s="370"/>
      <c r="BP94" s="370"/>
      <c r="BQ94" s="370"/>
      <c r="BR94" s="370"/>
      <c r="BS94" s="370"/>
      <c r="BV94" s="508"/>
      <c r="BW94" s="369"/>
      <c r="BX94" s="370"/>
      <c r="BY94" s="370"/>
      <c r="BZ94" s="370"/>
      <c r="CA94" s="370"/>
      <c r="CB94" s="370"/>
      <c r="CC94" s="505"/>
      <c r="CD94" s="505"/>
      <c r="CE94" s="505"/>
      <c r="CF94" s="505"/>
    </row>
    <row r="95" customFormat="false" ht="12.75" hidden="false" customHeight="false" outlineLevel="0" collapsed="false">
      <c r="A95" s="500"/>
      <c r="B95" s="500"/>
      <c r="K95" s="363"/>
      <c r="L95" s="501"/>
      <c r="N95" s="502"/>
      <c r="O95" s="502"/>
      <c r="P95" s="371"/>
      <c r="Q95" s="501"/>
      <c r="R95" s="501"/>
      <c r="U95" s="501"/>
      <c r="V95" s="503"/>
      <c r="W95" s="503"/>
      <c r="X95" s="503"/>
      <c r="Y95" s="504"/>
      <c r="Z95" s="504"/>
      <c r="AA95" s="504"/>
      <c r="AB95" s="504"/>
      <c r="AC95" s="504"/>
      <c r="AF95" s="378"/>
      <c r="AG95" s="378"/>
      <c r="AH95" s="378"/>
      <c r="AI95" s="378"/>
      <c r="AL95" s="505"/>
      <c r="AM95" s="505"/>
      <c r="AN95" s="505"/>
      <c r="AO95" s="505"/>
      <c r="AQ95" s="370"/>
      <c r="AT95" s="370"/>
      <c r="AV95" s="134"/>
      <c r="AW95" s="370"/>
      <c r="AX95" s="370"/>
      <c r="AY95" s="370"/>
      <c r="AZ95" s="370"/>
      <c r="BA95" s="507"/>
      <c r="BB95" s="505"/>
      <c r="BC95" s="505"/>
      <c r="BD95" s="370"/>
      <c r="BE95" s="370"/>
      <c r="BF95" s="370"/>
      <c r="BG95" s="370"/>
      <c r="BH95" s="370"/>
      <c r="BI95" s="370"/>
      <c r="BJ95" s="370"/>
      <c r="BK95" s="370"/>
      <c r="BL95" s="370"/>
      <c r="BM95" s="370"/>
      <c r="BO95" s="370"/>
      <c r="BP95" s="370"/>
      <c r="BQ95" s="370"/>
      <c r="BR95" s="370"/>
      <c r="BS95" s="370"/>
      <c r="BV95" s="508"/>
      <c r="BW95" s="369"/>
      <c r="BX95" s="370"/>
      <c r="BY95" s="370"/>
      <c r="BZ95" s="370"/>
      <c r="CA95" s="370"/>
      <c r="CB95" s="370"/>
      <c r="CC95" s="505"/>
      <c r="CD95" s="505"/>
      <c r="CE95" s="505"/>
      <c r="CF95" s="505"/>
    </row>
    <row r="96" customFormat="false" ht="12.75" hidden="false" customHeight="false" outlineLevel="0" collapsed="false">
      <c r="A96" s="500"/>
      <c r="B96" s="500"/>
      <c r="L96" s="501"/>
      <c r="P96" s="371"/>
      <c r="Q96" s="501"/>
      <c r="R96" s="371"/>
      <c r="U96" s="371"/>
      <c r="V96" s="371"/>
      <c r="W96" s="371"/>
      <c r="X96" s="371"/>
      <c r="AO96" s="369"/>
      <c r="AQ96" s="370"/>
      <c r="AU96" s="530"/>
      <c r="AV96" s="134"/>
      <c r="AW96" s="370"/>
    </row>
    <row r="97" customFormat="false" ht="12.75" hidden="false" customHeight="false" outlineLevel="0" collapsed="false">
      <c r="A97" s="500"/>
      <c r="B97" s="500"/>
      <c r="L97" s="501"/>
      <c r="P97" s="371"/>
      <c r="Q97" s="501"/>
      <c r="R97" s="371"/>
      <c r="U97" s="371"/>
      <c r="V97" s="371"/>
      <c r="W97" s="371"/>
      <c r="X97" s="371"/>
      <c r="AO97" s="369"/>
      <c r="AQ97" s="370"/>
      <c r="AU97" s="530"/>
      <c r="AV97" s="134"/>
      <c r="AW97" s="370"/>
    </row>
    <row r="98" customFormat="false" ht="12.75" hidden="false" customHeight="false" outlineLevel="0" collapsed="false">
      <c r="A98" s="500"/>
      <c r="B98" s="500"/>
      <c r="L98" s="501"/>
      <c r="P98" s="371"/>
      <c r="Q98" s="501"/>
      <c r="R98" s="371"/>
      <c r="U98" s="371"/>
      <c r="V98" s="371"/>
      <c r="W98" s="371"/>
      <c r="X98" s="371"/>
      <c r="AO98" s="369"/>
      <c r="AQ98" s="370"/>
      <c r="AU98" s="530"/>
      <c r="AV98" s="134"/>
      <c r="AW98" s="370"/>
    </row>
    <row r="99" customFormat="false" ht="12.75" hidden="false" customHeight="false" outlineLevel="0" collapsed="false">
      <c r="A99" s="500"/>
      <c r="B99" s="500"/>
      <c r="L99" s="501"/>
      <c r="P99" s="371"/>
      <c r="Q99" s="501"/>
      <c r="R99" s="371"/>
      <c r="U99" s="371"/>
      <c r="V99" s="371"/>
      <c r="W99" s="371"/>
      <c r="X99" s="371"/>
      <c r="AO99" s="369"/>
      <c r="AQ99" s="370"/>
      <c r="AU99" s="530"/>
      <c r="AV99" s="134"/>
      <c r="AW99" s="370"/>
    </row>
    <row r="100" customFormat="false" ht="12.75" hidden="false" customHeight="false" outlineLevel="0" collapsed="false">
      <c r="A100" s="500"/>
      <c r="B100" s="500"/>
      <c r="L100" s="501"/>
      <c r="P100" s="371"/>
      <c r="Q100" s="501"/>
      <c r="R100" s="371"/>
      <c r="U100" s="371"/>
      <c r="V100" s="371"/>
      <c r="W100" s="371"/>
      <c r="X100" s="371"/>
      <c r="AO100" s="369"/>
      <c r="AQ100" s="370"/>
      <c r="AU100" s="530"/>
      <c r="AV100" s="134"/>
      <c r="AW100" s="370"/>
    </row>
    <row r="101" customFormat="false" ht="12.75" hidden="false" customHeight="false" outlineLevel="0" collapsed="false">
      <c r="A101" s="500"/>
      <c r="B101" s="500"/>
      <c r="L101" s="501"/>
      <c r="P101" s="371"/>
      <c r="Q101" s="501"/>
      <c r="R101" s="371"/>
      <c r="U101" s="371"/>
      <c r="V101" s="371"/>
      <c r="W101" s="371"/>
      <c r="X101" s="371"/>
      <c r="AO101" s="369"/>
      <c r="AQ101" s="370"/>
      <c r="AU101" s="530"/>
      <c r="AV101" s="134"/>
      <c r="AW101" s="370"/>
    </row>
    <row r="102" customFormat="false" ht="12.75" hidden="false" customHeight="false" outlineLevel="0" collapsed="false">
      <c r="A102" s="500"/>
      <c r="B102" s="500"/>
      <c r="L102" s="501"/>
      <c r="P102" s="371"/>
      <c r="Q102" s="501"/>
      <c r="R102" s="371"/>
      <c r="U102" s="371"/>
      <c r="V102" s="371"/>
      <c r="W102" s="371"/>
      <c r="X102" s="371"/>
      <c r="AO102" s="369"/>
      <c r="AQ102" s="370"/>
      <c r="AU102" s="530"/>
      <c r="AV102" s="134"/>
      <c r="AW102" s="370"/>
    </row>
    <row r="103" customFormat="false" ht="12.75" hidden="false" customHeight="false" outlineLevel="0" collapsed="false">
      <c r="A103" s="500"/>
      <c r="B103" s="500"/>
      <c r="L103" s="501"/>
      <c r="P103" s="371"/>
      <c r="Q103" s="501"/>
      <c r="R103" s="371"/>
      <c r="U103" s="371"/>
      <c r="V103" s="371"/>
      <c r="W103" s="371"/>
      <c r="X103" s="371"/>
      <c r="AO103" s="369"/>
      <c r="AQ103" s="370"/>
      <c r="AU103" s="530"/>
      <c r="AV103" s="134"/>
      <c r="AW103" s="370"/>
    </row>
    <row r="104" customFormat="false" ht="12.75" hidden="false" customHeight="false" outlineLevel="0" collapsed="false">
      <c r="A104" s="500"/>
      <c r="B104" s="500"/>
      <c r="L104" s="501"/>
      <c r="P104" s="371"/>
      <c r="Q104" s="501"/>
      <c r="R104" s="371"/>
      <c r="U104" s="371"/>
      <c r="V104" s="371"/>
      <c r="W104" s="371"/>
      <c r="X104" s="371"/>
      <c r="AO104" s="369"/>
      <c r="AQ104" s="370"/>
      <c r="AU104" s="530"/>
      <c r="AV104" s="134"/>
      <c r="AW104" s="370"/>
    </row>
    <row r="105" customFormat="false" ht="12.75" hidden="false" customHeight="false" outlineLevel="0" collapsed="false">
      <c r="A105" s="500"/>
      <c r="B105" s="500"/>
      <c r="L105" s="501"/>
      <c r="P105" s="371"/>
      <c r="Q105" s="501"/>
      <c r="R105" s="371"/>
      <c r="U105" s="371"/>
      <c r="V105" s="371"/>
      <c r="W105" s="371"/>
      <c r="X105" s="371"/>
      <c r="AO105" s="369"/>
      <c r="AQ105" s="370"/>
      <c r="AU105" s="530"/>
      <c r="AV105" s="134"/>
      <c r="AW105" s="370"/>
    </row>
    <row r="106" customFormat="false" ht="12.75" hidden="false" customHeight="false" outlineLevel="0" collapsed="false">
      <c r="A106" s="500"/>
      <c r="B106" s="500"/>
      <c r="L106" s="501"/>
      <c r="P106" s="371"/>
      <c r="Q106" s="501"/>
      <c r="R106" s="371"/>
      <c r="U106" s="371"/>
      <c r="V106" s="371"/>
      <c r="W106" s="371"/>
      <c r="X106" s="371"/>
      <c r="AO106" s="369"/>
      <c r="AQ106" s="370"/>
      <c r="AU106" s="530"/>
      <c r="AV106" s="134"/>
      <c r="AW106" s="370"/>
    </row>
    <row r="107" customFormat="false" ht="12.75" hidden="false" customHeight="false" outlineLevel="0" collapsed="false">
      <c r="A107" s="500"/>
      <c r="B107" s="500"/>
      <c r="L107" s="501"/>
      <c r="P107" s="371"/>
      <c r="Q107" s="501"/>
      <c r="R107" s="371"/>
      <c r="U107" s="371"/>
      <c r="V107" s="371"/>
      <c r="W107" s="371"/>
      <c r="X107" s="371"/>
      <c r="AO107" s="369"/>
      <c r="AQ107" s="370"/>
      <c r="AU107" s="530"/>
      <c r="AV107" s="134"/>
      <c r="AW107" s="370"/>
    </row>
    <row r="108" customFormat="false" ht="12.75" hidden="false" customHeight="false" outlineLevel="0" collapsed="false">
      <c r="A108" s="500"/>
      <c r="B108" s="500"/>
      <c r="L108" s="501"/>
      <c r="P108" s="371"/>
      <c r="Q108" s="501"/>
      <c r="R108" s="371"/>
      <c r="U108" s="371"/>
      <c r="V108" s="371"/>
      <c r="W108" s="371"/>
      <c r="X108" s="371"/>
      <c r="AO108" s="369"/>
      <c r="AQ108" s="370"/>
      <c r="AU108" s="530"/>
      <c r="AV108" s="134"/>
      <c r="AW108" s="370"/>
    </row>
    <row r="109" customFormat="false" ht="12.75" hidden="false" customHeight="false" outlineLevel="0" collapsed="false">
      <c r="A109" s="500"/>
      <c r="B109" s="500"/>
      <c r="L109" s="501"/>
      <c r="P109" s="371"/>
      <c r="Q109" s="501"/>
      <c r="R109" s="371"/>
      <c r="U109" s="371"/>
      <c r="V109" s="371"/>
      <c r="W109" s="371"/>
      <c r="X109" s="371"/>
      <c r="AO109" s="369"/>
      <c r="AQ109" s="370"/>
      <c r="AU109" s="530"/>
      <c r="AV109" s="134"/>
      <c r="AW109" s="370"/>
    </row>
    <row r="110" customFormat="false" ht="12.75" hidden="false" customHeight="false" outlineLevel="0" collapsed="false">
      <c r="A110" s="500"/>
      <c r="B110" s="500"/>
      <c r="L110" s="501"/>
      <c r="P110" s="371"/>
      <c r="Q110" s="501"/>
      <c r="R110" s="371"/>
      <c r="U110" s="371"/>
      <c r="V110" s="371"/>
      <c r="W110" s="371"/>
      <c r="X110" s="371"/>
      <c r="AO110" s="369"/>
      <c r="AQ110" s="370"/>
      <c r="AU110" s="530"/>
      <c r="AV110" s="134"/>
      <c r="AW110" s="370"/>
    </row>
    <row r="111" customFormat="false" ht="12.75" hidden="false" customHeight="false" outlineLevel="0" collapsed="false">
      <c r="A111" s="500"/>
      <c r="B111" s="500"/>
      <c r="L111" s="501"/>
      <c r="P111" s="371"/>
      <c r="Q111" s="501"/>
      <c r="R111" s="371"/>
      <c r="U111" s="371"/>
      <c r="V111" s="371"/>
      <c r="W111" s="371"/>
      <c r="X111" s="371"/>
      <c r="AO111" s="369"/>
      <c r="AQ111" s="370"/>
      <c r="AU111" s="530"/>
      <c r="AV111" s="134"/>
      <c r="AW111" s="370"/>
    </row>
    <row r="112" customFormat="false" ht="12.75" hidden="false" customHeight="false" outlineLevel="0" collapsed="false">
      <c r="A112" s="500"/>
      <c r="B112" s="500"/>
      <c r="L112" s="501"/>
      <c r="P112" s="371"/>
      <c r="Q112" s="501"/>
      <c r="R112" s="371"/>
      <c r="U112" s="371"/>
      <c r="V112" s="371"/>
      <c r="W112" s="371"/>
      <c r="X112" s="371"/>
      <c r="AO112" s="369"/>
      <c r="AQ112" s="370"/>
      <c r="AU112" s="530"/>
      <c r="AV112" s="134"/>
      <c r="AW112" s="370"/>
    </row>
    <row r="113" customFormat="false" ht="12.75" hidden="false" customHeight="false" outlineLevel="0" collapsed="false">
      <c r="A113" s="500"/>
      <c r="B113" s="500"/>
      <c r="L113" s="501"/>
      <c r="P113" s="371"/>
      <c r="Q113" s="501"/>
      <c r="R113" s="371"/>
      <c r="U113" s="371"/>
      <c r="V113" s="371"/>
      <c r="W113" s="371"/>
      <c r="X113" s="371"/>
      <c r="AO113" s="369"/>
      <c r="AQ113" s="370"/>
      <c r="AU113" s="530"/>
      <c r="AV113" s="134"/>
      <c r="AW113" s="370"/>
    </row>
    <row r="114" customFormat="false" ht="12.75" hidden="false" customHeight="false" outlineLevel="0" collapsed="false">
      <c r="A114" s="500"/>
      <c r="B114" s="500"/>
      <c r="L114" s="501"/>
      <c r="P114" s="371"/>
      <c r="Q114" s="501"/>
      <c r="R114" s="371"/>
      <c r="U114" s="371"/>
      <c r="V114" s="371"/>
      <c r="W114" s="371"/>
      <c r="X114" s="371"/>
      <c r="AO114" s="369"/>
      <c r="AQ114" s="370"/>
      <c r="AU114" s="530"/>
      <c r="AV114" s="134"/>
      <c r="AW114" s="370"/>
    </row>
    <row r="115" customFormat="false" ht="12.75" hidden="false" customHeight="false" outlineLevel="0" collapsed="false">
      <c r="A115" s="500"/>
      <c r="B115" s="500"/>
      <c r="L115" s="501"/>
      <c r="P115" s="371"/>
      <c r="Q115" s="501"/>
      <c r="R115" s="371"/>
      <c r="U115" s="371"/>
      <c r="V115" s="371"/>
      <c r="W115" s="371"/>
      <c r="X115" s="371"/>
      <c r="AO115" s="369"/>
      <c r="AQ115" s="370"/>
      <c r="AU115" s="530"/>
      <c r="AV115" s="134"/>
      <c r="AW115" s="370"/>
    </row>
    <row r="116" customFormat="false" ht="12.75" hidden="false" customHeight="false" outlineLevel="0" collapsed="false">
      <c r="A116" s="500"/>
      <c r="B116" s="500"/>
      <c r="L116" s="501"/>
      <c r="P116" s="371"/>
      <c r="Q116" s="501"/>
      <c r="R116" s="371"/>
      <c r="U116" s="371"/>
      <c r="V116" s="371"/>
      <c r="W116" s="371"/>
      <c r="X116" s="371"/>
      <c r="AO116" s="369"/>
      <c r="AQ116" s="370"/>
      <c r="AU116" s="530"/>
      <c r="AV116" s="134"/>
      <c r="AW116" s="370"/>
    </row>
    <row r="117" customFormat="false" ht="12.75" hidden="false" customHeight="false" outlineLevel="0" collapsed="false">
      <c r="A117" s="500"/>
      <c r="B117" s="500"/>
      <c r="L117" s="501"/>
      <c r="P117" s="371"/>
      <c r="Q117" s="501"/>
      <c r="R117" s="371"/>
      <c r="U117" s="371"/>
      <c r="V117" s="371"/>
      <c r="W117" s="371"/>
      <c r="X117" s="371"/>
      <c r="AO117" s="369"/>
      <c r="AQ117" s="370"/>
      <c r="AU117" s="530"/>
      <c r="AV117" s="134"/>
      <c r="AW117" s="370"/>
    </row>
    <row r="118" customFormat="false" ht="12.75" hidden="false" customHeight="false" outlineLevel="0" collapsed="false">
      <c r="A118" s="500"/>
      <c r="B118" s="500"/>
      <c r="L118" s="501"/>
      <c r="P118" s="371"/>
      <c r="Q118" s="501"/>
      <c r="R118" s="371"/>
      <c r="U118" s="371"/>
      <c r="V118" s="371"/>
      <c r="W118" s="371"/>
      <c r="X118" s="371"/>
      <c r="AO118" s="369"/>
      <c r="AQ118" s="370"/>
      <c r="AU118" s="530"/>
      <c r="AV118" s="134"/>
      <c r="AW118" s="370"/>
    </row>
    <row r="119" customFormat="false" ht="12.75" hidden="false" customHeight="false" outlineLevel="0" collapsed="false">
      <c r="A119" s="500"/>
      <c r="B119" s="500"/>
      <c r="L119" s="501"/>
      <c r="P119" s="371"/>
      <c r="Q119" s="501"/>
      <c r="R119" s="371"/>
      <c r="U119" s="371"/>
      <c r="V119" s="371"/>
      <c r="W119" s="371"/>
      <c r="X119" s="371"/>
      <c r="AO119" s="369"/>
      <c r="AQ119" s="370"/>
      <c r="AU119" s="530"/>
      <c r="AV119" s="134"/>
      <c r="AW119" s="370"/>
    </row>
    <row r="120" customFormat="false" ht="12.75" hidden="false" customHeight="false" outlineLevel="0" collapsed="false">
      <c r="A120" s="500"/>
      <c r="B120" s="500"/>
      <c r="L120" s="501"/>
      <c r="P120" s="371"/>
      <c r="Q120" s="501"/>
      <c r="R120" s="371"/>
      <c r="U120" s="371"/>
      <c r="V120" s="371"/>
      <c r="W120" s="371"/>
      <c r="X120" s="371"/>
      <c r="AO120" s="369"/>
      <c r="AQ120" s="370"/>
      <c r="AU120" s="530"/>
      <c r="AV120" s="134"/>
      <c r="AW120" s="370"/>
    </row>
    <row r="121" customFormat="false" ht="12.75" hidden="false" customHeight="false" outlineLevel="0" collapsed="false">
      <c r="A121" s="500"/>
      <c r="B121" s="500"/>
      <c r="L121" s="501"/>
      <c r="P121" s="371"/>
      <c r="Q121" s="501"/>
      <c r="R121" s="371"/>
      <c r="U121" s="371"/>
      <c r="V121" s="371"/>
      <c r="W121" s="371"/>
      <c r="X121" s="371"/>
      <c r="AO121" s="369"/>
      <c r="AQ121" s="370"/>
      <c r="AU121" s="530"/>
      <c r="AV121" s="134"/>
      <c r="AW121" s="370"/>
    </row>
    <row r="122" customFormat="false" ht="12.75" hidden="false" customHeight="false" outlineLevel="0" collapsed="false">
      <c r="A122" s="500"/>
      <c r="B122" s="500"/>
      <c r="L122" s="501"/>
      <c r="P122" s="371"/>
      <c r="Q122" s="501"/>
      <c r="R122" s="371"/>
      <c r="U122" s="371"/>
      <c r="V122" s="371"/>
      <c r="W122" s="371"/>
      <c r="X122" s="371"/>
      <c r="AO122" s="369"/>
      <c r="AQ122" s="370"/>
      <c r="AU122" s="530"/>
      <c r="AV122" s="134"/>
      <c r="AW122" s="370"/>
    </row>
    <row r="123" customFormat="false" ht="12.75" hidden="false" customHeight="false" outlineLevel="0" collapsed="false">
      <c r="A123" s="500"/>
      <c r="B123" s="500"/>
      <c r="L123" s="501"/>
      <c r="P123" s="371"/>
      <c r="Q123" s="501"/>
      <c r="R123" s="371"/>
      <c r="U123" s="371"/>
      <c r="V123" s="371"/>
      <c r="W123" s="371"/>
      <c r="X123" s="371"/>
      <c r="AO123" s="369"/>
      <c r="AQ123" s="370"/>
      <c r="AU123" s="530"/>
      <c r="AV123" s="134"/>
      <c r="AW123" s="370"/>
    </row>
    <row r="124" customFormat="false" ht="12.75" hidden="false" customHeight="false" outlineLevel="0" collapsed="false">
      <c r="A124" s="500"/>
      <c r="B124" s="500"/>
      <c r="L124" s="501"/>
      <c r="P124" s="371"/>
      <c r="Q124" s="501"/>
      <c r="R124" s="371"/>
      <c r="U124" s="371"/>
      <c r="V124" s="371"/>
      <c r="W124" s="371"/>
      <c r="X124" s="371"/>
      <c r="AO124" s="369"/>
      <c r="AQ124" s="370"/>
      <c r="AU124" s="530"/>
      <c r="AV124" s="134"/>
      <c r="AW124" s="370"/>
    </row>
    <row r="125" customFormat="false" ht="12.75" hidden="false" customHeight="false" outlineLevel="0" collapsed="false">
      <c r="A125" s="500"/>
      <c r="B125" s="500"/>
      <c r="L125" s="501"/>
      <c r="P125" s="371"/>
      <c r="Q125" s="501"/>
      <c r="R125" s="371"/>
      <c r="U125" s="371"/>
      <c r="V125" s="371"/>
      <c r="W125" s="371"/>
      <c r="X125" s="371"/>
      <c r="AO125" s="369"/>
      <c r="AQ125" s="370"/>
      <c r="AU125" s="530"/>
      <c r="AV125" s="134"/>
      <c r="AW125" s="370"/>
    </row>
    <row r="126" customFormat="false" ht="12.75" hidden="false" customHeight="false" outlineLevel="0" collapsed="false">
      <c r="A126" s="500"/>
      <c r="B126" s="500"/>
      <c r="L126" s="501"/>
      <c r="P126" s="371"/>
      <c r="Q126" s="501"/>
      <c r="R126" s="371"/>
      <c r="U126" s="371"/>
      <c r="V126" s="371"/>
      <c r="W126" s="371"/>
      <c r="X126" s="371"/>
      <c r="AO126" s="369"/>
      <c r="AQ126" s="370"/>
      <c r="AU126" s="530"/>
      <c r="AV126" s="134"/>
      <c r="AW126" s="370"/>
    </row>
    <row r="127" customFormat="false" ht="12.75" hidden="false" customHeight="false" outlineLevel="0" collapsed="false">
      <c r="A127" s="500"/>
      <c r="B127" s="500"/>
      <c r="L127" s="501"/>
      <c r="P127" s="371"/>
      <c r="Q127" s="501"/>
      <c r="R127" s="371"/>
      <c r="U127" s="371"/>
      <c r="V127" s="371"/>
      <c r="W127" s="371"/>
      <c r="X127" s="371"/>
      <c r="AO127" s="369"/>
      <c r="AQ127" s="370"/>
      <c r="AU127" s="530"/>
      <c r="AV127" s="134"/>
      <c r="AW127" s="370"/>
    </row>
    <row r="128" customFormat="false" ht="12.75" hidden="false" customHeight="false" outlineLevel="0" collapsed="false">
      <c r="A128" s="500"/>
      <c r="B128" s="500"/>
      <c r="L128" s="501"/>
      <c r="P128" s="371"/>
      <c r="Q128" s="501"/>
      <c r="R128" s="371"/>
      <c r="U128" s="371"/>
      <c r="V128" s="371"/>
      <c r="W128" s="371"/>
      <c r="X128" s="371"/>
      <c r="AO128" s="369"/>
      <c r="AQ128" s="370"/>
      <c r="AU128" s="530"/>
      <c r="AV128" s="134"/>
      <c r="AW128" s="370"/>
    </row>
    <row r="129" customFormat="false" ht="12.75" hidden="false" customHeight="false" outlineLevel="0" collapsed="false">
      <c r="A129" s="500"/>
      <c r="B129" s="500"/>
      <c r="L129" s="501"/>
      <c r="P129" s="371"/>
      <c r="Q129" s="501"/>
      <c r="R129" s="371"/>
      <c r="U129" s="371"/>
      <c r="V129" s="371"/>
      <c r="W129" s="371"/>
      <c r="X129" s="371"/>
      <c r="AO129" s="369"/>
      <c r="AQ129" s="370"/>
      <c r="AU129" s="530"/>
      <c r="AV129" s="134"/>
      <c r="AW129" s="370"/>
    </row>
    <row r="130" customFormat="false" ht="12.75" hidden="false" customHeight="false" outlineLevel="0" collapsed="false">
      <c r="P130" s="371"/>
      <c r="Q130" s="371"/>
      <c r="R130" s="371"/>
      <c r="U130" s="371"/>
      <c r="V130" s="371"/>
      <c r="W130" s="371"/>
      <c r="X130" s="371"/>
      <c r="AO130" s="369"/>
      <c r="AQ130" s="370"/>
      <c r="AS130" s="370"/>
      <c r="AU130" s="530"/>
      <c r="AV130" s="369"/>
      <c r="AW130" s="370"/>
    </row>
    <row r="131" customFormat="false" ht="12.75" hidden="false" customHeight="false" outlineLevel="0" collapsed="false">
      <c r="P131" s="371"/>
      <c r="Q131" s="371"/>
      <c r="R131" s="371"/>
      <c r="U131" s="371"/>
      <c r="V131" s="371"/>
      <c r="W131" s="371"/>
      <c r="X131" s="371"/>
      <c r="AO131" s="369"/>
      <c r="AQ131" s="370"/>
      <c r="AS131" s="370"/>
      <c r="AU131" s="530"/>
      <c r="AV131" s="369"/>
      <c r="AW131" s="370"/>
    </row>
    <row r="132" customFormat="false" ht="12.75" hidden="false" customHeight="false" outlineLevel="0" collapsed="false">
      <c r="P132" s="371"/>
      <c r="Q132" s="371"/>
      <c r="R132" s="371"/>
      <c r="U132" s="371"/>
      <c r="V132" s="371"/>
      <c r="W132" s="371"/>
      <c r="X132" s="371"/>
      <c r="AO132" s="369"/>
      <c r="AQ132" s="370"/>
      <c r="AS132" s="370"/>
      <c r="AU132" s="530"/>
      <c r="AV132" s="369"/>
      <c r="AW132" s="370"/>
    </row>
    <row r="133" customFormat="false" ht="12.75" hidden="false" customHeight="false" outlineLevel="0" collapsed="false">
      <c r="P133" s="371"/>
      <c r="Q133" s="371"/>
      <c r="R133" s="371"/>
      <c r="U133" s="371"/>
      <c r="V133" s="371"/>
      <c r="W133" s="371"/>
      <c r="X133" s="371"/>
      <c r="AO133" s="369"/>
      <c r="AQ133" s="370"/>
      <c r="AS133" s="370"/>
      <c r="AU133" s="530"/>
      <c r="AV133" s="369"/>
      <c r="AW133" s="370"/>
    </row>
    <row r="134" customFormat="false" ht="12.75" hidden="false" customHeight="false" outlineLevel="0" collapsed="false">
      <c r="P134" s="371"/>
      <c r="Q134" s="371"/>
      <c r="R134" s="371"/>
      <c r="U134" s="371"/>
      <c r="V134" s="371"/>
      <c r="W134" s="371"/>
      <c r="X134" s="371"/>
      <c r="AO134" s="369"/>
      <c r="AQ134" s="370"/>
      <c r="AS134" s="370"/>
      <c r="AU134" s="530"/>
      <c r="AV134" s="369"/>
      <c r="AW134" s="370"/>
    </row>
    <row r="135" customFormat="false" ht="12.75" hidden="false" customHeight="false" outlineLevel="0" collapsed="false">
      <c r="P135" s="371"/>
      <c r="Q135" s="371"/>
      <c r="R135" s="371"/>
      <c r="U135" s="371"/>
      <c r="V135" s="371"/>
      <c r="W135" s="371"/>
      <c r="X135" s="371"/>
      <c r="AO135" s="369"/>
      <c r="AQ135" s="370"/>
      <c r="AS135" s="370"/>
      <c r="AU135" s="530"/>
      <c r="AV135" s="369"/>
      <c r="AW135" s="370"/>
    </row>
    <row r="136" customFormat="false" ht="12.75" hidden="false" customHeight="false" outlineLevel="0" collapsed="false">
      <c r="P136" s="371"/>
      <c r="Q136" s="371"/>
      <c r="R136" s="371"/>
      <c r="U136" s="371"/>
      <c r="V136" s="371"/>
      <c r="W136" s="371"/>
      <c r="X136" s="371"/>
      <c r="AO136" s="369"/>
      <c r="AQ136" s="370"/>
      <c r="AS136" s="370"/>
      <c r="AU136" s="530"/>
      <c r="AV136" s="369"/>
      <c r="AW136" s="370"/>
    </row>
    <row r="137" customFormat="false" ht="12.75" hidden="false" customHeight="false" outlineLevel="0" collapsed="false">
      <c r="P137" s="371"/>
      <c r="Q137" s="371"/>
      <c r="R137" s="371"/>
      <c r="U137" s="371"/>
      <c r="V137" s="371"/>
      <c r="W137" s="371"/>
      <c r="X137" s="371"/>
      <c r="AO137" s="369"/>
      <c r="AQ137" s="370"/>
      <c r="AS137" s="370"/>
      <c r="AU137" s="530"/>
      <c r="AV137" s="369"/>
      <c r="AW137" s="370"/>
    </row>
    <row r="138" customFormat="false" ht="12.75" hidden="false" customHeight="false" outlineLevel="0" collapsed="false">
      <c r="P138" s="371"/>
      <c r="Q138" s="371"/>
      <c r="R138" s="371"/>
      <c r="U138" s="371"/>
      <c r="V138" s="371"/>
      <c r="W138" s="371"/>
      <c r="X138" s="371"/>
      <c r="AO138" s="369"/>
      <c r="AQ138" s="370"/>
      <c r="AS138" s="370"/>
      <c r="AU138" s="530"/>
      <c r="AV138" s="369"/>
      <c r="AW138" s="370"/>
    </row>
    <row r="139" customFormat="false" ht="12.75" hidden="false" customHeight="false" outlineLevel="0" collapsed="false">
      <c r="P139" s="371"/>
      <c r="Q139" s="371"/>
      <c r="R139" s="371"/>
      <c r="U139" s="371"/>
      <c r="V139" s="371"/>
      <c r="W139" s="371"/>
      <c r="X139" s="371"/>
      <c r="AO139" s="369"/>
      <c r="AQ139" s="370"/>
      <c r="AS139" s="370"/>
      <c r="AU139" s="530"/>
      <c r="AV139" s="369"/>
      <c r="AW139" s="370"/>
    </row>
    <row r="140" customFormat="false" ht="12.75" hidden="false" customHeight="false" outlineLevel="0" collapsed="false">
      <c r="P140" s="371"/>
      <c r="Q140" s="371"/>
      <c r="R140" s="371"/>
      <c r="U140" s="371"/>
      <c r="V140" s="371"/>
      <c r="W140" s="371"/>
      <c r="X140" s="371"/>
      <c r="AO140" s="369"/>
      <c r="AQ140" s="370"/>
      <c r="AS140" s="370"/>
      <c r="AU140" s="530"/>
      <c r="AV140" s="369"/>
      <c r="AW140" s="370"/>
    </row>
    <row r="141" customFormat="false" ht="12.75" hidden="false" customHeight="false" outlineLevel="0" collapsed="false">
      <c r="P141" s="371"/>
      <c r="Q141" s="371"/>
      <c r="R141" s="371"/>
      <c r="U141" s="371"/>
      <c r="V141" s="371"/>
      <c r="W141" s="371"/>
      <c r="X141" s="371"/>
      <c r="AO141" s="369"/>
      <c r="AQ141" s="370"/>
      <c r="AS141" s="370"/>
      <c r="AU141" s="530"/>
      <c r="AV141" s="369"/>
      <c r="AW141" s="370"/>
    </row>
    <row r="142" customFormat="false" ht="12.75" hidden="false" customHeight="false" outlineLevel="0" collapsed="false">
      <c r="P142" s="371"/>
      <c r="Q142" s="371"/>
      <c r="R142" s="371"/>
      <c r="U142" s="371"/>
      <c r="V142" s="371"/>
      <c r="W142" s="371"/>
      <c r="X142" s="371"/>
      <c r="AO142" s="369"/>
      <c r="AQ142" s="370"/>
      <c r="AS142" s="370"/>
      <c r="AU142" s="530"/>
      <c r="AV142" s="369"/>
      <c r="AW142" s="370"/>
    </row>
    <row r="143" customFormat="false" ht="12.75" hidden="false" customHeight="false" outlineLevel="0" collapsed="false">
      <c r="P143" s="371"/>
      <c r="Q143" s="371"/>
      <c r="R143" s="371"/>
      <c r="U143" s="371"/>
      <c r="V143" s="371"/>
      <c r="W143" s="371"/>
      <c r="X143" s="371"/>
      <c r="AO143" s="369"/>
      <c r="AQ143" s="370"/>
      <c r="AS143" s="370"/>
      <c r="AU143" s="530"/>
      <c r="AV143" s="369"/>
      <c r="AW143" s="370"/>
    </row>
    <row r="144" customFormat="false" ht="12.75" hidden="false" customHeight="false" outlineLevel="0" collapsed="false">
      <c r="P144" s="371"/>
      <c r="Q144" s="371"/>
      <c r="R144" s="371"/>
      <c r="U144" s="371"/>
      <c r="V144" s="371"/>
      <c r="W144" s="371"/>
      <c r="X144" s="371"/>
      <c r="AO144" s="369"/>
      <c r="AQ144" s="370"/>
      <c r="AS144" s="370"/>
      <c r="AU144" s="530"/>
      <c r="AV144" s="369"/>
      <c r="AW144" s="370"/>
    </row>
    <row r="145" customFormat="false" ht="12.75" hidden="false" customHeight="false" outlineLevel="0" collapsed="false">
      <c r="P145" s="371"/>
      <c r="Q145" s="371"/>
      <c r="R145" s="371"/>
      <c r="U145" s="371"/>
      <c r="V145" s="371"/>
      <c r="W145" s="371"/>
      <c r="X145" s="371"/>
      <c r="AO145" s="369"/>
      <c r="AQ145" s="370"/>
      <c r="AS145" s="370"/>
      <c r="AU145" s="530"/>
      <c r="AV145" s="369"/>
      <c r="AW145" s="370"/>
    </row>
    <row r="146" customFormat="false" ht="12.75" hidden="false" customHeight="false" outlineLevel="0" collapsed="false">
      <c r="P146" s="371"/>
      <c r="Q146" s="371"/>
      <c r="R146" s="371"/>
      <c r="U146" s="371"/>
      <c r="V146" s="371"/>
      <c r="W146" s="371"/>
      <c r="X146" s="371"/>
      <c r="AO146" s="369"/>
      <c r="AQ146" s="370"/>
      <c r="AS146" s="370"/>
      <c r="AU146" s="530"/>
      <c r="AV146" s="369"/>
      <c r="AW146" s="370"/>
    </row>
    <row r="147" customFormat="false" ht="12.75" hidden="false" customHeight="false" outlineLevel="0" collapsed="false">
      <c r="P147" s="371"/>
      <c r="Q147" s="371"/>
      <c r="R147" s="371"/>
      <c r="U147" s="371"/>
      <c r="V147" s="371"/>
      <c r="W147" s="371"/>
      <c r="X147" s="371"/>
      <c r="AO147" s="369"/>
      <c r="AQ147" s="370"/>
      <c r="AS147" s="370"/>
      <c r="AU147" s="530"/>
      <c r="AV147" s="369"/>
      <c r="AW147" s="370"/>
    </row>
    <row r="148" customFormat="false" ht="12.75" hidden="false" customHeight="false" outlineLevel="0" collapsed="false">
      <c r="P148" s="371"/>
      <c r="Q148" s="371"/>
      <c r="R148" s="371"/>
      <c r="U148" s="371"/>
      <c r="V148" s="371"/>
      <c r="W148" s="371"/>
      <c r="X148" s="371"/>
      <c r="AO148" s="369"/>
      <c r="AQ148" s="370"/>
      <c r="AS148" s="370"/>
      <c r="AU148" s="530"/>
      <c r="AV148" s="369"/>
      <c r="AW148" s="370"/>
    </row>
    <row r="149" customFormat="false" ht="12.75" hidden="false" customHeight="false" outlineLevel="0" collapsed="false">
      <c r="P149" s="371"/>
      <c r="Q149" s="371"/>
      <c r="R149" s="371"/>
      <c r="U149" s="371"/>
      <c r="V149" s="371"/>
      <c r="W149" s="371"/>
      <c r="X149" s="371"/>
      <c r="AO149" s="369"/>
      <c r="AQ149" s="370"/>
      <c r="AS149" s="370"/>
      <c r="AU149" s="530"/>
      <c r="AV149" s="369"/>
      <c r="AW149" s="370"/>
    </row>
    <row r="150" customFormat="false" ht="12.75" hidden="false" customHeight="false" outlineLevel="0" collapsed="false">
      <c r="P150" s="371"/>
      <c r="Q150" s="371"/>
      <c r="R150" s="371"/>
      <c r="U150" s="371"/>
      <c r="V150" s="371"/>
      <c r="W150" s="371"/>
      <c r="X150" s="371"/>
      <c r="AO150" s="369"/>
      <c r="AQ150" s="370"/>
      <c r="AS150" s="370"/>
      <c r="AU150" s="530"/>
      <c r="AV150" s="369"/>
      <c r="AW150" s="370"/>
    </row>
    <row r="151" customFormat="false" ht="12.75" hidden="false" customHeight="false" outlineLevel="0" collapsed="false">
      <c r="P151" s="371"/>
      <c r="Q151" s="371"/>
      <c r="R151" s="371"/>
      <c r="U151" s="371"/>
      <c r="V151" s="371"/>
      <c r="W151" s="371"/>
      <c r="X151" s="371"/>
      <c r="AO151" s="369"/>
      <c r="AQ151" s="370"/>
      <c r="AS151" s="370"/>
      <c r="AU151" s="530"/>
      <c r="AV151" s="369"/>
      <c r="AW151" s="370"/>
    </row>
    <row r="152" customFormat="false" ht="12.75" hidden="false" customHeight="false" outlineLevel="0" collapsed="false">
      <c r="P152" s="371"/>
      <c r="Q152" s="371"/>
      <c r="R152" s="371"/>
      <c r="U152" s="371"/>
      <c r="V152" s="371"/>
      <c r="W152" s="371"/>
      <c r="X152" s="371"/>
      <c r="AO152" s="369"/>
      <c r="AQ152" s="370"/>
      <c r="AS152" s="370"/>
      <c r="AU152" s="530"/>
      <c r="AV152" s="369"/>
      <c r="AW152" s="370"/>
    </row>
    <row r="153" customFormat="false" ht="12.75" hidden="false" customHeight="false" outlineLevel="0" collapsed="false">
      <c r="P153" s="371"/>
      <c r="Q153" s="371"/>
      <c r="R153" s="371"/>
      <c r="U153" s="371"/>
      <c r="V153" s="371"/>
      <c r="W153" s="371"/>
      <c r="X153" s="371"/>
      <c r="AO153" s="369"/>
      <c r="AQ153" s="370"/>
      <c r="AS153" s="370"/>
      <c r="AU153" s="530"/>
      <c r="AV153" s="369"/>
      <c r="AW153" s="370"/>
    </row>
    <row r="154" customFormat="false" ht="12.75" hidden="false" customHeight="false" outlineLevel="0" collapsed="false">
      <c r="P154" s="371"/>
      <c r="Q154" s="371"/>
      <c r="R154" s="371"/>
      <c r="U154" s="371"/>
      <c r="V154" s="371"/>
      <c r="W154" s="371"/>
      <c r="X154" s="371"/>
      <c r="AO154" s="369"/>
      <c r="AQ154" s="370"/>
      <c r="AS154" s="370"/>
      <c r="AU154" s="530"/>
      <c r="AV154" s="369"/>
      <c r="AW154" s="370"/>
    </row>
    <row r="155" customFormat="false" ht="12.75" hidden="false" customHeight="false" outlineLevel="0" collapsed="false">
      <c r="P155" s="371"/>
      <c r="Q155" s="371"/>
      <c r="R155" s="371"/>
      <c r="U155" s="371"/>
      <c r="V155" s="371"/>
      <c r="W155" s="371"/>
      <c r="X155" s="371"/>
      <c r="AO155" s="369"/>
      <c r="AQ155" s="370"/>
      <c r="AS155" s="370"/>
      <c r="AU155" s="530"/>
      <c r="AV155" s="369"/>
      <c r="AW155" s="370"/>
    </row>
    <row r="156" customFormat="false" ht="12.75" hidden="false" customHeight="false" outlineLevel="0" collapsed="false">
      <c r="P156" s="371"/>
      <c r="Q156" s="371"/>
      <c r="R156" s="371"/>
      <c r="U156" s="371"/>
      <c r="V156" s="371"/>
      <c r="W156" s="371"/>
      <c r="X156" s="371"/>
      <c r="AO156" s="369"/>
      <c r="AQ156" s="370"/>
      <c r="AS156" s="370"/>
      <c r="AU156" s="530"/>
      <c r="AV156" s="369"/>
      <c r="AW156" s="370"/>
    </row>
    <row r="157" customFormat="false" ht="12.75" hidden="false" customHeight="false" outlineLevel="0" collapsed="false">
      <c r="P157" s="371"/>
      <c r="Q157" s="371"/>
      <c r="R157" s="371"/>
      <c r="U157" s="371"/>
      <c r="V157" s="371"/>
      <c r="W157" s="371"/>
      <c r="X157" s="371"/>
      <c r="AO157" s="369"/>
      <c r="AQ157" s="370"/>
      <c r="AS157" s="370"/>
      <c r="AU157" s="530"/>
      <c r="AV157" s="369"/>
      <c r="AW157" s="370"/>
    </row>
    <row r="158" customFormat="false" ht="12.75" hidden="false" customHeight="false" outlineLevel="0" collapsed="false">
      <c r="P158" s="371"/>
      <c r="Q158" s="371"/>
      <c r="R158" s="371"/>
      <c r="U158" s="371"/>
      <c r="V158" s="371"/>
      <c r="W158" s="371"/>
      <c r="X158" s="371"/>
      <c r="AO158" s="369"/>
      <c r="AQ158" s="370"/>
      <c r="AS158" s="370"/>
      <c r="AU158" s="530"/>
      <c r="AV158" s="369"/>
      <c r="AW158" s="370"/>
    </row>
    <row r="159" customFormat="false" ht="12.75" hidden="false" customHeight="false" outlineLevel="0" collapsed="false">
      <c r="P159" s="371"/>
      <c r="Q159" s="371"/>
      <c r="R159" s="371"/>
      <c r="U159" s="371"/>
      <c r="V159" s="371"/>
      <c r="W159" s="371"/>
      <c r="X159" s="371"/>
      <c r="AO159" s="369"/>
      <c r="AQ159" s="370"/>
      <c r="AS159" s="370"/>
      <c r="AU159" s="530"/>
      <c r="AV159" s="369"/>
      <c r="AW159" s="370"/>
    </row>
    <row r="160" customFormat="false" ht="12.75" hidden="false" customHeight="false" outlineLevel="0" collapsed="false">
      <c r="P160" s="371"/>
      <c r="Q160" s="371"/>
      <c r="R160" s="371"/>
      <c r="U160" s="371"/>
      <c r="V160" s="371"/>
      <c r="W160" s="371"/>
      <c r="X160" s="371"/>
      <c r="AO160" s="369"/>
      <c r="AQ160" s="370"/>
      <c r="AS160" s="370"/>
      <c r="AU160" s="530"/>
      <c r="AV160" s="369"/>
      <c r="AW160" s="370"/>
    </row>
    <row r="161" customFormat="false" ht="12.75" hidden="false" customHeight="false" outlineLevel="0" collapsed="false">
      <c r="P161" s="371"/>
      <c r="Q161" s="371"/>
      <c r="R161" s="371"/>
      <c r="U161" s="371"/>
      <c r="V161" s="371"/>
      <c r="W161" s="371"/>
      <c r="X161" s="371"/>
      <c r="AO161" s="369"/>
      <c r="AQ161" s="370"/>
      <c r="AS161" s="370"/>
      <c r="AU161" s="530"/>
      <c r="AV161" s="369"/>
      <c r="AW161" s="370"/>
    </row>
    <row r="162" customFormat="false" ht="12.75" hidden="false" customHeight="false" outlineLevel="0" collapsed="false">
      <c r="P162" s="371"/>
      <c r="Q162" s="371"/>
      <c r="R162" s="371"/>
      <c r="U162" s="371"/>
      <c r="V162" s="371"/>
      <c r="W162" s="371"/>
      <c r="X162" s="371"/>
      <c r="AO162" s="369"/>
      <c r="AQ162" s="370"/>
      <c r="AS162" s="370"/>
      <c r="AU162" s="530"/>
      <c r="AV162" s="369"/>
      <c r="AW162" s="370"/>
    </row>
    <row r="163" customFormat="false" ht="12.75" hidden="false" customHeight="false" outlineLevel="0" collapsed="false">
      <c r="P163" s="371"/>
      <c r="Q163" s="371"/>
      <c r="R163" s="371"/>
      <c r="U163" s="371"/>
      <c r="V163" s="371"/>
      <c r="W163" s="371"/>
      <c r="X163" s="371"/>
      <c r="AO163" s="369"/>
      <c r="AQ163" s="370"/>
      <c r="AS163" s="370"/>
      <c r="AU163" s="530"/>
      <c r="AV163" s="369"/>
      <c r="AW163" s="370"/>
    </row>
    <row r="164" customFormat="false" ht="12.75" hidden="false" customHeight="false" outlineLevel="0" collapsed="false">
      <c r="P164" s="371"/>
      <c r="Q164" s="371"/>
      <c r="R164" s="371"/>
      <c r="U164" s="371"/>
      <c r="V164" s="371"/>
      <c r="W164" s="371"/>
      <c r="X164" s="371"/>
      <c r="AO164" s="369"/>
      <c r="AQ164" s="370"/>
      <c r="AS164" s="370"/>
      <c r="AU164" s="530"/>
      <c r="AV164" s="369"/>
      <c r="AW164" s="370"/>
    </row>
    <row r="165" customFormat="false" ht="12.75" hidden="false" customHeight="false" outlineLevel="0" collapsed="false">
      <c r="P165" s="371"/>
      <c r="Q165" s="371"/>
      <c r="R165" s="371"/>
      <c r="U165" s="371"/>
      <c r="V165" s="371"/>
      <c r="W165" s="371"/>
      <c r="X165" s="371"/>
      <c r="AO165" s="369"/>
      <c r="AQ165" s="370"/>
      <c r="AS165" s="370"/>
      <c r="AU165" s="530"/>
      <c r="AV165" s="369"/>
      <c r="AW165" s="370"/>
    </row>
    <row r="166" customFormat="false" ht="12.75" hidden="false" customHeight="false" outlineLevel="0" collapsed="false">
      <c r="P166" s="371"/>
      <c r="Q166" s="371"/>
      <c r="R166" s="371"/>
      <c r="U166" s="371"/>
      <c r="V166" s="371"/>
      <c r="W166" s="371"/>
      <c r="X166" s="371"/>
      <c r="AO166" s="369"/>
      <c r="AQ166" s="370"/>
      <c r="AS166" s="370"/>
      <c r="AU166" s="530"/>
      <c r="AV166" s="369"/>
      <c r="AW166" s="370"/>
    </row>
    <row r="167" customFormat="false" ht="12.75" hidden="false" customHeight="false" outlineLevel="0" collapsed="false">
      <c r="P167" s="371"/>
      <c r="Q167" s="371"/>
      <c r="R167" s="371"/>
      <c r="U167" s="371"/>
      <c r="V167" s="371"/>
      <c r="W167" s="371"/>
      <c r="X167" s="371"/>
      <c r="AO167" s="369"/>
      <c r="AQ167" s="370"/>
      <c r="AS167" s="370"/>
      <c r="AU167" s="530"/>
      <c r="AV167" s="369"/>
      <c r="AW167" s="370"/>
    </row>
    <row r="168" customFormat="false" ht="12.75" hidden="false" customHeight="false" outlineLevel="0" collapsed="false">
      <c r="P168" s="371"/>
      <c r="Q168" s="371"/>
      <c r="R168" s="371"/>
      <c r="U168" s="371"/>
      <c r="V168" s="371"/>
      <c r="W168" s="371"/>
      <c r="X168" s="371"/>
      <c r="AO168" s="369"/>
      <c r="AQ168" s="370"/>
      <c r="AS168" s="370"/>
      <c r="AU168" s="530"/>
      <c r="AV168" s="369"/>
      <c r="AW168" s="370"/>
    </row>
    <row r="169" customFormat="false" ht="12.75" hidden="false" customHeight="false" outlineLevel="0" collapsed="false">
      <c r="P169" s="371"/>
      <c r="Q169" s="371"/>
      <c r="R169" s="371"/>
      <c r="U169" s="371"/>
      <c r="V169" s="371"/>
      <c r="W169" s="371"/>
      <c r="X169" s="371"/>
      <c r="AO169" s="369"/>
      <c r="AQ169" s="370"/>
      <c r="AS169" s="370"/>
      <c r="AU169" s="530"/>
      <c r="AV169" s="369"/>
      <c r="AW169" s="370"/>
    </row>
    <row r="170" customFormat="false" ht="12.75" hidden="false" customHeight="false" outlineLevel="0" collapsed="false">
      <c r="P170" s="371"/>
      <c r="Q170" s="371"/>
      <c r="R170" s="371"/>
      <c r="U170" s="371"/>
      <c r="V170" s="371"/>
      <c r="W170" s="371"/>
      <c r="X170" s="371"/>
      <c r="AO170" s="369"/>
      <c r="AQ170" s="370"/>
      <c r="AS170" s="370"/>
      <c r="AU170" s="530"/>
      <c r="AV170" s="369"/>
      <c r="AW170" s="370"/>
    </row>
    <row r="171" customFormat="false" ht="12.75" hidden="false" customHeight="false" outlineLevel="0" collapsed="false">
      <c r="P171" s="371"/>
      <c r="Q171" s="371"/>
      <c r="R171" s="371"/>
      <c r="U171" s="371"/>
      <c r="V171" s="371"/>
      <c r="W171" s="371"/>
      <c r="X171" s="371"/>
      <c r="AO171" s="369"/>
      <c r="AQ171" s="370"/>
      <c r="AS171" s="370"/>
      <c r="AU171" s="530"/>
      <c r="AV171" s="369"/>
      <c r="AW171" s="370"/>
    </row>
    <row r="172" customFormat="false" ht="12.75" hidden="false" customHeight="false" outlineLevel="0" collapsed="false">
      <c r="P172" s="371"/>
      <c r="Q172" s="371"/>
      <c r="R172" s="371"/>
      <c r="U172" s="371"/>
      <c r="V172" s="371"/>
      <c r="W172" s="371"/>
      <c r="X172" s="371"/>
      <c r="AO172" s="369"/>
      <c r="AQ172" s="370"/>
      <c r="AS172" s="370"/>
      <c r="AU172" s="530"/>
      <c r="AV172" s="369"/>
      <c r="AW172" s="370"/>
    </row>
    <row r="173" customFormat="false" ht="12.75" hidden="false" customHeight="false" outlineLevel="0" collapsed="false">
      <c r="P173" s="371"/>
      <c r="Q173" s="371"/>
      <c r="R173" s="371"/>
      <c r="U173" s="371"/>
      <c r="V173" s="371"/>
      <c r="W173" s="371"/>
      <c r="X173" s="371"/>
      <c r="AO173" s="369"/>
      <c r="AQ173" s="370"/>
      <c r="AS173" s="370"/>
      <c r="AU173" s="530"/>
      <c r="AV173" s="369"/>
      <c r="AW173" s="370"/>
    </row>
    <row r="174" customFormat="false" ht="12.75" hidden="false" customHeight="false" outlineLevel="0" collapsed="false">
      <c r="P174" s="371"/>
      <c r="Q174" s="371"/>
      <c r="R174" s="371"/>
      <c r="U174" s="371"/>
      <c r="V174" s="371"/>
      <c r="W174" s="371"/>
      <c r="X174" s="371"/>
      <c r="AO174" s="369"/>
      <c r="AQ174" s="370"/>
      <c r="AS174" s="370"/>
      <c r="AU174" s="530"/>
      <c r="AV174" s="369"/>
      <c r="AW174" s="370"/>
    </row>
    <row r="175" customFormat="false" ht="12.75" hidden="false" customHeight="false" outlineLevel="0" collapsed="false">
      <c r="P175" s="371"/>
      <c r="Q175" s="371"/>
      <c r="R175" s="371"/>
      <c r="U175" s="371"/>
      <c r="V175" s="371"/>
      <c r="W175" s="371"/>
      <c r="X175" s="371"/>
      <c r="AO175" s="369"/>
      <c r="AQ175" s="370"/>
      <c r="AS175" s="370"/>
      <c r="AU175" s="530"/>
      <c r="AV175" s="369"/>
      <c r="AW175" s="370"/>
    </row>
    <row r="176" customFormat="false" ht="12.75" hidden="false" customHeight="false" outlineLevel="0" collapsed="false">
      <c r="P176" s="371"/>
      <c r="Q176" s="371"/>
      <c r="R176" s="371"/>
      <c r="U176" s="371"/>
      <c r="V176" s="371"/>
      <c r="W176" s="371"/>
      <c r="X176" s="371"/>
      <c r="AO176" s="369"/>
      <c r="AQ176" s="370"/>
      <c r="AS176" s="370"/>
      <c r="AU176" s="530"/>
      <c r="AV176" s="369"/>
      <c r="AW176" s="370"/>
    </row>
    <row r="177" customFormat="false" ht="12.75" hidden="false" customHeight="false" outlineLevel="0" collapsed="false">
      <c r="P177" s="371"/>
      <c r="Q177" s="371"/>
      <c r="R177" s="371"/>
      <c r="U177" s="371"/>
      <c r="V177" s="371"/>
      <c r="W177" s="371"/>
      <c r="X177" s="371"/>
      <c r="AO177" s="369"/>
      <c r="AQ177" s="370"/>
      <c r="AS177" s="370"/>
      <c r="AU177" s="530"/>
      <c r="AV177" s="369"/>
      <c r="AW177" s="370"/>
    </row>
    <row r="178" customFormat="false" ht="12.75" hidden="false" customHeight="false" outlineLevel="0" collapsed="false">
      <c r="P178" s="371"/>
      <c r="Q178" s="371"/>
      <c r="R178" s="371"/>
      <c r="U178" s="371"/>
      <c r="V178" s="371"/>
      <c r="W178" s="371"/>
      <c r="X178" s="371"/>
    </row>
    <row r="179" customFormat="false" ht="12.75" hidden="false" customHeight="false" outlineLevel="0" collapsed="false">
      <c r="P179" s="371"/>
      <c r="Q179" s="371"/>
      <c r="R179" s="371"/>
      <c r="U179" s="371"/>
      <c r="V179" s="371"/>
      <c r="W179" s="371"/>
      <c r="X179" s="371"/>
    </row>
    <row r="180" customFormat="false" ht="12.75" hidden="false" customHeight="false" outlineLevel="0" collapsed="false">
      <c r="P180" s="371"/>
      <c r="Q180" s="371"/>
      <c r="R180" s="371"/>
      <c r="U180" s="371"/>
      <c r="V180" s="371"/>
      <c r="W180" s="371"/>
      <c r="X180" s="371"/>
    </row>
    <row r="181" customFormat="false" ht="12.75" hidden="false" customHeight="false" outlineLevel="0" collapsed="false">
      <c r="P181" s="371"/>
      <c r="Q181" s="371"/>
      <c r="R181" s="371"/>
      <c r="U181" s="371"/>
      <c r="V181" s="371"/>
      <c r="W181" s="371"/>
      <c r="X181" s="371"/>
    </row>
    <row r="182" customFormat="false" ht="12.75" hidden="false" customHeight="false" outlineLevel="0" collapsed="false">
      <c r="P182" s="371"/>
      <c r="Q182" s="371"/>
      <c r="R182" s="371"/>
      <c r="U182" s="371"/>
      <c r="V182" s="371"/>
      <c r="W182" s="371"/>
      <c r="X182" s="371"/>
    </row>
    <row r="183" customFormat="false" ht="12.75" hidden="false" customHeight="false" outlineLevel="0" collapsed="false">
      <c r="P183" s="371"/>
      <c r="Q183" s="371"/>
      <c r="R183" s="371"/>
      <c r="U183" s="371"/>
      <c r="V183" s="371"/>
      <c r="W183" s="371"/>
      <c r="X183" s="371"/>
    </row>
    <row r="184" customFormat="false" ht="12.75" hidden="false" customHeight="false" outlineLevel="0" collapsed="false">
      <c r="P184" s="371"/>
      <c r="Q184" s="371"/>
      <c r="R184" s="371"/>
      <c r="U184" s="371"/>
      <c r="V184" s="371"/>
      <c r="W184" s="371"/>
      <c r="X184" s="371"/>
    </row>
    <row r="185" customFormat="false" ht="12.75" hidden="false" customHeight="false" outlineLevel="0" collapsed="false">
      <c r="P185" s="371"/>
      <c r="Q185" s="371"/>
      <c r="R185" s="371"/>
      <c r="U185" s="371"/>
      <c r="V185" s="371"/>
      <c r="W185" s="371"/>
      <c r="X185" s="371"/>
    </row>
    <row r="186" customFormat="false" ht="12.75" hidden="false" customHeight="false" outlineLevel="0" collapsed="false">
      <c r="P186" s="371"/>
      <c r="Q186" s="371"/>
      <c r="R186" s="371"/>
      <c r="U186" s="371"/>
      <c r="V186" s="371"/>
      <c r="W186" s="371"/>
      <c r="X186" s="371"/>
    </row>
    <row r="187" customFormat="false" ht="12.75" hidden="false" customHeight="false" outlineLevel="0" collapsed="false">
      <c r="P187" s="371"/>
      <c r="Q187" s="371"/>
      <c r="R187" s="371"/>
      <c r="U187" s="371"/>
      <c r="V187" s="371"/>
      <c r="W187" s="371"/>
      <c r="X187" s="371"/>
    </row>
    <row r="188" customFormat="false" ht="12.75" hidden="false" customHeight="false" outlineLevel="0" collapsed="false">
      <c r="P188" s="371"/>
      <c r="Q188" s="371"/>
      <c r="R188" s="371"/>
      <c r="U188" s="371"/>
      <c r="V188" s="371"/>
      <c r="W188" s="371"/>
      <c r="X188" s="371"/>
    </row>
    <row r="189" customFormat="false" ht="12.75" hidden="false" customHeight="false" outlineLevel="0" collapsed="false">
      <c r="P189" s="371"/>
      <c r="Q189" s="371"/>
      <c r="R189" s="371"/>
      <c r="U189" s="371"/>
      <c r="V189" s="371"/>
      <c r="W189" s="371"/>
      <c r="X189" s="371"/>
    </row>
    <row r="190" customFormat="false" ht="12.75" hidden="false" customHeight="false" outlineLevel="0" collapsed="false">
      <c r="P190" s="371"/>
      <c r="Q190" s="371"/>
      <c r="R190" s="371"/>
      <c r="U190" s="371"/>
      <c r="V190" s="371"/>
      <c r="W190" s="371"/>
      <c r="X190" s="371"/>
    </row>
    <row r="191" customFormat="false" ht="12.75" hidden="false" customHeight="false" outlineLevel="0" collapsed="false">
      <c r="P191" s="371"/>
      <c r="Q191" s="371"/>
      <c r="R191" s="371"/>
      <c r="U191" s="371"/>
      <c r="V191" s="371"/>
      <c r="W191" s="371"/>
      <c r="X191" s="371"/>
    </row>
    <row r="192" customFormat="false" ht="12.75" hidden="false" customHeight="false" outlineLevel="0" collapsed="false">
      <c r="P192" s="371"/>
      <c r="Q192" s="371"/>
      <c r="R192" s="371"/>
      <c r="U192" s="371"/>
      <c r="V192" s="371"/>
      <c r="W192" s="371"/>
      <c r="X192" s="371"/>
    </row>
    <row r="193" customFormat="false" ht="12.75" hidden="false" customHeight="false" outlineLevel="0" collapsed="false">
      <c r="P193" s="371"/>
      <c r="Q193" s="371"/>
      <c r="R193" s="371"/>
      <c r="U193" s="371"/>
      <c r="V193" s="371"/>
      <c r="W193" s="371"/>
      <c r="X193" s="371"/>
    </row>
    <row r="194" customFormat="false" ht="12.75" hidden="false" customHeight="false" outlineLevel="0" collapsed="false">
      <c r="P194" s="371"/>
      <c r="Q194" s="371"/>
      <c r="R194" s="371"/>
      <c r="U194" s="371"/>
      <c r="V194" s="371"/>
      <c r="W194" s="371"/>
      <c r="X194" s="371"/>
    </row>
    <row r="195" customFormat="false" ht="12.75" hidden="false" customHeight="false" outlineLevel="0" collapsed="false">
      <c r="P195" s="371"/>
      <c r="Q195" s="371"/>
      <c r="R195" s="371"/>
      <c r="U195" s="371"/>
      <c r="V195" s="371"/>
      <c r="W195" s="371"/>
      <c r="X195" s="371"/>
    </row>
    <row r="196" customFormat="false" ht="12.75" hidden="false" customHeight="false" outlineLevel="0" collapsed="false">
      <c r="P196" s="371"/>
      <c r="Q196" s="371"/>
      <c r="R196" s="371"/>
      <c r="U196" s="371"/>
      <c r="V196" s="371"/>
      <c r="W196" s="371"/>
      <c r="X196" s="371"/>
    </row>
    <row r="197" customFormat="false" ht="12.75" hidden="false" customHeight="false" outlineLevel="0" collapsed="false">
      <c r="P197" s="371"/>
      <c r="Q197" s="371"/>
      <c r="R197" s="371"/>
      <c r="U197" s="371"/>
      <c r="V197" s="371"/>
      <c r="W197" s="371"/>
      <c r="X197" s="371"/>
    </row>
    <row r="198" customFormat="false" ht="12.75" hidden="false" customHeight="false" outlineLevel="0" collapsed="false">
      <c r="P198" s="371"/>
      <c r="Q198" s="371"/>
      <c r="R198" s="371"/>
      <c r="U198" s="371"/>
      <c r="V198" s="371"/>
      <c r="W198" s="371"/>
      <c r="X198" s="371"/>
    </row>
    <row r="199" customFormat="false" ht="12.75" hidden="false" customHeight="false" outlineLevel="0" collapsed="false">
      <c r="P199" s="371"/>
      <c r="Q199" s="371"/>
      <c r="R199" s="371"/>
      <c r="U199" s="371"/>
      <c r="V199" s="371"/>
      <c r="W199" s="371"/>
      <c r="X199" s="371"/>
    </row>
    <row r="200" customFormat="false" ht="12.75" hidden="false" customHeight="false" outlineLevel="0" collapsed="false">
      <c r="P200" s="371"/>
      <c r="Q200" s="371"/>
      <c r="R200" s="371"/>
      <c r="U200" s="371"/>
      <c r="V200" s="371"/>
      <c r="W200" s="371"/>
      <c r="X200" s="371"/>
    </row>
    <row r="201" customFormat="false" ht="12.75" hidden="false" customHeight="false" outlineLevel="0" collapsed="false">
      <c r="P201" s="371"/>
      <c r="Q201" s="371"/>
      <c r="R201" s="371"/>
      <c r="U201" s="371"/>
      <c r="V201" s="371"/>
      <c r="W201" s="371"/>
      <c r="X201" s="371"/>
    </row>
    <row r="202" customFormat="false" ht="12.75" hidden="false" customHeight="false" outlineLevel="0" collapsed="false">
      <c r="P202" s="371"/>
      <c r="Q202" s="371"/>
      <c r="R202" s="371"/>
      <c r="U202" s="371"/>
      <c r="V202" s="371"/>
      <c r="W202" s="371"/>
      <c r="X202" s="371"/>
    </row>
    <row r="203" customFormat="false" ht="12.75" hidden="false" customHeight="false" outlineLevel="0" collapsed="false">
      <c r="P203" s="371"/>
      <c r="Q203" s="371"/>
      <c r="R203" s="371"/>
      <c r="U203" s="371"/>
      <c r="V203" s="371"/>
      <c r="W203" s="371"/>
      <c r="X203" s="371"/>
    </row>
    <row r="204" customFormat="false" ht="12.75" hidden="false" customHeight="false" outlineLevel="0" collapsed="false">
      <c r="P204" s="371"/>
      <c r="Q204" s="371"/>
      <c r="R204" s="371"/>
      <c r="U204" s="371"/>
      <c r="V204" s="371"/>
      <c r="W204" s="371"/>
      <c r="X204" s="371"/>
    </row>
    <row r="205" customFormat="false" ht="12.75" hidden="false" customHeight="false" outlineLevel="0" collapsed="false">
      <c r="P205" s="371"/>
      <c r="Q205" s="371"/>
      <c r="R205" s="371"/>
      <c r="U205" s="371"/>
      <c r="V205" s="371"/>
      <c r="W205" s="371"/>
      <c r="X205" s="371"/>
    </row>
    <row r="206" customFormat="false" ht="12.75" hidden="false" customHeight="false" outlineLevel="0" collapsed="false">
      <c r="P206" s="371"/>
      <c r="Q206" s="371"/>
      <c r="R206" s="371"/>
      <c r="U206" s="371"/>
      <c r="V206" s="371"/>
      <c r="W206" s="371"/>
      <c r="X206" s="371"/>
    </row>
    <row r="207" customFormat="false" ht="12.75" hidden="false" customHeight="false" outlineLevel="0" collapsed="false">
      <c r="P207" s="371"/>
      <c r="Q207" s="371"/>
      <c r="R207" s="371"/>
      <c r="U207" s="371"/>
      <c r="V207" s="371"/>
      <c r="W207" s="371"/>
      <c r="X207" s="371"/>
    </row>
    <row r="208" customFormat="false" ht="12.75" hidden="false" customHeight="false" outlineLevel="0" collapsed="false">
      <c r="P208" s="371"/>
      <c r="Q208" s="371"/>
      <c r="R208" s="371"/>
      <c r="U208" s="371"/>
      <c r="V208" s="371"/>
      <c r="W208" s="371"/>
      <c r="X208" s="371"/>
    </row>
    <row r="209" customFormat="false" ht="12.75" hidden="false" customHeight="false" outlineLevel="0" collapsed="false">
      <c r="P209" s="371"/>
      <c r="Q209" s="371"/>
      <c r="R209" s="371"/>
      <c r="U209" s="371"/>
      <c r="V209" s="371"/>
      <c r="W209" s="371"/>
      <c r="X209" s="371"/>
    </row>
    <row r="210" customFormat="false" ht="12.75" hidden="false" customHeight="false" outlineLevel="0" collapsed="false">
      <c r="P210" s="371"/>
      <c r="Q210" s="371"/>
      <c r="R210" s="371"/>
      <c r="U210" s="371"/>
      <c r="V210" s="371"/>
      <c r="W210" s="371"/>
      <c r="X210" s="371"/>
    </row>
    <row r="211" customFormat="false" ht="12.75" hidden="false" customHeight="false" outlineLevel="0" collapsed="false">
      <c r="P211" s="371"/>
      <c r="Q211" s="371"/>
      <c r="R211" s="371"/>
      <c r="U211" s="371"/>
      <c r="V211" s="371"/>
      <c r="W211" s="371"/>
      <c r="X211" s="371"/>
    </row>
    <row r="212" customFormat="false" ht="12.75" hidden="false" customHeight="false" outlineLevel="0" collapsed="false">
      <c r="P212" s="371"/>
      <c r="Q212" s="371"/>
      <c r="R212" s="371"/>
      <c r="U212" s="371"/>
      <c r="V212" s="371"/>
      <c r="W212" s="371"/>
      <c r="X212" s="371"/>
    </row>
    <row r="213" customFormat="false" ht="12.75" hidden="false" customHeight="false" outlineLevel="0" collapsed="false">
      <c r="P213" s="371"/>
      <c r="Q213" s="371"/>
      <c r="R213" s="371"/>
      <c r="U213" s="371"/>
      <c r="V213" s="371"/>
      <c r="W213" s="371"/>
      <c r="X213" s="371"/>
    </row>
    <row r="214" customFormat="false" ht="12.75" hidden="false" customHeight="false" outlineLevel="0" collapsed="false">
      <c r="P214" s="371"/>
      <c r="Q214" s="371"/>
      <c r="R214" s="371"/>
      <c r="U214" s="371"/>
      <c r="V214" s="371"/>
      <c r="W214" s="371"/>
      <c r="X214" s="371"/>
    </row>
    <row r="215" customFormat="false" ht="12.75" hidden="false" customHeight="false" outlineLevel="0" collapsed="false">
      <c r="P215" s="371"/>
      <c r="Q215" s="371"/>
      <c r="R215" s="371"/>
      <c r="U215" s="371"/>
      <c r="V215" s="371"/>
      <c r="W215" s="371"/>
      <c r="X215" s="371"/>
    </row>
    <row r="216" customFormat="false" ht="12.75" hidden="false" customHeight="false" outlineLevel="0" collapsed="false">
      <c r="P216" s="371"/>
      <c r="Q216" s="371"/>
      <c r="R216" s="371"/>
      <c r="U216" s="371"/>
      <c r="V216" s="371"/>
      <c r="W216" s="371"/>
      <c r="X216" s="371"/>
    </row>
    <row r="217" customFormat="false" ht="12.75" hidden="false" customHeight="false" outlineLevel="0" collapsed="false">
      <c r="P217" s="371"/>
      <c r="Q217" s="371"/>
      <c r="R217" s="371"/>
      <c r="U217" s="371"/>
      <c r="V217" s="371"/>
      <c r="W217" s="371"/>
      <c r="X217" s="371"/>
    </row>
    <row r="218" customFormat="false" ht="12.75" hidden="false" customHeight="false" outlineLevel="0" collapsed="false">
      <c r="P218" s="371"/>
      <c r="Q218" s="371"/>
      <c r="R218" s="371"/>
      <c r="U218" s="371"/>
      <c r="V218" s="371"/>
      <c r="W218" s="371"/>
      <c r="X218" s="371"/>
    </row>
    <row r="219" customFormat="false" ht="12.75" hidden="false" customHeight="false" outlineLevel="0" collapsed="false">
      <c r="P219" s="371"/>
      <c r="Q219" s="371"/>
      <c r="R219" s="371"/>
      <c r="U219" s="371"/>
      <c r="V219" s="371"/>
      <c r="W219" s="371"/>
      <c r="X219" s="371"/>
    </row>
    <row r="220" customFormat="false" ht="12.75" hidden="false" customHeight="false" outlineLevel="0" collapsed="false">
      <c r="P220" s="371"/>
      <c r="Q220" s="371"/>
      <c r="R220" s="371"/>
      <c r="U220" s="371"/>
      <c r="V220" s="371"/>
      <c r="W220" s="371"/>
      <c r="X220" s="371"/>
    </row>
    <row r="221" customFormat="false" ht="12.75" hidden="false" customHeight="false" outlineLevel="0" collapsed="false">
      <c r="P221" s="371"/>
      <c r="Q221" s="371"/>
      <c r="R221" s="371"/>
      <c r="U221" s="371"/>
      <c r="V221" s="371"/>
      <c r="W221" s="371"/>
      <c r="X221" s="371"/>
    </row>
    <row r="222" customFormat="false" ht="12.75" hidden="false" customHeight="false" outlineLevel="0" collapsed="false">
      <c r="P222" s="371"/>
      <c r="Q222" s="371"/>
      <c r="R222" s="371"/>
      <c r="U222" s="371"/>
      <c r="V222" s="371"/>
      <c r="W222" s="371"/>
      <c r="X222" s="371"/>
    </row>
    <row r="223" customFormat="false" ht="12.75" hidden="false" customHeight="false" outlineLevel="0" collapsed="false">
      <c r="P223" s="371"/>
      <c r="Q223" s="371"/>
      <c r="R223" s="371"/>
      <c r="U223" s="371"/>
      <c r="V223" s="371"/>
      <c r="W223" s="371"/>
      <c r="X223" s="371"/>
    </row>
    <row r="224" customFormat="false" ht="12.75" hidden="false" customHeight="false" outlineLevel="0" collapsed="false">
      <c r="P224" s="371"/>
      <c r="Q224" s="371"/>
      <c r="R224" s="371"/>
      <c r="U224" s="371"/>
      <c r="V224" s="371"/>
      <c r="W224" s="371"/>
      <c r="X224" s="371"/>
    </row>
    <row r="225" customFormat="false" ht="12.75" hidden="false" customHeight="false" outlineLevel="0" collapsed="false">
      <c r="P225" s="371"/>
      <c r="Q225" s="371"/>
      <c r="R225" s="371"/>
      <c r="U225" s="371"/>
      <c r="V225" s="371"/>
      <c r="W225" s="371"/>
      <c r="X225" s="371"/>
    </row>
    <row r="226" customFormat="false" ht="12.75" hidden="false" customHeight="false" outlineLevel="0" collapsed="false">
      <c r="P226" s="371"/>
      <c r="Q226" s="371"/>
      <c r="R226" s="371"/>
      <c r="U226" s="371"/>
      <c r="V226" s="371"/>
      <c r="W226" s="371"/>
      <c r="X226" s="371"/>
    </row>
    <row r="227" customFormat="false" ht="12.75" hidden="false" customHeight="false" outlineLevel="0" collapsed="false">
      <c r="P227" s="371"/>
      <c r="Q227" s="371"/>
      <c r="R227" s="371"/>
      <c r="U227" s="371"/>
      <c r="V227" s="371"/>
      <c r="W227" s="371"/>
      <c r="X227" s="371"/>
    </row>
    <row r="228" customFormat="false" ht="12.75" hidden="false" customHeight="false" outlineLevel="0" collapsed="false">
      <c r="P228" s="371"/>
      <c r="Q228" s="371"/>
      <c r="R228" s="371"/>
      <c r="U228" s="371"/>
      <c r="V228" s="371"/>
      <c r="W228" s="371"/>
      <c r="X228" s="371"/>
    </row>
    <row r="229" customFormat="false" ht="12.75" hidden="false" customHeight="false" outlineLevel="0" collapsed="false">
      <c r="P229" s="371"/>
      <c r="Q229" s="371"/>
      <c r="R229" s="371"/>
      <c r="U229" s="371"/>
      <c r="V229" s="371"/>
      <c r="W229" s="371"/>
      <c r="X229" s="371"/>
    </row>
    <row r="230" customFormat="false" ht="12.75" hidden="false" customHeight="false" outlineLevel="0" collapsed="false">
      <c r="P230" s="371"/>
      <c r="Q230" s="371"/>
      <c r="R230" s="371"/>
      <c r="U230" s="371"/>
      <c r="V230" s="371"/>
      <c r="W230" s="371"/>
      <c r="X230" s="371"/>
    </row>
    <row r="231" customFormat="false" ht="12.75" hidden="false" customHeight="false" outlineLevel="0" collapsed="false">
      <c r="P231" s="371"/>
      <c r="Q231" s="371"/>
      <c r="R231" s="371"/>
      <c r="U231" s="371"/>
      <c r="V231" s="371"/>
      <c r="W231" s="371"/>
      <c r="X231" s="371"/>
    </row>
    <row r="232" customFormat="false" ht="12.75" hidden="false" customHeight="false" outlineLevel="0" collapsed="false">
      <c r="P232" s="371"/>
      <c r="Q232" s="371"/>
      <c r="R232" s="371"/>
      <c r="U232" s="371"/>
      <c r="V232" s="371"/>
      <c r="W232" s="371"/>
      <c r="X232" s="371"/>
    </row>
    <row r="233" customFormat="false" ht="12.75" hidden="false" customHeight="false" outlineLevel="0" collapsed="false">
      <c r="P233" s="371"/>
      <c r="Q233" s="371"/>
      <c r="R233" s="371"/>
      <c r="U233" s="371"/>
      <c r="V233" s="371"/>
      <c r="W233" s="371"/>
      <c r="X233" s="371"/>
    </row>
    <row r="234" customFormat="false" ht="12.75" hidden="false" customHeight="false" outlineLevel="0" collapsed="false">
      <c r="P234" s="371"/>
      <c r="Q234" s="371"/>
      <c r="R234" s="371"/>
      <c r="U234" s="371"/>
      <c r="V234" s="371"/>
      <c r="W234" s="371"/>
      <c r="X234" s="371"/>
    </row>
    <row r="235" customFormat="false" ht="12.75" hidden="false" customHeight="false" outlineLevel="0" collapsed="false">
      <c r="P235" s="371"/>
      <c r="Q235" s="371"/>
      <c r="R235" s="371"/>
      <c r="U235" s="371"/>
      <c r="V235" s="371"/>
      <c r="W235" s="371"/>
      <c r="X235" s="371"/>
    </row>
    <row r="236" customFormat="false" ht="12.75" hidden="false" customHeight="false" outlineLevel="0" collapsed="false">
      <c r="P236" s="371"/>
      <c r="Q236" s="371"/>
      <c r="R236" s="371"/>
      <c r="U236" s="371"/>
      <c r="V236" s="371"/>
      <c r="W236" s="371"/>
      <c r="X236" s="371"/>
    </row>
    <row r="237" customFormat="false" ht="12.75" hidden="false" customHeight="false" outlineLevel="0" collapsed="false">
      <c r="P237" s="371"/>
      <c r="Q237" s="371"/>
      <c r="R237" s="371"/>
      <c r="U237" s="371"/>
      <c r="V237" s="371"/>
      <c r="W237" s="371"/>
      <c r="X237" s="371"/>
    </row>
    <row r="238" customFormat="false" ht="12.75" hidden="false" customHeight="false" outlineLevel="0" collapsed="false">
      <c r="P238" s="371"/>
      <c r="Q238" s="371"/>
      <c r="R238" s="371"/>
      <c r="U238" s="371"/>
      <c r="V238" s="371"/>
      <c r="W238" s="371"/>
      <c r="X238" s="371"/>
    </row>
    <row r="239" customFormat="false" ht="12.75" hidden="false" customHeight="false" outlineLevel="0" collapsed="false">
      <c r="P239" s="371"/>
      <c r="Q239" s="371"/>
      <c r="R239" s="371"/>
      <c r="U239" s="371"/>
      <c r="V239" s="371"/>
      <c r="W239" s="371"/>
      <c r="X239" s="371"/>
    </row>
    <row r="240" customFormat="false" ht="12.75" hidden="false" customHeight="false" outlineLevel="0" collapsed="false">
      <c r="P240" s="371"/>
      <c r="Q240" s="371"/>
      <c r="R240" s="371"/>
      <c r="U240" s="371"/>
      <c r="V240" s="371"/>
      <c r="W240" s="371"/>
      <c r="X240" s="371"/>
    </row>
    <row r="241" customFormat="false" ht="12.75" hidden="false" customHeight="false" outlineLevel="0" collapsed="false">
      <c r="P241" s="371"/>
      <c r="Q241" s="371"/>
      <c r="R241" s="371"/>
      <c r="U241" s="371"/>
      <c r="V241" s="371"/>
      <c r="W241" s="371"/>
      <c r="X241" s="371"/>
    </row>
    <row r="242" customFormat="false" ht="12.75" hidden="false" customHeight="false" outlineLevel="0" collapsed="false">
      <c r="P242" s="371"/>
      <c r="Q242" s="371"/>
      <c r="R242" s="371"/>
      <c r="U242" s="371"/>
      <c r="V242" s="371"/>
      <c r="W242" s="371"/>
      <c r="X242" s="371"/>
    </row>
    <row r="243" customFormat="false" ht="12.75" hidden="false" customHeight="false" outlineLevel="0" collapsed="false">
      <c r="P243" s="371"/>
      <c r="Q243" s="371"/>
      <c r="R243" s="371"/>
      <c r="U243" s="371"/>
      <c r="V243" s="371"/>
      <c r="W243" s="371"/>
      <c r="X243" s="371"/>
    </row>
    <row r="244" customFormat="false" ht="12.75" hidden="false" customHeight="false" outlineLevel="0" collapsed="false">
      <c r="P244" s="371"/>
      <c r="Q244" s="371"/>
      <c r="R244" s="371"/>
      <c r="U244" s="371"/>
      <c r="V244" s="371"/>
      <c r="W244" s="371"/>
      <c r="X244" s="371"/>
    </row>
    <row r="245" customFormat="false" ht="12.75" hidden="false" customHeight="false" outlineLevel="0" collapsed="false">
      <c r="P245" s="371"/>
      <c r="Q245" s="371"/>
      <c r="R245" s="371"/>
      <c r="U245" s="371"/>
      <c r="V245" s="371"/>
      <c r="W245" s="371"/>
      <c r="X245" s="371"/>
    </row>
    <row r="246" customFormat="false" ht="12.75" hidden="false" customHeight="false" outlineLevel="0" collapsed="false">
      <c r="P246" s="371"/>
      <c r="Q246" s="371"/>
      <c r="R246" s="371"/>
      <c r="U246" s="371"/>
      <c r="V246" s="371"/>
      <c r="W246" s="371"/>
      <c r="X246" s="371"/>
    </row>
    <row r="247" customFormat="false" ht="12.75" hidden="false" customHeight="false" outlineLevel="0" collapsed="false">
      <c r="P247" s="371"/>
      <c r="Q247" s="371"/>
      <c r="R247" s="371"/>
      <c r="U247" s="371"/>
      <c r="V247" s="371"/>
      <c r="W247" s="371"/>
      <c r="X247" s="371"/>
    </row>
    <row r="248" customFormat="false" ht="12.75" hidden="false" customHeight="false" outlineLevel="0" collapsed="false">
      <c r="P248" s="371"/>
      <c r="Q248" s="371"/>
      <c r="R248" s="371"/>
      <c r="U248" s="371"/>
      <c r="V248" s="371"/>
      <c r="W248" s="371"/>
      <c r="X248" s="371"/>
    </row>
    <row r="249" customFormat="false" ht="12.75" hidden="false" customHeight="false" outlineLevel="0" collapsed="false">
      <c r="P249" s="371"/>
      <c r="Q249" s="371"/>
      <c r="R249" s="371"/>
      <c r="U249" s="371"/>
      <c r="V249" s="371"/>
      <c r="W249" s="371"/>
      <c r="X249" s="371"/>
    </row>
    <row r="250" customFormat="false" ht="12.75" hidden="false" customHeight="false" outlineLevel="0" collapsed="false">
      <c r="P250" s="371"/>
      <c r="Q250" s="371"/>
      <c r="R250" s="371"/>
      <c r="U250" s="371"/>
      <c r="V250" s="371"/>
      <c r="W250" s="371"/>
      <c r="X250" s="371"/>
    </row>
    <row r="251" customFormat="false" ht="12.75" hidden="false" customHeight="false" outlineLevel="0" collapsed="false">
      <c r="P251" s="371"/>
      <c r="Q251" s="371"/>
      <c r="R251" s="371"/>
      <c r="U251" s="371"/>
      <c r="V251" s="371"/>
      <c r="W251" s="371"/>
      <c r="X251" s="371"/>
    </row>
    <row r="252" customFormat="false" ht="12.75" hidden="false" customHeight="false" outlineLevel="0" collapsed="false">
      <c r="P252" s="371"/>
      <c r="Q252" s="371"/>
      <c r="R252" s="371"/>
      <c r="U252" s="371"/>
      <c r="V252" s="371"/>
      <c r="W252" s="371"/>
      <c r="X252" s="371"/>
    </row>
    <row r="253" customFormat="false" ht="12.75" hidden="false" customHeight="false" outlineLevel="0" collapsed="false">
      <c r="P253" s="371"/>
      <c r="Q253" s="371"/>
      <c r="R253" s="371"/>
      <c r="U253" s="371"/>
      <c r="V253" s="371"/>
      <c r="W253" s="371"/>
      <c r="X253" s="371"/>
    </row>
    <row r="254" customFormat="false" ht="12.75" hidden="false" customHeight="false" outlineLevel="0" collapsed="false">
      <c r="P254" s="371"/>
      <c r="Q254" s="371"/>
      <c r="R254" s="371"/>
      <c r="U254" s="371"/>
      <c r="V254" s="371"/>
      <c r="W254" s="371"/>
      <c r="X254" s="371"/>
    </row>
    <row r="255" customFormat="false" ht="12.75" hidden="false" customHeight="false" outlineLevel="0" collapsed="false">
      <c r="P255" s="371"/>
      <c r="Q255" s="371"/>
      <c r="R255" s="371"/>
      <c r="U255" s="371"/>
      <c r="V255" s="371"/>
      <c r="W255" s="371"/>
      <c r="X255" s="371"/>
    </row>
    <row r="256" customFormat="false" ht="12.75" hidden="false" customHeight="false" outlineLevel="0" collapsed="false">
      <c r="P256" s="371"/>
      <c r="Q256" s="371"/>
      <c r="R256" s="371"/>
      <c r="U256" s="371"/>
      <c r="V256" s="371"/>
      <c r="W256" s="371"/>
      <c r="X256" s="371"/>
    </row>
    <row r="257" customFormat="false" ht="12.75" hidden="false" customHeight="false" outlineLevel="0" collapsed="false">
      <c r="P257" s="371"/>
      <c r="Q257" s="371"/>
      <c r="R257" s="371"/>
      <c r="U257" s="371"/>
      <c r="V257" s="371"/>
      <c r="W257" s="371"/>
      <c r="X257" s="371"/>
    </row>
    <row r="258" customFormat="false" ht="12.75" hidden="false" customHeight="false" outlineLevel="0" collapsed="false">
      <c r="P258" s="371"/>
      <c r="Q258" s="371"/>
      <c r="R258" s="371"/>
      <c r="U258" s="371"/>
      <c r="V258" s="371"/>
      <c r="W258" s="371"/>
      <c r="X258" s="371"/>
    </row>
    <row r="259" customFormat="false" ht="12.75" hidden="false" customHeight="false" outlineLevel="0" collapsed="false">
      <c r="P259" s="371"/>
      <c r="Q259" s="371"/>
      <c r="R259" s="371"/>
      <c r="U259" s="371"/>
      <c r="V259" s="371"/>
      <c r="W259" s="371"/>
      <c r="X259" s="371"/>
    </row>
    <row r="260" customFormat="false" ht="12.75" hidden="false" customHeight="false" outlineLevel="0" collapsed="false">
      <c r="P260" s="371"/>
      <c r="Q260" s="371"/>
      <c r="R260" s="371"/>
      <c r="U260" s="371"/>
      <c r="V260" s="371"/>
      <c r="W260" s="371"/>
      <c r="X260" s="371"/>
    </row>
    <row r="261" customFormat="false" ht="12.75" hidden="false" customHeight="false" outlineLevel="0" collapsed="false">
      <c r="P261" s="371"/>
      <c r="Q261" s="371"/>
      <c r="R261" s="371"/>
      <c r="U261" s="371"/>
      <c r="V261" s="371"/>
      <c r="W261" s="371"/>
      <c r="X261" s="371"/>
    </row>
    <row r="262" customFormat="false" ht="12.75" hidden="false" customHeight="false" outlineLevel="0" collapsed="false">
      <c r="P262" s="371"/>
      <c r="Q262" s="371"/>
      <c r="R262" s="371"/>
      <c r="U262" s="371"/>
      <c r="V262" s="371"/>
      <c r="W262" s="371"/>
      <c r="X262" s="371"/>
    </row>
    <row r="263" customFormat="false" ht="12.75" hidden="false" customHeight="false" outlineLevel="0" collapsed="false">
      <c r="P263" s="371"/>
      <c r="Q263" s="371"/>
      <c r="R263" s="371"/>
      <c r="U263" s="371"/>
      <c r="V263" s="371"/>
      <c r="W263" s="371"/>
      <c r="X263" s="371"/>
    </row>
    <row r="264" customFormat="false" ht="12.75" hidden="false" customHeight="false" outlineLevel="0" collapsed="false">
      <c r="P264" s="371"/>
      <c r="Q264" s="371"/>
      <c r="R264" s="371"/>
      <c r="U264" s="371"/>
      <c r="V264" s="371"/>
      <c r="W264" s="371"/>
      <c r="X264" s="371"/>
    </row>
    <row r="265" customFormat="false" ht="12.75" hidden="false" customHeight="false" outlineLevel="0" collapsed="false">
      <c r="P265" s="371"/>
      <c r="Q265" s="371"/>
      <c r="R265" s="371"/>
      <c r="U265" s="371"/>
      <c r="V265" s="371"/>
      <c r="W265" s="371"/>
      <c r="X265" s="371"/>
    </row>
    <row r="266" customFormat="false" ht="12.75" hidden="false" customHeight="false" outlineLevel="0" collapsed="false">
      <c r="P266" s="371"/>
      <c r="Q266" s="371"/>
      <c r="R266" s="371"/>
      <c r="U266" s="371"/>
      <c r="V266" s="371"/>
      <c r="W266" s="371"/>
      <c r="X266" s="371"/>
    </row>
    <row r="267" customFormat="false" ht="12.75" hidden="false" customHeight="false" outlineLevel="0" collapsed="false">
      <c r="P267" s="371"/>
      <c r="Q267" s="371"/>
      <c r="R267" s="371"/>
      <c r="U267" s="371"/>
      <c r="V267" s="371"/>
      <c r="W267" s="371"/>
      <c r="X267" s="371"/>
    </row>
    <row r="268" customFormat="false" ht="12.75" hidden="false" customHeight="false" outlineLevel="0" collapsed="false">
      <c r="P268" s="371"/>
      <c r="Q268" s="371"/>
      <c r="R268" s="371"/>
      <c r="U268" s="371"/>
      <c r="V268" s="371"/>
      <c r="W268" s="371"/>
      <c r="X268" s="371"/>
    </row>
    <row r="269" customFormat="false" ht="12.75" hidden="false" customHeight="false" outlineLevel="0" collapsed="false">
      <c r="P269" s="371"/>
      <c r="Q269" s="371"/>
      <c r="R269" s="371"/>
      <c r="U269" s="371"/>
      <c r="V269" s="371"/>
      <c r="W269" s="371"/>
      <c r="X269" s="371"/>
    </row>
    <row r="270" customFormat="false" ht="12.75" hidden="false" customHeight="false" outlineLevel="0" collapsed="false">
      <c r="P270" s="371"/>
      <c r="Q270" s="371"/>
      <c r="R270" s="371"/>
      <c r="U270" s="371"/>
      <c r="V270" s="371"/>
      <c r="W270" s="371"/>
      <c r="X270" s="371"/>
    </row>
    <row r="271" customFormat="false" ht="12.75" hidden="false" customHeight="false" outlineLevel="0" collapsed="false">
      <c r="P271" s="371"/>
      <c r="Q271" s="371"/>
      <c r="R271" s="371"/>
      <c r="U271" s="371"/>
      <c r="V271" s="371"/>
      <c r="W271" s="371"/>
      <c r="X271" s="371"/>
    </row>
    <row r="272" customFormat="false" ht="12.75" hidden="false" customHeight="false" outlineLevel="0" collapsed="false">
      <c r="P272" s="371"/>
      <c r="Q272" s="371"/>
      <c r="R272" s="371"/>
      <c r="U272" s="371"/>
      <c r="V272" s="371"/>
      <c r="W272" s="371"/>
      <c r="X272" s="371"/>
    </row>
    <row r="273" customFormat="false" ht="12.75" hidden="false" customHeight="false" outlineLevel="0" collapsed="false">
      <c r="P273" s="371"/>
      <c r="Q273" s="371"/>
      <c r="R273" s="371"/>
      <c r="U273" s="371"/>
      <c r="V273" s="371"/>
      <c r="W273" s="371"/>
      <c r="X273" s="371"/>
    </row>
    <row r="274" customFormat="false" ht="12.75" hidden="false" customHeight="false" outlineLevel="0" collapsed="false">
      <c r="P274" s="371"/>
      <c r="Q274" s="371"/>
      <c r="R274" s="371"/>
      <c r="U274" s="371"/>
      <c r="V274" s="371"/>
      <c r="W274" s="371"/>
      <c r="X274" s="371"/>
    </row>
    <row r="275" customFormat="false" ht="12.75" hidden="false" customHeight="false" outlineLevel="0" collapsed="false">
      <c r="P275" s="371"/>
      <c r="Q275" s="371"/>
      <c r="R275" s="371"/>
      <c r="U275" s="371"/>
      <c r="V275" s="371"/>
      <c r="W275" s="371"/>
      <c r="X275" s="371"/>
    </row>
    <row r="276" customFormat="false" ht="12.75" hidden="false" customHeight="false" outlineLevel="0" collapsed="false">
      <c r="P276" s="371"/>
      <c r="Q276" s="371"/>
      <c r="R276" s="371"/>
      <c r="U276" s="371"/>
      <c r="V276" s="371"/>
      <c r="W276" s="371"/>
      <c r="X276" s="371"/>
    </row>
    <row r="277" customFormat="false" ht="12.75" hidden="false" customHeight="false" outlineLevel="0" collapsed="false">
      <c r="P277" s="371"/>
      <c r="Q277" s="371"/>
      <c r="R277" s="371"/>
      <c r="U277" s="371"/>
      <c r="V277" s="371"/>
      <c r="W277" s="371"/>
      <c r="X277" s="371"/>
    </row>
    <row r="278" customFormat="false" ht="12.75" hidden="false" customHeight="false" outlineLevel="0" collapsed="false">
      <c r="P278" s="371"/>
      <c r="Q278" s="371"/>
      <c r="R278" s="371"/>
      <c r="U278" s="371"/>
      <c r="V278" s="371"/>
      <c r="W278" s="371"/>
      <c r="X278" s="371"/>
    </row>
    <row r="279" customFormat="false" ht="12.75" hidden="false" customHeight="false" outlineLevel="0" collapsed="false">
      <c r="P279" s="371"/>
      <c r="Q279" s="371"/>
      <c r="R279" s="371"/>
      <c r="U279" s="371"/>
      <c r="V279" s="371"/>
      <c r="W279" s="371"/>
      <c r="X279" s="371"/>
    </row>
    <row r="280" customFormat="false" ht="12.75" hidden="false" customHeight="false" outlineLevel="0" collapsed="false">
      <c r="P280" s="371"/>
      <c r="Q280" s="371"/>
      <c r="R280" s="371"/>
      <c r="U280" s="371"/>
      <c r="V280" s="371"/>
      <c r="W280" s="371"/>
      <c r="X280" s="371"/>
    </row>
    <row r="281" customFormat="false" ht="12.75" hidden="false" customHeight="false" outlineLevel="0" collapsed="false">
      <c r="P281" s="371"/>
      <c r="Q281" s="371"/>
      <c r="R281" s="371"/>
      <c r="U281" s="371"/>
      <c r="V281" s="371"/>
      <c r="W281" s="371"/>
      <c r="X281" s="371"/>
    </row>
    <row r="282" customFormat="false" ht="12.75" hidden="false" customHeight="false" outlineLevel="0" collapsed="false">
      <c r="P282" s="371"/>
      <c r="Q282" s="371"/>
      <c r="R282" s="371"/>
      <c r="U282" s="371"/>
      <c r="V282" s="371"/>
      <c r="W282" s="371"/>
      <c r="X282" s="371"/>
    </row>
    <row r="283" customFormat="false" ht="12.75" hidden="false" customHeight="false" outlineLevel="0" collapsed="false">
      <c r="P283" s="371"/>
      <c r="Q283" s="371"/>
      <c r="R283" s="371"/>
      <c r="U283" s="371"/>
      <c r="V283" s="371"/>
      <c r="W283" s="371"/>
      <c r="X283" s="371"/>
    </row>
    <row r="284" customFormat="false" ht="12.75" hidden="false" customHeight="false" outlineLevel="0" collapsed="false">
      <c r="P284" s="371"/>
      <c r="Q284" s="371"/>
      <c r="R284" s="371"/>
      <c r="U284" s="371"/>
      <c r="V284" s="371"/>
      <c r="W284" s="371"/>
      <c r="X284" s="371"/>
    </row>
    <row r="285" customFormat="false" ht="12.75" hidden="false" customHeight="false" outlineLevel="0" collapsed="false">
      <c r="P285" s="371"/>
      <c r="Q285" s="371"/>
      <c r="R285" s="371"/>
      <c r="U285" s="371"/>
      <c r="V285" s="371"/>
      <c r="W285" s="371"/>
      <c r="X285" s="371"/>
    </row>
    <row r="286" customFormat="false" ht="12.75" hidden="false" customHeight="false" outlineLevel="0" collapsed="false">
      <c r="P286" s="371"/>
      <c r="Q286" s="371"/>
      <c r="R286" s="371"/>
      <c r="U286" s="371"/>
      <c r="V286" s="371"/>
      <c r="W286" s="371"/>
      <c r="X286" s="371"/>
    </row>
    <row r="287" customFormat="false" ht="12.75" hidden="false" customHeight="false" outlineLevel="0" collapsed="false">
      <c r="P287" s="371"/>
      <c r="Q287" s="371"/>
      <c r="R287" s="371"/>
      <c r="U287" s="371"/>
      <c r="V287" s="371"/>
      <c r="W287" s="371"/>
      <c r="X287" s="371"/>
    </row>
    <row r="288" customFormat="false" ht="12.75" hidden="false" customHeight="false" outlineLevel="0" collapsed="false">
      <c r="P288" s="371"/>
      <c r="Q288" s="371"/>
      <c r="R288" s="371"/>
      <c r="U288" s="371"/>
      <c r="V288" s="371"/>
      <c r="W288" s="371"/>
      <c r="X288" s="371"/>
    </row>
    <row r="289" customFormat="false" ht="12.75" hidden="false" customHeight="false" outlineLevel="0" collapsed="false">
      <c r="P289" s="371"/>
      <c r="Q289" s="371"/>
      <c r="R289" s="371"/>
      <c r="U289" s="371"/>
      <c r="V289" s="371"/>
      <c r="W289" s="371"/>
      <c r="X289" s="371"/>
    </row>
    <row r="290" customFormat="false" ht="12.75" hidden="false" customHeight="false" outlineLevel="0" collapsed="false">
      <c r="P290" s="371"/>
      <c r="Q290" s="371"/>
      <c r="R290" s="371"/>
      <c r="U290" s="371"/>
      <c r="V290" s="371"/>
      <c r="W290" s="371"/>
      <c r="X290" s="371"/>
    </row>
    <row r="291" customFormat="false" ht="12.75" hidden="false" customHeight="false" outlineLevel="0" collapsed="false">
      <c r="P291" s="371"/>
      <c r="Q291" s="371"/>
      <c r="R291" s="371"/>
      <c r="U291" s="371"/>
      <c r="V291" s="371"/>
      <c r="W291" s="371"/>
      <c r="X291" s="371"/>
    </row>
    <row r="292" customFormat="false" ht="12.75" hidden="false" customHeight="false" outlineLevel="0" collapsed="false">
      <c r="P292" s="371"/>
      <c r="Q292" s="371"/>
      <c r="R292" s="371"/>
      <c r="U292" s="371"/>
      <c r="V292" s="371"/>
      <c r="W292" s="371"/>
      <c r="X292" s="371"/>
    </row>
    <row r="293" customFormat="false" ht="12.75" hidden="false" customHeight="false" outlineLevel="0" collapsed="false">
      <c r="P293" s="371"/>
      <c r="Q293" s="371"/>
      <c r="R293" s="371"/>
      <c r="U293" s="371"/>
      <c r="V293" s="371"/>
      <c r="W293" s="371"/>
      <c r="X293" s="371"/>
    </row>
    <row r="294" customFormat="false" ht="12.75" hidden="false" customHeight="false" outlineLevel="0" collapsed="false">
      <c r="P294" s="371"/>
      <c r="Q294" s="371"/>
      <c r="R294" s="371"/>
      <c r="U294" s="371"/>
      <c r="V294" s="371"/>
      <c r="W294" s="371"/>
      <c r="X294" s="371"/>
    </row>
    <row r="295" customFormat="false" ht="12.75" hidden="false" customHeight="false" outlineLevel="0" collapsed="false">
      <c r="P295" s="371"/>
      <c r="Q295" s="371"/>
      <c r="R295" s="371"/>
      <c r="U295" s="371"/>
      <c r="V295" s="371"/>
      <c r="W295" s="371"/>
      <c r="X295" s="371"/>
    </row>
    <row r="296" customFormat="false" ht="12.75" hidden="false" customHeight="false" outlineLevel="0" collapsed="false">
      <c r="P296" s="371"/>
      <c r="Q296" s="371"/>
      <c r="R296" s="371"/>
      <c r="U296" s="371"/>
      <c r="V296" s="371"/>
      <c r="W296" s="371"/>
      <c r="X296" s="371"/>
    </row>
    <row r="297" customFormat="false" ht="12.75" hidden="false" customHeight="false" outlineLevel="0" collapsed="false">
      <c r="P297" s="371"/>
      <c r="Q297" s="371"/>
      <c r="R297" s="371"/>
      <c r="U297" s="371"/>
      <c r="V297" s="371"/>
      <c r="W297" s="371"/>
      <c r="X297" s="371"/>
    </row>
    <row r="298" customFormat="false" ht="12.75" hidden="false" customHeight="false" outlineLevel="0" collapsed="false">
      <c r="P298" s="371"/>
      <c r="Q298" s="371"/>
      <c r="R298" s="371"/>
      <c r="U298" s="371"/>
      <c r="V298" s="371"/>
      <c r="W298" s="371"/>
      <c r="X298" s="371"/>
    </row>
    <row r="299" customFormat="false" ht="12.75" hidden="false" customHeight="false" outlineLevel="0" collapsed="false">
      <c r="P299" s="371"/>
      <c r="Q299" s="371"/>
      <c r="R299" s="371"/>
      <c r="U299" s="371"/>
      <c r="V299" s="371"/>
      <c r="W299" s="371"/>
      <c r="X299" s="371"/>
    </row>
    <row r="300" customFormat="false" ht="12.75" hidden="false" customHeight="false" outlineLevel="0" collapsed="false">
      <c r="P300" s="371"/>
      <c r="Q300" s="371"/>
      <c r="R300" s="371"/>
      <c r="U300" s="371"/>
      <c r="V300" s="371"/>
      <c r="W300" s="371"/>
      <c r="X300" s="371"/>
    </row>
    <row r="301" customFormat="false" ht="12.75" hidden="false" customHeight="false" outlineLevel="0" collapsed="false">
      <c r="P301" s="371"/>
      <c r="Q301" s="371"/>
      <c r="R301" s="371"/>
      <c r="U301" s="371"/>
      <c r="V301" s="371"/>
      <c r="W301" s="371"/>
      <c r="X301" s="371"/>
    </row>
    <row r="302" customFormat="false" ht="12.75" hidden="false" customHeight="false" outlineLevel="0" collapsed="false">
      <c r="P302" s="371"/>
      <c r="Q302" s="371"/>
      <c r="R302" s="371"/>
      <c r="U302" s="371"/>
      <c r="V302" s="371"/>
      <c r="W302" s="371"/>
      <c r="X302" s="371"/>
    </row>
    <row r="303" customFormat="false" ht="12.75" hidden="false" customHeight="false" outlineLevel="0" collapsed="false">
      <c r="P303" s="371"/>
      <c r="Q303" s="371"/>
      <c r="R303" s="371"/>
      <c r="U303" s="371"/>
      <c r="V303" s="371"/>
      <c r="W303" s="371"/>
      <c r="X303" s="371"/>
    </row>
    <row r="304" customFormat="false" ht="12.75" hidden="false" customHeight="false" outlineLevel="0" collapsed="false">
      <c r="P304" s="371"/>
      <c r="Q304" s="371"/>
      <c r="R304" s="371"/>
      <c r="U304" s="371"/>
      <c r="V304" s="371"/>
      <c r="W304" s="371"/>
      <c r="X304" s="371"/>
    </row>
    <row r="305" customFormat="false" ht="12.75" hidden="false" customHeight="false" outlineLevel="0" collapsed="false">
      <c r="P305" s="371"/>
      <c r="Q305" s="371"/>
      <c r="R305" s="371"/>
      <c r="U305" s="371"/>
      <c r="V305" s="371"/>
      <c r="W305" s="371"/>
      <c r="X305" s="371"/>
    </row>
    <row r="306" customFormat="false" ht="12.75" hidden="false" customHeight="false" outlineLevel="0" collapsed="false">
      <c r="P306" s="371"/>
      <c r="Q306" s="371"/>
      <c r="R306" s="371"/>
      <c r="U306" s="371"/>
      <c r="V306" s="371"/>
      <c r="W306" s="371"/>
      <c r="X306" s="371"/>
    </row>
    <row r="307" customFormat="false" ht="12.75" hidden="false" customHeight="false" outlineLevel="0" collapsed="false">
      <c r="P307" s="371"/>
      <c r="Q307" s="371"/>
      <c r="R307" s="371"/>
      <c r="U307" s="371"/>
      <c r="V307" s="371"/>
      <c r="W307" s="371"/>
      <c r="X307" s="371"/>
    </row>
    <row r="308" customFormat="false" ht="12.75" hidden="false" customHeight="false" outlineLevel="0" collapsed="false">
      <c r="P308" s="371"/>
      <c r="Q308" s="371"/>
      <c r="R308" s="371"/>
      <c r="U308" s="371"/>
      <c r="V308" s="371"/>
      <c r="W308" s="371"/>
      <c r="X308" s="371"/>
    </row>
    <row r="309" customFormat="false" ht="12.75" hidden="false" customHeight="false" outlineLevel="0" collapsed="false">
      <c r="P309" s="371"/>
      <c r="Q309" s="371"/>
      <c r="R309" s="371"/>
      <c r="U309" s="371"/>
      <c r="V309" s="371"/>
      <c r="W309" s="371"/>
      <c r="X309" s="371"/>
    </row>
    <row r="310" customFormat="false" ht="12.75" hidden="false" customHeight="false" outlineLevel="0" collapsed="false">
      <c r="P310" s="371"/>
      <c r="Q310" s="371"/>
      <c r="R310" s="371"/>
      <c r="U310" s="371"/>
      <c r="V310" s="371"/>
      <c r="W310" s="371"/>
      <c r="X310" s="371"/>
    </row>
    <row r="311" customFormat="false" ht="12.75" hidden="false" customHeight="false" outlineLevel="0" collapsed="false">
      <c r="P311" s="371"/>
      <c r="Q311" s="371"/>
      <c r="R311" s="371"/>
      <c r="U311" s="371"/>
      <c r="V311" s="371"/>
      <c r="W311" s="371"/>
      <c r="X311" s="371"/>
    </row>
    <row r="312" customFormat="false" ht="12.75" hidden="false" customHeight="false" outlineLevel="0" collapsed="false">
      <c r="P312" s="371"/>
      <c r="Q312" s="371"/>
      <c r="R312" s="371"/>
      <c r="U312" s="371"/>
      <c r="V312" s="371"/>
      <c r="W312" s="371"/>
      <c r="X312" s="371"/>
    </row>
    <row r="313" customFormat="false" ht="12.75" hidden="false" customHeight="false" outlineLevel="0" collapsed="false">
      <c r="P313" s="371"/>
      <c r="Q313" s="371"/>
      <c r="R313" s="371"/>
      <c r="U313" s="371"/>
      <c r="V313" s="371"/>
      <c r="W313" s="371"/>
      <c r="X313" s="371"/>
    </row>
    <row r="314" customFormat="false" ht="12.75" hidden="false" customHeight="false" outlineLevel="0" collapsed="false">
      <c r="P314" s="371"/>
      <c r="Q314" s="371"/>
      <c r="R314" s="371"/>
      <c r="U314" s="371"/>
      <c r="V314" s="371"/>
      <c r="W314" s="371"/>
      <c r="X314" s="371"/>
    </row>
    <row r="315" customFormat="false" ht="12.75" hidden="false" customHeight="false" outlineLevel="0" collapsed="false">
      <c r="P315" s="371"/>
      <c r="Q315" s="371"/>
      <c r="R315" s="371"/>
      <c r="U315" s="371"/>
      <c r="V315" s="371"/>
      <c r="W315" s="371"/>
      <c r="X315" s="371"/>
    </row>
    <row r="316" customFormat="false" ht="12.75" hidden="false" customHeight="false" outlineLevel="0" collapsed="false">
      <c r="P316" s="371"/>
      <c r="Q316" s="371"/>
      <c r="R316" s="371"/>
      <c r="U316" s="371"/>
      <c r="V316" s="371"/>
      <c r="W316" s="371"/>
      <c r="X316" s="371"/>
    </row>
    <row r="317" customFormat="false" ht="12.75" hidden="false" customHeight="false" outlineLevel="0" collapsed="false">
      <c r="P317" s="371"/>
      <c r="Q317" s="371"/>
      <c r="R317" s="371"/>
      <c r="U317" s="371"/>
      <c r="V317" s="371"/>
      <c r="W317" s="371"/>
      <c r="X317" s="371"/>
    </row>
    <row r="318" customFormat="false" ht="12.75" hidden="false" customHeight="false" outlineLevel="0" collapsed="false">
      <c r="P318" s="371"/>
      <c r="Q318" s="371"/>
      <c r="R318" s="371"/>
      <c r="U318" s="371"/>
      <c r="V318" s="371"/>
      <c r="W318" s="371"/>
      <c r="X318" s="371"/>
    </row>
    <row r="319" customFormat="false" ht="12.75" hidden="false" customHeight="false" outlineLevel="0" collapsed="false">
      <c r="P319" s="371"/>
      <c r="Q319" s="371"/>
      <c r="R319" s="371"/>
      <c r="U319" s="371"/>
      <c r="V319" s="371"/>
      <c r="W319" s="371"/>
      <c r="X319" s="371"/>
    </row>
    <row r="320" customFormat="false" ht="12.75" hidden="false" customHeight="false" outlineLevel="0" collapsed="false">
      <c r="P320" s="371"/>
      <c r="Q320" s="371"/>
      <c r="R320" s="371"/>
      <c r="U320" s="371"/>
      <c r="V320" s="371"/>
      <c r="W320" s="371"/>
      <c r="X320" s="371"/>
    </row>
    <row r="321" customFormat="false" ht="12.75" hidden="false" customHeight="false" outlineLevel="0" collapsed="false">
      <c r="P321" s="371"/>
      <c r="Q321" s="371"/>
      <c r="R321" s="371"/>
      <c r="U321" s="371"/>
      <c r="V321" s="371"/>
      <c r="W321" s="371"/>
      <c r="X321" s="371"/>
    </row>
    <row r="322" customFormat="false" ht="12.75" hidden="false" customHeight="false" outlineLevel="0" collapsed="false">
      <c r="P322" s="371"/>
      <c r="Q322" s="371"/>
      <c r="R322" s="371"/>
      <c r="U322" s="371"/>
      <c r="V322" s="371"/>
      <c r="W322" s="371"/>
      <c r="X322" s="371"/>
    </row>
    <row r="323" customFormat="false" ht="12.75" hidden="false" customHeight="false" outlineLevel="0" collapsed="false">
      <c r="P323" s="371"/>
      <c r="Q323" s="371"/>
      <c r="R323" s="371"/>
      <c r="U323" s="371"/>
      <c r="V323" s="371"/>
      <c r="W323" s="371"/>
      <c r="X323" s="371"/>
    </row>
    <row r="324" customFormat="false" ht="12.75" hidden="false" customHeight="false" outlineLevel="0" collapsed="false">
      <c r="P324" s="371"/>
      <c r="Q324" s="371"/>
      <c r="R324" s="371"/>
      <c r="U324" s="371"/>
      <c r="V324" s="371"/>
      <c r="W324" s="371"/>
      <c r="X324" s="371"/>
    </row>
    <row r="325" customFormat="false" ht="12.75" hidden="false" customHeight="false" outlineLevel="0" collapsed="false">
      <c r="P325" s="371"/>
      <c r="Q325" s="371"/>
      <c r="R325" s="371"/>
      <c r="U325" s="371"/>
      <c r="V325" s="371"/>
      <c r="W325" s="371"/>
      <c r="X325" s="371"/>
    </row>
    <row r="326" customFormat="false" ht="12.75" hidden="false" customHeight="false" outlineLevel="0" collapsed="false">
      <c r="P326" s="371"/>
      <c r="Q326" s="371"/>
      <c r="R326" s="371"/>
      <c r="U326" s="371"/>
      <c r="V326" s="371"/>
      <c r="W326" s="371"/>
      <c r="X326" s="371"/>
    </row>
    <row r="327" customFormat="false" ht="12.75" hidden="false" customHeight="false" outlineLevel="0" collapsed="false">
      <c r="P327" s="371"/>
      <c r="Q327" s="371"/>
      <c r="R327" s="371"/>
      <c r="U327" s="371"/>
      <c r="V327" s="371"/>
      <c r="W327" s="371"/>
      <c r="X327" s="371"/>
    </row>
    <row r="328" customFormat="false" ht="12.75" hidden="false" customHeight="false" outlineLevel="0" collapsed="false">
      <c r="P328" s="371"/>
      <c r="Q328" s="371"/>
      <c r="R328" s="371"/>
      <c r="U328" s="371"/>
      <c r="V328" s="371"/>
      <c r="W328" s="371"/>
      <c r="X328" s="371"/>
    </row>
    <row r="329" customFormat="false" ht="12.75" hidden="false" customHeight="false" outlineLevel="0" collapsed="false">
      <c r="P329" s="371"/>
      <c r="Q329" s="371"/>
      <c r="R329" s="371"/>
      <c r="U329" s="371"/>
      <c r="V329" s="371"/>
      <c r="W329" s="371"/>
      <c r="X329" s="371"/>
    </row>
    <row r="330" customFormat="false" ht="12.75" hidden="false" customHeight="false" outlineLevel="0" collapsed="false">
      <c r="P330" s="371"/>
      <c r="Q330" s="371"/>
      <c r="R330" s="371"/>
      <c r="U330" s="371"/>
      <c r="V330" s="371"/>
      <c r="W330" s="371"/>
      <c r="X330" s="371"/>
    </row>
    <row r="331" customFormat="false" ht="12.75" hidden="false" customHeight="false" outlineLevel="0" collapsed="false">
      <c r="P331" s="371"/>
      <c r="Q331" s="371"/>
      <c r="R331" s="371"/>
      <c r="U331" s="371"/>
      <c r="V331" s="371"/>
      <c r="W331" s="371"/>
      <c r="X331" s="371"/>
    </row>
    <row r="332" customFormat="false" ht="12.75" hidden="false" customHeight="false" outlineLevel="0" collapsed="false">
      <c r="P332" s="371"/>
      <c r="Q332" s="371"/>
      <c r="R332" s="371"/>
      <c r="U332" s="371"/>
      <c r="V332" s="371"/>
      <c r="W332" s="371"/>
      <c r="X332" s="371"/>
    </row>
    <row r="333" customFormat="false" ht="12.75" hidden="false" customHeight="false" outlineLevel="0" collapsed="false">
      <c r="P333" s="371"/>
      <c r="Q333" s="371"/>
      <c r="R333" s="371"/>
      <c r="U333" s="371"/>
      <c r="V333" s="371"/>
      <c r="W333" s="371"/>
      <c r="X333" s="371"/>
    </row>
    <row r="334" customFormat="false" ht="12.75" hidden="false" customHeight="false" outlineLevel="0" collapsed="false">
      <c r="P334" s="371"/>
      <c r="Q334" s="371"/>
      <c r="R334" s="371"/>
      <c r="U334" s="371"/>
      <c r="V334" s="371"/>
      <c r="W334" s="371"/>
      <c r="X334" s="371"/>
    </row>
    <row r="335" customFormat="false" ht="12.75" hidden="false" customHeight="false" outlineLevel="0" collapsed="false">
      <c r="P335" s="371"/>
      <c r="Q335" s="371"/>
      <c r="R335" s="371"/>
      <c r="U335" s="371"/>
      <c r="V335" s="371"/>
      <c r="W335" s="371"/>
      <c r="X335" s="371"/>
    </row>
    <row r="336" customFormat="false" ht="12.75" hidden="false" customHeight="false" outlineLevel="0" collapsed="false">
      <c r="P336" s="371"/>
      <c r="Q336" s="371"/>
      <c r="R336" s="371"/>
      <c r="U336" s="371"/>
      <c r="V336" s="371"/>
      <c r="W336" s="371"/>
      <c r="X336" s="371"/>
    </row>
    <row r="337" customFormat="false" ht="12.75" hidden="false" customHeight="false" outlineLevel="0" collapsed="false">
      <c r="P337" s="371"/>
      <c r="Q337" s="371"/>
      <c r="R337" s="371"/>
      <c r="U337" s="371"/>
      <c r="V337" s="371"/>
      <c r="W337" s="371"/>
      <c r="X337" s="371"/>
    </row>
    <row r="338" customFormat="false" ht="12.75" hidden="false" customHeight="false" outlineLevel="0" collapsed="false">
      <c r="P338" s="371"/>
      <c r="Q338" s="371"/>
      <c r="R338" s="371"/>
      <c r="U338" s="371"/>
      <c r="V338" s="371"/>
      <c r="W338" s="371"/>
      <c r="X338" s="371"/>
    </row>
    <row r="339" customFormat="false" ht="12.75" hidden="false" customHeight="false" outlineLevel="0" collapsed="false">
      <c r="P339" s="371"/>
      <c r="Q339" s="371"/>
      <c r="R339" s="371"/>
      <c r="U339" s="371"/>
      <c r="V339" s="371"/>
      <c r="W339" s="371"/>
      <c r="X339" s="371"/>
    </row>
    <row r="340" customFormat="false" ht="12.75" hidden="false" customHeight="false" outlineLevel="0" collapsed="false">
      <c r="P340" s="371"/>
      <c r="Q340" s="371"/>
      <c r="R340" s="371"/>
      <c r="U340" s="371"/>
      <c r="V340" s="371"/>
      <c r="W340" s="371"/>
      <c r="X340" s="371"/>
    </row>
    <row r="341" customFormat="false" ht="12.75" hidden="false" customHeight="false" outlineLevel="0" collapsed="false">
      <c r="P341" s="371"/>
      <c r="Q341" s="371"/>
      <c r="R341" s="371"/>
      <c r="U341" s="371"/>
      <c r="V341" s="371"/>
      <c r="W341" s="371"/>
      <c r="X341" s="371"/>
    </row>
    <row r="342" customFormat="false" ht="12.75" hidden="false" customHeight="false" outlineLevel="0" collapsed="false">
      <c r="P342" s="371"/>
      <c r="Q342" s="371"/>
      <c r="R342" s="371"/>
      <c r="U342" s="371"/>
      <c r="V342" s="371"/>
      <c r="W342" s="371"/>
      <c r="X342" s="371"/>
    </row>
    <row r="343" customFormat="false" ht="12.75" hidden="false" customHeight="false" outlineLevel="0" collapsed="false">
      <c r="P343" s="371"/>
      <c r="Q343" s="371"/>
      <c r="R343" s="371"/>
      <c r="U343" s="371"/>
      <c r="V343" s="371"/>
      <c r="W343" s="371"/>
      <c r="X343" s="371"/>
    </row>
    <row r="344" customFormat="false" ht="12.75" hidden="false" customHeight="false" outlineLevel="0" collapsed="false">
      <c r="P344" s="371"/>
      <c r="Q344" s="371"/>
      <c r="R344" s="371"/>
      <c r="U344" s="371"/>
      <c r="V344" s="371"/>
      <c r="W344" s="371"/>
      <c r="X344" s="371"/>
    </row>
    <row r="345" customFormat="false" ht="12.75" hidden="false" customHeight="false" outlineLevel="0" collapsed="false">
      <c r="P345" s="371"/>
      <c r="Q345" s="371"/>
      <c r="R345" s="371"/>
      <c r="U345" s="371"/>
      <c r="V345" s="371"/>
      <c r="W345" s="371"/>
      <c r="X345" s="371"/>
    </row>
    <row r="346" customFormat="false" ht="12.75" hidden="false" customHeight="false" outlineLevel="0" collapsed="false">
      <c r="P346" s="371"/>
      <c r="Q346" s="371"/>
      <c r="R346" s="371"/>
      <c r="U346" s="371"/>
      <c r="V346" s="371"/>
      <c r="W346" s="371"/>
      <c r="X346" s="371"/>
    </row>
    <row r="347" customFormat="false" ht="12.75" hidden="false" customHeight="false" outlineLevel="0" collapsed="false">
      <c r="P347" s="371"/>
      <c r="Q347" s="371"/>
      <c r="R347" s="371"/>
      <c r="U347" s="371"/>
      <c r="V347" s="371"/>
      <c r="W347" s="371"/>
      <c r="X347" s="371"/>
    </row>
    <row r="348" customFormat="false" ht="12.75" hidden="false" customHeight="false" outlineLevel="0" collapsed="false">
      <c r="P348" s="371"/>
      <c r="Q348" s="371"/>
      <c r="R348" s="371"/>
      <c r="U348" s="371"/>
      <c r="V348" s="371"/>
      <c r="W348" s="371"/>
      <c r="X348" s="371"/>
    </row>
    <row r="349" customFormat="false" ht="12.75" hidden="false" customHeight="false" outlineLevel="0" collapsed="false">
      <c r="P349" s="371"/>
      <c r="Q349" s="371"/>
      <c r="R349" s="371"/>
      <c r="U349" s="371"/>
      <c r="V349" s="371"/>
      <c r="W349" s="371"/>
      <c r="X349" s="371"/>
    </row>
    <row r="350" customFormat="false" ht="12.75" hidden="false" customHeight="false" outlineLevel="0" collapsed="false">
      <c r="P350" s="371"/>
      <c r="Q350" s="371"/>
      <c r="R350" s="371"/>
      <c r="U350" s="371"/>
      <c r="V350" s="371"/>
      <c r="W350" s="371"/>
      <c r="X350" s="371"/>
    </row>
    <row r="351" customFormat="false" ht="12.75" hidden="false" customHeight="false" outlineLevel="0" collapsed="false">
      <c r="P351" s="371"/>
      <c r="Q351" s="371"/>
      <c r="R351" s="371"/>
      <c r="U351" s="371"/>
      <c r="V351" s="371"/>
      <c r="W351" s="371"/>
      <c r="X351" s="371"/>
    </row>
    <row r="352" customFormat="false" ht="12.75" hidden="false" customHeight="false" outlineLevel="0" collapsed="false">
      <c r="P352" s="371"/>
      <c r="Q352" s="371"/>
      <c r="R352" s="371"/>
      <c r="U352" s="371"/>
      <c r="V352" s="371"/>
      <c r="W352" s="371"/>
      <c r="X352" s="371"/>
    </row>
    <row r="353" customFormat="false" ht="12.75" hidden="false" customHeight="false" outlineLevel="0" collapsed="false">
      <c r="P353" s="371"/>
      <c r="Q353" s="371"/>
      <c r="R353" s="371"/>
      <c r="U353" s="371"/>
      <c r="V353" s="371"/>
      <c r="W353" s="371"/>
      <c r="X353" s="371"/>
    </row>
    <row r="354" customFormat="false" ht="12.75" hidden="false" customHeight="false" outlineLevel="0" collapsed="false">
      <c r="P354" s="371"/>
      <c r="Q354" s="371"/>
      <c r="R354" s="371"/>
      <c r="U354" s="371"/>
      <c r="V354" s="371"/>
      <c r="W354" s="371"/>
      <c r="X354" s="371"/>
    </row>
    <row r="355" customFormat="false" ht="12.75" hidden="false" customHeight="false" outlineLevel="0" collapsed="false">
      <c r="P355" s="371"/>
      <c r="Q355" s="371"/>
      <c r="R355" s="371"/>
      <c r="U355" s="371"/>
      <c r="V355" s="371"/>
      <c r="W355" s="371"/>
      <c r="X355" s="371"/>
    </row>
    <row r="356" customFormat="false" ht="12.75" hidden="false" customHeight="false" outlineLevel="0" collapsed="false">
      <c r="P356" s="371"/>
      <c r="Q356" s="371"/>
      <c r="R356" s="371"/>
      <c r="U356" s="371"/>
      <c r="V356" s="371"/>
      <c r="W356" s="371"/>
      <c r="X356" s="371"/>
    </row>
    <row r="357" customFormat="false" ht="12.75" hidden="false" customHeight="false" outlineLevel="0" collapsed="false">
      <c r="P357" s="371"/>
      <c r="Q357" s="371"/>
      <c r="R357" s="371"/>
      <c r="U357" s="371"/>
      <c r="V357" s="371"/>
      <c r="W357" s="371"/>
      <c r="X357" s="371"/>
    </row>
    <row r="358" customFormat="false" ht="12.75" hidden="false" customHeight="false" outlineLevel="0" collapsed="false">
      <c r="P358" s="371"/>
      <c r="Q358" s="371"/>
      <c r="R358" s="371"/>
      <c r="U358" s="371"/>
      <c r="V358" s="371"/>
      <c r="W358" s="371"/>
      <c r="X358" s="371"/>
    </row>
    <row r="359" customFormat="false" ht="12.75" hidden="false" customHeight="false" outlineLevel="0" collapsed="false">
      <c r="P359" s="371"/>
      <c r="Q359" s="371"/>
      <c r="R359" s="371"/>
      <c r="U359" s="371"/>
      <c r="V359" s="371"/>
      <c r="W359" s="371"/>
      <c r="X359" s="371"/>
    </row>
    <row r="360" customFormat="false" ht="12.75" hidden="false" customHeight="false" outlineLevel="0" collapsed="false">
      <c r="P360" s="371"/>
      <c r="Q360" s="371"/>
      <c r="R360" s="371"/>
      <c r="U360" s="371"/>
      <c r="V360" s="371"/>
      <c r="W360" s="371"/>
      <c r="X360" s="371"/>
    </row>
    <row r="361" customFormat="false" ht="12.75" hidden="false" customHeight="false" outlineLevel="0" collapsed="false">
      <c r="P361" s="371"/>
      <c r="Q361" s="371"/>
      <c r="R361" s="371"/>
      <c r="U361" s="371"/>
      <c r="V361" s="371"/>
      <c r="W361" s="371"/>
      <c r="X361" s="371"/>
    </row>
    <row r="362" customFormat="false" ht="12.75" hidden="false" customHeight="false" outlineLevel="0" collapsed="false">
      <c r="P362" s="371"/>
      <c r="Q362" s="371"/>
      <c r="R362" s="371"/>
      <c r="U362" s="371"/>
      <c r="V362" s="371"/>
      <c r="W362" s="371"/>
      <c r="X362" s="371"/>
    </row>
    <row r="363" customFormat="false" ht="12.75" hidden="false" customHeight="false" outlineLevel="0" collapsed="false">
      <c r="P363" s="371"/>
      <c r="Q363" s="371"/>
      <c r="R363" s="371"/>
      <c r="U363" s="371"/>
      <c r="V363" s="371"/>
      <c r="W363" s="371"/>
      <c r="X363" s="371"/>
    </row>
    <row r="364" customFormat="false" ht="12.75" hidden="false" customHeight="false" outlineLevel="0" collapsed="false">
      <c r="P364" s="371"/>
      <c r="Q364" s="371"/>
      <c r="R364" s="371"/>
      <c r="U364" s="371"/>
      <c r="V364" s="371"/>
      <c r="W364" s="371"/>
      <c r="X364" s="371"/>
    </row>
    <row r="365" customFormat="false" ht="12.75" hidden="false" customHeight="false" outlineLevel="0" collapsed="false">
      <c r="P365" s="371"/>
      <c r="Q365" s="371"/>
      <c r="R365" s="371"/>
      <c r="U365" s="371"/>
      <c r="V365" s="371"/>
      <c r="W365" s="371"/>
      <c r="X365" s="371"/>
    </row>
    <row r="366" customFormat="false" ht="12.75" hidden="false" customHeight="false" outlineLevel="0" collapsed="false">
      <c r="P366" s="371"/>
      <c r="Q366" s="371"/>
      <c r="R366" s="371"/>
      <c r="U366" s="371"/>
      <c r="V366" s="371"/>
      <c r="W366" s="371"/>
      <c r="X366" s="371"/>
    </row>
    <row r="367" customFormat="false" ht="12.75" hidden="false" customHeight="false" outlineLevel="0" collapsed="false">
      <c r="P367" s="371"/>
      <c r="Q367" s="371"/>
      <c r="R367" s="371"/>
      <c r="U367" s="371"/>
      <c r="V367" s="371"/>
      <c r="W367" s="371"/>
      <c r="X367" s="371"/>
    </row>
    <row r="368" customFormat="false" ht="12.75" hidden="false" customHeight="false" outlineLevel="0" collapsed="false">
      <c r="P368" s="371"/>
      <c r="Q368" s="371"/>
      <c r="R368" s="371"/>
      <c r="U368" s="371"/>
      <c r="V368" s="371"/>
      <c r="W368" s="371"/>
      <c r="X368" s="371"/>
    </row>
    <row r="369" customFormat="false" ht="12.75" hidden="false" customHeight="false" outlineLevel="0" collapsed="false">
      <c r="P369" s="371"/>
      <c r="Q369" s="371"/>
      <c r="R369" s="371"/>
      <c r="U369" s="371"/>
      <c r="V369" s="371"/>
      <c r="W369" s="371"/>
      <c r="X369" s="371"/>
    </row>
    <row r="370" customFormat="false" ht="12.75" hidden="false" customHeight="false" outlineLevel="0" collapsed="false">
      <c r="P370" s="371"/>
      <c r="Q370" s="371"/>
      <c r="R370" s="371"/>
      <c r="U370" s="371"/>
      <c r="V370" s="371"/>
      <c r="W370" s="371"/>
      <c r="X370" s="371"/>
    </row>
    <row r="371" customFormat="false" ht="12.75" hidden="false" customHeight="false" outlineLevel="0" collapsed="false">
      <c r="P371" s="371"/>
      <c r="Q371" s="371"/>
      <c r="R371" s="371"/>
      <c r="U371" s="371"/>
      <c r="V371" s="371"/>
      <c r="W371" s="371"/>
      <c r="X371" s="371"/>
    </row>
    <row r="372" customFormat="false" ht="12.75" hidden="false" customHeight="false" outlineLevel="0" collapsed="false">
      <c r="P372" s="371"/>
      <c r="Q372" s="371"/>
      <c r="R372" s="371"/>
      <c r="U372" s="371"/>
      <c r="V372" s="371"/>
      <c r="W372" s="371"/>
      <c r="X372" s="371"/>
    </row>
    <row r="373" customFormat="false" ht="12.75" hidden="false" customHeight="false" outlineLevel="0" collapsed="false">
      <c r="P373" s="371"/>
      <c r="Q373" s="371"/>
      <c r="R373" s="371"/>
      <c r="U373" s="371"/>
      <c r="V373" s="371"/>
      <c r="W373" s="371"/>
      <c r="X373" s="371"/>
    </row>
    <row r="374" customFormat="false" ht="12.75" hidden="false" customHeight="false" outlineLevel="0" collapsed="false">
      <c r="P374" s="371"/>
      <c r="Q374" s="371"/>
      <c r="R374" s="371"/>
      <c r="U374" s="371"/>
      <c r="V374" s="371"/>
      <c r="W374" s="371"/>
      <c r="X374" s="371"/>
    </row>
    <row r="375" customFormat="false" ht="12.75" hidden="false" customHeight="false" outlineLevel="0" collapsed="false">
      <c r="P375" s="371"/>
      <c r="Q375" s="371"/>
      <c r="R375" s="371"/>
      <c r="U375" s="371"/>
      <c r="V375" s="371"/>
      <c r="W375" s="371"/>
      <c r="X375" s="371"/>
    </row>
    <row r="376" customFormat="false" ht="12.75" hidden="false" customHeight="false" outlineLevel="0" collapsed="false">
      <c r="P376" s="371"/>
      <c r="Q376" s="371"/>
      <c r="R376" s="371"/>
      <c r="U376" s="371"/>
      <c r="V376" s="371"/>
      <c r="W376" s="371"/>
      <c r="X376" s="371"/>
    </row>
    <row r="377" customFormat="false" ht="12.75" hidden="false" customHeight="false" outlineLevel="0" collapsed="false">
      <c r="P377" s="371"/>
      <c r="Q377" s="371"/>
      <c r="R377" s="371"/>
      <c r="U377" s="371"/>
      <c r="V377" s="371"/>
      <c r="W377" s="371"/>
      <c r="X377" s="371"/>
    </row>
    <row r="378" customFormat="false" ht="12.75" hidden="false" customHeight="false" outlineLevel="0" collapsed="false">
      <c r="P378" s="371"/>
      <c r="Q378" s="371"/>
      <c r="R378" s="371"/>
      <c r="U378" s="371"/>
      <c r="V378" s="371"/>
      <c r="W378" s="371"/>
      <c r="X378" s="371"/>
    </row>
    <row r="379" customFormat="false" ht="12.75" hidden="false" customHeight="false" outlineLevel="0" collapsed="false">
      <c r="P379" s="371"/>
      <c r="Q379" s="371"/>
      <c r="R379" s="371"/>
      <c r="U379" s="371"/>
      <c r="V379" s="371"/>
      <c r="W379" s="371"/>
      <c r="X379" s="371"/>
    </row>
    <row r="380" customFormat="false" ht="12.75" hidden="false" customHeight="false" outlineLevel="0" collapsed="false">
      <c r="P380" s="371"/>
      <c r="Q380" s="371"/>
      <c r="R380" s="371"/>
      <c r="U380" s="371"/>
      <c r="V380" s="371"/>
      <c r="W380" s="371"/>
      <c r="X380" s="371"/>
    </row>
    <row r="381" customFormat="false" ht="12.75" hidden="false" customHeight="false" outlineLevel="0" collapsed="false">
      <c r="P381" s="371"/>
      <c r="Q381" s="371"/>
      <c r="R381" s="371"/>
      <c r="U381" s="371"/>
      <c r="V381" s="371"/>
      <c r="W381" s="371"/>
      <c r="X381" s="371"/>
    </row>
    <row r="382" customFormat="false" ht="12.75" hidden="false" customHeight="false" outlineLevel="0" collapsed="false">
      <c r="P382" s="371"/>
      <c r="Q382" s="371"/>
      <c r="R382" s="371"/>
      <c r="U382" s="371"/>
      <c r="V382" s="371"/>
      <c r="W382" s="371"/>
      <c r="X382" s="371"/>
    </row>
    <row r="383" customFormat="false" ht="12.75" hidden="false" customHeight="false" outlineLevel="0" collapsed="false">
      <c r="P383" s="371"/>
      <c r="Q383" s="371"/>
      <c r="R383" s="371"/>
      <c r="U383" s="371"/>
      <c r="V383" s="371"/>
      <c r="W383" s="371"/>
      <c r="X383" s="371"/>
    </row>
    <row r="384" customFormat="false" ht="12.75" hidden="false" customHeight="false" outlineLevel="0" collapsed="false">
      <c r="P384" s="371"/>
      <c r="Q384" s="371"/>
      <c r="R384" s="371"/>
      <c r="U384" s="371"/>
      <c r="V384" s="371"/>
      <c r="W384" s="371"/>
      <c r="X384" s="371"/>
    </row>
    <row r="385" customFormat="false" ht="12.75" hidden="false" customHeight="false" outlineLevel="0" collapsed="false">
      <c r="P385" s="371"/>
      <c r="Q385" s="371"/>
      <c r="R385" s="371"/>
      <c r="U385" s="371"/>
      <c r="V385" s="371"/>
      <c r="W385" s="371"/>
      <c r="X385" s="371"/>
    </row>
    <row r="386" customFormat="false" ht="12.75" hidden="false" customHeight="false" outlineLevel="0" collapsed="false">
      <c r="P386" s="371"/>
      <c r="Q386" s="371"/>
      <c r="R386" s="371"/>
      <c r="U386" s="371"/>
      <c r="V386" s="371"/>
      <c r="W386" s="371"/>
      <c r="X386" s="371"/>
    </row>
    <row r="387" customFormat="false" ht="12.75" hidden="false" customHeight="false" outlineLevel="0" collapsed="false">
      <c r="P387" s="371"/>
      <c r="Q387" s="371"/>
      <c r="R387" s="371"/>
      <c r="U387" s="371"/>
      <c r="V387" s="371"/>
      <c r="W387" s="371"/>
      <c r="X387" s="371"/>
    </row>
    <row r="388" customFormat="false" ht="12.75" hidden="false" customHeight="false" outlineLevel="0" collapsed="false">
      <c r="P388" s="371"/>
      <c r="Q388" s="371"/>
      <c r="R388" s="371"/>
      <c r="U388" s="371"/>
      <c r="V388" s="371"/>
      <c r="W388" s="371"/>
      <c r="X388" s="371"/>
    </row>
    <row r="389" customFormat="false" ht="12.75" hidden="false" customHeight="false" outlineLevel="0" collapsed="false">
      <c r="P389" s="371"/>
      <c r="Q389" s="371"/>
      <c r="R389" s="371"/>
      <c r="U389" s="371"/>
      <c r="V389" s="371"/>
      <c r="W389" s="371"/>
      <c r="X389" s="371"/>
    </row>
    <row r="390" customFormat="false" ht="12.75" hidden="false" customHeight="false" outlineLevel="0" collapsed="false">
      <c r="P390" s="371"/>
      <c r="Q390" s="371"/>
      <c r="R390" s="371"/>
      <c r="U390" s="371"/>
      <c r="V390" s="371"/>
      <c r="W390" s="371"/>
      <c r="X390" s="371"/>
    </row>
    <row r="391" customFormat="false" ht="12.75" hidden="false" customHeight="false" outlineLevel="0" collapsed="false">
      <c r="P391" s="371"/>
      <c r="Q391" s="371"/>
      <c r="R391" s="371"/>
      <c r="U391" s="371"/>
      <c r="V391" s="371"/>
      <c r="W391" s="371"/>
      <c r="X391" s="371"/>
    </row>
    <row r="392" customFormat="false" ht="12.75" hidden="false" customHeight="false" outlineLevel="0" collapsed="false">
      <c r="P392" s="371"/>
      <c r="Q392" s="371"/>
      <c r="R392" s="371"/>
      <c r="U392" s="371"/>
      <c r="V392" s="371"/>
      <c r="W392" s="371"/>
      <c r="X392" s="371"/>
    </row>
    <row r="393" customFormat="false" ht="12.75" hidden="false" customHeight="false" outlineLevel="0" collapsed="false">
      <c r="P393" s="371"/>
      <c r="Q393" s="371"/>
      <c r="R393" s="371"/>
      <c r="U393" s="371"/>
      <c r="V393" s="371"/>
      <c r="W393" s="371"/>
      <c r="X393" s="371"/>
    </row>
    <row r="394" customFormat="false" ht="12.75" hidden="false" customHeight="false" outlineLevel="0" collapsed="false">
      <c r="P394" s="371"/>
      <c r="Q394" s="371"/>
      <c r="R394" s="371"/>
      <c r="U394" s="371"/>
      <c r="V394" s="371"/>
      <c r="W394" s="371"/>
      <c r="X394" s="371"/>
    </row>
    <row r="395" customFormat="false" ht="12.75" hidden="false" customHeight="false" outlineLevel="0" collapsed="false">
      <c r="P395" s="371"/>
      <c r="Q395" s="371"/>
      <c r="R395" s="371"/>
      <c r="U395" s="371"/>
      <c r="V395" s="371"/>
      <c r="W395" s="371"/>
      <c r="X395" s="371"/>
    </row>
    <row r="396" customFormat="false" ht="12.75" hidden="false" customHeight="false" outlineLevel="0" collapsed="false">
      <c r="P396" s="371"/>
      <c r="Q396" s="371"/>
      <c r="R396" s="371"/>
      <c r="U396" s="371"/>
      <c r="V396" s="371"/>
      <c r="W396" s="371"/>
      <c r="X396" s="371"/>
    </row>
    <row r="397" customFormat="false" ht="12.75" hidden="false" customHeight="false" outlineLevel="0" collapsed="false">
      <c r="P397" s="371"/>
      <c r="Q397" s="371"/>
      <c r="R397" s="371"/>
      <c r="U397" s="371"/>
      <c r="V397" s="371"/>
      <c r="W397" s="371"/>
      <c r="X397" s="371"/>
    </row>
    <row r="398" customFormat="false" ht="12.75" hidden="false" customHeight="false" outlineLevel="0" collapsed="false">
      <c r="P398" s="371"/>
      <c r="Q398" s="371"/>
      <c r="R398" s="371"/>
      <c r="U398" s="371"/>
      <c r="V398" s="371"/>
      <c r="W398" s="371"/>
      <c r="X398" s="371"/>
    </row>
    <row r="399" customFormat="false" ht="12.75" hidden="false" customHeight="false" outlineLevel="0" collapsed="false">
      <c r="P399" s="371"/>
      <c r="Q399" s="371"/>
      <c r="R399" s="371"/>
      <c r="U399" s="371"/>
      <c r="V399" s="371"/>
      <c r="W399" s="371"/>
      <c r="X399" s="371"/>
    </row>
    <row r="400" customFormat="false" ht="12.75" hidden="false" customHeight="false" outlineLevel="0" collapsed="false">
      <c r="P400" s="371"/>
      <c r="Q400" s="371"/>
      <c r="R400" s="371"/>
      <c r="U400" s="371"/>
      <c r="V400" s="371"/>
      <c r="W400" s="371"/>
      <c r="X400" s="371"/>
    </row>
    <row r="401" customFormat="false" ht="12.75" hidden="false" customHeight="false" outlineLevel="0" collapsed="false">
      <c r="P401" s="371"/>
      <c r="Q401" s="371"/>
      <c r="R401" s="371"/>
      <c r="U401" s="371"/>
      <c r="V401" s="371"/>
      <c r="W401" s="371"/>
      <c r="X401" s="371"/>
    </row>
    <row r="402" customFormat="false" ht="12.75" hidden="false" customHeight="false" outlineLevel="0" collapsed="false">
      <c r="P402" s="371"/>
      <c r="Q402" s="371"/>
      <c r="R402" s="371"/>
      <c r="U402" s="371"/>
      <c r="V402" s="371"/>
      <c r="W402" s="371"/>
      <c r="X402" s="371"/>
    </row>
    <row r="403" customFormat="false" ht="12.75" hidden="false" customHeight="false" outlineLevel="0" collapsed="false">
      <c r="P403" s="371"/>
      <c r="Q403" s="371"/>
      <c r="R403" s="371"/>
      <c r="U403" s="371"/>
      <c r="V403" s="371"/>
      <c r="W403" s="371"/>
      <c r="X403" s="371"/>
    </row>
    <row r="404" customFormat="false" ht="12.75" hidden="false" customHeight="false" outlineLevel="0" collapsed="false">
      <c r="P404" s="371"/>
      <c r="Q404" s="371"/>
      <c r="R404" s="371"/>
      <c r="U404" s="371"/>
      <c r="V404" s="371"/>
      <c r="W404" s="371"/>
      <c r="X404" s="371"/>
    </row>
    <row r="405" customFormat="false" ht="12.75" hidden="false" customHeight="false" outlineLevel="0" collapsed="false">
      <c r="P405" s="371"/>
      <c r="Q405" s="371"/>
      <c r="R405" s="371"/>
      <c r="U405" s="371"/>
      <c r="V405" s="371"/>
      <c r="W405" s="371"/>
      <c r="X405" s="371"/>
    </row>
    <row r="406" customFormat="false" ht="12.75" hidden="false" customHeight="false" outlineLevel="0" collapsed="false">
      <c r="P406" s="371"/>
      <c r="Q406" s="371"/>
      <c r="R406" s="371"/>
      <c r="U406" s="371"/>
      <c r="V406" s="371"/>
      <c r="W406" s="371"/>
      <c r="X406" s="371"/>
    </row>
    <row r="407" customFormat="false" ht="12.75" hidden="false" customHeight="false" outlineLevel="0" collapsed="false">
      <c r="P407" s="371"/>
      <c r="Q407" s="371"/>
      <c r="R407" s="371"/>
      <c r="U407" s="371"/>
      <c r="V407" s="371"/>
      <c r="W407" s="371"/>
      <c r="X407" s="371"/>
    </row>
    <row r="408" customFormat="false" ht="12.75" hidden="false" customHeight="false" outlineLevel="0" collapsed="false">
      <c r="P408" s="371"/>
      <c r="Q408" s="371"/>
      <c r="R408" s="371"/>
      <c r="U408" s="371"/>
      <c r="V408" s="371"/>
      <c r="W408" s="371"/>
      <c r="X408" s="371"/>
    </row>
    <row r="409" customFormat="false" ht="12.75" hidden="false" customHeight="false" outlineLevel="0" collapsed="false">
      <c r="P409" s="371"/>
      <c r="Q409" s="371"/>
      <c r="R409" s="371"/>
      <c r="U409" s="371"/>
      <c r="V409" s="371"/>
      <c r="W409" s="371"/>
      <c r="X409" s="371"/>
    </row>
    <row r="410" customFormat="false" ht="12.75" hidden="false" customHeight="false" outlineLevel="0" collapsed="false">
      <c r="P410" s="371"/>
      <c r="Q410" s="371"/>
      <c r="R410" s="371"/>
      <c r="U410" s="371"/>
      <c r="V410" s="371"/>
      <c r="W410" s="371"/>
      <c r="X410" s="371"/>
    </row>
    <row r="411" customFormat="false" ht="12.75" hidden="false" customHeight="false" outlineLevel="0" collapsed="false">
      <c r="P411" s="371"/>
      <c r="Q411" s="371"/>
      <c r="R411" s="371"/>
      <c r="U411" s="371"/>
      <c r="V411" s="371"/>
      <c r="W411" s="371"/>
      <c r="X411" s="371"/>
    </row>
    <row r="412" customFormat="false" ht="12.75" hidden="false" customHeight="false" outlineLevel="0" collapsed="false">
      <c r="P412" s="371"/>
      <c r="Q412" s="371"/>
      <c r="R412" s="371"/>
      <c r="U412" s="371"/>
      <c r="V412" s="371"/>
      <c r="W412" s="371"/>
      <c r="X412" s="371"/>
    </row>
    <row r="413" customFormat="false" ht="12.75" hidden="false" customHeight="false" outlineLevel="0" collapsed="false">
      <c r="P413" s="371"/>
      <c r="Q413" s="371"/>
      <c r="R413" s="371"/>
      <c r="U413" s="371"/>
      <c r="V413" s="371"/>
      <c r="W413" s="371"/>
      <c r="X413" s="371"/>
    </row>
    <row r="414" customFormat="false" ht="12.75" hidden="false" customHeight="false" outlineLevel="0" collapsed="false">
      <c r="P414" s="371"/>
      <c r="Q414" s="371"/>
      <c r="R414" s="371"/>
      <c r="U414" s="371"/>
      <c r="V414" s="371"/>
      <c r="W414" s="371"/>
      <c r="X414" s="371"/>
    </row>
    <row r="415" customFormat="false" ht="12.75" hidden="false" customHeight="false" outlineLevel="0" collapsed="false">
      <c r="P415" s="371"/>
      <c r="Q415" s="371"/>
      <c r="R415" s="371"/>
      <c r="U415" s="371"/>
      <c r="V415" s="371"/>
      <c r="W415" s="371"/>
      <c r="X415" s="371"/>
    </row>
    <row r="416" customFormat="false" ht="12.75" hidden="false" customHeight="false" outlineLevel="0" collapsed="false">
      <c r="P416" s="371"/>
      <c r="Q416" s="371"/>
      <c r="R416" s="371"/>
      <c r="U416" s="371"/>
      <c r="V416" s="371"/>
      <c r="W416" s="371"/>
      <c r="X416" s="371"/>
    </row>
    <row r="417" customFormat="false" ht="12.75" hidden="false" customHeight="false" outlineLevel="0" collapsed="false">
      <c r="P417" s="371"/>
      <c r="Q417" s="371"/>
      <c r="R417" s="371"/>
      <c r="U417" s="371"/>
      <c r="V417" s="371"/>
      <c r="W417" s="371"/>
      <c r="X417" s="371"/>
    </row>
    <row r="418" customFormat="false" ht="12.75" hidden="false" customHeight="false" outlineLevel="0" collapsed="false">
      <c r="P418" s="371"/>
      <c r="Q418" s="371"/>
      <c r="R418" s="371"/>
      <c r="U418" s="371"/>
      <c r="V418" s="371"/>
      <c r="W418" s="371"/>
      <c r="X418" s="371"/>
    </row>
    <row r="419" customFormat="false" ht="12.75" hidden="false" customHeight="false" outlineLevel="0" collapsed="false">
      <c r="P419" s="371"/>
      <c r="Q419" s="371"/>
      <c r="R419" s="371"/>
      <c r="U419" s="371"/>
      <c r="V419" s="371"/>
      <c r="W419" s="371"/>
      <c r="X419" s="371"/>
    </row>
    <row r="420" customFormat="false" ht="12.75" hidden="false" customHeight="false" outlineLevel="0" collapsed="false">
      <c r="P420" s="371"/>
      <c r="Q420" s="371"/>
      <c r="R420" s="371"/>
      <c r="U420" s="371"/>
      <c r="V420" s="371"/>
      <c r="W420" s="371"/>
      <c r="X420" s="371"/>
    </row>
    <row r="421" customFormat="false" ht="12.75" hidden="false" customHeight="false" outlineLevel="0" collapsed="false">
      <c r="P421" s="371"/>
      <c r="Q421" s="371"/>
      <c r="R421" s="371"/>
      <c r="U421" s="371"/>
      <c r="V421" s="371"/>
      <c r="W421" s="371"/>
      <c r="X421" s="371"/>
    </row>
    <row r="422" customFormat="false" ht="12.75" hidden="false" customHeight="false" outlineLevel="0" collapsed="false">
      <c r="P422" s="371"/>
      <c r="Q422" s="371"/>
      <c r="R422" s="371"/>
      <c r="U422" s="371"/>
      <c r="V422" s="371"/>
      <c r="W422" s="371"/>
      <c r="X422" s="371"/>
    </row>
    <row r="423" customFormat="false" ht="12.75" hidden="false" customHeight="false" outlineLevel="0" collapsed="false">
      <c r="P423" s="371"/>
      <c r="Q423" s="371"/>
      <c r="R423" s="371"/>
      <c r="U423" s="371"/>
      <c r="V423" s="371"/>
      <c r="W423" s="371"/>
      <c r="X423" s="371"/>
    </row>
    <row r="424" customFormat="false" ht="12.75" hidden="false" customHeight="false" outlineLevel="0" collapsed="false">
      <c r="P424" s="371"/>
      <c r="Q424" s="371"/>
      <c r="R424" s="371"/>
      <c r="U424" s="371"/>
      <c r="V424" s="371"/>
      <c r="W424" s="371"/>
      <c r="X424" s="371"/>
    </row>
    <row r="425" customFormat="false" ht="12.75" hidden="false" customHeight="false" outlineLevel="0" collapsed="false">
      <c r="P425" s="371"/>
      <c r="Q425" s="371"/>
      <c r="R425" s="371"/>
      <c r="U425" s="371"/>
      <c r="V425" s="371"/>
      <c r="W425" s="371"/>
      <c r="X425" s="371"/>
    </row>
    <row r="426" customFormat="false" ht="12.75" hidden="false" customHeight="false" outlineLevel="0" collapsed="false">
      <c r="P426" s="371"/>
      <c r="Q426" s="371"/>
      <c r="R426" s="371"/>
      <c r="U426" s="371"/>
      <c r="V426" s="371"/>
      <c r="W426" s="371"/>
      <c r="X426" s="371"/>
    </row>
    <row r="427" customFormat="false" ht="12.75" hidden="false" customHeight="false" outlineLevel="0" collapsed="false">
      <c r="P427" s="371"/>
      <c r="Q427" s="371"/>
      <c r="R427" s="371"/>
      <c r="U427" s="371"/>
      <c r="V427" s="371"/>
      <c r="W427" s="371"/>
      <c r="X427" s="371"/>
    </row>
    <row r="428" customFormat="false" ht="12.75" hidden="false" customHeight="false" outlineLevel="0" collapsed="false">
      <c r="P428" s="371"/>
      <c r="Q428" s="371"/>
      <c r="R428" s="371"/>
      <c r="U428" s="371"/>
      <c r="V428" s="371"/>
      <c r="W428" s="371"/>
      <c r="X428" s="371"/>
    </row>
    <row r="429" customFormat="false" ht="12.75" hidden="false" customHeight="false" outlineLevel="0" collapsed="false">
      <c r="P429" s="371"/>
      <c r="Q429" s="371"/>
      <c r="R429" s="371"/>
      <c r="U429" s="371"/>
      <c r="V429" s="371"/>
      <c r="W429" s="371"/>
      <c r="X429" s="371"/>
    </row>
    <row r="430" customFormat="false" ht="12.75" hidden="false" customHeight="false" outlineLevel="0" collapsed="false">
      <c r="P430" s="371"/>
      <c r="Q430" s="371"/>
      <c r="R430" s="371"/>
      <c r="U430" s="371"/>
      <c r="V430" s="371"/>
      <c r="W430" s="371"/>
      <c r="X430" s="371"/>
    </row>
    <row r="431" customFormat="false" ht="12.75" hidden="false" customHeight="false" outlineLevel="0" collapsed="false">
      <c r="P431" s="371"/>
      <c r="Q431" s="371"/>
      <c r="R431" s="371"/>
      <c r="U431" s="371"/>
      <c r="V431" s="371"/>
      <c r="W431" s="371"/>
      <c r="X431" s="371"/>
    </row>
    <row r="432" customFormat="false" ht="12.75" hidden="false" customHeight="false" outlineLevel="0" collapsed="false">
      <c r="P432" s="371"/>
      <c r="Q432" s="371"/>
      <c r="R432" s="371"/>
      <c r="U432" s="371"/>
      <c r="V432" s="371"/>
      <c r="W432" s="371"/>
      <c r="X432" s="371"/>
    </row>
    <row r="433" customFormat="false" ht="12.75" hidden="false" customHeight="false" outlineLevel="0" collapsed="false">
      <c r="P433" s="371"/>
      <c r="Q433" s="371"/>
      <c r="R433" s="371"/>
      <c r="U433" s="371"/>
      <c r="V433" s="371"/>
      <c r="W433" s="371"/>
      <c r="X433" s="371"/>
    </row>
    <row r="434" customFormat="false" ht="12.75" hidden="false" customHeight="false" outlineLevel="0" collapsed="false">
      <c r="P434" s="371"/>
      <c r="Q434" s="371"/>
      <c r="R434" s="371"/>
      <c r="U434" s="371"/>
      <c r="V434" s="371"/>
      <c r="W434" s="371"/>
      <c r="X434" s="371"/>
    </row>
    <row r="435" customFormat="false" ht="12.75" hidden="false" customHeight="false" outlineLevel="0" collapsed="false">
      <c r="P435" s="371"/>
      <c r="Q435" s="371"/>
      <c r="R435" s="371"/>
      <c r="U435" s="371"/>
      <c r="V435" s="371"/>
      <c r="W435" s="371"/>
      <c r="X435" s="371"/>
    </row>
    <row r="436" customFormat="false" ht="12.75" hidden="false" customHeight="false" outlineLevel="0" collapsed="false">
      <c r="P436" s="371"/>
      <c r="Q436" s="371"/>
      <c r="R436" s="371"/>
      <c r="U436" s="371"/>
      <c r="V436" s="371"/>
      <c r="W436" s="371"/>
      <c r="X436" s="371"/>
    </row>
    <row r="437" customFormat="false" ht="12.75" hidden="false" customHeight="false" outlineLevel="0" collapsed="false">
      <c r="P437" s="371"/>
      <c r="Q437" s="371"/>
      <c r="R437" s="371"/>
      <c r="U437" s="371"/>
      <c r="V437" s="371"/>
      <c r="W437" s="371"/>
      <c r="X437" s="371"/>
    </row>
    <row r="438" customFormat="false" ht="12.75" hidden="false" customHeight="false" outlineLevel="0" collapsed="false">
      <c r="P438" s="371"/>
      <c r="Q438" s="371"/>
      <c r="R438" s="371"/>
      <c r="U438" s="371"/>
      <c r="V438" s="371"/>
      <c r="W438" s="371"/>
      <c r="X438" s="371"/>
    </row>
    <row r="439" customFormat="false" ht="12.75" hidden="false" customHeight="false" outlineLevel="0" collapsed="false">
      <c r="P439" s="371"/>
      <c r="Q439" s="371"/>
      <c r="R439" s="371"/>
      <c r="U439" s="371"/>
      <c r="V439" s="371"/>
      <c r="W439" s="371"/>
      <c r="X439" s="371"/>
    </row>
    <row r="440" customFormat="false" ht="12.75" hidden="false" customHeight="false" outlineLevel="0" collapsed="false">
      <c r="P440" s="371"/>
      <c r="Q440" s="371"/>
      <c r="R440" s="371"/>
      <c r="U440" s="371"/>
      <c r="V440" s="371"/>
      <c r="W440" s="371"/>
      <c r="X440" s="371"/>
    </row>
    <row r="441" customFormat="false" ht="12.75" hidden="false" customHeight="false" outlineLevel="0" collapsed="false">
      <c r="P441" s="371"/>
      <c r="Q441" s="371"/>
      <c r="R441" s="371"/>
      <c r="U441" s="371"/>
      <c r="V441" s="371"/>
      <c r="W441" s="371"/>
      <c r="X441" s="371"/>
    </row>
    <row r="442" customFormat="false" ht="12.75" hidden="false" customHeight="false" outlineLevel="0" collapsed="false">
      <c r="P442" s="371"/>
      <c r="Q442" s="371"/>
      <c r="R442" s="371"/>
      <c r="U442" s="371"/>
      <c r="V442" s="371"/>
      <c r="W442" s="371"/>
      <c r="X442" s="371"/>
    </row>
    <row r="443" customFormat="false" ht="12.75" hidden="false" customHeight="false" outlineLevel="0" collapsed="false">
      <c r="P443" s="371"/>
      <c r="Q443" s="371"/>
      <c r="R443" s="371"/>
      <c r="U443" s="371"/>
      <c r="V443" s="371"/>
      <c r="W443" s="371"/>
      <c r="X443" s="371"/>
    </row>
    <row r="444" customFormat="false" ht="12.75" hidden="false" customHeight="false" outlineLevel="0" collapsed="false">
      <c r="P444" s="371"/>
      <c r="Q444" s="371"/>
      <c r="R444" s="371"/>
      <c r="U444" s="371"/>
      <c r="V444" s="371"/>
      <c r="W444" s="371"/>
      <c r="X444" s="371"/>
    </row>
    <row r="445" customFormat="false" ht="12.75" hidden="false" customHeight="false" outlineLevel="0" collapsed="false">
      <c r="P445" s="371"/>
      <c r="Q445" s="371"/>
      <c r="R445" s="371"/>
      <c r="U445" s="371"/>
      <c r="V445" s="371"/>
      <c r="W445" s="371"/>
      <c r="X445" s="371"/>
    </row>
    <row r="446" customFormat="false" ht="12.75" hidden="false" customHeight="false" outlineLevel="0" collapsed="false">
      <c r="P446" s="371"/>
      <c r="Q446" s="371"/>
      <c r="R446" s="371"/>
      <c r="U446" s="371"/>
      <c r="V446" s="371"/>
      <c r="W446" s="371"/>
      <c r="X446" s="371"/>
    </row>
    <row r="447" customFormat="false" ht="12.75" hidden="false" customHeight="false" outlineLevel="0" collapsed="false">
      <c r="P447" s="371"/>
      <c r="Q447" s="371"/>
      <c r="R447" s="371"/>
      <c r="U447" s="371"/>
      <c r="V447" s="371"/>
      <c r="W447" s="371"/>
      <c r="X447" s="371"/>
    </row>
    <row r="448" customFormat="false" ht="12.75" hidden="false" customHeight="false" outlineLevel="0" collapsed="false">
      <c r="P448" s="371"/>
      <c r="Q448" s="371"/>
      <c r="R448" s="371"/>
      <c r="U448" s="371"/>
      <c r="V448" s="371"/>
      <c r="W448" s="371"/>
      <c r="X448" s="371"/>
    </row>
    <row r="449" customFormat="false" ht="12.75" hidden="false" customHeight="false" outlineLevel="0" collapsed="false">
      <c r="P449" s="371"/>
      <c r="Q449" s="371"/>
      <c r="R449" s="371"/>
      <c r="U449" s="371"/>
      <c r="V449" s="371"/>
      <c r="W449" s="371"/>
      <c r="X449" s="371"/>
    </row>
    <row r="450" customFormat="false" ht="12.75" hidden="false" customHeight="false" outlineLevel="0" collapsed="false">
      <c r="P450" s="371"/>
      <c r="Q450" s="371"/>
      <c r="R450" s="371"/>
      <c r="U450" s="371"/>
      <c r="V450" s="371"/>
      <c r="W450" s="371"/>
      <c r="X450" s="371"/>
    </row>
    <row r="451" customFormat="false" ht="12.75" hidden="false" customHeight="false" outlineLevel="0" collapsed="false">
      <c r="P451" s="371"/>
      <c r="Q451" s="371"/>
      <c r="R451" s="371"/>
      <c r="U451" s="371"/>
      <c r="V451" s="371"/>
      <c r="W451" s="371"/>
      <c r="X451" s="371"/>
    </row>
    <row r="452" customFormat="false" ht="12.75" hidden="false" customHeight="false" outlineLevel="0" collapsed="false">
      <c r="P452" s="371"/>
      <c r="Q452" s="371"/>
      <c r="R452" s="371"/>
      <c r="U452" s="371"/>
      <c r="V452" s="371"/>
      <c r="W452" s="371"/>
      <c r="X452" s="371"/>
    </row>
    <row r="453" customFormat="false" ht="12.75" hidden="false" customHeight="false" outlineLevel="0" collapsed="false">
      <c r="P453" s="371"/>
      <c r="Q453" s="371"/>
      <c r="R453" s="371"/>
      <c r="U453" s="371"/>
      <c r="V453" s="371"/>
      <c r="W453" s="371"/>
      <c r="X453" s="371"/>
    </row>
    <row r="454" customFormat="false" ht="12.75" hidden="false" customHeight="false" outlineLevel="0" collapsed="false">
      <c r="P454" s="371"/>
      <c r="Q454" s="371"/>
      <c r="R454" s="371"/>
      <c r="U454" s="371"/>
      <c r="V454" s="371"/>
      <c r="W454" s="371"/>
      <c r="X454" s="371"/>
    </row>
    <row r="455" customFormat="false" ht="12.75" hidden="false" customHeight="false" outlineLevel="0" collapsed="false">
      <c r="P455" s="371"/>
      <c r="Q455" s="371"/>
      <c r="R455" s="371"/>
      <c r="U455" s="371"/>
      <c r="V455" s="371"/>
      <c r="W455" s="371"/>
      <c r="X455" s="371"/>
    </row>
    <row r="456" customFormat="false" ht="12.75" hidden="false" customHeight="false" outlineLevel="0" collapsed="false">
      <c r="P456" s="371"/>
      <c r="Q456" s="371"/>
      <c r="R456" s="371"/>
      <c r="U456" s="371"/>
      <c r="V456" s="371"/>
      <c r="W456" s="371"/>
      <c r="X456" s="371"/>
    </row>
    <row r="457" customFormat="false" ht="12.75" hidden="false" customHeight="false" outlineLevel="0" collapsed="false">
      <c r="P457" s="371"/>
      <c r="Q457" s="371"/>
      <c r="R457" s="371"/>
      <c r="U457" s="371"/>
      <c r="V457" s="371"/>
      <c r="W457" s="371"/>
      <c r="X457" s="371"/>
    </row>
    <row r="458" customFormat="false" ht="12.75" hidden="false" customHeight="false" outlineLevel="0" collapsed="false">
      <c r="P458" s="371"/>
      <c r="Q458" s="371"/>
      <c r="R458" s="371"/>
      <c r="U458" s="371"/>
      <c r="V458" s="371"/>
      <c r="W458" s="371"/>
      <c r="X458" s="371"/>
    </row>
    <row r="459" customFormat="false" ht="12.75" hidden="false" customHeight="false" outlineLevel="0" collapsed="false">
      <c r="P459" s="371"/>
      <c r="Q459" s="371"/>
      <c r="R459" s="371"/>
      <c r="U459" s="371"/>
      <c r="V459" s="371"/>
      <c r="W459" s="371"/>
      <c r="X459" s="371"/>
    </row>
    <row r="460" customFormat="false" ht="12.75" hidden="false" customHeight="false" outlineLevel="0" collapsed="false">
      <c r="P460" s="371"/>
      <c r="Q460" s="371"/>
      <c r="R460" s="371"/>
      <c r="U460" s="371"/>
      <c r="V460" s="371"/>
      <c r="W460" s="371"/>
      <c r="X460" s="371"/>
    </row>
    <row r="461" customFormat="false" ht="12.75" hidden="false" customHeight="false" outlineLevel="0" collapsed="false">
      <c r="P461" s="371"/>
      <c r="Q461" s="371"/>
      <c r="R461" s="371"/>
      <c r="U461" s="371"/>
      <c r="V461" s="371"/>
      <c r="W461" s="371"/>
      <c r="X461" s="371"/>
    </row>
    <row r="462" customFormat="false" ht="12.75" hidden="false" customHeight="false" outlineLevel="0" collapsed="false">
      <c r="P462" s="371"/>
      <c r="Q462" s="371"/>
      <c r="R462" s="371"/>
      <c r="U462" s="371"/>
      <c r="V462" s="371"/>
      <c r="W462" s="371"/>
      <c r="X462" s="371"/>
    </row>
    <row r="463" customFormat="false" ht="12.75" hidden="false" customHeight="false" outlineLevel="0" collapsed="false">
      <c r="P463" s="371"/>
      <c r="Q463" s="371"/>
      <c r="R463" s="371"/>
      <c r="U463" s="371"/>
      <c r="V463" s="371"/>
      <c r="W463" s="371"/>
      <c r="X463" s="371"/>
    </row>
    <row r="464" customFormat="false" ht="12.75" hidden="false" customHeight="false" outlineLevel="0" collapsed="false">
      <c r="P464" s="371"/>
      <c r="Q464" s="371"/>
      <c r="R464" s="371"/>
      <c r="U464" s="371"/>
      <c r="V464" s="371"/>
      <c r="W464" s="371"/>
      <c r="X464" s="371"/>
    </row>
    <row r="465" customFormat="false" ht="12.75" hidden="false" customHeight="false" outlineLevel="0" collapsed="false">
      <c r="P465" s="371"/>
      <c r="Q465" s="371"/>
      <c r="R465" s="371"/>
      <c r="U465" s="371"/>
      <c r="V465" s="371"/>
      <c r="W465" s="371"/>
      <c r="X465" s="371"/>
    </row>
    <row r="466" customFormat="false" ht="12.75" hidden="false" customHeight="false" outlineLevel="0" collapsed="false">
      <c r="P466" s="371"/>
      <c r="Q466" s="371"/>
      <c r="R466" s="371"/>
      <c r="U466" s="371"/>
      <c r="V466" s="371"/>
      <c r="W466" s="371"/>
      <c r="X466" s="371"/>
    </row>
    <row r="467" customFormat="false" ht="12.75" hidden="false" customHeight="false" outlineLevel="0" collapsed="false">
      <c r="P467" s="371"/>
      <c r="Q467" s="371"/>
      <c r="R467" s="371"/>
      <c r="U467" s="371"/>
      <c r="V467" s="371"/>
      <c r="W467" s="371"/>
      <c r="X467" s="371"/>
    </row>
    <row r="468" customFormat="false" ht="12.75" hidden="false" customHeight="false" outlineLevel="0" collapsed="false">
      <c r="P468" s="371"/>
      <c r="Q468" s="371"/>
      <c r="R468" s="371"/>
      <c r="U468" s="371"/>
      <c r="V468" s="371"/>
      <c r="W468" s="371"/>
      <c r="X468" s="371"/>
    </row>
    <row r="469" customFormat="false" ht="12.75" hidden="false" customHeight="false" outlineLevel="0" collapsed="false">
      <c r="P469" s="371"/>
      <c r="Q469" s="371"/>
      <c r="R469" s="371"/>
      <c r="U469" s="371"/>
      <c r="V469" s="371"/>
      <c r="W469" s="371"/>
      <c r="X469" s="371"/>
    </row>
    <row r="470" customFormat="false" ht="12.75" hidden="false" customHeight="false" outlineLevel="0" collapsed="false">
      <c r="P470" s="371"/>
      <c r="Q470" s="371"/>
      <c r="R470" s="371"/>
      <c r="U470" s="371"/>
      <c r="V470" s="371"/>
      <c r="W470" s="371"/>
      <c r="X470" s="371"/>
    </row>
    <row r="471" customFormat="false" ht="12.75" hidden="false" customHeight="false" outlineLevel="0" collapsed="false">
      <c r="P471" s="371"/>
      <c r="Q471" s="371"/>
      <c r="R471" s="371"/>
      <c r="U471" s="371"/>
      <c r="V471" s="371"/>
      <c r="W471" s="371"/>
      <c r="X471" s="371"/>
    </row>
    <row r="472" customFormat="false" ht="12.75" hidden="false" customHeight="false" outlineLevel="0" collapsed="false">
      <c r="P472" s="371"/>
      <c r="Q472" s="371"/>
      <c r="R472" s="371"/>
      <c r="U472" s="371"/>
      <c r="V472" s="371"/>
      <c r="W472" s="371"/>
      <c r="X472" s="371"/>
    </row>
    <row r="473" customFormat="false" ht="12.75" hidden="false" customHeight="false" outlineLevel="0" collapsed="false">
      <c r="P473" s="371"/>
      <c r="Q473" s="371"/>
      <c r="R473" s="371"/>
      <c r="U473" s="371"/>
      <c r="V473" s="371"/>
      <c r="W473" s="371"/>
      <c r="X473" s="371"/>
    </row>
    <row r="474" customFormat="false" ht="12.75" hidden="false" customHeight="false" outlineLevel="0" collapsed="false">
      <c r="P474" s="371"/>
      <c r="Q474" s="371"/>
      <c r="R474" s="371"/>
      <c r="U474" s="371"/>
      <c r="V474" s="371"/>
      <c r="W474" s="371"/>
      <c r="X474" s="371"/>
    </row>
    <row r="475" customFormat="false" ht="12.75" hidden="false" customHeight="false" outlineLevel="0" collapsed="false">
      <c r="P475" s="371"/>
      <c r="Q475" s="371"/>
      <c r="R475" s="371"/>
      <c r="U475" s="371"/>
      <c r="V475" s="371"/>
      <c r="W475" s="371"/>
      <c r="X475" s="371"/>
    </row>
    <row r="476" customFormat="false" ht="12.75" hidden="false" customHeight="false" outlineLevel="0" collapsed="false">
      <c r="P476" s="371"/>
      <c r="Q476" s="371"/>
      <c r="R476" s="371"/>
      <c r="U476" s="371"/>
      <c r="V476" s="371"/>
      <c r="W476" s="371"/>
      <c r="X476" s="371"/>
    </row>
    <row r="477" customFormat="false" ht="12.75" hidden="false" customHeight="false" outlineLevel="0" collapsed="false">
      <c r="P477" s="371"/>
      <c r="Q477" s="371"/>
      <c r="R477" s="371"/>
      <c r="U477" s="371"/>
      <c r="V477" s="371"/>
      <c r="W477" s="371"/>
      <c r="X477" s="371"/>
    </row>
    <row r="478" customFormat="false" ht="12.75" hidden="false" customHeight="false" outlineLevel="0" collapsed="false">
      <c r="P478" s="371"/>
      <c r="Q478" s="371"/>
      <c r="R478" s="371"/>
      <c r="U478" s="371"/>
      <c r="V478" s="371"/>
      <c r="W478" s="371"/>
      <c r="X478" s="371"/>
    </row>
    <row r="479" customFormat="false" ht="12.75" hidden="false" customHeight="false" outlineLevel="0" collapsed="false">
      <c r="P479" s="371"/>
      <c r="Q479" s="371"/>
      <c r="R479" s="371"/>
      <c r="U479" s="371"/>
      <c r="V479" s="371"/>
      <c r="W479" s="371"/>
      <c r="X479" s="371"/>
    </row>
    <row r="480" customFormat="false" ht="12.75" hidden="false" customHeight="false" outlineLevel="0" collapsed="false">
      <c r="P480" s="371"/>
      <c r="Q480" s="371"/>
      <c r="R480" s="371"/>
      <c r="U480" s="371"/>
      <c r="V480" s="371"/>
      <c r="W480" s="371"/>
      <c r="X480" s="371"/>
    </row>
    <row r="481" customFormat="false" ht="12.75" hidden="false" customHeight="false" outlineLevel="0" collapsed="false">
      <c r="P481" s="371"/>
      <c r="Q481" s="371"/>
      <c r="R481" s="371"/>
      <c r="U481" s="371"/>
      <c r="V481" s="371"/>
      <c r="W481" s="371"/>
      <c r="X481" s="371"/>
    </row>
    <row r="482" customFormat="false" ht="12.75" hidden="false" customHeight="false" outlineLevel="0" collapsed="false">
      <c r="P482" s="371"/>
      <c r="Q482" s="371"/>
      <c r="R482" s="371"/>
      <c r="U482" s="371"/>
      <c r="V482" s="371"/>
      <c r="W482" s="371"/>
      <c r="X482" s="371"/>
    </row>
    <row r="483" customFormat="false" ht="12.75" hidden="false" customHeight="false" outlineLevel="0" collapsed="false">
      <c r="P483" s="371"/>
      <c r="Q483" s="371"/>
      <c r="R483" s="371"/>
      <c r="U483" s="371"/>
      <c r="V483" s="371"/>
      <c r="W483" s="371"/>
      <c r="X483" s="371"/>
    </row>
    <row r="484" customFormat="false" ht="12.75" hidden="false" customHeight="false" outlineLevel="0" collapsed="false">
      <c r="P484" s="371"/>
      <c r="Q484" s="371"/>
      <c r="R484" s="371"/>
      <c r="U484" s="371"/>
      <c r="V484" s="371"/>
      <c r="W484" s="371"/>
      <c r="X484" s="371"/>
    </row>
    <row r="485" customFormat="false" ht="12.75" hidden="false" customHeight="false" outlineLevel="0" collapsed="false">
      <c r="P485" s="371"/>
      <c r="Q485" s="371"/>
      <c r="R485" s="371"/>
      <c r="U485" s="371"/>
      <c r="V485" s="371"/>
      <c r="W485" s="371"/>
      <c r="X485" s="371"/>
    </row>
    <row r="486" customFormat="false" ht="12.75" hidden="false" customHeight="false" outlineLevel="0" collapsed="false">
      <c r="P486" s="371"/>
      <c r="Q486" s="371"/>
      <c r="R486" s="371"/>
      <c r="U486" s="371"/>
      <c r="V486" s="371"/>
      <c r="W486" s="371"/>
      <c r="X486" s="371"/>
    </row>
    <row r="487" customFormat="false" ht="12.75" hidden="false" customHeight="false" outlineLevel="0" collapsed="false">
      <c r="P487" s="371"/>
      <c r="Q487" s="371"/>
      <c r="R487" s="371"/>
      <c r="U487" s="371"/>
      <c r="V487" s="371"/>
      <c r="W487" s="371"/>
      <c r="X487" s="371"/>
    </row>
    <row r="488" customFormat="false" ht="12.75" hidden="false" customHeight="false" outlineLevel="0" collapsed="false">
      <c r="P488" s="371"/>
      <c r="Q488" s="371"/>
      <c r="R488" s="371"/>
      <c r="U488" s="371"/>
      <c r="V488" s="371"/>
      <c r="W488" s="371"/>
      <c r="X488" s="371"/>
    </row>
    <row r="489" customFormat="false" ht="12.75" hidden="false" customHeight="false" outlineLevel="0" collapsed="false">
      <c r="P489" s="371"/>
      <c r="Q489" s="371"/>
      <c r="R489" s="371"/>
      <c r="U489" s="371"/>
      <c r="V489" s="371"/>
      <c r="W489" s="371"/>
      <c r="X489" s="371"/>
    </row>
    <row r="490" customFormat="false" ht="12.75" hidden="false" customHeight="false" outlineLevel="0" collapsed="false">
      <c r="P490" s="371"/>
      <c r="Q490" s="371"/>
      <c r="R490" s="371"/>
      <c r="U490" s="371"/>
      <c r="V490" s="371"/>
      <c r="W490" s="371"/>
      <c r="X490" s="371"/>
    </row>
    <row r="491" customFormat="false" ht="12.75" hidden="false" customHeight="false" outlineLevel="0" collapsed="false">
      <c r="P491" s="371"/>
      <c r="Q491" s="371"/>
      <c r="R491" s="371"/>
      <c r="U491" s="371"/>
      <c r="V491" s="371"/>
      <c r="W491" s="371"/>
      <c r="X491" s="371"/>
    </row>
    <row r="492" customFormat="false" ht="12.75" hidden="false" customHeight="false" outlineLevel="0" collapsed="false">
      <c r="P492" s="371"/>
      <c r="Q492" s="371"/>
      <c r="R492" s="371"/>
      <c r="U492" s="371"/>
      <c r="V492" s="371"/>
      <c r="W492" s="371"/>
      <c r="X492" s="371"/>
    </row>
    <row r="493" customFormat="false" ht="12.75" hidden="false" customHeight="false" outlineLevel="0" collapsed="false">
      <c r="P493" s="371"/>
      <c r="Q493" s="371"/>
      <c r="R493" s="371"/>
      <c r="U493" s="371"/>
      <c r="V493" s="371"/>
      <c r="W493" s="371"/>
      <c r="X493" s="371"/>
    </row>
    <row r="494" customFormat="false" ht="12.75" hidden="false" customHeight="false" outlineLevel="0" collapsed="false">
      <c r="P494" s="371"/>
      <c r="Q494" s="371"/>
      <c r="R494" s="371"/>
      <c r="U494" s="371"/>
      <c r="V494" s="371"/>
      <c r="W494" s="371"/>
      <c r="X494" s="371"/>
    </row>
    <row r="495" customFormat="false" ht="12.75" hidden="false" customHeight="false" outlineLevel="0" collapsed="false">
      <c r="P495" s="371"/>
      <c r="Q495" s="371"/>
      <c r="R495" s="371"/>
      <c r="U495" s="371"/>
      <c r="V495" s="371"/>
      <c r="W495" s="371"/>
      <c r="X495" s="371"/>
    </row>
    <row r="496" customFormat="false" ht="12.75" hidden="false" customHeight="false" outlineLevel="0" collapsed="false">
      <c r="P496" s="371"/>
      <c r="Q496" s="371"/>
      <c r="R496" s="371"/>
      <c r="U496" s="371"/>
      <c r="V496" s="371"/>
      <c r="W496" s="371"/>
      <c r="X496" s="371"/>
    </row>
    <row r="497" customFormat="false" ht="12.75" hidden="false" customHeight="false" outlineLevel="0" collapsed="false">
      <c r="P497" s="371"/>
      <c r="Q497" s="371"/>
      <c r="R497" s="371"/>
      <c r="U497" s="371"/>
      <c r="V497" s="371"/>
      <c r="W497" s="371"/>
      <c r="X497" s="371"/>
    </row>
    <row r="498" customFormat="false" ht="12.75" hidden="false" customHeight="false" outlineLevel="0" collapsed="false">
      <c r="P498" s="371"/>
      <c r="Q498" s="371"/>
      <c r="R498" s="371"/>
      <c r="U498" s="371"/>
      <c r="V498" s="371"/>
      <c r="W498" s="371"/>
      <c r="X498" s="371"/>
    </row>
    <row r="499" customFormat="false" ht="12.75" hidden="false" customHeight="false" outlineLevel="0" collapsed="false">
      <c r="P499" s="371"/>
      <c r="Q499" s="371"/>
      <c r="R499" s="371"/>
      <c r="U499" s="371"/>
      <c r="V499" s="371"/>
      <c r="W499" s="371"/>
      <c r="X499" s="371"/>
    </row>
    <row r="500" customFormat="false" ht="12.75" hidden="false" customHeight="false" outlineLevel="0" collapsed="false">
      <c r="P500" s="371"/>
      <c r="Q500" s="371"/>
      <c r="R500" s="371"/>
      <c r="U500" s="371"/>
      <c r="V500" s="371"/>
      <c r="W500" s="371"/>
      <c r="X500" s="371"/>
    </row>
    <row r="501" customFormat="false" ht="12.75" hidden="false" customHeight="false" outlineLevel="0" collapsed="false">
      <c r="P501" s="371"/>
      <c r="Q501" s="371"/>
      <c r="R501" s="371"/>
      <c r="U501" s="371"/>
      <c r="V501" s="371"/>
      <c r="W501" s="371"/>
      <c r="X501" s="371"/>
    </row>
    <row r="502" customFormat="false" ht="12.75" hidden="false" customHeight="false" outlineLevel="0" collapsed="false">
      <c r="P502" s="371"/>
      <c r="Q502" s="371"/>
      <c r="R502" s="371"/>
      <c r="U502" s="371"/>
      <c r="V502" s="371"/>
      <c r="W502" s="371"/>
      <c r="X502" s="371"/>
    </row>
    <row r="503" customFormat="false" ht="12.75" hidden="false" customHeight="false" outlineLevel="0" collapsed="false">
      <c r="P503" s="371"/>
      <c r="Q503" s="371"/>
      <c r="R503" s="371"/>
      <c r="U503" s="371"/>
      <c r="V503" s="371"/>
      <c r="W503" s="371"/>
      <c r="X503" s="371"/>
    </row>
    <row r="504" customFormat="false" ht="12.75" hidden="false" customHeight="false" outlineLevel="0" collapsed="false">
      <c r="P504" s="371"/>
      <c r="Q504" s="371"/>
      <c r="R504" s="371"/>
      <c r="U504" s="371"/>
      <c r="V504" s="371"/>
      <c r="W504" s="371"/>
      <c r="X504" s="371"/>
    </row>
    <row r="505" customFormat="false" ht="12.75" hidden="false" customHeight="false" outlineLevel="0" collapsed="false">
      <c r="P505" s="371"/>
      <c r="Q505" s="371"/>
      <c r="R505" s="371"/>
      <c r="U505" s="371"/>
      <c r="V505" s="371"/>
      <c r="W505" s="371"/>
      <c r="X505" s="371"/>
    </row>
    <row r="506" customFormat="false" ht="12.75" hidden="false" customHeight="false" outlineLevel="0" collapsed="false">
      <c r="P506" s="371"/>
      <c r="Q506" s="371"/>
      <c r="R506" s="371"/>
      <c r="U506" s="371"/>
      <c r="V506" s="371"/>
      <c r="W506" s="371"/>
      <c r="X506" s="371"/>
    </row>
    <row r="507" customFormat="false" ht="12.75" hidden="false" customHeight="false" outlineLevel="0" collapsed="false">
      <c r="P507" s="371"/>
      <c r="Q507" s="371"/>
      <c r="R507" s="371"/>
      <c r="U507" s="371"/>
      <c r="V507" s="371"/>
      <c r="W507" s="371"/>
      <c r="X507" s="371"/>
    </row>
    <row r="508" customFormat="false" ht="12.75" hidden="false" customHeight="false" outlineLevel="0" collapsed="false">
      <c r="P508" s="371"/>
      <c r="Q508" s="371"/>
      <c r="R508" s="371"/>
      <c r="U508" s="371"/>
      <c r="V508" s="371"/>
      <c r="W508" s="371"/>
      <c r="X508" s="371"/>
    </row>
    <row r="509" customFormat="false" ht="12.75" hidden="false" customHeight="false" outlineLevel="0" collapsed="false">
      <c r="P509" s="371"/>
      <c r="Q509" s="371"/>
      <c r="R509" s="371"/>
      <c r="U509" s="371"/>
      <c r="V509" s="371"/>
      <c r="W509" s="371"/>
      <c r="X509" s="371"/>
    </row>
    <row r="510" customFormat="false" ht="12.75" hidden="false" customHeight="false" outlineLevel="0" collapsed="false">
      <c r="P510" s="371"/>
      <c r="Q510" s="371"/>
      <c r="R510" s="371"/>
      <c r="U510" s="371"/>
      <c r="V510" s="371"/>
      <c r="W510" s="371"/>
      <c r="X510" s="371"/>
    </row>
    <row r="511" customFormat="false" ht="12.75" hidden="false" customHeight="false" outlineLevel="0" collapsed="false">
      <c r="P511" s="371"/>
      <c r="Q511" s="371"/>
      <c r="R511" s="371"/>
      <c r="U511" s="371"/>
      <c r="V511" s="371"/>
      <c r="W511" s="371"/>
      <c r="X511" s="371"/>
    </row>
    <row r="512" customFormat="false" ht="12.75" hidden="false" customHeight="false" outlineLevel="0" collapsed="false">
      <c r="P512" s="371"/>
      <c r="Q512" s="371"/>
      <c r="R512" s="371"/>
      <c r="U512" s="371"/>
      <c r="V512" s="371"/>
      <c r="W512" s="371"/>
      <c r="X512" s="371"/>
    </row>
    <row r="513" customFormat="false" ht="12.75" hidden="false" customHeight="false" outlineLevel="0" collapsed="false">
      <c r="P513" s="371"/>
      <c r="Q513" s="371"/>
      <c r="R513" s="371"/>
      <c r="U513" s="371"/>
      <c r="V513" s="371"/>
      <c r="W513" s="371"/>
      <c r="X513" s="371"/>
    </row>
    <row r="514" customFormat="false" ht="12.75" hidden="false" customHeight="false" outlineLevel="0" collapsed="false">
      <c r="P514" s="371"/>
      <c r="Q514" s="371"/>
      <c r="R514" s="371"/>
      <c r="U514" s="371"/>
      <c r="V514" s="371"/>
      <c r="W514" s="371"/>
      <c r="X514" s="371"/>
    </row>
    <row r="515" customFormat="false" ht="12.75" hidden="false" customHeight="false" outlineLevel="0" collapsed="false">
      <c r="P515" s="371"/>
      <c r="Q515" s="371"/>
      <c r="R515" s="371"/>
      <c r="U515" s="371"/>
      <c r="V515" s="371"/>
      <c r="W515" s="371"/>
      <c r="X515" s="371"/>
    </row>
    <row r="516" customFormat="false" ht="12.75" hidden="false" customHeight="false" outlineLevel="0" collapsed="false">
      <c r="P516" s="371"/>
      <c r="Q516" s="371"/>
      <c r="R516" s="371"/>
      <c r="U516" s="371"/>
      <c r="V516" s="371"/>
      <c r="W516" s="371"/>
      <c r="X516" s="371"/>
    </row>
    <row r="517" customFormat="false" ht="12.75" hidden="false" customHeight="false" outlineLevel="0" collapsed="false">
      <c r="P517" s="371"/>
      <c r="Q517" s="371"/>
      <c r="R517" s="371"/>
      <c r="U517" s="371"/>
      <c r="V517" s="371"/>
      <c r="W517" s="371"/>
      <c r="X517" s="371"/>
    </row>
    <row r="518" customFormat="false" ht="12.75" hidden="false" customHeight="false" outlineLevel="0" collapsed="false">
      <c r="P518" s="371"/>
      <c r="Q518" s="371"/>
      <c r="R518" s="371"/>
      <c r="U518" s="371"/>
      <c r="V518" s="371"/>
      <c r="W518" s="371"/>
      <c r="X518" s="371"/>
    </row>
    <row r="519" customFormat="false" ht="12.75" hidden="false" customHeight="false" outlineLevel="0" collapsed="false">
      <c r="P519" s="371"/>
      <c r="Q519" s="371"/>
      <c r="R519" s="371"/>
      <c r="U519" s="371"/>
      <c r="V519" s="371"/>
      <c r="W519" s="371"/>
      <c r="X519" s="371"/>
    </row>
    <row r="520" customFormat="false" ht="12.75" hidden="false" customHeight="false" outlineLevel="0" collapsed="false">
      <c r="P520" s="371"/>
      <c r="Q520" s="371"/>
      <c r="R520" s="371"/>
      <c r="U520" s="371"/>
      <c r="V520" s="371"/>
      <c r="W520" s="371"/>
      <c r="X520" s="371"/>
    </row>
    <row r="521" customFormat="false" ht="12.75" hidden="false" customHeight="false" outlineLevel="0" collapsed="false">
      <c r="P521" s="371"/>
      <c r="Q521" s="371"/>
      <c r="R521" s="371"/>
      <c r="U521" s="371"/>
      <c r="V521" s="371"/>
      <c r="W521" s="371"/>
      <c r="X521" s="371"/>
    </row>
    <row r="522" customFormat="false" ht="12.75" hidden="false" customHeight="false" outlineLevel="0" collapsed="false">
      <c r="P522" s="371"/>
      <c r="Q522" s="371"/>
      <c r="R522" s="371"/>
      <c r="U522" s="371"/>
      <c r="V522" s="371"/>
      <c r="W522" s="371"/>
      <c r="X522" s="371"/>
    </row>
    <row r="523" customFormat="false" ht="12.75" hidden="false" customHeight="false" outlineLevel="0" collapsed="false">
      <c r="P523" s="371"/>
      <c r="Q523" s="371"/>
      <c r="R523" s="371"/>
      <c r="U523" s="371"/>
      <c r="V523" s="371"/>
      <c r="W523" s="371"/>
      <c r="X523" s="371"/>
    </row>
    <row r="524" customFormat="false" ht="12.75" hidden="false" customHeight="false" outlineLevel="0" collapsed="false">
      <c r="P524" s="371"/>
      <c r="Q524" s="371"/>
      <c r="R524" s="371"/>
      <c r="U524" s="371"/>
      <c r="V524" s="371"/>
      <c r="W524" s="371"/>
      <c r="X524" s="371"/>
    </row>
    <row r="525" customFormat="false" ht="12.75" hidden="false" customHeight="false" outlineLevel="0" collapsed="false">
      <c r="P525" s="371"/>
      <c r="Q525" s="371"/>
      <c r="R525" s="371"/>
      <c r="U525" s="371"/>
      <c r="V525" s="371"/>
      <c r="W525" s="371"/>
      <c r="X525" s="371"/>
    </row>
    <row r="526" customFormat="false" ht="12.75" hidden="false" customHeight="false" outlineLevel="0" collapsed="false">
      <c r="P526" s="371"/>
      <c r="Q526" s="371"/>
      <c r="R526" s="371"/>
      <c r="U526" s="371"/>
      <c r="V526" s="371"/>
      <c r="W526" s="371"/>
      <c r="X526" s="371"/>
    </row>
    <row r="527" customFormat="false" ht="12.75" hidden="false" customHeight="false" outlineLevel="0" collapsed="false">
      <c r="P527" s="371"/>
      <c r="Q527" s="371"/>
      <c r="R527" s="371"/>
      <c r="U527" s="371"/>
      <c r="V527" s="371"/>
      <c r="W527" s="371"/>
      <c r="X527" s="371"/>
    </row>
    <row r="528" customFormat="false" ht="12.75" hidden="false" customHeight="false" outlineLevel="0" collapsed="false">
      <c r="P528" s="371"/>
      <c r="Q528" s="371"/>
      <c r="R528" s="371"/>
      <c r="U528" s="371"/>
      <c r="V528" s="371"/>
      <c r="W528" s="371"/>
      <c r="X528" s="371"/>
    </row>
    <row r="529" customFormat="false" ht="12.75" hidden="false" customHeight="false" outlineLevel="0" collapsed="false">
      <c r="P529" s="371"/>
      <c r="Q529" s="371"/>
      <c r="R529" s="371"/>
      <c r="U529" s="371"/>
      <c r="V529" s="371"/>
      <c r="W529" s="371"/>
      <c r="X529" s="371"/>
    </row>
    <row r="530" customFormat="false" ht="12.75" hidden="false" customHeight="false" outlineLevel="0" collapsed="false">
      <c r="P530" s="371"/>
      <c r="Q530" s="371"/>
      <c r="R530" s="371"/>
      <c r="U530" s="371"/>
      <c r="V530" s="371"/>
      <c r="W530" s="371"/>
      <c r="X530" s="371"/>
    </row>
    <row r="531" customFormat="false" ht="12.75" hidden="false" customHeight="false" outlineLevel="0" collapsed="false">
      <c r="P531" s="371"/>
      <c r="Q531" s="371"/>
      <c r="R531" s="371"/>
      <c r="U531" s="371"/>
      <c r="V531" s="371"/>
      <c r="W531" s="371"/>
      <c r="X531" s="371"/>
    </row>
    <row r="532" customFormat="false" ht="12.75" hidden="false" customHeight="false" outlineLevel="0" collapsed="false">
      <c r="P532" s="371"/>
      <c r="Q532" s="371"/>
      <c r="R532" s="371"/>
      <c r="U532" s="371"/>
      <c r="V532" s="371"/>
      <c r="W532" s="371"/>
      <c r="X532" s="371"/>
    </row>
    <row r="533" customFormat="false" ht="12.75" hidden="false" customHeight="false" outlineLevel="0" collapsed="false">
      <c r="P533" s="371"/>
      <c r="Q533" s="371"/>
      <c r="R533" s="371"/>
      <c r="U533" s="371"/>
      <c r="V533" s="371"/>
      <c r="W533" s="371"/>
      <c r="X533" s="371"/>
    </row>
    <row r="534" customFormat="false" ht="12.75" hidden="false" customHeight="false" outlineLevel="0" collapsed="false">
      <c r="P534" s="371"/>
      <c r="Q534" s="371"/>
      <c r="R534" s="371"/>
      <c r="U534" s="371"/>
      <c r="V534" s="371"/>
      <c r="W534" s="371"/>
      <c r="X534" s="371"/>
    </row>
    <row r="535" customFormat="false" ht="12.75" hidden="false" customHeight="false" outlineLevel="0" collapsed="false">
      <c r="P535" s="371"/>
      <c r="Q535" s="371"/>
      <c r="R535" s="371"/>
      <c r="U535" s="371"/>
      <c r="V535" s="371"/>
      <c r="W535" s="371"/>
      <c r="X535" s="371"/>
    </row>
    <row r="536" customFormat="false" ht="12.75" hidden="false" customHeight="false" outlineLevel="0" collapsed="false">
      <c r="P536" s="371"/>
      <c r="Q536" s="371"/>
      <c r="R536" s="371"/>
      <c r="U536" s="371"/>
      <c r="V536" s="371"/>
      <c r="W536" s="371"/>
      <c r="X536" s="371"/>
    </row>
    <row r="537" customFormat="false" ht="12.75" hidden="false" customHeight="false" outlineLevel="0" collapsed="false">
      <c r="P537" s="371"/>
      <c r="Q537" s="371"/>
      <c r="R537" s="371"/>
      <c r="U537" s="371"/>
      <c r="V537" s="371"/>
      <c r="W537" s="371"/>
      <c r="X537" s="371"/>
    </row>
    <row r="538" customFormat="false" ht="12.75" hidden="false" customHeight="false" outlineLevel="0" collapsed="false">
      <c r="P538" s="371"/>
      <c r="Q538" s="371"/>
      <c r="R538" s="371"/>
      <c r="U538" s="371"/>
      <c r="V538" s="371"/>
      <c r="W538" s="371"/>
      <c r="X538" s="371"/>
    </row>
    <row r="539" customFormat="false" ht="12.75" hidden="false" customHeight="false" outlineLevel="0" collapsed="false">
      <c r="P539" s="371"/>
      <c r="Q539" s="371"/>
      <c r="R539" s="371"/>
      <c r="U539" s="371"/>
      <c r="V539" s="371"/>
      <c r="W539" s="371"/>
      <c r="X539" s="371"/>
    </row>
    <row r="540" customFormat="false" ht="12.75" hidden="false" customHeight="false" outlineLevel="0" collapsed="false">
      <c r="P540" s="371"/>
      <c r="Q540" s="371"/>
      <c r="R540" s="371"/>
      <c r="U540" s="371"/>
      <c r="V540" s="371"/>
      <c r="W540" s="371"/>
      <c r="X540" s="371"/>
    </row>
    <row r="541" customFormat="false" ht="12.75" hidden="false" customHeight="false" outlineLevel="0" collapsed="false">
      <c r="P541" s="371"/>
      <c r="Q541" s="371"/>
      <c r="R541" s="371"/>
      <c r="U541" s="371"/>
      <c r="V541" s="371"/>
      <c r="W541" s="371"/>
      <c r="X541" s="371"/>
    </row>
    <row r="542" customFormat="false" ht="12.75" hidden="false" customHeight="false" outlineLevel="0" collapsed="false">
      <c r="P542" s="371"/>
      <c r="Q542" s="371"/>
      <c r="R542" s="371"/>
      <c r="U542" s="371"/>
      <c r="V542" s="371"/>
      <c r="W542" s="371"/>
      <c r="X542" s="371"/>
    </row>
    <row r="543" customFormat="false" ht="12.75" hidden="false" customHeight="false" outlineLevel="0" collapsed="false">
      <c r="P543" s="371"/>
      <c r="Q543" s="371"/>
      <c r="R543" s="371"/>
      <c r="U543" s="371"/>
      <c r="V543" s="371"/>
      <c r="W543" s="371"/>
      <c r="X543" s="371"/>
    </row>
    <row r="544" customFormat="false" ht="12.75" hidden="false" customHeight="false" outlineLevel="0" collapsed="false">
      <c r="P544" s="371"/>
      <c r="Q544" s="371"/>
      <c r="R544" s="371"/>
      <c r="U544" s="371"/>
      <c r="V544" s="371"/>
      <c r="W544" s="371"/>
      <c r="X544" s="371"/>
    </row>
    <row r="545" customFormat="false" ht="12.75" hidden="false" customHeight="false" outlineLevel="0" collapsed="false">
      <c r="P545" s="371"/>
      <c r="Q545" s="371"/>
      <c r="R545" s="371"/>
      <c r="U545" s="371"/>
      <c r="V545" s="371"/>
      <c r="W545" s="371"/>
      <c r="X545" s="371"/>
    </row>
    <row r="546" customFormat="false" ht="12.75" hidden="false" customHeight="false" outlineLevel="0" collapsed="false">
      <c r="P546" s="371"/>
      <c r="Q546" s="371"/>
      <c r="R546" s="371"/>
      <c r="U546" s="371"/>
      <c r="V546" s="371"/>
      <c r="W546" s="371"/>
      <c r="X546" s="371"/>
    </row>
    <row r="547" customFormat="false" ht="12.75" hidden="false" customHeight="false" outlineLevel="0" collapsed="false">
      <c r="P547" s="371"/>
      <c r="Q547" s="371"/>
      <c r="R547" s="371"/>
      <c r="U547" s="371"/>
      <c r="V547" s="371"/>
      <c r="W547" s="371"/>
      <c r="X547" s="371"/>
    </row>
    <row r="548" customFormat="false" ht="12.75" hidden="false" customHeight="false" outlineLevel="0" collapsed="false">
      <c r="P548" s="371"/>
      <c r="Q548" s="371"/>
      <c r="R548" s="371"/>
      <c r="U548" s="371"/>
      <c r="V548" s="371"/>
      <c r="W548" s="371"/>
      <c r="X548" s="371"/>
    </row>
    <row r="549" customFormat="false" ht="12.75" hidden="false" customHeight="false" outlineLevel="0" collapsed="false">
      <c r="P549" s="371"/>
      <c r="Q549" s="371"/>
      <c r="R549" s="371"/>
      <c r="U549" s="371"/>
      <c r="V549" s="371"/>
      <c r="W549" s="371"/>
      <c r="X549" s="371"/>
    </row>
    <row r="550" customFormat="false" ht="12.75" hidden="false" customHeight="false" outlineLevel="0" collapsed="false">
      <c r="P550" s="371"/>
      <c r="Q550" s="371"/>
      <c r="R550" s="371"/>
      <c r="U550" s="371"/>
      <c r="V550" s="371"/>
      <c r="W550" s="371"/>
      <c r="X550" s="371"/>
    </row>
    <row r="551" customFormat="false" ht="12.75" hidden="false" customHeight="false" outlineLevel="0" collapsed="false">
      <c r="P551" s="371"/>
      <c r="Q551" s="371"/>
      <c r="R551" s="371"/>
      <c r="U551" s="371"/>
      <c r="V551" s="371"/>
      <c r="W551" s="371"/>
      <c r="X551" s="371"/>
    </row>
    <row r="552" customFormat="false" ht="12.75" hidden="false" customHeight="false" outlineLevel="0" collapsed="false">
      <c r="P552" s="371"/>
      <c r="Q552" s="371"/>
      <c r="R552" s="371"/>
      <c r="U552" s="371"/>
      <c r="V552" s="371"/>
      <c r="W552" s="371"/>
      <c r="X552" s="371"/>
    </row>
    <row r="553" customFormat="false" ht="12.75" hidden="false" customHeight="false" outlineLevel="0" collapsed="false">
      <c r="P553" s="371"/>
      <c r="Q553" s="371"/>
      <c r="R553" s="371"/>
      <c r="U553" s="371"/>
      <c r="V553" s="371"/>
      <c r="W553" s="371"/>
      <c r="X553" s="371"/>
    </row>
    <row r="554" customFormat="false" ht="12.75" hidden="false" customHeight="false" outlineLevel="0" collapsed="false">
      <c r="P554" s="371"/>
      <c r="Q554" s="371"/>
      <c r="R554" s="371"/>
      <c r="U554" s="371"/>
      <c r="V554" s="371"/>
      <c r="W554" s="371"/>
      <c r="X554" s="371"/>
    </row>
    <row r="555" customFormat="false" ht="12.75" hidden="false" customHeight="false" outlineLevel="0" collapsed="false">
      <c r="P555" s="371"/>
      <c r="Q555" s="371"/>
      <c r="R555" s="371"/>
      <c r="U555" s="371"/>
      <c r="V555" s="371"/>
      <c r="W555" s="371"/>
      <c r="X555" s="371"/>
    </row>
    <row r="556" customFormat="false" ht="12.75" hidden="false" customHeight="false" outlineLevel="0" collapsed="false">
      <c r="P556" s="371"/>
      <c r="Q556" s="371"/>
      <c r="R556" s="371"/>
      <c r="U556" s="371"/>
      <c r="V556" s="371"/>
      <c r="W556" s="371"/>
      <c r="X556" s="371"/>
    </row>
    <row r="557" customFormat="false" ht="12.75" hidden="false" customHeight="false" outlineLevel="0" collapsed="false">
      <c r="P557" s="371"/>
      <c r="Q557" s="371"/>
      <c r="R557" s="371"/>
      <c r="U557" s="371"/>
      <c r="V557" s="371"/>
      <c r="W557" s="371"/>
      <c r="X557" s="371"/>
    </row>
    <row r="558" customFormat="false" ht="12.75" hidden="false" customHeight="false" outlineLevel="0" collapsed="false">
      <c r="P558" s="371"/>
      <c r="Q558" s="371"/>
      <c r="R558" s="371"/>
      <c r="U558" s="371"/>
      <c r="V558" s="371"/>
      <c r="W558" s="371"/>
      <c r="X558" s="371"/>
    </row>
    <row r="559" customFormat="false" ht="12.75" hidden="false" customHeight="false" outlineLevel="0" collapsed="false">
      <c r="P559" s="371"/>
      <c r="Q559" s="371"/>
      <c r="R559" s="371"/>
      <c r="U559" s="371"/>
      <c r="V559" s="371"/>
      <c r="W559" s="371"/>
      <c r="X559" s="371"/>
    </row>
    <row r="560" customFormat="false" ht="12.75" hidden="false" customHeight="false" outlineLevel="0" collapsed="false">
      <c r="P560" s="371"/>
      <c r="Q560" s="371"/>
      <c r="R560" s="371"/>
      <c r="U560" s="371"/>
      <c r="V560" s="371"/>
      <c r="W560" s="371"/>
      <c r="X560" s="371"/>
    </row>
    <row r="561" customFormat="false" ht="12.75" hidden="false" customHeight="false" outlineLevel="0" collapsed="false">
      <c r="P561" s="371"/>
      <c r="Q561" s="371"/>
      <c r="R561" s="371"/>
      <c r="U561" s="371"/>
      <c r="V561" s="371"/>
      <c r="W561" s="371"/>
      <c r="X561" s="371"/>
    </row>
    <row r="562" customFormat="false" ht="12.75" hidden="false" customHeight="false" outlineLevel="0" collapsed="false">
      <c r="P562" s="371"/>
      <c r="Q562" s="371"/>
      <c r="R562" s="371"/>
      <c r="U562" s="371"/>
      <c r="V562" s="371"/>
      <c r="W562" s="371"/>
      <c r="X562" s="371"/>
    </row>
    <row r="563" customFormat="false" ht="12.75" hidden="false" customHeight="false" outlineLevel="0" collapsed="false">
      <c r="P563" s="371"/>
      <c r="Q563" s="371"/>
      <c r="R563" s="371"/>
      <c r="U563" s="371"/>
      <c r="V563" s="371"/>
      <c r="W563" s="371"/>
      <c r="X563" s="371"/>
    </row>
    <row r="564" customFormat="false" ht="12.75" hidden="false" customHeight="false" outlineLevel="0" collapsed="false">
      <c r="P564" s="371"/>
      <c r="Q564" s="371"/>
      <c r="R564" s="371"/>
      <c r="U564" s="371"/>
      <c r="V564" s="371"/>
      <c r="W564" s="371"/>
      <c r="X564" s="371"/>
    </row>
    <row r="565" customFormat="false" ht="12.75" hidden="false" customHeight="false" outlineLevel="0" collapsed="false">
      <c r="P565" s="371"/>
      <c r="Q565" s="371"/>
      <c r="R565" s="371"/>
      <c r="U565" s="371"/>
      <c r="V565" s="371"/>
      <c r="W565" s="371"/>
      <c r="X565" s="371"/>
    </row>
    <row r="566" customFormat="false" ht="12.75" hidden="false" customHeight="false" outlineLevel="0" collapsed="false">
      <c r="P566" s="371"/>
      <c r="Q566" s="371"/>
      <c r="R566" s="371"/>
      <c r="U566" s="371"/>
      <c r="V566" s="371"/>
      <c r="W566" s="371"/>
      <c r="X566" s="371"/>
    </row>
    <row r="567" customFormat="false" ht="12.75" hidden="false" customHeight="false" outlineLevel="0" collapsed="false">
      <c r="P567" s="371"/>
      <c r="Q567" s="371"/>
      <c r="R567" s="371"/>
      <c r="U567" s="371"/>
      <c r="V567" s="371"/>
      <c r="W567" s="371"/>
      <c r="X567" s="371"/>
    </row>
    <row r="568" customFormat="false" ht="12.75" hidden="false" customHeight="false" outlineLevel="0" collapsed="false">
      <c r="P568" s="371"/>
      <c r="Q568" s="371"/>
      <c r="R568" s="371"/>
      <c r="U568" s="371"/>
      <c r="V568" s="371"/>
      <c r="W568" s="371"/>
      <c r="X568" s="371"/>
    </row>
    <row r="569" customFormat="false" ht="12.75" hidden="false" customHeight="false" outlineLevel="0" collapsed="false">
      <c r="P569" s="371"/>
      <c r="Q569" s="371"/>
      <c r="R569" s="371"/>
      <c r="U569" s="371"/>
      <c r="V569" s="371"/>
      <c r="W569" s="371"/>
      <c r="X569" s="371"/>
    </row>
    <row r="570" customFormat="false" ht="12.75" hidden="false" customHeight="false" outlineLevel="0" collapsed="false">
      <c r="P570" s="371"/>
      <c r="Q570" s="371"/>
      <c r="R570" s="371"/>
      <c r="U570" s="371"/>
      <c r="V570" s="371"/>
      <c r="W570" s="371"/>
      <c r="X570" s="371"/>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70"/>
  <sheetViews>
    <sheetView showFormulas="false" showGridLines="true" showRowColHeaders="true" showZeros="true" rightToLeft="false" tabSelected="false" showOutlineSymbols="true" defaultGridColor="true" view="normal" topLeftCell="O6" colorId="64" zoomScale="80" zoomScaleNormal="80" zoomScalePageLayoutView="100" workbookViewId="0">
      <selection pane="topLeft" activeCell="CI21" activeCellId="0" sqref="CI21:CI89"/>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50</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543387.33</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381444.08</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161943.25</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1095.74</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5219.71</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SUMPRODUCT(L22:L33,F22:F33)</f>
        <v>#VALUE!</v>
      </c>
      <c r="L10" s="414" t="s">
        <v>478</v>
      </c>
      <c r="M10" s="414"/>
      <c r="N10" s="400" t="e">
        <f aca="true">-SUMPRODUCT(INDIRECT(CONCATENATE(AV10,":",AW10)),INDIRECT(CONCATENATE($AX$7,":",$AY$7)),INDIRECT(CONCATENATE($AV$3,":",$AW$3)))</f>
        <v>#VALUE!</v>
      </c>
      <c r="O10" s="400" t="n">
        <v>-92497.08</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SUMPRODUCT(K22:K33,F22:F33)</f>
        <v>#VALUE!</v>
      </c>
      <c r="L11" s="425" t="s">
        <v>481</v>
      </c>
      <c r="M11" s="425"/>
      <c r="N11" s="426" t="e">
        <f aca="true">-SUMPRODUCT(INDIRECT(CONCATENATE(AV11,":",AW11)),INDIRECT(CONCATENATE($AV$2,":",$AW$2)),INDIRECT(CONCATENATE($AV$3,":",$AW$3)),INDIRECT(CONCATENATE(AX3,":",AY3)))</f>
        <v>#VALUE!</v>
      </c>
      <c r="O11" s="427" t="n">
        <v>-39968.99</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4264.06</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0.06</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53.63</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0.05</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-377.12</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54.24</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543385.84</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1.49</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2.86735218508997</v>
      </c>
      <c r="BW22" s="369" t="n">
        <v>3.196</v>
      </c>
      <c r="BX22" s="370" t="n">
        <v>0.952435996987834</v>
      </c>
      <c r="BY22" s="370" t="n">
        <v>0.952435996987834</v>
      </c>
      <c r="BZ22" s="370" t="n">
        <v>0.995516733028398</v>
      </c>
      <c r="CA22" s="370" t="n">
        <v>0.0187659081571607</v>
      </c>
      <c r="CB22" s="370" t="n">
        <v>0.998364899395796</v>
      </c>
      <c r="CC22" s="505" t="n">
        <v>-0.06</v>
      </c>
      <c r="CD22" s="505" t="n">
        <v>0.0025</v>
      </c>
      <c r="CE22" s="505" t="n">
        <v>0.35</v>
      </c>
      <c r="CF22" s="505" t="n">
        <v>0</v>
      </c>
      <c r="CG22" s="505" t="n">
        <v>0.0384</v>
      </c>
      <c r="CH22" s="505" t="n">
        <v>11.6152767490405</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2.93110539845758</v>
      </c>
      <c r="BW23" s="369" t="n">
        <v>3.258</v>
      </c>
      <c r="BX23" s="370" t="n">
        <v>0.906812181950228</v>
      </c>
      <c r="BY23" s="370" t="n">
        <v>0.906812181950228</v>
      </c>
      <c r="BZ23" s="370" t="n">
        <v>0.996461468562414</v>
      </c>
      <c r="CA23" s="370" t="n">
        <v>0.0193261872820063</v>
      </c>
      <c r="CB23" s="370" t="n">
        <v>0.996688029844541</v>
      </c>
      <c r="CC23" s="505" t="n">
        <v>-0.06</v>
      </c>
      <c r="CD23" s="505" t="n">
        <v>0.0025</v>
      </c>
      <c r="CE23" s="505" t="n">
        <v>0.35</v>
      </c>
      <c r="CF23" s="505" t="n">
        <v>0</v>
      </c>
      <c r="CG23" s="505" t="n">
        <v>0.0384</v>
      </c>
      <c r="CH23" s="505" t="n">
        <v>10.4735964928184</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2.92493573264782</v>
      </c>
      <c r="BW24" s="369" t="n">
        <v>3.302</v>
      </c>
      <c r="BX24" s="370" t="n">
        <v>0.79</v>
      </c>
      <c r="BY24" s="370" t="n">
        <v>0.79</v>
      </c>
      <c r="BZ24" s="370" t="n">
        <v>0.997918918918919</v>
      </c>
      <c r="CA24" s="370" t="n">
        <v>0.0192731753639035</v>
      </c>
      <c r="CB24" s="370" t="n">
        <v>0.99523258517239</v>
      </c>
      <c r="CC24" s="505" t="n">
        <v>-0.06</v>
      </c>
      <c r="CD24" s="505" t="n">
        <v>0.0025</v>
      </c>
      <c r="CE24" s="505" t="n">
        <v>0.4</v>
      </c>
      <c r="CF24" s="505" t="n">
        <v>0</v>
      </c>
      <c r="CG24" s="505" t="n">
        <v>0.0384</v>
      </c>
      <c r="CH24" s="505" t="n">
        <v>11.5788344656711</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2.8745501285347</v>
      </c>
      <c r="BW25" s="369" t="n">
        <v>3.448</v>
      </c>
      <c r="BX25" s="370" t="n">
        <v>0.600814487825059</v>
      </c>
      <c r="BY25" s="370" t="n">
        <v>0.600814487825059</v>
      </c>
      <c r="BZ25" s="370" t="n">
        <v>1</v>
      </c>
      <c r="CA25" s="370" t="n">
        <v>0.0194226401196236</v>
      </c>
      <c r="CB25" s="370" t="n">
        <v>0.993564587749983</v>
      </c>
      <c r="CC25" s="505" t="n">
        <v>-0.0575</v>
      </c>
      <c r="CD25" s="505" t="n">
        <v>0.005</v>
      </c>
      <c r="CE25" s="505" t="n">
        <v>0.6</v>
      </c>
      <c r="CF25" s="505" t="n">
        <v>0</v>
      </c>
      <c r="CG25" s="505" t="n">
        <v>0.0384</v>
      </c>
      <c r="CH25" s="505" t="n">
        <v>11.1865436934771</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2.92390745501285</v>
      </c>
      <c r="BW26" s="369" t="n">
        <v>3.646</v>
      </c>
      <c r="BX26" s="370" t="n">
        <v>0.57775293402001</v>
      </c>
      <c r="BY26" s="370" t="n">
        <v>0.57775293402001</v>
      </c>
      <c r="BZ26" s="370" t="n">
        <v>1</v>
      </c>
      <c r="CA26" s="370" t="n">
        <v>0.019712159578257</v>
      </c>
      <c r="CB26" s="370" t="n">
        <v>0.991870109542169</v>
      </c>
      <c r="CC26" s="505" t="n">
        <v>-0.0575</v>
      </c>
      <c r="CD26" s="505" t="n">
        <v>0.005</v>
      </c>
      <c r="CE26" s="505" t="n">
        <v>0.75</v>
      </c>
      <c r="CF26" s="505" t="n">
        <v>0</v>
      </c>
      <c r="CG26" s="505" t="n">
        <v>0.0384</v>
      </c>
      <c r="CH26" s="505" t="n">
        <v>11.5397144154465</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2.97789203084833</v>
      </c>
      <c r="BW27" s="369" t="n">
        <v>3.796</v>
      </c>
      <c r="BX27" s="370" t="n">
        <v>0.550221330219268</v>
      </c>
      <c r="BY27" s="370" t="n">
        <v>0.550221330219268</v>
      </c>
      <c r="BZ27" s="370" t="n">
        <v>1</v>
      </c>
      <c r="CA27" s="370" t="n">
        <v>0.0200113297153544</v>
      </c>
      <c r="CB27" s="370" t="n">
        <v>0.990073216017117</v>
      </c>
      <c r="CC27" s="505" t="n">
        <v>-0.055</v>
      </c>
      <c r="CD27" s="505" t="n">
        <v>0.005</v>
      </c>
      <c r="CE27" s="505" t="n">
        <v>0.85</v>
      </c>
      <c r="CF27" s="505" t="n">
        <v>0</v>
      </c>
      <c r="CG27" s="505" t="n">
        <v>0.0384</v>
      </c>
      <c r="CH27" s="505" t="n">
        <v>11.1472343391367</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3.01696658097686</v>
      </c>
      <c r="BW28" s="369" t="n">
        <v>4.034</v>
      </c>
      <c r="BX28" s="370" t="n">
        <v>0.549290255131369</v>
      </c>
      <c r="BY28" s="370" t="n">
        <v>0.549290255131369</v>
      </c>
      <c r="BZ28" s="370" t="n">
        <v>1</v>
      </c>
      <c r="CA28" s="370" t="n">
        <v>0.0204286298094831</v>
      </c>
      <c r="CB28" s="370" t="n">
        <v>0.988217193800728</v>
      </c>
      <c r="CC28" s="505" t="n">
        <v>-0.055</v>
      </c>
      <c r="CD28" s="505" t="n">
        <v>0.005</v>
      </c>
      <c r="CE28" s="505" t="n">
        <v>1.05</v>
      </c>
      <c r="CF28" s="505" t="n">
        <v>0</v>
      </c>
      <c r="CG28" s="505" t="n">
        <v>0.0384</v>
      </c>
      <c r="CH28" s="505" t="n">
        <v>11.4972152978358</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3.06015424164524</v>
      </c>
      <c r="BW29" s="369" t="n">
        <v>4.076</v>
      </c>
      <c r="BX29" s="370" t="n">
        <v>0.549894268674422</v>
      </c>
      <c r="BY29" s="370" t="n">
        <v>0.549894268674422</v>
      </c>
      <c r="BZ29" s="370" t="n">
        <v>1</v>
      </c>
      <c r="CA29" s="370" t="n">
        <v>0.021065008234304</v>
      </c>
      <c r="CB29" s="370" t="n">
        <v>0.986098940667972</v>
      </c>
      <c r="CC29" s="505" t="n">
        <v>-0.055</v>
      </c>
      <c r="CD29" s="505" t="n">
        <v>0.005</v>
      </c>
      <c r="CE29" s="505" t="n">
        <v>1.05</v>
      </c>
      <c r="CF29" s="505" t="n">
        <v>0</v>
      </c>
      <c r="CG29" s="505" t="n">
        <v>0.0384</v>
      </c>
      <c r="CH29" s="505" t="n">
        <v>11.4725709054134</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3.04678663239075</v>
      </c>
      <c r="BW30" s="369" t="n">
        <v>3.768</v>
      </c>
      <c r="BX30" s="370" t="n">
        <v>0.548527673591454</v>
      </c>
      <c r="BY30" s="370" t="n">
        <v>0.548527673591454</v>
      </c>
      <c r="BZ30" s="370" t="n">
        <v>1</v>
      </c>
      <c r="CA30" s="370" t="n">
        <v>0.0217013867962765</v>
      </c>
      <c r="CB30" s="370" t="n">
        <v>0.983880178541275</v>
      </c>
      <c r="CC30" s="505" t="n">
        <v>-0.06</v>
      </c>
      <c r="CD30" s="505" t="n">
        <v>0.005</v>
      </c>
      <c r="CE30" s="505" t="n">
        <v>0.75</v>
      </c>
      <c r="CF30" s="505" t="n">
        <v>0</v>
      </c>
      <c r="CG30" s="505" t="n">
        <v>0.0384</v>
      </c>
      <c r="CH30" s="505" t="n">
        <v>11.0775069301962</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3.06015424164524</v>
      </c>
      <c r="BW31" s="369" t="n">
        <v>3.481</v>
      </c>
      <c r="BX31" s="370" t="n">
        <v>0.5511830669082</v>
      </c>
      <c r="BY31" s="370" t="n">
        <v>0.5511830669082</v>
      </c>
      <c r="BZ31" s="370" t="n">
        <v>1</v>
      </c>
      <c r="CA31" s="370" t="n">
        <v>0.022410164045374</v>
      </c>
      <c r="CB31" s="370" t="n">
        <v>0.981562668478235</v>
      </c>
      <c r="CC31" s="505" t="n">
        <v>-0.06</v>
      </c>
      <c r="CD31" s="505" t="n">
        <v>0.005</v>
      </c>
      <c r="CE31" s="505" t="n">
        <v>0.45</v>
      </c>
      <c r="CF31" s="505" t="n">
        <v>0</v>
      </c>
      <c r="CG31" s="505" t="n">
        <v>0.0384</v>
      </c>
      <c r="CH31" s="505" t="n">
        <v>11.4197945538763</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3.25552699228792</v>
      </c>
      <c r="BW32" s="369" t="n">
        <v>3.661</v>
      </c>
      <c r="BX32" s="370" t="n">
        <v>0.557476031074478</v>
      </c>
      <c r="BY32" s="370" t="n">
        <v>0.557476031074478</v>
      </c>
      <c r="BZ32" s="370" t="n">
        <v>1</v>
      </c>
      <c r="CA32" s="370" t="n">
        <v>0.0232740649677528</v>
      </c>
      <c r="CB32" s="370" t="n">
        <v>0.97893835036076</v>
      </c>
      <c r="CC32" s="505" t="n">
        <v>-0.0525</v>
      </c>
      <c r="CD32" s="505" t="n">
        <v>0.0075</v>
      </c>
      <c r="CE32" s="505" t="n">
        <v>0.45</v>
      </c>
      <c r="CF32" s="505" t="n">
        <v>0</v>
      </c>
      <c r="CG32" s="505" t="n">
        <v>0.0384</v>
      </c>
      <c r="CH32" s="505" t="n">
        <v>11.0218668867118</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3.42005141388175</v>
      </c>
      <c r="BW33" s="369" t="n">
        <v>3.771</v>
      </c>
      <c r="BX33" s="370" t="n">
        <v>0.570790000341453</v>
      </c>
      <c r="BY33" s="370" t="n">
        <v>0.570790000341453</v>
      </c>
      <c r="BZ33" s="370" t="n">
        <v>1</v>
      </c>
      <c r="CA33" s="370" t="n">
        <v>0.024110098358836</v>
      </c>
      <c r="CB33" s="370" t="n">
        <v>0.976270925999808</v>
      </c>
      <c r="CC33" s="505" t="n">
        <v>-0.0525</v>
      </c>
      <c r="CD33" s="505" t="n">
        <v>0.0075</v>
      </c>
      <c r="CE33" s="505" t="n">
        <v>0.4</v>
      </c>
      <c r="CF33" s="505" t="n">
        <v>0</v>
      </c>
      <c r="CG33" s="505" t="n">
        <v>0.0384</v>
      </c>
      <c r="CH33" s="505" t="n">
        <v>11.3582288343596</v>
      </c>
      <c r="CI33" s="505" t="n">
        <v>3.371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3.49717223650386</v>
      </c>
      <c r="BW34" s="369" t="n">
        <v>3.796</v>
      </c>
      <c r="BX34" s="370" t="n">
        <v>0.56836354878586</v>
      </c>
      <c r="BY34" s="370" t="n">
        <v>0.56836354878586</v>
      </c>
      <c r="BZ34" s="370" t="n">
        <v>1</v>
      </c>
      <c r="CA34" s="370" t="n">
        <v>0.0250384261928196</v>
      </c>
      <c r="CB34" s="370" t="n">
        <v>0.97331647833328</v>
      </c>
      <c r="CC34" s="505" t="n">
        <v>-0.0525</v>
      </c>
      <c r="CD34" s="505" t="n">
        <v>0.0075</v>
      </c>
      <c r="CE34" s="505" t="n">
        <v>0.35</v>
      </c>
      <c r="CF34" s="505" t="n">
        <v>0</v>
      </c>
      <c r="CG34" s="505" t="n">
        <v>0.0374</v>
      </c>
      <c r="CH34" s="505" t="n">
        <v>11.3238559038729</v>
      </c>
      <c r="CI34" s="505" t="n">
        <v>3.446</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3.42005141388175</v>
      </c>
      <c r="BW35" s="369" t="n">
        <v>3.721</v>
      </c>
      <c r="BX35" s="370" t="n">
        <v>0.554353390063384</v>
      </c>
      <c r="BY35" s="370" t="n">
        <v>0.554353390063384</v>
      </c>
      <c r="BZ35" s="370" t="n">
        <v>1</v>
      </c>
      <c r="CA35" s="370" t="n">
        <v>0.0260449864197474</v>
      </c>
      <c r="CB35" s="370" t="n">
        <v>0.970132608451962</v>
      </c>
      <c r="CC35" s="505" t="n">
        <v>-0.0525</v>
      </c>
      <c r="CD35" s="505" t="n">
        <v>0.0075</v>
      </c>
      <c r="CE35" s="505" t="n">
        <v>0.35</v>
      </c>
      <c r="CF35" s="505" t="n">
        <v>0</v>
      </c>
      <c r="CG35" s="505" t="n">
        <v>0.0374</v>
      </c>
      <c r="CH35" s="505" t="n">
        <v>10.1945415026566</v>
      </c>
      <c r="CI35" s="505" t="n">
        <v>3.371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3.32750642673522</v>
      </c>
      <c r="BW36" s="369" t="n">
        <v>3.681</v>
      </c>
      <c r="BX36" s="370" t="n">
        <v>0.50293567145062</v>
      </c>
      <c r="BY36" s="370" t="n">
        <v>0.50293567145062</v>
      </c>
      <c r="BZ36" s="370" t="n">
        <v>1</v>
      </c>
      <c r="CA36" s="370" t="n">
        <v>0.0269541378866576</v>
      </c>
      <c r="CB36" s="370" t="n">
        <v>0.967126070368611</v>
      </c>
      <c r="CC36" s="505" t="n">
        <v>-0.0525</v>
      </c>
      <c r="CD36" s="505" t="n">
        <v>0.0075</v>
      </c>
      <c r="CE36" s="505" t="n">
        <v>0.4</v>
      </c>
      <c r="CF36" s="505" t="n">
        <v>0</v>
      </c>
      <c r="CG36" s="505" t="n">
        <v>0.0374</v>
      </c>
      <c r="CH36" s="505" t="n">
        <v>11.2518348404895</v>
      </c>
      <c r="CI36" s="505" t="n">
        <v>3.281</v>
      </c>
      <c r="CJ36" s="505"/>
      <c r="CK36" s="505"/>
      <c r="CL36" s="505"/>
      <c r="CM36" s="505"/>
    </row>
    <row r="37" customFormat="false" ht="12.75" hidden="false" customHeight="false" outlineLevel="0" collapsed="false">
      <c r="A37" s="500"/>
      <c r="B37" s="500"/>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3.16555269922879</v>
      </c>
      <c r="BW37" s="369" t="n">
        <v>3.726</v>
      </c>
      <c r="BX37" s="370" t="n">
        <v>0.388875549675273</v>
      </c>
      <c r="BY37" s="370" t="n">
        <v>0.388875549675273</v>
      </c>
      <c r="BZ37" s="370" t="n">
        <v>1</v>
      </c>
      <c r="CA37" s="370" t="n">
        <v>0.0279745964320606</v>
      </c>
      <c r="CB37" s="370" t="n">
        <v>0.963636615990319</v>
      </c>
      <c r="CC37" s="505" t="n">
        <v>-0.055</v>
      </c>
      <c r="CD37" s="505" t="n">
        <v>0.0075</v>
      </c>
      <c r="CE37" s="505" t="n">
        <v>0.6</v>
      </c>
      <c r="CF37" s="505" t="n">
        <v>0</v>
      </c>
      <c r="CG37" s="505" t="n">
        <v>0.0374</v>
      </c>
      <c r="CH37" s="505" t="n">
        <v>10.849584659435</v>
      </c>
      <c r="CI37" s="505" t="n">
        <v>3.126</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3.16658097686375</v>
      </c>
      <c r="BW38" s="369" t="n">
        <v>3.877</v>
      </c>
      <c r="BX38" s="370" t="n">
        <v>0.376159329765107</v>
      </c>
      <c r="BY38" s="370" t="n">
        <v>0.376159329765107</v>
      </c>
      <c r="BZ38" s="370" t="n">
        <v>1</v>
      </c>
      <c r="CA38" s="370" t="n">
        <v>0.0289631800763801</v>
      </c>
      <c r="CB38" s="370" t="n">
        <v>0.960114752892753</v>
      </c>
      <c r="CC38" s="505" t="n">
        <v>-0.055</v>
      </c>
      <c r="CD38" s="505" t="n">
        <v>0.0075</v>
      </c>
      <c r="CE38" s="505" t="n">
        <v>0.75</v>
      </c>
      <c r="CF38" s="505" t="n">
        <v>0</v>
      </c>
      <c r="CG38" s="505" t="n">
        <v>0.0374</v>
      </c>
      <c r="CH38" s="505" t="n">
        <v>11.1702630695802</v>
      </c>
      <c r="CI38" s="505" t="n">
        <v>3.127</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3.20514138817481</v>
      </c>
      <c r="BW39" s="369" t="n">
        <v>4.012</v>
      </c>
      <c r="BX39" s="370" t="n">
        <v>0.375845949287242</v>
      </c>
      <c r="BY39" s="370" t="n">
        <v>0.375845949287242</v>
      </c>
      <c r="BZ39" s="370" t="n">
        <v>1</v>
      </c>
      <c r="CA39" s="370" t="n">
        <v>0.0299847168551968</v>
      </c>
      <c r="CB39" s="370" t="n">
        <v>0.956328852591432</v>
      </c>
      <c r="CC39" s="505" t="n">
        <v>-0.0525</v>
      </c>
      <c r="CD39" s="505" t="n">
        <v>0.0075</v>
      </c>
      <c r="CE39" s="505" t="n">
        <v>0.85</v>
      </c>
      <c r="CF39" s="505" t="n">
        <v>0</v>
      </c>
      <c r="CG39" s="505" t="n">
        <v>0.0374</v>
      </c>
      <c r="CH39" s="505" t="n">
        <v>10.7673065513269</v>
      </c>
      <c r="CI39" s="505" t="n">
        <v>3.162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3.24832904884319</v>
      </c>
      <c r="BW40" s="369" t="n">
        <v>4.254</v>
      </c>
      <c r="BX40" s="370" t="n">
        <v>0.377568797335415</v>
      </c>
      <c r="BY40" s="370" t="n">
        <v>0.377568797335415</v>
      </c>
      <c r="BZ40" s="370" t="n">
        <v>1</v>
      </c>
      <c r="CA40" s="370" t="n">
        <v>0.0309652793004798</v>
      </c>
      <c r="CB40" s="370" t="n">
        <v>0.95253693379797</v>
      </c>
      <c r="CC40" s="505" t="n">
        <v>-0.0525</v>
      </c>
      <c r="CD40" s="505" t="n">
        <v>0.0075</v>
      </c>
      <c r="CE40" s="505" t="n">
        <v>1.05</v>
      </c>
      <c r="CF40" s="505" t="n">
        <v>0</v>
      </c>
      <c r="CG40" s="505" t="n">
        <v>0.0374</v>
      </c>
      <c r="CH40" s="505" t="n">
        <v>11.0821004488857</v>
      </c>
      <c r="CI40" s="505" t="n">
        <v>3.204</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3.29151670951157</v>
      </c>
      <c r="BW41" s="369" t="n">
        <v>4.296</v>
      </c>
      <c r="BX41" s="370" t="n">
        <v>0.37917572731747</v>
      </c>
      <c r="BY41" s="370" t="n">
        <v>0.37917572731747</v>
      </c>
      <c r="BZ41" s="370" t="n">
        <v>1</v>
      </c>
      <c r="CA41" s="370" t="n">
        <v>0.0319670833322725</v>
      </c>
      <c r="CB41" s="370" t="n">
        <v>0.948494893378275</v>
      </c>
      <c r="CC41" s="505" t="n">
        <v>-0.0525</v>
      </c>
      <c r="CD41" s="505" t="n">
        <v>0.0075</v>
      </c>
      <c r="CE41" s="505" t="n">
        <v>1.05</v>
      </c>
      <c r="CF41" s="505" t="n">
        <v>0</v>
      </c>
      <c r="CG41" s="505" t="n">
        <v>0.0374</v>
      </c>
      <c r="CH41" s="505" t="n">
        <v>11.0350741380309</v>
      </c>
      <c r="CI41" s="505" t="n">
        <v>3.246</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3.28123393316195</v>
      </c>
      <c r="BW42" s="369" t="n">
        <v>3.991</v>
      </c>
      <c r="BX42" s="370" t="n">
        <v>0.376255879342064</v>
      </c>
      <c r="BY42" s="370" t="n">
        <v>0.376255879342064</v>
      </c>
      <c r="BZ42" s="370" t="n">
        <v>1</v>
      </c>
      <c r="CA42" s="370" t="n">
        <v>0.032968887702129</v>
      </c>
      <c r="CB42" s="370" t="n">
        <v>0.944312700032904</v>
      </c>
      <c r="CC42" s="505" t="n">
        <v>-0.0575</v>
      </c>
      <c r="CD42" s="505" t="n">
        <v>0.0075</v>
      </c>
      <c r="CE42" s="505" t="n">
        <v>0.75</v>
      </c>
      <c r="CF42" s="505" t="n">
        <v>0</v>
      </c>
      <c r="CG42" s="505" t="n">
        <v>0.0374</v>
      </c>
      <c r="CH42" s="505" t="n">
        <v>10.6320166896705</v>
      </c>
      <c r="CI42" s="505" t="n">
        <v>3.241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3.30796915167095</v>
      </c>
      <c r="BW43" s="369" t="n">
        <v>3.717</v>
      </c>
      <c r="BX43" s="370" t="n">
        <v>0.38041410598552</v>
      </c>
      <c r="BY43" s="370" t="n">
        <v>0.38041410598552</v>
      </c>
      <c r="BZ43" s="370" t="n">
        <v>1</v>
      </c>
      <c r="CA43" s="370" t="n">
        <v>0.0339067018220711</v>
      </c>
      <c r="CB43" s="370" t="n">
        <v>0.940187685777986</v>
      </c>
      <c r="CC43" s="505" t="n">
        <v>-0.0575</v>
      </c>
      <c r="CD43" s="505" t="n">
        <v>0.0075</v>
      </c>
      <c r="CE43" s="505" t="n">
        <v>0.45</v>
      </c>
      <c r="CF43" s="505" t="n">
        <v>0</v>
      </c>
      <c r="CG43" s="505" t="n">
        <v>0.0374</v>
      </c>
      <c r="CH43" s="505" t="n">
        <v>10.9384255926468</v>
      </c>
      <c r="CI43" s="505" t="n">
        <v>3.267</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3.45449871465296</v>
      </c>
      <c r="BW44" s="369" t="n">
        <v>3.852</v>
      </c>
      <c r="BX44" s="370" t="n">
        <v>0.385609740274895</v>
      </c>
      <c r="BY44" s="370" t="n">
        <v>0.385609740274895</v>
      </c>
      <c r="BZ44" s="370" t="n">
        <v>1</v>
      </c>
      <c r="CA44" s="370" t="n">
        <v>0.0348361539671314</v>
      </c>
      <c r="CB44" s="370" t="n">
        <v>0.93586587426758</v>
      </c>
      <c r="CC44" s="505" t="n">
        <v>-0.05</v>
      </c>
      <c r="CD44" s="505" t="n">
        <v>0.0075</v>
      </c>
      <c r="CE44" s="505" t="n">
        <v>0.45</v>
      </c>
      <c r="CF44" s="505" t="n">
        <v>0</v>
      </c>
      <c r="CG44" s="505" t="n">
        <v>0.0374</v>
      </c>
      <c r="CH44" s="505" t="n">
        <v>10.5369138783787</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3.59331619537275</v>
      </c>
      <c r="BW45" s="369" t="n">
        <v>3.937</v>
      </c>
      <c r="BX45" s="370" t="n">
        <v>0.395540413143884</v>
      </c>
      <c r="BY45" s="370" t="n">
        <v>0.395540413143884</v>
      </c>
      <c r="BZ45" s="370" t="n">
        <v>1</v>
      </c>
      <c r="CA45" s="370" t="n">
        <v>0.0357356240616102</v>
      </c>
      <c r="CB45" s="370" t="n">
        <v>0.931565547567078</v>
      </c>
      <c r="CC45" s="505" t="n">
        <v>-0.05</v>
      </c>
      <c r="CD45" s="505" t="n">
        <v>0.0075</v>
      </c>
      <c r="CE45" s="505" t="n">
        <v>0.4</v>
      </c>
      <c r="CF45" s="505" t="n">
        <v>0</v>
      </c>
      <c r="CG45" s="505" t="n">
        <v>0.0374</v>
      </c>
      <c r="CH45" s="505" t="n">
        <v>10.8381130500597</v>
      </c>
      <c r="CI45" s="505" t="n">
        <v>3.537</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3.65501285347044</v>
      </c>
      <c r="BW46" s="369" t="n">
        <v>3.947</v>
      </c>
      <c r="BX46" s="370" t="n">
        <v>0.392965652353069</v>
      </c>
      <c r="BY46" s="370" t="n">
        <v>0.392965652353069</v>
      </c>
      <c r="BZ46" s="370" t="n">
        <v>1</v>
      </c>
      <c r="CA46" s="370" t="n">
        <v>0.0366293995889575</v>
      </c>
      <c r="CB46" s="370" t="n">
        <v>0.927069774742957</v>
      </c>
      <c r="CC46" s="505" t="n">
        <v>-0.05</v>
      </c>
      <c r="CD46" s="505" t="n">
        <v>0.0075</v>
      </c>
      <c r="CE46" s="505" t="n">
        <v>0.35</v>
      </c>
      <c r="CF46" s="505" t="n">
        <v>0</v>
      </c>
      <c r="CG46" s="505" t="n">
        <v>0.0334</v>
      </c>
      <c r="CH46" s="505" t="n">
        <v>10.785807880292</v>
      </c>
      <c r="CI46" s="505" t="n">
        <v>3.597</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3.56760925449871</v>
      </c>
      <c r="BW47" s="369" t="n">
        <v>3.862</v>
      </c>
      <c r="BX47" s="370" t="n">
        <v>0.390732432296569</v>
      </c>
      <c r="BY47" s="370" t="n">
        <v>0.390732432296569</v>
      </c>
      <c r="BZ47" s="370" t="n">
        <v>1</v>
      </c>
      <c r="CA47" s="370" t="n">
        <v>0.0374851197051385</v>
      </c>
      <c r="CB47" s="370" t="n">
        <v>0.922533811762705</v>
      </c>
      <c r="CC47" s="505" t="n">
        <v>-0.05</v>
      </c>
      <c r="CD47" s="505" t="n">
        <v>0.0075</v>
      </c>
      <c r="CE47" s="505" t="n">
        <v>0.35</v>
      </c>
      <c r="CF47" s="505" t="n">
        <v>0</v>
      </c>
      <c r="CG47" s="505" t="n">
        <v>0.0334</v>
      </c>
      <c r="CH47" s="505" t="n">
        <v>10.0405812470818</v>
      </c>
      <c r="CI47" s="505" t="n">
        <v>3.512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3.43393316195373</v>
      </c>
      <c r="BW48" s="369" t="n">
        <v>3.782</v>
      </c>
      <c r="BX48" s="370" t="n">
        <v>0.366388286442151</v>
      </c>
      <c r="BY48" s="370" t="n">
        <v>0.366388286442151</v>
      </c>
      <c r="BZ48" s="370" t="n">
        <v>1</v>
      </c>
      <c r="CA48" s="370" t="n">
        <v>0.0382856322945879</v>
      </c>
      <c r="CB48" s="370" t="n">
        <v>0.918192690834127</v>
      </c>
      <c r="CC48" s="505" t="n">
        <v>-0.05</v>
      </c>
      <c r="CD48" s="505" t="n">
        <v>0.0075</v>
      </c>
      <c r="CE48" s="505" t="n">
        <v>0.4</v>
      </c>
      <c r="CF48" s="505" t="n">
        <v>0</v>
      </c>
      <c r="CG48" s="505" t="n">
        <v>0.0334</v>
      </c>
      <c r="CH48" s="505" t="n">
        <v>10.6825292229715</v>
      </c>
      <c r="CI48" s="505" t="n">
        <v>3.382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3.24113110539846</v>
      </c>
      <c r="BW49" s="369" t="n">
        <v>3.797</v>
      </c>
      <c r="BX49" s="370" t="n">
        <v>0.331357120013448</v>
      </c>
      <c r="BY49" s="370" t="n">
        <v>0.331357120013448</v>
      </c>
      <c r="BZ49" s="370" t="n">
        <v>1</v>
      </c>
      <c r="CA49" s="370" t="n">
        <v>0.0390847146165725</v>
      </c>
      <c r="CB49" s="370" t="n">
        <v>0.913567985593808</v>
      </c>
      <c r="CC49" s="505" t="n">
        <v>-0.0525</v>
      </c>
      <c r="CD49" s="505" t="n">
        <v>0.0075</v>
      </c>
      <c r="CE49" s="505" t="n">
        <v>0.6</v>
      </c>
      <c r="CF49" s="505" t="n">
        <v>0</v>
      </c>
      <c r="CG49" s="505" t="n">
        <v>0.0334</v>
      </c>
      <c r="CH49" s="505" t="n">
        <v>10.2858619498007</v>
      </c>
      <c r="CI49" s="505" t="n">
        <v>3.197</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3.23598971722365</v>
      </c>
      <c r="BW50" s="369" t="n">
        <v>3.942</v>
      </c>
      <c r="BX50" s="370" t="n">
        <v>0.327601342960546</v>
      </c>
      <c r="BY50" s="370" t="n">
        <v>0.327601342960546</v>
      </c>
      <c r="BZ50" s="370" t="n">
        <v>1</v>
      </c>
      <c r="CA50" s="370" t="n">
        <v>0.0397995549683068</v>
      </c>
      <c r="CB50" s="370" t="n">
        <v>0.909126089677525</v>
      </c>
      <c r="CC50" s="505" t="n">
        <v>-0.0525</v>
      </c>
      <c r="CD50" s="505" t="n">
        <v>0.0075</v>
      </c>
      <c r="CE50" s="505" t="n">
        <v>0.75</v>
      </c>
      <c r="CF50" s="505" t="n">
        <v>0</v>
      </c>
      <c r="CG50" s="505" t="n">
        <v>0.0334</v>
      </c>
      <c r="CH50" s="505" t="n">
        <v>10.5770456651352</v>
      </c>
      <c r="CI50" s="505" t="n">
        <v>3.192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3.2745501285347</v>
      </c>
      <c r="BW51" s="369" t="n">
        <v>4.077</v>
      </c>
      <c r="BX51" s="370" t="n">
        <v>0.322553846057612</v>
      </c>
      <c r="BY51" s="370" t="n">
        <v>0.322553846057612</v>
      </c>
      <c r="BZ51" s="370" t="n">
        <v>1</v>
      </c>
      <c r="CA51" s="370" t="n">
        <v>0.0405382235118998</v>
      </c>
      <c r="CB51" s="370" t="n">
        <v>0.904449976505324</v>
      </c>
      <c r="CC51" s="505" t="n">
        <v>-0.05</v>
      </c>
      <c r="CD51" s="505" t="n">
        <v>0.0075</v>
      </c>
      <c r="CE51" s="505" t="n">
        <v>0.85</v>
      </c>
      <c r="CF51" s="505" t="n">
        <v>0</v>
      </c>
      <c r="CG51" s="505" t="n">
        <v>0.0334</v>
      </c>
      <c r="CH51" s="505" t="n">
        <v>10.1832022854734</v>
      </c>
      <c r="CI51" s="505" t="n">
        <v>3.227</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3.31568123393316</v>
      </c>
      <c r="BW52" s="369" t="n">
        <v>4.317</v>
      </c>
      <c r="BX52" s="370" t="n">
        <v>0.323758663407093</v>
      </c>
      <c r="BY52" s="370" t="n">
        <v>0.323758663407093</v>
      </c>
      <c r="BZ52" s="370" t="n">
        <v>1</v>
      </c>
      <c r="CA52" s="370" t="n">
        <v>0.0412152492802473</v>
      </c>
      <c r="CB52" s="370" t="n">
        <v>0.899929041596613</v>
      </c>
      <c r="CC52" s="505" t="n">
        <v>-0.05</v>
      </c>
      <c r="CD52" s="505" t="n">
        <v>0.0075</v>
      </c>
      <c r="CE52" s="505" t="n">
        <v>1.05</v>
      </c>
      <c r="CF52" s="505" t="n">
        <v>0</v>
      </c>
      <c r="CG52" s="505" t="n">
        <v>0.0334</v>
      </c>
      <c r="CH52" s="505" t="n">
        <v>10.4700444486475</v>
      </c>
      <c r="CI52" s="505" t="n">
        <v>3.267</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3.35681233933162</v>
      </c>
      <c r="BW53" s="369" t="n">
        <v>4.357</v>
      </c>
      <c r="BX53" s="370" t="n">
        <v>0.324924899747912</v>
      </c>
      <c r="BY53" s="370" t="n">
        <v>0.324924899747912</v>
      </c>
      <c r="BZ53" s="370" t="n">
        <v>1</v>
      </c>
      <c r="CA53" s="370" t="n">
        <v>0.0418733656308259</v>
      </c>
      <c r="CB53" s="370" t="n">
        <v>0.895276283112479</v>
      </c>
      <c r="CC53" s="505" t="n">
        <v>-0.05</v>
      </c>
      <c r="CD53" s="505" t="n">
        <v>0.0075</v>
      </c>
      <c r="CE53" s="505" t="n">
        <v>1.05</v>
      </c>
      <c r="CF53" s="505" t="n">
        <v>0</v>
      </c>
      <c r="CG53" s="505" t="n">
        <v>0.0334</v>
      </c>
      <c r="CH53" s="505" t="n">
        <v>10.4159128606155</v>
      </c>
      <c r="CI53" s="505" t="n">
        <v>3.307</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3.34652956298201</v>
      </c>
      <c r="BW54" s="369" t="n">
        <v>4.052</v>
      </c>
      <c r="BX54" s="370" t="n">
        <v>0.324623837003911</v>
      </c>
      <c r="BY54" s="370" t="n">
        <v>0.324623837003911</v>
      </c>
      <c r="BZ54" s="370" t="n">
        <v>1</v>
      </c>
      <c r="CA54" s="370" t="n">
        <v>0.0425314821265914</v>
      </c>
      <c r="CB54" s="370" t="n">
        <v>0.890550622336601</v>
      </c>
      <c r="CC54" s="505" t="n">
        <v>-0.055</v>
      </c>
      <c r="CD54" s="505" t="n">
        <v>0.0075</v>
      </c>
      <c r="CE54" s="505" t="n">
        <v>0.75</v>
      </c>
      <c r="CF54" s="505" t="n">
        <v>0</v>
      </c>
      <c r="CG54" s="505" t="n">
        <v>0.0334</v>
      </c>
      <c r="CH54" s="505" t="n">
        <v>10.0267094568878</v>
      </c>
      <c r="CI54" s="505" t="n">
        <v>3.302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3.37223650385604</v>
      </c>
      <c r="BW55" s="369" t="n">
        <v>3.777</v>
      </c>
      <c r="BX55" s="370" t="n">
        <v>0.325957791635222</v>
      </c>
      <c r="BY55" s="370" t="n">
        <v>0.325957791635222</v>
      </c>
      <c r="BZ55" s="370" t="n">
        <v>1</v>
      </c>
      <c r="CA55" s="370" t="n">
        <v>0.0431331290786572</v>
      </c>
      <c r="CB55" s="370" t="n">
        <v>0.885996047822783</v>
      </c>
      <c r="CC55" s="505" t="n">
        <v>-0.055</v>
      </c>
      <c r="CD55" s="505" t="n">
        <v>0.0075</v>
      </c>
      <c r="CE55" s="505" t="n">
        <v>0.45</v>
      </c>
      <c r="CF55" s="505" t="n">
        <v>0</v>
      </c>
      <c r="CG55" s="505" t="n">
        <v>0.0334</v>
      </c>
      <c r="CH55" s="505" t="n">
        <v>10.3079438191846</v>
      </c>
      <c r="CI55" s="505" t="n">
        <v>3.327</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3.53624678663239</v>
      </c>
      <c r="BW56" s="369" t="n">
        <v>3.929</v>
      </c>
      <c r="BX56" s="370" t="n">
        <v>0.331587939765235</v>
      </c>
      <c r="BY56" s="370" t="n">
        <v>0.331587939765235</v>
      </c>
      <c r="BZ56" s="370" t="n">
        <v>1</v>
      </c>
      <c r="CA56" s="370" t="n">
        <v>0.0437209690349563</v>
      </c>
      <c r="CB56" s="370" t="n">
        <v>0.881310319234489</v>
      </c>
      <c r="CC56" s="505" t="n">
        <v>-0.0475</v>
      </c>
      <c r="CD56" s="505" t="n">
        <v>0.0075</v>
      </c>
      <c r="CE56" s="505" t="n">
        <v>0.45</v>
      </c>
      <c r="CF56" s="505" t="n">
        <v>0</v>
      </c>
      <c r="CG56" s="505" t="n">
        <v>0.0334</v>
      </c>
      <c r="CH56" s="505" t="n">
        <v>9.92267288426111</v>
      </c>
      <c r="CI56" s="505" t="n">
        <v>3.479</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3.68329048843188</v>
      </c>
      <c r="BW57" s="369" t="n">
        <v>4.022</v>
      </c>
      <c r="BX57" s="370" t="n">
        <v>0.339212722084315</v>
      </c>
      <c r="BY57" s="370" t="n">
        <v>0.339212722084315</v>
      </c>
      <c r="BZ57" s="370" t="n">
        <v>1</v>
      </c>
      <c r="CA57" s="370" t="n">
        <v>0.044289846522211</v>
      </c>
      <c r="CB57" s="370" t="n">
        <v>0.876718225648428</v>
      </c>
      <c r="CC57" s="505" t="n">
        <v>-0.0475</v>
      </c>
      <c r="CD57" s="505" t="n">
        <v>0.0075</v>
      </c>
      <c r="CE57" s="505" t="n">
        <v>0.4</v>
      </c>
      <c r="CF57" s="505" t="n">
        <v>0</v>
      </c>
      <c r="CG57" s="505" t="n">
        <v>0.0334</v>
      </c>
      <c r="CH57" s="505" t="n">
        <v>10.2000028526615</v>
      </c>
      <c r="CI57" s="505" t="n">
        <v>3.622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3.74498714652956</v>
      </c>
      <c r="BW58" s="369" t="n">
        <v>4.032</v>
      </c>
      <c r="BX58" s="370" t="n">
        <v>0.338699959673164</v>
      </c>
      <c r="BY58" s="370" t="n">
        <v>0.338699959673164</v>
      </c>
      <c r="BZ58" s="370" t="n">
        <v>1</v>
      </c>
      <c r="CA58" s="370" t="n">
        <v>0.0448548874957364</v>
      </c>
      <c r="CB58" s="370" t="n">
        <v>0.871974921810256</v>
      </c>
      <c r="CC58" s="505" t="n">
        <v>-0.0475</v>
      </c>
      <c r="CD58" s="505" t="n">
        <v>0.0075</v>
      </c>
      <c r="CE58" s="505" t="n">
        <v>0.35</v>
      </c>
      <c r="CF58" s="505" t="n">
        <v>0</v>
      </c>
      <c r="CG58" s="505" t="n">
        <v>0.0334</v>
      </c>
      <c r="CH58" s="505" t="n">
        <v>10.1448178328171</v>
      </c>
      <c r="CI58" s="505" t="n">
        <v>3.682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3.65758354755784</v>
      </c>
      <c r="BW59" s="369" t="n">
        <v>3.947</v>
      </c>
      <c r="BX59" s="370" t="n">
        <v>0.334167550636186</v>
      </c>
      <c r="BY59" s="370" t="n">
        <v>0.334167550636186</v>
      </c>
      <c r="BZ59" s="370" t="n">
        <v>1</v>
      </c>
      <c r="CA59" s="370" t="n">
        <v>0.0454011527523237</v>
      </c>
      <c r="CB59" s="370" t="n">
        <v>0.867226855595254</v>
      </c>
      <c r="CC59" s="505" t="n">
        <v>-0.0475</v>
      </c>
      <c r="CD59" s="505" t="n">
        <v>0.0075</v>
      </c>
      <c r="CE59" s="505" t="n">
        <v>0.35</v>
      </c>
      <c r="CF59" s="505" t="n">
        <v>0</v>
      </c>
      <c r="CG59" s="505" t="n">
        <v>0.0334</v>
      </c>
      <c r="CH59" s="505" t="n">
        <v>9.11316668933717</v>
      </c>
      <c r="CI59" s="505" t="n">
        <v>3.597</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3.52390745501285</v>
      </c>
      <c r="BW60" s="369" t="n">
        <v>3.867</v>
      </c>
      <c r="BX60" s="370" t="n">
        <v>0.317268038421172</v>
      </c>
      <c r="BY60" s="370" t="n">
        <v>0.317268038421172</v>
      </c>
      <c r="BZ60" s="370" t="n">
        <v>1</v>
      </c>
      <c r="CA60" s="370" t="n">
        <v>0.0458945537150708</v>
      </c>
      <c r="CB60" s="370" t="n">
        <v>0.862893591140207</v>
      </c>
      <c r="CC60" s="505" t="n">
        <v>-0.0475</v>
      </c>
      <c r="CD60" s="505" t="n">
        <v>0.0075</v>
      </c>
      <c r="CE60" s="505" t="n">
        <v>0.4</v>
      </c>
      <c r="CF60" s="505" t="n">
        <v>0</v>
      </c>
      <c r="CG60" s="505" t="n">
        <v>0.0334</v>
      </c>
      <c r="CH60" s="505" t="n">
        <v>10.0391629074025</v>
      </c>
      <c r="CI60" s="505" t="n">
        <v>3.467</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3.32853470437018</v>
      </c>
      <c r="BW61" s="369" t="n">
        <v>3.882</v>
      </c>
      <c r="BX61" s="370" t="n">
        <v>0.29897490298836</v>
      </c>
      <c r="BY61" s="370" t="n">
        <v>0.29897490298836</v>
      </c>
      <c r="BZ61" s="370" t="n">
        <v>1</v>
      </c>
      <c r="CA61" s="370" t="n">
        <v>0.0464010564150716</v>
      </c>
      <c r="CB61" s="370" t="n">
        <v>0.85815886093194</v>
      </c>
      <c r="CC61" s="505" t="n">
        <v>-0.0525</v>
      </c>
      <c r="CD61" s="505" t="n">
        <v>0.0075</v>
      </c>
      <c r="CE61" s="505" t="n">
        <v>0.6</v>
      </c>
      <c r="CF61" s="505" t="n">
        <v>0</v>
      </c>
      <c r="CG61" s="505" t="n">
        <v>0.0334</v>
      </c>
      <c r="CH61" s="505" t="n">
        <v>9.66201061523271</v>
      </c>
      <c r="CI61" s="505" t="n">
        <v>3.282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3.32339331619537</v>
      </c>
      <c r="BW62" s="369" t="n">
        <v>4.027</v>
      </c>
      <c r="BX62" s="370" t="n">
        <v>0.292521362466059</v>
      </c>
      <c r="BY62" s="370" t="n">
        <v>0.292521362466059</v>
      </c>
      <c r="BZ62" s="370" t="n">
        <v>1</v>
      </c>
      <c r="CA62" s="370" t="n">
        <v>0.0468566770502532</v>
      </c>
      <c r="CB62" s="370" t="n">
        <v>0.853632083295416</v>
      </c>
      <c r="CC62" s="505" t="n">
        <v>-0.0525</v>
      </c>
      <c r="CD62" s="505" t="n">
        <v>0.0075</v>
      </c>
      <c r="CE62" s="505" t="n">
        <v>0.75</v>
      </c>
      <c r="CF62" s="505" t="n">
        <v>0</v>
      </c>
      <c r="CG62" s="505" t="n">
        <v>0.0334</v>
      </c>
      <c r="CH62" s="505" t="n">
        <v>9.93141174668386</v>
      </c>
      <c r="CI62" s="505" t="n">
        <v>3.277</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3.36195372750643</v>
      </c>
      <c r="BW63" s="369" t="n">
        <v>4.162</v>
      </c>
      <c r="BX63" s="370" t="n">
        <v>0.292382455013977</v>
      </c>
      <c r="BY63" s="370" t="n">
        <v>0.292382455013977</v>
      </c>
      <c r="BZ63" s="370" t="n">
        <v>1</v>
      </c>
      <c r="CA63" s="370" t="n">
        <v>0.0473274851128664</v>
      </c>
      <c r="CB63" s="370" t="n">
        <v>0.848914575635623</v>
      </c>
      <c r="CC63" s="505" t="n">
        <v>-0.05</v>
      </c>
      <c r="CD63" s="505" t="n">
        <v>0.0075</v>
      </c>
      <c r="CE63" s="505" t="n">
        <v>0.85</v>
      </c>
      <c r="CF63" s="505" t="n">
        <v>0</v>
      </c>
      <c r="CG63" s="505" t="n">
        <v>0.0334</v>
      </c>
      <c r="CH63" s="505" t="n">
        <v>9.55792920708148</v>
      </c>
      <c r="CI63" s="505" t="n">
        <v>3.312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3.40308483290488</v>
      </c>
      <c r="BW64" s="369" t="n">
        <v>4.402</v>
      </c>
      <c r="BX64" s="370" t="n">
        <v>0.288480838532972</v>
      </c>
      <c r="BY64" s="370" t="n">
        <v>0.288480838532972</v>
      </c>
      <c r="BZ64" s="370" t="n">
        <v>1</v>
      </c>
      <c r="CA64" s="370" t="n">
        <v>0.047760481058801</v>
      </c>
      <c r="CB64" s="370" t="n">
        <v>0.844378469838596</v>
      </c>
      <c r="CC64" s="505" t="n">
        <v>-0.05</v>
      </c>
      <c r="CD64" s="505" t="n">
        <v>0.0075</v>
      </c>
      <c r="CE64" s="505" t="n">
        <v>1.05</v>
      </c>
      <c r="CF64" s="505" t="n">
        <v>0</v>
      </c>
      <c r="CG64" s="505" t="n">
        <v>0.0334</v>
      </c>
      <c r="CH64" s="505" t="n">
        <v>9.82375243164318</v>
      </c>
      <c r="CI64" s="505" t="n">
        <v>3.352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3.44421593830334</v>
      </c>
      <c r="BW65" s="369" t="n">
        <v>4.442</v>
      </c>
      <c r="BX65" s="370" t="n">
        <v>0.289450621554524</v>
      </c>
      <c r="BY65" s="370" t="n">
        <v>0.289450621554524</v>
      </c>
      <c r="BZ65" s="370" t="n">
        <v>1</v>
      </c>
      <c r="CA65" s="370" t="n">
        <v>0.0481861434694211</v>
      </c>
      <c r="CB65" s="370" t="n">
        <v>0.839721100096823</v>
      </c>
      <c r="CC65" s="505" t="n">
        <v>-0.05</v>
      </c>
      <c r="CD65" s="505" t="n">
        <v>0.0075</v>
      </c>
      <c r="CE65" s="505" t="n">
        <v>1.05</v>
      </c>
      <c r="CF65" s="505" t="n">
        <v>0</v>
      </c>
      <c r="CG65" s="505" t="n">
        <v>0.0334</v>
      </c>
      <c r="CH65" s="505" t="n">
        <v>9.76956719485647</v>
      </c>
      <c r="CI65" s="505" t="n">
        <v>3.392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3.43393316195373</v>
      </c>
      <c r="BW66" s="369" t="n">
        <v>4.137</v>
      </c>
      <c r="BX66" s="370" t="n">
        <v>0.289213048318682</v>
      </c>
      <c r="BY66" s="370" t="n">
        <v>0.289213048318682</v>
      </c>
      <c r="BZ66" s="370" t="n">
        <v>1</v>
      </c>
      <c r="CA66" s="370" t="n">
        <v>0.0486118059405909</v>
      </c>
      <c r="CB66" s="370" t="n">
        <v>0.835030766033085</v>
      </c>
      <c r="CC66" s="505" t="n">
        <v>-0.055</v>
      </c>
      <c r="CD66" s="505" t="n">
        <v>0.0075</v>
      </c>
      <c r="CE66" s="505" t="n">
        <v>0.75</v>
      </c>
      <c r="CF66" s="505" t="n">
        <v>0</v>
      </c>
      <c r="CG66" s="505" t="n">
        <v>0.0334</v>
      </c>
      <c r="CH66" s="505" t="n">
        <v>9.4016113947665</v>
      </c>
      <c r="CI66" s="505" t="n">
        <v>3.387</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3.45964010282776</v>
      </c>
      <c r="BW67" s="369" t="n">
        <v>3.862</v>
      </c>
      <c r="BX67" s="370" t="n">
        <v>0.290354844679535</v>
      </c>
      <c r="BY67" s="370" t="n">
        <v>0.290354844679535</v>
      </c>
      <c r="BZ67" s="370" t="n">
        <v>1</v>
      </c>
      <c r="CA67" s="370" t="n">
        <v>0.0490091513549218</v>
      </c>
      <c r="CB67" s="370" t="n">
        <v>0.830506508545646</v>
      </c>
      <c r="CC67" s="505" t="n">
        <v>-0.055</v>
      </c>
      <c r="CD67" s="505" t="n">
        <v>0.0075</v>
      </c>
      <c r="CE67" s="505" t="n">
        <v>0.45</v>
      </c>
      <c r="CF67" s="505" t="n">
        <v>0</v>
      </c>
      <c r="CG67" s="505" t="n">
        <v>0.0334</v>
      </c>
      <c r="CH67" s="505" t="n">
        <v>9.66236187237261</v>
      </c>
      <c r="CI67" s="505" t="n">
        <v>3.412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3.62879177377892</v>
      </c>
      <c r="BW68" s="369" t="n">
        <v>4.014</v>
      </c>
      <c r="BX68" s="370" t="n">
        <v>0.295083048619696</v>
      </c>
      <c r="BY68" s="370" t="n">
        <v>0.295083048619696</v>
      </c>
      <c r="BZ68" s="370" t="n">
        <v>1</v>
      </c>
      <c r="CA68" s="370" t="n">
        <v>0.0493920179871608</v>
      </c>
      <c r="CB68" s="370" t="n">
        <v>0.825889768863549</v>
      </c>
      <c r="CC68" s="505" t="n">
        <v>-0.0475</v>
      </c>
      <c r="CD68" s="505" t="n">
        <v>0.0125</v>
      </c>
      <c r="CE68" s="505" t="n">
        <v>0.45</v>
      </c>
      <c r="CF68" s="505" t="n">
        <v>0</v>
      </c>
      <c r="CG68" s="505" t="n">
        <v>0.0334</v>
      </c>
      <c r="CH68" s="505" t="n">
        <v>9.2986929076347</v>
      </c>
      <c r="CI68" s="505" t="n">
        <v>3.564</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3.77583547557841</v>
      </c>
      <c r="BW69" s="369" t="n">
        <v>4.107</v>
      </c>
      <c r="BX69" s="370" t="n">
        <v>0.30158877782868</v>
      </c>
      <c r="BY69" s="370" t="n">
        <v>0.30158877782868</v>
      </c>
      <c r="BZ69" s="370" t="n">
        <v>1</v>
      </c>
      <c r="CA69" s="370" t="n">
        <v>0.0497625341294907</v>
      </c>
      <c r="CB69" s="370" t="n">
        <v>0.821397003079716</v>
      </c>
      <c r="CC69" s="505" t="n">
        <v>-0.0475</v>
      </c>
      <c r="CD69" s="505" t="n">
        <v>0.0125</v>
      </c>
      <c r="CE69" s="505" t="n">
        <v>0.4</v>
      </c>
      <c r="CF69" s="505" t="n">
        <v>0</v>
      </c>
      <c r="CG69" s="505" t="n">
        <v>0.0334</v>
      </c>
      <c r="CH69" s="505" t="n">
        <v>9.55637915293034</v>
      </c>
      <c r="CI69" s="505" t="n">
        <v>3.707</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3.83239074550129</v>
      </c>
      <c r="BW70" s="369" t="n">
        <v>4.112</v>
      </c>
      <c r="BX70" s="370" t="n">
        <v>0.301253958992461</v>
      </c>
      <c r="BY70" s="370" t="n">
        <v>0.301253958992461</v>
      </c>
      <c r="BZ70" s="370" t="n">
        <v>1</v>
      </c>
      <c r="CA70" s="370" t="n">
        <v>0.0501238670100874</v>
      </c>
      <c r="CB70" s="370" t="n">
        <v>0.816799555121222</v>
      </c>
      <c r="CC70" s="505" t="n">
        <v>-0.0475</v>
      </c>
      <c r="CD70" s="505" t="n">
        <v>0.0125</v>
      </c>
      <c r="CE70" s="505" t="n">
        <v>0.35</v>
      </c>
      <c r="CF70" s="505" t="n">
        <v>0</v>
      </c>
      <c r="CG70" s="505" t="n">
        <v>0.0334</v>
      </c>
      <c r="CH70" s="505" t="n">
        <v>9.50289106414684</v>
      </c>
      <c r="CI70" s="505" t="n">
        <v>3.762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3.74498714652956</v>
      </c>
      <c r="BW71" s="369" t="n">
        <v>4.027</v>
      </c>
      <c r="BX71" s="370" t="n">
        <v>0.294730625711485</v>
      </c>
      <c r="BY71" s="370" t="n">
        <v>0.294730625711485</v>
      </c>
      <c r="BZ71" s="370" t="n">
        <v>1</v>
      </c>
      <c r="CA71" s="370" t="n">
        <v>0.0504460474790935</v>
      </c>
      <c r="CB71" s="370" t="n">
        <v>0.812308871993658</v>
      </c>
      <c r="CC71" s="505" t="n">
        <v>-0.0475</v>
      </c>
      <c r="CD71" s="505" t="n">
        <v>0.0125</v>
      </c>
      <c r="CE71" s="505" t="n">
        <v>0.35</v>
      </c>
      <c r="CF71" s="505" t="n">
        <v>0</v>
      </c>
      <c r="CG71" s="505" t="n">
        <v>0.0334</v>
      </c>
      <c r="CH71" s="505" t="n">
        <v>8.53606655045815</v>
      </c>
      <c r="CI71" s="505" t="n">
        <v>3.677</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3.61131105398458</v>
      </c>
      <c r="BW72" s="369" t="n">
        <v>3.947</v>
      </c>
      <c r="BX72" s="370" t="n">
        <v>0.278899568705084</v>
      </c>
      <c r="BY72" s="370" t="n">
        <v>0.278899568705084</v>
      </c>
      <c r="BZ72" s="370" t="n">
        <v>1</v>
      </c>
      <c r="CA72" s="370" t="n">
        <v>0.0507370492228172</v>
      </c>
      <c r="CB72" s="370" t="n">
        <v>0.808237080144648</v>
      </c>
      <c r="CC72" s="505" t="n">
        <v>-0.0475</v>
      </c>
      <c r="CD72" s="505" t="n">
        <v>0.0125</v>
      </c>
      <c r="CE72" s="505" t="n">
        <v>0.4</v>
      </c>
      <c r="CF72" s="505" t="n">
        <v>0</v>
      </c>
      <c r="CG72" s="505" t="n">
        <v>0.0334</v>
      </c>
      <c r="CH72" s="505" t="n">
        <v>9.40327266152688</v>
      </c>
      <c r="CI72" s="505" t="n">
        <v>3.547</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3.4133676092545</v>
      </c>
      <c r="BW73" s="369" t="n">
        <v>3.962</v>
      </c>
      <c r="BX73" s="370" t="n">
        <v>0.251839821026274</v>
      </c>
      <c r="BY73" s="370" t="n">
        <v>0.251839821026274</v>
      </c>
      <c r="BZ73" s="370" t="n">
        <v>1</v>
      </c>
      <c r="CA73" s="370" t="n">
        <v>0.0510592297577648</v>
      </c>
      <c r="CB73" s="370" t="n">
        <v>0.803712195296429</v>
      </c>
      <c r="CC73" s="505" t="n">
        <v>-0.0525</v>
      </c>
      <c r="CD73" s="505" t="n">
        <v>0.01</v>
      </c>
      <c r="CE73" s="505" t="n">
        <v>0.6</v>
      </c>
      <c r="CF73" s="505" t="n">
        <v>0</v>
      </c>
      <c r="CG73" s="505" t="n">
        <v>0.0334</v>
      </c>
      <c r="CH73" s="505" t="n">
        <v>9.0489956068425</v>
      </c>
      <c r="CI73" s="505" t="n">
        <v>3.362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3.40822622107969</v>
      </c>
      <c r="BW74" s="369" t="n">
        <v>4.107</v>
      </c>
      <c r="BX74" s="370" t="n">
        <v>0.24777576676848</v>
      </c>
      <c r="BY74" s="370" t="n">
        <v>0.24777576676848</v>
      </c>
      <c r="BZ74" s="370" t="n">
        <v>1</v>
      </c>
      <c r="CA74" s="370" t="n">
        <v>0.051371017405212</v>
      </c>
      <c r="CB74" s="370" t="n">
        <v>0.799316971929618</v>
      </c>
      <c r="CC74" s="505" t="n">
        <v>-0.0525</v>
      </c>
      <c r="CD74" s="505" t="n">
        <v>0.01</v>
      </c>
      <c r="CE74" s="505" t="n">
        <v>0.75</v>
      </c>
      <c r="CF74" s="505" t="n">
        <v>0</v>
      </c>
      <c r="CG74" s="505" t="n">
        <v>0.0334</v>
      </c>
      <c r="CH74" s="505" t="n">
        <v>9.29949344652076</v>
      </c>
      <c r="CI74" s="505" t="n">
        <v>3.357</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3.44678663239075</v>
      </c>
      <c r="BW75" s="369" t="n">
        <v>4.242</v>
      </c>
      <c r="BX75" s="370" t="n">
        <v>0.250088358245823</v>
      </c>
      <c r="BY75" s="370" t="n">
        <v>0.250088358245823</v>
      </c>
      <c r="BZ75" s="370" t="n">
        <v>1</v>
      </c>
      <c r="CA75" s="370" t="n">
        <v>0.0516931980083157</v>
      </c>
      <c r="CB75" s="370" t="n">
        <v>0.794758967227619</v>
      </c>
      <c r="CC75" s="505" t="n">
        <v>-0.05</v>
      </c>
      <c r="CD75" s="505" t="n">
        <v>0.01</v>
      </c>
      <c r="CE75" s="505" t="n">
        <v>0.85</v>
      </c>
      <c r="CF75" s="505" t="n">
        <v>0</v>
      </c>
      <c r="CG75" s="505" t="n">
        <v>0.0334</v>
      </c>
      <c r="CH75" s="505" t="n">
        <v>8.94819121201577</v>
      </c>
      <c r="CI75" s="505" t="n">
        <v>3.392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3.4879177377892</v>
      </c>
      <c r="BW76" s="369" t="n">
        <v>4.482</v>
      </c>
      <c r="BX76" s="370" t="n">
        <v>0.251002615011208</v>
      </c>
      <c r="BY76" s="370" t="n">
        <v>0.251002615011208</v>
      </c>
      <c r="BZ76" s="370" t="n">
        <v>1</v>
      </c>
      <c r="CA76" s="370" t="n">
        <v>0.0520049857217106</v>
      </c>
      <c r="CB76" s="370" t="n">
        <v>0.790332792803782</v>
      </c>
      <c r="CC76" s="505" t="n">
        <v>-0.05</v>
      </c>
      <c r="CD76" s="505" t="n">
        <v>0.01</v>
      </c>
      <c r="CE76" s="505" t="n">
        <v>1.05</v>
      </c>
      <c r="CF76" s="505" t="n">
        <v>0</v>
      </c>
      <c r="CG76" s="505" t="n">
        <v>0.0334</v>
      </c>
      <c r="CH76" s="505" t="n">
        <v>9.19496881131705</v>
      </c>
      <c r="CI76" s="505" t="n">
        <v>3.432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3.52904884318766</v>
      </c>
      <c r="BW77" s="369" t="n">
        <v>4.522</v>
      </c>
      <c r="BX77" s="370" t="n">
        <v>0.251887767191014</v>
      </c>
      <c r="BY77" s="370" t="n">
        <v>0.251887767191014</v>
      </c>
      <c r="BZ77" s="370" t="n">
        <v>1</v>
      </c>
      <c r="CA77" s="370" t="n">
        <v>0.0523271663929492</v>
      </c>
      <c r="CB77" s="370" t="n">
        <v>0.785743940633574</v>
      </c>
      <c r="CC77" s="505" t="n">
        <v>-0.05</v>
      </c>
      <c r="CD77" s="505" t="n">
        <v>0.01</v>
      </c>
      <c r="CE77" s="505" t="n">
        <v>1.05</v>
      </c>
      <c r="CF77" s="505" t="n">
        <v>0</v>
      </c>
      <c r="CG77" s="505" t="n">
        <v>0.0334</v>
      </c>
      <c r="CH77" s="505" t="n">
        <v>9.1415807285132</v>
      </c>
      <c r="CI77" s="505" t="n">
        <v>3.472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3.51876606683805</v>
      </c>
      <c r="BW78" s="369" t="n">
        <v>4.217</v>
      </c>
      <c r="BX78" s="370" t="n">
        <v>0.251673457799918</v>
      </c>
      <c r="BY78" s="370" t="n">
        <v>0.251673457799918</v>
      </c>
      <c r="BZ78" s="370" t="n">
        <v>1</v>
      </c>
      <c r="CA78" s="370" t="n">
        <v>0.0526493470988063</v>
      </c>
      <c r="CB78" s="370" t="n">
        <v>0.781140280211496</v>
      </c>
      <c r="CC78" s="505" t="n">
        <v>-0.055</v>
      </c>
      <c r="CD78" s="505" t="n">
        <v>0.01</v>
      </c>
      <c r="CE78" s="505" t="n">
        <v>0.75</v>
      </c>
      <c r="CF78" s="505" t="n">
        <v>0</v>
      </c>
      <c r="CG78" s="505" t="n">
        <v>0.0334</v>
      </c>
      <c r="CH78" s="505" t="n">
        <v>8.79485841490123</v>
      </c>
      <c r="CI78" s="505" t="n">
        <v>3.467</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3.54447300771208</v>
      </c>
      <c r="BW79" s="369" t="n">
        <v>3.942</v>
      </c>
      <c r="BX79" s="370" t="n">
        <v>0.252737151785216</v>
      </c>
      <c r="BY79" s="370" t="n">
        <v>0.252737151785216</v>
      </c>
      <c r="BZ79" s="370" t="n">
        <v>1</v>
      </c>
      <c r="CA79" s="370" t="n">
        <v>0.0529611349116244</v>
      </c>
      <c r="CB79" s="370" t="n">
        <v>0.776671575219578</v>
      </c>
      <c r="CC79" s="505" t="n">
        <v>-0.055</v>
      </c>
      <c r="CD79" s="505" t="n">
        <v>0.01</v>
      </c>
      <c r="CE79" s="505" t="n">
        <v>0.45</v>
      </c>
      <c r="CF79" s="505" t="n">
        <v>0</v>
      </c>
      <c r="CG79" s="505" t="n">
        <v>0.0334</v>
      </c>
      <c r="CH79" s="505" t="n">
        <v>9.03603010757713</v>
      </c>
      <c r="CI79" s="505" t="n">
        <v>3.492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3.71362467866324</v>
      </c>
      <c r="BW80" s="369" t="n">
        <v>4.094</v>
      </c>
      <c r="BX80" s="370" t="n">
        <v>0.257069016574414</v>
      </c>
      <c r="BY80" s="370" t="n">
        <v>0.257069016574414</v>
      </c>
      <c r="BZ80" s="370" t="n">
        <v>1</v>
      </c>
      <c r="CA80" s="370" t="n">
        <v>0.0532833156855848</v>
      </c>
      <c r="CB80" s="370" t="n">
        <v>0.772040478692847</v>
      </c>
      <c r="CC80" s="505" t="n">
        <v>-0.045</v>
      </c>
      <c r="CD80" s="505" t="n">
        <v>0.0125</v>
      </c>
      <c r="CE80" s="505" t="n">
        <v>0.45</v>
      </c>
      <c r="CF80" s="505" t="n">
        <v>0</v>
      </c>
      <c r="CG80" s="505" t="n">
        <v>0.0334</v>
      </c>
      <c r="CH80" s="505" t="n">
        <v>8.69240374960276</v>
      </c>
      <c r="CI80" s="505" t="n">
        <v>3.644</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3.86066838046273</v>
      </c>
      <c r="BW81" s="369" t="n">
        <v>4.187</v>
      </c>
      <c r="BX81" s="370" t="n">
        <v>0.263085311093791</v>
      </c>
      <c r="BY81" s="370" t="n">
        <v>0.263085311093791</v>
      </c>
      <c r="BZ81" s="370" t="n">
        <v>1</v>
      </c>
      <c r="CA81" s="370" t="n">
        <v>0.0535951035642985</v>
      </c>
      <c r="CB81" s="370" t="n">
        <v>0.767546312167612</v>
      </c>
      <c r="CC81" s="505" t="n">
        <v>-0.045</v>
      </c>
      <c r="CD81" s="505" t="n">
        <v>0.0125</v>
      </c>
      <c r="CE81" s="505" t="n">
        <v>0.4</v>
      </c>
      <c r="CF81" s="505" t="n">
        <v>0</v>
      </c>
      <c r="CG81" s="505" t="n">
        <v>0.0334</v>
      </c>
      <c r="CH81" s="505" t="n">
        <v>8.92986405965166</v>
      </c>
      <c r="CI81" s="505" t="n">
        <v>3.787</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3.9146529562982</v>
      </c>
      <c r="BW82" s="369" t="n">
        <v>4.1895</v>
      </c>
      <c r="BX82" s="370" t="n">
        <v>0.262833061218283</v>
      </c>
      <c r="BY82" s="370" t="n">
        <v>0.262833061218283</v>
      </c>
      <c r="BZ82" s="370" t="n">
        <v>1</v>
      </c>
      <c r="CA82" s="370" t="n">
        <v>0.0538548873933569</v>
      </c>
      <c r="CB82" s="370" t="n">
        <v>0.76312585991901</v>
      </c>
      <c r="CC82" s="505" t="n">
        <v>-0.045</v>
      </c>
      <c r="CD82" s="505" t="n">
        <v>0.0125</v>
      </c>
      <c r="CE82" s="505" t="n">
        <v>0.35</v>
      </c>
      <c r="CF82" s="505" t="n">
        <v>0</v>
      </c>
      <c r="CG82" s="505" t="n">
        <v>0.0334</v>
      </c>
      <c r="CH82" s="505" t="n">
        <v>8.87843519205574</v>
      </c>
      <c r="CI82" s="505" t="n">
        <v>3.8395</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3.82724935732648</v>
      </c>
      <c r="BW83" s="369" t="n">
        <v>4.1045</v>
      </c>
      <c r="BX83" s="370" t="n">
        <v>0.2425</v>
      </c>
      <c r="BY83" s="370" t="n">
        <v>0.2425</v>
      </c>
      <c r="BZ83" s="370" t="n">
        <v>0</v>
      </c>
      <c r="CA83" s="370" t="n">
        <v>0.0540389034386073</v>
      </c>
      <c r="CB83" s="370" t="n">
        <v>0</v>
      </c>
      <c r="CC83" s="505" t="n">
        <v>-0.045</v>
      </c>
      <c r="CD83" s="505" t="n">
        <v>0.0125</v>
      </c>
      <c r="CE83" s="505" t="n">
        <v>0.35</v>
      </c>
      <c r="CF83" s="505" t="n">
        <v>0</v>
      </c>
      <c r="CG83" s="505" t="n">
        <v>0.0334</v>
      </c>
      <c r="CH83" s="505" t="n">
        <v>0</v>
      </c>
      <c r="CI83" s="505" t="n">
        <v>3.7545</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3.82724935732648</v>
      </c>
      <c r="BW84" s="369" t="n">
        <v>4.1045</v>
      </c>
      <c r="BX84" s="370" t="n">
        <v>0.2425</v>
      </c>
      <c r="BY84" s="370" t="n">
        <v>0.2425</v>
      </c>
      <c r="BZ84" s="370" t="n">
        <v>0</v>
      </c>
      <c r="CA84" s="370" t="n">
        <v>0.0540389034386073</v>
      </c>
      <c r="CB84" s="370" t="n">
        <v>0</v>
      </c>
      <c r="CC84" s="505" t="n">
        <v>-0.045</v>
      </c>
      <c r="CD84" s="505" t="n">
        <v>0.0125</v>
      </c>
      <c r="CE84" s="505" t="n">
        <v>0.35</v>
      </c>
      <c r="CF84" s="505" t="n">
        <v>0</v>
      </c>
      <c r="CG84" s="505" t="n">
        <v>0.0334</v>
      </c>
      <c r="CH84" s="505" t="n">
        <v>0</v>
      </c>
      <c r="CI84" s="505" t="n">
        <v>3.7545</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3.82724935732648</v>
      </c>
      <c r="BW85" s="369" t="n">
        <v>4.1045</v>
      </c>
      <c r="BX85" s="370" t="n">
        <v>0.2425</v>
      </c>
      <c r="BY85" s="370" t="n">
        <v>0.2425</v>
      </c>
      <c r="BZ85" s="370" t="n">
        <v>0</v>
      </c>
      <c r="CA85" s="370" t="n">
        <v>0.0540389034386073</v>
      </c>
      <c r="CB85" s="370" t="n">
        <v>0</v>
      </c>
      <c r="CC85" s="505" t="n">
        <v>-0.045</v>
      </c>
      <c r="CD85" s="505" t="n">
        <v>0.0125</v>
      </c>
      <c r="CE85" s="505" t="n">
        <v>0.35</v>
      </c>
      <c r="CF85" s="505" t="n">
        <v>0</v>
      </c>
      <c r="CG85" s="505" t="n">
        <v>0.0334</v>
      </c>
      <c r="CH85" s="505" t="n">
        <v>0</v>
      </c>
      <c r="CI85" s="505" t="n">
        <v>3.7545</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3.82724935732648</v>
      </c>
      <c r="BW86" s="369" t="n">
        <v>4.1045</v>
      </c>
      <c r="BX86" s="370" t="n">
        <v>0.2425</v>
      </c>
      <c r="BY86" s="370" t="n">
        <v>0.2425</v>
      </c>
      <c r="BZ86" s="370" t="n">
        <v>0</v>
      </c>
      <c r="CA86" s="370" t="n">
        <v>0.0540389034386073</v>
      </c>
      <c r="CB86" s="370" t="n">
        <v>0</v>
      </c>
      <c r="CC86" s="505" t="n">
        <v>-0.045</v>
      </c>
      <c r="CD86" s="505" t="n">
        <v>0.0125</v>
      </c>
      <c r="CE86" s="505" t="n">
        <v>0.35</v>
      </c>
      <c r="CF86" s="505" t="n">
        <v>0</v>
      </c>
      <c r="CG86" s="505" t="n">
        <v>0.0334</v>
      </c>
      <c r="CH86" s="505" t="n">
        <v>0</v>
      </c>
      <c r="CI86" s="505" t="n">
        <v>3.7545</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3.82724935732648</v>
      </c>
      <c r="BW87" s="369" t="n">
        <v>4.1045</v>
      </c>
      <c r="BX87" s="370" t="n">
        <v>0.2425</v>
      </c>
      <c r="BY87" s="370" t="n">
        <v>0.2425</v>
      </c>
      <c r="BZ87" s="370" t="n">
        <v>0</v>
      </c>
      <c r="CA87" s="370" t="n">
        <v>0.0540389034386073</v>
      </c>
      <c r="CB87" s="370" t="n">
        <v>0</v>
      </c>
      <c r="CC87" s="505" t="n">
        <v>-0.045</v>
      </c>
      <c r="CD87" s="505" t="n">
        <v>0.0125</v>
      </c>
      <c r="CE87" s="505" t="n">
        <v>0.35</v>
      </c>
      <c r="CF87" s="505" t="n">
        <v>0</v>
      </c>
      <c r="CG87" s="505" t="n">
        <v>0.0334</v>
      </c>
      <c r="CH87" s="505" t="n">
        <v>0</v>
      </c>
      <c r="CI87" s="505" t="n">
        <v>3.7545</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3.82724935732648</v>
      </c>
      <c r="BW88" s="369" t="n">
        <v>4.1045</v>
      </c>
      <c r="BX88" s="370" t="n">
        <v>0.2425</v>
      </c>
      <c r="BY88" s="370" t="n">
        <v>0.2425</v>
      </c>
      <c r="BZ88" s="370" t="n">
        <v>0</v>
      </c>
      <c r="CA88" s="370" t="n">
        <v>0.0540389034386073</v>
      </c>
      <c r="CB88" s="370" t="n">
        <v>0</v>
      </c>
      <c r="CC88" s="505" t="n">
        <v>-0.045</v>
      </c>
      <c r="CD88" s="505" t="n">
        <v>0.0125</v>
      </c>
      <c r="CE88" s="505" t="n">
        <v>0.35</v>
      </c>
      <c r="CF88" s="505" t="n">
        <v>0</v>
      </c>
      <c r="CG88" s="505" t="n">
        <v>0.0334</v>
      </c>
      <c r="CH88" s="505" t="n">
        <v>0</v>
      </c>
      <c r="CI88" s="505" t="n">
        <v>3.7545</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3.82724935732648</v>
      </c>
      <c r="BW89" s="369" t="n">
        <v>4.1045</v>
      </c>
      <c r="BX89" s="370" t="n">
        <v>0.2425</v>
      </c>
      <c r="BY89" s="370" t="n">
        <v>0.2425</v>
      </c>
      <c r="BZ89" s="370" t="n">
        <v>0</v>
      </c>
      <c r="CA89" s="370" t="n">
        <v>0.0540389034386073</v>
      </c>
      <c r="CB89" s="370" t="n">
        <v>0</v>
      </c>
      <c r="CC89" s="505" t="n">
        <v>-0.045</v>
      </c>
      <c r="CD89" s="505" t="n">
        <v>0.0125</v>
      </c>
      <c r="CE89" s="505" t="n">
        <v>0.35</v>
      </c>
      <c r="CF89" s="505" t="n">
        <v>0</v>
      </c>
      <c r="CG89" s="505" t="n">
        <v>0.0334</v>
      </c>
      <c r="CH89" s="505" t="n">
        <v>0</v>
      </c>
      <c r="CI89" s="505" t="n">
        <v>3.7545</v>
      </c>
      <c r="CJ89" s="505"/>
      <c r="CK89" s="505"/>
      <c r="CL89" s="505"/>
      <c r="CM89" s="505"/>
    </row>
    <row r="90" customFormat="false" ht="12.75" hidden="false" customHeight="false" outlineLevel="0" collapsed="false">
      <c r="A90" s="500"/>
      <c r="B90" s="500"/>
      <c r="K90" s="363"/>
      <c r="L90" s="501"/>
      <c r="N90" s="502"/>
      <c r="O90" s="502"/>
      <c r="P90" s="371"/>
      <c r="Q90" s="501"/>
      <c r="R90" s="501"/>
      <c r="U90" s="501"/>
      <c r="V90" s="503"/>
      <c r="W90" s="503"/>
      <c r="X90" s="504"/>
      <c r="Y90" s="504"/>
      <c r="Z90" s="504"/>
      <c r="AA90" s="504"/>
      <c r="AB90" s="504"/>
      <c r="AC90" s="504"/>
      <c r="AF90" s="378"/>
      <c r="AG90" s="378"/>
      <c r="AH90" s="378"/>
      <c r="AI90" s="378"/>
      <c r="AJ90" s="378"/>
      <c r="AM90" s="505"/>
      <c r="AN90" s="505"/>
      <c r="AO90" s="505"/>
      <c r="AP90" s="505"/>
      <c r="AR90" s="370"/>
      <c r="AT90" s="370"/>
      <c r="AV90" s="506"/>
      <c r="AW90" s="370"/>
      <c r="AX90" s="370"/>
      <c r="AY90" s="370"/>
      <c r="AZ90" s="370"/>
      <c r="BA90" s="507"/>
      <c r="BB90" s="505"/>
      <c r="BC90" s="505"/>
      <c r="BD90" s="370"/>
      <c r="BE90" s="370"/>
      <c r="BF90" s="370"/>
      <c r="BG90" s="370"/>
      <c r="BH90" s="370"/>
      <c r="BI90" s="370"/>
      <c r="BJ90" s="370"/>
      <c r="BK90" s="370"/>
      <c r="BL90" s="370"/>
      <c r="BM90" s="370"/>
      <c r="BN90" s="370"/>
      <c r="BO90" s="370"/>
      <c r="BP90" s="370"/>
      <c r="BQ90" s="370"/>
      <c r="BR90" s="370"/>
      <c r="BS90" s="370"/>
      <c r="BV90" s="508"/>
      <c r="BW90" s="369"/>
      <c r="BX90" s="370"/>
      <c r="BY90" s="370"/>
      <c r="BZ90" s="370"/>
      <c r="CA90" s="370"/>
      <c r="CB90" s="370"/>
      <c r="CC90" s="505"/>
      <c r="CD90" s="505"/>
      <c r="CE90" s="505"/>
      <c r="CF90" s="505"/>
      <c r="CG90" s="505"/>
      <c r="CH90" s="505"/>
      <c r="CI90" s="505"/>
      <c r="CJ90" s="505"/>
      <c r="CK90" s="505"/>
      <c r="CL90" s="505"/>
      <c r="CM90" s="505"/>
    </row>
    <row r="91" customFormat="false" ht="12.75" hidden="false" customHeight="false" outlineLevel="0" collapsed="false">
      <c r="A91" s="500"/>
      <c r="B91" s="500"/>
      <c r="K91" s="363"/>
      <c r="L91" s="501"/>
      <c r="N91" s="502"/>
      <c r="O91" s="502"/>
      <c r="P91" s="371"/>
      <c r="Q91" s="501"/>
      <c r="R91" s="501"/>
      <c r="U91" s="501"/>
      <c r="V91" s="503"/>
      <c r="W91" s="503"/>
      <c r="X91" s="504"/>
      <c r="Y91" s="504"/>
      <c r="Z91" s="504"/>
      <c r="AA91" s="504"/>
      <c r="AB91" s="504"/>
      <c r="AC91" s="504"/>
      <c r="AF91" s="378"/>
      <c r="AG91" s="378"/>
      <c r="AH91" s="378"/>
      <c r="AI91" s="378"/>
      <c r="AJ91" s="378"/>
      <c r="AM91" s="505"/>
      <c r="AN91" s="505"/>
      <c r="AO91" s="505"/>
      <c r="AP91" s="505"/>
      <c r="AR91" s="370"/>
      <c r="AT91" s="370"/>
      <c r="AV91" s="506"/>
      <c r="AW91" s="370"/>
      <c r="AX91" s="370"/>
      <c r="AY91" s="370"/>
      <c r="AZ91" s="370"/>
      <c r="BA91" s="507"/>
      <c r="BB91" s="505"/>
      <c r="BC91" s="505"/>
      <c r="BD91" s="370"/>
      <c r="BE91" s="370"/>
      <c r="BF91" s="370"/>
      <c r="BG91" s="370"/>
      <c r="BH91" s="370"/>
      <c r="BI91" s="370"/>
      <c r="BJ91" s="370"/>
      <c r="BK91" s="370"/>
      <c r="BL91" s="370"/>
      <c r="BM91" s="370"/>
      <c r="BN91" s="370"/>
      <c r="BO91" s="370"/>
      <c r="BP91" s="370"/>
      <c r="BQ91" s="370"/>
      <c r="BR91" s="370"/>
      <c r="BS91" s="370"/>
      <c r="BV91" s="508"/>
      <c r="BW91" s="369"/>
      <c r="BX91" s="370"/>
      <c r="BY91" s="370"/>
      <c r="BZ91" s="370"/>
      <c r="CA91" s="370"/>
      <c r="CB91" s="370"/>
      <c r="CC91" s="505"/>
      <c r="CD91" s="505"/>
      <c r="CE91" s="505"/>
      <c r="CF91" s="505"/>
      <c r="CG91" s="505"/>
      <c r="CH91" s="505"/>
      <c r="CI91" s="505"/>
      <c r="CJ91" s="505"/>
      <c r="CK91" s="505"/>
      <c r="CL91" s="505"/>
      <c r="CM91" s="505"/>
    </row>
    <row r="92" customFormat="false" ht="12.75" hidden="false" customHeight="false" outlineLevel="0" collapsed="false">
      <c r="A92" s="500"/>
      <c r="B92" s="500"/>
      <c r="K92" s="363"/>
      <c r="L92" s="501"/>
      <c r="N92" s="502"/>
      <c r="O92" s="502"/>
      <c r="P92" s="371"/>
      <c r="Q92" s="501"/>
      <c r="R92" s="501"/>
      <c r="U92" s="501"/>
      <c r="V92" s="503"/>
      <c r="W92" s="503"/>
      <c r="X92" s="504"/>
      <c r="Y92" s="504"/>
      <c r="Z92" s="504"/>
      <c r="AA92" s="504"/>
      <c r="AB92" s="504"/>
      <c r="AC92" s="504"/>
      <c r="AF92" s="378"/>
      <c r="AG92" s="378"/>
      <c r="AH92" s="378"/>
      <c r="AI92" s="378"/>
      <c r="AJ92" s="378"/>
      <c r="AM92" s="505"/>
      <c r="AN92" s="505"/>
      <c r="AO92" s="505"/>
      <c r="AP92" s="505"/>
      <c r="AR92" s="370"/>
      <c r="AT92" s="370"/>
      <c r="AV92" s="506"/>
      <c r="AW92" s="370"/>
      <c r="AX92" s="370"/>
      <c r="AY92" s="370"/>
      <c r="AZ92" s="370"/>
      <c r="BA92" s="507"/>
      <c r="BB92" s="505"/>
      <c r="BC92" s="505"/>
      <c r="BD92" s="370"/>
      <c r="BE92" s="370"/>
      <c r="BF92" s="370"/>
      <c r="BG92" s="370"/>
      <c r="BH92" s="370"/>
      <c r="BI92" s="370"/>
      <c r="BJ92" s="370"/>
      <c r="BK92" s="370"/>
      <c r="BL92" s="370"/>
      <c r="BM92" s="370"/>
      <c r="BN92" s="370"/>
      <c r="BO92" s="370"/>
      <c r="BP92" s="370"/>
      <c r="BQ92" s="370"/>
      <c r="BR92" s="370"/>
      <c r="BS92" s="370"/>
      <c r="BV92" s="508"/>
      <c r="BW92" s="369"/>
      <c r="BX92" s="370"/>
      <c r="BY92" s="370"/>
      <c r="BZ92" s="370"/>
      <c r="CA92" s="370"/>
      <c r="CB92" s="370"/>
      <c r="CC92" s="505"/>
      <c r="CD92" s="505"/>
      <c r="CE92" s="505"/>
      <c r="CF92" s="505"/>
      <c r="CG92" s="505"/>
      <c r="CH92" s="505"/>
      <c r="CI92" s="505"/>
      <c r="CJ92" s="505"/>
      <c r="CK92" s="505"/>
      <c r="CL92" s="505"/>
      <c r="CM92" s="505"/>
    </row>
    <row r="93" customFormat="false" ht="12.75" hidden="false" customHeight="false" outlineLevel="0" collapsed="false">
      <c r="A93" s="500"/>
      <c r="B93" s="500"/>
      <c r="K93" s="363"/>
      <c r="L93" s="501"/>
      <c r="N93" s="502"/>
      <c r="O93" s="502"/>
      <c r="P93" s="371"/>
      <c r="Q93" s="501"/>
      <c r="R93" s="501"/>
      <c r="U93" s="501"/>
      <c r="V93" s="503"/>
      <c r="W93" s="503"/>
      <c r="X93" s="504"/>
      <c r="Y93" s="504"/>
      <c r="Z93" s="504"/>
      <c r="AA93" s="504"/>
      <c r="AB93" s="504"/>
      <c r="AC93" s="504"/>
      <c r="AF93" s="378"/>
      <c r="AG93" s="378"/>
      <c r="AH93" s="378"/>
      <c r="AI93" s="378"/>
      <c r="AJ93" s="378"/>
      <c r="AM93" s="505"/>
      <c r="AN93" s="505"/>
      <c r="AO93" s="505"/>
      <c r="AP93" s="505"/>
      <c r="AR93" s="370"/>
      <c r="AT93" s="370"/>
      <c r="AV93" s="506"/>
      <c r="AW93" s="370"/>
      <c r="AX93" s="370"/>
      <c r="AY93" s="370"/>
      <c r="AZ93" s="370"/>
      <c r="BA93" s="507"/>
      <c r="BB93" s="505"/>
      <c r="BC93" s="505"/>
      <c r="BD93" s="370"/>
      <c r="BE93" s="370"/>
      <c r="BF93" s="370"/>
      <c r="BG93" s="370"/>
      <c r="BH93" s="370"/>
      <c r="BI93" s="370"/>
      <c r="BJ93" s="370"/>
      <c r="BK93" s="370"/>
      <c r="BL93" s="370"/>
      <c r="BM93" s="370"/>
      <c r="BN93" s="370"/>
      <c r="BO93" s="370"/>
      <c r="BP93" s="370"/>
      <c r="BQ93" s="370"/>
      <c r="BR93" s="370"/>
      <c r="BS93" s="370"/>
      <c r="BV93" s="508"/>
      <c r="BW93" s="369"/>
      <c r="BX93" s="370"/>
      <c r="BY93" s="370"/>
      <c r="BZ93" s="370"/>
      <c r="CA93" s="370"/>
      <c r="CB93" s="370"/>
      <c r="CC93" s="505"/>
      <c r="CD93" s="505"/>
      <c r="CE93" s="505"/>
      <c r="CF93" s="505"/>
      <c r="CG93" s="505"/>
      <c r="CH93" s="505"/>
      <c r="CI93" s="505"/>
      <c r="CJ93" s="505"/>
      <c r="CK93" s="505"/>
      <c r="CL93" s="505"/>
      <c r="CM93" s="505"/>
    </row>
    <row r="94" customFormat="false" ht="12.75" hidden="false" customHeight="false" outlineLevel="0" collapsed="false">
      <c r="A94" s="500"/>
      <c r="B94" s="500"/>
      <c r="K94" s="363"/>
      <c r="L94" s="501"/>
      <c r="N94" s="502"/>
      <c r="O94" s="502"/>
      <c r="P94" s="371"/>
      <c r="Q94" s="501"/>
      <c r="R94" s="501"/>
      <c r="U94" s="501"/>
      <c r="V94" s="503"/>
      <c r="W94" s="503"/>
      <c r="X94" s="504"/>
      <c r="Y94" s="504"/>
      <c r="Z94" s="504"/>
      <c r="AA94" s="504"/>
      <c r="AB94" s="504"/>
      <c r="AC94" s="504"/>
      <c r="AF94" s="378"/>
      <c r="AG94" s="378"/>
      <c r="AH94" s="378"/>
      <c r="AI94" s="378"/>
      <c r="AJ94" s="378"/>
      <c r="AM94" s="505"/>
      <c r="AN94" s="505"/>
      <c r="AO94" s="505"/>
      <c r="AP94" s="505"/>
      <c r="AR94" s="370"/>
      <c r="AT94" s="370"/>
      <c r="AV94" s="506"/>
      <c r="AW94" s="370"/>
      <c r="AX94" s="370"/>
      <c r="AY94" s="370"/>
      <c r="AZ94" s="370"/>
      <c r="BA94" s="507"/>
      <c r="BB94" s="505"/>
      <c r="BC94" s="505"/>
      <c r="BD94" s="370"/>
      <c r="BE94" s="370"/>
      <c r="BF94" s="370"/>
      <c r="BG94" s="370"/>
      <c r="BH94" s="370"/>
      <c r="BI94" s="370"/>
      <c r="BJ94" s="370"/>
      <c r="BK94" s="370"/>
      <c r="BL94" s="370"/>
      <c r="BM94" s="370"/>
      <c r="BN94" s="370"/>
      <c r="BO94" s="370"/>
      <c r="BP94" s="370"/>
      <c r="BQ94" s="370"/>
      <c r="BR94" s="370"/>
      <c r="BS94" s="370"/>
      <c r="BV94" s="508"/>
      <c r="BW94" s="369"/>
      <c r="BX94" s="370"/>
      <c r="BY94" s="370"/>
      <c r="BZ94" s="370"/>
      <c r="CA94" s="370"/>
      <c r="CB94" s="370"/>
      <c r="CC94" s="505"/>
      <c r="CD94" s="505"/>
      <c r="CE94" s="505"/>
      <c r="CF94" s="505"/>
      <c r="CG94" s="505"/>
      <c r="CH94" s="505"/>
      <c r="CI94" s="505"/>
      <c r="CJ94" s="505"/>
      <c r="CK94" s="505"/>
      <c r="CL94" s="505"/>
      <c r="CM94" s="505"/>
    </row>
    <row r="95" customFormat="false" ht="12.75" hidden="false" customHeight="false" outlineLevel="0" collapsed="false">
      <c r="A95" s="500"/>
      <c r="B95" s="500"/>
      <c r="K95" s="363"/>
      <c r="L95" s="501"/>
      <c r="N95" s="502"/>
      <c r="O95" s="502"/>
      <c r="P95" s="371"/>
      <c r="Q95" s="501"/>
      <c r="R95" s="501"/>
      <c r="U95" s="501"/>
      <c r="V95" s="503"/>
      <c r="W95" s="503"/>
      <c r="X95" s="504"/>
      <c r="Y95" s="504"/>
      <c r="Z95" s="504"/>
      <c r="AA95" s="504"/>
      <c r="AB95" s="504"/>
      <c r="AC95" s="504"/>
      <c r="AF95" s="378"/>
      <c r="AG95" s="378"/>
      <c r="AH95" s="378"/>
      <c r="AI95" s="378"/>
      <c r="AJ95" s="378"/>
      <c r="AM95" s="505"/>
      <c r="AN95" s="505"/>
      <c r="AO95" s="505"/>
      <c r="AP95" s="505"/>
      <c r="AR95" s="370"/>
      <c r="AT95" s="370"/>
      <c r="AV95" s="506"/>
      <c r="AW95" s="370"/>
      <c r="AX95" s="370"/>
      <c r="AY95" s="370"/>
      <c r="AZ95" s="370"/>
      <c r="BA95" s="507"/>
      <c r="BB95" s="505"/>
      <c r="BC95" s="505"/>
      <c r="BD95" s="370"/>
      <c r="BE95" s="370"/>
      <c r="BF95" s="370"/>
      <c r="BG95" s="370"/>
      <c r="BH95" s="370"/>
      <c r="BI95" s="370"/>
      <c r="BJ95" s="370"/>
      <c r="BK95" s="370"/>
      <c r="BL95" s="370"/>
      <c r="BM95" s="370"/>
      <c r="BN95" s="370"/>
      <c r="BO95" s="370"/>
      <c r="BP95" s="370"/>
      <c r="BQ95" s="370"/>
      <c r="BR95" s="370"/>
      <c r="BS95" s="370"/>
      <c r="BV95" s="508"/>
      <c r="BW95" s="369"/>
      <c r="BX95" s="370"/>
      <c r="BY95" s="370"/>
      <c r="BZ95" s="370"/>
      <c r="CA95" s="370"/>
      <c r="CB95" s="370"/>
      <c r="CC95" s="505"/>
      <c r="CD95" s="505"/>
      <c r="CE95" s="505"/>
      <c r="CF95" s="505"/>
      <c r="CG95" s="505"/>
      <c r="CH95" s="505"/>
      <c r="CI95" s="505"/>
      <c r="CJ95" s="505"/>
      <c r="CK95" s="505"/>
      <c r="CL95" s="505"/>
      <c r="CM95" s="505"/>
    </row>
    <row r="96" customFormat="false" ht="12.75" hidden="false" customHeight="false" outlineLevel="0" collapsed="false">
      <c r="A96" s="500"/>
      <c r="B96" s="500"/>
      <c r="K96" s="363"/>
      <c r="L96" s="501"/>
      <c r="N96" s="502"/>
      <c r="O96" s="502"/>
      <c r="P96" s="371"/>
      <c r="Q96" s="501"/>
      <c r="R96" s="501"/>
      <c r="U96" s="501"/>
      <c r="V96" s="503"/>
      <c r="W96" s="503"/>
      <c r="X96" s="504"/>
      <c r="Y96" s="504"/>
      <c r="Z96" s="504"/>
      <c r="AA96" s="504"/>
      <c r="AB96" s="504"/>
      <c r="AC96" s="504"/>
      <c r="AF96" s="378"/>
      <c r="AG96" s="378"/>
      <c r="AH96" s="378"/>
      <c r="AI96" s="378"/>
      <c r="AJ96" s="378"/>
      <c r="AM96" s="505"/>
      <c r="AN96" s="505"/>
      <c r="AO96" s="505"/>
      <c r="AP96" s="505"/>
      <c r="AR96" s="370"/>
      <c r="AT96" s="370"/>
      <c r="AV96" s="506"/>
      <c r="AW96" s="370"/>
      <c r="AX96" s="370"/>
      <c r="AY96" s="370"/>
      <c r="AZ96" s="370"/>
      <c r="BA96" s="507"/>
      <c r="BB96" s="505"/>
      <c r="BC96" s="505"/>
      <c r="BD96" s="370"/>
      <c r="BE96" s="370"/>
      <c r="BF96" s="370"/>
      <c r="BG96" s="370"/>
      <c r="BH96" s="370"/>
      <c r="BI96" s="370"/>
      <c r="BJ96" s="370"/>
      <c r="BK96" s="370"/>
      <c r="BL96" s="370"/>
      <c r="BM96" s="370"/>
      <c r="BN96" s="370"/>
      <c r="BO96" s="370"/>
      <c r="BP96" s="370"/>
      <c r="BQ96" s="370"/>
      <c r="BR96" s="370"/>
      <c r="BS96" s="370"/>
      <c r="BV96" s="508"/>
      <c r="BW96" s="369"/>
      <c r="BX96" s="370"/>
      <c r="BY96" s="370"/>
      <c r="BZ96" s="370"/>
      <c r="CA96" s="370"/>
      <c r="CB96" s="370"/>
      <c r="CC96" s="505"/>
      <c r="CD96" s="505"/>
      <c r="CE96" s="505"/>
      <c r="CF96" s="505"/>
      <c r="CG96" s="505"/>
      <c r="CH96" s="505"/>
      <c r="CI96" s="505"/>
      <c r="CJ96" s="505"/>
      <c r="CK96" s="505"/>
      <c r="CL96" s="505"/>
      <c r="CM96" s="505"/>
    </row>
    <row r="97" customFormat="false" ht="12.75" hidden="false" customHeight="false" outlineLevel="0" collapsed="false">
      <c r="A97" s="500"/>
      <c r="B97" s="500"/>
      <c r="K97" s="363"/>
      <c r="L97" s="501"/>
      <c r="N97" s="502"/>
      <c r="O97" s="502"/>
      <c r="P97" s="371"/>
      <c r="Q97" s="501"/>
      <c r="R97" s="501"/>
      <c r="U97" s="501"/>
      <c r="V97" s="503"/>
      <c r="W97" s="503"/>
      <c r="X97" s="504"/>
      <c r="Y97" s="504"/>
      <c r="Z97" s="504"/>
      <c r="AA97" s="504"/>
      <c r="AB97" s="504"/>
      <c r="AC97" s="504"/>
      <c r="AF97" s="378"/>
      <c r="AG97" s="378"/>
      <c r="AH97" s="378"/>
      <c r="AI97" s="378"/>
      <c r="AJ97" s="378"/>
      <c r="AM97" s="505"/>
      <c r="AN97" s="505"/>
      <c r="AO97" s="505"/>
      <c r="AP97" s="505"/>
      <c r="AR97" s="370"/>
      <c r="AT97" s="370"/>
      <c r="AV97" s="506"/>
      <c r="AW97" s="370"/>
      <c r="AX97" s="370"/>
      <c r="AY97" s="370"/>
      <c r="AZ97" s="370"/>
      <c r="BA97" s="507"/>
      <c r="BB97" s="505"/>
      <c r="BC97" s="505"/>
      <c r="BD97" s="370"/>
      <c r="BE97" s="370"/>
      <c r="BF97" s="370"/>
      <c r="BG97" s="370"/>
      <c r="BH97" s="370"/>
      <c r="BI97" s="370"/>
      <c r="BJ97" s="370"/>
      <c r="BK97" s="370"/>
      <c r="BL97" s="370"/>
      <c r="BM97" s="370"/>
      <c r="BN97" s="370"/>
      <c r="BO97" s="370"/>
      <c r="BP97" s="370"/>
      <c r="BQ97" s="370"/>
      <c r="BR97" s="370"/>
      <c r="BS97" s="370"/>
      <c r="BV97" s="508"/>
      <c r="BW97" s="369"/>
      <c r="BX97" s="370"/>
      <c r="BY97" s="370"/>
      <c r="BZ97" s="370"/>
      <c r="CA97" s="370"/>
      <c r="CB97" s="370"/>
      <c r="CC97" s="505"/>
      <c r="CD97" s="505"/>
      <c r="CE97" s="505"/>
      <c r="CF97" s="505"/>
      <c r="CG97" s="505"/>
      <c r="CH97" s="505"/>
      <c r="CI97" s="505"/>
      <c r="CJ97" s="505"/>
      <c r="CK97" s="505"/>
      <c r="CL97" s="505"/>
      <c r="CM97" s="505"/>
    </row>
    <row r="98" customFormat="false" ht="12.75" hidden="false" customHeight="false" outlineLevel="0" collapsed="false">
      <c r="A98" s="500"/>
      <c r="B98" s="500"/>
      <c r="K98" s="363"/>
      <c r="L98" s="501"/>
      <c r="N98" s="502"/>
      <c r="O98" s="502"/>
      <c r="P98" s="371"/>
      <c r="Q98" s="501"/>
      <c r="R98" s="501"/>
      <c r="U98" s="501"/>
      <c r="V98" s="503"/>
      <c r="W98" s="503"/>
      <c r="X98" s="504"/>
      <c r="Y98" s="504"/>
      <c r="Z98" s="504"/>
      <c r="AA98" s="504"/>
      <c r="AB98" s="504"/>
      <c r="AC98" s="504"/>
      <c r="AF98" s="378"/>
      <c r="AG98" s="378"/>
      <c r="AH98" s="378"/>
      <c r="AI98" s="378"/>
      <c r="AJ98" s="378"/>
      <c r="AM98" s="505"/>
      <c r="AN98" s="505"/>
      <c r="AO98" s="505"/>
      <c r="AP98" s="505"/>
      <c r="AR98" s="370"/>
      <c r="AT98" s="370"/>
      <c r="AV98" s="506"/>
      <c r="AW98" s="370"/>
      <c r="AX98" s="370"/>
      <c r="AY98" s="370"/>
      <c r="AZ98" s="370"/>
      <c r="BA98" s="507"/>
      <c r="BB98" s="505"/>
      <c r="BC98" s="505"/>
      <c r="BD98" s="370"/>
      <c r="BE98" s="370"/>
      <c r="BF98" s="370"/>
      <c r="BG98" s="370"/>
      <c r="BH98" s="370"/>
      <c r="BI98" s="370"/>
      <c r="BJ98" s="370"/>
      <c r="BK98" s="370"/>
      <c r="BL98" s="370"/>
      <c r="BM98" s="370"/>
      <c r="BN98" s="370"/>
      <c r="BO98" s="370"/>
      <c r="BP98" s="370"/>
      <c r="BQ98" s="370"/>
      <c r="BR98" s="370"/>
      <c r="BS98" s="370"/>
      <c r="BV98" s="508"/>
      <c r="BW98" s="369"/>
      <c r="BX98" s="370"/>
      <c r="BY98" s="370"/>
      <c r="BZ98" s="370"/>
      <c r="CA98" s="370"/>
      <c r="CB98" s="370"/>
      <c r="CC98" s="505"/>
      <c r="CD98" s="505"/>
      <c r="CE98" s="505"/>
      <c r="CF98" s="505"/>
      <c r="CG98" s="505"/>
      <c r="CH98" s="505"/>
      <c r="CI98" s="505"/>
      <c r="CJ98" s="505"/>
      <c r="CK98" s="505"/>
      <c r="CL98" s="505"/>
      <c r="CM98" s="505"/>
    </row>
    <row r="99" customFormat="false" ht="12.75" hidden="false" customHeight="false" outlineLevel="0" collapsed="false">
      <c r="A99" s="500"/>
      <c r="B99" s="500"/>
      <c r="K99" s="363"/>
      <c r="L99" s="501"/>
      <c r="N99" s="502"/>
      <c r="O99" s="502"/>
      <c r="P99" s="371"/>
      <c r="Q99" s="501"/>
      <c r="R99" s="501"/>
      <c r="U99" s="501"/>
      <c r="V99" s="503"/>
      <c r="W99" s="503"/>
      <c r="X99" s="504"/>
      <c r="Y99" s="504"/>
      <c r="Z99" s="504"/>
      <c r="AA99" s="504"/>
      <c r="AB99" s="504"/>
      <c r="AC99" s="504"/>
      <c r="AF99" s="378"/>
      <c r="AG99" s="378"/>
      <c r="AH99" s="378"/>
      <c r="AI99" s="378"/>
      <c r="AJ99" s="378"/>
      <c r="AM99" s="505"/>
      <c r="AN99" s="505"/>
      <c r="AO99" s="505"/>
      <c r="AP99" s="505"/>
      <c r="AR99" s="370"/>
      <c r="AT99" s="370"/>
      <c r="AV99" s="506"/>
      <c r="AW99" s="370"/>
      <c r="AX99" s="370"/>
      <c r="AY99" s="370"/>
      <c r="AZ99" s="370"/>
      <c r="BA99" s="507"/>
      <c r="BB99" s="505"/>
      <c r="BC99" s="505"/>
      <c r="BD99" s="370"/>
      <c r="BE99" s="370"/>
      <c r="BF99" s="370"/>
      <c r="BG99" s="370"/>
      <c r="BH99" s="370"/>
      <c r="BI99" s="370"/>
      <c r="BJ99" s="370"/>
      <c r="BK99" s="370"/>
      <c r="BL99" s="370"/>
      <c r="BM99" s="370"/>
      <c r="BN99" s="370"/>
      <c r="BO99" s="370"/>
      <c r="BP99" s="370"/>
      <c r="BQ99" s="370"/>
      <c r="BR99" s="370"/>
      <c r="BS99" s="370"/>
      <c r="BV99" s="508"/>
      <c r="BW99" s="369"/>
      <c r="BX99" s="370"/>
      <c r="BY99" s="370"/>
      <c r="BZ99" s="370"/>
      <c r="CA99" s="370"/>
      <c r="CB99" s="370"/>
      <c r="CC99" s="505"/>
      <c r="CD99" s="505"/>
      <c r="CE99" s="505"/>
      <c r="CF99" s="505"/>
      <c r="CG99" s="505"/>
      <c r="CH99" s="505"/>
      <c r="CI99" s="505"/>
      <c r="CJ99" s="505"/>
      <c r="CK99" s="505"/>
      <c r="CL99" s="505"/>
      <c r="CM99" s="505"/>
    </row>
    <row r="100" customFormat="false" ht="12.75" hidden="false" customHeight="false" outlineLevel="0" collapsed="false">
      <c r="A100" s="500"/>
      <c r="B100" s="500"/>
      <c r="K100" s="363"/>
      <c r="L100" s="501"/>
      <c r="N100" s="502"/>
      <c r="O100" s="502"/>
      <c r="P100" s="371"/>
      <c r="Q100" s="501"/>
      <c r="R100" s="501"/>
      <c r="U100" s="501"/>
      <c r="V100" s="503"/>
      <c r="W100" s="503"/>
      <c r="X100" s="504"/>
      <c r="Y100" s="504"/>
      <c r="Z100" s="504"/>
      <c r="AA100" s="504"/>
      <c r="AB100" s="504"/>
      <c r="AC100" s="504"/>
      <c r="AF100" s="378"/>
      <c r="AG100" s="378"/>
      <c r="AH100" s="378"/>
      <c r="AI100" s="378"/>
      <c r="AJ100" s="378"/>
      <c r="AM100" s="505"/>
      <c r="AN100" s="505"/>
      <c r="AO100" s="505"/>
      <c r="AP100" s="505"/>
      <c r="AR100" s="370"/>
      <c r="AT100" s="370"/>
      <c r="AV100" s="506"/>
      <c r="AW100" s="370"/>
      <c r="AX100" s="370"/>
      <c r="AY100" s="370"/>
      <c r="AZ100" s="370"/>
      <c r="BA100" s="507"/>
      <c r="BB100" s="505"/>
      <c r="BC100" s="505"/>
      <c r="BD100" s="370"/>
      <c r="BE100" s="370"/>
      <c r="BF100" s="370"/>
      <c r="BG100" s="370"/>
      <c r="BH100" s="370"/>
      <c r="BI100" s="370"/>
      <c r="BJ100" s="370"/>
      <c r="BK100" s="370"/>
      <c r="BL100" s="370"/>
      <c r="BM100" s="370"/>
      <c r="BN100" s="370"/>
      <c r="BO100" s="370"/>
      <c r="BP100" s="370"/>
      <c r="BQ100" s="370"/>
      <c r="BR100" s="370"/>
      <c r="BS100" s="370"/>
      <c r="BV100" s="508"/>
      <c r="BW100" s="369"/>
      <c r="BX100" s="370"/>
      <c r="BY100" s="370"/>
      <c r="BZ100" s="370"/>
      <c r="CA100" s="370"/>
      <c r="CB100" s="370"/>
      <c r="CC100" s="505"/>
      <c r="CD100" s="505"/>
      <c r="CE100" s="505"/>
      <c r="CF100" s="505"/>
      <c r="CG100" s="505"/>
      <c r="CH100" s="505"/>
      <c r="CI100" s="505"/>
      <c r="CJ100" s="505"/>
      <c r="CK100" s="505"/>
      <c r="CL100" s="505"/>
      <c r="CM100" s="505"/>
    </row>
    <row r="101" customFormat="false" ht="12.75" hidden="false" customHeight="false" outlineLevel="0" collapsed="false">
      <c r="A101" s="500"/>
      <c r="B101" s="500"/>
      <c r="K101" s="363"/>
      <c r="L101" s="501"/>
      <c r="N101" s="502"/>
      <c r="O101" s="502"/>
      <c r="P101" s="371"/>
      <c r="Q101" s="501"/>
      <c r="R101" s="501"/>
      <c r="U101" s="501"/>
      <c r="V101" s="503"/>
      <c r="W101" s="503"/>
      <c r="X101" s="504"/>
      <c r="Y101" s="504"/>
      <c r="Z101" s="504"/>
      <c r="AA101" s="504"/>
      <c r="AB101" s="504"/>
      <c r="AC101" s="504"/>
      <c r="AF101" s="378"/>
      <c r="AG101" s="378"/>
      <c r="AH101" s="378"/>
      <c r="AI101" s="378"/>
      <c r="AJ101" s="378"/>
      <c r="AM101" s="505"/>
      <c r="AN101" s="505"/>
      <c r="AO101" s="505"/>
      <c r="AP101" s="505"/>
      <c r="AR101" s="370"/>
      <c r="AT101" s="370"/>
      <c r="AV101" s="506"/>
      <c r="AW101" s="370"/>
      <c r="AX101" s="370"/>
      <c r="AY101" s="370"/>
      <c r="AZ101" s="370"/>
      <c r="BA101" s="507"/>
      <c r="BB101" s="505"/>
      <c r="BC101" s="505"/>
      <c r="BD101" s="370"/>
      <c r="BE101" s="370"/>
      <c r="BF101" s="370"/>
      <c r="BG101" s="370"/>
      <c r="BH101" s="370"/>
      <c r="BI101" s="370"/>
      <c r="BJ101" s="370"/>
      <c r="BK101" s="370"/>
      <c r="BL101" s="370"/>
      <c r="BM101" s="370"/>
      <c r="BN101" s="370"/>
      <c r="BO101" s="370"/>
      <c r="BP101" s="370"/>
      <c r="BQ101" s="370"/>
      <c r="BR101" s="370"/>
      <c r="BS101" s="370"/>
      <c r="BV101" s="508"/>
      <c r="BW101" s="369"/>
      <c r="BX101" s="370"/>
      <c r="BY101" s="370"/>
      <c r="BZ101" s="370"/>
      <c r="CA101" s="370"/>
      <c r="CB101" s="370"/>
      <c r="CC101" s="505"/>
      <c r="CD101" s="505"/>
      <c r="CE101" s="505"/>
      <c r="CF101" s="505"/>
      <c r="CG101" s="505"/>
      <c r="CH101" s="505"/>
      <c r="CI101" s="505"/>
      <c r="CJ101" s="505"/>
      <c r="CK101" s="505"/>
      <c r="CL101" s="505"/>
      <c r="CM101" s="505"/>
    </row>
    <row r="102" customFormat="false" ht="12.75" hidden="false" customHeight="false" outlineLevel="0" collapsed="false">
      <c r="A102" s="500"/>
      <c r="B102" s="500"/>
      <c r="K102" s="363"/>
      <c r="L102" s="501"/>
      <c r="N102" s="502"/>
      <c r="O102" s="502"/>
      <c r="P102" s="371"/>
      <c r="Q102" s="501"/>
      <c r="R102" s="501"/>
      <c r="U102" s="501"/>
      <c r="V102" s="503"/>
      <c r="W102" s="503"/>
      <c r="X102" s="504"/>
      <c r="Y102" s="504"/>
      <c r="Z102" s="504"/>
      <c r="AA102" s="504"/>
      <c r="AB102" s="504"/>
      <c r="AC102" s="504"/>
      <c r="AF102" s="378"/>
      <c r="AG102" s="378"/>
      <c r="AH102" s="378"/>
      <c r="AI102" s="378"/>
      <c r="AJ102" s="378"/>
      <c r="AM102" s="505"/>
      <c r="AN102" s="505"/>
      <c r="AO102" s="505"/>
      <c r="AP102" s="505"/>
      <c r="AR102" s="370"/>
      <c r="AT102" s="370"/>
      <c r="AV102" s="506"/>
      <c r="AW102" s="370"/>
      <c r="AX102" s="370"/>
      <c r="AY102" s="370"/>
      <c r="AZ102" s="370"/>
      <c r="BA102" s="507"/>
      <c r="BB102" s="505"/>
      <c r="BC102" s="505"/>
      <c r="BD102" s="370"/>
      <c r="BE102" s="370"/>
      <c r="BF102" s="370"/>
      <c r="BG102" s="370"/>
      <c r="BH102" s="370"/>
      <c r="BI102" s="370"/>
      <c r="BJ102" s="370"/>
      <c r="BK102" s="370"/>
      <c r="BL102" s="370"/>
      <c r="BM102" s="370"/>
      <c r="BN102" s="370"/>
      <c r="BO102" s="370"/>
      <c r="BP102" s="370"/>
      <c r="BQ102" s="370"/>
      <c r="BR102" s="370"/>
      <c r="BS102" s="370"/>
      <c r="BV102" s="508"/>
      <c r="BW102" s="369"/>
      <c r="BX102" s="370"/>
      <c r="BY102" s="370"/>
      <c r="BZ102" s="370"/>
      <c r="CA102" s="370"/>
      <c r="CB102" s="370"/>
      <c r="CC102" s="505"/>
      <c r="CD102" s="505"/>
      <c r="CE102" s="505"/>
      <c r="CF102" s="505"/>
      <c r="CG102" s="505"/>
      <c r="CH102" s="505"/>
      <c r="CI102" s="505"/>
      <c r="CJ102" s="505"/>
      <c r="CK102" s="505"/>
      <c r="CL102" s="505"/>
      <c r="CM102" s="505"/>
    </row>
    <row r="103" customFormat="false" ht="12.75" hidden="false" customHeight="false" outlineLevel="0" collapsed="false">
      <c r="A103" s="500"/>
      <c r="B103" s="500"/>
      <c r="K103" s="363"/>
      <c r="L103" s="501"/>
      <c r="N103" s="502"/>
      <c r="O103" s="502"/>
      <c r="P103" s="371"/>
      <c r="Q103" s="501"/>
      <c r="R103" s="501"/>
      <c r="U103" s="501"/>
      <c r="V103" s="503"/>
      <c r="W103" s="503"/>
      <c r="X103" s="504"/>
      <c r="Y103" s="504"/>
      <c r="Z103" s="504"/>
      <c r="AA103" s="504"/>
      <c r="AB103" s="504"/>
      <c r="AC103" s="504"/>
      <c r="AF103" s="378"/>
      <c r="AG103" s="378"/>
      <c r="AH103" s="378"/>
      <c r="AI103" s="378"/>
      <c r="AJ103" s="378"/>
      <c r="AM103" s="505"/>
      <c r="AN103" s="505"/>
      <c r="AO103" s="505"/>
      <c r="AP103" s="505"/>
      <c r="AR103" s="370"/>
      <c r="AT103" s="370"/>
      <c r="AV103" s="506"/>
      <c r="AW103" s="370"/>
      <c r="AX103" s="370"/>
      <c r="AY103" s="370"/>
      <c r="AZ103" s="370"/>
      <c r="BA103" s="507"/>
      <c r="BB103" s="505"/>
      <c r="BC103" s="505"/>
      <c r="BD103" s="370"/>
      <c r="BE103" s="370"/>
      <c r="BF103" s="370"/>
      <c r="BG103" s="370"/>
      <c r="BH103" s="370"/>
      <c r="BI103" s="370"/>
      <c r="BJ103" s="370"/>
      <c r="BK103" s="370"/>
      <c r="BL103" s="370"/>
      <c r="BM103" s="370"/>
      <c r="BN103" s="370"/>
      <c r="BO103" s="370"/>
      <c r="BP103" s="370"/>
      <c r="BQ103" s="370"/>
      <c r="BR103" s="370"/>
      <c r="BS103" s="370"/>
      <c r="BV103" s="508"/>
      <c r="BW103" s="369"/>
      <c r="BX103" s="370"/>
      <c r="BY103" s="370"/>
      <c r="BZ103" s="370"/>
      <c r="CA103" s="370"/>
      <c r="CB103" s="370"/>
      <c r="CC103" s="505"/>
      <c r="CD103" s="505"/>
      <c r="CE103" s="505"/>
      <c r="CF103" s="505"/>
      <c r="CG103" s="505"/>
      <c r="CH103" s="505"/>
      <c r="CI103" s="505"/>
      <c r="CJ103" s="505"/>
      <c r="CK103" s="505"/>
      <c r="CL103" s="505"/>
      <c r="CM103" s="505"/>
    </row>
    <row r="104" customFormat="false" ht="12.75" hidden="false" customHeight="false" outlineLevel="0" collapsed="false">
      <c r="A104" s="500"/>
      <c r="B104" s="500"/>
      <c r="K104" s="363"/>
      <c r="L104" s="501"/>
      <c r="N104" s="502"/>
      <c r="O104" s="502"/>
      <c r="P104" s="371"/>
      <c r="Q104" s="501"/>
      <c r="R104" s="501"/>
      <c r="U104" s="501"/>
      <c r="V104" s="503"/>
      <c r="W104" s="503"/>
      <c r="X104" s="504"/>
      <c r="Y104" s="504"/>
      <c r="Z104" s="504"/>
      <c r="AA104" s="504"/>
      <c r="AB104" s="504"/>
      <c r="AC104" s="504"/>
      <c r="AF104" s="378"/>
      <c r="AG104" s="378"/>
      <c r="AH104" s="378"/>
      <c r="AI104" s="378"/>
      <c r="AJ104" s="378"/>
      <c r="AM104" s="505"/>
      <c r="AN104" s="505"/>
      <c r="AO104" s="505"/>
      <c r="AP104" s="505"/>
      <c r="AR104" s="370"/>
      <c r="AT104" s="370"/>
      <c r="AV104" s="506"/>
      <c r="AW104" s="370"/>
      <c r="AX104" s="370"/>
      <c r="AY104" s="370"/>
      <c r="AZ104" s="370"/>
      <c r="BA104" s="507"/>
      <c r="BB104" s="505"/>
      <c r="BC104" s="505"/>
      <c r="BD104" s="370"/>
      <c r="BE104" s="370"/>
      <c r="BF104" s="370"/>
      <c r="BG104" s="370"/>
      <c r="BH104" s="370"/>
      <c r="BI104" s="370"/>
      <c r="BJ104" s="370"/>
      <c r="BK104" s="370"/>
      <c r="BL104" s="370"/>
      <c r="BM104" s="370"/>
      <c r="BN104" s="370"/>
      <c r="BO104" s="370"/>
      <c r="BP104" s="370"/>
      <c r="BQ104" s="370"/>
      <c r="BR104" s="370"/>
      <c r="BS104" s="370"/>
      <c r="BV104" s="508"/>
      <c r="BW104" s="369"/>
      <c r="BX104" s="370"/>
      <c r="BY104" s="370"/>
      <c r="BZ104" s="370"/>
      <c r="CA104" s="370"/>
      <c r="CB104" s="370"/>
      <c r="CC104" s="505"/>
      <c r="CD104" s="505"/>
      <c r="CE104" s="505"/>
      <c r="CF104" s="505"/>
      <c r="CG104" s="505"/>
      <c r="CH104" s="505"/>
      <c r="CI104" s="505"/>
      <c r="CJ104" s="505"/>
      <c r="CK104" s="505"/>
      <c r="CL104" s="505"/>
      <c r="CM104" s="505"/>
    </row>
    <row r="105" customFormat="false" ht="12.75" hidden="false" customHeight="false" outlineLevel="0" collapsed="false">
      <c r="A105" s="500"/>
      <c r="B105" s="500"/>
      <c r="K105" s="363"/>
      <c r="L105" s="501"/>
      <c r="N105" s="502"/>
      <c r="O105" s="502"/>
      <c r="P105" s="371"/>
      <c r="Q105" s="501"/>
      <c r="R105" s="501"/>
      <c r="U105" s="501"/>
      <c r="V105" s="503"/>
      <c r="W105" s="503"/>
      <c r="X105" s="504"/>
      <c r="Y105" s="504"/>
      <c r="Z105" s="504"/>
      <c r="AA105" s="504"/>
      <c r="AB105" s="504"/>
      <c r="AC105" s="504"/>
      <c r="AF105" s="378"/>
      <c r="AG105" s="378"/>
      <c r="AH105" s="378"/>
      <c r="AI105" s="378"/>
      <c r="AJ105" s="378"/>
      <c r="AM105" s="505"/>
      <c r="AN105" s="505"/>
      <c r="AO105" s="505"/>
      <c r="AP105" s="505"/>
      <c r="AR105" s="370"/>
      <c r="AT105" s="370"/>
      <c r="AV105" s="506"/>
      <c r="AW105" s="370"/>
      <c r="AX105" s="370"/>
      <c r="AY105" s="370"/>
      <c r="AZ105" s="370"/>
      <c r="BA105" s="507"/>
      <c r="BB105" s="505"/>
      <c r="BC105" s="505"/>
      <c r="BD105" s="370"/>
      <c r="BE105" s="370"/>
      <c r="BF105" s="370"/>
      <c r="BG105" s="370"/>
      <c r="BH105" s="370"/>
      <c r="BI105" s="370"/>
      <c r="BJ105" s="370"/>
      <c r="BK105" s="370"/>
      <c r="BL105" s="370"/>
      <c r="BM105" s="370"/>
      <c r="BN105" s="370"/>
      <c r="BO105" s="370"/>
      <c r="BP105" s="370"/>
      <c r="BQ105" s="370"/>
      <c r="BR105" s="370"/>
      <c r="BS105" s="370"/>
      <c r="BV105" s="508"/>
      <c r="BW105" s="369"/>
      <c r="BX105" s="370"/>
      <c r="BY105" s="370"/>
      <c r="BZ105" s="370"/>
      <c r="CA105" s="370"/>
      <c r="CB105" s="370"/>
      <c r="CC105" s="505"/>
      <c r="CD105" s="505"/>
      <c r="CE105" s="505"/>
      <c r="CF105" s="505"/>
      <c r="CG105" s="505"/>
      <c r="CH105" s="505"/>
      <c r="CI105" s="505"/>
      <c r="CJ105" s="505"/>
      <c r="CK105" s="505"/>
      <c r="CL105" s="505"/>
      <c r="CM105" s="505"/>
    </row>
    <row r="106" customFormat="false" ht="12.75" hidden="false" customHeight="false" outlineLevel="0" collapsed="false">
      <c r="A106" s="500"/>
      <c r="B106" s="500"/>
      <c r="K106" s="363"/>
      <c r="L106" s="501"/>
      <c r="N106" s="502"/>
      <c r="O106" s="502"/>
      <c r="P106" s="371"/>
      <c r="Q106" s="501"/>
      <c r="R106" s="501"/>
      <c r="U106" s="501"/>
      <c r="V106" s="503"/>
      <c r="W106" s="503"/>
      <c r="X106" s="504"/>
      <c r="Y106" s="504"/>
      <c r="Z106" s="504"/>
      <c r="AA106" s="504"/>
      <c r="AB106" s="504"/>
      <c r="AC106" s="504"/>
      <c r="AF106" s="378"/>
      <c r="AG106" s="378"/>
      <c r="AH106" s="378"/>
      <c r="AI106" s="378"/>
      <c r="AJ106" s="378"/>
      <c r="AM106" s="505"/>
      <c r="AN106" s="505"/>
      <c r="AO106" s="505"/>
      <c r="AP106" s="505"/>
      <c r="AR106" s="370"/>
      <c r="AT106" s="370"/>
      <c r="AV106" s="506"/>
      <c r="AW106" s="370"/>
      <c r="AX106" s="370"/>
      <c r="AY106" s="370"/>
      <c r="AZ106" s="370"/>
      <c r="BA106" s="507"/>
      <c r="BB106" s="505"/>
      <c r="BC106" s="505"/>
      <c r="BD106" s="370"/>
      <c r="BE106" s="370"/>
      <c r="BF106" s="370"/>
      <c r="BG106" s="370"/>
      <c r="BH106" s="370"/>
      <c r="BI106" s="370"/>
      <c r="BJ106" s="370"/>
      <c r="BK106" s="370"/>
      <c r="BL106" s="370"/>
      <c r="BM106" s="370"/>
      <c r="BN106" s="370"/>
      <c r="BO106" s="370"/>
      <c r="BP106" s="370"/>
      <c r="BQ106" s="370"/>
      <c r="BR106" s="370"/>
      <c r="BS106" s="370"/>
      <c r="BV106" s="508"/>
      <c r="BW106" s="369"/>
      <c r="BX106" s="370"/>
      <c r="BY106" s="370"/>
      <c r="BZ106" s="370"/>
      <c r="CA106" s="370"/>
      <c r="CB106" s="370"/>
      <c r="CC106" s="505"/>
      <c r="CD106" s="505"/>
      <c r="CE106" s="505"/>
      <c r="CF106" s="505"/>
      <c r="CG106" s="505"/>
      <c r="CH106" s="505"/>
      <c r="CI106" s="505"/>
      <c r="CJ106" s="505"/>
      <c r="CK106" s="505"/>
      <c r="CL106" s="505"/>
      <c r="CM106" s="505"/>
    </row>
    <row r="107" customFormat="false" ht="12.75" hidden="false" customHeight="false" outlineLevel="0" collapsed="false">
      <c r="A107" s="500"/>
      <c r="B107" s="500"/>
      <c r="K107" s="363"/>
      <c r="L107" s="501"/>
      <c r="N107" s="502"/>
      <c r="O107" s="502"/>
      <c r="P107" s="371"/>
      <c r="Q107" s="501"/>
      <c r="R107" s="501"/>
      <c r="U107" s="501"/>
      <c r="V107" s="503"/>
      <c r="W107" s="503"/>
      <c r="X107" s="504"/>
      <c r="Y107" s="504"/>
      <c r="Z107" s="504"/>
      <c r="AA107" s="504"/>
      <c r="AB107" s="504"/>
      <c r="AC107" s="504"/>
      <c r="AF107" s="378"/>
      <c r="AG107" s="378"/>
      <c r="AH107" s="378"/>
      <c r="AI107" s="378"/>
      <c r="AJ107" s="378"/>
      <c r="AM107" s="505"/>
      <c r="AN107" s="505"/>
      <c r="AO107" s="505"/>
      <c r="AP107" s="505"/>
      <c r="AR107" s="370"/>
      <c r="AT107" s="370"/>
      <c r="AV107" s="506"/>
      <c r="AW107" s="370"/>
      <c r="AX107" s="370"/>
      <c r="AY107" s="370"/>
      <c r="AZ107" s="370"/>
      <c r="BA107" s="507"/>
      <c r="BB107" s="505"/>
      <c r="BC107" s="505"/>
      <c r="BD107" s="370"/>
      <c r="BE107" s="370"/>
      <c r="BF107" s="370"/>
      <c r="BG107" s="370"/>
      <c r="BH107" s="370"/>
      <c r="BI107" s="370"/>
      <c r="BJ107" s="370"/>
      <c r="BK107" s="370"/>
      <c r="BL107" s="370"/>
      <c r="BM107" s="370"/>
      <c r="BN107" s="370"/>
      <c r="BO107" s="370"/>
      <c r="BP107" s="370"/>
      <c r="BQ107" s="370"/>
      <c r="BR107" s="370"/>
      <c r="BS107" s="370"/>
      <c r="BV107" s="508"/>
      <c r="BW107" s="369"/>
      <c r="BX107" s="370"/>
      <c r="BY107" s="370"/>
      <c r="BZ107" s="370"/>
      <c r="CA107" s="370"/>
      <c r="CB107" s="370"/>
      <c r="CC107" s="505"/>
      <c r="CD107" s="505"/>
      <c r="CE107" s="505"/>
      <c r="CF107" s="505"/>
      <c r="CG107" s="505"/>
      <c r="CH107" s="505"/>
      <c r="CI107" s="505"/>
      <c r="CJ107" s="505"/>
      <c r="CK107" s="505"/>
      <c r="CL107" s="505"/>
      <c r="CM107" s="505"/>
    </row>
    <row r="108" customFormat="false" ht="12.75" hidden="false" customHeight="false" outlineLevel="0" collapsed="false">
      <c r="A108" s="500"/>
      <c r="B108" s="500"/>
      <c r="K108" s="363"/>
      <c r="L108" s="501"/>
      <c r="N108" s="502"/>
      <c r="O108" s="502"/>
      <c r="P108" s="371"/>
      <c r="Q108" s="501"/>
      <c r="R108" s="501"/>
      <c r="U108" s="501"/>
      <c r="V108" s="503"/>
      <c r="W108" s="503"/>
      <c r="X108" s="504"/>
      <c r="Y108" s="504"/>
      <c r="Z108" s="504"/>
      <c r="AA108" s="504"/>
      <c r="AB108" s="504"/>
      <c r="AC108" s="504"/>
      <c r="AF108" s="378"/>
      <c r="AG108" s="378"/>
      <c r="AH108" s="378"/>
      <c r="AI108" s="378"/>
      <c r="AJ108" s="378"/>
      <c r="AM108" s="505"/>
      <c r="AN108" s="505"/>
      <c r="AO108" s="505"/>
      <c r="AP108" s="505"/>
      <c r="AR108" s="370"/>
      <c r="AT108" s="370"/>
      <c r="AV108" s="506"/>
      <c r="AW108" s="370"/>
      <c r="AX108" s="370"/>
      <c r="AY108" s="370"/>
      <c r="AZ108" s="370"/>
      <c r="BA108" s="507"/>
      <c r="BB108" s="505"/>
      <c r="BC108" s="505"/>
      <c r="BD108" s="370"/>
      <c r="BE108" s="370"/>
      <c r="BF108" s="370"/>
      <c r="BG108" s="370"/>
      <c r="BH108" s="370"/>
      <c r="BI108" s="370"/>
      <c r="BJ108" s="370"/>
      <c r="BK108" s="370"/>
      <c r="BL108" s="370"/>
      <c r="BM108" s="370"/>
      <c r="BN108" s="370"/>
      <c r="BO108" s="370"/>
      <c r="BP108" s="370"/>
      <c r="BQ108" s="370"/>
      <c r="BR108" s="370"/>
      <c r="BS108" s="370"/>
      <c r="BV108" s="508"/>
      <c r="BW108" s="369"/>
      <c r="BX108" s="370"/>
      <c r="BY108" s="370"/>
      <c r="BZ108" s="370"/>
      <c r="CA108" s="370"/>
      <c r="CB108" s="370"/>
      <c r="CC108" s="505"/>
      <c r="CD108" s="505"/>
      <c r="CE108" s="505"/>
      <c r="CF108" s="505"/>
      <c r="CG108" s="505"/>
      <c r="CH108" s="505"/>
      <c r="CI108" s="505"/>
      <c r="CJ108" s="505"/>
      <c r="CK108" s="505"/>
      <c r="CL108" s="505"/>
      <c r="CM108" s="505"/>
    </row>
    <row r="109" customFormat="false" ht="12.75" hidden="false" customHeight="false" outlineLevel="0" collapsed="false">
      <c r="A109" s="500"/>
      <c r="B109" s="500"/>
      <c r="K109" s="363"/>
      <c r="L109" s="501"/>
      <c r="N109" s="502"/>
      <c r="O109" s="502"/>
      <c r="P109" s="371"/>
      <c r="Q109" s="501"/>
      <c r="R109" s="501"/>
      <c r="U109" s="501"/>
      <c r="V109" s="503"/>
      <c r="W109" s="503"/>
      <c r="X109" s="504"/>
      <c r="Y109" s="504"/>
      <c r="Z109" s="504"/>
      <c r="AA109" s="504"/>
      <c r="AB109" s="504"/>
      <c r="AC109" s="504"/>
      <c r="AF109" s="378"/>
      <c r="AG109" s="378"/>
      <c r="AH109" s="378"/>
      <c r="AI109" s="378"/>
      <c r="AJ109" s="378"/>
      <c r="AM109" s="505"/>
      <c r="AN109" s="505"/>
      <c r="AO109" s="505"/>
      <c r="AP109" s="505"/>
      <c r="AR109" s="370"/>
      <c r="AT109" s="370"/>
      <c r="AV109" s="506"/>
      <c r="AW109" s="370"/>
      <c r="AX109" s="370"/>
      <c r="AY109" s="370"/>
      <c r="AZ109" s="370"/>
      <c r="BA109" s="507"/>
      <c r="BB109" s="505"/>
      <c r="BC109" s="505"/>
      <c r="BD109" s="370"/>
      <c r="BE109" s="370"/>
      <c r="BF109" s="370"/>
      <c r="BG109" s="370"/>
      <c r="BH109" s="370"/>
      <c r="BI109" s="370"/>
      <c r="BJ109" s="370"/>
      <c r="BK109" s="370"/>
      <c r="BL109" s="370"/>
      <c r="BM109" s="370"/>
      <c r="BN109" s="370"/>
      <c r="BO109" s="370"/>
      <c r="BP109" s="370"/>
      <c r="BQ109" s="370"/>
      <c r="BR109" s="370"/>
      <c r="BS109" s="370"/>
      <c r="BV109" s="508"/>
      <c r="BW109" s="369"/>
      <c r="BX109" s="370"/>
      <c r="BY109" s="370"/>
      <c r="BZ109" s="370"/>
      <c r="CA109" s="370"/>
      <c r="CB109" s="370"/>
      <c r="CC109" s="505"/>
      <c r="CD109" s="505"/>
      <c r="CE109" s="505"/>
      <c r="CF109" s="505"/>
      <c r="CG109" s="505"/>
      <c r="CH109" s="505"/>
      <c r="CI109" s="505"/>
      <c r="CJ109" s="505"/>
      <c r="CK109" s="505"/>
      <c r="CL109" s="505"/>
      <c r="CM109" s="505"/>
    </row>
    <row r="110" customFormat="false" ht="12.75" hidden="false" customHeight="false" outlineLevel="0" collapsed="false">
      <c r="A110" s="500"/>
      <c r="B110" s="500"/>
      <c r="K110" s="363"/>
      <c r="L110" s="501"/>
      <c r="N110" s="502"/>
      <c r="O110" s="502"/>
      <c r="P110" s="371"/>
      <c r="Q110" s="501"/>
      <c r="R110" s="501"/>
      <c r="U110" s="501"/>
      <c r="V110" s="503"/>
      <c r="W110" s="503"/>
      <c r="X110" s="504"/>
      <c r="Y110" s="504"/>
      <c r="Z110" s="504"/>
      <c r="AA110" s="504"/>
      <c r="AB110" s="504"/>
      <c r="AC110" s="504"/>
      <c r="AF110" s="378"/>
      <c r="AG110" s="378"/>
      <c r="AH110" s="378"/>
      <c r="AI110" s="378"/>
      <c r="AJ110" s="378"/>
      <c r="AM110" s="505"/>
      <c r="AN110" s="505"/>
      <c r="AO110" s="505"/>
      <c r="AP110" s="505"/>
      <c r="AR110" s="370"/>
      <c r="AT110" s="370"/>
      <c r="AV110" s="506"/>
      <c r="AW110" s="370"/>
      <c r="AX110" s="370"/>
      <c r="AY110" s="370"/>
      <c r="AZ110" s="370"/>
      <c r="BA110" s="507"/>
      <c r="BB110" s="505"/>
      <c r="BC110" s="505"/>
      <c r="BD110" s="370"/>
      <c r="BE110" s="370"/>
      <c r="BF110" s="370"/>
      <c r="BG110" s="370"/>
      <c r="BH110" s="370"/>
      <c r="BI110" s="370"/>
      <c r="BJ110" s="370"/>
      <c r="BK110" s="370"/>
      <c r="BL110" s="370"/>
      <c r="BM110" s="370"/>
      <c r="BN110" s="370"/>
      <c r="BO110" s="370"/>
      <c r="BP110" s="370"/>
      <c r="BQ110" s="370"/>
      <c r="BR110" s="370"/>
      <c r="BS110" s="370"/>
      <c r="BV110" s="508"/>
      <c r="BW110" s="369"/>
      <c r="BX110" s="370"/>
      <c r="BY110" s="370"/>
      <c r="BZ110" s="370"/>
      <c r="CA110" s="370"/>
      <c r="CB110" s="370"/>
      <c r="CC110" s="505"/>
      <c r="CD110" s="505"/>
      <c r="CE110" s="505"/>
      <c r="CF110" s="505"/>
      <c r="CG110" s="505"/>
      <c r="CH110" s="505"/>
      <c r="CI110" s="505"/>
      <c r="CJ110" s="505"/>
      <c r="CK110" s="505"/>
      <c r="CL110" s="505"/>
      <c r="CM110" s="505"/>
    </row>
    <row r="111" customFormat="false" ht="12.75" hidden="false" customHeight="false" outlineLevel="0" collapsed="false">
      <c r="A111" s="500"/>
      <c r="B111" s="500"/>
      <c r="K111" s="363"/>
      <c r="L111" s="501"/>
      <c r="N111" s="502"/>
      <c r="O111" s="502"/>
      <c r="P111" s="371"/>
      <c r="Q111" s="501"/>
      <c r="R111" s="501"/>
      <c r="U111" s="501"/>
      <c r="V111" s="503"/>
      <c r="W111" s="503"/>
      <c r="X111" s="504"/>
      <c r="Y111" s="504"/>
      <c r="Z111" s="504"/>
      <c r="AA111" s="504"/>
      <c r="AB111" s="504"/>
      <c r="AC111" s="504"/>
      <c r="AF111" s="378"/>
      <c r="AG111" s="378"/>
      <c r="AH111" s="378"/>
      <c r="AI111" s="378"/>
      <c r="AJ111" s="378"/>
      <c r="AM111" s="505"/>
      <c r="AN111" s="505"/>
      <c r="AO111" s="505"/>
      <c r="AP111" s="505"/>
      <c r="AR111" s="370"/>
      <c r="AT111" s="370"/>
      <c r="AV111" s="506"/>
      <c r="AW111" s="370"/>
      <c r="AX111" s="370"/>
      <c r="AY111" s="370"/>
      <c r="AZ111" s="370"/>
      <c r="BA111" s="507"/>
      <c r="BB111" s="505"/>
      <c r="BC111" s="505"/>
      <c r="BD111" s="370"/>
      <c r="BE111" s="370"/>
      <c r="BF111" s="370"/>
      <c r="BG111" s="370"/>
      <c r="BH111" s="370"/>
      <c r="BI111" s="370"/>
      <c r="BJ111" s="370"/>
      <c r="BK111" s="370"/>
      <c r="BL111" s="370"/>
      <c r="BM111" s="370"/>
      <c r="BN111" s="370"/>
      <c r="BO111" s="370"/>
      <c r="BP111" s="370"/>
      <c r="BQ111" s="370"/>
      <c r="BR111" s="370"/>
      <c r="BS111" s="370"/>
      <c r="BV111" s="508"/>
      <c r="BW111" s="369"/>
      <c r="BX111" s="370"/>
      <c r="BY111" s="370"/>
      <c r="BZ111" s="370"/>
      <c r="CA111" s="370"/>
      <c r="CB111" s="370"/>
      <c r="CC111" s="505"/>
      <c r="CD111" s="505"/>
      <c r="CE111" s="505"/>
      <c r="CF111" s="505"/>
      <c r="CG111" s="505"/>
      <c r="CH111" s="505"/>
      <c r="CI111" s="505"/>
      <c r="CJ111" s="505"/>
      <c r="CK111" s="505"/>
      <c r="CL111" s="505"/>
      <c r="CM111" s="505"/>
    </row>
    <row r="112" customFormat="false" ht="12.75" hidden="false" customHeight="false" outlineLevel="0" collapsed="false">
      <c r="A112" s="500"/>
      <c r="B112" s="500"/>
      <c r="K112" s="363"/>
      <c r="L112" s="501"/>
      <c r="N112" s="502"/>
      <c r="O112" s="502"/>
      <c r="P112" s="371"/>
      <c r="Q112" s="501"/>
      <c r="R112" s="501"/>
      <c r="U112" s="501"/>
      <c r="V112" s="503"/>
      <c r="W112" s="503"/>
      <c r="X112" s="504"/>
      <c r="Y112" s="504"/>
      <c r="Z112" s="504"/>
      <c r="AA112" s="504"/>
      <c r="AB112" s="504"/>
      <c r="AC112" s="504"/>
      <c r="AF112" s="378"/>
      <c r="AG112" s="378"/>
      <c r="AH112" s="378"/>
      <c r="AI112" s="378"/>
      <c r="AJ112" s="378"/>
      <c r="AM112" s="505"/>
      <c r="AN112" s="505"/>
      <c r="AO112" s="505"/>
      <c r="AP112" s="505"/>
      <c r="AR112" s="370"/>
      <c r="AT112" s="370"/>
      <c r="AV112" s="506"/>
      <c r="AW112" s="370"/>
      <c r="AX112" s="370"/>
      <c r="AY112" s="370"/>
      <c r="AZ112" s="370"/>
      <c r="BA112" s="507"/>
      <c r="BB112" s="505"/>
      <c r="BC112" s="505"/>
      <c r="BD112" s="370"/>
      <c r="BE112" s="370"/>
      <c r="BF112" s="370"/>
      <c r="BG112" s="370"/>
      <c r="BH112" s="370"/>
      <c r="BI112" s="370"/>
      <c r="BJ112" s="370"/>
      <c r="BK112" s="370"/>
      <c r="BL112" s="370"/>
      <c r="BM112" s="370"/>
      <c r="BN112" s="370"/>
      <c r="BO112" s="370"/>
      <c r="BP112" s="370"/>
      <c r="BQ112" s="370"/>
      <c r="BR112" s="370"/>
      <c r="BS112" s="370"/>
      <c r="BV112" s="508"/>
      <c r="BW112" s="369"/>
      <c r="BX112" s="370"/>
      <c r="BY112" s="370"/>
      <c r="BZ112" s="370"/>
      <c r="CA112" s="370"/>
      <c r="CB112" s="370"/>
      <c r="CC112" s="505"/>
      <c r="CD112" s="505"/>
      <c r="CE112" s="505"/>
      <c r="CF112" s="505"/>
      <c r="CG112" s="505"/>
      <c r="CH112" s="505"/>
      <c r="CI112" s="505"/>
      <c r="CJ112" s="505"/>
      <c r="CK112" s="505"/>
      <c r="CL112" s="505"/>
      <c r="CM112" s="505"/>
    </row>
    <row r="113" customFormat="false" ht="12.75" hidden="false" customHeight="false" outlineLevel="0" collapsed="false">
      <c r="A113" s="500"/>
      <c r="B113" s="500"/>
      <c r="K113" s="363"/>
      <c r="L113" s="501"/>
      <c r="N113" s="502"/>
      <c r="O113" s="502"/>
      <c r="P113" s="371"/>
      <c r="Q113" s="501"/>
      <c r="R113" s="501"/>
      <c r="U113" s="501"/>
      <c r="V113" s="503"/>
      <c r="W113" s="503"/>
      <c r="X113" s="504"/>
      <c r="Y113" s="504"/>
      <c r="Z113" s="504"/>
      <c r="AA113" s="504"/>
      <c r="AB113" s="504"/>
      <c r="AC113" s="504"/>
      <c r="AF113" s="378"/>
      <c r="AG113" s="378"/>
      <c r="AH113" s="378"/>
      <c r="AI113" s="378"/>
      <c r="AJ113" s="378"/>
      <c r="AM113" s="505"/>
      <c r="AN113" s="505"/>
      <c r="AO113" s="505"/>
      <c r="AP113" s="505"/>
      <c r="AR113" s="370"/>
      <c r="AT113" s="370"/>
      <c r="AV113" s="506"/>
      <c r="AW113" s="370"/>
      <c r="AX113" s="370"/>
      <c r="AY113" s="370"/>
      <c r="AZ113" s="370"/>
      <c r="BA113" s="507"/>
      <c r="BB113" s="505"/>
      <c r="BC113" s="505"/>
      <c r="BD113" s="370"/>
      <c r="BE113" s="370"/>
      <c r="BF113" s="370"/>
      <c r="BG113" s="370"/>
      <c r="BH113" s="370"/>
      <c r="BI113" s="370"/>
      <c r="BJ113" s="370"/>
      <c r="BK113" s="370"/>
      <c r="BL113" s="370"/>
      <c r="BM113" s="370"/>
      <c r="BN113" s="370"/>
      <c r="BO113" s="370"/>
      <c r="BP113" s="370"/>
      <c r="BQ113" s="370"/>
      <c r="BR113" s="370"/>
      <c r="BS113" s="370"/>
      <c r="BV113" s="508"/>
      <c r="BW113" s="369"/>
      <c r="BX113" s="370"/>
      <c r="BY113" s="370"/>
      <c r="BZ113" s="370"/>
      <c r="CA113" s="370"/>
      <c r="CB113" s="370"/>
      <c r="CC113" s="505"/>
      <c r="CD113" s="505"/>
      <c r="CE113" s="505"/>
      <c r="CF113" s="505"/>
      <c r="CG113" s="505"/>
      <c r="CH113" s="505"/>
      <c r="CI113" s="505"/>
      <c r="CJ113" s="505"/>
      <c r="CK113" s="505"/>
      <c r="CL113" s="505"/>
      <c r="CM113" s="505"/>
    </row>
    <row r="114" customFormat="false" ht="12.75" hidden="false" customHeight="false" outlineLevel="0" collapsed="false">
      <c r="A114" s="500"/>
      <c r="B114" s="500"/>
      <c r="K114" s="363"/>
      <c r="L114" s="501"/>
      <c r="N114" s="502"/>
      <c r="O114" s="502"/>
      <c r="P114" s="371"/>
      <c r="Q114" s="501"/>
      <c r="R114" s="501"/>
      <c r="U114" s="501"/>
      <c r="V114" s="503"/>
      <c r="W114" s="503"/>
      <c r="X114" s="504"/>
      <c r="Y114" s="504"/>
      <c r="Z114" s="504"/>
      <c r="AA114" s="504"/>
      <c r="AB114" s="504"/>
      <c r="AC114" s="504"/>
      <c r="AF114" s="378"/>
      <c r="AG114" s="378"/>
      <c r="AH114" s="378"/>
      <c r="AI114" s="378"/>
      <c r="AJ114" s="378"/>
      <c r="AM114" s="505"/>
      <c r="AN114" s="505"/>
      <c r="AO114" s="505"/>
      <c r="AP114" s="505"/>
      <c r="AR114" s="370"/>
      <c r="AT114" s="370"/>
      <c r="AV114" s="506"/>
      <c r="AW114" s="370"/>
      <c r="AX114" s="370"/>
      <c r="AY114" s="370"/>
      <c r="AZ114" s="370"/>
      <c r="BA114" s="507"/>
      <c r="BB114" s="505"/>
      <c r="BC114" s="505"/>
      <c r="BD114" s="370"/>
      <c r="BE114" s="370"/>
      <c r="BF114" s="370"/>
      <c r="BG114" s="370"/>
      <c r="BH114" s="370"/>
      <c r="BI114" s="370"/>
      <c r="BJ114" s="370"/>
      <c r="BK114" s="370"/>
      <c r="BL114" s="370"/>
      <c r="BM114" s="370"/>
      <c r="BN114" s="370"/>
      <c r="BO114" s="370"/>
      <c r="BP114" s="370"/>
      <c r="BQ114" s="370"/>
      <c r="BR114" s="370"/>
      <c r="BS114" s="370"/>
      <c r="BV114" s="508"/>
      <c r="BW114" s="369"/>
      <c r="BX114" s="370"/>
      <c r="BY114" s="370"/>
      <c r="BZ114" s="370"/>
      <c r="CA114" s="370"/>
      <c r="CB114" s="370"/>
      <c r="CC114" s="505"/>
      <c r="CD114" s="505"/>
      <c r="CE114" s="505"/>
      <c r="CF114" s="505"/>
      <c r="CG114" s="505"/>
      <c r="CH114" s="505"/>
      <c r="CI114" s="505"/>
      <c r="CJ114" s="505"/>
      <c r="CK114" s="505"/>
      <c r="CL114" s="505"/>
      <c r="CM114" s="505"/>
    </row>
    <row r="115" customFormat="false" ht="12.75" hidden="false" customHeight="false" outlineLevel="0" collapsed="false">
      <c r="A115" s="500"/>
      <c r="B115" s="500"/>
      <c r="K115" s="363"/>
      <c r="L115" s="501"/>
      <c r="N115" s="502"/>
      <c r="O115" s="502"/>
      <c r="P115" s="371"/>
      <c r="Q115" s="501"/>
      <c r="R115" s="501"/>
      <c r="U115" s="501"/>
      <c r="V115" s="503"/>
      <c r="W115" s="503"/>
      <c r="X115" s="504"/>
      <c r="Y115" s="504"/>
      <c r="Z115" s="504"/>
      <c r="AA115" s="504"/>
      <c r="AB115" s="504"/>
      <c r="AC115" s="504"/>
      <c r="AF115" s="378"/>
      <c r="AG115" s="378"/>
      <c r="AH115" s="378"/>
      <c r="AI115" s="378"/>
      <c r="AJ115" s="378"/>
      <c r="AM115" s="505"/>
      <c r="AN115" s="505"/>
      <c r="AO115" s="505"/>
      <c r="AP115" s="505"/>
      <c r="AR115" s="370"/>
      <c r="AT115" s="370"/>
      <c r="AV115" s="506"/>
      <c r="AW115" s="370"/>
      <c r="AX115" s="370"/>
      <c r="AY115" s="370"/>
      <c r="AZ115" s="370"/>
      <c r="BA115" s="507"/>
      <c r="BB115" s="505"/>
      <c r="BC115" s="505"/>
      <c r="BD115" s="370"/>
      <c r="BE115" s="370"/>
      <c r="BF115" s="370"/>
      <c r="BG115" s="370"/>
      <c r="BH115" s="370"/>
      <c r="BI115" s="370"/>
      <c r="BJ115" s="370"/>
      <c r="BK115" s="370"/>
      <c r="BL115" s="370"/>
      <c r="BM115" s="370"/>
      <c r="BN115" s="370"/>
      <c r="BO115" s="370"/>
      <c r="BP115" s="370"/>
      <c r="BQ115" s="370"/>
      <c r="BR115" s="370"/>
      <c r="BS115" s="370"/>
      <c r="BV115" s="508"/>
      <c r="BW115" s="369"/>
      <c r="BX115" s="370"/>
      <c r="BY115" s="370"/>
      <c r="BZ115" s="370"/>
      <c r="CA115" s="370"/>
      <c r="CB115" s="370"/>
      <c r="CC115" s="505"/>
      <c r="CD115" s="505"/>
      <c r="CE115" s="505"/>
      <c r="CF115" s="505"/>
      <c r="CG115" s="505"/>
      <c r="CH115" s="505"/>
      <c r="CI115" s="505"/>
      <c r="CJ115" s="505"/>
      <c r="CK115" s="505"/>
      <c r="CL115" s="505"/>
      <c r="CM115" s="505"/>
    </row>
    <row r="116" customFormat="false" ht="12.75" hidden="false" customHeight="false" outlineLevel="0" collapsed="false">
      <c r="A116" s="500"/>
      <c r="B116" s="500"/>
      <c r="K116" s="363"/>
      <c r="L116" s="501"/>
      <c r="N116" s="502"/>
      <c r="O116" s="502"/>
      <c r="P116" s="371"/>
      <c r="Q116" s="501"/>
      <c r="R116" s="501"/>
      <c r="U116" s="501"/>
      <c r="V116" s="503"/>
      <c r="W116" s="503"/>
      <c r="X116" s="504"/>
      <c r="Y116" s="504"/>
      <c r="Z116" s="504"/>
      <c r="AA116" s="504"/>
      <c r="AB116" s="504"/>
      <c r="AC116" s="504"/>
      <c r="AF116" s="378"/>
      <c r="AG116" s="378"/>
      <c r="AH116" s="378"/>
      <c r="AI116" s="378"/>
      <c r="AJ116" s="378"/>
      <c r="AM116" s="505"/>
      <c r="AN116" s="505"/>
      <c r="AO116" s="505"/>
      <c r="AP116" s="505"/>
      <c r="AR116" s="370"/>
      <c r="AT116" s="370"/>
      <c r="AV116" s="506"/>
      <c r="AW116" s="370"/>
      <c r="AX116" s="370"/>
      <c r="AY116" s="370"/>
      <c r="AZ116" s="370"/>
      <c r="BA116" s="507"/>
      <c r="BB116" s="505"/>
      <c r="BC116" s="505"/>
      <c r="BD116" s="370"/>
      <c r="BE116" s="370"/>
      <c r="BF116" s="370"/>
      <c r="BG116" s="370"/>
      <c r="BH116" s="370"/>
      <c r="BI116" s="370"/>
      <c r="BJ116" s="370"/>
      <c r="BK116" s="370"/>
      <c r="BL116" s="370"/>
      <c r="BM116" s="370"/>
      <c r="BN116" s="370"/>
      <c r="BO116" s="370"/>
      <c r="BP116" s="370"/>
      <c r="BQ116" s="370"/>
      <c r="BR116" s="370"/>
      <c r="BS116" s="370"/>
      <c r="BV116" s="508"/>
      <c r="BW116" s="369"/>
      <c r="BX116" s="370"/>
      <c r="BY116" s="370"/>
      <c r="BZ116" s="370"/>
      <c r="CA116" s="370"/>
      <c r="CB116" s="370"/>
      <c r="CC116" s="505"/>
      <c r="CD116" s="505"/>
      <c r="CE116" s="505"/>
      <c r="CF116" s="505"/>
      <c r="CG116" s="505"/>
      <c r="CH116" s="505"/>
      <c r="CI116" s="505"/>
      <c r="CJ116" s="505"/>
      <c r="CK116" s="505"/>
      <c r="CL116" s="505"/>
      <c r="CM116" s="505"/>
    </row>
    <row r="117" customFormat="false" ht="12.75" hidden="false" customHeight="false" outlineLevel="0" collapsed="false">
      <c r="A117" s="500"/>
      <c r="B117" s="500"/>
      <c r="K117" s="363"/>
      <c r="L117" s="501"/>
      <c r="N117" s="502"/>
      <c r="O117" s="502"/>
      <c r="P117" s="371"/>
      <c r="Q117" s="501"/>
      <c r="R117" s="501"/>
      <c r="U117" s="501"/>
      <c r="V117" s="503"/>
      <c r="W117" s="503"/>
      <c r="X117" s="504"/>
      <c r="Y117" s="504"/>
      <c r="Z117" s="504"/>
      <c r="AA117" s="504"/>
      <c r="AB117" s="504"/>
      <c r="AC117" s="504"/>
      <c r="AF117" s="378"/>
      <c r="AG117" s="378"/>
      <c r="AH117" s="378"/>
      <c r="AI117" s="378"/>
      <c r="AJ117" s="378"/>
      <c r="AM117" s="505"/>
      <c r="AN117" s="505"/>
      <c r="AO117" s="505"/>
      <c r="AP117" s="505"/>
      <c r="AR117" s="370"/>
      <c r="AT117" s="370"/>
      <c r="AV117" s="506"/>
      <c r="AW117" s="370"/>
      <c r="AX117" s="370"/>
      <c r="AY117" s="370"/>
      <c r="AZ117" s="370"/>
      <c r="BA117" s="507"/>
      <c r="BB117" s="505"/>
      <c r="BC117" s="505"/>
      <c r="BD117" s="370"/>
      <c r="BE117" s="370"/>
      <c r="BF117" s="370"/>
      <c r="BG117" s="370"/>
      <c r="BH117" s="370"/>
      <c r="BI117" s="370"/>
      <c r="BJ117" s="370"/>
      <c r="BK117" s="370"/>
      <c r="BL117" s="370"/>
      <c r="BM117" s="370"/>
      <c r="BN117" s="370"/>
      <c r="BO117" s="370"/>
      <c r="BP117" s="370"/>
      <c r="BQ117" s="370"/>
      <c r="BR117" s="370"/>
      <c r="BS117" s="370"/>
      <c r="BV117" s="508"/>
      <c r="BW117" s="369"/>
      <c r="BX117" s="370"/>
      <c r="BY117" s="370"/>
      <c r="BZ117" s="370"/>
      <c r="CA117" s="370"/>
      <c r="CB117" s="370"/>
      <c r="CC117" s="505"/>
      <c r="CD117" s="505"/>
      <c r="CE117" s="505"/>
      <c r="CF117" s="505"/>
      <c r="CG117" s="505"/>
      <c r="CH117" s="505"/>
      <c r="CI117" s="505"/>
      <c r="CJ117" s="505"/>
      <c r="CK117" s="505"/>
      <c r="CL117" s="505"/>
      <c r="CM117" s="505"/>
    </row>
    <row r="118" customFormat="false" ht="12.75" hidden="false" customHeight="false" outlineLevel="0" collapsed="false">
      <c r="A118" s="500"/>
      <c r="B118" s="500"/>
      <c r="K118" s="363"/>
      <c r="L118" s="501"/>
      <c r="N118" s="502"/>
      <c r="O118" s="502"/>
      <c r="P118" s="371"/>
      <c r="Q118" s="501"/>
      <c r="R118" s="501"/>
      <c r="U118" s="501"/>
      <c r="V118" s="503"/>
      <c r="W118" s="503"/>
      <c r="X118" s="504"/>
      <c r="Y118" s="504"/>
      <c r="Z118" s="504"/>
      <c r="AA118" s="504"/>
      <c r="AB118" s="504"/>
      <c r="AC118" s="504"/>
      <c r="AF118" s="378"/>
      <c r="AG118" s="378"/>
      <c r="AH118" s="378"/>
      <c r="AI118" s="378"/>
      <c r="AJ118" s="378"/>
      <c r="AM118" s="505"/>
      <c r="AN118" s="505"/>
      <c r="AO118" s="505"/>
      <c r="AP118" s="505"/>
      <c r="AR118" s="370"/>
      <c r="AT118" s="370"/>
      <c r="AV118" s="506"/>
      <c r="AW118" s="370"/>
      <c r="AX118" s="370"/>
      <c r="AY118" s="370"/>
      <c r="AZ118" s="370"/>
      <c r="BA118" s="507"/>
      <c r="BB118" s="505"/>
      <c r="BC118" s="505"/>
      <c r="BD118" s="370"/>
      <c r="BE118" s="370"/>
      <c r="BF118" s="370"/>
      <c r="BG118" s="370"/>
      <c r="BH118" s="370"/>
      <c r="BI118" s="370"/>
      <c r="BJ118" s="370"/>
      <c r="BK118" s="370"/>
      <c r="BL118" s="370"/>
      <c r="BM118" s="370"/>
      <c r="BN118" s="370"/>
      <c r="BO118" s="370"/>
      <c r="BP118" s="370"/>
      <c r="BQ118" s="370"/>
      <c r="BR118" s="370"/>
      <c r="BS118" s="370"/>
      <c r="BV118" s="508"/>
      <c r="BW118" s="369"/>
      <c r="BX118" s="370"/>
      <c r="BY118" s="370"/>
      <c r="BZ118" s="370"/>
      <c r="CA118" s="370"/>
      <c r="CB118" s="370"/>
      <c r="CC118" s="505"/>
      <c r="CD118" s="505"/>
      <c r="CE118" s="505"/>
      <c r="CF118" s="505"/>
      <c r="CG118" s="505"/>
      <c r="CH118" s="505"/>
      <c r="CI118" s="505"/>
      <c r="CJ118" s="505"/>
      <c r="CK118" s="505"/>
      <c r="CL118" s="505"/>
      <c r="CM118" s="505"/>
    </row>
    <row r="119" customFormat="false" ht="12.75" hidden="false" customHeight="false" outlineLevel="0" collapsed="false">
      <c r="A119" s="500"/>
      <c r="B119" s="500"/>
      <c r="K119" s="363"/>
      <c r="L119" s="501"/>
      <c r="N119" s="502"/>
      <c r="O119" s="502"/>
      <c r="P119" s="371"/>
      <c r="Q119" s="501"/>
      <c r="R119" s="501"/>
      <c r="U119" s="501"/>
      <c r="V119" s="503"/>
      <c r="W119" s="503"/>
      <c r="X119" s="504"/>
      <c r="Y119" s="504"/>
      <c r="Z119" s="504"/>
      <c r="AA119" s="504"/>
      <c r="AB119" s="504"/>
      <c r="AC119" s="504"/>
      <c r="AF119" s="378"/>
      <c r="AG119" s="378"/>
      <c r="AH119" s="378"/>
      <c r="AI119" s="378"/>
      <c r="AJ119" s="378"/>
      <c r="AM119" s="505"/>
      <c r="AN119" s="505"/>
      <c r="AO119" s="505"/>
      <c r="AP119" s="505"/>
      <c r="AR119" s="370"/>
      <c r="AT119" s="370"/>
      <c r="AV119" s="506"/>
      <c r="AW119" s="370"/>
      <c r="AX119" s="370"/>
      <c r="AY119" s="370"/>
      <c r="AZ119" s="370"/>
      <c r="BA119" s="507"/>
      <c r="BB119" s="505"/>
      <c r="BC119" s="505"/>
      <c r="BD119" s="370"/>
      <c r="BE119" s="370"/>
      <c r="BF119" s="370"/>
      <c r="BG119" s="370"/>
      <c r="BH119" s="370"/>
      <c r="BI119" s="370"/>
      <c r="BJ119" s="370"/>
      <c r="BK119" s="370"/>
      <c r="BL119" s="370"/>
      <c r="BM119" s="370"/>
      <c r="BN119" s="370"/>
      <c r="BO119" s="370"/>
      <c r="BP119" s="370"/>
      <c r="BQ119" s="370"/>
      <c r="BR119" s="370"/>
      <c r="BS119" s="370"/>
      <c r="BV119" s="508"/>
      <c r="BW119" s="369"/>
      <c r="BX119" s="370"/>
      <c r="BY119" s="370"/>
      <c r="BZ119" s="370"/>
      <c r="CA119" s="370"/>
      <c r="CB119" s="370"/>
      <c r="CC119" s="505"/>
      <c r="CD119" s="505"/>
      <c r="CE119" s="505"/>
      <c r="CF119" s="505"/>
      <c r="CG119" s="505"/>
      <c r="CH119" s="505"/>
      <c r="CI119" s="505"/>
      <c r="CJ119" s="505"/>
      <c r="CK119" s="505"/>
      <c r="CL119" s="505"/>
      <c r="CM119" s="505"/>
    </row>
    <row r="120" customFormat="false" ht="12.75" hidden="false" customHeight="false" outlineLevel="0" collapsed="false">
      <c r="A120" s="500"/>
      <c r="B120" s="500"/>
      <c r="K120" s="363"/>
      <c r="L120" s="501"/>
      <c r="N120" s="502"/>
      <c r="O120" s="502"/>
      <c r="P120" s="371"/>
      <c r="Q120" s="501"/>
      <c r="R120" s="501"/>
      <c r="U120" s="501"/>
      <c r="V120" s="503"/>
      <c r="W120" s="503"/>
      <c r="X120" s="504"/>
      <c r="Y120" s="504"/>
      <c r="Z120" s="504"/>
      <c r="AA120" s="504"/>
      <c r="AB120" s="504"/>
      <c r="AC120" s="504"/>
      <c r="AF120" s="378"/>
      <c r="AG120" s="378"/>
      <c r="AH120" s="378"/>
      <c r="AI120" s="378"/>
      <c r="AJ120" s="378"/>
      <c r="AM120" s="505"/>
      <c r="AN120" s="505"/>
      <c r="AO120" s="505"/>
      <c r="AP120" s="505"/>
      <c r="AR120" s="370"/>
      <c r="AT120" s="370"/>
      <c r="AV120" s="506"/>
      <c r="AW120" s="370"/>
      <c r="AX120" s="370"/>
      <c r="AY120" s="370"/>
      <c r="AZ120" s="370"/>
      <c r="BA120" s="507"/>
      <c r="BB120" s="505"/>
      <c r="BC120" s="505"/>
      <c r="BD120" s="370"/>
      <c r="BE120" s="370"/>
      <c r="BF120" s="370"/>
      <c r="BG120" s="370"/>
      <c r="BH120" s="370"/>
      <c r="BI120" s="370"/>
      <c r="BJ120" s="370"/>
      <c r="BK120" s="370"/>
      <c r="BL120" s="370"/>
      <c r="BM120" s="370"/>
      <c r="BN120" s="370"/>
      <c r="BO120" s="370"/>
      <c r="BP120" s="370"/>
      <c r="BQ120" s="370"/>
      <c r="BR120" s="370"/>
      <c r="BS120" s="370"/>
      <c r="BV120" s="508"/>
      <c r="BW120" s="369"/>
      <c r="BX120" s="370"/>
      <c r="BY120" s="370"/>
      <c r="BZ120" s="370"/>
      <c r="CA120" s="370"/>
      <c r="CB120" s="370"/>
      <c r="CC120" s="505"/>
      <c r="CD120" s="505"/>
      <c r="CE120" s="505"/>
      <c r="CF120" s="505"/>
      <c r="CG120" s="505"/>
      <c r="CH120" s="505"/>
      <c r="CI120" s="505"/>
      <c r="CJ120" s="505"/>
      <c r="CK120" s="505"/>
      <c r="CL120" s="505"/>
      <c r="CM120" s="505"/>
    </row>
    <row r="121" customFormat="false" ht="12.75" hidden="false" customHeight="false" outlineLevel="0" collapsed="false">
      <c r="A121" s="500"/>
      <c r="B121" s="500"/>
      <c r="K121" s="363"/>
      <c r="L121" s="501"/>
      <c r="N121" s="502"/>
      <c r="O121" s="502"/>
      <c r="P121" s="371"/>
      <c r="Q121" s="501"/>
      <c r="R121" s="501"/>
      <c r="U121" s="501"/>
      <c r="V121" s="503"/>
      <c r="W121" s="503"/>
      <c r="X121" s="504"/>
      <c r="Y121" s="504"/>
      <c r="Z121" s="504"/>
      <c r="AA121" s="504"/>
      <c r="AB121" s="504"/>
      <c r="AC121" s="504"/>
      <c r="AF121" s="378"/>
      <c r="AG121" s="378"/>
      <c r="AH121" s="378"/>
      <c r="AI121" s="378"/>
      <c r="AJ121" s="378"/>
      <c r="AM121" s="505"/>
      <c r="AN121" s="505"/>
      <c r="AO121" s="505"/>
      <c r="AP121" s="505"/>
      <c r="AR121" s="370"/>
      <c r="AT121" s="370"/>
      <c r="AV121" s="506"/>
      <c r="AW121" s="370"/>
      <c r="AX121" s="370"/>
      <c r="AY121" s="370"/>
      <c r="AZ121" s="370"/>
      <c r="BA121" s="507"/>
      <c r="BB121" s="505"/>
      <c r="BC121" s="505"/>
      <c r="BD121" s="370"/>
      <c r="BE121" s="370"/>
      <c r="BF121" s="370"/>
      <c r="BG121" s="370"/>
      <c r="BH121" s="370"/>
      <c r="BI121" s="370"/>
      <c r="BJ121" s="370"/>
      <c r="BK121" s="370"/>
      <c r="BL121" s="370"/>
      <c r="BM121" s="370"/>
      <c r="BN121" s="370"/>
      <c r="BO121" s="370"/>
      <c r="BP121" s="370"/>
      <c r="BQ121" s="370"/>
      <c r="BR121" s="370"/>
      <c r="BS121" s="370"/>
      <c r="BV121" s="508"/>
      <c r="BW121" s="369"/>
      <c r="BX121" s="370"/>
      <c r="BY121" s="370"/>
      <c r="BZ121" s="370"/>
      <c r="CA121" s="370"/>
      <c r="CB121" s="370"/>
      <c r="CC121" s="505"/>
      <c r="CD121" s="505"/>
      <c r="CE121" s="505"/>
      <c r="CF121" s="505"/>
      <c r="CG121" s="505"/>
      <c r="CH121" s="505"/>
      <c r="CI121" s="505"/>
      <c r="CJ121" s="505"/>
      <c r="CK121" s="505"/>
      <c r="CL121" s="505"/>
      <c r="CM121" s="505"/>
    </row>
    <row r="122" customFormat="false" ht="12.75" hidden="false" customHeight="false" outlineLevel="0" collapsed="false">
      <c r="A122" s="500"/>
      <c r="B122" s="500"/>
      <c r="K122" s="363"/>
      <c r="L122" s="501"/>
      <c r="N122" s="502"/>
      <c r="O122" s="502"/>
      <c r="P122" s="371"/>
      <c r="Q122" s="501"/>
      <c r="R122" s="501"/>
      <c r="U122" s="501"/>
      <c r="V122" s="503"/>
      <c r="W122" s="503"/>
      <c r="X122" s="504"/>
      <c r="Y122" s="504"/>
      <c r="Z122" s="504"/>
      <c r="AA122" s="504"/>
      <c r="AB122" s="504"/>
      <c r="AC122" s="504"/>
      <c r="AF122" s="378"/>
      <c r="AG122" s="378"/>
      <c r="AH122" s="378"/>
      <c r="AI122" s="378"/>
      <c r="AJ122" s="378"/>
      <c r="AM122" s="505"/>
      <c r="AN122" s="505"/>
      <c r="AO122" s="505"/>
      <c r="AP122" s="505"/>
      <c r="AR122" s="370"/>
      <c r="AT122" s="370"/>
      <c r="AV122" s="506"/>
      <c r="AW122" s="370"/>
      <c r="AX122" s="370"/>
      <c r="AY122" s="370"/>
      <c r="AZ122" s="370"/>
      <c r="BA122" s="507"/>
      <c r="BB122" s="505"/>
      <c r="BC122" s="505"/>
      <c r="BD122" s="370"/>
      <c r="BE122" s="370"/>
      <c r="BF122" s="370"/>
      <c r="BG122" s="370"/>
      <c r="BH122" s="370"/>
      <c r="BI122" s="370"/>
      <c r="BJ122" s="370"/>
      <c r="BK122" s="370"/>
      <c r="BL122" s="370"/>
      <c r="BM122" s="370"/>
      <c r="BN122" s="370"/>
      <c r="BO122" s="370"/>
      <c r="BP122" s="370"/>
      <c r="BQ122" s="370"/>
      <c r="BR122" s="370"/>
      <c r="BS122" s="370"/>
      <c r="BV122" s="508"/>
      <c r="BW122" s="369"/>
      <c r="BX122" s="370"/>
      <c r="BY122" s="370"/>
      <c r="BZ122" s="370"/>
      <c r="CA122" s="370"/>
      <c r="CB122" s="370"/>
      <c r="CC122" s="505"/>
      <c r="CD122" s="505"/>
      <c r="CE122" s="505"/>
      <c r="CF122" s="505"/>
      <c r="CG122" s="505"/>
      <c r="CH122" s="505"/>
      <c r="CI122" s="505"/>
      <c r="CJ122" s="505"/>
      <c r="CK122" s="505"/>
      <c r="CL122" s="505"/>
      <c r="CM122" s="505"/>
    </row>
    <row r="123" customFormat="false" ht="12.75" hidden="false" customHeight="false" outlineLevel="0" collapsed="false">
      <c r="A123" s="500"/>
      <c r="B123" s="500"/>
      <c r="K123" s="363"/>
      <c r="L123" s="501"/>
      <c r="N123" s="502"/>
      <c r="O123" s="502"/>
      <c r="P123" s="371"/>
      <c r="Q123" s="501"/>
      <c r="R123" s="501"/>
      <c r="U123" s="501"/>
      <c r="V123" s="503"/>
      <c r="W123" s="503"/>
      <c r="X123" s="504"/>
      <c r="Y123" s="504"/>
      <c r="Z123" s="504"/>
      <c r="AA123" s="504"/>
      <c r="AB123" s="504"/>
      <c r="AC123" s="504"/>
      <c r="AF123" s="378"/>
      <c r="AG123" s="378"/>
      <c r="AH123" s="378"/>
      <c r="AI123" s="378"/>
      <c r="AJ123" s="378"/>
      <c r="AM123" s="505"/>
      <c r="AN123" s="505"/>
      <c r="AO123" s="505"/>
      <c r="AP123" s="505"/>
      <c r="AR123" s="370"/>
      <c r="AT123" s="370"/>
      <c r="AV123" s="506"/>
      <c r="AW123" s="370"/>
      <c r="AX123" s="370"/>
      <c r="AY123" s="370"/>
      <c r="AZ123" s="370"/>
      <c r="BA123" s="507"/>
      <c r="BB123" s="505"/>
      <c r="BC123" s="505"/>
      <c r="BD123" s="370"/>
      <c r="BE123" s="370"/>
      <c r="BF123" s="370"/>
      <c r="BG123" s="370"/>
      <c r="BH123" s="370"/>
      <c r="BI123" s="370"/>
      <c r="BJ123" s="370"/>
      <c r="BK123" s="370"/>
      <c r="BL123" s="370"/>
      <c r="BM123" s="370"/>
      <c r="BN123" s="370"/>
      <c r="BO123" s="370"/>
      <c r="BP123" s="370"/>
      <c r="BQ123" s="370"/>
      <c r="BR123" s="370"/>
      <c r="BS123" s="370"/>
      <c r="BV123" s="508"/>
      <c r="BW123" s="369"/>
      <c r="BX123" s="370"/>
      <c r="BY123" s="370"/>
      <c r="BZ123" s="370"/>
      <c r="CA123" s="370"/>
      <c r="CB123" s="370"/>
      <c r="CC123" s="505"/>
      <c r="CD123" s="505"/>
      <c r="CE123" s="505"/>
      <c r="CF123" s="505"/>
      <c r="CG123" s="505"/>
      <c r="CH123" s="505"/>
      <c r="CI123" s="505"/>
      <c r="CJ123" s="505"/>
      <c r="CK123" s="505"/>
      <c r="CL123" s="505"/>
      <c r="CM123" s="505"/>
    </row>
    <row r="124" customFormat="false" ht="12.75" hidden="false" customHeight="false" outlineLevel="0" collapsed="false">
      <c r="A124" s="500"/>
      <c r="B124" s="500"/>
      <c r="K124" s="363"/>
      <c r="L124" s="501"/>
      <c r="N124" s="502"/>
      <c r="O124" s="502"/>
      <c r="P124" s="371"/>
      <c r="Q124" s="501"/>
      <c r="R124" s="501"/>
      <c r="U124" s="501"/>
      <c r="V124" s="503"/>
      <c r="W124" s="503"/>
      <c r="X124" s="504"/>
      <c r="Y124" s="504"/>
      <c r="Z124" s="504"/>
      <c r="AA124" s="504"/>
      <c r="AB124" s="504"/>
      <c r="AC124" s="504"/>
      <c r="AF124" s="378"/>
      <c r="AG124" s="378"/>
      <c r="AH124" s="378"/>
      <c r="AI124" s="378"/>
      <c r="AJ124" s="378"/>
      <c r="AM124" s="505"/>
      <c r="AN124" s="505"/>
      <c r="AO124" s="505"/>
      <c r="AP124" s="505"/>
      <c r="AR124" s="370"/>
      <c r="AT124" s="370"/>
      <c r="AV124" s="506"/>
      <c r="AW124" s="370"/>
      <c r="AX124" s="370"/>
      <c r="AY124" s="370"/>
      <c r="AZ124" s="370"/>
      <c r="BA124" s="507"/>
      <c r="BB124" s="505"/>
      <c r="BC124" s="505"/>
      <c r="BD124" s="370"/>
      <c r="BE124" s="370"/>
      <c r="BF124" s="370"/>
      <c r="BG124" s="370"/>
      <c r="BH124" s="370"/>
      <c r="BI124" s="370"/>
      <c r="BJ124" s="370"/>
      <c r="BK124" s="370"/>
      <c r="BL124" s="370"/>
      <c r="BM124" s="370"/>
      <c r="BN124" s="370"/>
      <c r="BO124" s="370"/>
      <c r="BP124" s="370"/>
      <c r="BQ124" s="370"/>
      <c r="BR124" s="370"/>
      <c r="BS124" s="370"/>
      <c r="BV124" s="508"/>
      <c r="BW124" s="369"/>
      <c r="BX124" s="370"/>
      <c r="BY124" s="370"/>
      <c r="BZ124" s="370"/>
      <c r="CA124" s="370"/>
      <c r="CB124" s="370"/>
      <c r="CC124" s="505"/>
      <c r="CD124" s="505"/>
      <c r="CE124" s="505"/>
      <c r="CF124" s="505"/>
      <c r="CG124" s="505"/>
      <c r="CH124" s="505"/>
      <c r="CI124" s="505"/>
      <c r="CJ124" s="505"/>
      <c r="CK124" s="505"/>
      <c r="CL124" s="505"/>
      <c r="CM124" s="505"/>
    </row>
    <row r="125" customFormat="false" ht="12.75" hidden="false" customHeight="false" outlineLevel="0" collapsed="false">
      <c r="A125" s="500"/>
      <c r="B125" s="500"/>
      <c r="K125" s="363"/>
      <c r="L125" s="501"/>
      <c r="N125" s="502"/>
      <c r="O125" s="502"/>
      <c r="P125" s="371"/>
      <c r="Q125" s="501"/>
      <c r="R125" s="501"/>
      <c r="U125" s="501"/>
      <c r="V125" s="503"/>
      <c r="W125" s="503"/>
      <c r="X125" s="504"/>
      <c r="Y125" s="504"/>
      <c r="Z125" s="504"/>
      <c r="AA125" s="504"/>
      <c r="AB125" s="504"/>
      <c r="AC125" s="504"/>
      <c r="AF125" s="378"/>
      <c r="AG125" s="378"/>
      <c r="AH125" s="378"/>
      <c r="AI125" s="378"/>
      <c r="AJ125" s="378"/>
      <c r="AM125" s="505"/>
      <c r="AN125" s="505"/>
      <c r="AO125" s="505"/>
      <c r="AP125" s="505"/>
      <c r="AR125" s="370"/>
      <c r="AT125" s="370"/>
      <c r="AV125" s="506"/>
      <c r="AW125" s="370"/>
      <c r="AX125" s="370"/>
      <c r="AY125" s="370"/>
      <c r="AZ125" s="370"/>
      <c r="BA125" s="507"/>
      <c r="BB125" s="505"/>
      <c r="BC125" s="505"/>
      <c r="BD125" s="370"/>
      <c r="BE125" s="370"/>
      <c r="BF125" s="370"/>
      <c r="BG125" s="370"/>
      <c r="BH125" s="370"/>
      <c r="BI125" s="370"/>
      <c r="BJ125" s="370"/>
      <c r="BK125" s="370"/>
      <c r="BL125" s="370"/>
      <c r="BM125" s="370"/>
      <c r="BN125" s="370"/>
      <c r="BO125" s="370"/>
      <c r="BP125" s="370"/>
      <c r="BQ125" s="370"/>
      <c r="BR125" s="370"/>
      <c r="BS125" s="370"/>
      <c r="BV125" s="508"/>
      <c r="BW125" s="369"/>
      <c r="BX125" s="370"/>
      <c r="BY125" s="370"/>
      <c r="BZ125" s="370"/>
      <c r="CA125" s="370"/>
      <c r="CB125" s="370"/>
      <c r="CC125" s="505"/>
      <c r="CD125" s="505"/>
      <c r="CE125" s="505"/>
      <c r="CF125" s="505"/>
      <c r="CG125" s="505"/>
      <c r="CH125" s="505"/>
      <c r="CI125" s="505"/>
      <c r="CJ125" s="505"/>
      <c r="CK125" s="505"/>
      <c r="CL125" s="505"/>
      <c r="CM125" s="505"/>
    </row>
    <row r="126" customFormat="false" ht="12.75" hidden="false" customHeight="false" outlineLevel="0" collapsed="false">
      <c r="A126" s="500"/>
      <c r="B126" s="500"/>
      <c r="K126" s="363"/>
      <c r="L126" s="501"/>
      <c r="N126" s="502"/>
      <c r="O126" s="502"/>
      <c r="P126" s="371"/>
      <c r="Q126" s="501"/>
      <c r="R126" s="501"/>
      <c r="U126" s="501"/>
      <c r="V126" s="503"/>
      <c r="W126" s="503"/>
      <c r="X126" s="504"/>
      <c r="Y126" s="504"/>
      <c r="Z126" s="504"/>
      <c r="AA126" s="504"/>
      <c r="AB126" s="504"/>
      <c r="AC126" s="504"/>
      <c r="AF126" s="378"/>
      <c r="AG126" s="378"/>
      <c r="AH126" s="378"/>
      <c r="AI126" s="378"/>
      <c r="AJ126" s="378"/>
      <c r="AM126" s="505"/>
      <c r="AN126" s="505"/>
      <c r="AO126" s="505"/>
      <c r="AP126" s="505"/>
      <c r="AR126" s="370"/>
      <c r="AT126" s="370"/>
      <c r="AV126" s="506"/>
      <c r="AW126" s="370"/>
      <c r="AX126" s="370"/>
      <c r="AY126" s="370"/>
      <c r="AZ126" s="370"/>
      <c r="BA126" s="507"/>
      <c r="BB126" s="505"/>
      <c r="BC126" s="505"/>
      <c r="BD126" s="370"/>
      <c r="BE126" s="370"/>
      <c r="BF126" s="370"/>
      <c r="BG126" s="370"/>
      <c r="BH126" s="370"/>
      <c r="BI126" s="370"/>
      <c r="BJ126" s="370"/>
      <c r="BK126" s="370"/>
      <c r="BL126" s="370"/>
      <c r="BM126" s="370"/>
      <c r="BN126" s="370"/>
      <c r="BO126" s="370"/>
      <c r="BP126" s="370"/>
      <c r="BQ126" s="370"/>
      <c r="BR126" s="370"/>
      <c r="BS126" s="370"/>
      <c r="BV126" s="508"/>
      <c r="BW126" s="369"/>
      <c r="BX126" s="370"/>
      <c r="BY126" s="370"/>
      <c r="BZ126" s="370"/>
      <c r="CA126" s="370"/>
      <c r="CB126" s="370"/>
      <c r="CC126" s="505"/>
      <c r="CD126" s="505"/>
      <c r="CE126" s="505"/>
      <c r="CF126" s="505"/>
      <c r="CG126" s="505"/>
      <c r="CH126" s="505"/>
      <c r="CI126" s="505"/>
      <c r="CJ126" s="505"/>
      <c r="CK126" s="505"/>
      <c r="CL126" s="505"/>
      <c r="CM126" s="505"/>
    </row>
    <row r="127" customFormat="false" ht="12.75" hidden="false" customHeight="false" outlineLevel="0" collapsed="false">
      <c r="A127" s="500"/>
      <c r="B127" s="500"/>
      <c r="K127" s="363"/>
      <c r="L127" s="501"/>
      <c r="N127" s="502"/>
      <c r="O127" s="502"/>
      <c r="P127" s="371"/>
      <c r="Q127" s="501"/>
      <c r="R127" s="501"/>
      <c r="U127" s="501"/>
      <c r="V127" s="503"/>
      <c r="W127" s="503"/>
      <c r="X127" s="504"/>
      <c r="Y127" s="504"/>
      <c r="Z127" s="504"/>
      <c r="AA127" s="504"/>
      <c r="AB127" s="504"/>
      <c r="AC127" s="504"/>
      <c r="AF127" s="378"/>
      <c r="AG127" s="378"/>
      <c r="AH127" s="378"/>
      <c r="AI127" s="378"/>
      <c r="AJ127" s="378"/>
      <c r="AM127" s="505"/>
      <c r="AN127" s="505"/>
      <c r="AO127" s="505"/>
      <c r="AP127" s="505"/>
      <c r="AR127" s="370"/>
      <c r="AT127" s="370"/>
      <c r="AV127" s="506"/>
      <c r="AW127" s="370"/>
      <c r="AX127" s="370"/>
      <c r="AY127" s="370"/>
      <c r="AZ127" s="370"/>
      <c r="BA127" s="507"/>
      <c r="BB127" s="505"/>
      <c r="BC127" s="505"/>
      <c r="BD127" s="370"/>
      <c r="BE127" s="370"/>
      <c r="BF127" s="370"/>
      <c r="BG127" s="370"/>
      <c r="BH127" s="370"/>
      <c r="BI127" s="370"/>
      <c r="BJ127" s="370"/>
      <c r="BK127" s="370"/>
      <c r="BL127" s="370"/>
      <c r="BM127" s="370"/>
      <c r="BN127" s="370"/>
      <c r="BO127" s="370"/>
      <c r="BP127" s="370"/>
      <c r="BQ127" s="370"/>
      <c r="BR127" s="370"/>
      <c r="BS127" s="370"/>
      <c r="BV127" s="508"/>
      <c r="BW127" s="369"/>
      <c r="BX127" s="370"/>
      <c r="BY127" s="370"/>
      <c r="BZ127" s="370"/>
      <c r="CA127" s="370"/>
      <c r="CB127" s="370"/>
      <c r="CC127" s="505"/>
      <c r="CD127" s="505"/>
      <c r="CE127" s="505"/>
      <c r="CF127" s="505"/>
      <c r="CG127" s="505"/>
      <c r="CH127" s="505"/>
      <c r="CI127" s="505"/>
      <c r="CJ127" s="505"/>
      <c r="CK127" s="505"/>
      <c r="CL127" s="505"/>
      <c r="CM127" s="505"/>
    </row>
    <row r="128" customFormat="false" ht="12.75" hidden="false" customHeight="false" outlineLevel="0" collapsed="false">
      <c r="A128" s="500"/>
      <c r="B128" s="500"/>
      <c r="K128" s="363"/>
      <c r="L128" s="501"/>
      <c r="N128" s="502"/>
      <c r="O128" s="502"/>
      <c r="P128" s="371"/>
      <c r="Q128" s="501"/>
      <c r="R128" s="501"/>
      <c r="U128" s="501"/>
      <c r="V128" s="503"/>
      <c r="W128" s="503"/>
      <c r="X128" s="504"/>
      <c r="Y128" s="504"/>
      <c r="Z128" s="504"/>
      <c r="AA128" s="504"/>
      <c r="AB128" s="504"/>
      <c r="AC128" s="504"/>
      <c r="AF128" s="378"/>
      <c r="AG128" s="378"/>
      <c r="AH128" s="378"/>
      <c r="AI128" s="378"/>
      <c r="AJ128" s="378"/>
      <c r="AM128" s="505"/>
      <c r="AN128" s="505"/>
      <c r="AO128" s="505"/>
      <c r="AP128" s="505"/>
      <c r="AR128" s="370"/>
      <c r="AT128" s="370"/>
      <c r="AV128" s="506"/>
      <c r="AW128" s="370"/>
      <c r="AX128" s="370"/>
      <c r="AY128" s="370"/>
      <c r="AZ128" s="370"/>
      <c r="BA128" s="507"/>
      <c r="BB128" s="505"/>
      <c r="BC128" s="505"/>
      <c r="BD128" s="370"/>
      <c r="BE128" s="370"/>
      <c r="BF128" s="370"/>
      <c r="BG128" s="370"/>
      <c r="BH128" s="370"/>
      <c r="BI128" s="370"/>
      <c r="BJ128" s="370"/>
      <c r="BK128" s="370"/>
      <c r="BL128" s="370"/>
      <c r="BM128" s="370"/>
      <c r="BN128" s="370"/>
      <c r="BO128" s="370"/>
      <c r="BP128" s="370"/>
      <c r="BQ128" s="370"/>
      <c r="BR128" s="370"/>
      <c r="BS128" s="370"/>
      <c r="BV128" s="508"/>
      <c r="BW128" s="369"/>
      <c r="BX128" s="370"/>
      <c r="BY128" s="370"/>
      <c r="BZ128" s="370"/>
      <c r="CA128" s="370"/>
      <c r="CB128" s="370"/>
      <c r="CC128" s="505"/>
      <c r="CD128" s="505"/>
      <c r="CE128" s="505"/>
      <c r="CF128" s="505"/>
      <c r="CG128" s="505"/>
      <c r="CH128" s="505"/>
      <c r="CI128" s="505"/>
      <c r="CJ128" s="505"/>
      <c r="CK128" s="505"/>
      <c r="CL128" s="505"/>
      <c r="CM128" s="505"/>
    </row>
    <row r="129" customFormat="false" ht="12.75" hidden="false" customHeight="false" outlineLevel="0" collapsed="false">
      <c r="A129" s="500"/>
      <c r="B129" s="500"/>
      <c r="K129" s="363"/>
      <c r="L129" s="501"/>
      <c r="N129" s="502"/>
      <c r="O129" s="502"/>
      <c r="P129" s="371"/>
      <c r="Q129" s="501"/>
      <c r="R129" s="501"/>
      <c r="U129" s="501"/>
      <c r="V129" s="503"/>
      <c r="W129" s="503"/>
      <c r="X129" s="504"/>
      <c r="Y129" s="504"/>
      <c r="Z129" s="504"/>
      <c r="AA129" s="504"/>
      <c r="AB129" s="504"/>
      <c r="AC129" s="504"/>
      <c r="AF129" s="378"/>
      <c r="AG129" s="378"/>
      <c r="AH129" s="378"/>
      <c r="AI129" s="378"/>
      <c r="AJ129" s="378"/>
      <c r="AM129" s="505"/>
      <c r="AN129" s="505"/>
      <c r="AO129" s="505"/>
      <c r="AP129" s="505"/>
      <c r="AR129" s="370"/>
      <c r="AT129" s="370"/>
      <c r="AV129" s="506"/>
      <c r="AW129" s="370"/>
      <c r="AX129" s="370"/>
      <c r="AY129" s="370"/>
      <c r="AZ129" s="370"/>
      <c r="BA129" s="507"/>
      <c r="BB129" s="505"/>
      <c r="BC129" s="505"/>
      <c r="BD129" s="370"/>
      <c r="BE129" s="370"/>
      <c r="BF129" s="370"/>
      <c r="BG129" s="370"/>
      <c r="BH129" s="370"/>
      <c r="BI129" s="370"/>
      <c r="BJ129" s="370"/>
      <c r="BK129" s="370"/>
      <c r="BL129" s="370"/>
      <c r="BM129" s="370"/>
      <c r="BN129" s="370"/>
      <c r="BO129" s="370"/>
      <c r="BP129" s="370"/>
      <c r="BQ129" s="370"/>
      <c r="BR129" s="370"/>
      <c r="BS129" s="370"/>
      <c r="BV129" s="508"/>
      <c r="BW129" s="369"/>
      <c r="BX129" s="370"/>
      <c r="BY129" s="370"/>
      <c r="BZ129" s="370"/>
      <c r="CA129" s="370"/>
      <c r="CB129" s="370"/>
      <c r="CC129" s="505"/>
      <c r="CD129" s="505"/>
      <c r="CE129" s="505"/>
      <c r="CF129" s="505"/>
      <c r="CG129" s="505"/>
      <c r="CH129" s="505"/>
      <c r="CI129" s="505"/>
      <c r="CJ129" s="505"/>
      <c r="CK129" s="505"/>
      <c r="CL129" s="505"/>
      <c r="CM129" s="505"/>
    </row>
    <row r="130" customFormat="false" ht="12.75" hidden="false" customHeight="false" outlineLevel="0" collapsed="false">
      <c r="A130" s="500"/>
      <c r="B130" s="500"/>
      <c r="K130" s="363"/>
      <c r="L130" s="501"/>
      <c r="N130" s="502"/>
      <c r="O130" s="502"/>
      <c r="P130" s="371"/>
      <c r="Q130" s="501"/>
      <c r="R130" s="501"/>
      <c r="U130" s="501"/>
      <c r="V130" s="503"/>
      <c r="W130" s="503"/>
      <c r="X130" s="504"/>
      <c r="Y130" s="504"/>
      <c r="Z130" s="504"/>
      <c r="AA130" s="504"/>
      <c r="AB130" s="504"/>
      <c r="AC130" s="504"/>
      <c r="AF130" s="378"/>
      <c r="AG130" s="378"/>
      <c r="AH130" s="378"/>
      <c r="AI130" s="378"/>
      <c r="AJ130" s="378"/>
      <c r="AM130" s="505"/>
      <c r="AN130" s="505"/>
      <c r="AO130" s="505"/>
      <c r="AP130" s="505"/>
      <c r="AR130" s="370"/>
      <c r="AT130" s="370"/>
      <c r="AV130" s="506"/>
      <c r="AW130" s="370"/>
      <c r="AX130" s="370"/>
      <c r="AY130" s="370"/>
      <c r="AZ130" s="370"/>
      <c r="BA130" s="507"/>
      <c r="BB130" s="505"/>
      <c r="BC130" s="505"/>
      <c r="BD130" s="370"/>
      <c r="BE130" s="370"/>
      <c r="BF130" s="370"/>
      <c r="BG130" s="370"/>
      <c r="BH130" s="370"/>
      <c r="BI130" s="370"/>
      <c r="BJ130" s="370"/>
      <c r="BK130" s="370"/>
      <c r="BL130" s="370"/>
      <c r="BM130" s="370"/>
      <c r="BN130" s="370"/>
      <c r="BO130" s="370"/>
      <c r="BP130" s="370"/>
      <c r="BQ130" s="370"/>
      <c r="BR130" s="370"/>
      <c r="BS130" s="370"/>
      <c r="BV130" s="508"/>
      <c r="BW130" s="369"/>
      <c r="BX130" s="370"/>
      <c r="BY130" s="370"/>
      <c r="BZ130" s="370"/>
      <c r="CA130" s="370"/>
      <c r="CB130" s="370"/>
      <c r="CC130" s="505"/>
      <c r="CD130" s="505"/>
      <c r="CE130" s="505"/>
      <c r="CF130" s="505"/>
      <c r="CG130" s="505"/>
      <c r="CH130" s="505"/>
      <c r="CI130" s="505"/>
      <c r="CJ130" s="505"/>
      <c r="CK130" s="505"/>
      <c r="CL130" s="505"/>
      <c r="CM130" s="505"/>
    </row>
    <row r="131" customFormat="false" ht="12.75" hidden="false" customHeight="false" outlineLevel="0" collapsed="false">
      <c r="A131" s="500"/>
      <c r="B131" s="500"/>
      <c r="K131" s="363"/>
      <c r="L131" s="501"/>
      <c r="N131" s="502"/>
      <c r="O131" s="502"/>
      <c r="P131" s="371"/>
      <c r="Q131" s="501"/>
      <c r="R131" s="501"/>
      <c r="U131" s="501"/>
      <c r="V131" s="503"/>
      <c r="W131" s="503"/>
      <c r="X131" s="504"/>
      <c r="Y131" s="504"/>
      <c r="Z131" s="504"/>
      <c r="AA131" s="504"/>
      <c r="AB131" s="504"/>
      <c r="AC131" s="504"/>
      <c r="AF131" s="378"/>
      <c r="AG131" s="378"/>
      <c r="AH131" s="378"/>
      <c r="AI131" s="378"/>
      <c r="AJ131" s="378"/>
      <c r="AM131" s="505"/>
      <c r="AN131" s="505"/>
      <c r="AO131" s="505"/>
      <c r="AP131" s="505"/>
      <c r="AR131" s="370"/>
      <c r="AT131" s="370"/>
      <c r="AV131" s="506"/>
      <c r="AW131" s="370"/>
      <c r="AX131" s="370"/>
      <c r="AY131" s="370"/>
      <c r="AZ131" s="370"/>
      <c r="BA131" s="507"/>
      <c r="BB131" s="505"/>
      <c r="BC131" s="505"/>
      <c r="BD131" s="370"/>
      <c r="BE131" s="370"/>
      <c r="BF131" s="370"/>
      <c r="BG131" s="370"/>
      <c r="BH131" s="370"/>
      <c r="BI131" s="370"/>
      <c r="BJ131" s="370"/>
      <c r="BK131" s="370"/>
      <c r="BL131" s="370"/>
      <c r="BM131" s="370"/>
      <c r="BN131" s="370"/>
      <c r="BO131" s="370"/>
      <c r="BP131" s="370"/>
      <c r="BQ131" s="370"/>
      <c r="BR131" s="370"/>
      <c r="BS131" s="370"/>
      <c r="BV131" s="508"/>
      <c r="BW131" s="369"/>
      <c r="BX131" s="370"/>
      <c r="BY131" s="370"/>
      <c r="BZ131" s="370"/>
      <c r="CA131" s="370"/>
      <c r="CB131" s="370"/>
      <c r="CC131" s="505"/>
      <c r="CD131" s="505"/>
      <c r="CE131" s="505"/>
      <c r="CF131" s="505"/>
      <c r="CG131" s="505"/>
      <c r="CH131" s="505"/>
      <c r="CI131" s="505"/>
      <c r="CJ131" s="505"/>
      <c r="CK131" s="505"/>
      <c r="CL131" s="505"/>
      <c r="CM131" s="505"/>
    </row>
    <row r="132" customFormat="false" ht="12.75" hidden="false" customHeight="false" outlineLevel="0" collapsed="false">
      <c r="A132" s="500"/>
      <c r="B132" s="500"/>
      <c r="K132" s="363"/>
      <c r="L132" s="501"/>
      <c r="N132" s="502"/>
      <c r="O132" s="502"/>
      <c r="P132" s="371"/>
      <c r="Q132" s="501"/>
      <c r="R132" s="501"/>
      <c r="U132" s="501"/>
      <c r="V132" s="503"/>
      <c r="W132" s="503"/>
      <c r="X132" s="504"/>
      <c r="Y132" s="504"/>
      <c r="Z132" s="504"/>
      <c r="AA132" s="504"/>
      <c r="AB132" s="504"/>
      <c r="AC132" s="504"/>
      <c r="AF132" s="378"/>
      <c r="AG132" s="378"/>
      <c r="AH132" s="378"/>
      <c r="AI132" s="378"/>
      <c r="AJ132" s="378"/>
      <c r="AM132" s="505"/>
      <c r="AN132" s="505"/>
      <c r="AO132" s="505"/>
      <c r="AP132" s="505"/>
      <c r="AR132" s="370"/>
      <c r="AT132" s="370"/>
      <c r="AV132" s="506"/>
      <c r="AW132" s="370"/>
      <c r="AX132" s="370"/>
      <c r="AY132" s="370"/>
      <c r="AZ132" s="370"/>
      <c r="BA132" s="507"/>
      <c r="BB132" s="505"/>
      <c r="BC132" s="505"/>
      <c r="BD132" s="370"/>
      <c r="BE132" s="370"/>
      <c r="BF132" s="370"/>
      <c r="BG132" s="370"/>
      <c r="BH132" s="370"/>
      <c r="BI132" s="370"/>
      <c r="BJ132" s="370"/>
      <c r="BK132" s="370"/>
      <c r="BL132" s="370"/>
      <c r="BM132" s="370"/>
      <c r="BN132" s="370"/>
      <c r="BO132" s="370"/>
      <c r="BP132" s="370"/>
      <c r="BQ132" s="370"/>
      <c r="BR132" s="370"/>
      <c r="BS132" s="370"/>
      <c r="BV132" s="508"/>
      <c r="BW132" s="369"/>
      <c r="BX132" s="370"/>
      <c r="BY132" s="370"/>
      <c r="BZ132" s="370"/>
      <c r="CA132" s="370"/>
      <c r="CB132" s="370"/>
      <c r="CC132" s="505"/>
      <c r="CD132" s="505"/>
      <c r="CE132" s="505"/>
      <c r="CF132" s="505"/>
      <c r="CG132" s="505"/>
      <c r="CH132" s="505"/>
      <c r="CI132" s="505"/>
      <c r="CJ132" s="505"/>
      <c r="CK132" s="505"/>
      <c r="CL132" s="505"/>
      <c r="CM132" s="505"/>
    </row>
    <row r="133" customFormat="false" ht="12.75" hidden="false" customHeight="false" outlineLevel="0" collapsed="false">
      <c r="A133" s="500"/>
      <c r="B133" s="500"/>
      <c r="K133" s="363"/>
      <c r="L133" s="501"/>
      <c r="N133" s="502"/>
      <c r="O133" s="502"/>
      <c r="P133" s="371"/>
      <c r="Q133" s="501"/>
      <c r="R133" s="501"/>
      <c r="U133" s="501"/>
      <c r="V133" s="503"/>
      <c r="W133" s="503"/>
      <c r="X133" s="504"/>
      <c r="Y133" s="504"/>
      <c r="Z133" s="504"/>
      <c r="AA133" s="504"/>
      <c r="AB133" s="504"/>
      <c r="AC133" s="504"/>
      <c r="AF133" s="378"/>
      <c r="AG133" s="378"/>
      <c r="AH133" s="378"/>
      <c r="AI133" s="378"/>
      <c r="AJ133" s="378"/>
      <c r="AM133" s="505"/>
      <c r="AN133" s="505"/>
      <c r="AO133" s="505"/>
      <c r="AP133" s="505"/>
      <c r="AR133" s="370"/>
      <c r="AT133" s="370"/>
      <c r="AV133" s="506"/>
      <c r="AW133" s="370"/>
      <c r="AX133" s="370"/>
      <c r="AY133" s="370"/>
      <c r="AZ133" s="370"/>
      <c r="BA133" s="507"/>
      <c r="BB133" s="505"/>
      <c r="BC133" s="505"/>
      <c r="BD133" s="370"/>
      <c r="BE133" s="370"/>
      <c r="BF133" s="370"/>
      <c r="BG133" s="370"/>
      <c r="BH133" s="370"/>
      <c r="BI133" s="370"/>
      <c r="BJ133" s="370"/>
      <c r="BK133" s="370"/>
      <c r="BL133" s="370"/>
      <c r="BM133" s="370"/>
      <c r="BN133" s="370"/>
      <c r="BO133" s="370"/>
      <c r="BP133" s="370"/>
      <c r="BQ133" s="370"/>
      <c r="BR133" s="370"/>
      <c r="BS133" s="370"/>
      <c r="BV133" s="508"/>
      <c r="BW133" s="369"/>
      <c r="BX133" s="370"/>
      <c r="BY133" s="370"/>
      <c r="BZ133" s="370"/>
      <c r="CA133" s="370"/>
      <c r="CB133" s="370"/>
      <c r="CC133" s="505"/>
      <c r="CD133" s="505"/>
      <c r="CE133" s="505"/>
      <c r="CF133" s="505"/>
      <c r="CG133" s="505"/>
      <c r="CH133" s="505"/>
      <c r="CI133" s="505"/>
      <c r="CJ133" s="505"/>
      <c r="CK133" s="505"/>
      <c r="CL133" s="505"/>
      <c r="CM133" s="505"/>
    </row>
    <row r="134" customFormat="false" ht="12.75" hidden="false" customHeight="false" outlineLevel="0" collapsed="false">
      <c r="A134" s="500"/>
      <c r="B134" s="500"/>
      <c r="K134" s="363"/>
      <c r="L134" s="501"/>
      <c r="N134" s="502"/>
      <c r="O134" s="502"/>
      <c r="P134" s="371"/>
      <c r="Q134" s="501"/>
      <c r="R134" s="501"/>
      <c r="U134" s="501"/>
      <c r="V134" s="503"/>
      <c r="W134" s="503"/>
      <c r="X134" s="504"/>
      <c r="Y134" s="504"/>
      <c r="Z134" s="504"/>
      <c r="AA134" s="504"/>
      <c r="AB134" s="504"/>
      <c r="AC134" s="504"/>
      <c r="AF134" s="378"/>
      <c r="AG134" s="378"/>
      <c r="AH134" s="378"/>
      <c r="AI134" s="378"/>
      <c r="AJ134" s="378"/>
      <c r="AM134" s="505"/>
      <c r="AN134" s="505"/>
      <c r="AO134" s="505"/>
      <c r="AP134" s="505"/>
      <c r="AR134" s="370"/>
      <c r="AT134" s="370"/>
      <c r="AV134" s="506"/>
      <c r="AW134" s="370"/>
      <c r="AX134" s="370"/>
      <c r="AY134" s="370"/>
      <c r="AZ134" s="370"/>
      <c r="BA134" s="507"/>
      <c r="BB134" s="505"/>
      <c r="BC134" s="505"/>
      <c r="BD134" s="370"/>
      <c r="BE134" s="370"/>
      <c r="BF134" s="370"/>
      <c r="BG134" s="370"/>
      <c r="BH134" s="370"/>
      <c r="BI134" s="370"/>
      <c r="BJ134" s="370"/>
      <c r="BK134" s="370"/>
      <c r="BL134" s="370"/>
      <c r="BM134" s="370"/>
      <c r="BN134" s="370"/>
      <c r="BO134" s="370"/>
      <c r="BP134" s="370"/>
      <c r="BQ134" s="370"/>
      <c r="BR134" s="370"/>
      <c r="BS134" s="370"/>
      <c r="BV134" s="508"/>
      <c r="BW134" s="369"/>
      <c r="BX134" s="370"/>
      <c r="BY134" s="370"/>
      <c r="BZ134" s="370"/>
      <c r="CA134" s="370"/>
      <c r="CB134" s="370"/>
      <c r="CC134" s="505"/>
      <c r="CD134" s="505"/>
      <c r="CE134" s="505"/>
      <c r="CF134" s="505"/>
      <c r="CG134" s="505"/>
      <c r="CH134" s="505"/>
      <c r="CI134" s="505"/>
      <c r="CJ134" s="505"/>
      <c r="CK134" s="505"/>
      <c r="CL134" s="505"/>
      <c r="CM134" s="505"/>
    </row>
    <row r="135" customFormat="false" ht="12.75" hidden="false" customHeight="false" outlineLevel="0" collapsed="false">
      <c r="A135" s="500"/>
      <c r="B135" s="500"/>
      <c r="K135" s="363"/>
      <c r="L135" s="501"/>
      <c r="N135" s="502"/>
      <c r="O135" s="502"/>
      <c r="P135" s="371"/>
      <c r="Q135" s="501"/>
      <c r="R135" s="501"/>
      <c r="U135" s="501"/>
      <c r="V135" s="503"/>
      <c r="W135" s="503"/>
      <c r="X135" s="504"/>
      <c r="Y135" s="504"/>
      <c r="Z135" s="504"/>
      <c r="AA135" s="504"/>
      <c r="AB135" s="504"/>
      <c r="AC135" s="504"/>
      <c r="AF135" s="378"/>
      <c r="AG135" s="378"/>
      <c r="AH135" s="378"/>
      <c r="AI135" s="378"/>
      <c r="AJ135" s="378"/>
      <c r="AM135" s="505"/>
      <c r="AN135" s="505"/>
      <c r="AO135" s="505"/>
      <c r="AP135" s="505"/>
      <c r="AR135" s="370"/>
      <c r="AT135" s="370"/>
      <c r="AV135" s="506"/>
      <c r="AW135" s="370"/>
      <c r="AX135" s="370"/>
      <c r="AY135" s="370"/>
      <c r="AZ135" s="370"/>
      <c r="BA135" s="507"/>
      <c r="BB135" s="505"/>
      <c r="BC135" s="505"/>
      <c r="BD135" s="370"/>
      <c r="BE135" s="370"/>
      <c r="BF135" s="370"/>
      <c r="BG135" s="370"/>
      <c r="BH135" s="370"/>
      <c r="BI135" s="370"/>
      <c r="BJ135" s="370"/>
      <c r="BK135" s="370"/>
      <c r="BL135" s="370"/>
      <c r="BM135" s="370"/>
      <c r="BN135" s="370"/>
      <c r="BO135" s="370"/>
      <c r="BP135" s="370"/>
      <c r="BQ135" s="370"/>
      <c r="BR135" s="370"/>
      <c r="BS135" s="370"/>
      <c r="BV135" s="508"/>
      <c r="BW135" s="369"/>
      <c r="BX135" s="370"/>
      <c r="BY135" s="370"/>
      <c r="BZ135" s="370"/>
      <c r="CA135" s="370"/>
      <c r="CB135" s="370"/>
      <c r="CC135" s="505"/>
      <c r="CD135" s="505"/>
      <c r="CE135" s="505"/>
      <c r="CF135" s="505"/>
      <c r="CG135" s="505"/>
      <c r="CH135" s="505"/>
      <c r="CI135" s="505"/>
      <c r="CJ135" s="505"/>
      <c r="CK135" s="505"/>
      <c r="CL135" s="505"/>
      <c r="CM135" s="505"/>
    </row>
    <row r="136" customFormat="false" ht="12.75" hidden="false" customHeight="false" outlineLevel="0" collapsed="false">
      <c r="A136" s="500"/>
      <c r="B136" s="500"/>
      <c r="K136" s="363"/>
      <c r="L136" s="501"/>
      <c r="N136" s="502"/>
      <c r="O136" s="502"/>
      <c r="P136" s="371"/>
      <c r="Q136" s="501"/>
      <c r="R136" s="501"/>
      <c r="U136" s="501"/>
      <c r="V136" s="503"/>
      <c r="W136" s="503"/>
      <c r="X136" s="504"/>
      <c r="Y136" s="504"/>
      <c r="Z136" s="504"/>
      <c r="AA136" s="504"/>
      <c r="AB136" s="504"/>
      <c r="AC136" s="504"/>
      <c r="AF136" s="378"/>
      <c r="AG136" s="378"/>
      <c r="AH136" s="378"/>
      <c r="AI136" s="378"/>
      <c r="AJ136" s="378"/>
      <c r="AM136" s="505"/>
      <c r="AN136" s="505"/>
      <c r="AO136" s="505"/>
      <c r="AP136" s="505"/>
      <c r="AR136" s="370"/>
      <c r="AT136" s="370"/>
      <c r="AV136" s="506"/>
      <c r="AW136" s="370"/>
      <c r="AX136" s="370"/>
      <c r="AY136" s="370"/>
      <c r="AZ136" s="370"/>
      <c r="BA136" s="507"/>
      <c r="BB136" s="505"/>
      <c r="BC136" s="505"/>
      <c r="BD136" s="370"/>
      <c r="BE136" s="370"/>
      <c r="BF136" s="370"/>
      <c r="BG136" s="370"/>
      <c r="BH136" s="370"/>
      <c r="BI136" s="370"/>
      <c r="BJ136" s="370"/>
      <c r="BK136" s="370"/>
      <c r="BL136" s="370"/>
      <c r="BM136" s="370"/>
      <c r="BN136" s="370"/>
      <c r="BO136" s="370"/>
      <c r="BP136" s="370"/>
      <c r="BQ136" s="370"/>
      <c r="BR136" s="370"/>
      <c r="BS136" s="370"/>
      <c r="BV136" s="508"/>
      <c r="BW136" s="369"/>
      <c r="BX136" s="370"/>
      <c r="BY136" s="370"/>
      <c r="BZ136" s="370"/>
      <c r="CA136" s="370"/>
      <c r="CB136" s="370"/>
      <c r="CC136" s="505"/>
      <c r="CD136" s="505"/>
      <c r="CE136" s="505"/>
      <c r="CF136" s="505"/>
      <c r="CG136" s="505"/>
      <c r="CH136" s="505"/>
      <c r="CI136" s="505"/>
      <c r="CJ136" s="505"/>
      <c r="CK136" s="505"/>
      <c r="CL136" s="505"/>
      <c r="CM136" s="505"/>
    </row>
    <row r="137" customFormat="false" ht="12.75" hidden="false" customHeight="false" outlineLevel="0" collapsed="false">
      <c r="A137" s="500"/>
      <c r="B137" s="500"/>
      <c r="K137" s="363"/>
      <c r="L137" s="501"/>
      <c r="N137" s="502"/>
      <c r="O137" s="502"/>
      <c r="P137" s="371"/>
      <c r="Q137" s="501"/>
      <c r="R137" s="501"/>
      <c r="U137" s="501"/>
      <c r="V137" s="503"/>
      <c r="W137" s="503"/>
      <c r="X137" s="504"/>
      <c r="Y137" s="504"/>
      <c r="Z137" s="504"/>
      <c r="AA137" s="504"/>
      <c r="AB137" s="504"/>
      <c r="AC137" s="504"/>
      <c r="AF137" s="378"/>
      <c r="AG137" s="378"/>
      <c r="AH137" s="378"/>
      <c r="AI137" s="378"/>
      <c r="AJ137" s="378"/>
      <c r="AM137" s="505"/>
      <c r="AN137" s="505"/>
      <c r="AO137" s="505"/>
      <c r="AP137" s="505"/>
      <c r="AR137" s="370"/>
      <c r="AT137" s="370"/>
      <c r="AV137" s="506"/>
      <c r="AW137" s="370"/>
      <c r="AX137" s="370"/>
      <c r="AY137" s="370"/>
      <c r="AZ137" s="370"/>
      <c r="BA137" s="507"/>
      <c r="BB137" s="505"/>
      <c r="BC137" s="505"/>
      <c r="BD137" s="370"/>
      <c r="BE137" s="370"/>
      <c r="BF137" s="370"/>
      <c r="BG137" s="370"/>
      <c r="BH137" s="370"/>
      <c r="BI137" s="370"/>
      <c r="BJ137" s="370"/>
      <c r="BK137" s="370"/>
      <c r="BL137" s="370"/>
      <c r="BM137" s="370"/>
      <c r="BN137" s="370"/>
      <c r="BO137" s="370"/>
      <c r="BP137" s="370"/>
      <c r="BQ137" s="370"/>
      <c r="BR137" s="370"/>
      <c r="BS137" s="370"/>
      <c r="BV137" s="508"/>
      <c r="BW137" s="369"/>
      <c r="BX137" s="370"/>
      <c r="BY137" s="370"/>
      <c r="BZ137" s="370"/>
      <c r="CA137" s="370"/>
      <c r="CB137" s="370"/>
      <c r="CC137" s="505"/>
      <c r="CD137" s="505"/>
      <c r="CE137" s="505"/>
      <c r="CF137" s="505"/>
      <c r="CG137" s="505"/>
      <c r="CH137" s="505"/>
      <c r="CI137" s="505"/>
      <c r="CJ137" s="505"/>
      <c r="CK137" s="505"/>
      <c r="CL137" s="505"/>
      <c r="CM137" s="505"/>
    </row>
    <row r="138" customFormat="false" ht="12.75" hidden="false" customHeight="false" outlineLevel="0" collapsed="false">
      <c r="A138" s="500"/>
      <c r="B138" s="500"/>
      <c r="K138" s="363"/>
      <c r="L138" s="501"/>
      <c r="N138" s="502"/>
      <c r="O138" s="502"/>
      <c r="P138" s="371"/>
      <c r="Q138" s="501"/>
      <c r="R138" s="501"/>
      <c r="U138" s="501"/>
      <c r="V138" s="503"/>
      <c r="W138" s="503"/>
      <c r="X138" s="504"/>
      <c r="Y138" s="504"/>
      <c r="Z138" s="504"/>
      <c r="AA138" s="504"/>
      <c r="AB138" s="504"/>
      <c r="AC138" s="504"/>
      <c r="AF138" s="378"/>
      <c r="AG138" s="378"/>
      <c r="AH138" s="378"/>
      <c r="AI138" s="378"/>
      <c r="AJ138" s="378"/>
      <c r="AM138" s="505"/>
      <c r="AN138" s="505"/>
      <c r="AO138" s="505"/>
      <c r="AP138" s="505"/>
      <c r="AR138" s="370"/>
      <c r="AT138" s="370"/>
      <c r="AV138" s="506"/>
      <c r="AW138" s="370"/>
      <c r="AX138" s="370"/>
      <c r="AY138" s="370"/>
      <c r="AZ138" s="370"/>
      <c r="BA138" s="507"/>
      <c r="BB138" s="505"/>
      <c r="BC138" s="505"/>
      <c r="BD138" s="370"/>
      <c r="BE138" s="370"/>
      <c r="BF138" s="370"/>
      <c r="BG138" s="370"/>
      <c r="BH138" s="370"/>
      <c r="BI138" s="370"/>
      <c r="BJ138" s="370"/>
      <c r="BK138" s="370"/>
      <c r="BL138" s="370"/>
      <c r="BM138" s="370"/>
      <c r="BN138" s="370"/>
      <c r="BO138" s="370"/>
      <c r="BP138" s="370"/>
      <c r="BQ138" s="370"/>
      <c r="BR138" s="370"/>
      <c r="BS138" s="370"/>
      <c r="BV138" s="508"/>
      <c r="BW138" s="369"/>
      <c r="BX138" s="370"/>
      <c r="BY138" s="370"/>
      <c r="BZ138" s="370"/>
      <c r="CA138" s="370"/>
      <c r="CB138" s="370"/>
      <c r="CC138" s="505"/>
      <c r="CD138" s="505"/>
      <c r="CE138" s="505"/>
      <c r="CF138" s="505"/>
      <c r="CG138" s="505"/>
      <c r="CH138" s="505"/>
      <c r="CI138" s="505"/>
      <c r="CJ138" s="505"/>
      <c r="CK138" s="505"/>
      <c r="CL138" s="505"/>
      <c r="CM138" s="505"/>
    </row>
    <row r="139" customFormat="false" ht="12.75" hidden="false" customHeight="false" outlineLevel="0" collapsed="false">
      <c r="A139" s="500"/>
      <c r="B139" s="500"/>
      <c r="K139" s="363"/>
      <c r="L139" s="501"/>
      <c r="N139" s="502"/>
      <c r="O139" s="502"/>
      <c r="P139" s="371"/>
      <c r="Q139" s="501"/>
      <c r="R139" s="501"/>
      <c r="U139" s="501"/>
      <c r="V139" s="503"/>
      <c r="W139" s="503"/>
      <c r="X139" s="504"/>
      <c r="Y139" s="504"/>
      <c r="Z139" s="504"/>
      <c r="AA139" s="504"/>
      <c r="AB139" s="504"/>
      <c r="AC139" s="504"/>
      <c r="AF139" s="378"/>
      <c r="AG139" s="378"/>
      <c r="AH139" s="378"/>
      <c r="AI139" s="378"/>
      <c r="AJ139" s="378"/>
      <c r="AM139" s="505"/>
      <c r="AN139" s="505"/>
      <c r="AO139" s="505"/>
      <c r="AP139" s="505"/>
      <c r="AR139" s="370"/>
      <c r="AT139" s="370"/>
      <c r="AV139" s="506"/>
      <c r="AW139" s="370"/>
      <c r="AX139" s="370"/>
      <c r="AY139" s="370"/>
      <c r="AZ139" s="370"/>
      <c r="BA139" s="507"/>
      <c r="BB139" s="505"/>
      <c r="BC139" s="505"/>
      <c r="BD139" s="370"/>
      <c r="BE139" s="370"/>
      <c r="BF139" s="370"/>
      <c r="BG139" s="370"/>
      <c r="BH139" s="370"/>
      <c r="BI139" s="370"/>
      <c r="BJ139" s="370"/>
      <c r="BK139" s="370"/>
      <c r="BL139" s="370"/>
      <c r="BM139" s="370"/>
      <c r="BN139" s="370"/>
      <c r="BO139" s="370"/>
      <c r="BP139" s="370"/>
      <c r="BQ139" s="370"/>
      <c r="BR139" s="370"/>
      <c r="BS139" s="370"/>
      <c r="BV139" s="508"/>
      <c r="BW139" s="369"/>
      <c r="BX139" s="370"/>
      <c r="BY139" s="370"/>
      <c r="BZ139" s="370"/>
      <c r="CA139" s="370"/>
      <c r="CB139" s="370"/>
      <c r="CC139" s="505"/>
      <c r="CD139" s="505"/>
      <c r="CE139" s="505"/>
      <c r="CF139" s="505"/>
      <c r="CG139" s="505"/>
      <c r="CH139" s="505"/>
      <c r="CI139" s="505"/>
      <c r="CJ139" s="505"/>
      <c r="CK139" s="505"/>
      <c r="CL139" s="505"/>
      <c r="CM139" s="505"/>
    </row>
    <row r="140" customFormat="false" ht="12.75" hidden="false" customHeight="false" outlineLevel="0" collapsed="false">
      <c r="A140" s="500"/>
      <c r="B140" s="500"/>
      <c r="K140" s="363"/>
      <c r="L140" s="501"/>
      <c r="N140" s="502"/>
      <c r="O140" s="502"/>
      <c r="P140" s="371"/>
      <c r="Q140" s="501"/>
      <c r="R140" s="501"/>
      <c r="U140" s="501"/>
      <c r="V140" s="503"/>
      <c r="W140" s="503"/>
      <c r="X140" s="504"/>
      <c r="Y140" s="504"/>
      <c r="Z140" s="504"/>
      <c r="AA140" s="504"/>
      <c r="AB140" s="504"/>
      <c r="AC140" s="504"/>
      <c r="AF140" s="378"/>
      <c r="AG140" s="378"/>
      <c r="AH140" s="378"/>
      <c r="AI140" s="378"/>
      <c r="AJ140" s="378"/>
      <c r="AM140" s="505"/>
      <c r="AN140" s="505"/>
      <c r="AO140" s="505"/>
      <c r="AP140" s="505"/>
      <c r="AR140" s="370"/>
      <c r="AT140" s="370"/>
      <c r="AV140" s="506"/>
      <c r="AW140" s="370"/>
      <c r="AX140" s="370"/>
      <c r="AY140" s="370"/>
      <c r="AZ140" s="370"/>
      <c r="BA140" s="507"/>
      <c r="BB140" s="505"/>
      <c r="BC140" s="505"/>
      <c r="BD140" s="370"/>
      <c r="BE140" s="370"/>
      <c r="BF140" s="370"/>
      <c r="BG140" s="370"/>
      <c r="BH140" s="370"/>
      <c r="BI140" s="370"/>
      <c r="BJ140" s="370"/>
      <c r="BK140" s="370"/>
      <c r="BL140" s="370"/>
      <c r="BM140" s="370"/>
      <c r="BN140" s="370"/>
      <c r="BO140" s="370"/>
      <c r="BP140" s="370"/>
      <c r="BQ140" s="370"/>
      <c r="BR140" s="370"/>
      <c r="BS140" s="370"/>
      <c r="BV140" s="508"/>
      <c r="BW140" s="369"/>
      <c r="BX140" s="370"/>
      <c r="BY140" s="370"/>
      <c r="BZ140" s="370"/>
      <c r="CA140" s="370"/>
      <c r="CB140" s="370"/>
      <c r="CC140" s="505"/>
      <c r="CD140" s="505"/>
      <c r="CE140" s="505"/>
      <c r="CF140" s="505"/>
      <c r="CG140" s="505"/>
      <c r="CH140" s="505"/>
      <c r="CI140" s="505"/>
      <c r="CJ140" s="505"/>
      <c r="CK140" s="505"/>
      <c r="CL140" s="505"/>
      <c r="CM140" s="505"/>
    </row>
    <row r="141" customFormat="false" ht="12.75" hidden="false" customHeight="false" outlineLevel="0" collapsed="false">
      <c r="A141" s="500"/>
      <c r="B141" s="500"/>
      <c r="K141" s="363"/>
      <c r="L141" s="501"/>
      <c r="N141" s="502"/>
      <c r="O141" s="502"/>
      <c r="P141" s="371"/>
      <c r="Q141" s="501"/>
      <c r="R141" s="501"/>
      <c r="U141" s="501"/>
      <c r="V141" s="503"/>
      <c r="W141" s="503"/>
      <c r="X141" s="504"/>
      <c r="Y141" s="504"/>
      <c r="Z141" s="504"/>
      <c r="AA141" s="504"/>
      <c r="AB141" s="504"/>
      <c r="AC141" s="504"/>
      <c r="AF141" s="378"/>
      <c r="AG141" s="378"/>
      <c r="AH141" s="378"/>
      <c r="AI141" s="378"/>
      <c r="AJ141" s="378"/>
      <c r="AM141" s="505"/>
      <c r="AN141" s="505"/>
      <c r="AO141" s="505"/>
      <c r="AP141" s="505"/>
      <c r="AR141" s="370"/>
      <c r="AT141" s="370"/>
      <c r="AV141" s="506"/>
      <c r="AW141" s="370"/>
      <c r="AX141" s="370"/>
      <c r="AY141" s="370"/>
      <c r="AZ141" s="370"/>
      <c r="BA141" s="507"/>
      <c r="BB141" s="505"/>
      <c r="BC141" s="505"/>
      <c r="BD141" s="370"/>
      <c r="BE141" s="370"/>
      <c r="BF141" s="370"/>
      <c r="BG141" s="370"/>
      <c r="BH141" s="370"/>
      <c r="BI141" s="370"/>
      <c r="BJ141" s="370"/>
      <c r="BK141" s="370"/>
      <c r="BL141" s="370"/>
      <c r="BM141" s="370"/>
      <c r="BN141" s="370"/>
      <c r="BO141" s="370"/>
      <c r="BP141" s="370"/>
      <c r="BQ141" s="370"/>
      <c r="BR141" s="370"/>
      <c r="BS141" s="370"/>
      <c r="BV141" s="508"/>
      <c r="BW141" s="369"/>
      <c r="BX141" s="370"/>
      <c r="BY141" s="370"/>
      <c r="BZ141" s="370"/>
      <c r="CA141" s="370"/>
      <c r="CB141" s="370"/>
      <c r="CC141" s="505"/>
      <c r="CD141" s="505"/>
      <c r="CE141" s="505"/>
      <c r="CF141" s="505"/>
      <c r="CG141" s="505"/>
      <c r="CH141" s="505"/>
      <c r="CI141" s="505"/>
      <c r="CJ141" s="505"/>
      <c r="CK141" s="505"/>
      <c r="CL141" s="505"/>
      <c r="CM141" s="505"/>
    </row>
    <row r="142" customFormat="false" ht="12.75" hidden="false" customHeight="false" outlineLevel="0" collapsed="false">
      <c r="A142" s="500"/>
      <c r="B142" s="500"/>
      <c r="K142" s="363"/>
      <c r="L142" s="501"/>
      <c r="N142" s="502"/>
      <c r="O142" s="502"/>
      <c r="P142" s="371"/>
      <c r="Q142" s="501"/>
      <c r="R142" s="501"/>
      <c r="U142" s="501"/>
      <c r="V142" s="503"/>
      <c r="W142" s="503"/>
      <c r="X142" s="504"/>
      <c r="Y142" s="504"/>
      <c r="Z142" s="504"/>
      <c r="AA142" s="504"/>
      <c r="AB142" s="504"/>
      <c r="AC142" s="504"/>
      <c r="AF142" s="378"/>
      <c r="AG142" s="378"/>
      <c r="AH142" s="378"/>
      <c r="AI142" s="378"/>
      <c r="AJ142" s="378"/>
      <c r="AM142" s="505"/>
      <c r="AN142" s="505"/>
      <c r="AO142" s="505"/>
      <c r="AP142" s="505"/>
      <c r="AR142" s="370"/>
      <c r="AT142" s="370"/>
      <c r="AV142" s="506"/>
      <c r="AW142" s="370"/>
      <c r="AX142" s="370"/>
      <c r="AY142" s="370"/>
      <c r="AZ142" s="370"/>
      <c r="BA142" s="507"/>
      <c r="BB142" s="505"/>
      <c r="BC142" s="505"/>
      <c r="BD142" s="370"/>
      <c r="BE142" s="370"/>
      <c r="BF142" s="370"/>
      <c r="BG142" s="370"/>
      <c r="BH142" s="370"/>
      <c r="BI142" s="370"/>
      <c r="BJ142" s="370"/>
      <c r="BK142" s="370"/>
      <c r="BL142" s="370"/>
      <c r="BM142" s="370"/>
      <c r="BN142" s="370"/>
      <c r="BO142" s="370"/>
      <c r="BP142" s="370"/>
      <c r="BQ142" s="370"/>
      <c r="BR142" s="370"/>
      <c r="BS142" s="370"/>
      <c r="BV142" s="508"/>
      <c r="BW142" s="369"/>
      <c r="BX142" s="370"/>
      <c r="BY142" s="370"/>
      <c r="BZ142" s="370"/>
      <c r="CA142" s="370"/>
      <c r="CB142" s="370"/>
      <c r="CC142" s="505"/>
      <c r="CD142" s="505"/>
      <c r="CE142" s="505"/>
      <c r="CF142" s="505"/>
      <c r="CG142" s="505"/>
      <c r="CH142" s="505"/>
      <c r="CI142" s="505"/>
      <c r="CJ142" s="505"/>
      <c r="CK142" s="505"/>
      <c r="CL142" s="505"/>
      <c r="CM142" s="505"/>
    </row>
    <row r="143" customFormat="false" ht="12.75" hidden="false" customHeight="false" outlineLevel="0" collapsed="false">
      <c r="A143" s="500"/>
      <c r="B143" s="500"/>
      <c r="K143" s="363"/>
      <c r="L143" s="501"/>
      <c r="N143" s="502"/>
      <c r="O143" s="502"/>
      <c r="P143" s="371"/>
      <c r="Q143" s="501"/>
      <c r="R143" s="501"/>
      <c r="U143" s="501"/>
      <c r="V143" s="503"/>
      <c r="W143" s="503"/>
      <c r="X143" s="504"/>
      <c r="Y143" s="504"/>
      <c r="Z143" s="504"/>
      <c r="AA143" s="504"/>
      <c r="AB143" s="504"/>
      <c r="AC143" s="504"/>
      <c r="AF143" s="378"/>
      <c r="AG143" s="378"/>
      <c r="AH143" s="378"/>
      <c r="AI143" s="378"/>
      <c r="AJ143" s="378"/>
      <c r="AM143" s="505"/>
      <c r="AN143" s="505"/>
      <c r="AO143" s="505"/>
      <c r="AP143" s="505"/>
      <c r="AR143" s="370"/>
      <c r="AT143" s="370"/>
      <c r="AV143" s="506"/>
      <c r="AW143" s="370"/>
      <c r="AX143" s="370"/>
      <c r="AY143" s="370"/>
      <c r="AZ143" s="370"/>
      <c r="BA143" s="507"/>
      <c r="BB143" s="505"/>
      <c r="BC143" s="505"/>
      <c r="BD143" s="370"/>
      <c r="BE143" s="370"/>
      <c r="BF143" s="370"/>
      <c r="BG143" s="370"/>
      <c r="BH143" s="370"/>
      <c r="BI143" s="370"/>
      <c r="BJ143" s="370"/>
      <c r="BK143" s="370"/>
      <c r="BL143" s="370"/>
      <c r="BM143" s="370"/>
      <c r="BN143" s="370"/>
      <c r="BO143" s="370"/>
      <c r="BP143" s="370"/>
      <c r="BQ143" s="370"/>
      <c r="BR143" s="370"/>
      <c r="BS143" s="370"/>
      <c r="BV143" s="508"/>
      <c r="BW143" s="369"/>
      <c r="BX143" s="370"/>
      <c r="BY143" s="370"/>
      <c r="BZ143" s="370"/>
      <c r="CA143" s="370"/>
      <c r="CB143" s="370"/>
      <c r="CC143" s="505"/>
      <c r="CD143" s="505"/>
      <c r="CE143" s="505"/>
      <c r="CF143" s="505"/>
      <c r="CG143" s="505"/>
      <c r="CH143" s="505"/>
      <c r="CI143" s="505"/>
      <c r="CJ143" s="505"/>
      <c r="CK143" s="505"/>
      <c r="CL143" s="505"/>
      <c r="CM143" s="505"/>
    </row>
    <row r="144" customFormat="false" ht="12.75" hidden="false" customHeight="false" outlineLevel="0" collapsed="false">
      <c r="A144" s="500"/>
      <c r="B144" s="500"/>
      <c r="K144" s="363"/>
      <c r="L144" s="501"/>
      <c r="N144" s="502"/>
      <c r="O144" s="502"/>
      <c r="P144" s="371"/>
      <c r="Q144" s="501"/>
      <c r="R144" s="501"/>
      <c r="U144" s="501"/>
      <c r="V144" s="503"/>
      <c r="W144" s="503"/>
      <c r="X144" s="504"/>
      <c r="Y144" s="504"/>
      <c r="Z144" s="504"/>
      <c r="AA144" s="504"/>
      <c r="AB144" s="504"/>
      <c r="AC144" s="504"/>
      <c r="AF144" s="378"/>
      <c r="AG144" s="378"/>
      <c r="AH144" s="378"/>
      <c r="AI144" s="378"/>
      <c r="AJ144" s="378"/>
      <c r="AM144" s="505"/>
      <c r="AN144" s="505"/>
      <c r="AO144" s="505"/>
      <c r="AP144" s="505"/>
      <c r="AR144" s="370"/>
      <c r="AT144" s="370"/>
      <c r="AV144" s="506"/>
      <c r="AW144" s="370"/>
      <c r="AX144" s="370"/>
      <c r="AY144" s="370"/>
      <c r="AZ144" s="370"/>
      <c r="BA144" s="507"/>
      <c r="BB144" s="505"/>
      <c r="BC144" s="505"/>
      <c r="BD144" s="370"/>
      <c r="BE144" s="370"/>
      <c r="BF144" s="370"/>
      <c r="BG144" s="370"/>
      <c r="BH144" s="370"/>
      <c r="BI144" s="370"/>
      <c r="BJ144" s="370"/>
      <c r="BK144" s="370"/>
      <c r="BL144" s="370"/>
      <c r="BM144" s="370"/>
      <c r="BN144" s="370"/>
      <c r="BO144" s="370"/>
      <c r="BP144" s="370"/>
      <c r="BQ144" s="370"/>
      <c r="BR144" s="370"/>
      <c r="BS144" s="370"/>
      <c r="BV144" s="508"/>
      <c r="BW144" s="369"/>
      <c r="BX144" s="370"/>
      <c r="BY144" s="370"/>
      <c r="BZ144" s="370"/>
      <c r="CA144" s="370"/>
      <c r="CB144" s="370"/>
      <c r="CC144" s="505"/>
      <c r="CD144" s="505"/>
      <c r="CE144" s="505"/>
      <c r="CF144" s="505"/>
      <c r="CG144" s="505"/>
      <c r="CH144" s="505"/>
      <c r="CI144" s="505"/>
      <c r="CJ144" s="505"/>
      <c r="CK144" s="505"/>
      <c r="CL144" s="505"/>
      <c r="CM144" s="505"/>
    </row>
    <row r="145" customFormat="false" ht="12.75" hidden="false" customHeight="false" outlineLevel="0" collapsed="false">
      <c r="A145" s="500"/>
      <c r="B145" s="500"/>
      <c r="K145" s="363"/>
      <c r="L145" s="501"/>
      <c r="N145" s="502"/>
      <c r="O145" s="502"/>
      <c r="P145" s="371"/>
      <c r="Q145" s="501"/>
      <c r="R145" s="501"/>
      <c r="U145" s="501"/>
      <c r="V145" s="503"/>
      <c r="W145" s="503"/>
      <c r="X145" s="504"/>
      <c r="Y145" s="504"/>
      <c r="Z145" s="504"/>
      <c r="AA145" s="504"/>
      <c r="AB145" s="504"/>
      <c r="AC145" s="504"/>
      <c r="AF145" s="378"/>
      <c r="AG145" s="378"/>
      <c r="AH145" s="378"/>
      <c r="AI145" s="378"/>
      <c r="AJ145" s="378"/>
      <c r="AM145" s="505"/>
      <c r="AN145" s="505"/>
      <c r="AO145" s="505"/>
      <c r="AP145" s="505"/>
      <c r="AR145" s="370"/>
      <c r="AT145" s="370"/>
      <c r="AV145" s="506"/>
      <c r="AW145" s="370"/>
      <c r="AX145" s="370"/>
      <c r="AY145" s="370"/>
      <c r="AZ145" s="370"/>
      <c r="BA145" s="507"/>
      <c r="BB145" s="505"/>
      <c r="BC145" s="505"/>
      <c r="BD145" s="370"/>
      <c r="BE145" s="370"/>
      <c r="BF145" s="370"/>
      <c r="BG145" s="370"/>
      <c r="BH145" s="370"/>
      <c r="BI145" s="370"/>
      <c r="BJ145" s="370"/>
      <c r="BK145" s="370"/>
      <c r="BL145" s="370"/>
      <c r="BM145" s="370"/>
      <c r="BN145" s="370"/>
      <c r="BO145" s="370"/>
      <c r="BP145" s="370"/>
      <c r="BQ145" s="370"/>
      <c r="BR145" s="370"/>
      <c r="BS145" s="370"/>
      <c r="BV145" s="508"/>
      <c r="BW145" s="369"/>
      <c r="BX145" s="370"/>
      <c r="BY145" s="370"/>
      <c r="BZ145" s="370"/>
      <c r="CA145" s="370"/>
      <c r="CB145" s="370"/>
      <c r="CC145" s="505"/>
      <c r="CD145" s="505"/>
      <c r="CE145" s="505"/>
      <c r="CF145" s="505"/>
      <c r="CG145" s="505"/>
      <c r="CH145" s="505"/>
      <c r="CI145" s="505"/>
      <c r="CJ145" s="505"/>
      <c r="CK145" s="505"/>
      <c r="CL145" s="505"/>
      <c r="CM145" s="505"/>
    </row>
    <row r="146" customFormat="false" ht="12.75" hidden="false" customHeight="false" outlineLevel="0" collapsed="false">
      <c r="A146" s="500"/>
      <c r="B146" s="500"/>
      <c r="K146" s="363"/>
      <c r="L146" s="501"/>
      <c r="N146" s="502"/>
      <c r="O146" s="502"/>
      <c r="P146" s="371"/>
      <c r="Q146" s="501"/>
      <c r="R146" s="501"/>
      <c r="U146" s="501"/>
      <c r="V146" s="503"/>
      <c r="W146" s="503"/>
      <c r="X146" s="504"/>
      <c r="Y146" s="504"/>
      <c r="Z146" s="504"/>
      <c r="AA146" s="504"/>
      <c r="AB146" s="504"/>
      <c r="AC146" s="504"/>
      <c r="AF146" s="378"/>
      <c r="AG146" s="378"/>
      <c r="AH146" s="378"/>
      <c r="AI146" s="378"/>
      <c r="AJ146" s="378"/>
      <c r="AM146" s="505"/>
      <c r="AN146" s="505"/>
      <c r="AO146" s="505"/>
      <c r="AP146" s="505"/>
      <c r="AR146" s="370"/>
      <c r="AT146" s="370"/>
      <c r="AV146" s="506"/>
      <c r="AW146" s="370"/>
      <c r="AX146" s="370"/>
      <c r="AY146" s="370"/>
      <c r="AZ146" s="370"/>
      <c r="BA146" s="507"/>
      <c r="BB146" s="505"/>
      <c r="BC146" s="505"/>
      <c r="BD146" s="370"/>
      <c r="BE146" s="370"/>
      <c r="BF146" s="370"/>
      <c r="BG146" s="370"/>
      <c r="BH146" s="370"/>
      <c r="BI146" s="370"/>
      <c r="BJ146" s="370"/>
      <c r="BK146" s="370"/>
      <c r="BL146" s="370"/>
      <c r="BM146" s="370"/>
      <c r="BN146" s="370"/>
      <c r="BO146" s="370"/>
      <c r="BP146" s="370"/>
      <c r="BQ146" s="370"/>
      <c r="BR146" s="370"/>
      <c r="BS146" s="370"/>
      <c r="BV146" s="508"/>
      <c r="BW146" s="369"/>
      <c r="BX146" s="370"/>
      <c r="BY146" s="370"/>
      <c r="BZ146" s="370"/>
      <c r="CA146" s="370"/>
      <c r="CB146" s="370"/>
      <c r="CC146" s="505"/>
      <c r="CD146" s="505"/>
      <c r="CE146" s="505"/>
      <c r="CF146" s="505"/>
      <c r="CG146" s="505"/>
      <c r="CH146" s="505"/>
      <c r="CI146" s="505"/>
      <c r="CJ146" s="505"/>
      <c r="CK146" s="505"/>
      <c r="CL146" s="505"/>
      <c r="CM146" s="505"/>
    </row>
    <row r="147" customFormat="false" ht="12.75" hidden="false" customHeight="false" outlineLevel="0" collapsed="false">
      <c r="A147" s="500"/>
      <c r="B147" s="500"/>
      <c r="K147" s="363"/>
      <c r="L147" s="501"/>
      <c r="N147" s="502"/>
      <c r="O147" s="502"/>
      <c r="P147" s="371"/>
      <c r="Q147" s="501"/>
      <c r="R147" s="501"/>
      <c r="U147" s="501"/>
      <c r="V147" s="503"/>
      <c r="W147" s="503"/>
      <c r="X147" s="504"/>
      <c r="Y147" s="504"/>
      <c r="Z147" s="504"/>
      <c r="AA147" s="504"/>
      <c r="AB147" s="504"/>
      <c r="AC147" s="504"/>
      <c r="AF147" s="378"/>
      <c r="AG147" s="378"/>
      <c r="AH147" s="378"/>
      <c r="AI147" s="378"/>
      <c r="AJ147" s="378"/>
      <c r="AM147" s="505"/>
      <c r="AN147" s="505"/>
      <c r="AO147" s="505"/>
      <c r="AP147" s="505"/>
      <c r="AR147" s="370"/>
      <c r="AT147" s="370"/>
      <c r="AV147" s="506"/>
      <c r="AW147" s="370"/>
      <c r="AX147" s="370"/>
      <c r="AY147" s="370"/>
      <c r="AZ147" s="370"/>
      <c r="BA147" s="507"/>
      <c r="BB147" s="505"/>
      <c r="BC147" s="505"/>
      <c r="BD147" s="370"/>
      <c r="BE147" s="370"/>
      <c r="BF147" s="370"/>
      <c r="BG147" s="370"/>
      <c r="BH147" s="370"/>
      <c r="BI147" s="370"/>
      <c r="BJ147" s="370"/>
      <c r="BK147" s="370"/>
      <c r="BL147" s="370"/>
      <c r="BM147" s="370"/>
      <c r="BN147" s="370"/>
      <c r="BO147" s="370"/>
      <c r="BP147" s="370"/>
      <c r="BQ147" s="370"/>
      <c r="BR147" s="370"/>
      <c r="BS147" s="370"/>
      <c r="BV147" s="508"/>
      <c r="BW147" s="369"/>
      <c r="BX147" s="370"/>
      <c r="BY147" s="370"/>
      <c r="BZ147" s="370"/>
      <c r="CA147" s="370"/>
      <c r="CB147" s="370"/>
      <c r="CC147" s="505"/>
      <c r="CD147" s="505"/>
      <c r="CE147" s="505"/>
      <c r="CF147" s="505"/>
      <c r="CG147" s="505"/>
      <c r="CH147" s="505"/>
      <c r="CI147" s="505"/>
      <c r="CJ147" s="505"/>
      <c r="CK147" s="505"/>
      <c r="CL147" s="505"/>
      <c r="CM147" s="505"/>
    </row>
    <row r="148" customFormat="false" ht="12.75" hidden="false" customHeight="false" outlineLevel="0" collapsed="false">
      <c r="A148" s="500"/>
      <c r="B148" s="500"/>
      <c r="K148" s="363"/>
      <c r="L148" s="501"/>
      <c r="N148" s="502"/>
      <c r="O148" s="502"/>
      <c r="P148" s="371"/>
      <c r="Q148" s="501"/>
      <c r="R148" s="501"/>
      <c r="U148" s="501"/>
      <c r="V148" s="503"/>
      <c r="W148" s="503"/>
      <c r="X148" s="504"/>
      <c r="Y148" s="504"/>
      <c r="Z148" s="504"/>
      <c r="AA148" s="504"/>
      <c r="AB148" s="504"/>
      <c r="AC148" s="504"/>
      <c r="AF148" s="378"/>
      <c r="AG148" s="378"/>
      <c r="AH148" s="378"/>
      <c r="AI148" s="378"/>
      <c r="AJ148" s="378"/>
      <c r="AM148" s="505"/>
      <c r="AN148" s="505"/>
      <c r="AO148" s="505"/>
      <c r="AP148" s="505"/>
      <c r="AR148" s="370"/>
      <c r="AT148" s="370"/>
      <c r="AV148" s="506"/>
      <c r="AW148" s="370"/>
      <c r="AX148" s="370"/>
      <c r="AY148" s="370"/>
      <c r="AZ148" s="370"/>
      <c r="BA148" s="507"/>
      <c r="BB148" s="505"/>
      <c r="BC148" s="505"/>
      <c r="BD148" s="370"/>
      <c r="BE148" s="370"/>
      <c r="BF148" s="370"/>
      <c r="BG148" s="370"/>
      <c r="BH148" s="370"/>
      <c r="BI148" s="370"/>
      <c r="BJ148" s="370"/>
      <c r="BK148" s="370"/>
      <c r="BL148" s="370"/>
      <c r="BM148" s="370"/>
      <c r="BN148" s="370"/>
      <c r="BO148" s="370"/>
      <c r="BP148" s="370"/>
      <c r="BQ148" s="370"/>
      <c r="BR148" s="370"/>
      <c r="BS148" s="370"/>
      <c r="BV148" s="508"/>
      <c r="BW148" s="369"/>
      <c r="BX148" s="370"/>
      <c r="BY148" s="370"/>
      <c r="BZ148" s="370"/>
      <c r="CA148" s="370"/>
      <c r="CB148" s="370"/>
      <c r="CC148" s="505"/>
      <c r="CD148" s="505"/>
      <c r="CE148" s="505"/>
      <c r="CF148" s="505"/>
      <c r="CG148" s="505"/>
      <c r="CH148" s="505"/>
      <c r="CI148" s="505"/>
      <c r="CJ148" s="505"/>
      <c r="CK148" s="505"/>
      <c r="CL148" s="505"/>
      <c r="CM148" s="505"/>
    </row>
    <row r="149" customFormat="false" ht="12.75" hidden="false" customHeight="false" outlineLevel="0" collapsed="false">
      <c r="A149" s="500"/>
      <c r="B149" s="500"/>
      <c r="K149" s="363"/>
      <c r="L149" s="501"/>
      <c r="N149" s="502"/>
      <c r="O149" s="502"/>
      <c r="P149" s="371"/>
      <c r="Q149" s="501"/>
      <c r="R149" s="501"/>
      <c r="U149" s="501"/>
      <c r="V149" s="503"/>
      <c r="W149" s="503"/>
      <c r="X149" s="504"/>
      <c r="Y149" s="504"/>
      <c r="Z149" s="504"/>
      <c r="AA149" s="504"/>
      <c r="AB149" s="504"/>
      <c r="AC149" s="504"/>
      <c r="AF149" s="378"/>
      <c r="AG149" s="378"/>
      <c r="AH149" s="378"/>
      <c r="AI149" s="378"/>
      <c r="AJ149" s="378"/>
      <c r="AM149" s="505"/>
      <c r="AN149" s="505"/>
      <c r="AO149" s="505"/>
      <c r="AP149" s="505"/>
      <c r="AR149" s="370"/>
      <c r="AT149" s="370"/>
      <c r="AV149" s="506"/>
      <c r="AW149" s="370"/>
      <c r="AX149" s="370"/>
      <c r="AY149" s="370"/>
      <c r="AZ149" s="370"/>
      <c r="BA149" s="507"/>
      <c r="BB149" s="505"/>
      <c r="BC149" s="505"/>
      <c r="BD149" s="370"/>
      <c r="BE149" s="370"/>
      <c r="BF149" s="370"/>
      <c r="BG149" s="370"/>
      <c r="BH149" s="370"/>
      <c r="BI149" s="370"/>
      <c r="BJ149" s="370"/>
      <c r="BK149" s="370"/>
      <c r="BL149" s="370"/>
      <c r="BM149" s="370"/>
      <c r="BN149" s="370"/>
      <c r="BO149" s="370"/>
      <c r="BP149" s="370"/>
      <c r="BQ149" s="370"/>
      <c r="BR149" s="370"/>
      <c r="BS149" s="370"/>
      <c r="BV149" s="508"/>
      <c r="BW149" s="369"/>
      <c r="BX149" s="370"/>
      <c r="BY149" s="370"/>
      <c r="BZ149" s="370"/>
      <c r="CA149" s="370"/>
      <c r="CB149" s="370"/>
      <c r="CC149" s="505"/>
      <c r="CD149" s="505"/>
      <c r="CE149" s="505"/>
      <c r="CF149" s="505"/>
      <c r="CG149" s="505"/>
      <c r="CH149" s="505"/>
      <c r="CI149" s="505"/>
      <c r="CJ149" s="505"/>
      <c r="CK149" s="505"/>
      <c r="CL149" s="505"/>
      <c r="CM149" s="505"/>
    </row>
    <row r="150" customFormat="false" ht="12.75" hidden="false" customHeight="false" outlineLevel="0" collapsed="false">
      <c r="A150" s="500"/>
      <c r="B150" s="500"/>
      <c r="K150" s="363"/>
      <c r="L150" s="501"/>
      <c r="N150" s="502"/>
      <c r="O150" s="502"/>
      <c r="P150" s="371"/>
      <c r="Q150" s="501"/>
      <c r="R150" s="501"/>
      <c r="U150" s="501"/>
      <c r="V150" s="503"/>
      <c r="W150" s="503"/>
      <c r="X150" s="504"/>
      <c r="Y150" s="504"/>
      <c r="Z150" s="504"/>
      <c r="AA150" s="504"/>
      <c r="AB150" s="504"/>
      <c r="AC150" s="504"/>
      <c r="AF150" s="378"/>
      <c r="AG150" s="378"/>
      <c r="AH150" s="378"/>
      <c r="AI150" s="378"/>
      <c r="AJ150" s="378"/>
      <c r="AM150" s="505"/>
      <c r="AN150" s="505"/>
      <c r="AO150" s="505"/>
      <c r="AP150" s="505"/>
      <c r="AR150" s="370"/>
      <c r="AT150" s="370"/>
      <c r="AV150" s="506"/>
      <c r="AW150" s="370"/>
      <c r="AX150" s="370"/>
      <c r="AY150" s="370"/>
      <c r="AZ150" s="370"/>
      <c r="BA150" s="507"/>
      <c r="BB150" s="505"/>
      <c r="BC150" s="505"/>
      <c r="BD150" s="370"/>
      <c r="BE150" s="370"/>
      <c r="BF150" s="370"/>
      <c r="BG150" s="370"/>
      <c r="BH150" s="370"/>
      <c r="BI150" s="370"/>
      <c r="BJ150" s="370"/>
      <c r="BK150" s="370"/>
      <c r="BL150" s="370"/>
      <c r="BM150" s="370"/>
      <c r="BN150" s="370"/>
      <c r="BO150" s="370"/>
      <c r="BP150" s="370"/>
      <c r="BQ150" s="370"/>
      <c r="BR150" s="370"/>
      <c r="BS150" s="370"/>
      <c r="BV150" s="508"/>
      <c r="BW150" s="369"/>
      <c r="BX150" s="370"/>
      <c r="BY150" s="370"/>
      <c r="BZ150" s="370"/>
      <c r="CA150" s="370"/>
      <c r="CB150" s="370"/>
      <c r="CC150" s="505"/>
      <c r="CD150" s="505"/>
      <c r="CE150" s="505"/>
      <c r="CF150" s="505"/>
      <c r="CG150" s="505"/>
      <c r="CH150" s="505"/>
      <c r="CI150" s="505"/>
      <c r="CJ150" s="505"/>
      <c r="CK150" s="505"/>
      <c r="CL150" s="505"/>
      <c r="CM150" s="505"/>
    </row>
    <row r="151" customFormat="false" ht="12.75" hidden="false" customHeight="false" outlineLevel="0" collapsed="false">
      <c r="A151" s="500"/>
      <c r="B151" s="500"/>
      <c r="K151" s="363"/>
      <c r="L151" s="501"/>
      <c r="N151" s="502"/>
      <c r="O151" s="502"/>
      <c r="P151" s="371"/>
      <c r="Q151" s="501"/>
      <c r="R151" s="501"/>
      <c r="U151" s="501"/>
      <c r="V151" s="503"/>
      <c r="W151" s="503"/>
      <c r="X151" s="504"/>
      <c r="Y151" s="504"/>
      <c r="Z151" s="504"/>
      <c r="AA151" s="504"/>
      <c r="AB151" s="504"/>
      <c r="AC151" s="504"/>
      <c r="AF151" s="378"/>
      <c r="AG151" s="378"/>
      <c r="AH151" s="378"/>
      <c r="AI151" s="378"/>
      <c r="AJ151" s="378"/>
      <c r="AM151" s="505"/>
      <c r="AN151" s="505"/>
      <c r="AO151" s="505"/>
      <c r="AP151" s="505"/>
      <c r="AR151" s="370"/>
      <c r="AT151" s="370"/>
      <c r="AV151" s="506"/>
      <c r="AW151" s="370"/>
      <c r="AX151" s="370"/>
      <c r="AY151" s="370"/>
      <c r="AZ151" s="370"/>
      <c r="BA151" s="507"/>
      <c r="BB151" s="505"/>
      <c r="BC151" s="505"/>
      <c r="BD151" s="370"/>
      <c r="BE151" s="370"/>
      <c r="BF151" s="370"/>
      <c r="BG151" s="370"/>
      <c r="BH151" s="370"/>
      <c r="BI151" s="370"/>
      <c r="BJ151" s="370"/>
      <c r="BK151" s="370"/>
      <c r="BL151" s="370"/>
      <c r="BM151" s="370"/>
      <c r="BN151" s="370"/>
      <c r="BO151" s="370"/>
      <c r="BP151" s="370"/>
      <c r="BQ151" s="370"/>
      <c r="BR151" s="370"/>
      <c r="BS151" s="370"/>
      <c r="BV151" s="508"/>
      <c r="BW151" s="369"/>
      <c r="BX151" s="370"/>
      <c r="BY151" s="370"/>
      <c r="BZ151" s="370"/>
      <c r="CA151" s="370"/>
      <c r="CB151" s="370"/>
      <c r="CC151" s="505"/>
      <c r="CD151" s="505"/>
      <c r="CE151" s="505"/>
      <c r="CF151" s="505"/>
      <c r="CG151" s="505"/>
      <c r="CH151" s="505"/>
      <c r="CI151" s="505"/>
      <c r="CJ151" s="505"/>
      <c r="CK151" s="505"/>
      <c r="CL151" s="505"/>
      <c r="CM151" s="505"/>
    </row>
    <row r="152" customFormat="false" ht="12.75" hidden="false" customHeight="false" outlineLevel="0" collapsed="false">
      <c r="A152" s="500"/>
      <c r="B152" s="500"/>
      <c r="K152" s="363"/>
      <c r="L152" s="501"/>
      <c r="N152" s="502"/>
      <c r="O152" s="502"/>
      <c r="P152" s="371"/>
      <c r="Q152" s="501"/>
      <c r="R152" s="501"/>
      <c r="U152" s="501"/>
      <c r="V152" s="503"/>
      <c r="W152" s="503"/>
      <c r="X152" s="504"/>
      <c r="Y152" s="504"/>
      <c r="Z152" s="504"/>
      <c r="AA152" s="504"/>
      <c r="AB152" s="504"/>
      <c r="AC152" s="504"/>
      <c r="AF152" s="378"/>
      <c r="AG152" s="378"/>
      <c r="AH152" s="378"/>
      <c r="AI152" s="378"/>
      <c r="AJ152" s="378"/>
      <c r="AM152" s="505"/>
      <c r="AN152" s="505"/>
      <c r="AO152" s="505"/>
      <c r="AP152" s="505"/>
      <c r="AR152" s="370"/>
      <c r="AT152" s="370"/>
      <c r="AV152" s="506"/>
      <c r="AW152" s="370"/>
      <c r="AX152" s="370"/>
      <c r="AY152" s="370"/>
      <c r="AZ152" s="370"/>
      <c r="BA152" s="507"/>
      <c r="BB152" s="505"/>
      <c r="BC152" s="505"/>
      <c r="BD152" s="370"/>
      <c r="BE152" s="370"/>
      <c r="BF152" s="370"/>
      <c r="BG152" s="370"/>
      <c r="BH152" s="370"/>
      <c r="BI152" s="370"/>
      <c r="BJ152" s="370"/>
      <c r="BK152" s="370"/>
      <c r="BL152" s="370"/>
      <c r="BM152" s="370"/>
      <c r="BN152" s="370"/>
      <c r="BO152" s="370"/>
      <c r="BP152" s="370"/>
      <c r="BQ152" s="370"/>
      <c r="BR152" s="370"/>
      <c r="BS152" s="370"/>
      <c r="BV152" s="508"/>
      <c r="BW152" s="369"/>
      <c r="BX152" s="370"/>
      <c r="BY152" s="370"/>
      <c r="BZ152" s="370"/>
      <c r="CA152" s="370"/>
      <c r="CB152" s="370"/>
      <c r="CC152" s="505"/>
      <c r="CD152" s="505"/>
      <c r="CE152" s="505"/>
      <c r="CF152" s="505"/>
      <c r="CG152" s="505"/>
      <c r="CH152" s="505"/>
      <c r="CI152" s="505"/>
      <c r="CJ152" s="505"/>
      <c r="CK152" s="505"/>
      <c r="CL152" s="505"/>
      <c r="CM152" s="505"/>
    </row>
    <row r="153" customFormat="false" ht="12.75" hidden="false" customHeight="false" outlineLevel="0" collapsed="false">
      <c r="A153" s="500"/>
      <c r="B153" s="500"/>
      <c r="K153" s="363"/>
      <c r="L153" s="501"/>
      <c r="N153" s="502"/>
      <c r="O153" s="502"/>
      <c r="P153" s="371"/>
      <c r="Q153" s="501"/>
      <c r="R153" s="501"/>
      <c r="U153" s="501"/>
      <c r="V153" s="503"/>
      <c r="W153" s="503"/>
      <c r="X153" s="504"/>
      <c r="Y153" s="504"/>
      <c r="Z153" s="504"/>
      <c r="AA153" s="504"/>
      <c r="AB153" s="504"/>
      <c r="AC153" s="504"/>
      <c r="AF153" s="378"/>
      <c r="AG153" s="378"/>
      <c r="AH153" s="378"/>
      <c r="AI153" s="378"/>
      <c r="AJ153" s="378"/>
      <c r="AM153" s="505"/>
      <c r="AN153" s="505"/>
      <c r="AO153" s="505"/>
      <c r="AP153" s="505"/>
      <c r="AR153" s="370"/>
      <c r="AT153" s="370"/>
      <c r="AV153" s="506"/>
      <c r="AW153" s="370"/>
      <c r="AX153" s="370"/>
      <c r="AY153" s="370"/>
      <c r="AZ153" s="370"/>
      <c r="BA153" s="507"/>
      <c r="BB153" s="505"/>
      <c r="BC153" s="505"/>
      <c r="BD153" s="370"/>
      <c r="BE153" s="370"/>
      <c r="BF153" s="370"/>
      <c r="BG153" s="370"/>
      <c r="BH153" s="370"/>
      <c r="BI153" s="370"/>
      <c r="BJ153" s="370"/>
      <c r="BK153" s="370"/>
      <c r="BL153" s="370"/>
      <c r="BM153" s="370"/>
      <c r="BN153" s="370"/>
      <c r="BO153" s="370"/>
      <c r="BP153" s="370"/>
      <c r="BQ153" s="370"/>
      <c r="BR153" s="370"/>
      <c r="BS153" s="370"/>
      <c r="BV153" s="508"/>
      <c r="BW153" s="369"/>
      <c r="BX153" s="370"/>
      <c r="BY153" s="370"/>
      <c r="BZ153" s="370"/>
      <c r="CA153" s="370"/>
      <c r="CB153" s="370"/>
      <c r="CC153" s="505"/>
      <c r="CD153" s="505"/>
      <c r="CE153" s="505"/>
      <c r="CF153" s="505"/>
      <c r="CG153" s="505"/>
      <c r="CH153" s="505"/>
      <c r="CI153" s="505"/>
      <c r="CJ153" s="505"/>
      <c r="CK153" s="505"/>
      <c r="CL153" s="505"/>
      <c r="CM153" s="505"/>
    </row>
    <row r="154" customFormat="false" ht="12.75" hidden="false" customHeight="false" outlineLevel="0" collapsed="false">
      <c r="A154" s="500"/>
      <c r="B154" s="500"/>
      <c r="K154" s="363"/>
      <c r="L154" s="501"/>
      <c r="N154" s="502"/>
      <c r="O154" s="502"/>
      <c r="P154" s="371"/>
      <c r="Q154" s="501"/>
      <c r="R154" s="501"/>
      <c r="U154" s="501"/>
      <c r="V154" s="503"/>
      <c r="W154" s="503"/>
      <c r="X154" s="504"/>
      <c r="Y154" s="504"/>
      <c r="Z154" s="504"/>
      <c r="AA154" s="504"/>
      <c r="AB154" s="504"/>
      <c r="AC154" s="504"/>
      <c r="AF154" s="378"/>
      <c r="AG154" s="378"/>
      <c r="AH154" s="378"/>
      <c r="AI154" s="378"/>
      <c r="AJ154" s="378"/>
      <c r="AM154" s="505"/>
      <c r="AN154" s="505"/>
      <c r="AO154" s="505"/>
      <c r="AP154" s="505"/>
      <c r="AR154" s="370"/>
      <c r="AT154" s="370"/>
      <c r="AV154" s="506"/>
      <c r="AW154" s="370"/>
      <c r="AX154" s="370"/>
      <c r="AY154" s="370"/>
      <c r="AZ154" s="370"/>
      <c r="BA154" s="507"/>
      <c r="BB154" s="505"/>
      <c r="BC154" s="505"/>
      <c r="BD154" s="370"/>
      <c r="BE154" s="370"/>
      <c r="BF154" s="370"/>
      <c r="BG154" s="370"/>
      <c r="BH154" s="370"/>
      <c r="BI154" s="370"/>
      <c r="BJ154" s="370"/>
      <c r="BK154" s="370"/>
      <c r="BL154" s="370"/>
      <c r="BM154" s="370"/>
      <c r="BN154" s="370"/>
      <c r="BO154" s="370"/>
      <c r="BP154" s="370"/>
      <c r="BQ154" s="370"/>
      <c r="BR154" s="370"/>
      <c r="BS154" s="370"/>
      <c r="BV154" s="508"/>
      <c r="BW154" s="369"/>
      <c r="BX154" s="370"/>
      <c r="BY154" s="370"/>
      <c r="BZ154" s="370"/>
      <c r="CA154" s="370"/>
      <c r="CB154" s="370"/>
      <c r="CC154" s="505"/>
      <c r="CD154" s="505"/>
      <c r="CE154" s="505"/>
      <c r="CF154" s="505"/>
      <c r="CG154" s="505"/>
      <c r="CH154" s="505"/>
      <c r="CI154" s="505"/>
      <c r="CJ154" s="505"/>
      <c r="CK154" s="505"/>
      <c r="CL154" s="505"/>
      <c r="CM154" s="505"/>
    </row>
    <row r="155" customFormat="false" ht="12.75" hidden="false" customHeight="false" outlineLevel="0" collapsed="false">
      <c r="A155" s="500"/>
      <c r="B155" s="500"/>
      <c r="K155" s="363"/>
      <c r="L155" s="501"/>
      <c r="N155" s="502"/>
      <c r="O155" s="502"/>
      <c r="P155" s="371"/>
      <c r="Q155" s="501"/>
      <c r="R155" s="501"/>
      <c r="U155" s="501"/>
      <c r="V155" s="503"/>
      <c r="W155" s="503"/>
      <c r="X155" s="504"/>
      <c r="Y155" s="504"/>
      <c r="Z155" s="504"/>
      <c r="AA155" s="504"/>
      <c r="AB155" s="504"/>
      <c r="AC155" s="504"/>
      <c r="AF155" s="378"/>
      <c r="AG155" s="378"/>
      <c r="AH155" s="378"/>
      <c r="AI155" s="378"/>
      <c r="AJ155" s="378"/>
      <c r="AM155" s="505"/>
      <c r="AN155" s="505"/>
      <c r="AO155" s="505"/>
      <c r="AP155" s="505"/>
      <c r="AR155" s="370"/>
      <c r="AT155" s="370"/>
      <c r="AV155" s="506"/>
      <c r="AW155" s="370"/>
      <c r="AX155" s="370"/>
      <c r="AY155" s="370"/>
      <c r="AZ155" s="370"/>
      <c r="BA155" s="507"/>
      <c r="BB155" s="505"/>
      <c r="BC155" s="505"/>
      <c r="BD155" s="370"/>
      <c r="BE155" s="370"/>
      <c r="BF155" s="370"/>
      <c r="BG155" s="370"/>
      <c r="BH155" s="370"/>
      <c r="BI155" s="370"/>
      <c r="BJ155" s="370"/>
      <c r="BK155" s="370"/>
      <c r="BL155" s="370"/>
      <c r="BM155" s="370"/>
      <c r="BN155" s="370"/>
      <c r="BO155" s="370"/>
      <c r="BP155" s="370"/>
      <c r="BQ155" s="370"/>
      <c r="BR155" s="370"/>
      <c r="BS155" s="370"/>
      <c r="BV155" s="508"/>
      <c r="BW155" s="369"/>
      <c r="BX155" s="370"/>
      <c r="BY155" s="370"/>
      <c r="BZ155" s="370"/>
      <c r="CA155" s="370"/>
      <c r="CB155" s="370"/>
      <c r="CC155" s="505"/>
      <c r="CD155" s="505"/>
      <c r="CE155" s="505"/>
      <c r="CF155" s="505"/>
      <c r="CG155" s="505"/>
      <c r="CH155" s="505"/>
      <c r="CI155" s="505"/>
      <c r="CJ155" s="505"/>
      <c r="CK155" s="505"/>
      <c r="CL155" s="505"/>
      <c r="CM155" s="505"/>
    </row>
    <row r="156" customFormat="false" ht="12.75" hidden="false" customHeight="false" outlineLevel="0" collapsed="false">
      <c r="A156" s="500"/>
      <c r="B156" s="500"/>
      <c r="K156" s="363"/>
      <c r="L156" s="501"/>
      <c r="N156" s="502"/>
      <c r="O156" s="502"/>
      <c r="P156" s="371"/>
      <c r="Q156" s="501"/>
      <c r="R156" s="501"/>
      <c r="U156" s="501"/>
      <c r="V156" s="503"/>
      <c r="W156" s="503"/>
      <c r="X156" s="504"/>
      <c r="Y156" s="504"/>
      <c r="Z156" s="504"/>
      <c r="AA156" s="504"/>
      <c r="AB156" s="504"/>
      <c r="AC156" s="504"/>
      <c r="AF156" s="378"/>
      <c r="AG156" s="378"/>
      <c r="AH156" s="378"/>
      <c r="AI156" s="378"/>
      <c r="AJ156" s="378"/>
      <c r="AM156" s="505"/>
      <c r="AN156" s="505"/>
      <c r="AO156" s="505"/>
      <c r="AP156" s="505"/>
      <c r="AR156" s="370"/>
      <c r="AT156" s="370"/>
      <c r="AV156" s="506"/>
      <c r="AW156" s="370"/>
      <c r="AX156" s="370"/>
      <c r="AY156" s="370"/>
      <c r="AZ156" s="370"/>
      <c r="BA156" s="507"/>
      <c r="BB156" s="505"/>
      <c r="BC156" s="505"/>
      <c r="BD156" s="370"/>
      <c r="BE156" s="370"/>
      <c r="BF156" s="370"/>
      <c r="BG156" s="370"/>
      <c r="BH156" s="370"/>
      <c r="BI156" s="370"/>
      <c r="BJ156" s="370"/>
      <c r="BK156" s="370"/>
      <c r="BL156" s="370"/>
      <c r="BM156" s="370"/>
      <c r="BN156" s="370"/>
      <c r="BO156" s="370"/>
      <c r="BP156" s="370"/>
      <c r="BQ156" s="370"/>
      <c r="BR156" s="370"/>
      <c r="BS156" s="370"/>
      <c r="BV156" s="508"/>
      <c r="BW156" s="369"/>
      <c r="BX156" s="370"/>
      <c r="BY156" s="370"/>
      <c r="BZ156" s="370"/>
      <c r="CA156" s="370"/>
      <c r="CB156" s="370"/>
      <c r="CC156" s="505"/>
      <c r="CD156" s="505"/>
      <c r="CE156" s="505"/>
      <c r="CF156" s="505"/>
      <c r="CG156" s="505"/>
      <c r="CH156" s="505"/>
      <c r="CI156" s="505"/>
      <c r="CJ156" s="505"/>
      <c r="CK156" s="505"/>
      <c r="CL156" s="505"/>
      <c r="CM156" s="505"/>
    </row>
    <row r="157" customFormat="false" ht="12.75" hidden="false" customHeight="false" outlineLevel="0" collapsed="false">
      <c r="A157" s="500"/>
      <c r="B157" s="500"/>
      <c r="K157" s="363"/>
      <c r="L157" s="501"/>
      <c r="N157" s="502"/>
      <c r="O157" s="502"/>
      <c r="P157" s="371"/>
      <c r="Q157" s="501"/>
      <c r="R157" s="501"/>
      <c r="U157" s="501"/>
      <c r="V157" s="503"/>
      <c r="W157" s="503"/>
      <c r="X157" s="504"/>
      <c r="Y157" s="504"/>
      <c r="Z157" s="504"/>
      <c r="AA157" s="504"/>
      <c r="AB157" s="504"/>
      <c r="AC157" s="504"/>
      <c r="AF157" s="378"/>
      <c r="AG157" s="378"/>
      <c r="AH157" s="378"/>
      <c r="AI157" s="378"/>
      <c r="AJ157" s="378"/>
      <c r="AM157" s="505"/>
      <c r="AN157" s="505"/>
      <c r="AO157" s="505"/>
      <c r="AP157" s="505"/>
      <c r="AR157" s="370"/>
      <c r="AT157" s="370"/>
      <c r="AV157" s="506"/>
      <c r="AW157" s="370"/>
      <c r="AX157" s="370"/>
      <c r="AY157" s="370"/>
      <c r="AZ157" s="370"/>
      <c r="BA157" s="507"/>
      <c r="BB157" s="505"/>
      <c r="BC157" s="505"/>
      <c r="BD157" s="370"/>
      <c r="BE157" s="370"/>
      <c r="BF157" s="370"/>
      <c r="BG157" s="370"/>
      <c r="BH157" s="370"/>
      <c r="BI157" s="370"/>
      <c r="BJ157" s="370"/>
      <c r="BK157" s="370"/>
      <c r="BL157" s="370"/>
      <c r="BM157" s="370"/>
      <c r="BN157" s="370"/>
      <c r="BO157" s="370"/>
      <c r="BP157" s="370"/>
      <c r="BQ157" s="370"/>
      <c r="BR157" s="370"/>
      <c r="BS157" s="370"/>
      <c r="BV157" s="508"/>
      <c r="BW157" s="369"/>
      <c r="BX157" s="370"/>
      <c r="BY157" s="370"/>
      <c r="BZ157" s="370"/>
      <c r="CA157" s="370"/>
      <c r="CB157" s="370"/>
      <c r="CC157" s="505"/>
      <c r="CD157" s="505"/>
      <c r="CE157" s="505"/>
      <c r="CF157" s="505"/>
      <c r="CG157" s="505"/>
      <c r="CH157" s="505"/>
      <c r="CI157" s="505"/>
      <c r="CJ157" s="505"/>
      <c r="CK157" s="505"/>
      <c r="CL157" s="505"/>
      <c r="CM157" s="505"/>
    </row>
    <row r="158" customFormat="false" ht="12.75" hidden="false" customHeight="false" outlineLevel="0" collapsed="false">
      <c r="A158" s="500"/>
      <c r="B158" s="500"/>
      <c r="K158" s="363"/>
      <c r="L158" s="501"/>
      <c r="N158" s="502"/>
      <c r="O158" s="502"/>
      <c r="P158" s="371"/>
      <c r="Q158" s="501"/>
      <c r="R158" s="501"/>
      <c r="U158" s="501"/>
      <c r="V158" s="503"/>
      <c r="W158" s="503"/>
      <c r="X158" s="504"/>
      <c r="Y158" s="504"/>
      <c r="Z158" s="504"/>
      <c r="AA158" s="504"/>
      <c r="AB158" s="504"/>
      <c r="AC158" s="504"/>
      <c r="AF158" s="378"/>
      <c r="AG158" s="378"/>
      <c r="AH158" s="378"/>
      <c r="AI158" s="378"/>
      <c r="AJ158" s="378"/>
      <c r="AM158" s="505"/>
      <c r="AN158" s="505"/>
      <c r="AO158" s="505"/>
      <c r="AP158" s="505"/>
      <c r="AR158" s="370"/>
      <c r="AT158" s="370"/>
      <c r="AV158" s="506"/>
      <c r="AW158" s="370"/>
      <c r="AX158" s="370"/>
      <c r="AY158" s="370"/>
      <c r="AZ158" s="370"/>
      <c r="BA158" s="507"/>
      <c r="BB158" s="505"/>
      <c r="BC158" s="505"/>
      <c r="BD158" s="370"/>
      <c r="BE158" s="370"/>
      <c r="BF158" s="370"/>
      <c r="BG158" s="370"/>
      <c r="BH158" s="370"/>
      <c r="BI158" s="370"/>
      <c r="BJ158" s="370"/>
      <c r="BK158" s="370"/>
      <c r="BL158" s="370"/>
      <c r="BM158" s="370"/>
      <c r="BN158" s="370"/>
      <c r="BO158" s="370"/>
      <c r="BP158" s="370"/>
      <c r="BQ158" s="370"/>
      <c r="BR158" s="370"/>
      <c r="BS158" s="370"/>
      <c r="BV158" s="508"/>
      <c r="BW158" s="369"/>
      <c r="BX158" s="370"/>
      <c r="BY158" s="370"/>
      <c r="BZ158" s="370"/>
      <c r="CA158" s="370"/>
      <c r="CB158" s="370"/>
      <c r="CC158" s="505"/>
      <c r="CD158" s="505"/>
      <c r="CE158" s="505"/>
      <c r="CF158" s="505"/>
      <c r="CG158" s="505"/>
      <c r="CH158" s="505"/>
      <c r="CI158" s="505"/>
      <c r="CJ158" s="505"/>
      <c r="CK158" s="505"/>
      <c r="CL158" s="505"/>
      <c r="CM158" s="505"/>
    </row>
    <row r="159" customFormat="false" ht="12.75" hidden="false" customHeight="false" outlineLevel="0" collapsed="false">
      <c r="A159" s="500"/>
      <c r="B159" s="500"/>
      <c r="K159" s="363"/>
      <c r="L159" s="501"/>
      <c r="N159" s="502"/>
      <c r="O159" s="502"/>
      <c r="P159" s="371"/>
      <c r="Q159" s="501"/>
      <c r="R159" s="501"/>
      <c r="U159" s="501"/>
      <c r="V159" s="503"/>
      <c r="W159" s="503"/>
      <c r="X159" s="504"/>
      <c r="Y159" s="504"/>
      <c r="Z159" s="504"/>
      <c r="AA159" s="504"/>
      <c r="AB159" s="504"/>
      <c r="AC159" s="504"/>
      <c r="AF159" s="378"/>
      <c r="AG159" s="378"/>
      <c r="AH159" s="378"/>
      <c r="AI159" s="378"/>
      <c r="AJ159" s="378"/>
      <c r="AM159" s="505"/>
      <c r="AN159" s="505"/>
      <c r="AO159" s="505"/>
      <c r="AP159" s="505"/>
      <c r="AR159" s="370"/>
      <c r="AT159" s="370"/>
      <c r="AV159" s="506"/>
      <c r="AW159" s="370"/>
      <c r="AX159" s="370"/>
      <c r="AY159" s="370"/>
      <c r="AZ159" s="370"/>
      <c r="BA159" s="507"/>
      <c r="BB159" s="505"/>
      <c r="BC159" s="505"/>
      <c r="BD159" s="370"/>
      <c r="BE159" s="370"/>
      <c r="BF159" s="370"/>
      <c r="BG159" s="370"/>
      <c r="BH159" s="370"/>
      <c r="BI159" s="370"/>
      <c r="BJ159" s="370"/>
      <c r="BK159" s="370"/>
      <c r="BL159" s="370"/>
      <c r="BM159" s="370"/>
      <c r="BN159" s="370"/>
      <c r="BO159" s="370"/>
      <c r="BP159" s="370"/>
      <c r="BQ159" s="370"/>
      <c r="BR159" s="370"/>
      <c r="BS159" s="370"/>
      <c r="BV159" s="508"/>
      <c r="BW159" s="369"/>
      <c r="BX159" s="370"/>
      <c r="BY159" s="370"/>
      <c r="BZ159" s="370"/>
      <c r="CA159" s="370"/>
      <c r="CB159" s="370"/>
      <c r="CC159" s="505"/>
      <c r="CD159" s="505"/>
      <c r="CE159" s="505"/>
      <c r="CF159" s="505"/>
      <c r="CG159" s="505"/>
      <c r="CH159" s="505"/>
      <c r="CI159" s="505"/>
      <c r="CJ159" s="505"/>
      <c r="CK159" s="505"/>
      <c r="CL159" s="505"/>
      <c r="CM159" s="505"/>
    </row>
    <row r="160" customFormat="false" ht="12.75" hidden="false" customHeight="false" outlineLevel="0" collapsed="false">
      <c r="A160" s="500"/>
      <c r="B160" s="500"/>
      <c r="K160" s="363"/>
      <c r="L160" s="501"/>
      <c r="N160" s="502"/>
      <c r="O160" s="502"/>
      <c r="P160" s="371"/>
      <c r="Q160" s="501"/>
      <c r="R160" s="501"/>
      <c r="U160" s="501"/>
      <c r="V160" s="503"/>
      <c r="W160" s="503"/>
      <c r="X160" s="504"/>
      <c r="Y160" s="504"/>
      <c r="Z160" s="504"/>
      <c r="AA160" s="504"/>
      <c r="AB160" s="504"/>
      <c r="AC160" s="504"/>
      <c r="AF160" s="378"/>
      <c r="AG160" s="378"/>
      <c r="AH160" s="378"/>
      <c r="AI160" s="378"/>
      <c r="AJ160" s="378"/>
      <c r="AM160" s="505"/>
      <c r="AN160" s="505"/>
      <c r="AO160" s="505"/>
      <c r="AP160" s="505"/>
      <c r="AR160" s="370"/>
      <c r="AT160" s="370"/>
      <c r="AV160" s="506"/>
      <c r="AW160" s="370"/>
      <c r="AX160" s="370"/>
      <c r="AY160" s="370"/>
      <c r="AZ160" s="370"/>
      <c r="BA160" s="507"/>
      <c r="BB160" s="505"/>
      <c r="BC160" s="505"/>
      <c r="BD160" s="370"/>
      <c r="BE160" s="370"/>
      <c r="BF160" s="370"/>
      <c r="BG160" s="370"/>
      <c r="BH160" s="370"/>
      <c r="BI160" s="370"/>
      <c r="BJ160" s="370"/>
      <c r="BK160" s="370"/>
      <c r="BL160" s="370"/>
      <c r="BM160" s="370"/>
      <c r="BN160" s="370"/>
      <c r="BO160" s="370"/>
      <c r="BP160" s="370"/>
      <c r="BQ160" s="370"/>
      <c r="BR160" s="370"/>
      <c r="BS160" s="370"/>
      <c r="BV160" s="508"/>
      <c r="BW160" s="369"/>
      <c r="BX160" s="370"/>
      <c r="BY160" s="370"/>
      <c r="BZ160" s="370"/>
      <c r="CA160" s="370"/>
      <c r="CB160" s="370"/>
      <c r="CC160" s="505"/>
      <c r="CD160" s="505"/>
      <c r="CE160" s="505"/>
      <c r="CF160" s="505"/>
      <c r="CG160" s="505"/>
      <c r="CH160" s="505"/>
      <c r="CI160" s="505"/>
      <c r="CJ160" s="505"/>
      <c r="CK160" s="505"/>
      <c r="CL160" s="505"/>
      <c r="CM160" s="505"/>
    </row>
    <row r="161" customFormat="false" ht="12.75" hidden="false" customHeight="false" outlineLevel="0" collapsed="false">
      <c r="A161" s="500"/>
      <c r="B161" s="500"/>
      <c r="K161" s="363"/>
      <c r="L161" s="501"/>
      <c r="N161" s="502"/>
      <c r="O161" s="502"/>
      <c r="P161" s="371"/>
      <c r="Q161" s="501"/>
      <c r="R161" s="501"/>
      <c r="U161" s="501"/>
      <c r="V161" s="503"/>
      <c r="W161" s="503"/>
      <c r="X161" s="504"/>
      <c r="Y161" s="504"/>
      <c r="Z161" s="504"/>
      <c r="AA161" s="504"/>
      <c r="AB161" s="504"/>
      <c r="AC161" s="504"/>
      <c r="AF161" s="378"/>
      <c r="AG161" s="378"/>
      <c r="AH161" s="378"/>
      <c r="AI161" s="378"/>
      <c r="AJ161" s="378"/>
      <c r="AM161" s="505"/>
      <c r="AN161" s="505"/>
      <c r="AO161" s="505"/>
      <c r="AP161" s="505"/>
      <c r="AR161" s="370"/>
      <c r="AT161" s="370"/>
      <c r="AV161" s="506"/>
      <c r="AW161" s="370"/>
      <c r="AX161" s="370"/>
      <c r="AY161" s="370"/>
      <c r="AZ161" s="370"/>
      <c r="BA161" s="507"/>
      <c r="BB161" s="505"/>
      <c r="BC161" s="505"/>
      <c r="BD161" s="370"/>
      <c r="BE161" s="370"/>
      <c r="BF161" s="370"/>
      <c r="BG161" s="370"/>
      <c r="BH161" s="370"/>
      <c r="BI161" s="370"/>
      <c r="BJ161" s="370"/>
      <c r="BK161" s="370"/>
      <c r="BL161" s="370"/>
      <c r="BM161" s="370"/>
      <c r="BN161" s="370"/>
      <c r="BO161" s="370"/>
      <c r="BP161" s="370"/>
      <c r="BQ161" s="370"/>
      <c r="BR161" s="370"/>
      <c r="BS161" s="370"/>
      <c r="BV161" s="508"/>
      <c r="BW161" s="369"/>
      <c r="BX161" s="370"/>
      <c r="BY161" s="370"/>
      <c r="BZ161" s="370"/>
      <c r="CA161" s="370"/>
      <c r="CB161" s="370"/>
      <c r="CC161" s="505"/>
      <c r="CD161" s="505"/>
      <c r="CE161" s="505"/>
      <c r="CF161" s="505"/>
      <c r="CG161" s="505"/>
      <c r="CH161" s="505"/>
      <c r="CI161" s="505"/>
      <c r="CJ161" s="505"/>
      <c r="CK161" s="505"/>
      <c r="CL161" s="505"/>
      <c r="CM161" s="505"/>
    </row>
    <row r="162" customFormat="false" ht="12.75" hidden="false" customHeight="false" outlineLevel="0" collapsed="false">
      <c r="A162" s="500"/>
      <c r="B162" s="500"/>
      <c r="K162" s="363"/>
      <c r="L162" s="501"/>
      <c r="N162" s="502"/>
      <c r="O162" s="502"/>
      <c r="P162" s="371"/>
      <c r="Q162" s="501"/>
      <c r="R162" s="501"/>
      <c r="U162" s="501"/>
      <c r="V162" s="503"/>
      <c r="W162" s="503"/>
      <c r="X162" s="504"/>
      <c r="Y162" s="504"/>
      <c r="Z162" s="504"/>
      <c r="AA162" s="504"/>
      <c r="AB162" s="504"/>
      <c r="AC162" s="504"/>
      <c r="AF162" s="378"/>
      <c r="AG162" s="378"/>
      <c r="AH162" s="378"/>
      <c r="AI162" s="378"/>
      <c r="AJ162" s="378"/>
      <c r="AM162" s="505"/>
      <c r="AN162" s="505"/>
      <c r="AO162" s="505"/>
      <c r="AP162" s="505"/>
      <c r="AR162" s="370"/>
      <c r="AT162" s="370"/>
      <c r="AV162" s="506"/>
      <c r="AW162" s="370"/>
      <c r="AX162" s="370"/>
      <c r="AY162" s="370"/>
      <c r="AZ162" s="370"/>
      <c r="BA162" s="507"/>
      <c r="BB162" s="505"/>
      <c r="BC162" s="505"/>
      <c r="BD162" s="370"/>
      <c r="BE162" s="370"/>
      <c r="BF162" s="370"/>
      <c r="BG162" s="370"/>
      <c r="BH162" s="370"/>
      <c r="BI162" s="370"/>
      <c r="BJ162" s="370"/>
      <c r="BK162" s="370"/>
      <c r="BL162" s="370"/>
      <c r="BM162" s="370"/>
      <c r="BN162" s="370"/>
      <c r="BO162" s="370"/>
      <c r="BP162" s="370"/>
      <c r="BQ162" s="370"/>
      <c r="BR162" s="370"/>
      <c r="BS162" s="370"/>
      <c r="BV162" s="508"/>
      <c r="BW162" s="369"/>
      <c r="BX162" s="370"/>
      <c r="BY162" s="370"/>
      <c r="BZ162" s="370"/>
      <c r="CA162" s="370"/>
      <c r="CB162" s="370"/>
      <c r="CC162" s="505"/>
      <c r="CD162" s="505"/>
      <c r="CE162" s="505"/>
      <c r="CF162" s="505"/>
      <c r="CG162" s="505"/>
      <c r="CH162" s="505"/>
      <c r="CI162" s="505"/>
      <c r="CJ162" s="505"/>
      <c r="CK162" s="505"/>
      <c r="CL162" s="505"/>
      <c r="CM162" s="505"/>
    </row>
    <row r="163" customFormat="false" ht="12.75" hidden="false" customHeight="false" outlineLevel="0" collapsed="false">
      <c r="A163" s="500"/>
      <c r="B163" s="500"/>
      <c r="K163" s="363"/>
      <c r="L163" s="501"/>
      <c r="N163" s="502"/>
      <c r="O163" s="502"/>
      <c r="P163" s="371"/>
      <c r="Q163" s="501"/>
      <c r="R163" s="501"/>
      <c r="U163" s="501"/>
      <c r="V163" s="503"/>
      <c r="W163" s="503"/>
      <c r="X163" s="504"/>
      <c r="Y163" s="504"/>
      <c r="Z163" s="504"/>
      <c r="AA163" s="504"/>
      <c r="AB163" s="504"/>
      <c r="AC163" s="504"/>
      <c r="AF163" s="378"/>
      <c r="AG163" s="378"/>
      <c r="AH163" s="378"/>
      <c r="AI163" s="378"/>
      <c r="AJ163" s="378"/>
      <c r="AM163" s="505"/>
      <c r="AN163" s="505"/>
      <c r="AO163" s="505"/>
      <c r="AP163" s="505"/>
      <c r="AR163" s="370"/>
      <c r="AT163" s="370"/>
      <c r="AV163" s="506"/>
      <c r="AW163" s="370"/>
      <c r="AX163" s="370"/>
      <c r="AY163" s="370"/>
      <c r="AZ163" s="370"/>
      <c r="BA163" s="507"/>
      <c r="BB163" s="505"/>
      <c r="BC163" s="505"/>
      <c r="BD163" s="370"/>
      <c r="BE163" s="370"/>
      <c r="BF163" s="370"/>
      <c r="BG163" s="370"/>
      <c r="BH163" s="370"/>
      <c r="BI163" s="370"/>
      <c r="BJ163" s="370"/>
      <c r="BK163" s="370"/>
      <c r="BL163" s="370"/>
      <c r="BM163" s="370"/>
      <c r="BN163" s="370"/>
      <c r="BO163" s="370"/>
      <c r="BP163" s="370"/>
      <c r="BQ163" s="370"/>
      <c r="BR163" s="370"/>
      <c r="BS163" s="370"/>
      <c r="BV163" s="508"/>
      <c r="BW163" s="369"/>
      <c r="BX163" s="370"/>
      <c r="BY163" s="370"/>
      <c r="BZ163" s="370"/>
      <c r="CA163" s="370"/>
      <c r="CB163" s="370"/>
      <c r="CC163" s="505"/>
      <c r="CD163" s="505"/>
      <c r="CE163" s="505"/>
      <c r="CF163" s="505"/>
      <c r="CG163" s="505"/>
      <c r="CH163" s="505"/>
      <c r="CI163" s="505"/>
      <c r="CJ163" s="505"/>
      <c r="CK163" s="505"/>
      <c r="CL163" s="505"/>
      <c r="CM163" s="505"/>
    </row>
    <row r="164" customFormat="false" ht="12.75" hidden="false" customHeight="false" outlineLevel="0" collapsed="false">
      <c r="A164" s="500"/>
      <c r="B164" s="500"/>
      <c r="K164" s="363"/>
      <c r="L164" s="501"/>
      <c r="N164" s="502"/>
      <c r="O164" s="502"/>
      <c r="P164" s="371"/>
      <c r="Q164" s="501"/>
      <c r="R164" s="501"/>
      <c r="U164" s="501"/>
      <c r="V164" s="503"/>
      <c r="W164" s="503"/>
      <c r="X164" s="504"/>
      <c r="Y164" s="504"/>
      <c r="Z164" s="504"/>
      <c r="AA164" s="504"/>
      <c r="AB164" s="504"/>
      <c r="AC164" s="504"/>
      <c r="AF164" s="378"/>
      <c r="AG164" s="378"/>
      <c r="AH164" s="378"/>
      <c r="AI164" s="378"/>
      <c r="AJ164" s="378"/>
      <c r="AM164" s="505"/>
      <c r="AN164" s="505"/>
      <c r="AO164" s="505"/>
      <c r="AP164" s="505"/>
      <c r="AR164" s="370"/>
      <c r="AT164" s="370"/>
      <c r="AV164" s="506"/>
      <c r="AW164" s="370"/>
      <c r="AX164" s="370"/>
      <c r="AY164" s="370"/>
      <c r="AZ164" s="370"/>
      <c r="BA164" s="507"/>
      <c r="BB164" s="505"/>
      <c r="BC164" s="505"/>
      <c r="BD164" s="370"/>
      <c r="BE164" s="370"/>
      <c r="BF164" s="370"/>
      <c r="BG164" s="370"/>
      <c r="BH164" s="370"/>
      <c r="BI164" s="370"/>
      <c r="BJ164" s="370"/>
      <c r="BK164" s="370"/>
      <c r="BL164" s="370"/>
      <c r="BM164" s="370"/>
      <c r="BN164" s="370"/>
      <c r="BO164" s="370"/>
      <c r="BP164" s="370"/>
      <c r="BQ164" s="370"/>
      <c r="BR164" s="370"/>
      <c r="BS164" s="370"/>
      <c r="BV164" s="508"/>
      <c r="BW164" s="369"/>
      <c r="BX164" s="370"/>
      <c r="BY164" s="370"/>
      <c r="BZ164" s="370"/>
      <c r="CA164" s="370"/>
      <c r="CB164" s="370"/>
      <c r="CC164" s="505"/>
      <c r="CD164" s="505"/>
      <c r="CE164" s="505"/>
      <c r="CF164" s="505"/>
      <c r="CG164" s="505"/>
      <c r="CH164" s="505"/>
      <c r="CI164" s="505"/>
      <c r="CJ164" s="505"/>
      <c r="CK164" s="505"/>
      <c r="CL164" s="505"/>
      <c r="CM164" s="505"/>
    </row>
    <row r="165" customFormat="false" ht="12.75" hidden="false" customHeight="false" outlineLevel="0" collapsed="false">
      <c r="A165" s="500"/>
      <c r="B165" s="500"/>
      <c r="K165" s="363"/>
      <c r="L165" s="501"/>
      <c r="N165" s="502"/>
      <c r="O165" s="502"/>
      <c r="P165" s="371"/>
      <c r="Q165" s="501"/>
      <c r="R165" s="501"/>
      <c r="U165" s="501"/>
      <c r="V165" s="503"/>
      <c r="W165" s="503"/>
      <c r="X165" s="504"/>
      <c r="Y165" s="504"/>
      <c r="Z165" s="504"/>
      <c r="AA165" s="504"/>
      <c r="AB165" s="504"/>
      <c r="AC165" s="504"/>
      <c r="AF165" s="378"/>
      <c r="AG165" s="378"/>
      <c r="AH165" s="378"/>
      <c r="AI165" s="378"/>
      <c r="AJ165" s="378"/>
      <c r="AM165" s="505"/>
      <c r="AN165" s="505"/>
      <c r="AO165" s="505"/>
      <c r="AP165" s="505"/>
      <c r="AR165" s="370"/>
      <c r="AT165" s="370"/>
      <c r="AV165" s="506"/>
      <c r="AW165" s="370"/>
      <c r="AX165" s="370"/>
      <c r="AY165" s="370"/>
      <c r="AZ165" s="370"/>
      <c r="BA165" s="507"/>
      <c r="BB165" s="505"/>
      <c r="BC165" s="505"/>
      <c r="BD165" s="370"/>
      <c r="BE165" s="370"/>
      <c r="BF165" s="370"/>
      <c r="BG165" s="370"/>
      <c r="BH165" s="370"/>
      <c r="BI165" s="370"/>
      <c r="BJ165" s="370"/>
      <c r="BK165" s="370"/>
      <c r="BL165" s="370"/>
      <c r="BM165" s="370"/>
      <c r="BN165" s="370"/>
      <c r="BO165" s="370"/>
      <c r="BP165" s="370"/>
      <c r="BQ165" s="370"/>
      <c r="BR165" s="370"/>
      <c r="BS165" s="370"/>
      <c r="BV165" s="508"/>
      <c r="BW165" s="369"/>
      <c r="BX165" s="370"/>
      <c r="BY165" s="370"/>
      <c r="BZ165" s="370"/>
      <c r="CA165" s="370"/>
      <c r="CB165" s="370"/>
      <c r="CC165" s="505"/>
      <c r="CD165" s="505"/>
      <c r="CE165" s="505"/>
      <c r="CF165" s="505"/>
      <c r="CG165" s="505"/>
      <c r="CH165" s="505"/>
      <c r="CI165" s="505"/>
      <c r="CJ165" s="505"/>
      <c r="CK165" s="505"/>
      <c r="CL165" s="505"/>
      <c r="CM165" s="505"/>
    </row>
    <row r="166" customFormat="false" ht="12.75" hidden="false" customHeight="false" outlineLevel="0" collapsed="false">
      <c r="A166" s="500"/>
      <c r="B166" s="500"/>
      <c r="K166" s="363"/>
      <c r="L166" s="501"/>
      <c r="N166" s="502"/>
      <c r="O166" s="502"/>
      <c r="P166" s="371"/>
      <c r="Q166" s="501"/>
      <c r="R166" s="501"/>
      <c r="U166" s="501"/>
      <c r="V166" s="503"/>
      <c r="W166" s="503"/>
      <c r="X166" s="504"/>
      <c r="Y166" s="504"/>
      <c r="Z166" s="504"/>
      <c r="AA166" s="504"/>
      <c r="AB166" s="504"/>
      <c r="AC166" s="504"/>
      <c r="AF166" s="378"/>
      <c r="AG166" s="378"/>
      <c r="AH166" s="378"/>
      <c r="AI166" s="378"/>
      <c r="AJ166" s="378"/>
      <c r="AM166" s="505"/>
      <c r="AN166" s="505"/>
      <c r="AO166" s="505"/>
      <c r="AP166" s="505"/>
      <c r="AR166" s="370"/>
      <c r="AT166" s="370"/>
      <c r="AV166" s="506"/>
      <c r="AW166" s="370"/>
      <c r="AX166" s="370"/>
      <c r="AY166" s="370"/>
      <c r="AZ166" s="370"/>
      <c r="BA166" s="507"/>
      <c r="BB166" s="505"/>
      <c r="BC166" s="505"/>
      <c r="BD166" s="370"/>
      <c r="BE166" s="370"/>
      <c r="BF166" s="370"/>
      <c r="BG166" s="370"/>
      <c r="BH166" s="370"/>
      <c r="BI166" s="370"/>
      <c r="BJ166" s="370"/>
      <c r="BK166" s="370"/>
      <c r="BL166" s="370"/>
      <c r="BM166" s="370"/>
      <c r="BN166" s="370"/>
      <c r="BO166" s="370"/>
      <c r="BP166" s="370"/>
      <c r="BQ166" s="370"/>
      <c r="BR166" s="370"/>
      <c r="BS166" s="370"/>
      <c r="BV166" s="508"/>
      <c r="BW166" s="369"/>
      <c r="BX166" s="370"/>
      <c r="BY166" s="370"/>
      <c r="BZ166" s="370"/>
      <c r="CA166" s="370"/>
      <c r="CB166" s="370"/>
      <c r="CC166" s="505"/>
      <c r="CD166" s="505"/>
      <c r="CE166" s="505"/>
      <c r="CF166" s="505"/>
      <c r="CG166" s="505"/>
      <c r="CH166" s="505"/>
      <c r="CI166" s="505"/>
      <c r="CJ166" s="505"/>
      <c r="CK166" s="505"/>
      <c r="CL166" s="505"/>
      <c r="CM166" s="505"/>
    </row>
    <row r="167" customFormat="false" ht="12.75" hidden="false" customHeight="false" outlineLevel="0" collapsed="false">
      <c r="A167" s="500"/>
      <c r="B167" s="500"/>
      <c r="K167" s="363"/>
      <c r="L167" s="501"/>
      <c r="N167" s="502"/>
      <c r="O167" s="502"/>
      <c r="P167" s="371"/>
      <c r="Q167" s="501"/>
      <c r="R167" s="501"/>
      <c r="U167" s="501"/>
      <c r="V167" s="503"/>
      <c r="W167" s="503"/>
      <c r="X167" s="504"/>
      <c r="Y167" s="504"/>
      <c r="Z167" s="504"/>
      <c r="AA167" s="504"/>
      <c r="AB167" s="504"/>
      <c r="AC167" s="504"/>
      <c r="AF167" s="378"/>
      <c r="AG167" s="378"/>
      <c r="AH167" s="378"/>
      <c r="AI167" s="378"/>
      <c r="AJ167" s="378"/>
      <c r="AM167" s="505"/>
      <c r="AN167" s="505"/>
      <c r="AO167" s="505"/>
      <c r="AP167" s="505"/>
      <c r="AR167" s="370"/>
      <c r="AT167" s="370"/>
      <c r="AV167" s="506"/>
      <c r="AW167" s="370"/>
      <c r="AX167" s="370"/>
      <c r="AY167" s="370"/>
      <c r="AZ167" s="370"/>
      <c r="BA167" s="507"/>
      <c r="BB167" s="505"/>
      <c r="BC167" s="505"/>
      <c r="BD167" s="370"/>
      <c r="BE167" s="370"/>
      <c r="BF167" s="370"/>
      <c r="BG167" s="370"/>
      <c r="BH167" s="370"/>
      <c r="BI167" s="370"/>
      <c r="BJ167" s="370"/>
      <c r="BK167" s="370"/>
      <c r="BL167" s="370"/>
      <c r="BM167" s="370"/>
      <c r="BN167" s="370"/>
      <c r="BO167" s="370"/>
      <c r="BP167" s="370"/>
      <c r="BQ167" s="370"/>
      <c r="BR167" s="370"/>
      <c r="BS167" s="370"/>
      <c r="BV167" s="508"/>
      <c r="BW167" s="369"/>
      <c r="BX167" s="370"/>
      <c r="BY167" s="370"/>
      <c r="BZ167" s="370"/>
      <c r="CA167" s="370"/>
      <c r="CB167" s="370"/>
      <c r="CC167" s="505"/>
      <c r="CD167" s="505"/>
      <c r="CE167" s="505"/>
      <c r="CF167" s="505"/>
      <c r="CG167" s="505"/>
      <c r="CH167" s="505"/>
      <c r="CI167" s="505"/>
      <c r="CJ167" s="505"/>
      <c r="CK167" s="505"/>
      <c r="CL167" s="505"/>
      <c r="CM167" s="505"/>
    </row>
    <row r="168" customFormat="false" ht="12.75" hidden="false" customHeight="false" outlineLevel="0" collapsed="false">
      <c r="A168" s="500"/>
      <c r="B168" s="500"/>
      <c r="K168" s="363"/>
      <c r="L168" s="501"/>
      <c r="N168" s="502"/>
      <c r="O168" s="502"/>
      <c r="P168" s="371"/>
      <c r="Q168" s="501"/>
      <c r="R168" s="501"/>
      <c r="U168" s="501"/>
      <c r="V168" s="503"/>
      <c r="W168" s="503"/>
      <c r="X168" s="504"/>
      <c r="Y168" s="504"/>
      <c r="Z168" s="504"/>
      <c r="AA168" s="504"/>
      <c r="AB168" s="504"/>
      <c r="AC168" s="504"/>
      <c r="AF168" s="378"/>
      <c r="AG168" s="378"/>
      <c r="AH168" s="378"/>
      <c r="AI168" s="378"/>
      <c r="AJ168" s="378"/>
      <c r="AM168" s="505"/>
      <c r="AN168" s="505"/>
      <c r="AO168" s="505"/>
      <c r="AP168" s="505"/>
      <c r="AR168" s="370"/>
      <c r="AT168" s="370"/>
      <c r="AV168" s="506"/>
      <c r="AW168" s="370"/>
      <c r="AX168" s="370"/>
      <c r="AY168" s="370"/>
      <c r="AZ168" s="370"/>
      <c r="BA168" s="507"/>
      <c r="BB168" s="505"/>
      <c r="BC168" s="505"/>
      <c r="BD168" s="370"/>
      <c r="BE168" s="370"/>
      <c r="BF168" s="370"/>
      <c r="BG168" s="370"/>
      <c r="BH168" s="370"/>
      <c r="BI168" s="370"/>
      <c r="BJ168" s="370"/>
      <c r="BK168" s="370"/>
      <c r="BL168" s="370"/>
      <c r="BM168" s="370"/>
      <c r="BN168" s="370"/>
      <c r="BO168" s="370"/>
      <c r="BP168" s="370"/>
      <c r="BQ168" s="370"/>
      <c r="BR168" s="370"/>
      <c r="BS168" s="370"/>
      <c r="BV168" s="508"/>
      <c r="BW168" s="369"/>
      <c r="BX168" s="370"/>
      <c r="BY168" s="370"/>
      <c r="BZ168" s="370"/>
      <c r="CA168" s="370"/>
      <c r="CB168" s="370"/>
      <c r="CC168" s="505"/>
      <c r="CD168" s="505"/>
      <c r="CE168" s="505"/>
      <c r="CF168" s="505"/>
      <c r="CG168" s="505"/>
      <c r="CH168" s="505"/>
      <c r="CI168" s="505"/>
      <c r="CJ168" s="505"/>
      <c r="CK168" s="505"/>
      <c r="CL168" s="505"/>
      <c r="CM168" s="505"/>
    </row>
    <row r="169" customFormat="false" ht="12.75" hidden="false" customHeight="false" outlineLevel="0" collapsed="false">
      <c r="A169" s="500"/>
      <c r="B169" s="500"/>
      <c r="K169" s="363"/>
      <c r="L169" s="501"/>
      <c r="N169" s="502"/>
      <c r="O169" s="502"/>
      <c r="P169" s="371"/>
      <c r="Q169" s="501"/>
      <c r="R169" s="501"/>
      <c r="U169" s="501"/>
      <c r="V169" s="503"/>
      <c r="W169" s="503"/>
      <c r="X169" s="504"/>
      <c r="Y169" s="504"/>
      <c r="Z169" s="504"/>
      <c r="AA169" s="504"/>
      <c r="AB169" s="504"/>
      <c r="AC169" s="504"/>
      <c r="AF169" s="378"/>
      <c r="AG169" s="378"/>
      <c r="AH169" s="378"/>
      <c r="AI169" s="378"/>
      <c r="AJ169" s="378"/>
      <c r="AM169" s="505"/>
      <c r="AN169" s="505"/>
      <c r="AO169" s="505"/>
      <c r="AP169" s="505"/>
      <c r="AR169" s="370"/>
      <c r="AT169" s="370"/>
      <c r="AV169" s="506"/>
      <c r="AW169" s="370"/>
      <c r="AX169" s="370"/>
      <c r="AY169" s="370"/>
      <c r="AZ169" s="370"/>
      <c r="BA169" s="507"/>
      <c r="BB169" s="505"/>
      <c r="BC169" s="505"/>
      <c r="BD169" s="370"/>
      <c r="BE169" s="370"/>
      <c r="BF169" s="370"/>
      <c r="BG169" s="370"/>
      <c r="BH169" s="370"/>
      <c r="BI169" s="370"/>
      <c r="BJ169" s="370"/>
      <c r="BK169" s="370"/>
      <c r="BL169" s="370"/>
      <c r="BM169" s="370"/>
      <c r="BN169" s="370"/>
      <c r="BO169" s="370"/>
      <c r="BP169" s="370"/>
      <c r="BQ169" s="370"/>
      <c r="BR169" s="370"/>
      <c r="BS169" s="370"/>
      <c r="BV169" s="508"/>
      <c r="BW169" s="369"/>
      <c r="BX169" s="370"/>
      <c r="BY169" s="370"/>
      <c r="BZ169" s="370"/>
      <c r="CA169" s="370"/>
      <c r="CB169" s="370"/>
      <c r="CC169" s="505"/>
      <c r="CD169" s="505"/>
      <c r="CE169" s="505"/>
      <c r="CF169" s="505"/>
      <c r="CG169" s="505"/>
      <c r="CH169" s="505"/>
      <c r="CI169" s="505"/>
      <c r="CJ169" s="505"/>
      <c r="CK169" s="505"/>
      <c r="CL169" s="505"/>
      <c r="CM169" s="505"/>
    </row>
    <row r="170" customFormat="false" ht="12.75" hidden="false" customHeight="false" outlineLevel="0" collapsed="false">
      <c r="A170" s="500"/>
      <c r="B170" s="500"/>
      <c r="K170" s="363"/>
      <c r="L170" s="501"/>
      <c r="N170" s="502"/>
      <c r="O170" s="502"/>
      <c r="P170" s="371"/>
      <c r="Q170" s="501"/>
      <c r="R170" s="501"/>
      <c r="U170" s="501"/>
      <c r="V170" s="503"/>
      <c r="W170" s="503"/>
      <c r="X170" s="504"/>
      <c r="Y170" s="504"/>
      <c r="Z170" s="504"/>
      <c r="AA170" s="504"/>
      <c r="AB170" s="504"/>
      <c r="AC170" s="504"/>
      <c r="AF170" s="378"/>
      <c r="AG170" s="378"/>
      <c r="AH170" s="378"/>
      <c r="AI170" s="378"/>
      <c r="AJ170" s="378"/>
      <c r="AM170" s="505"/>
      <c r="AN170" s="505"/>
      <c r="AO170" s="505"/>
      <c r="AP170" s="505"/>
      <c r="AR170" s="370"/>
      <c r="AT170" s="370"/>
      <c r="AV170" s="506"/>
      <c r="AW170" s="370"/>
      <c r="AX170" s="370"/>
      <c r="AY170" s="370"/>
      <c r="AZ170" s="370"/>
      <c r="BA170" s="507"/>
      <c r="BB170" s="505"/>
      <c r="BC170" s="505"/>
      <c r="BD170" s="370"/>
      <c r="BE170" s="370"/>
      <c r="BF170" s="370"/>
      <c r="BG170" s="370"/>
      <c r="BH170" s="370"/>
      <c r="BI170" s="370"/>
      <c r="BJ170" s="370"/>
      <c r="BK170" s="370"/>
      <c r="BL170" s="370"/>
      <c r="BM170" s="370"/>
      <c r="BN170" s="370"/>
      <c r="BO170" s="370"/>
      <c r="BP170" s="370"/>
      <c r="BQ170" s="370"/>
      <c r="BR170" s="370"/>
      <c r="BS170" s="370"/>
      <c r="BV170" s="508"/>
      <c r="BW170" s="369"/>
      <c r="BX170" s="370"/>
      <c r="BY170" s="370"/>
      <c r="BZ170" s="370"/>
      <c r="CA170" s="370"/>
      <c r="CB170" s="370"/>
      <c r="CC170" s="505"/>
      <c r="CD170" s="505"/>
      <c r="CE170" s="505"/>
      <c r="CF170" s="505"/>
      <c r="CG170" s="505"/>
      <c r="CH170" s="505"/>
      <c r="CI170" s="505"/>
      <c r="CJ170" s="505"/>
      <c r="CK170" s="505"/>
      <c r="CL170" s="505"/>
      <c r="CM170" s="505"/>
    </row>
    <row r="171" customFormat="false" ht="12.75" hidden="false" customHeight="false" outlineLevel="0" collapsed="false">
      <c r="A171" s="500"/>
      <c r="B171" s="500"/>
      <c r="K171" s="363"/>
      <c r="L171" s="501"/>
      <c r="N171" s="502"/>
      <c r="O171" s="502"/>
      <c r="P171" s="371"/>
      <c r="Q171" s="501"/>
      <c r="R171" s="501"/>
      <c r="U171" s="501"/>
      <c r="V171" s="503"/>
      <c r="W171" s="503"/>
      <c r="X171" s="504"/>
      <c r="Y171" s="504"/>
      <c r="Z171" s="504"/>
      <c r="AA171" s="504"/>
      <c r="AB171" s="504"/>
      <c r="AC171" s="504"/>
      <c r="AF171" s="378"/>
      <c r="AG171" s="378"/>
      <c r="AH171" s="378"/>
      <c r="AI171" s="378"/>
      <c r="AJ171" s="378"/>
      <c r="AM171" s="505"/>
      <c r="AN171" s="505"/>
      <c r="AO171" s="505"/>
      <c r="AP171" s="505"/>
      <c r="AR171" s="370"/>
      <c r="AT171" s="370"/>
      <c r="AV171" s="506"/>
      <c r="AW171" s="370"/>
      <c r="AX171" s="370"/>
      <c r="AY171" s="370"/>
      <c r="AZ171" s="370"/>
      <c r="BA171" s="507"/>
      <c r="BB171" s="505"/>
      <c r="BC171" s="505"/>
      <c r="BD171" s="370"/>
      <c r="BE171" s="370"/>
      <c r="BF171" s="370"/>
      <c r="BG171" s="370"/>
      <c r="BH171" s="370"/>
      <c r="BI171" s="370"/>
      <c r="BJ171" s="370"/>
      <c r="BK171" s="370"/>
      <c r="BL171" s="370"/>
      <c r="BM171" s="370"/>
      <c r="BN171" s="370"/>
      <c r="BO171" s="370"/>
      <c r="BP171" s="370"/>
      <c r="BQ171" s="370"/>
      <c r="BR171" s="370"/>
      <c r="BS171" s="370"/>
      <c r="BV171" s="508"/>
      <c r="BW171" s="369"/>
      <c r="BX171" s="370"/>
      <c r="BY171" s="370"/>
      <c r="BZ171" s="370"/>
      <c r="CA171" s="370"/>
      <c r="CB171" s="370"/>
      <c r="CC171" s="505"/>
      <c r="CD171" s="505"/>
      <c r="CE171" s="505"/>
      <c r="CF171" s="505"/>
      <c r="CG171" s="505"/>
      <c r="CH171" s="505"/>
      <c r="CI171" s="505"/>
      <c r="CJ171" s="505"/>
      <c r="CK171" s="505"/>
      <c r="CL171" s="505"/>
      <c r="CM171" s="505"/>
    </row>
    <row r="172" customFormat="false" ht="12.75" hidden="false" customHeight="false" outlineLevel="0" collapsed="false">
      <c r="A172" s="500"/>
      <c r="B172" s="500"/>
      <c r="K172" s="363"/>
      <c r="L172" s="501"/>
      <c r="N172" s="502"/>
      <c r="O172" s="502"/>
      <c r="P172" s="371"/>
      <c r="Q172" s="501"/>
      <c r="R172" s="501"/>
      <c r="U172" s="501"/>
      <c r="V172" s="503"/>
      <c r="W172" s="503"/>
      <c r="X172" s="504"/>
      <c r="Y172" s="504"/>
      <c r="Z172" s="504"/>
      <c r="AA172" s="504"/>
      <c r="AB172" s="504"/>
      <c r="AC172" s="504"/>
      <c r="AF172" s="378"/>
      <c r="AG172" s="378"/>
      <c r="AH172" s="378"/>
      <c r="AI172" s="378"/>
      <c r="AJ172" s="378"/>
      <c r="AM172" s="505"/>
      <c r="AN172" s="505"/>
      <c r="AO172" s="505"/>
      <c r="AP172" s="505"/>
      <c r="AR172" s="370"/>
      <c r="AT172" s="370"/>
      <c r="AV172" s="506"/>
      <c r="AW172" s="370"/>
      <c r="AX172" s="370"/>
      <c r="AY172" s="370"/>
      <c r="AZ172" s="370"/>
      <c r="BA172" s="507"/>
      <c r="BB172" s="505"/>
      <c r="BC172" s="505"/>
      <c r="BD172" s="370"/>
      <c r="BE172" s="370"/>
      <c r="BF172" s="370"/>
      <c r="BG172" s="370"/>
      <c r="BH172" s="370"/>
      <c r="BI172" s="370"/>
      <c r="BJ172" s="370"/>
      <c r="BK172" s="370"/>
      <c r="BL172" s="370"/>
      <c r="BM172" s="370"/>
      <c r="BN172" s="370"/>
      <c r="BO172" s="370"/>
      <c r="BP172" s="370"/>
      <c r="BQ172" s="370"/>
      <c r="BR172" s="370"/>
      <c r="BS172" s="370"/>
      <c r="BV172" s="508"/>
      <c r="BW172" s="369"/>
      <c r="BX172" s="370"/>
      <c r="BY172" s="370"/>
      <c r="BZ172" s="370"/>
      <c r="CA172" s="370"/>
      <c r="CB172" s="370"/>
      <c r="CC172" s="505"/>
      <c r="CD172" s="505"/>
      <c r="CE172" s="505"/>
      <c r="CF172" s="505"/>
      <c r="CG172" s="505"/>
      <c r="CH172" s="505"/>
      <c r="CI172" s="505"/>
      <c r="CJ172" s="505"/>
      <c r="CK172" s="505"/>
      <c r="CL172" s="505"/>
      <c r="CM172" s="505"/>
    </row>
    <row r="173" customFormat="false" ht="12.75" hidden="false" customHeight="false" outlineLevel="0" collapsed="false">
      <c r="A173" s="500"/>
      <c r="B173" s="500"/>
      <c r="K173" s="363"/>
      <c r="L173" s="501"/>
      <c r="N173" s="502"/>
      <c r="O173" s="502"/>
      <c r="P173" s="371"/>
      <c r="Q173" s="501"/>
      <c r="R173" s="501"/>
      <c r="U173" s="501"/>
      <c r="V173" s="503"/>
      <c r="W173" s="503"/>
      <c r="X173" s="504"/>
      <c r="Y173" s="504"/>
      <c r="Z173" s="504"/>
      <c r="AA173" s="504"/>
      <c r="AB173" s="504"/>
      <c r="AC173" s="504"/>
      <c r="AF173" s="378"/>
      <c r="AG173" s="378"/>
      <c r="AH173" s="378"/>
      <c r="AI173" s="378"/>
      <c r="AJ173" s="378"/>
      <c r="AM173" s="505"/>
      <c r="AN173" s="505"/>
      <c r="AO173" s="505"/>
      <c r="AP173" s="505"/>
      <c r="AR173" s="370"/>
      <c r="AT173" s="370"/>
      <c r="AV173" s="506"/>
      <c r="AW173" s="370"/>
      <c r="AX173" s="370"/>
      <c r="AY173" s="370"/>
      <c r="AZ173" s="370"/>
      <c r="BA173" s="507"/>
      <c r="BB173" s="505"/>
      <c r="BC173" s="505"/>
      <c r="BD173" s="370"/>
      <c r="BE173" s="370"/>
      <c r="BF173" s="370"/>
      <c r="BG173" s="370"/>
      <c r="BH173" s="370"/>
      <c r="BI173" s="370"/>
      <c r="BJ173" s="370"/>
      <c r="BK173" s="370"/>
      <c r="BL173" s="370"/>
      <c r="BM173" s="370"/>
      <c r="BN173" s="370"/>
      <c r="BO173" s="370"/>
      <c r="BP173" s="370"/>
      <c r="BQ173" s="370"/>
      <c r="BR173" s="370"/>
      <c r="BS173" s="370"/>
      <c r="BV173" s="508"/>
      <c r="BW173" s="369"/>
      <c r="BX173" s="370"/>
      <c r="BY173" s="370"/>
      <c r="BZ173" s="370"/>
      <c r="CA173" s="370"/>
      <c r="CB173" s="370"/>
      <c r="CC173" s="505"/>
      <c r="CD173" s="505"/>
      <c r="CE173" s="505"/>
      <c r="CF173" s="505"/>
      <c r="CG173" s="505"/>
      <c r="CH173" s="505"/>
      <c r="CI173" s="505"/>
      <c r="CJ173" s="505"/>
      <c r="CK173" s="505"/>
      <c r="CL173" s="505"/>
      <c r="CM173" s="505"/>
    </row>
    <row r="174" customFormat="false" ht="12.75" hidden="false" customHeight="false" outlineLevel="0" collapsed="false">
      <c r="A174" s="500"/>
      <c r="B174" s="500"/>
      <c r="K174" s="363"/>
      <c r="L174" s="501"/>
      <c r="N174" s="502"/>
      <c r="O174" s="502"/>
      <c r="P174" s="371"/>
      <c r="Q174" s="501"/>
      <c r="R174" s="501"/>
      <c r="U174" s="501"/>
      <c r="V174" s="503"/>
      <c r="W174" s="503"/>
      <c r="X174" s="504"/>
      <c r="Y174" s="504"/>
      <c r="Z174" s="504"/>
      <c r="AA174" s="504"/>
      <c r="AB174" s="504"/>
      <c r="AC174" s="504"/>
      <c r="AF174" s="378"/>
      <c r="AG174" s="378"/>
      <c r="AH174" s="378"/>
      <c r="AI174" s="378"/>
      <c r="AJ174" s="378"/>
      <c r="AM174" s="505"/>
      <c r="AN174" s="505"/>
      <c r="AO174" s="505"/>
      <c r="AP174" s="505"/>
      <c r="AR174" s="370"/>
      <c r="AT174" s="370"/>
      <c r="AV174" s="506"/>
      <c r="AW174" s="370"/>
      <c r="AX174" s="370"/>
      <c r="AY174" s="370"/>
      <c r="AZ174" s="370"/>
      <c r="BA174" s="507"/>
      <c r="BB174" s="505"/>
      <c r="BC174" s="505"/>
      <c r="BD174" s="370"/>
      <c r="BE174" s="370"/>
      <c r="BF174" s="370"/>
      <c r="BG174" s="370"/>
      <c r="BH174" s="370"/>
      <c r="BI174" s="370"/>
      <c r="BJ174" s="370"/>
      <c r="BK174" s="370"/>
      <c r="BL174" s="370"/>
      <c r="BM174" s="370"/>
      <c r="BN174" s="370"/>
      <c r="BO174" s="370"/>
      <c r="BP174" s="370"/>
      <c r="BQ174" s="370"/>
      <c r="BR174" s="370"/>
      <c r="BS174" s="370"/>
      <c r="BV174" s="508"/>
      <c r="BW174" s="369"/>
      <c r="BX174" s="370"/>
      <c r="BY174" s="370"/>
      <c r="BZ174" s="370"/>
      <c r="CA174" s="370"/>
      <c r="CB174" s="370"/>
      <c r="CC174" s="505"/>
      <c r="CD174" s="505"/>
      <c r="CE174" s="505"/>
      <c r="CF174" s="505"/>
      <c r="CG174" s="505"/>
      <c r="CH174" s="505"/>
      <c r="CI174" s="505"/>
      <c r="CJ174" s="505"/>
      <c r="CK174" s="505"/>
      <c r="CL174" s="505"/>
      <c r="CM174" s="505"/>
    </row>
    <row r="175" customFormat="false" ht="12.75" hidden="false" customHeight="false" outlineLevel="0" collapsed="false">
      <c r="A175" s="500"/>
      <c r="B175" s="500"/>
      <c r="K175" s="363"/>
      <c r="L175" s="501"/>
      <c r="N175" s="502"/>
      <c r="O175" s="502"/>
      <c r="P175" s="371"/>
      <c r="Q175" s="501"/>
      <c r="R175" s="501"/>
      <c r="U175" s="501"/>
      <c r="V175" s="503"/>
      <c r="W175" s="503"/>
      <c r="X175" s="504"/>
      <c r="Y175" s="504"/>
      <c r="Z175" s="504"/>
      <c r="AA175" s="504"/>
      <c r="AB175" s="504"/>
      <c r="AC175" s="504"/>
      <c r="AF175" s="378"/>
      <c r="AG175" s="378"/>
      <c r="AH175" s="378"/>
      <c r="AI175" s="378"/>
      <c r="AJ175" s="378"/>
      <c r="AM175" s="505"/>
      <c r="AN175" s="505"/>
      <c r="AO175" s="505"/>
      <c r="AP175" s="505"/>
      <c r="AR175" s="370"/>
      <c r="AT175" s="370"/>
      <c r="AV175" s="506"/>
      <c r="AW175" s="370"/>
      <c r="AX175" s="370"/>
      <c r="AY175" s="370"/>
      <c r="AZ175" s="370"/>
      <c r="BA175" s="507"/>
      <c r="BB175" s="505"/>
      <c r="BC175" s="505"/>
      <c r="BD175" s="370"/>
      <c r="BE175" s="370"/>
      <c r="BF175" s="370"/>
      <c r="BG175" s="370"/>
      <c r="BH175" s="370"/>
      <c r="BI175" s="370"/>
      <c r="BJ175" s="370"/>
      <c r="BK175" s="370"/>
      <c r="BL175" s="370"/>
      <c r="BM175" s="370"/>
      <c r="BN175" s="370"/>
      <c r="BO175" s="370"/>
      <c r="BP175" s="370"/>
      <c r="BQ175" s="370"/>
      <c r="BR175" s="370"/>
      <c r="BS175" s="370"/>
      <c r="BV175" s="508"/>
      <c r="BW175" s="369"/>
      <c r="BX175" s="370"/>
      <c r="BY175" s="370"/>
      <c r="BZ175" s="370"/>
      <c r="CA175" s="370"/>
      <c r="CB175" s="370"/>
      <c r="CC175" s="505"/>
      <c r="CD175" s="505"/>
      <c r="CE175" s="505"/>
      <c r="CF175" s="505"/>
      <c r="CG175" s="505"/>
      <c r="CH175" s="505"/>
      <c r="CI175" s="505"/>
      <c r="CJ175" s="505"/>
      <c r="CK175" s="505"/>
      <c r="CL175" s="505"/>
      <c r="CM175" s="505"/>
    </row>
    <row r="176" customFormat="false" ht="12.75" hidden="false" customHeight="false" outlineLevel="0" collapsed="false">
      <c r="A176" s="500"/>
      <c r="B176" s="500"/>
      <c r="K176" s="363"/>
      <c r="L176" s="501"/>
      <c r="N176" s="502"/>
      <c r="O176" s="502"/>
      <c r="P176" s="371"/>
      <c r="Q176" s="501"/>
      <c r="R176" s="501"/>
      <c r="U176" s="501"/>
      <c r="V176" s="503"/>
      <c r="W176" s="503"/>
      <c r="X176" s="504"/>
      <c r="Y176" s="504"/>
      <c r="Z176" s="504"/>
      <c r="AA176" s="504"/>
      <c r="AB176" s="504"/>
      <c r="AC176" s="504"/>
      <c r="AF176" s="378"/>
      <c r="AG176" s="378"/>
      <c r="AH176" s="378"/>
      <c r="AI176" s="378"/>
      <c r="AJ176" s="378"/>
      <c r="AM176" s="505"/>
      <c r="AN176" s="505"/>
      <c r="AO176" s="505"/>
      <c r="AP176" s="505"/>
      <c r="AR176" s="370"/>
      <c r="AT176" s="370"/>
      <c r="AV176" s="506"/>
      <c r="AW176" s="370"/>
      <c r="AX176" s="370"/>
      <c r="AY176" s="370"/>
      <c r="AZ176" s="370"/>
      <c r="BA176" s="507"/>
      <c r="BB176" s="505"/>
      <c r="BC176" s="505"/>
      <c r="BD176" s="370"/>
      <c r="BE176" s="370"/>
      <c r="BF176" s="370"/>
      <c r="BG176" s="370"/>
      <c r="BH176" s="370"/>
      <c r="BI176" s="370"/>
      <c r="BJ176" s="370"/>
      <c r="BK176" s="370"/>
      <c r="BL176" s="370"/>
      <c r="BM176" s="370"/>
      <c r="BN176" s="370"/>
      <c r="BO176" s="370"/>
      <c r="BP176" s="370"/>
      <c r="BQ176" s="370"/>
      <c r="BR176" s="370"/>
      <c r="BS176" s="370"/>
      <c r="BV176" s="508"/>
      <c r="BW176" s="369"/>
      <c r="BX176" s="370"/>
      <c r="BY176" s="370"/>
      <c r="BZ176" s="370"/>
      <c r="CA176" s="370"/>
      <c r="CB176" s="370"/>
      <c r="CC176" s="505"/>
      <c r="CD176" s="505"/>
      <c r="CE176" s="505"/>
      <c r="CF176" s="505"/>
      <c r="CG176" s="505"/>
      <c r="CH176" s="505"/>
      <c r="CI176" s="505"/>
      <c r="CJ176" s="505"/>
      <c r="CK176" s="505"/>
      <c r="CL176" s="505"/>
      <c r="CM176" s="505"/>
    </row>
    <row r="177" customFormat="false" ht="12.75" hidden="false" customHeight="false" outlineLevel="0" collapsed="false">
      <c r="A177" s="500"/>
      <c r="B177" s="500"/>
      <c r="K177" s="363"/>
      <c r="L177" s="501"/>
      <c r="N177" s="502"/>
      <c r="O177" s="502"/>
      <c r="P177" s="371"/>
      <c r="Q177" s="501"/>
      <c r="R177" s="501"/>
      <c r="U177" s="501"/>
      <c r="V177" s="503"/>
      <c r="W177" s="503"/>
      <c r="X177" s="504"/>
      <c r="Y177" s="504"/>
      <c r="Z177" s="504"/>
      <c r="AA177" s="504"/>
      <c r="AB177" s="504"/>
      <c r="AC177" s="504"/>
      <c r="AF177" s="378"/>
      <c r="AG177" s="378"/>
      <c r="AH177" s="378"/>
      <c r="AI177" s="378"/>
      <c r="AJ177" s="378"/>
      <c r="AM177" s="505"/>
      <c r="AN177" s="505"/>
      <c r="AO177" s="505"/>
      <c r="AP177" s="505"/>
      <c r="AR177" s="370"/>
      <c r="AT177" s="370"/>
      <c r="AV177" s="506"/>
      <c r="AW177" s="370"/>
      <c r="AX177" s="370"/>
      <c r="AY177" s="370"/>
      <c r="AZ177" s="370"/>
      <c r="BA177" s="507"/>
      <c r="BB177" s="505"/>
      <c r="BC177" s="505"/>
      <c r="BD177" s="370"/>
      <c r="BE177" s="370"/>
      <c r="BF177" s="370"/>
      <c r="BG177" s="370"/>
      <c r="BH177" s="370"/>
      <c r="BI177" s="370"/>
      <c r="BJ177" s="370"/>
      <c r="BK177" s="370"/>
      <c r="BL177" s="370"/>
      <c r="BM177" s="370"/>
      <c r="BN177" s="370"/>
      <c r="BO177" s="370"/>
      <c r="BP177" s="370"/>
      <c r="BQ177" s="370"/>
      <c r="BR177" s="370"/>
      <c r="BS177" s="370"/>
      <c r="BV177" s="508"/>
      <c r="BW177" s="369"/>
      <c r="BX177" s="370"/>
      <c r="BY177" s="370"/>
      <c r="BZ177" s="370"/>
      <c r="CA177" s="370"/>
      <c r="CB177" s="370"/>
      <c r="CC177" s="505"/>
      <c r="CD177" s="505"/>
      <c r="CE177" s="505"/>
      <c r="CF177" s="505"/>
      <c r="CG177" s="505"/>
      <c r="CH177" s="505"/>
      <c r="CI177" s="505"/>
      <c r="CJ177" s="505"/>
      <c r="CK177" s="505"/>
      <c r="CL177" s="505"/>
      <c r="CM177" s="505"/>
    </row>
    <row r="178" customFormat="false" ht="12.75" hidden="false" customHeight="false" outlineLevel="0" collapsed="false">
      <c r="A178" s="500"/>
      <c r="B178" s="500"/>
      <c r="K178" s="363"/>
      <c r="L178" s="501"/>
      <c r="N178" s="502"/>
      <c r="O178" s="502"/>
      <c r="P178" s="371"/>
      <c r="Q178" s="501"/>
      <c r="R178" s="501"/>
      <c r="U178" s="501"/>
      <c r="V178" s="503"/>
      <c r="W178" s="503"/>
      <c r="X178" s="504"/>
      <c r="Y178" s="504"/>
      <c r="Z178" s="504"/>
      <c r="AA178" s="504"/>
      <c r="AB178" s="504"/>
      <c r="AC178" s="504"/>
      <c r="AF178" s="378"/>
      <c r="AG178" s="378"/>
      <c r="AH178" s="378"/>
      <c r="AI178" s="378"/>
      <c r="AJ178" s="378"/>
      <c r="AM178" s="505"/>
      <c r="AN178" s="505"/>
      <c r="AO178" s="505"/>
      <c r="AP178" s="505"/>
      <c r="AR178" s="370"/>
      <c r="AT178" s="370"/>
      <c r="AV178" s="506"/>
      <c r="AW178" s="370"/>
      <c r="AX178" s="370"/>
      <c r="AY178" s="370"/>
      <c r="AZ178" s="370"/>
      <c r="BA178" s="507"/>
      <c r="BB178" s="505"/>
      <c r="BC178" s="505"/>
      <c r="BD178" s="370"/>
      <c r="BE178" s="370"/>
      <c r="BF178" s="370"/>
      <c r="BG178" s="370"/>
      <c r="BH178" s="370"/>
      <c r="BI178" s="370"/>
      <c r="BJ178" s="370"/>
      <c r="BK178" s="370"/>
      <c r="BL178" s="370"/>
      <c r="BM178" s="370"/>
      <c r="BN178" s="370"/>
      <c r="BO178" s="370"/>
      <c r="BP178" s="370"/>
      <c r="BQ178" s="370"/>
      <c r="BR178" s="370"/>
      <c r="BS178" s="370"/>
      <c r="BV178" s="508"/>
      <c r="BW178" s="369"/>
      <c r="BX178" s="370"/>
      <c r="BY178" s="370"/>
      <c r="BZ178" s="370"/>
      <c r="CA178" s="370"/>
      <c r="CB178" s="370"/>
      <c r="CC178" s="505"/>
      <c r="CD178" s="505"/>
      <c r="CE178" s="505"/>
      <c r="CF178" s="505"/>
      <c r="CG178" s="505"/>
      <c r="CH178" s="505"/>
      <c r="CI178" s="505"/>
      <c r="CJ178" s="505"/>
      <c r="CK178" s="505"/>
      <c r="CL178" s="505"/>
      <c r="CM178" s="505"/>
    </row>
    <row r="179" customFormat="false" ht="12.75" hidden="false" customHeight="false" outlineLevel="0" collapsed="false">
      <c r="A179" s="500"/>
      <c r="B179" s="500"/>
      <c r="K179" s="363"/>
      <c r="L179" s="501"/>
      <c r="N179" s="502"/>
      <c r="O179" s="502"/>
      <c r="P179" s="371"/>
      <c r="Q179" s="501"/>
      <c r="R179" s="501"/>
      <c r="U179" s="501"/>
      <c r="V179" s="503"/>
      <c r="W179" s="503"/>
      <c r="X179" s="504"/>
      <c r="Y179" s="504"/>
      <c r="Z179" s="504"/>
      <c r="AA179" s="504"/>
      <c r="AB179" s="504"/>
      <c r="AC179" s="504"/>
      <c r="AF179" s="378"/>
      <c r="AG179" s="378"/>
      <c r="AH179" s="378"/>
      <c r="AI179" s="378"/>
      <c r="AJ179" s="378"/>
      <c r="AM179" s="505"/>
      <c r="AN179" s="505"/>
      <c r="AO179" s="505"/>
      <c r="AP179" s="505"/>
      <c r="AR179" s="370"/>
      <c r="AT179" s="370"/>
      <c r="AV179" s="506"/>
      <c r="AW179" s="370"/>
      <c r="AX179" s="370"/>
      <c r="AY179" s="370"/>
      <c r="AZ179" s="370"/>
      <c r="BA179" s="507"/>
      <c r="BB179" s="505"/>
      <c r="BC179" s="505"/>
      <c r="BD179" s="370"/>
      <c r="BE179" s="370"/>
      <c r="BF179" s="370"/>
      <c r="BG179" s="370"/>
      <c r="BH179" s="370"/>
      <c r="BI179" s="370"/>
      <c r="BJ179" s="370"/>
      <c r="BK179" s="370"/>
      <c r="BL179" s="370"/>
      <c r="BM179" s="370"/>
      <c r="BN179" s="370"/>
      <c r="BO179" s="370"/>
      <c r="BP179" s="370"/>
      <c r="BQ179" s="370"/>
      <c r="BR179" s="370"/>
      <c r="BS179" s="370"/>
      <c r="BV179" s="508"/>
      <c r="BW179" s="369"/>
      <c r="BX179" s="370"/>
      <c r="BY179" s="370"/>
      <c r="BZ179" s="370"/>
      <c r="CA179" s="370"/>
      <c r="CB179" s="370"/>
      <c r="CC179" s="505"/>
      <c r="CD179" s="505"/>
      <c r="CE179" s="505"/>
      <c r="CF179" s="505"/>
      <c r="CG179" s="505"/>
      <c r="CH179" s="505"/>
      <c r="CI179" s="505"/>
      <c r="CJ179" s="505"/>
      <c r="CK179" s="505"/>
      <c r="CL179" s="505"/>
      <c r="CM179" s="505"/>
    </row>
    <row r="180" customFormat="false" ht="12.75" hidden="false" customHeight="false" outlineLevel="0" collapsed="false">
      <c r="A180" s="500"/>
      <c r="B180" s="500"/>
      <c r="K180" s="363"/>
      <c r="L180" s="501"/>
      <c r="N180" s="502"/>
      <c r="O180" s="502"/>
      <c r="P180" s="371"/>
      <c r="Q180" s="501"/>
      <c r="R180" s="501"/>
      <c r="U180" s="501"/>
      <c r="V180" s="503"/>
      <c r="W180" s="503"/>
      <c r="X180" s="504"/>
      <c r="Y180" s="504"/>
      <c r="Z180" s="504"/>
      <c r="AA180" s="504"/>
      <c r="AB180" s="504"/>
      <c r="AC180" s="504"/>
      <c r="AF180" s="378"/>
      <c r="AG180" s="378"/>
      <c r="AH180" s="378"/>
      <c r="AI180" s="378"/>
      <c r="AJ180" s="378"/>
      <c r="AM180" s="505"/>
      <c r="AN180" s="505"/>
      <c r="AO180" s="505"/>
      <c r="AP180" s="505"/>
      <c r="AR180" s="370"/>
      <c r="AT180" s="370"/>
      <c r="AV180" s="506"/>
      <c r="AW180" s="370"/>
      <c r="AX180" s="370"/>
      <c r="AY180" s="370"/>
      <c r="AZ180" s="370"/>
      <c r="BA180" s="507"/>
      <c r="BB180" s="505"/>
      <c r="BC180" s="505"/>
      <c r="BD180" s="370"/>
      <c r="BE180" s="370"/>
      <c r="BF180" s="370"/>
      <c r="BG180" s="370"/>
      <c r="BH180" s="370"/>
      <c r="BI180" s="370"/>
      <c r="BJ180" s="370"/>
      <c r="BK180" s="370"/>
      <c r="BL180" s="370"/>
      <c r="BM180" s="370"/>
      <c r="BN180" s="370"/>
      <c r="BO180" s="370"/>
      <c r="BP180" s="370"/>
      <c r="BQ180" s="370"/>
      <c r="BR180" s="370"/>
      <c r="BS180" s="370"/>
      <c r="BV180" s="508"/>
      <c r="BW180" s="369"/>
      <c r="BX180" s="370"/>
      <c r="BY180" s="370"/>
      <c r="BZ180" s="370"/>
      <c r="CA180" s="370"/>
      <c r="CB180" s="370"/>
      <c r="CC180" s="505"/>
      <c r="CD180" s="505"/>
      <c r="CE180" s="505"/>
      <c r="CF180" s="505"/>
      <c r="CG180" s="505"/>
      <c r="CH180" s="505"/>
      <c r="CI180" s="505"/>
      <c r="CJ180" s="505"/>
      <c r="CK180" s="505"/>
      <c r="CL180" s="505"/>
      <c r="CM180" s="505"/>
    </row>
    <row r="181" customFormat="false" ht="12.75" hidden="false" customHeight="false" outlineLevel="0" collapsed="false">
      <c r="A181" s="500"/>
      <c r="B181" s="500"/>
      <c r="K181" s="363"/>
      <c r="L181" s="501"/>
      <c r="N181" s="502"/>
      <c r="O181" s="502"/>
      <c r="P181" s="371"/>
      <c r="Q181" s="501"/>
      <c r="R181" s="501"/>
      <c r="U181" s="501"/>
      <c r="V181" s="503"/>
      <c r="W181" s="503"/>
      <c r="X181" s="504"/>
      <c r="Y181" s="504"/>
      <c r="Z181" s="504"/>
      <c r="AA181" s="504"/>
      <c r="AB181" s="504"/>
      <c r="AC181" s="504"/>
      <c r="AF181" s="378"/>
      <c r="AG181" s="378"/>
      <c r="AH181" s="378"/>
      <c r="AI181" s="378"/>
      <c r="AJ181" s="378"/>
      <c r="AM181" s="505"/>
      <c r="AN181" s="505"/>
      <c r="AO181" s="505"/>
      <c r="AP181" s="505"/>
      <c r="AR181" s="370"/>
      <c r="AT181" s="370"/>
      <c r="AV181" s="506"/>
      <c r="AW181" s="370"/>
      <c r="AX181" s="370"/>
      <c r="AY181" s="370"/>
      <c r="AZ181" s="370"/>
      <c r="BA181" s="507"/>
      <c r="BB181" s="505"/>
      <c r="BC181" s="505"/>
      <c r="BD181" s="370"/>
      <c r="BE181" s="370"/>
      <c r="BF181" s="370"/>
      <c r="BG181" s="370"/>
      <c r="BH181" s="370"/>
      <c r="BI181" s="370"/>
      <c r="BJ181" s="370"/>
      <c r="BK181" s="370"/>
      <c r="BL181" s="370"/>
      <c r="BM181" s="370"/>
      <c r="BN181" s="370"/>
      <c r="BO181" s="370"/>
      <c r="BP181" s="370"/>
      <c r="BQ181" s="370"/>
      <c r="BR181" s="370"/>
      <c r="BS181" s="370"/>
      <c r="BV181" s="508"/>
      <c r="BW181" s="369"/>
      <c r="BX181" s="370"/>
      <c r="BY181" s="370"/>
      <c r="BZ181" s="370"/>
      <c r="CA181" s="370"/>
      <c r="CB181" s="370"/>
      <c r="CC181" s="505"/>
      <c r="CD181" s="505"/>
      <c r="CE181" s="505"/>
      <c r="CF181" s="505"/>
      <c r="CG181" s="505"/>
      <c r="CH181" s="505"/>
      <c r="CI181" s="505"/>
      <c r="CJ181" s="505"/>
      <c r="CK181" s="505"/>
      <c r="CL181" s="505"/>
      <c r="CM181" s="505"/>
    </row>
    <row r="182" customFormat="false" ht="12.75" hidden="false" customHeight="false" outlineLevel="0" collapsed="false">
      <c r="A182" s="500"/>
      <c r="B182" s="500"/>
      <c r="K182" s="363"/>
      <c r="L182" s="501"/>
      <c r="N182" s="502"/>
      <c r="O182" s="502"/>
      <c r="P182" s="371"/>
      <c r="Q182" s="501"/>
      <c r="R182" s="501"/>
      <c r="U182" s="501"/>
      <c r="V182" s="503"/>
      <c r="W182" s="503"/>
      <c r="X182" s="504"/>
      <c r="Y182" s="504"/>
      <c r="Z182" s="504"/>
      <c r="AA182" s="504"/>
      <c r="AB182" s="504"/>
      <c r="AC182" s="504"/>
      <c r="AF182" s="378"/>
      <c r="AG182" s="378"/>
      <c r="AH182" s="378"/>
      <c r="AI182" s="378"/>
      <c r="AJ182" s="378"/>
      <c r="AM182" s="505"/>
      <c r="AN182" s="505"/>
      <c r="AO182" s="505"/>
      <c r="AP182" s="505"/>
      <c r="AR182" s="370"/>
      <c r="AT182" s="370"/>
      <c r="AV182" s="506"/>
      <c r="AW182" s="370"/>
      <c r="AX182" s="370"/>
      <c r="AY182" s="370"/>
      <c r="AZ182" s="370"/>
      <c r="BA182" s="507"/>
      <c r="BB182" s="505"/>
      <c r="BC182" s="505"/>
      <c r="BD182" s="370"/>
      <c r="BE182" s="370"/>
      <c r="BF182" s="370"/>
      <c r="BG182" s="370"/>
      <c r="BH182" s="370"/>
      <c r="BI182" s="370"/>
      <c r="BJ182" s="370"/>
      <c r="BK182" s="370"/>
      <c r="BL182" s="370"/>
      <c r="BM182" s="370"/>
      <c r="BN182" s="370"/>
      <c r="BO182" s="370"/>
      <c r="BP182" s="370"/>
      <c r="BQ182" s="370"/>
      <c r="BR182" s="370"/>
      <c r="BS182" s="370"/>
      <c r="BV182" s="508"/>
      <c r="BW182" s="369"/>
      <c r="BX182" s="370"/>
      <c r="BY182" s="370"/>
      <c r="BZ182" s="370"/>
      <c r="CA182" s="370"/>
      <c r="CB182" s="370"/>
      <c r="CC182" s="505"/>
      <c r="CD182" s="505"/>
      <c r="CE182" s="505"/>
      <c r="CF182" s="505"/>
      <c r="CG182" s="505"/>
      <c r="CH182" s="505"/>
      <c r="CI182" s="505"/>
      <c r="CJ182" s="505"/>
      <c r="CK182" s="505"/>
      <c r="CL182" s="505"/>
      <c r="CM182" s="505"/>
    </row>
    <row r="183" customFormat="false" ht="12.75" hidden="false" customHeight="false" outlineLevel="0" collapsed="false">
      <c r="A183" s="500"/>
      <c r="B183" s="500"/>
      <c r="K183" s="363"/>
      <c r="L183" s="501"/>
      <c r="N183" s="502"/>
      <c r="O183" s="502"/>
      <c r="P183" s="371"/>
      <c r="Q183" s="501"/>
      <c r="R183" s="501"/>
      <c r="U183" s="501"/>
      <c r="V183" s="503"/>
      <c r="W183" s="503"/>
      <c r="X183" s="504"/>
      <c r="Y183" s="504"/>
      <c r="Z183" s="504"/>
      <c r="AA183" s="504"/>
      <c r="AB183" s="504"/>
      <c r="AC183" s="504"/>
      <c r="AF183" s="378"/>
      <c r="AG183" s="378"/>
      <c r="AH183" s="378"/>
      <c r="AI183" s="378"/>
      <c r="AJ183" s="378"/>
      <c r="AM183" s="505"/>
      <c r="AN183" s="505"/>
      <c r="AO183" s="505"/>
      <c r="AP183" s="505"/>
      <c r="AR183" s="370"/>
      <c r="AT183" s="370"/>
      <c r="AV183" s="506"/>
      <c r="AW183" s="370"/>
      <c r="AX183" s="370"/>
      <c r="AY183" s="370"/>
      <c r="AZ183" s="370"/>
      <c r="BA183" s="507"/>
      <c r="BB183" s="505"/>
      <c r="BC183" s="505"/>
      <c r="BD183" s="370"/>
      <c r="BE183" s="370"/>
      <c r="BF183" s="370"/>
      <c r="BG183" s="370"/>
      <c r="BH183" s="370"/>
      <c r="BI183" s="370"/>
      <c r="BJ183" s="370"/>
      <c r="BK183" s="370"/>
      <c r="BL183" s="370"/>
      <c r="BM183" s="370"/>
      <c r="BN183" s="370"/>
      <c r="BO183" s="370"/>
      <c r="BP183" s="370"/>
      <c r="BQ183" s="370"/>
      <c r="BR183" s="370"/>
      <c r="BS183" s="370"/>
      <c r="BV183" s="508"/>
      <c r="BW183" s="369"/>
      <c r="BX183" s="370"/>
      <c r="BY183" s="370"/>
      <c r="BZ183" s="370"/>
      <c r="CA183" s="370"/>
      <c r="CB183" s="370"/>
      <c r="CC183" s="505"/>
      <c r="CD183" s="505"/>
      <c r="CE183" s="505"/>
      <c r="CF183" s="505"/>
      <c r="CG183" s="505"/>
      <c r="CH183" s="505"/>
      <c r="CI183" s="505"/>
      <c r="CJ183" s="505"/>
      <c r="CK183" s="505"/>
      <c r="CL183" s="505"/>
      <c r="CM183" s="505"/>
    </row>
    <row r="184" customFormat="false" ht="12.75" hidden="false" customHeight="false" outlineLevel="0" collapsed="false">
      <c r="A184" s="500"/>
      <c r="B184" s="500"/>
      <c r="K184" s="363"/>
      <c r="L184" s="501"/>
      <c r="N184" s="502"/>
      <c r="O184" s="502"/>
      <c r="P184" s="371"/>
      <c r="Q184" s="501"/>
      <c r="R184" s="501"/>
      <c r="U184" s="501"/>
      <c r="V184" s="503"/>
      <c r="W184" s="503"/>
      <c r="X184" s="504"/>
      <c r="Y184" s="504"/>
      <c r="Z184" s="504"/>
      <c r="AA184" s="504"/>
      <c r="AB184" s="504"/>
      <c r="AC184" s="504"/>
      <c r="AF184" s="378"/>
      <c r="AG184" s="378"/>
      <c r="AH184" s="378"/>
      <c r="AI184" s="378"/>
      <c r="AJ184" s="378"/>
      <c r="AM184" s="505"/>
      <c r="AN184" s="505"/>
      <c r="AO184" s="505"/>
      <c r="AP184" s="505"/>
      <c r="AR184" s="370"/>
      <c r="AT184" s="370"/>
      <c r="AV184" s="506"/>
      <c r="AW184" s="370"/>
      <c r="AX184" s="370"/>
      <c r="AY184" s="370"/>
      <c r="AZ184" s="370"/>
      <c r="BA184" s="507"/>
      <c r="BB184" s="505"/>
      <c r="BC184" s="505"/>
      <c r="BD184" s="370"/>
      <c r="BE184" s="370"/>
      <c r="BF184" s="370"/>
      <c r="BG184" s="370"/>
      <c r="BH184" s="370"/>
      <c r="BI184" s="370"/>
      <c r="BJ184" s="370"/>
      <c r="BK184" s="370"/>
      <c r="BL184" s="370"/>
      <c r="BM184" s="370"/>
      <c r="BN184" s="370"/>
      <c r="BO184" s="370"/>
      <c r="BP184" s="370"/>
      <c r="BQ184" s="370"/>
      <c r="BR184" s="370"/>
      <c r="BS184" s="370"/>
      <c r="BV184" s="508"/>
      <c r="BW184" s="369"/>
      <c r="BX184" s="370"/>
      <c r="BY184" s="370"/>
      <c r="BZ184" s="370"/>
      <c r="CA184" s="370"/>
      <c r="CB184" s="370"/>
      <c r="CC184" s="505"/>
      <c r="CD184" s="505"/>
      <c r="CE184" s="505"/>
      <c r="CF184" s="505"/>
      <c r="CG184" s="505"/>
      <c r="CH184" s="505"/>
      <c r="CI184" s="505"/>
      <c r="CJ184" s="505"/>
      <c r="CK184" s="505"/>
      <c r="CL184" s="505"/>
      <c r="CM184" s="505"/>
    </row>
    <row r="185" customFormat="false" ht="12.75" hidden="false" customHeight="false" outlineLevel="0" collapsed="false">
      <c r="A185" s="500"/>
      <c r="B185" s="500"/>
      <c r="K185" s="363"/>
      <c r="L185" s="501"/>
      <c r="N185" s="502"/>
      <c r="O185" s="502"/>
      <c r="P185" s="371"/>
      <c r="Q185" s="501"/>
      <c r="R185" s="501"/>
      <c r="U185" s="501"/>
      <c r="V185" s="503"/>
      <c r="W185" s="503"/>
      <c r="X185" s="504"/>
      <c r="Y185" s="504"/>
      <c r="Z185" s="504"/>
      <c r="AA185" s="504"/>
      <c r="AB185" s="504"/>
      <c r="AC185" s="504"/>
      <c r="AF185" s="378"/>
      <c r="AG185" s="378"/>
      <c r="AH185" s="378"/>
      <c r="AI185" s="378"/>
      <c r="AJ185" s="378"/>
      <c r="AM185" s="505"/>
      <c r="AN185" s="505"/>
      <c r="AO185" s="505"/>
      <c r="AP185" s="505"/>
      <c r="AR185" s="370"/>
      <c r="AT185" s="370"/>
      <c r="AV185" s="506"/>
      <c r="AW185" s="370"/>
      <c r="AX185" s="370"/>
      <c r="AY185" s="370"/>
      <c r="AZ185" s="370"/>
      <c r="BA185" s="507"/>
      <c r="BB185" s="505"/>
      <c r="BC185" s="505"/>
      <c r="BD185" s="370"/>
      <c r="BE185" s="370"/>
      <c r="BF185" s="370"/>
      <c r="BG185" s="370"/>
      <c r="BH185" s="370"/>
      <c r="BI185" s="370"/>
      <c r="BJ185" s="370"/>
      <c r="BK185" s="370"/>
      <c r="BL185" s="370"/>
      <c r="BM185" s="370"/>
      <c r="BN185" s="370"/>
      <c r="BO185" s="370"/>
      <c r="BP185" s="370"/>
      <c r="BQ185" s="370"/>
      <c r="BR185" s="370"/>
      <c r="BS185" s="370"/>
      <c r="BV185" s="508"/>
      <c r="BW185" s="369"/>
      <c r="BX185" s="370"/>
      <c r="BY185" s="370"/>
      <c r="BZ185" s="370"/>
      <c r="CA185" s="370"/>
      <c r="CB185" s="370"/>
      <c r="CC185" s="505"/>
      <c r="CD185" s="505"/>
      <c r="CE185" s="505"/>
      <c r="CF185" s="505"/>
      <c r="CG185" s="505"/>
      <c r="CH185" s="505"/>
      <c r="CI185" s="505"/>
      <c r="CJ185" s="505"/>
      <c r="CK185" s="505"/>
      <c r="CL185" s="505"/>
      <c r="CM185" s="505"/>
    </row>
    <row r="186" customFormat="false" ht="12.75" hidden="false" customHeight="false" outlineLevel="0" collapsed="false">
      <c r="A186" s="500"/>
      <c r="B186" s="500"/>
      <c r="K186" s="363"/>
      <c r="L186" s="501"/>
      <c r="N186" s="502"/>
      <c r="O186" s="502"/>
      <c r="P186" s="371"/>
      <c r="Q186" s="501"/>
      <c r="R186" s="501"/>
      <c r="U186" s="501"/>
      <c r="V186" s="503"/>
      <c r="W186" s="503"/>
      <c r="X186" s="504"/>
      <c r="Y186" s="504"/>
      <c r="Z186" s="504"/>
      <c r="AA186" s="504"/>
      <c r="AB186" s="504"/>
      <c r="AC186" s="504"/>
      <c r="AF186" s="378"/>
      <c r="AG186" s="378"/>
      <c r="AH186" s="378"/>
      <c r="AI186" s="378"/>
      <c r="AJ186" s="378"/>
      <c r="AM186" s="505"/>
      <c r="AN186" s="505"/>
      <c r="AO186" s="505"/>
      <c r="AP186" s="505"/>
      <c r="AR186" s="370"/>
      <c r="AT186" s="370"/>
      <c r="AV186" s="506"/>
      <c r="AW186" s="370"/>
      <c r="AX186" s="370"/>
      <c r="AY186" s="370"/>
      <c r="AZ186" s="370"/>
      <c r="BA186" s="507"/>
      <c r="BB186" s="505"/>
      <c r="BC186" s="505"/>
      <c r="BD186" s="370"/>
      <c r="BE186" s="370"/>
      <c r="BF186" s="370"/>
      <c r="BG186" s="370"/>
      <c r="BH186" s="370"/>
      <c r="BI186" s="370"/>
      <c r="BJ186" s="370"/>
      <c r="BK186" s="370"/>
      <c r="BL186" s="370"/>
      <c r="BM186" s="370"/>
      <c r="BN186" s="370"/>
      <c r="BO186" s="370"/>
      <c r="BP186" s="370"/>
      <c r="BQ186" s="370"/>
      <c r="BR186" s="370"/>
      <c r="BS186" s="370"/>
      <c r="BV186" s="508"/>
      <c r="BW186" s="369"/>
      <c r="BX186" s="370"/>
      <c r="BY186" s="370"/>
      <c r="BZ186" s="370"/>
      <c r="CA186" s="370"/>
      <c r="CB186" s="370"/>
      <c r="CC186" s="505"/>
      <c r="CD186" s="505"/>
      <c r="CE186" s="505"/>
      <c r="CF186" s="505"/>
      <c r="CG186" s="505"/>
      <c r="CH186" s="505"/>
      <c r="CI186" s="505"/>
      <c r="CJ186" s="505"/>
      <c r="CK186" s="505"/>
      <c r="CL186" s="505"/>
      <c r="CM186" s="505"/>
    </row>
    <row r="187" customFormat="false" ht="12.75" hidden="false" customHeight="false" outlineLevel="0" collapsed="false">
      <c r="A187" s="500"/>
      <c r="B187" s="500"/>
      <c r="K187" s="363"/>
      <c r="L187" s="501"/>
      <c r="N187" s="502"/>
      <c r="O187" s="502"/>
      <c r="P187" s="371"/>
      <c r="Q187" s="501"/>
      <c r="R187" s="501"/>
      <c r="U187" s="501"/>
      <c r="V187" s="503"/>
      <c r="W187" s="503"/>
      <c r="X187" s="504"/>
      <c r="Y187" s="504"/>
      <c r="Z187" s="504"/>
      <c r="AA187" s="504"/>
      <c r="AB187" s="504"/>
      <c r="AC187" s="504"/>
      <c r="AF187" s="378"/>
      <c r="AG187" s="378"/>
      <c r="AH187" s="378"/>
      <c r="AI187" s="378"/>
      <c r="AJ187" s="378"/>
      <c r="AM187" s="505"/>
      <c r="AN187" s="505"/>
      <c r="AO187" s="505"/>
      <c r="AP187" s="505"/>
      <c r="AR187" s="370"/>
      <c r="AT187" s="370"/>
      <c r="AV187" s="506"/>
      <c r="AW187" s="370"/>
      <c r="AX187" s="370"/>
      <c r="AY187" s="370"/>
      <c r="AZ187" s="370"/>
      <c r="BA187" s="507"/>
      <c r="BB187" s="505"/>
      <c r="BC187" s="505"/>
      <c r="BD187" s="370"/>
      <c r="BE187" s="370"/>
      <c r="BF187" s="370"/>
      <c r="BG187" s="370"/>
      <c r="BH187" s="370"/>
      <c r="BI187" s="370"/>
      <c r="BJ187" s="370"/>
      <c r="BK187" s="370"/>
      <c r="BL187" s="370"/>
      <c r="BM187" s="370"/>
      <c r="BN187" s="370"/>
      <c r="BO187" s="370"/>
      <c r="BP187" s="370"/>
      <c r="BQ187" s="370"/>
      <c r="BR187" s="370"/>
      <c r="BS187" s="370"/>
      <c r="BV187" s="508"/>
      <c r="BW187" s="369"/>
      <c r="BX187" s="370"/>
      <c r="BY187" s="370"/>
      <c r="BZ187" s="370"/>
      <c r="CA187" s="370"/>
      <c r="CB187" s="370"/>
      <c r="CC187" s="505"/>
      <c r="CD187" s="505"/>
      <c r="CE187" s="505"/>
      <c r="CF187" s="505"/>
      <c r="CG187" s="505"/>
      <c r="CH187" s="505"/>
      <c r="CI187" s="505"/>
      <c r="CJ187" s="505"/>
      <c r="CK187" s="505"/>
      <c r="CL187" s="505"/>
      <c r="CM187" s="505"/>
    </row>
    <row r="188" customFormat="false" ht="12.75" hidden="false" customHeight="false" outlineLevel="0" collapsed="false">
      <c r="A188" s="500"/>
      <c r="B188" s="500"/>
      <c r="K188" s="363"/>
      <c r="L188" s="501"/>
      <c r="N188" s="502"/>
      <c r="O188" s="502"/>
      <c r="P188" s="371"/>
      <c r="Q188" s="501"/>
      <c r="R188" s="501"/>
      <c r="U188" s="501"/>
      <c r="V188" s="503"/>
      <c r="W188" s="503"/>
      <c r="X188" s="504"/>
      <c r="Y188" s="504"/>
      <c r="Z188" s="504"/>
      <c r="AA188" s="504"/>
      <c r="AB188" s="504"/>
      <c r="AC188" s="504"/>
      <c r="AF188" s="378"/>
      <c r="AG188" s="378"/>
      <c r="AH188" s="378"/>
      <c r="AI188" s="378"/>
      <c r="AJ188" s="378"/>
      <c r="AM188" s="505"/>
      <c r="AN188" s="505"/>
      <c r="AO188" s="505"/>
      <c r="AP188" s="505"/>
      <c r="AR188" s="370"/>
      <c r="AT188" s="370"/>
      <c r="AV188" s="506"/>
      <c r="AW188" s="370"/>
      <c r="AX188" s="370"/>
      <c r="AY188" s="370"/>
      <c r="AZ188" s="370"/>
      <c r="BA188" s="507"/>
      <c r="BB188" s="505"/>
      <c r="BC188" s="505"/>
      <c r="BD188" s="370"/>
      <c r="BE188" s="370"/>
      <c r="BF188" s="370"/>
      <c r="BG188" s="370"/>
      <c r="BH188" s="370"/>
      <c r="BI188" s="370"/>
      <c r="BJ188" s="370"/>
      <c r="BK188" s="370"/>
      <c r="BL188" s="370"/>
      <c r="BM188" s="370"/>
      <c r="BN188" s="370"/>
      <c r="BO188" s="370"/>
      <c r="BP188" s="370"/>
      <c r="BQ188" s="370"/>
      <c r="BR188" s="370"/>
      <c r="BS188" s="370"/>
      <c r="BV188" s="508"/>
      <c r="BW188" s="369"/>
      <c r="BX188" s="370"/>
      <c r="BY188" s="370"/>
      <c r="BZ188" s="370"/>
      <c r="CA188" s="370"/>
      <c r="CB188" s="370"/>
      <c r="CC188" s="505"/>
      <c r="CD188" s="505"/>
      <c r="CE188" s="505"/>
      <c r="CF188" s="505"/>
      <c r="CG188" s="505"/>
      <c r="CH188" s="505"/>
      <c r="CI188" s="505"/>
      <c r="CJ188" s="505"/>
      <c r="CK188" s="505"/>
      <c r="CL188" s="505"/>
      <c r="CM188" s="505"/>
    </row>
    <row r="189" customFormat="false" ht="12.75" hidden="false" customHeight="false" outlineLevel="0" collapsed="false">
      <c r="A189" s="500"/>
      <c r="B189" s="500"/>
      <c r="K189" s="363"/>
      <c r="L189" s="501"/>
      <c r="N189" s="502"/>
      <c r="O189" s="502"/>
      <c r="P189" s="371"/>
      <c r="Q189" s="501"/>
      <c r="R189" s="501"/>
      <c r="U189" s="501"/>
      <c r="V189" s="503"/>
      <c r="W189" s="503"/>
      <c r="X189" s="504"/>
      <c r="Y189" s="504"/>
      <c r="Z189" s="504"/>
      <c r="AA189" s="504"/>
      <c r="AB189" s="504"/>
      <c r="AC189" s="504"/>
      <c r="AF189" s="378"/>
      <c r="AG189" s="378"/>
      <c r="AH189" s="378"/>
      <c r="AI189" s="378"/>
      <c r="AJ189" s="378"/>
      <c r="AM189" s="505"/>
      <c r="AN189" s="505"/>
      <c r="AO189" s="505"/>
      <c r="AP189" s="505"/>
      <c r="AR189" s="370"/>
      <c r="AT189" s="370"/>
      <c r="AV189" s="506"/>
      <c r="AW189" s="370"/>
      <c r="AX189" s="370"/>
      <c r="AY189" s="370"/>
      <c r="AZ189" s="370"/>
      <c r="BA189" s="507"/>
      <c r="BB189" s="505"/>
      <c r="BC189" s="505"/>
      <c r="BD189" s="370"/>
      <c r="BE189" s="370"/>
      <c r="BF189" s="370"/>
      <c r="BG189" s="370"/>
      <c r="BH189" s="370"/>
      <c r="BI189" s="370"/>
      <c r="BJ189" s="370"/>
      <c r="BK189" s="370"/>
      <c r="BL189" s="370"/>
      <c r="BM189" s="370"/>
      <c r="BN189" s="370"/>
      <c r="BO189" s="370"/>
      <c r="BP189" s="370"/>
      <c r="BQ189" s="370"/>
      <c r="BR189" s="370"/>
      <c r="BS189" s="370"/>
      <c r="BV189" s="508"/>
      <c r="BW189" s="369"/>
      <c r="BX189" s="370"/>
      <c r="BY189" s="370"/>
      <c r="BZ189" s="370"/>
      <c r="CA189" s="370"/>
      <c r="CB189" s="370"/>
      <c r="CC189" s="505"/>
      <c r="CD189" s="505"/>
      <c r="CE189" s="505"/>
      <c r="CF189" s="505"/>
      <c r="CG189" s="505"/>
      <c r="CH189" s="505"/>
      <c r="CI189" s="505"/>
      <c r="CJ189" s="505"/>
      <c r="CK189" s="505"/>
      <c r="CL189" s="505"/>
      <c r="CM189" s="505"/>
    </row>
    <row r="190" customFormat="false" ht="12.75" hidden="false" customHeight="false" outlineLevel="0" collapsed="false">
      <c r="A190" s="500"/>
      <c r="B190" s="500"/>
      <c r="K190" s="363"/>
      <c r="L190" s="501"/>
      <c r="N190" s="502"/>
      <c r="O190" s="502"/>
      <c r="P190" s="371"/>
      <c r="Q190" s="501"/>
      <c r="R190" s="501"/>
      <c r="U190" s="501"/>
      <c r="V190" s="503"/>
      <c r="W190" s="503"/>
      <c r="X190" s="504"/>
      <c r="Y190" s="504"/>
      <c r="Z190" s="504"/>
      <c r="AA190" s="504"/>
      <c r="AB190" s="504"/>
      <c r="AC190" s="504"/>
      <c r="AF190" s="378"/>
      <c r="AG190" s="378"/>
      <c r="AH190" s="378"/>
      <c r="AI190" s="378"/>
      <c r="AJ190" s="378"/>
      <c r="AM190" s="505"/>
      <c r="AN190" s="505"/>
      <c r="AO190" s="505"/>
      <c r="AP190" s="505"/>
      <c r="AR190" s="370"/>
      <c r="AT190" s="370"/>
      <c r="AV190" s="506"/>
      <c r="AW190" s="370"/>
      <c r="AX190" s="370"/>
      <c r="AY190" s="370"/>
      <c r="AZ190" s="370"/>
      <c r="BA190" s="507"/>
      <c r="BB190" s="505"/>
      <c r="BC190" s="505"/>
      <c r="BD190" s="370"/>
      <c r="BE190" s="370"/>
      <c r="BF190" s="370"/>
      <c r="BG190" s="370"/>
      <c r="BH190" s="370"/>
      <c r="BI190" s="370"/>
      <c r="BJ190" s="370"/>
      <c r="BK190" s="370"/>
      <c r="BL190" s="370"/>
      <c r="BM190" s="370"/>
      <c r="BN190" s="370"/>
      <c r="BO190" s="370"/>
      <c r="BP190" s="370"/>
      <c r="BQ190" s="370"/>
      <c r="BR190" s="370"/>
      <c r="BS190" s="370"/>
      <c r="BV190" s="508"/>
      <c r="BW190" s="369"/>
      <c r="BX190" s="370"/>
      <c r="BY190" s="370"/>
      <c r="BZ190" s="370"/>
      <c r="CA190" s="370"/>
      <c r="CB190" s="370"/>
      <c r="CC190" s="505"/>
      <c r="CD190" s="505"/>
      <c r="CE190" s="505"/>
      <c r="CF190" s="505"/>
      <c r="CG190" s="505"/>
      <c r="CH190" s="505"/>
      <c r="CI190" s="505"/>
      <c r="CJ190" s="505"/>
      <c r="CK190" s="505"/>
      <c r="CL190" s="505"/>
      <c r="CM190" s="505"/>
    </row>
    <row r="191" customFormat="false" ht="12.75" hidden="false" customHeight="false" outlineLevel="0" collapsed="false">
      <c r="A191" s="500"/>
      <c r="B191" s="500"/>
      <c r="K191" s="363"/>
      <c r="L191" s="501"/>
      <c r="N191" s="502"/>
      <c r="O191" s="502"/>
      <c r="P191" s="371"/>
      <c r="Q191" s="501"/>
      <c r="R191" s="501"/>
      <c r="U191" s="501"/>
      <c r="V191" s="503"/>
      <c r="W191" s="503"/>
      <c r="X191" s="504"/>
      <c r="Y191" s="504"/>
      <c r="Z191" s="504"/>
      <c r="AA191" s="504"/>
      <c r="AB191" s="504"/>
      <c r="AC191" s="504"/>
      <c r="AF191" s="378"/>
      <c r="AG191" s="378"/>
      <c r="AH191" s="378"/>
      <c r="AI191" s="378"/>
      <c r="AJ191" s="378"/>
      <c r="AM191" s="505"/>
      <c r="AN191" s="505"/>
      <c r="AO191" s="505"/>
      <c r="AP191" s="505"/>
      <c r="AR191" s="370"/>
      <c r="AT191" s="370"/>
      <c r="AV191" s="506"/>
      <c r="AW191" s="370"/>
      <c r="AX191" s="370"/>
      <c r="AY191" s="370"/>
      <c r="AZ191" s="370"/>
      <c r="BA191" s="507"/>
      <c r="BB191" s="505"/>
      <c r="BC191" s="505"/>
      <c r="BD191" s="370"/>
      <c r="BE191" s="370"/>
      <c r="BF191" s="370"/>
      <c r="BG191" s="370"/>
      <c r="BH191" s="370"/>
      <c r="BI191" s="370"/>
      <c r="BJ191" s="370"/>
      <c r="BK191" s="370"/>
      <c r="BL191" s="370"/>
      <c r="BM191" s="370"/>
      <c r="BN191" s="370"/>
      <c r="BO191" s="370"/>
      <c r="BP191" s="370"/>
      <c r="BQ191" s="370"/>
      <c r="BR191" s="370"/>
      <c r="BS191" s="370"/>
      <c r="BV191" s="508"/>
      <c r="BW191" s="369"/>
      <c r="BX191" s="370"/>
      <c r="BY191" s="370"/>
      <c r="BZ191" s="370"/>
      <c r="CA191" s="370"/>
      <c r="CB191" s="370"/>
      <c r="CC191" s="505"/>
      <c r="CD191" s="505"/>
      <c r="CE191" s="505"/>
      <c r="CF191" s="505"/>
      <c r="CG191" s="505"/>
      <c r="CH191" s="505"/>
      <c r="CI191" s="505"/>
      <c r="CJ191" s="505"/>
      <c r="CK191" s="505"/>
      <c r="CL191" s="505"/>
      <c r="CM191" s="505"/>
    </row>
    <row r="192" customFormat="false" ht="12.75" hidden="false" customHeight="false" outlineLevel="0" collapsed="false">
      <c r="A192" s="500"/>
      <c r="B192" s="500"/>
      <c r="K192" s="363"/>
      <c r="L192" s="501"/>
      <c r="N192" s="502"/>
      <c r="O192" s="502"/>
      <c r="P192" s="371"/>
      <c r="Q192" s="501"/>
      <c r="R192" s="501"/>
      <c r="U192" s="501"/>
      <c r="V192" s="503"/>
      <c r="W192" s="503"/>
      <c r="X192" s="504"/>
      <c r="Y192" s="504"/>
      <c r="Z192" s="504"/>
      <c r="AA192" s="504"/>
      <c r="AB192" s="504"/>
      <c r="AC192" s="504"/>
      <c r="AF192" s="378"/>
      <c r="AG192" s="378"/>
      <c r="AH192" s="378"/>
      <c r="AI192" s="378"/>
      <c r="AJ192" s="378"/>
      <c r="AM192" s="505"/>
      <c r="AN192" s="505"/>
      <c r="AO192" s="505"/>
      <c r="AP192" s="505"/>
      <c r="AR192" s="370"/>
      <c r="AT192" s="370"/>
      <c r="AV192" s="506"/>
      <c r="AW192" s="370"/>
      <c r="AX192" s="370"/>
      <c r="AY192" s="370"/>
      <c r="AZ192" s="370"/>
      <c r="BA192" s="507"/>
      <c r="BB192" s="505"/>
      <c r="BC192" s="505"/>
      <c r="BD192" s="370"/>
      <c r="BE192" s="370"/>
      <c r="BF192" s="370"/>
      <c r="BG192" s="370"/>
      <c r="BH192" s="370"/>
      <c r="BI192" s="370"/>
      <c r="BJ192" s="370"/>
      <c r="BK192" s="370"/>
      <c r="BL192" s="370"/>
      <c r="BM192" s="370"/>
      <c r="BN192" s="370"/>
      <c r="BO192" s="370"/>
      <c r="BP192" s="370"/>
      <c r="BQ192" s="370"/>
      <c r="BR192" s="370"/>
      <c r="BS192" s="370"/>
      <c r="BV192" s="508"/>
      <c r="BW192" s="369"/>
      <c r="BX192" s="370"/>
      <c r="BY192" s="370"/>
      <c r="BZ192" s="370"/>
      <c r="CA192" s="370"/>
      <c r="CB192" s="370"/>
      <c r="CC192" s="505"/>
      <c r="CD192" s="505"/>
      <c r="CE192" s="505"/>
      <c r="CF192" s="505"/>
      <c r="CG192" s="505"/>
      <c r="CH192" s="505"/>
      <c r="CI192" s="505"/>
      <c r="CJ192" s="505"/>
      <c r="CK192" s="505"/>
      <c r="CL192" s="505"/>
      <c r="CM192" s="505"/>
    </row>
    <row r="193" customFormat="false" ht="12.75" hidden="false" customHeight="false" outlineLevel="0" collapsed="false">
      <c r="A193" s="500"/>
      <c r="B193" s="500"/>
      <c r="K193" s="363"/>
      <c r="L193" s="501"/>
      <c r="N193" s="502"/>
      <c r="O193" s="502"/>
      <c r="P193" s="371"/>
      <c r="Q193" s="501"/>
      <c r="R193" s="501"/>
      <c r="U193" s="501"/>
      <c r="V193" s="503"/>
      <c r="W193" s="503"/>
      <c r="X193" s="504"/>
      <c r="Y193" s="504"/>
      <c r="Z193" s="504"/>
      <c r="AA193" s="504"/>
      <c r="AB193" s="504"/>
      <c r="AC193" s="504"/>
      <c r="AF193" s="378"/>
      <c r="AG193" s="378"/>
      <c r="AH193" s="378"/>
      <c r="AI193" s="378"/>
      <c r="AJ193" s="378"/>
      <c r="AM193" s="505"/>
      <c r="AN193" s="505"/>
      <c r="AO193" s="505"/>
      <c r="AP193" s="505"/>
      <c r="AR193" s="370"/>
      <c r="AT193" s="370"/>
      <c r="AV193" s="506"/>
      <c r="AW193" s="370"/>
      <c r="AX193" s="370"/>
      <c r="AY193" s="370"/>
      <c r="AZ193" s="370"/>
      <c r="BA193" s="507"/>
      <c r="BB193" s="505"/>
      <c r="BC193" s="505"/>
      <c r="BD193" s="370"/>
      <c r="BE193" s="370"/>
      <c r="BF193" s="370"/>
      <c r="BG193" s="370"/>
      <c r="BH193" s="370"/>
      <c r="BI193" s="370"/>
      <c r="BJ193" s="370"/>
      <c r="BK193" s="370"/>
      <c r="BL193" s="370"/>
      <c r="BM193" s="370"/>
      <c r="BN193" s="370"/>
      <c r="BO193" s="370"/>
      <c r="BP193" s="370"/>
      <c r="BQ193" s="370"/>
      <c r="BR193" s="370"/>
      <c r="BS193" s="370"/>
      <c r="BV193" s="508"/>
      <c r="BW193" s="369"/>
      <c r="BX193" s="370"/>
      <c r="BY193" s="370"/>
      <c r="BZ193" s="370"/>
      <c r="CA193" s="370"/>
      <c r="CB193" s="370"/>
      <c r="CC193" s="505"/>
      <c r="CD193" s="505"/>
      <c r="CE193" s="505"/>
      <c r="CF193" s="505"/>
      <c r="CG193" s="505"/>
      <c r="CH193" s="505"/>
      <c r="CI193" s="505"/>
      <c r="CJ193" s="505"/>
      <c r="CK193" s="505"/>
      <c r="CL193" s="505"/>
      <c r="CM193" s="505"/>
    </row>
    <row r="194" customFormat="false" ht="12.75" hidden="false" customHeight="false" outlineLevel="0" collapsed="false">
      <c r="A194" s="500"/>
      <c r="B194" s="500"/>
      <c r="K194" s="363"/>
      <c r="L194" s="501"/>
      <c r="N194" s="502"/>
      <c r="O194" s="502"/>
      <c r="P194" s="371"/>
      <c r="Q194" s="501"/>
      <c r="R194" s="501"/>
      <c r="U194" s="501"/>
      <c r="V194" s="503"/>
      <c r="W194" s="503"/>
      <c r="X194" s="504"/>
      <c r="Y194" s="504"/>
      <c r="Z194" s="504"/>
      <c r="AA194" s="504"/>
      <c r="AB194" s="504"/>
      <c r="AC194" s="504"/>
      <c r="AF194" s="378"/>
      <c r="AG194" s="378"/>
      <c r="AH194" s="378"/>
      <c r="AI194" s="378"/>
      <c r="AJ194" s="378"/>
      <c r="AM194" s="505"/>
      <c r="AN194" s="505"/>
      <c r="AO194" s="505"/>
      <c r="AP194" s="505"/>
      <c r="AR194" s="370"/>
      <c r="AT194" s="370"/>
      <c r="AV194" s="506"/>
      <c r="AW194" s="370"/>
      <c r="AX194" s="370"/>
      <c r="AY194" s="370"/>
      <c r="AZ194" s="370"/>
      <c r="BA194" s="507"/>
      <c r="BB194" s="505"/>
      <c r="BC194" s="505"/>
      <c r="BD194" s="370"/>
      <c r="BE194" s="370"/>
      <c r="BF194" s="370"/>
      <c r="BG194" s="370"/>
      <c r="BH194" s="370"/>
      <c r="BI194" s="370"/>
      <c r="BJ194" s="370"/>
      <c r="BK194" s="370"/>
      <c r="BL194" s="370"/>
      <c r="BM194" s="370"/>
      <c r="BN194" s="370"/>
      <c r="BO194" s="370"/>
      <c r="BP194" s="370"/>
      <c r="BQ194" s="370"/>
      <c r="BR194" s="370"/>
      <c r="BS194" s="370"/>
      <c r="BV194" s="508"/>
      <c r="BW194" s="369"/>
      <c r="BX194" s="370"/>
      <c r="BY194" s="370"/>
      <c r="BZ194" s="370"/>
      <c r="CA194" s="370"/>
      <c r="CB194" s="370"/>
      <c r="CC194" s="505"/>
      <c r="CD194" s="505"/>
      <c r="CE194" s="505"/>
      <c r="CF194" s="505"/>
      <c r="CG194" s="505"/>
      <c r="CH194" s="505"/>
      <c r="CI194" s="505"/>
      <c r="CJ194" s="505"/>
      <c r="CK194" s="505"/>
      <c r="CL194" s="505"/>
      <c r="CM194" s="505"/>
    </row>
    <row r="195" customFormat="false" ht="12.75" hidden="false" customHeight="false" outlineLevel="0" collapsed="false">
      <c r="A195" s="500"/>
      <c r="B195" s="500"/>
      <c r="K195" s="363"/>
      <c r="L195" s="501"/>
      <c r="N195" s="502"/>
      <c r="O195" s="502"/>
      <c r="P195" s="371"/>
      <c r="Q195" s="501"/>
      <c r="R195" s="501"/>
      <c r="U195" s="501"/>
      <c r="V195" s="503"/>
      <c r="W195" s="503"/>
      <c r="X195" s="504"/>
      <c r="Y195" s="504"/>
      <c r="Z195" s="504"/>
      <c r="AA195" s="504"/>
      <c r="AB195" s="504"/>
      <c r="AC195" s="504"/>
      <c r="AF195" s="378"/>
      <c r="AG195" s="378"/>
      <c r="AH195" s="378"/>
      <c r="AI195" s="378"/>
      <c r="AJ195" s="378"/>
      <c r="AM195" s="505"/>
      <c r="AN195" s="505"/>
      <c r="AO195" s="505"/>
      <c r="AP195" s="505"/>
      <c r="AR195" s="370"/>
      <c r="AT195" s="370"/>
      <c r="AV195" s="506"/>
      <c r="AW195" s="370"/>
      <c r="AX195" s="370"/>
      <c r="AY195" s="370"/>
      <c r="AZ195" s="370"/>
      <c r="BA195" s="507"/>
      <c r="BB195" s="505"/>
      <c r="BC195" s="505"/>
      <c r="BD195" s="370"/>
      <c r="BE195" s="370"/>
      <c r="BF195" s="370"/>
      <c r="BG195" s="370"/>
      <c r="BH195" s="370"/>
      <c r="BI195" s="370"/>
      <c r="BJ195" s="370"/>
      <c r="BK195" s="370"/>
      <c r="BL195" s="370"/>
      <c r="BM195" s="370"/>
      <c r="BN195" s="370"/>
      <c r="BO195" s="370"/>
      <c r="BP195" s="370"/>
      <c r="BQ195" s="370"/>
      <c r="BR195" s="370"/>
      <c r="BS195" s="370"/>
      <c r="BV195" s="508"/>
      <c r="BW195" s="369"/>
      <c r="BX195" s="370"/>
      <c r="BY195" s="370"/>
      <c r="BZ195" s="370"/>
      <c r="CA195" s="370"/>
      <c r="CB195" s="370"/>
      <c r="CC195" s="505"/>
      <c r="CD195" s="505"/>
      <c r="CE195" s="505"/>
      <c r="CF195" s="505"/>
      <c r="CG195" s="505"/>
      <c r="CH195" s="505"/>
      <c r="CI195" s="505"/>
      <c r="CJ195" s="505"/>
      <c r="CK195" s="505"/>
      <c r="CL195" s="505"/>
      <c r="CM195" s="505"/>
    </row>
    <row r="196" customFormat="false" ht="12.75" hidden="false" customHeight="false" outlineLevel="0" collapsed="false">
      <c r="A196" s="500"/>
      <c r="B196" s="500"/>
      <c r="K196" s="363"/>
      <c r="L196" s="501"/>
      <c r="N196" s="502"/>
      <c r="O196" s="502"/>
      <c r="P196" s="371"/>
      <c r="Q196" s="501"/>
      <c r="R196" s="501"/>
      <c r="U196" s="501"/>
      <c r="V196" s="503"/>
      <c r="W196" s="503"/>
      <c r="X196" s="504"/>
      <c r="Y196" s="504"/>
      <c r="Z196" s="504"/>
      <c r="AA196" s="504"/>
      <c r="AB196" s="504"/>
      <c r="AC196" s="504"/>
      <c r="AF196" s="378"/>
      <c r="AG196" s="378"/>
      <c r="AH196" s="378"/>
      <c r="AI196" s="378"/>
      <c r="AJ196" s="378"/>
      <c r="AM196" s="505"/>
      <c r="AN196" s="505"/>
      <c r="AO196" s="505"/>
      <c r="AP196" s="505"/>
      <c r="AR196" s="370"/>
      <c r="AT196" s="370"/>
      <c r="AV196" s="506"/>
      <c r="AW196" s="370"/>
      <c r="AX196" s="370"/>
      <c r="AY196" s="370"/>
      <c r="AZ196" s="370"/>
      <c r="BA196" s="507"/>
      <c r="BB196" s="505"/>
      <c r="BC196" s="505"/>
      <c r="BD196" s="370"/>
      <c r="BE196" s="370"/>
      <c r="BF196" s="370"/>
      <c r="BG196" s="370"/>
      <c r="BH196" s="370"/>
      <c r="BI196" s="370"/>
      <c r="BJ196" s="370"/>
      <c r="BK196" s="370"/>
      <c r="BL196" s="370"/>
      <c r="BM196" s="370"/>
      <c r="BN196" s="370"/>
      <c r="BO196" s="370"/>
      <c r="BP196" s="370"/>
      <c r="BQ196" s="370"/>
      <c r="BR196" s="370"/>
      <c r="BS196" s="370"/>
      <c r="BV196" s="508"/>
      <c r="BW196" s="369"/>
      <c r="BX196" s="370"/>
      <c r="BY196" s="370"/>
      <c r="BZ196" s="370"/>
      <c r="CA196" s="370"/>
      <c r="CB196" s="370"/>
      <c r="CC196" s="505"/>
      <c r="CD196" s="505"/>
      <c r="CE196" s="505"/>
      <c r="CF196" s="505"/>
      <c r="CG196" s="505"/>
      <c r="CH196" s="505"/>
      <c r="CI196" s="505"/>
      <c r="CJ196" s="505"/>
      <c r="CK196" s="505"/>
      <c r="CL196" s="505"/>
      <c r="CM196" s="505"/>
    </row>
    <row r="197" customFormat="false" ht="12.75" hidden="false" customHeight="false" outlineLevel="0" collapsed="false">
      <c r="A197" s="500"/>
      <c r="B197" s="500"/>
      <c r="K197" s="363"/>
      <c r="L197" s="501"/>
      <c r="N197" s="502"/>
      <c r="O197" s="502"/>
      <c r="P197" s="371"/>
      <c r="Q197" s="501"/>
      <c r="R197" s="501"/>
      <c r="U197" s="501"/>
      <c r="V197" s="503"/>
      <c r="W197" s="503"/>
      <c r="X197" s="504"/>
      <c r="Y197" s="504"/>
      <c r="Z197" s="504"/>
      <c r="AA197" s="504"/>
      <c r="AB197" s="504"/>
      <c r="AC197" s="504"/>
      <c r="AF197" s="378"/>
      <c r="AG197" s="378"/>
      <c r="AH197" s="378"/>
      <c r="AI197" s="378"/>
      <c r="AJ197" s="378"/>
      <c r="AM197" s="505"/>
      <c r="AN197" s="505"/>
      <c r="AO197" s="505"/>
      <c r="AP197" s="505"/>
      <c r="AR197" s="370"/>
      <c r="AT197" s="370"/>
      <c r="AV197" s="506"/>
      <c r="AW197" s="370"/>
      <c r="AX197" s="370"/>
      <c r="AY197" s="370"/>
      <c r="AZ197" s="370"/>
      <c r="BA197" s="507"/>
      <c r="BB197" s="505"/>
      <c r="BC197" s="505"/>
      <c r="BD197" s="370"/>
      <c r="BE197" s="370"/>
      <c r="BF197" s="370"/>
      <c r="BG197" s="370"/>
      <c r="BH197" s="370"/>
      <c r="BI197" s="370"/>
      <c r="BJ197" s="370"/>
      <c r="BK197" s="370"/>
      <c r="BL197" s="370"/>
      <c r="BM197" s="370"/>
      <c r="BN197" s="370"/>
      <c r="BO197" s="370"/>
      <c r="BP197" s="370"/>
      <c r="BQ197" s="370"/>
      <c r="BR197" s="370"/>
      <c r="BS197" s="370"/>
      <c r="BV197" s="508"/>
      <c r="BW197" s="369"/>
      <c r="BX197" s="370"/>
      <c r="BY197" s="370"/>
      <c r="BZ197" s="370"/>
      <c r="CA197" s="370"/>
      <c r="CB197" s="370"/>
      <c r="CC197" s="505"/>
      <c r="CD197" s="505"/>
      <c r="CE197" s="505"/>
      <c r="CF197" s="505"/>
      <c r="CG197" s="505"/>
      <c r="CH197" s="505"/>
      <c r="CI197" s="505"/>
      <c r="CJ197" s="505"/>
      <c r="CK197" s="505"/>
      <c r="CL197" s="505"/>
      <c r="CM197" s="505"/>
    </row>
    <row r="198" customFormat="false" ht="12.75" hidden="false" customHeight="false" outlineLevel="0" collapsed="false">
      <c r="A198" s="500"/>
      <c r="B198" s="500"/>
      <c r="K198" s="363"/>
      <c r="L198" s="501"/>
      <c r="N198" s="502"/>
      <c r="O198" s="502"/>
      <c r="P198" s="371"/>
      <c r="Q198" s="501"/>
      <c r="R198" s="501"/>
      <c r="U198" s="501"/>
      <c r="V198" s="503"/>
      <c r="W198" s="503"/>
      <c r="X198" s="504"/>
      <c r="Y198" s="504"/>
      <c r="Z198" s="504"/>
      <c r="AA198" s="504"/>
      <c r="AB198" s="504"/>
      <c r="AC198" s="504"/>
      <c r="AF198" s="378"/>
      <c r="AG198" s="378"/>
      <c r="AH198" s="378"/>
      <c r="AI198" s="378"/>
      <c r="AJ198" s="378"/>
      <c r="AM198" s="505"/>
      <c r="AN198" s="505"/>
      <c r="AO198" s="505"/>
      <c r="AP198" s="505"/>
      <c r="AR198" s="370"/>
      <c r="AT198" s="370"/>
      <c r="AV198" s="506"/>
      <c r="AW198" s="370"/>
      <c r="AX198" s="370"/>
      <c r="AY198" s="370"/>
      <c r="AZ198" s="370"/>
      <c r="BA198" s="507"/>
      <c r="BB198" s="505"/>
      <c r="BC198" s="505"/>
      <c r="BD198" s="370"/>
      <c r="BE198" s="370"/>
      <c r="BF198" s="370"/>
      <c r="BG198" s="370"/>
      <c r="BH198" s="370"/>
      <c r="BI198" s="370"/>
      <c r="BJ198" s="370"/>
      <c r="BK198" s="370"/>
      <c r="BL198" s="370"/>
      <c r="BM198" s="370"/>
      <c r="BN198" s="370"/>
      <c r="BO198" s="370"/>
      <c r="BP198" s="370"/>
      <c r="BQ198" s="370"/>
      <c r="BR198" s="370"/>
      <c r="BS198" s="370"/>
      <c r="BV198" s="508"/>
      <c r="BW198" s="369"/>
      <c r="BX198" s="370"/>
      <c r="BY198" s="370"/>
      <c r="BZ198" s="370"/>
      <c r="CA198" s="370"/>
      <c r="CB198" s="370"/>
      <c r="CC198" s="505"/>
      <c r="CD198" s="505"/>
      <c r="CE198" s="505"/>
      <c r="CF198" s="505"/>
      <c r="CG198" s="505"/>
      <c r="CH198" s="505"/>
      <c r="CI198" s="505"/>
      <c r="CJ198" s="505"/>
      <c r="CK198" s="505"/>
      <c r="CL198" s="505"/>
      <c r="CM198" s="505"/>
    </row>
    <row r="199" customFormat="false" ht="12.75" hidden="false" customHeight="false" outlineLevel="0" collapsed="false">
      <c r="A199" s="500"/>
      <c r="B199" s="500"/>
      <c r="K199" s="363"/>
      <c r="L199" s="501"/>
      <c r="N199" s="502"/>
      <c r="O199" s="502"/>
      <c r="P199" s="371"/>
      <c r="Q199" s="501"/>
      <c r="R199" s="501"/>
      <c r="U199" s="501"/>
      <c r="V199" s="503"/>
      <c r="W199" s="503"/>
      <c r="X199" s="504"/>
      <c r="Y199" s="504"/>
      <c r="Z199" s="504"/>
      <c r="AA199" s="504"/>
      <c r="AB199" s="504"/>
      <c r="AC199" s="504"/>
      <c r="AF199" s="378"/>
      <c r="AG199" s="378"/>
      <c r="AH199" s="378"/>
      <c r="AI199" s="378"/>
      <c r="AJ199" s="378"/>
      <c r="AM199" s="505"/>
      <c r="AN199" s="505"/>
      <c r="AO199" s="505"/>
      <c r="AP199" s="505"/>
      <c r="AR199" s="370"/>
      <c r="AT199" s="370"/>
      <c r="AV199" s="506"/>
      <c r="AW199" s="370"/>
      <c r="AX199" s="370"/>
      <c r="AY199" s="370"/>
      <c r="AZ199" s="370"/>
      <c r="BA199" s="507"/>
      <c r="BB199" s="505"/>
      <c r="BC199" s="505"/>
      <c r="BD199" s="370"/>
      <c r="BE199" s="370"/>
      <c r="BF199" s="370"/>
      <c r="BG199" s="370"/>
      <c r="BH199" s="370"/>
      <c r="BI199" s="370"/>
      <c r="BJ199" s="370"/>
      <c r="BK199" s="370"/>
      <c r="BL199" s="370"/>
      <c r="BM199" s="370"/>
      <c r="BN199" s="370"/>
      <c r="BO199" s="370"/>
      <c r="BP199" s="370"/>
      <c r="BQ199" s="370"/>
      <c r="BR199" s="370"/>
      <c r="BS199" s="370"/>
      <c r="BV199" s="508"/>
      <c r="BW199" s="369"/>
      <c r="BX199" s="370"/>
      <c r="BY199" s="370"/>
      <c r="BZ199" s="370"/>
      <c r="CA199" s="370"/>
      <c r="CB199" s="370"/>
      <c r="CC199" s="505"/>
      <c r="CD199" s="505"/>
      <c r="CE199" s="505"/>
      <c r="CF199" s="505"/>
      <c r="CG199" s="505"/>
      <c r="CH199" s="505"/>
      <c r="CI199" s="505"/>
      <c r="CJ199" s="505"/>
      <c r="CK199" s="505"/>
      <c r="CL199" s="505"/>
      <c r="CM199" s="505"/>
    </row>
    <row r="200" customFormat="false" ht="12.75" hidden="false" customHeight="false" outlineLevel="0" collapsed="false">
      <c r="A200" s="500"/>
      <c r="B200" s="500"/>
      <c r="K200" s="363"/>
      <c r="L200" s="501"/>
      <c r="N200" s="502"/>
      <c r="O200" s="502"/>
      <c r="P200" s="371"/>
      <c r="Q200" s="501"/>
      <c r="R200" s="501"/>
      <c r="U200" s="501"/>
      <c r="V200" s="503"/>
      <c r="W200" s="503"/>
      <c r="X200" s="504"/>
      <c r="Y200" s="504"/>
      <c r="Z200" s="504"/>
      <c r="AA200" s="504"/>
      <c r="AB200" s="504"/>
      <c r="AC200" s="504"/>
      <c r="AF200" s="378"/>
      <c r="AG200" s="378"/>
      <c r="AH200" s="378"/>
      <c r="AI200" s="378"/>
      <c r="AJ200" s="378"/>
      <c r="AM200" s="505"/>
      <c r="AN200" s="505"/>
      <c r="AO200" s="505"/>
      <c r="AP200" s="505"/>
      <c r="AR200" s="370"/>
      <c r="AT200" s="370"/>
      <c r="AV200" s="506"/>
      <c r="AW200" s="370"/>
      <c r="AX200" s="370"/>
      <c r="AY200" s="370"/>
      <c r="AZ200" s="370"/>
      <c r="BA200" s="507"/>
      <c r="BB200" s="505"/>
      <c r="BC200" s="505"/>
      <c r="BD200" s="370"/>
      <c r="BE200" s="370"/>
      <c r="BF200" s="370"/>
      <c r="BG200" s="370"/>
      <c r="BH200" s="370"/>
      <c r="BI200" s="370"/>
      <c r="BJ200" s="370"/>
      <c r="BK200" s="370"/>
      <c r="BL200" s="370"/>
      <c r="BM200" s="370"/>
      <c r="BN200" s="370"/>
      <c r="BO200" s="370"/>
      <c r="BP200" s="370"/>
      <c r="BQ200" s="370"/>
      <c r="BR200" s="370"/>
      <c r="BS200" s="370"/>
      <c r="BV200" s="508"/>
      <c r="BW200" s="369"/>
      <c r="BX200" s="370"/>
      <c r="BY200" s="370"/>
      <c r="BZ200" s="370"/>
      <c r="CA200" s="370"/>
      <c r="CB200" s="370"/>
      <c r="CC200" s="505"/>
      <c r="CD200" s="505"/>
      <c r="CE200" s="505"/>
      <c r="CF200" s="505"/>
      <c r="CG200" s="505"/>
      <c r="CH200" s="505"/>
      <c r="CI200" s="505"/>
      <c r="CJ200" s="505"/>
      <c r="CK200" s="505"/>
      <c r="CL200" s="505"/>
      <c r="CM200" s="505"/>
    </row>
    <row r="201" customFormat="false" ht="12.75" hidden="false" customHeight="false" outlineLevel="0" collapsed="false">
      <c r="A201" s="500"/>
      <c r="B201" s="500"/>
      <c r="K201" s="363"/>
      <c r="L201" s="501"/>
      <c r="N201" s="502"/>
      <c r="O201" s="502"/>
      <c r="P201" s="371"/>
      <c r="Q201" s="501"/>
      <c r="R201" s="501"/>
      <c r="U201" s="501"/>
      <c r="V201" s="503"/>
      <c r="W201" s="503"/>
      <c r="X201" s="504"/>
      <c r="Y201" s="504"/>
      <c r="Z201" s="504"/>
      <c r="AA201" s="504"/>
      <c r="AB201" s="504"/>
      <c r="AC201" s="504"/>
      <c r="AF201" s="378"/>
      <c r="AG201" s="378"/>
      <c r="AH201" s="378"/>
      <c r="AI201" s="378"/>
      <c r="AJ201" s="378"/>
      <c r="AM201" s="505"/>
      <c r="AN201" s="505"/>
      <c r="AO201" s="505"/>
      <c r="AP201" s="505"/>
      <c r="AR201" s="370"/>
      <c r="AT201" s="370"/>
      <c r="AV201" s="506"/>
      <c r="AW201" s="370"/>
      <c r="AX201" s="370"/>
      <c r="AY201" s="370"/>
      <c r="AZ201" s="370"/>
      <c r="BA201" s="507"/>
      <c r="BB201" s="505"/>
      <c r="BC201" s="505"/>
      <c r="BD201" s="370"/>
      <c r="BE201" s="370"/>
      <c r="BF201" s="370"/>
      <c r="BG201" s="370"/>
      <c r="BH201" s="370"/>
      <c r="BI201" s="370"/>
      <c r="BJ201" s="370"/>
      <c r="BK201" s="370"/>
      <c r="BL201" s="370"/>
      <c r="BM201" s="370"/>
      <c r="BN201" s="370"/>
      <c r="BO201" s="370"/>
      <c r="BP201" s="370"/>
      <c r="BQ201" s="370"/>
      <c r="BR201" s="370"/>
      <c r="BS201" s="370"/>
      <c r="BV201" s="508"/>
      <c r="BW201" s="369"/>
      <c r="BX201" s="370"/>
      <c r="BY201" s="370"/>
      <c r="BZ201" s="370"/>
      <c r="CA201" s="370"/>
      <c r="CB201" s="370"/>
      <c r="CC201" s="505"/>
      <c r="CD201" s="505"/>
      <c r="CE201" s="505"/>
      <c r="CF201" s="505"/>
      <c r="CG201" s="505"/>
      <c r="CH201" s="505"/>
      <c r="CI201" s="505"/>
      <c r="CJ201" s="505"/>
      <c r="CK201" s="505"/>
      <c r="CL201" s="505"/>
      <c r="CM201" s="505"/>
    </row>
    <row r="202" customFormat="false" ht="12.75" hidden="false" customHeight="false" outlineLevel="0" collapsed="false">
      <c r="A202" s="500"/>
      <c r="B202" s="500"/>
      <c r="K202" s="363"/>
      <c r="L202" s="501"/>
      <c r="N202" s="502"/>
      <c r="O202" s="502"/>
      <c r="P202" s="371"/>
      <c r="Q202" s="501"/>
      <c r="R202" s="501"/>
      <c r="U202" s="501"/>
      <c r="V202" s="503"/>
      <c r="W202" s="503"/>
      <c r="X202" s="504"/>
      <c r="Y202" s="504"/>
      <c r="Z202" s="504"/>
      <c r="AA202" s="504"/>
      <c r="AB202" s="504"/>
      <c r="AC202" s="504"/>
      <c r="AF202" s="378"/>
      <c r="AG202" s="378"/>
      <c r="AH202" s="378"/>
      <c r="AI202" s="378"/>
      <c r="AJ202" s="378"/>
      <c r="AM202" s="505"/>
      <c r="AN202" s="505"/>
      <c r="AO202" s="505"/>
      <c r="AP202" s="505"/>
      <c r="AR202" s="370"/>
      <c r="AT202" s="370"/>
      <c r="AV202" s="506"/>
      <c r="AW202" s="370"/>
      <c r="AX202" s="370"/>
      <c r="AY202" s="370"/>
      <c r="AZ202" s="370"/>
      <c r="BA202" s="507"/>
      <c r="BB202" s="505"/>
      <c r="BC202" s="505"/>
      <c r="BD202" s="370"/>
      <c r="BE202" s="370"/>
      <c r="BF202" s="370"/>
      <c r="BG202" s="370"/>
      <c r="BH202" s="370"/>
      <c r="BI202" s="370"/>
      <c r="BJ202" s="370"/>
      <c r="BK202" s="370"/>
      <c r="BL202" s="370"/>
      <c r="BM202" s="370"/>
      <c r="BN202" s="370"/>
      <c r="BO202" s="370"/>
      <c r="BP202" s="370"/>
      <c r="BQ202" s="370"/>
      <c r="BR202" s="370"/>
      <c r="BS202" s="370"/>
      <c r="BV202" s="508"/>
      <c r="BW202" s="369"/>
      <c r="BX202" s="370"/>
      <c r="BY202" s="370"/>
      <c r="BZ202" s="370"/>
      <c r="CA202" s="370"/>
      <c r="CB202" s="370"/>
      <c r="CC202" s="505"/>
      <c r="CD202" s="505"/>
      <c r="CE202" s="505"/>
      <c r="CF202" s="505"/>
      <c r="CG202" s="505"/>
      <c r="CH202" s="505"/>
      <c r="CI202" s="505"/>
      <c r="CJ202" s="505"/>
      <c r="CK202" s="505"/>
      <c r="CL202" s="505"/>
      <c r="CM202" s="505"/>
    </row>
    <row r="203" customFormat="false" ht="12.75" hidden="false" customHeight="false" outlineLevel="0" collapsed="false">
      <c r="A203" s="500"/>
      <c r="B203" s="500"/>
      <c r="K203" s="363"/>
      <c r="L203" s="501"/>
      <c r="N203" s="502"/>
      <c r="O203" s="502"/>
      <c r="P203" s="371"/>
      <c r="Q203" s="501"/>
      <c r="R203" s="501"/>
      <c r="U203" s="501"/>
      <c r="V203" s="503"/>
      <c r="W203" s="503"/>
      <c r="X203" s="504"/>
      <c r="Y203" s="504"/>
      <c r="Z203" s="504"/>
      <c r="AA203" s="504"/>
      <c r="AB203" s="504"/>
      <c r="AC203" s="504"/>
      <c r="AF203" s="378"/>
      <c r="AG203" s="378"/>
      <c r="AH203" s="378"/>
      <c r="AI203" s="378"/>
      <c r="AJ203" s="378"/>
      <c r="AM203" s="505"/>
      <c r="AN203" s="505"/>
      <c r="AO203" s="505"/>
      <c r="AP203" s="505"/>
      <c r="AR203" s="370"/>
      <c r="AT203" s="370"/>
      <c r="AV203" s="506"/>
      <c r="AW203" s="370"/>
      <c r="AX203" s="370"/>
      <c r="AY203" s="370"/>
      <c r="AZ203" s="370"/>
      <c r="BA203" s="507"/>
      <c r="BB203" s="505"/>
      <c r="BC203" s="505"/>
      <c r="BD203" s="370"/>
      <c r="BE203" s="370"/>
      <c r="BF203" s="370"/>
      <c r="BG203" s="370"/>
      <c r="BH203" s="370"/>
      <c r="BI203" s="370"/>
      <c r="BJ203" s="370"/>
      <c r="BK203" s="370"/>
      <c r="BL203" s="370"/>
      <c r="BM203" s="370"/>
      <c r="BN203" s="370"/>
      <c r="BO203" s="370"/>
      <c r="BP203" s="370"/>
      <c r="BQ203" s="370"/>
      <c r="BR203" s="370"/>
      <c r="BS203" s="370"/>
      <c r="BV203" s="508"/>
      <c r="BW203" s="369"/>
      <c r="BX203" s="370"/>
      <c r="BY203" s="370"/>
      <c r="BZ203" s="370"/>
      <c r="CA203" s="370"/>
      <c r="CB203" s="370"/>
      <c r="CC203" s="505"/>
      <c r="CD203" s="505"/>
      <c r="CE203" s="505"/>
      <c r="CF203" s="505"/>
      <c r="CG203" s="505"/>
      <c r="CH203" s="505"/>
      <c r="CI203" s="505"/>
      <c r="CJ203" s="505"/>
      <c r="CK203" s="505"/>
      <c r="CL203" s="505"/>
      <c r="CM203" s="505"/>
    </row>
    <row r="204" customFormat="false" ht="12.75" hidden="false" customHeight="false" outlineLevel="0" collapsed="false">
      <c r="A204" s="500"/>
      <c r="B204" s="500"/>
      <c r="K204" s="363"/>
      <c r="L204" s="501"/>
      <c r="N204" s="502"/>
      <c r="O204" s="502"/>
      <c r="P204" s="371"/>
      <c r="Q204" s="501"/>
      <c r="R204" s="501"/>
      <c r="U204" s="501"/>
      <c r="V204" s="503"/>
      <c r="W204" s="503"/>
      <c r="X204" s="504"/>
      <c r="Y204" s="504"/>
      <c r="Z204" s="504"/>
      <c r="AA204" s="504"/>
      <c r="AB204" s="504"/>
      <c r="AC204" s="504"/>
      <c r="AF204" s="378"/>
      <c r="AG204" s="378"/>
      <c r="AH204" s="378"/>
      <c r="AI204" s="378"/>
      <c r="AJ204" s="378"/>
      <c r="AM204" s="505"/>
      <c r="AN204" s="505"/>
      <c r="AO204" s="505"/>
      <c r="AP204" s="505"/>
      <c r="AR204" s="370"/>
      <c r="AT204" s="370"/>
      <c r="AV204" s="506"/>
      <c r="AW204" s="370"/>
      <c r="AX204" s="370"/>
      <c r="AY204" s="370"/>
      <c r="AZ204" s="370"/>
      <c r="BA204" s="507"/>
      <c r="BB204" s="505"/>
      <c r="BC204" s="505"/>
      <c r="BD204" s="370"/>
      <c r="BE204" s="370"/>
      <c r="BF204" s="370"/>
      <c r="BG204" s="370"/>
      <c r="BH204" s="370"/>
      <c r="BI204" s="370"/>
      <c r="BJ204" s="370"/>
      <c r="BK204" s="370"/>
      <c r="BL204" s="370"/>
      <c r="BM204" s="370"/>
      <c r="BN204" s="370"/>
      <c r="BO204" s="370"/>
      <c r="BP204" s="370"/>
      <c r="BQ204" s="370"/>
      <c r="BR204" s="370"/>
      <c r="BS204" s="370"/>
      <c r="BV204" s="508"/>
      <c r="BW204" s="369"/>
      <c r="BX204" s="370"/>
      <c r="BY204" s="370"/>
      <c r="BZ204" s="370"/>
      <c r="CA204" s="370"/>
      <c r="CB204" s="370"/>
      <c r="CC204" s="505"/>
      <c r="CD204" s="505"/>
      <c r="CE204" s="505"/>
      <c r="CF204" s="505"/>
      <c r="CG204" s="505"/>
      <c r="CH204" s="505"/>
      <c r="CI204" s="505"/>
      <c r="CJ204" s="505"/>
      <c r="CK204" s="505"/>
      <c r="CL204" s="505"/>
      <c r="CM204" s="505"/>
    </row>
    <row r="205" customFormat="false" ht="12.75" hidden="false" customHeight="false" outlineLevel="0" collapsed="false">
      <c r="A205" s="500"/>
      <c r="B205" s="500"/>
      <c r="K205" s="363"/>
      <c r="L205" s="501"/>
      <c r="N205" s="502"/>
      <c r="O205" s="502"/>
      <c r="P205" s="371"/>
      <c r="Q205" s="501"/>
      <c r="R205" s="501"/>
      <c r="U205" s="501"/>
      <c r="V205" s="503"/>
      <c r="W205" s="503"/>
      <c r="X205" s="504"/>
      <c r="Y205" s="504"/>
      <c r="Z205" s="504"/>
      <c r="AA205" s="504"/>
      <c r="AB205" s="504"/>
      <c r="AC205" s="504"/>
      <c r="AF205" s="378"/>
      <c r="AG205" s="378"/>
      <c r="AH205" s="378"/>
      <c r="AI205" s="378"/>
      <c r="AJ205" s="378"/>
      <c r="AM205" s="505"/>
      <c r="AN205" s="505"/>
      <c r="AO205" s="505"/>
      <c r="AP205" s="505"/>
      <c r="AR205" s="370"/>
      <c r="AT205" s="370"/>
      <c r="AV205" s="506"/>
      <c r="AW205" s="370"/>
      <c r="AX205" s="370"/>
      <c r="AY205" s="370"/>
      <c r="AZ205" s="370"/>
      <c r="BA205" s="507"/>
      <c r="BB205" s="505"/>
      <c r="BC205" s="505"/>
      <c r="BD205" s="370"/>
      <c r="BE205" s="370"/>
      <c r="BF205" s="370"/>
      <c r="BG205" s="370"/>
      <c r="BH205" s="370"/>
      <c r="BI205" s="370"/>
      <c r="BJ205" s="370"/>
      <c r="BK205" s="370"/>
      <c r="BL205" s="370"/>
      <c r="BM205" s="370"/>
      <c r="BN205" s="370"/>
      <c r="BO205" s="370"/>
      <c r="BP205" s="370"/>
      <c r="BQ205" s="370"/>
      <c r="BR205" s="370"/>
      <c r="BS205" s="370"/>
      <c r="BV205" s="508"/>
      <c r="BW205" s="369"/>
      <c r="BX205" s="370"/>
      <c r="BY205" s="370"/>
      <c r="BZ205" s="370"/>
      <c r="CA205" s="370"/>
      <c r="CB205" s="370"/>
      <c r="CC205" s="505"/>
      <c r="CD205" s="505"/>
      <c r="CE205" s="505"/>
      <c r="CF205" s="505"/>
      <c r="CG205" s="505"/>
      <c r="CH205" s="505"/>
      <c r="CI205" s="505"/>
      <c r="CJ205" s="505"/>
      <c r="CK205" s="505"/>
      <c r="CL205" s="505"/>
      <c r="CM205" s="505"/>
    </row>
    <row r="206" customFormat="false" ht="12.75" hidden="false" customHeight="false" outlineLevel="0" collapsed="false">
      <c r="A206" s="500"/>
      <c r="B206" s="500"/>
      <c r="K206" s="363"/>
      <c r="L206" s="501"/>
      <c r="N206" s="502"/>
      <c r="O206" s="502"/>
      <c r="P206" s="371"/>
      <c r="Q206" s="501"/>
      <c r="R206" s="501"/>
      <c r="U206" s="501"/>
      <c r="V206" s="503"/>
      <c r="W206" s="503"/>
      <c r="X206" s="504"/>
      <c r="Y206" s="504"/>
      <c r="Z206" s="504"/>
      <c r="AA206" s="504"/>
      <c r="AB206" s="504"/>
      <c r="AC206" s="504"/>
      <c r="AF206" s="378"/>
      <c r="AG206" s="378"/>
      <c r="AH206" s="378"/>
      <c r="AI206" s="378"/>
      <c r="AJ206" s="378"/>
      <c r="AM206" s="505"/>
      <c r="AN206" s="505"/>
      <c r="AO206" s="505"/>
      <c r="AP206" s="505"/>
      <c r="AR206" s="370"/>
      <c r="AT206" s="370"/>
      <c r="AV206" s="506"/>
      <c r="AW206" s="370"/>
      <c r="AX206" s="370"/>
      <c r="AY206" s="370"/>
      <c r="AZ206" s="370"/>
      <c r="BA206" s="507"/>
      <c r="BB206" s="505"/>
      <c r="BC206" s="505"/>
      <c r="BD206" s="370"/>
      <c r="BE206" s="370"/>
      <c r="BF206" s="370"/>
      <c r="BG206" s="370"/>
      <c r="BH206" s="370"/>
      <c r="BI206" s="370"/>
      <c r="BJ206" s="370"/>
      <c r="BK206" s="370"/>
      <c r="BL206" s="370"/>
      <c r="BM206" s="370"/>
      <c r="BN206" s="370"/>
      <c r="BO206" s="370"/>
      <c r="BP206" s="370"/>
      <c r="BQ206" s="370"/>
      <c r="BR206" s="370"/>
      <c r="BS206" s="370"/>
      <c r="BV206" s="508"/>
      <c r="BW206" s="369"/>
      <c r="BX206" s="370"/>
      <c r="BY206" s="370"/>
      <c r="BZ206" s="370"/>
      <c r="CA206" s="370"/>
      <c r="CB206" s="370"/>
      <c r="CC206" s="505"/>
      <c r="CD206" s="505"/>
      <c r="CE206" s="505"/>
      <c r="CF206" s="505"/>
      <c r="CG206" s="505"/>
      <c r="CH206" s="505"/>
      <c r="CI206" s="505"/>
      <c r="CJ206" s="505"/>
      <c r="CK206" s="505"/>
      <c r="CL206" s="505"/>
      <c r="CM206" s="505"/>
    </row>
    <row r="207" customFormat="false" ht="12.75" hidden="false" customHeight="false" outlineLevel="0" collapsed="false">
      <c r="A207" s="500"/>
      <c r="B207" s="500"/>
      <c r="K207" s="363"/>
      <c r="L207" s="501"/>
      <c r="N207" s="502"/>
      <c r="O207" s="502"/>
      <c r="P207" s="371"/>
      <c r="Q207" s="501"/>
      <c r="R207" s="501"/>
      <c r="U207" s="501"/>
      <c r="V207" s="503"/>
      <c r="W207" s="503"/>
      <c r="X207" s="504"/>
      <c r="Y207" s="504"/>
      <c r="Z207" s="504"/>
      <c r="AA207" s="504"/>
      <c r="AB207" s="504"/>
      <c r="AC207" s="504"/>
      <c r="AF207" s="378"/>
      <c r="AG207" s="378"/>
      <c r="AH207" s="378"/>
      <c r="AI207" s="378"/>
      <c r="AJ207" s="378"/>
      <c r="AM207" s="505"/>
      <c r="AN207" s="505"/>
      <c r="AO207" s="505"/>
      <c r="AP207" s="505"/>
      <c r="AR207" s="370"/>
      <c r="AT207" s="370"/>
      <c r="AV207" s="506"/>
      <c r="AW207" s="370"/>
      <c r="AX207" s="370"/>
      <c r="AY207" s="370"/>
      <c r="AZ207" s="370"/>
      <c r="BA207" s="507"/>
      <c r="BB207" s="505"/>
      <c r="BC207" s="505"/>
      <c r="BD207" s="370"/>
      <c r="BE207" s="370"/>
      <c r="BF207" s="370"/>
      <c r="BG207" s="370"/>
      <c r="BH207" s="370"/>
      <c r="BI207" s="370"/>
      <c r="BJ207" s="370"/>
      <c r="BK207" s="370"/>
      <c r="BL207" s="370"/>
      <c r="BM207" s="370"/>
      <c r="BN207" s="370"/>
      <c r="BO207" s="370"/>
      <c r="BP207" s="370"/>
      <c r="BQ207" s="370"/>
      <c r="BR207" s="370"/>
      <c r="BS207" s="370"/>
      <c r="BV207" s="508"/>
      <c r="BW207" s="369"/>
      <c r="BX207" s="370"/>
      <c r="BY207" s="370"/>
      <c r="BZ207" s="370"/>
      <c r="CA207" s="370"/>
      <c r="CB207" s="370"/>
      <c r="CC207" s="505"/>
      <c r="CD207" s="505"/>
      <c r="CE207" s="505"/>
      <c r="CF207" s="505"/>
      <c r="CG207" s="505"/>
      <c r="CH207" s="505"/>
      <c r="CI207" s="505"/>
      <c r="CJ207" s="505"/>
      <c r="CK207" s="505"/>
      <c r="CL207" s="505"/>
      <c r="CM207" s="505"/>
    </row>
    <row r="208" customFormat="false" ht="12.75" hidden="false" customHeight="false" outlineLevel="0" collapsed="false">
      <c r="A208" s="500"/>
      <c r="B208" s="500"/>
      <c r="K208" s="363"/>
      <c r="L208" s="501"/>
      <c r="N208" s="502"/>
      <c r="O208" s="502"/>
      <c r="P208" s="371"/>
      <c r="Q208" s="501"/>
      <c r="R208" s="501"/>
      <c r="U208" s="501"/>
      <c r="V208" s="503"/>
      <c r="W208" s="503"/>
      <c r="X208" s="504"/>
      <c r="Y208" s="504"/>
      <c r="Z208" s="504"/>
      <c r="AA208" s="504"/>
      <c r="AB208" s="504"/>
      <c r="AC208" s="504"/>
      <c r="AF208" s="378"/>
      <c r="AG208" s="378"/>
      <c r="AH208" s="378"/>
      <c r="AI208" s="378"/>
      <c r="AJ208" s="378"/>
      <c r="AM208" s="505"/>
      <c r="AN208" s="505"/>
      <c r="AO208" s="505"/>
      <c r="AP208" s="505"/>
      <c r="AR208" s="370"/>
      <c r="AT208" s="370"/>
      <c r="AV208" s="506"/>
      <c r="AW208" s="370"/>
      <c r="AX208" s="370"/>
      <c r="AY208" s="370"/>
      <c r="AZ208" s="370"/>
      <c r="BA208" s="507"/>
      <c r="BB208" s="505"/>
      <c r="BC208" s="505"/>
      <c r="BD208" s="370"/>
      <c r="BE208" s="370"/>
      <c r="BF208" s="370"/>
      <c r="BG208" s="370"/>
      <c r="BH208" s="370"/>
      <c r="BI208" s="370"/>
      <c r="BJ208" s="370"/>
      <c r="BK208" s="370"/>
      <c r="BL208" s="370"/>
      <c r="BM208" s="370"/>
      <c r="BN208" s="370"/>
      <c r="BO208" s="370"/>
      <c r="BP208" s="370"/>
      <c r="BQ208" s="370"/>
      <c r="BR208" s="370"/>
      <c r="BS208" s="370"/>
      <c r="BV208" s="508"/>
      <c r="BW208" s="369"/>
      <c r="BX208" s="370"/>
      <c r="BY208" s="370"/>
      <c r="BZ208" s="370"/>
      <c r="CA208" s="370"/>
      <c r="CB208" s="370"/>
      <c r="CC208" s="505"/>
      <c r="CD208" s="505"/>
      <c r="CE208" s="505"/>
      <c r="CF208" s="505"/>
      <c r="CG208" s="505"/>
      <c r="CH208" s="505"/>
      <c r="CI208" s="505"/>
      <c r="CJ208" s="505"/>
      <c r="CK208" s="505"/>
      <c r="CL208" s="505"/>
      <c r="CM208" s="505"/>
    </row>
    <row r="209" customFormat="false" ht="12.75" hidden="false" customHeight="false" outlineLevel="0" collapsed="false">
      <c r="A209" s="500"/>
      <c r="B209" s="500"/>
      <c r="K209" s="363"/>
      <c r="L209" s="501"/>
      <c r="N209" s="502"/>
      <c r="O209" s="502"/>
      <c r="P209" s="371"/>
      <c r="Q209" s="501"/>
      <c r="R209" s="501"/>
      <c r="U209" s="501"/>
      <c r="V209" s="503"/>
      <c r="W209" s="503"/>
      <c r="X209" s="504"/>
      <c r="Y209" s="504"/>
      <c r="Z209" s="504"/>
      <c r="AA209" s="504"/>
      <c r="AB209" s="504"/>
      <c r="AC209" s="504"/>
      <c r="AF209" s="378"/>
      <c r="AG209" s="378"/>
      <c r="AH209" s="378"/>
      <c r="AI209" s="378"/>
      <c r="AJ209" s="378"/>
      <c r="AM209" s="505"/>
      <c r="AN209" s="505"/>
      <c r="AO209" s="505"/>
      <c r="AP209" s="505"/>
      <c r="AR209" s="370"/>
      <c r="AT209" s="370"/>
      <c r="AV209" s="506"/>
      <c r="AW209" s="370"/>
      <c r="AX209" s="370"/>
      <c r="AY209" s="370"/>
      <c r="AZ209" s="370"/>
      <c r="BA209" s="507"/>
      <c r="BB209" s="505"/>
      <c r="BC209" s="505"/>
      <c r="BD209" s="370"/>
      <c r="BE209" s="370"/>
      <c r="BF209" s="370"/>
      <c r="BG209" s="370"/>
      <c r="BH209" s="370"/>
      <c r="BI209" s="370"/>
      <c r="BJ209" s="370"/>
      <c r="BK209" s="370"/>
      <c r="BL209" s="370"/>
      <c r="BM209" s="370"/>
      <c r="BN209" s="370"/>
      <c r="BO209" s="370"/>
      <c r="BP209" s="370"/>
      <c r="BQ209" s="370"/>
      <c r="BR209" s="370"/>
      <c r="BS209" s="370"/>
      <c r="BV209" s="508"/>
      <c r="BW209" s="369"/>
      <c r="BX209" s="370"/>
      <c r="BY209" s="370"/>
      <c r="BZ209" s="370"/>
      <c r="CA209" s="370"/>
      <c r="CB209" s="370"/>
      <c r="CC209" s="505"/>
      <c r="CD209" s="505"/>
      <c r="CE209" s="505"/>
      <c r="CF209" s="505"/>
      <c r="CG209" s="505"/>
      <c r="CH209" s="505"/>
      <c r="CI209" s="505"/>
      <c r="CJ209" s="505"/>
      <c r="CK209" s="505"/>
      <c r="CL209" s="505"/>
      <c r="CM209" s="505"/>
    </row>
    <row r="210" customFormat="false" ht="12.75" hidden="false" customHeight="false" outlineLevel="0" collapsed="false">
      <c r="A210" s="500"/>
      <c r="B210" s="500"/>
      <c r="K210" s="363"/>
      <c r="L210" s="501"/>
      <c r="N210" s="502"/>
      <c r="O210" s="502"/>
      <c r="P210" s="371"/>
      <c r="Q210" s="501"/>
      <c r="R210" s="501"/>
      <c r="U210" s="501"/>
      <c r="V210" s="503"/>
      <c r="W210" s="503"/>
      <c r="X210" s="504"/>
      <c r="Y210" s="504"/>
      <c r="Z210" s="504"/>
      <c r="AA210" s="504"/>
      <c r="AB210" s="504"/>
      <c r="AC210" s="504"/>
      <c r="AF210" s="378"/>
      <c r="AG210" s="378"/>
      <c r="AH210" s="378"/>
      <c r="AI210" s="378"/>
      <c r="AJ210" s="378"/>
      <c r="AM210" s="505"/>
      <c r="AN210" s="505"/>
      <c r="AO210" s="505"/>
      <c r="AP210" s="505"/>
      <c r="AR210" s="370"/>
      <c r="AT210" s="370"/>
      <c r="AV210" s="506"/>
      <c r="AW210" s="370"/>
      <c r="AX210" s="370"/>
      <c r="AY210" s="370"/>
      <c r="AZ210" s="370"/>
      <c r="BA210" s="507"/>
      <c r="BB210" s="505"/>
      <c r="BC210" s="505"/>
      <c r="BD210" s="370"/>
      <c r="BE210" s="370"/>
      <c r="BF210" s="370"/>
      <c r="BG210" s="370"/>
      <c r="BH210" s="370"/>
      <c r="BI210" s="370"/>
      <c r="BJ210" s="370"/>
      <c r="BK210" s="370"/>
      <c r="BL210" s="370"/>
      <c r="BM210" s="370"/>
      <c r="BN210" s="370"/>
      <c r="BO210" s="370"/>
      <c r="BP210" s="370"/>
      <c r="BQ210" s="370"/>
      <c r="BR210" s="370"/>
      <c r="BS210" s="370"/>
      <c r="BV210" s="508"/>
      <c r="BW210" s="369"/>
      <c r="BX210" s="370"/>
      <c r="BY210" s="370"/>
      <c r="BZ210" s="370"/>
      <c r="CA210" s="370"/>
      <c r="CB210" s="370"/>
      <c r="CC210" s="505"/>
      <c r="CD210" s="505"/>
      <c r="CE210" s="505"/>
      <c r="CF210" s="505"/>
      <c r="CG210" s="505"/>
      <c r="CH210" s="505"/>
      <c r="CI210" s="505"/>
      <c r="CJ210" s="505"/>
      <c r="CK210" s="505"/>
      <c r="CL210" s="505"/>
      <c r="CM210" s="505"/>
    </row>
    <row r="211" customFormat="false" ht="12.75" hidden="false" customHeight="false" outlineLevel="0" collapsed="false">
      <c r="A211" s="500"/>
      <c r="B211" s="500"/>
      <c r="K211" s="363"/>
      <c r="L211" s="501"/>
      <c r="N211" s="502"/>
      <c r="O211" s="502"/>
      <c r="P211" s="371"/>
      <c r="Q211" s="501"/>
      <c r="R211" s="501"/>
      <c r="U211" s="501"/>
      <c r="V211" s="503"/>
      <c r="W211" s="503"/>
      <c r="X211" s="504"/>
      <c r="Y211" s="504"/>
      <c r="Z211" s="504"/>
      <c r="AA211" s="504"/>
      <c r="AB211" s="504"/>
      <c r="AC211" s="504"/>
      <c r="AF211" s="378"/>
      <c r="AG211" s="378"/>
      <c r="AH211" s="378"/>
      <c r="AI211" s="378"/>
      <c r="AJ211" s="378"/>
      <c r="AM211" s="505"/>
      <c r="AN211" s="505"/>
      <c r="AO211" s="505"/>
      <c r="AP211" s="505"/>
      <c r="AR211" s="370"/>
      <c r="AT211" s="370"/>
      <c r="AV211" s="506"/>
      <c r="AW211" s="370"/>
      <c r="AX211" s="370"/>
      <c r="AY211" s="370"/>
      <c r="AZ211" s="370"/>
      <c r="BA211" s="507"/>
      <c r="BB211" s="505"/>
      <c r="BC211" s="505"/>
      <c r="BD211" s="370"/>
      <c r="BE211" s="370"/>
      <c r="BF211" s="370"/>
      <c r="BG211" s="370"/>
      <c r="BH211" s="370"/>
      <c r="BI211" s="370"/>
      <c r="BJ211" s="370"/>
      <c r="BK211" s="370"/>
      <c r="BL211" s="370"/>
      <c r="BM211" s="370"/>
      <c r="BN211" s="370"/>
      <c r="BO211" s="370"/>
      <c r="BP211" s="370"/>
      <c r="BQ211" s="370"/>
      <c r="BR211" s="370"/>
      <c r="BS211" s="370"/>
      <c r="BV211" s="508"/>
      <c r="BW211" s="369"/>
      <c r="BX211" s="370"/>
      <c r="BY211" s="370"/>
      <c r="BZ211" s="370"/>
      <c r="CA211" s="370"/>
      <c r="CB211" s="370"/>
      <c r="CC211" s="505"/>
      <c r="CD211" s="505"/>
      <c r="CE211" s="505"/>
      <c r="CF211" s="505"/>
      <c r="CG211" s="505"/>
      <c r="CH211" s="505"/>
      <c r="CI211" s="505"/>
      <c r="CJ211" s="505"/>
      <c r="CK211" s="505"/>
      <c r="CL211" s="505"/>
      <c r="CM211" s="505"/>
    </row>
    <row r="212" customFormat="false" ht="12.75" hidden="false" customHeight="false" outlineLevel="0" collapsed="false">
      <c r="A212" s="500"/>
      <c r="B212" s="500"/>
      <c r="K212" s="363"/>
      <c r="L212" s="501"/>
      <c r="N212" s="502"/>
      <c r="O212" s="502"/>
      <c r="P212" s="371"/>
      <c r="Q212" s="501"/>
      <c r="R212" s="501"/>
      <c r="U212" s="501"/>
      <c r="V212" s="503"/>
      <c r="W212" s="503"/>
      <c r="X212" s="504"/>
      <c r="Y212" s="504"/>
      <c r="Z212" s="504"/>
      <c r="AA212" s="504"/>
      <c r="AB212" s="504"/>
      <c r="AC212" s="504"/>
      <c r="AF212" s="378"/>
      <c r="AG212" s="378"/>
      <c r="AH212" s="378"/>
      <c r="AI212" s="378"/>
      <c r="AJ212" s="378"/>
      <c r="AM212" s="505"/>
      <c r="AN212" s="505"/>
      <c r="AO212" s="505"/>
      <c r="AP212" s="505"/>
      <c r="AR212" s="370"/>
      <c r="AT212" s="370"/>
      <c r="AV212" s="506"/>
      <c r="AW212" s="370"/>
      <c r="AX212" s="370"/>
      <c r="AY212" s="370"/>
      <c r="AZ212" s="370"/>
      <c r="BA212" s="507"/>
      <c r="BB212" s="505"/>
      <c r="BC212" s="505"/>
      <c r="BD212" s="370"/>
      <c r="BE212" s="370"/>
      <c r="BF212" s="370"/>
      <c r="BG212" s="370"/>
      <c r="BH212" s="370"/>
      <c r="BI212" s="370"/>
      <c r="BJ212" s="370"/>
      <c r="BK212" s="370"/>
      <c r="BL212" s="370"/>
      <c r="BM212" s="370"/>
      <c r="BN212" s="370"/>
      <c r="BO212" s="370"/>
      <c r="BP212" s="370"/>
      <c r="BQ212" s="370"/>
      <c r="BR212" s="370"/>
      <c r="BS212" s="370"/>
      <c r="BV212" s="508"/>
      <c r="BW212" s="369"/>
      <c r="BX212" s="370"/>
      <c r="BY212" s="370"/>
      <c r="BZ212" s="370"/>
      <c r="CA212" s="370"/>
      <c r="CB212" s="370"/>
      <c r="CC212" s="505"/>
      <c r="CD212" s="505"/>
      <c r="CE212" s="505"/>
      <c r="CF212" s="505"/>
      <c r="CG212" s="505"/>
      <c r="CH212" s="505"/>
      <c r="CI212" s="505"/>
      <c r="CJ212" s="505"/>
      <c r="CK212" s="505"/>
      <c r="CL212" s="505"/>
      <c r="CM212" s="505"/>
    </row>
    <row r="213" customFormat="false" ht="12.75" hidden="false" customHeight="false" outlineLevel="0" collapsed="false">
      <c r="A213" s="500"/>
      <c r="B213" s="500"/>
      <c r="K213" s="363"/>
      <c r="L213" s="501"/>
      <c r="N213" s="502"/>
      <c r="O213" s="502"/>
      <c r="P213" s="371"/>
      <c r="Q213" s="501"/>
      <c r="R213" s="501"/>
      <c r="U213" s="501"/>
      <c r="V213" s="503"/>
      <c r="W213" s="503"/>
      <c r="X213" s="504"/>
      <c r="Y213" s="504"/>
      <c r="Z213" s="504"/>
      <c r="AA213" s="504"/>
      <c r="AB213" s="504"/>
      <c r="AC213" s="504"/>
      <c r="AF213" s="378"/>
      <c r="AG213" s="378"/>
      <c r="AH213" s="378"/>
      <c r="AI213" s="378"/>
      <c r="AJ213" s="378"/>
      <c r="AM213" s="505"/>
      <c r="AN213" s="505"/>
      <c r="AO213" s="505"/>
      <c r="AP213" s="505"/>
      <c r="AR213" s="370"/>
      <c r="AT213" s="370"/>
      <c r="AV213" s="506"/>
      <c r="AW213" s="370"/>
      <c r="AX213" s="370"/>
      <c r="AY213" s="370"/>
      <c r="AZ213" s="370"/>
      <c r="BA213" s="507"/>
      <c r="BB213" s="505"/>
      <c r="BC213" s="505"/>
      <c r="BD213" s="370"/>
      <c r="BE213" s="370"/>
      <c r="BF213" s="370"/>
      <c r="BG213" s="370"/>
      <c r="BH213" s="370"/>
      <c r="BI213" s="370"/>
      <c r="BJ213" s="370"/>
      <c r="BK213" s="370"/>
      <c r="BL213" s="370"/>
      <c r="BM213" s="370"/>
      <c r="BN213" s="370"/>
      <c r="BO213" s="370"/>
      <c r="BP213" s="370"/>
      <c r="BQ213" s="370"/>
      <c r="BR213" s="370"/>
      <c r="BS213" s="370"/>
      <c r="BV213" s="508"/>
      <c r="BW213" s="369"/>
      <c r="BX213" s="370"/>
      <c r="BY213" s="370"/>
      <c r="BZ213" s="370"/>
      <c r="CA213" s="370"/>
      <c r="CB213" s="370"/>
      <c r="CC213" s="505"/>
      <c r="CD213" s="505"/>
      <c r="CE213" s="505"/>
      <c r="CF213" s="505"/>
      <c r="CG213" s="505"/>
      <c r="CH213" s="505"/>
      <c r="CI213" s="505"/>
      <c r="CJ213" s="505"/>
      <c r="CK213" s="505"/>
      <c r="CL213" s="505"/>
      <c r="CM213" s="505"/>
    </row>
    <row r="214" customFormat="false" ht="12.75" hidden="false" customHeight="false" outlineLevel="0" collapsed="false">
      <c r="A214" s="500"/>
      <c r="B214" s="500"/>
      <c r="K214" s="363"/>
      <c r="L214" s="501"/>
      <c r="N214" s="502"/>
      <c r="O214" s="502"/>
      <c r="P214" s="371"/>
      <c r="Q214" s="501"/>
      <c r="R214" s="501"/>
      <c r="U214" s="501"/>
      <c r="V214" s="503"/>
      <c r="W214" s="503"/>
      <c r="X214" s="504"/>
      <c r="Y214" s="504"/>
      <c r="Z214" s="504"/>
      <c r="AA214" s="504"/>
      <c r="AB214" s="504"/>
      <c r="AC214" s="504"/>
      <c r="AF214" s="378"/>
      <c r="AG214" s="378"/>
      <c r="AH214" s="378"/>
      <c r="AI214" s="378"/>
      <c r="AJ214" s="378"/>
      <c r="AM214" s="505"/>
      <c r="AN214" s="505"/>
      <c r="AO214" s="505"/>
      <c r="AP214" s="505"/>
      <c r="AR214" s="370"/>
      <c r="AT214" s="370"/>
      <c r="AV214" s="506"/>
      <c r="AW214" s="370"/>
      <c r="AX214" s="370"/>
      <c r="AY214" s="370"/>
      <c r="AZ214" s="370"/>
      <c r="BA214" s="507"/>
      <c r="BB214" s="505"/>
      <c r="BC214" s="505"/>
      <c r="BD214" s="370"/>
      <c r="BE214" s="370"/>
      <c r="BF214" s="370"/>
      <c r="BG214" s="370"/>
      <c r="BH214" s="370"/>
      <c r="BI214" s="370"/>
      <c r="BJ214" s="370"/>
      <c r="BK214" s="370"/>
      <c r="BL214" s="370"/>
      <c r="BM214" s="370"/>
      <c r="BN214" s="370"/>
      <c r="BO214" s="370"/>
      <c r="BP214" s="370"/>
      <c r="BQ214" s="370"/>
      <c r="BR214" s="370"/>
      <c r="BS214" s="370"/>
      <c r="BV214" s="508"/>
      <c r="BW214" s="369"/>
      <c r="BX214" s="370"/>
      <c r="BY214" s="370"/>
      <c r="BZ214" s="370"/>
      <c r="CA214" s="370"/>
      <c r="CB214" s="370"/>
      <c r="CC214" s="505"/>
      <c r="CD214" s="505"/>
      <c r="CE214" s="505"/>
      <c r="CF214" s="505"/>
      <c r="CG214" s="505"/>
      <c r="CH214" s="505"/>
      <c r="CI214" s="505"/>
      <c r="CJ214" s="505"/>
      <c r="CK214" s="505"/>
      <c r="CL214" s="505"/>
      <c r="CM214" s="505"/>
    </row>
    <row r="215" customFormat="false" ht="12.75" hidden="false" customHeight="false" outlineLevel="0" collapsed="false">
      <c r="A215" s="500"/>
      <c r="B215" s="500"/>
      <c r="K215" s="363"/>
      <c r="L215" s="501"/>
      <c r="N215" s="502"/>
      <c r="O215" s="502"/>
      <c r="P215" s="371"/>
      <c r="Q215" s="501"/>
      <c r="R215" s="501"/>
      <c r="U215" s="501"/>
      <c r="V215" s="503"/>
      <c r="W215" s="503"/>
      <c r="X215" s="504"/>
      <c r="Y215" s="504"/>
      <c r="Z215" s="504"/>
      <c r="AA215" s="504"/>
      <c r="AB215" s="504"/>
      <c r="AC215" s="504"/>
      <c r="AF215" s="378"/>
      <c r="AG215" s="378"/>
      <c r="AH215" s="378"/>
      <c r="AI215" s="378"/>
      <c r="AJ215" s="378"/>
      <c r="AM215" s="505"/>
      <c r="AN215" s="505"/>
      <c r="AO215" s="505"/>
      <c r="AP215" s="505"/>
      <c r="AR215" s="370"/>
      <c r="AT215" s="370"/>
      <c r="AV215" s="506"/>
      <c r="AW215" s="370"/>
      <c r="AX215" s="370"/>
      <c r="AY215" s="370"/>
      <c r="AZ215" s="370"/>
      <c r="BA215" s="507"/>
      <c r="BB215" s="505"/>
      <c r="BC215" s="505"/>
      <c r="BD215" s="370"/>
      <c r="BE215" s="370"/>
      <c r="BF215" s="370"/>
      <c r="BG215" s="370"/>
      <c r="BH215" s="370"/>
      <c r="BI215" s="370"/>
      <c r="BJ215" s="370"/>
      <c r="BK215" s="370"/>
      <c r="BL215" s="370"/>
      <c r="BM215" s="370"/>
      <c r="BN215" s="370"/>
      <c r="BO215" s="370"/>
      <c r="BP215" s="370"/>
      <c r="BQ215" s="370"/>
      <c r="BR215" s="370"/>
      <c r="BS215" s="370"/>
      <c r="BV215" s="508"/>
      <c r="BW215" s="369"/>
      <c r="BX215" s="370"/>
      <c r="BY215" s="370"/>
      <c r="BZ215" s="370"/>
      <c r="CA215" s="370"/>
      <c r="CB215" s="370"/>
      <c r="CC215" s="505"/>
      <c r="CD215" s="505"/>
      <c r="CE215" s="505"/>
      <c r="CF215" s="505"/>
      <c r="CG215" s="505"/>
      <c r="CH215" s="505"/>
      <c r="CI215" s="505"/>
      <c r="CJ215" s="505"/>
      <c r="CK215" s="505"/>
      <c r="CL215" s="505"/>
      <c r="CM215" s="505"/>
    </row>
    <row r="216" customFormat="false" ht="12.75" hidden="false" customHeight="false" outlineLevel="0" collapsed="false">
      <c r="A216" s="500"/>
      <c r="B216" s="500"/>
      <c r="K216" s="363"/>
      <c r="L216" s="501"/>
      <c r="N216" s="502"/>
      <c r="O216" s="502"/>
      <c r="P216" s="371"/>
      <c r="Q216" s="501"/>
      <c r="R216" s="501"/>
      <c r="U216" s="501"/>
      <c r="V216" s="503"/>
      <c r="W216" s="503"/>
      <c r="X216" s="504"/>
      <c r="Y216" s="504"/>
      <c r="Z216" s="504"/>
      <c r="AA216" s="504"/>
      <c r="AB216" s="504"/>
      <c r="AC216" s="504"/>
      <c r="AF216" s="378"/>
      <c r="AG216" s="378"/>
      <c r="AH216" s="378"/>
      <c r="AI216" s="378"/>
      <c r="AJ216" s="378"/>
      <c r="AM216" s="505"/>
      <c r="AN216" s="505"/>
      <c r="AO216" s="505"/>
      <c r="AP216" s="505"/>
      <c r="AR216" s="370"/>
      <c r="AT216" s="370"/>
      <c r="AV216" s="506"/>
      <c r="AW216" s="370"/>
      <c r="AX216" s="370"/>
      <c r="AY216" s="370"/>
      <c r="AZ216" s="370"/>
      <c r="BA216" s="507"/>
      <c r="BB216" s="505"/>
      <c r="BC216" s="505"/>
      <c r="BD216" s="370"/>
      <c r="BE216" s="370"/>
      <c r="BF216" s="370"/>
      <c r="BG216" s="370"/>
      <c r="BH216" s="370"/>
      <c r="BI216" s="370"/>
      <c r="BJ216" s="370"/>
      <c r="BK216" s="370"/>
      <c r="BL216" s="370"/>
      <c r="BM216" s="370"/>
      <c r="BN216" s="370"/>
      <c r="BO216" s="370"/>
      <c r="BP216" s="370"/>
      <c r="BQ216" s="370"/>
      <c r="BR216" s="370"/>
      <c r="BS216" s="370"/>
      <c r="BV216" s="508"/>
      <c r="BW216" s="369"/>
      <c r="BX216" s="370"/>
      <c r="BY216" s="370"/>
      <c r="BZ216" s="370"/>
      <c r="CA216" s="370"/>
      <c r="CB216" s="370"/>
      <c r="CC216" s="505"/>
      <c r="CD216" s="505"/>
      <c r="CE216" s="505"/>
      <c r="CF216" s="505"/>
      <c r="CG216" s="505"/>
      <c r="CH216" s="505"/>
      <c r="CI216" s="505"/>
      <c r="CJ216" s="505"/>
      <c r="CK216" s="505"/>
      <c r="CL216" s="505"/>
      <c r="CM216" s="505"/>
    </row>
    <row r="217" customFormat="false" ht="12.75" hidden="false" customHeight="false" outlineLevel="0" collapsed="false">
      <c r="A217" s="500"/>
      <c r="B217" s="500"/>
      <c r="K217" s="363"/>
      <c r="L217" s="501"/>
      <c r="N217" s="502"/>
      <c r="O217" s="502"/>
      <c r="P217" s="371"/>
      <c r="Q217" s="501"/>
      <c r="R217" s="501"/>
      <c r="U217" s="501"/>
      <c r="V217" s="503"/>
      <c r="W217" s="503"/>
      <c r="X217" s="504"/>
      <c r="Y217" s="504"/>
      <c r="Z217" s="504"/>
      <c r="AA217" s="504"/>
      <c r="AB217" s="504"/>
      <c r="AC217" s="504"/>
      <c r="AF217" s="378"/>
      <c r="AG217" s="378"/>
      <c r="AH217" s="378"/>
      <c r="AI217" s="378"/>
      <c r="AJ217" s="378"/>
      <c r="AM217" s="505"/>
      <c r="AN217" s="505"/>
      <c r="AO217" s="505"/>
      <c r="AP217" s="505"/>
      <c r="AR217" s="370"/>
      <c r="AT217" s="370"/>
      <c r="AV217" s="506"/>
      <c r="AW217" s="370"/>
      <c r="AX217" s="370"/>
      <c r="AY217" s="370"/>
      <c r="AZ217" s="370"/>
      <c r="BA217" s="507"/>
      <c r="BB217" s="505"/>
      <c r="BC217" s="505"/>
      <c r="BD217" s="370"/>
      <c r="BE217" s="370"/>
      <c r="BF217" s="370"/>
      <c r="BG217" s="370"/>
      <c r="BH217" s="370"/>
      <c r="BI217" s="370"/>
      <c r="BJ217" s="370"/>
      <c r="BK217" s="370"/>
      <c r="BL217" s="370"/>
      <c r="BM217" s="370"/>
      <c r="BN217" s="370"/>
      <c r="BO217" s="370"/>
      <c r="BP217" s="370"/>
      <c r="BQ217" s="370"/>
      <c r="BR217" s="370"/>
      <c r="BS217" s="370"/>
      <c r="BV217" s="508"/>
      <c r="BW217" s="369"/>
      <c r="BX217" s="370"/>
      <c r="BY217" s="370"/>
      <c r="BZ217" s="370"/>
      <c r="CA217" s="370"/>
      <c r="CB217" s="370"/>
      <c r="CC217" s="505"/>
      <c r="CD217" s="505"/>
      <c r="CE217" s="505"/>
      <c r="CF217" s="505"/>
      <c r="CG217" s="505"/>
      <c r="CH217" s="505"/>
      <c r="CI217" s="505"/>
      <c r="CJ217" s="505"/>
      <c r="CK217" s="505"/>
      <c r="CL217" s="505"/>
      <c r="CM217" s="505"/>
    </row>
    <row r="218" customFormat="false" ht="12.75" hidden="false" customHeight="false" outlineLevel="0" collapsed="false">
      <c r="A218" s="500"/>
      <c r="B218" s="500"/>
      <c r="K218" s="363"/>
      <c r="L218" s="501"/>
      <c r="N218" s="502"/>
      <c r="O218" s="502"/>
      <c r="P218" s="371"/>
      <c r="Q218" s="501"/>
      <c r="R218" s="501"/>
      <c r="U218" s="501"/>
      <c r="V218" s="503"/>
      <c r="W218" s="503"/>
      <c r="X218" s="504"/>
      <c r="Y218" s="504"/>
      <c r="Z218" s="504"/>
      <c r="AA218" s="504"/>
      <c r="AB218" s="504"/>
      <c r="AC218" s="504"/>
      <c r="AF218" s="378"/>
      <c r="AG218" s="378"/>
      <c r="AH218" s="378"/>
      <c r="AI218" s="378"/>
      <c r="AJ218" s="378"/>
      <c r="AM218" s="505"/>
      <c r="AN218" s="505"/>
      <c r="AO218" s="505"/>
      <c r="AP218" s="505"/>
      <c r="AR218" s="370"/>
      <c r="AT218" s="370"/>
      <c r="AV218" s="506"/>
      <c r="AW218" s="370"/>
      <c r="AX218" s="370"/>
      <c r="AY218" s="370"/>
      <c r="AZ218" s="370"/>
      <c r="BA218" s="507"/>
      <c r="BB218" s="505"/>
      <c r="BC218" s="505"/>
      <c r="BD218" s="370"/>
      <c r="BE218" s="370"/>
      <c r="BF218" s="370"/>
      <c r="BG218" s="370"/>
      <c r="BH218" s="370"/>
      <c r="BI218" s="370"/>
      <c r="BJ218" s="370"/>
      <c r="BK218" s="370"/>
      <c r="BL218" s="370"/>
      <c r="BM218" s="370"/>
      <c r="BN218" s="370"/>
      <c r="BO218" s="370"/>
      <c r="BP218" s="370"/>
      <c r="BQ218" s="370"/>
      <c r="BR218" s="370"/>
      <c r="BS218" s="370"/>
      <c r="BV218" s="508"/>
      <c r="BW218" s="369"/>
      <c r="BX218" s="370"/>
      <c r="BY218" s="370"/>
      <c r="BZ218" s="370"/>
      <c r="CA218" s="370"/>
      <c r="CB218" s="370"/>
      <c r="CC218" s="505"/>
      <c r="CD218" s="505"/>
      <c r="CE218" s="505"/>
      <c r="CF218" s="505"/>
      <c r="CG218" s="505"/>
      <c r="CH218" s="505"/>
      <c r="CI218" s="505"/>
      <c r="CJ218" s="505"/>
      <c r="CK218" s="505"/>
      <c r="CL218" s="505"/>
      <c r="CM218" s="505"/>
    </row>
    <row r="219" customFormat="false" ht="12.75" hidden="false" customHeight="false" outlineLevel="0" collapsed="false">
      <c r="A219" s="500"/>
      <c r="B219" s="500"/>
      <c r="K219" s="363"/>
      <c r="L219" s="501"/>
      <c r="N219" s="502"/>
      <c r="O219" s="502"/>
      <c r="P219" s="371"/>
      <c r="Q219" s="501"/>
      <c r="R219" s="501"/>
      <c r="U219" s="501"/>
      <c r="V219" s="503"/>
      <c r="W219" s="503"/>
      <c r="X219" s="504"/>
      <c r="Y219" s="504"/>
      <c r="Z219" s="504"/>
      <c r="AA219" s="504"/>
      <c r="AB219" s="504"/>
      <c r="AC219" s="504"/>
      <c r="AF219" s="378"/>
      <c r="AG219" s="378"/>
      <c r="AH219" s="378"/>
      <c r="AI219" s="378"/>
      <c r="AJ219" s="378"/>
      <c r="AM219" s="505"/>
      <c r="AN219" s="505"/>
      <c r="AO219" s="505"/>
      <c r="AP219" s="505"/>
      <c r="AR219" s="370"/>
      <c r="AT219" s="370"/>
      <c r="AV219" s="506"/>
      <c r="AW219" s="370"/>
      <c r="AX219" s="370"/>
      <c r="AY219" s="370"/>
      <c r="AZ219" s="370"/>
      <c r="BA219" s="507"/>
      <c r="BB219" s="505"/>
      <c r="BC219" s="505"/>
      <c r="BD219" s="370"/>
      <c r="BE219" s="370"/>
      <c r="BF219" s="370"/>
      <c r="BG219" s="370"/>
      <c r="BH219" s="370"/>
      <c r="BI219" s="370"/>
      <c r="BJ219" s="370"/>
      <c r="BK219" s="370"/>
      <c r="BL219" s="370"/>
      <c r="BM219" s="370"/>
      <c r="BN219" s="370"/>
      <c r="BO219" s="370"/>
      <c r="BP219" s="370"/>
      <c r="BQ219" s="370"/>
      <c r="BR219" s="370"/>
      <c r="BS219" s="370"/>
      <c r="BV219" s="508"/>
      <c r="BW219" s="369"/>
      <c r="BX219" s="370"/>
      <c r="BY219" s="370"/>
      <c r="BZ219" s="370"/>
      <c r="CA219" s="370"/>
      <c r="CB219" s="370"/>
      <c r="CC219" s="505"/>
      <c r="CD219" s="505"/>
      <c r="CE219" s="505"/>
      <c r="CF219" s="505"/>
      <c r="CG219" s="505"/>
      <c r="CH219" s="505"/>
      <c r="CI219" s="505"/>
      <c r="CJ219" s="505"/>
      <c r="CK219" s="505"/>
      <c r="CL219" s="505"/>
      <c r="CM219" s="505"/>
    </row>
    <row r="220" customFormat="false" ht="12.75" hidden="false" customHeight="false" outlineLevel="0" collapsed="false">
      <c r="A220" s="500"/>
      <c r="B220" s="500"/>
      <c r="K220" s="363"/>
      <c r="L220" s="501"/>
      <c r="N220" s="502"/>
      <c r="O220" s="502"/>
      <c r="P220" s="371"/>
      <c r="Q220" s="501"/>
      <c r="R220" s="501"/>
      <c r="U220" s="501"/>
      <c r="V220" s="503"/>
      <c r="W220" s="503"/>
      <c r="X220" s="504"/>
      <c r="Y220" s="504"/>
      <c r="Z220" s="504"/>
      <c r="AA220" s="504"/>
      <c r="AB220" s="504"/>
      <c r="AC220" s="504"/>
      <c r="AF220" s="378"/>
      <c r="AG220" s="378"/>
      <c r="AH220" s="378"/>
      <c r="AI220" s="378"/>
      <c r="AJ220" s="378"/>
      <c r="AM220" s="505"/>
      <c r="AN220" s="505"/>
      <c r="AO220" s="505"/>
      <c r="AP220" s="505"/>
      <c r="AR220" s="370"/>
      <c r="AT220" s="370"/>
      <c r="AV220" s="506"/>
      <c r="AW220" s="370"/>
      <c r="AX220" s="370"/>
      <c r="AY220" s="370"/>
      <c r="AZ220" s="370"/>
      <c r="BA220" s="507"/>
      <c r="BB220" s="505"/>
      <c r="BC220" s="505"/>
      <c r="BD220" s="370"/>
      <c r="BE220" s="370"/>
      <c r="BF220" s="370"/>
      <c r="BG220" s="370"/>
      <c r="BH220" s="370"/>
      <c r="BI220" s="370"/>
      <c r="BJ220" s="370"/>
      <c r="BK220" s="370"/>
      <c r="BL220" s="370"/>
      <c r="BM220" s="370"/>
      <c r="BN220" s="370"/>
      <c r="BO220" s="370"/>
      <c r="BP220" s="370"/>
      <c r="BQ220" s="370"/>
      <c r="BR220" s="370"/>
      <c r="BS220" s="370"/>
      <c r="BV220" s="508"/>
      <c r="BW220" s="369"/>
      <c r="BX220" s="370"/>
      <c r="BY220" s="370"/>
      <c r="BZ220" s="370"/>
      <c r="CA220" s="370"/>
      <c r="CB220" s="370"/>
      <c r="CC220" s="505"/>
      <c r="CD220" s="505"/>
      <c r="CE220" s="505"/>
      <c r="CF220" s="505"/>
      <c r="CG220" s="505"/>
      <c r="CH220" s="505"/>
      <c r="CI220" s="505"/>
      <c r="CJ220" s="505"/>
      <c r="CK220" s="505"/>
      <c r="CL220" s="505"/>
      <c r="CM220" s="505"/>
    </row>
    <row r="221" customFormat="false" ht="12.75" hidden="false" customHeight="false" outlineLevel="0" collapsed="false">
      <c r="A221" s="500"/>
      <c r="B221" s="500"/>
      <c r="K221" s="363"/>
      <c r="L221" s="501"/>
      <c r="N221" s="502"/>
      <c r="O221" s="502"/>
      <c r="P221" s="371"/>
      <c r="Q221" s="501"/>
      <c r="R221" s="501"/>
      <c r="U221" s="501"/>
      <c r="V221" s="503"/>
      <c r="W221" s="503"/>
      <c r="X221" s="504"/>
      <c r="Y221" s="504"/>
      <c r="Z221" s="504"/>
      <c r="AA221" s="504"/>
      <c r="AB221" s="504"/>
      <c r="AC221" s="504"/>
      <c r="AF221" s="378"/>
      <c r="AG221" s="378"/>
      <c r="AH221" s="378"/>
      <c r="AI221" s="378"/>
      <c r="AJ221" s="378"/>
      <c r="AM221" s="505"/>
      <c r="AN221" s="505"/>
      <c r="AO221" s="505"/>
      <c r="AP221" s="505"/>
      <c r="AR221" s="370"/>
      <c r="AT221" s="370"/>
      <c r="AV221" s="506"/>
      <c r="AW221" s="370"/>
      <c r="AX221" s="370"/>
      <c r="AY221" s="370"/>
      <c r="AZ221" s="370"/>
      <c r="BA221" s="507"/>
      <c r="BB221" s="505"/>
      <c r="BC221" s="505"/>
      <c r="BD221" s="370"/>
      <c r="BE221" s="370"/>
      <c r="BF221" s="370"/>
      <c r="BG221" s="370"/>
      <c r="BH221" s="370"/>
      <c r="BI221" s="370"/>
      <c r="BJ221" s="370"/>
      <c r="BK221" s="370"/>
      <c r="BL221" s="370"/>
      <c r="BM221" s="370"/>
      <c r="BN221" s="370"/>
      <c r="BO221" s="370"/>
      <c r="BP221" s="370"/>
      <c r="BQ221" s="370"/>
      <c r="BR221" s="370"/>
      <c r="BS221" s="370"/>
      <c r="BV221" s="508"/>
      <c r="BW221" s="369"/>
      <c r="BX221" s="370"/>
      <c r="BY221" s="370"/>
      <c r="BZ221" s="370"/>
      <c r="CA221" s="370"/>
      <c r="CB221" s="370"/>
      <c r="CC221" s="505"/>
      <c r="CD221" s="505"/>
      <c r="CE221" s="505"/>
      <c r="CF221" s="505"/>
      <c r="CG221" s="505"/>
      <c r="CH221" s="505"/>
      <c r="CI221" s="505"/>
      <c r="CJ221" s="505"/>
      <c r="CK221" s="505"/>
      <c r="CL221" s="505"/>
      <c r="CM221" s="505"/>
    </row>
    <row r="222" customFormat="false" ht="12.75" hidden="false" customHeight="false" outlineLevel="0" collapsed="false">
      <c r="A222" s="500"/>
      <c r="B222" s="500"/>
      <c r="K222" s="363"/>
      <c r="L222" s="501"/>
      <c r="N222" s="502"/>
      <c r="O222" s="502"/>
      <c r="P222" s="371"/>
      <c r="Q222" s="501"/>
      <c r="R222" s="501"/>
      <c r="U222" s="501"/>
      <c r="V222" s="503"/>
      <c r="W222" s="503"/>
      <c r="X222" s="504"/>
      <c r="Y222" s="504"/>
      <c r="Z222" s="504"/>
      <c r="AA222" s="504"/>
      <c r="AB222" s="504"/>
      <c r="AC222" s="504"/>
      <c r="AF222" s="378"/>
      <c r="AG222" s="378"/>
      <c r="AH222" s="378"/>
      <c r="AI222" s="378"/>
      <c r="AJ222" s="378"/>
      <c r="AM222" s="505"/>
      <c r="AN222" s="505"/>
      <c r="AO222" s="505"/>
      <c r="AP222" s="505"/>
      <c r="AR222" s="370"/>
      <c r="AT222" s="370"/>
      <c r="AV222" s="506"/>
      <c r="AW222" s="370"/>
      <c r="AX222" s="370"/>
      <c r="AY222" s="370"/>
      <c r="AZ222" s="370"/>
      <c r="BA222" s="507"/>
      <c r="BB222" s="505"/>
      <c r="BC222" s="505"/>
      <c r="BD222" s="370"/>
      <c r="BE222" s="370"/>
      <c r="BF222" s="370"/>
      <c r="BG222" s="370"/>
      <c r="BH222" s="370"/>
      <c r="BI222" s="370"/>
      <c r="BJ222" s="370"/>
      <c r="BK222" s="370"/>
      <c r="BL222" s="370"/>
      <c r="BM222" s="370"/>
      <c r="BN222" s="370"/>
      <c r="BO222" s="370"/>
      <c r="BP222" s="370"/>
      <c r="BQ222" s="370"/>
      <c r="BR222" s="370"/>
      <c r="BS222" s="370"/>
      <c r="BV222" s="508"/>
      <c r="BW222" s="369"/>
      <c r="BX222" s="370"/>
      <c r="BY222" s="370"/>
      <c r="BZ222" s="370"/>
      <c r="CA222" s="370"/>
      <c r="CB222" s="370"/>
      <c r="CC222" s="505"/>
      <c r="CD222" s="505"/>
      <c r="CE222" s="505"/>
      <c r="CF222" s="505"/>
      <c r="CG222" s="505"/>
      <c r="CH222" s="505"/>
      <c r="CI222" s="505"/>
      <c r="CJ222" s="505"/>
      <c r="CK222" s="505"/>
      <c r="CL222" s="505"/>
      <c r="CM222" s="505"/>
    </row>
    <row r="223" customFormat="false" ht="12.75" hidden="false" customHeight="false" outlineLevel="0" collapsed="false">
      <c r="A223" s="500"/>
      <c r="B223" s="500"/>
      <c r="K223" s="363"/>
      <c r="L223" s="501"/>
      <c r="N223" s="502"/>
      <c r="O223" s="502"/>
      <c r="P223" s="371"/>
      <c r="Q223" s="501"/>
      <c r="R223" s="501"/>
      <c r="U223" s="501"/>
      <c r="V223" s="503"/>
      <c r="W223" s="503"/>
      <c r="X223" s="504"/>
      <c r="Y223" s="504"/>
      <c r="Z223" s="504"/>
      <c r="AA223" s="504"/>
      <c r="AB223" s="504"/>
      <c r="AC223" s="504"/>
      <c r="AF223" s="378"/>
      <c r="AG223" s="378"/>
      <c r="AH223" s="378"/>
      <c r="AI223" s="378"/>
      <c r="AJ223" s="378"/>
      <c r="AM223" s="505"/>
      <c r="AN223" s="505"/>
      <c r="AO223" s="505"/>
      <c r="AP223" s="505"/>
      <c r="AR223" s="370"/>
      <c r="AT223" s="370"/>
      <c r="AV223" s="506"/>
      <c r="AW223" s="370"/>
      <c r="AX223" s="370"/>
      <c r="AY223" s="370"/>
      <c r="AZ223" s="370"/>
      <c r="BA223" s="507"/>
      <c r="BB223" s="505"/>
      <c r="BC223" s="505"/>
      <c r="BD223" s="370"/>
      <c r="BE223" s="370"/>
      <c r="BF223" s="370"/>
      <c r="BG223" s="370"/>
      <c r="BH223" s="370"/>
      <c r="BI223" s="370"/>
      <c r="BJ223" s="370"/>
      <c r="BK223" s="370"/>
      <c r="BL223" s="370"/>
      <c r="BM223" s="370"/>
      <c r="BN223" s="370"/>
      <c r="BO223" s="370"/>
      <c r="BP223" s="370"/>
      <c r="BQ223" s="370"/>
      <c r="BR223" s="370"/>
      <c r="BS223" s="370"/>
      <c r="BV223" s="508"/>
      <c r="BW223" s="369"/>
      <c r="BX223" s="370"/>
      <c r="BY223" s="370"/>
      <c r="BZ223" s="370"/>
      <c r="CA223" s="370"/>
      <c r="CB223" s="370"/>
      <c r="CC223" s="505"/>
      <c r="CD223" s="505"/>
      <c r="CE223" s="505"/>
      <c r="CF223" s="505"/>
      <c r="CG223" s="505"/>
      <c r="CH223" s="505"/>
      <c r="CI223" s="505"/>
      <c r="CJ223" s="505"/>
      <c r="CK223" s="505"/>
      <c r="CL223" s="505"/>
      <c r="CM223" s="505"/>
    </row>
    <row r="224" customFormat="false" ht="12.75" hidden="false" customHeight="false" outlineLevel="0" collapsed="false">
      <c r="A224" s="500"/>
      <c r="B224" s="500"/>
      <c r="K224" s="363"/>
      <c r="L224" s="501"/>
      <c r="N224" s="502"/>
      <c r="O224" s="502"/>
      <c r="P224" s="371"/>
      <c r="Q224" s="501"/>
      <c r="R224" s="501"/>
      <c r="U224" s="501"/>
      <c r="V224" s="503"/>
      <c r="W224" s="503"/>
      <c r="X224" s="504"/>
      <c r="Y224" s="504"/>
      <c r="Z224" s="504"/>
      <c r="AA224" s="504"/>
      <c r="AB224" s="504"/>
      <c r="AC224" s="504"/>
      <c r="AF224" s="378"/>
      <c r="AG224" s="378"/>
      <c r="AH224" s="378"/>
      <c r="AI224" s="378"/>
      <c r="AJ224" s="378"/>
      <c r="AM224" s="505"/>
      <c r="AN224" s="505"/>
      <c r="AO224" s="505"/>
      <c r="AP224" s="505"/>
      <c r="AR224" s="370"/>
      <c r="AT224" s="370"/>
      <c r="AV224" s="506"/>
      <c r="AW224" s="370"/>
      <c r="AX224" s="370"/>
      <c r="AY224" s="370"/>
      <c r="AZ224" s="370"/>
      <c r="BA224" s="507"/>
      <c r="BB224" s="505"/>
      <c r="BC224" s="505"/>
      <c r="BD224" s="370"/>
      <c r="BE224" s="370"/>
      <c r="BF224" s="370"/>
      <c r="BG224" s="370"/>
      <c r="BH224" s="370"/>
      <c r="BI224" s="370"/>
      <c r="BJ224" s="370"/>
      <c r="BK224" s="370"/>
      <c r="BL224" s="370"/>
      <c r="BM224" s="370"/>
      <c r="BN224" s="370"/>
      <c r="BO224" s="370"/>
      <c r="BP224" s="370"/>
      <c r="BQ224" s="370"/>
      <c r="BR224" s="370"/>
      <c r="BS224" s="370"/>
      <c r="BV224" s="508"/>
      <c r="BW224" s="369"/>
      <c r="BX224" s="370"/>
      <c r="BY224" s="370"/>
      <c r="BZ224" s="370"/>
      <c r="CA224" s="370"/>
      <c r="CB224" s="370"/>
      <c r="CC224" s="505"/>
      <c r="CD224" s="505"/>
      <c r="CE224" s="505"/>
      <c r="CF224" s="505"/>
      <c r="CG224" s="505"/>
      <c r="CH224" s="505"/>
      <c r="CI224" s="505"/>
      <c r="CJ224" s="505"/>
      <c r="CK224" s="505"/>
      <c r="CL224" s="505"/>
      <c r="CM224" s="505"/>
    </row>
    <row r="225" customFormat="false" ht="12.75" hidden="false" customHeight="false" outlineLevel="0" collapsed="false">
      <c r="A225" s="500"/>
      <c r="B225" s="500"/>
      <c r="K225" s="363"/>
      <c r="L225" s="501"/>
      <c r="N225" s="502"/>
      <c r="O225" s="502"/>
      <c r="P225" s="371"/>
      <c r="Q225" s="501"/>
      <c r="R225" s="501"/>
      <c r="U225" s="501"/>
      <c r="V225" s="503"/>
      <c r="W225" s="503"/>
      <c r="X225" s="504"/>
      <c r="Y225" s="504"/>
      <c r="Z225" s="504"/>
      <c r="AA225" s="504"/>
      <c r="AB225" s="504"/>
      <c r="AC225" s="504"/>
      <c r="AF225" s="378"/>
      <c r="AG225" s="378"/>
      <c r="AH225" s="378"/>
      <c r="AI225" s="378"/>
      <c r="AJ225" s="378"/>
      <c r="AM225" s="505"/>
      <c r="AN225" s="505"/>
      <c r="AO225" s="505"/>
      <c r="AP225" s="505"/>
      <c r="AR225" s="370"/>
      <c r="AT225" s="370"/>
      <c r="AV225" s="506"/>
      <c r="AW225" s="370"/>
      <c r="AX225" s="370"/>
      <c r="AY225" s="370"/>
      <c r="AZ225" s="370"/>
      <c r="BA225" s="507"/>
      <c r="BB225" s="505"/>
      <c r="BC225" s="505"/>
      <c r="BD225" s="370"/>
      <c r="BE225" s="370"/>
      <c r="BF225" s="370"/>
      <c r="BG225" s="370"/>
      <c r="BH225" s="370"/>
      <c r="BI225" s="370"/>
      <c r="BJ225" s="370"/>
      <c r="BK225" s="370"/>
      <c r="BL225" s="370"/>
      <c r="BM225" s="370"/>
      <c r="BN225" s="370"/>
      <c r="BO225" s="370"/>
      <c r="BP225" s="370"/>
      <c r="BQ225" s="370"/>
      <c r="BR225" s="370"/>
      <c r="BS225" s="370"/>
      <c r="BV225" s="508"/>
      <c r="BW225" s="369"/>
      <c r="BX225" s="370"/>
      <c r="BY225" s="370"/>
      <c r="BZ225" s="370"/>
      <c r="CA225" s="370"/>
      <c r="CB225" s="370"/>
      <c r="CC225" s="505"/>
      <c r="CD225" s="505"/>
      <c r="CE225" s="505"/>
      <c r="CF225" s="505"/>
      <c r="CG225" s="505"/>
      <c r="CH225" s="505"/>
      <c r="CI225" s="505"/>
      <c r="CJ225" s="505"/>
      <c r="CK225" s="505"/>
      <c r="CL225" s="505"/>
      <c r="CM225" s="505"/>
    </row>
    <row r="226" customFormat="false" ht="12.75" hidden="false" customHeight="false" outlineLevel="0" collapsed="false">
      <c r="A226" s="500"/>
      <c r="B226" s="500"/>
      <c r="K226" s="363"/>
      <c r="L226" s="501"/>
      <c r="N226" s="502"/>
      <c r="O226" s="502"/>
      <c r="P226" s="371"/>
      <c r="Q226" s="501"/>
      <c r="R226" s="501"/>
      <c r="U226" s="501"/>
      <c r="V226" s="503"/>
      <c r="W226" s="503"/>
      <c r="X226" s="504"/>
      <c r="Y226" s="504"/>
      <c r="Z226" s="504"/>
      <c r="AA226" s="504"/>
      <c r="AB226" s="504"/>
      <c r="AC226" s="504"/>
      <c r="AF226" s="378"/>
      <c r="AG226" s="378"/>
      <c r="AH226" s="378"/>
      <c r="AI226" s="378"/>
      <c r="AJ226" s="378"/>
      <c r="AM226" s="505"/>
      <c r="AN226" s="505"/>
      <c r="AO226" s="505"/>
      <c r="AP226" s="505"/>
      <c r="AR226" s="370"/>
      <c r="AT226" s="370"/>
      <c r="AV226" s="506"/>
      <c r="AW226" s="370"/>
      <c r="AX226" s="370"/>
      <c r="AY226" s="370"/>
      <c r="AZ226" s="370"/>
      <c r="BA226" s="507"/>
      <c r="BB226" s="505"/>
      <c r="BC226" s="505"/>
      <c r="BD226" s="370"/>
      <c r="BE226" s="370"/>
      <c r="BF226" s="370"/>
      <c r="BG226" s="370"/>
      <c r="BH226" s="370"/>
      <c r="BI226" s="370"/>
      <c r="BJ226" s="370"/>
      <c r="BK226" s="370"/>
      <c r="BL226" s="370"/>
      <c r="BM226" s="370"/>
      <c r="BN226" s="370"/>
      <c r="BO226" s="370"/>
      <c r="BP226" s="370"/>
      <c r="BQ226" s="370"/>
      <c r="BR226" s="370"/>
      <c r="BS226" s="370"/>
      <c r="BV226" s="508"/>
      <c r="BW226" s="369"/>
      <c r="BX226" s="370"/>
      <c r="BY226" s="370"/>
      <c r="BZ226" s="370"/>
      <c r="CA226" s="370"/>
      <c r="CB226" s="370"/>
      <c r="CC226" s="505"/>
      <c r="CD226" s="505"/>
      <c r="CE226" s="505"/>
      <c r="CF226" s="505"/>
      <c r="CG226" s="505"/>
      <c r="CH226" s="505"/>
      <c r="CI226" s="505"/>
      <c r="CJ226" s="505"/>
      <c r="CK226" s="505"/>
      <c r="CL226" s="505"/>
      <c r="CM226" s="505"/>
    </row>
    <row r="227" customFormat="false" ht="12.75" hidden="false" customHeight="false" outlineLevel="0" collapsed="false">
      <c r="A227" s="500"/>
      <c r="B227" s="500"/>
      <c r="K227" s="363"/>
      <c r="L227" s="501"/>
      <c r="N227" s="502"/>
      <c r="O227" s="502"/>
      <c r="P227" s="371"/>
      <c r="Q227" s="501"/>
      <c r="R227" s="501"/>
      <c r="U227" s="501"/>
      <c r="V227" s="503"/>
      <c r="W227" s="503"/>
      <c r="X227" s="504"/>
      <c r="Y227" s="504"/>
      <c r="Z227" s="504"/>
      <c r="AA227" s="504"/>
      <c r="AB227" s="504"/>
      <c r="AC227" s="504"/>
      <c r="AF227" s="378"/>
      <c r="AG227" s="378"/>
      <c r="AH227" s="378"/>
      <c r="AI227" s="378"/>
      <c r="AJ227" s="378"/>
      <c r="AM227" s="505"/>
      <c r="AN227" s="505"/>
      <c r="AO227" s="505"/>
      <c r="AP227" s="505"/>
      <c r="AR227" s="370"/>
      <c r="AT227" s="370"/>
      <c r="AV227" s="506"/>
      <c r="AW227" s="370"/>
      <c r="AX227" s="370"/>
      <c r="AY227" s="370"/>
      <c r="AZ227" s="370"/>
      <c r="BA227" s="507"/>
      <c r="BB227" s="505"/>
      <c r="BC227" s="505"/>
      <c r="BD227" s="370"/>
      <c r="BE227" s="370"/>
      <c r="BF227" s="370"/>
      <c r="BG227" s="370"/>
      <c r="BH227" s="370"/>
      <c r="BI227" s="370"/>
      <c r="BJ227" s="370"/>
      <c r="BK227" s="370"/>
      <c r="BL227" s="370"/>
      <c r="BM227" s="370"/>
      <c r="BN227" s="370"/>
      <c r="BO227" s="370"/>
      <c r="BP227" s="370"/>
      <c r="BQ227" s="370"/>
      <c r="BR227" s="370"/>
      <c r="BS227" s="370"/>
      <c r="BV227" s="508"/>
      <c r="BW227" s="369"/>
      <c r="BX227" s="370"/>
      <c r="BY227" s="370"/>
      <c r="BZ227" s="370"/>
      <c r="CA227" s="370"/>
      <c r="CB227" s="370"/>
      <c r="CC227" s="505"/>
      <c r="CD227" s="505"/>
      <c r="CE227" s="505"/>
      <c r="CF227" s="505"/>
      <c r="CG227" s="505"/>
      <c r="CH227" s="505"/>
      <c r="CI227" s="505"/>
      <c r="CJ227" s="505"/>
      <c r="CK227" s="505"/>
      <c r="CL227" s="505"/>
      <c r="CM227" s="505"/>
    </row>
    <row r="228" customFormat="false" ht="12.75" hidden="false" customHeight="false" outlineLevel="0" collapsed="false">
      <c r="A228" s="500"/>
      <c r="B228" s="500"/>
      <c r="K228" s="363"/>
      <c r="L228" s="501"/>
      <c r="N228" s="502"/>
      <c r="O228" s="502"/>
      <c r="P228" s="371"/>
      <c r="Q228" s="501"/>
      <c r="R228" s="501"/>
      <c r="U228" s="501"/>
      <c r="V228" s="503"/>
      <c r="W228" s="503"/>
      <c r="X228" s="504"/>
      <c r="Y228" s="504"/>
      <c r="Z228" s="504"/>
      <c r="AA228" s="504"/>
      <c r="AB228" s="504"/>
      <c r="AC228" s="504"/>
      <c r="AF228" s="378"/>
      <c r="AG228" s="378"/>
      <c r="AH228" s="378"/>
      <c r="AI228" s="378"/>
      <c r="AJ228" s="378"/>
      <c r="AM228" s="505"/>
      <c r="AN228" s="505"/>
      <c r="AO228" s="505"/>
      <c r="AP228" s="505"/>
      <c r="AR228" s="370"/>
      <c r="AT228" s="370"/>
      <c r="AV228" s="506"/>
      <c r="AW228" s="370"/>
      <c r="AX228" s="370"/>
      <c r="AY228" s="370"/>
      <c r="AZ228" s="370"/>
      <c r="BA228" s="507"/>
      <c r="BB228" s="505"/>
      <c r="BC228" s="505"/>
      <c r="BD228" s="370"/>
      <c r="BE228" s="370"/>
      <c r="BF228" s="370"/>
      <c r="BG228" s="370"/>
      <c r="BH228" s="370"/>
      <c r="BI228" s="370"/>
      <c r="BJ228" s="370"/>
      <c r="BK228" s="370"/>
      <c r="BL228" s="370"/>
      <c r="BM228" s="370"/>
      <c r="BN228" s="370"/>
      <c r="BO228" s="370"/>
      <c r="BP228" s="370"/>
      <c r="BQ228" s="370"/>
      <c r="BR228" s="370"/>
      <c r="BS228" s="370"/>
      <c r="BV228" s="508"/>
      <c r="BW228" s="369"/>
      <c r="BX228" s="370"/>
      <c r="BY228" s="370"/>
      <c r="BZ228" s="370"/>
      <c r="CA228" s="370"/>
      <c r="CB228" s="370"/>
      <c r="CC228" s="505"/>
      <c r="CD228" s="505"/>
      <c r="CE228" s="505"/>
      <c r="CF228" s="505"/>
      <c r="CG228" s="505"/>
      <c r="CH228" s="505"/>
      <c r="CI228" s="505"/>
      <c r="CJ228" s="505"/>
      <c r="CK228" s="505"/>
      <c r="CL228" s="505"/>
      <c r="CM228" s="505"/>
    </row>
    <row r="229" customFormat="false" ht="12.75" hidden="false" customHeight="false" outlineLevel="0" collapsed="false">
      <c r="A229" s="500"/>
      <c r="B229" s="500"/>
      <c r="K229" s="363"/>
      <c r="L229" s="501"/>
      <c r="N229" s="502"/>
      <c r="O229" s="502"/>
      <c r="P229" s="371"/>
      <c r="Q229" s="501"/>
      <c r="R229" s="501"/>
      <c r="U229" s="501"/>
      <c r="V229" s="503"/>
      <c r="W229" s="503"/>
      <c r="X229" s="504"/>
      <c r="Y229" s="504"/>
      <c r="Z229" s="504"/>
      <c r="AA229" s="504"/>
      <c r="AB229" s="504"/>
      <c r="AC229" s="504"/>
      <c r="AF229" s="378"/>
      <c r="AG229" s="378"/>
      <c r="AH229" s="378"/>
      <c r="AI229" s="378"/>
      <c r="AJ229" s="378"/>
      <c r="AM229" s="505"/>
      <c r="AN229" s="505"/>
      <c r="AO229" s="505"/>
      <c r="AP229" s="505"/>
      <c r="AR229" s="370"/>
      <c r="AT229" s="370"/>
      <c r="AV229" s="506"/>
      <c r="AW229" s="370"/>
      <c r="AX229" s="370"/>
      <c r="AY229" s="370"/>
      <c r="AZ229" s="370"/>
      <c r="BA229" s="507"/>
      <c r="BB229" s="505"/>
      <c r="BC229" s="505"/>
      <c r="BD229" s="370"/>
      <c r="BE229" s="370"/>
      <c r="BF229" s="370"/>
      <c r="BG229" s="370"/>
      <c r="BH229" s="370"/>
      <c r="BI229" s="370"/>
      <c r="BJ229" s="370"/>
      <c r="BK229" s="370"/>
      <c r="BL229" s="370"/>
      <c r="BM229" s="370"/>
      <c r="BN229" s="370"/>
      <c r="BO229" s="370"/>
      <c r="BP229" s="370"/>
      <c r="BQ229" s="370"/>
      <c r="BR229" s="370"/>
      <c r="BS229" s="370"/>
      <c r="BV229" s="508"/>
      <c r="BW229" s="369"/>
      <c r="BX229" s="370"/>
      <c r="BY229" s="370"/>
      <c r="BZ229" s="370"/>
      <c r="CA229" s="370"/>
      <c r="CB229" s="370"/>
      <c r="CC229" s="505"/>
      <c r="CD229" s="505"/>
      <c r="CE229" s="505"/>
      <c r="CF229" s="505"/>
      <c r="CG229" s="505"/>
      <c r="CH229" s="505"/>
      <c r="CI229" s="505"/>
      <c r="CJ229" s="505"/>
      <c r="CK229" s="505"/>
      <c r="CL229" s="505"/>
      <c r="CM229" s="505"/>
    </row>
    <row r="230" customFormat="false" ht="12.75" hidden="false" customHeight="false" outlineLevel="0" collapsed="false">
      <c r="A230" s="500"/>
      <c r="B230" s="500"/>
      <c r="K230" s="363"/>
      <c r="L230" s="501"/>
      <c r="N230" s="502"/>
      <c r="O230" s="502"/>
      <c r="P230" s="371"/>
      <c r="Q230" s="501"/>
      <c r="R230" s="501"/>
      <c r="U230" s="501"/>
      <c r="V230" s="503"/>
      <c r="W230" s="503"/>
      <c r="X230" s="504"/>
      <c r="Y230" s="504"/>
      <c r="Z230" s="504"/>
      <c r="AA230" s="504"/>
      <c r="AB230" s="504"/>
      <c r="AC230" s="504"/>
      <c r="AF230" s="378"/>
      <c r="AG230" s="378"/>
      <c r="AH230" s="378"/>
      <c r="AI230" s="378"/>
      <c r="AJ230" s="378"/>
      <c r="AM230" s="505"/>
      <c r="AN230" s="505"/>
      <c r="AO230" s="505"/>
      <c r="AP230" s="505"/>
      <c r="AR230" s="370"/>
      <c r="AT230" s="370"/>
      <c r="AV230" s="506"/>
      <c r="AW230" s="370"/>
      <c r="AX230" s="370"/>
      <c r="AY230" s="370"/>
      <c r="AZ230" s="370"/>
      <c r="BA230" s="507"/>
      <c r="BB230" s="505"/>
      <c r="BC230" s="505"/>
      <c r="BD230" s="370"/>
      <c r="BE230" s="370"/>
      <c r="BF230" s="370"/>
      <c r="BG230" s="370"/>
      <c r="BH230" s="370"/>
      <c r="BI230" s="370"/>
      <c r="BJ230" s="370"/>
      <c r="BK230" s="370"/>
      <c r="BL230" s="370"/>
      <c r="BM230" s="370"/>
      <c r="BN230" s="370"/>
      <c r="BO230" s="370"/>
      <c r="BP230" s="370"/>
      <c r="BQ230" s="370"/>
      <c r="BR230" s="370"/>
      <c r="BS230" s="370"/>
      <c r="BV230" s="508"/>
      <c r="BW230" s="369"/>
      <c r="BX230" s="370"/>
      <c r="BY230" s="370"/>
      <c r="BZ230" s="370"/>
      <c r="CA230" s="370"/>
      <c r="CB230" s="370"/>
      <c r="CC230" s="505"/>
      <c r="CD230" s="505"/>
      <c r="CE230" s="505"/>
      <c r="CF230" s="505"/>
      <c r="CG230" s="505"/>
      <c r="CH230" s="505"/>
      <c r="CI230" s="505"/>
      <c r="CJ230" s="505"/>
      <c r="CK230" s="505"/>
      <c r="CL230" s="505"/>
      <c r="CM230" s="505"/>
    </row>
    <row r="231" customFormat="false" ht="12.75" hidden="false" customHeight="false" outlineLevel="0" collapsed="false">
      <c r="A231" s="500"/>
      <c r="B231" s="500"/>
      <c r="K231" s="363"/>
      <c r="L231" s="501"/>
      <c r="N231" s="502"/>
      <c r="O231" s="502"/>
      <c r="P231" s="371"/>
      <c r="Q231" s="501"/>
      <c r="R231" s="501"/>
      <c r="U231" s="501"/>
      <c r="V231" s="503"/>
      <c r="W231" s="503"/>
      <c r="X231" s="504"/>
      <c r="Y231" s="504"/>
      <c r="Z231" s="504"/>
      <c r="AA231" s="504"/>
      <c r="AB231" s="504"/>
      <c r="AC231" s="504"/>
      <c r="AF231" s="378"/>
      <c r="AG231" s="378"/>
      <c r="AH231" s="378"/>
      <c r="AI231" s="378"/>
      <c r="AJ231" s="378"/>
      <c r="AM231" s="505"/>
      <c r="AN231" s="505"/>
      <c r="AO231" s="505"/>
      <c r="AP231" s="505"/>
      <c r="AR231" s="370"/>
      <c r="AT231" s="370"/>
      <c r="AV231" s="506"/>
      <c r="AW231" s="370"/>
      <c r="AX231" s="370"/>
      <c r="AY231" s="370"/>
      <c r="AZ231" s="370"/>
      <c r="BA231" s="507"/>
      <c r="BB231" s="505"/>
      <c r="BC231" s="505"/>
      <c r="BD231" s="370"/>
      <c r="BE231" s="370"/>
      <c r="BF231" s="370"/>
      <c r="BG231" s="370"/>
      <c r="BH231" s="370"/>
      <c r="BI231" s="370"/>
      <c r="BJ231" s="370"/>
      <c r="BK231" s="370"/>
      <c r="BL231" s="370"/>
      <c r="BM231" s="370"/>
      <c r="BN231" s="370"/>
      <c r="BO231" s="370"/>
      <c r="BP231" s="370"/>
      <c r="BQ231" s="370"/>
      <c r="BR231" s="370"/>
      <c r="BS231" s="370"/>
      <c r="BV231" s="508"/>
      <c r="BW231" s="369"/>
      <c r="BX231" s="370"/>
      <c r="BY231" s="370"/>
      <c r="BZ231" s="370"/>
      <c r="CA231" s="370"/>
      <c r="CB231" s="370"/>
      <c r="CC231" s="505"/>
      <c r="CD231" s="505"/>
      <c r="CE231" s="505"/>
      <c r="CF231" s="505"/>
      <c r="CG231" s="505"/>
      <c r="CH231" s="505"/>
      <c r="CI231" s="505"/>
      <c r="CJ231" s="505"/>
      <c r="CK231" s="505"/>
      <c r="CL231" s="505"/>
      <c r="CM231" s="505"/>
    </row>
    <row r="232" customFormat="false" ht="12.75" hidden="false" customHeight="false" outlineLevel="0" collapsed="false">
      <c r="A232" s="500"/>
      <c r="B232" s="500"/>
      <c r="K232" s="363"/>
      <c r="L232" s="501"/>
      <c r="N232" s="502"/>
      <c r="O232" s="502"/>
      <c r="P232" s="371"/>
      <c r="Q232" s="501"/>
      <c r="R232" s="501"/>
      <c r="U232" s="501"/>
      <c r="V232" s="503"/>
      <c r="W232" s="503"/>
      <c r="X232" s="504"/>
      <c r="Y232" s="504"/>
      <c r="Z232" s="504"/>
      <c r="AA232" s="504"/>
      <c r="AB232" s="504"/>
      <c r="AC232" s="504"/>
      <c r="AF232" s="378"/>
      <c r="AG232" s="378"/>
      <c r="AH232" s="378"/>
      <c r="AI232" s="378"/>
      <c r="AJ232" s="378"/>
      <c r="AM232" s="505"/>
      <c r="AN232" s="505"/>
      <c r="AO232" s="505"/>
      <c r="AP232" s="505"/>
      <c r="AR232" s="370"/>
      <c r="AT232" s="370"/>
      <c r="AV232" s="506"/>
      <c r="AW232" s="370"/>
      <c r="AX232" s="370"/>
      <c r="AY232" s="370"/>
      <c r="AZ232" s="370"/>
      <c r="BA232" s="507"/>
      <c r="BB232" s="505"/>
      <c r="BC232" s="505"/>
      <c r="BD232" s="370"/>
      <c r="BE232" s="370"/>
      <c r="BF232" s="370"/>
      <c r="BG232" s="370"/>
      <c r="BH232" s="370"/>
      <c r="BI232" s="370"/>
      <c r="BJ232" s="370"/>
      <c r="BK232" s="370"/>
      <c r="BL232" s="370"/>
      <c r="BM232" s="370"/>
      <c r="BN232" s="370"/>
      <c r="BO232" s="370"/>
      <c r="BP232" s="370"/>
      <c r="BQ232" s="370"/>
      <c r="BR232" s="370"/>
      <c r="BS232" s="370"/>
      <c r="BV232" s="508"/>
      <c r="BW232" s="369"/>
      <c r="BX232" s="370"/>
      <c r="BY232" s="370"/>
      <c r="BZ232" s="370"/>
      <c r="CA232" s="370"/>
      <c r="CB232" s="370"/>
      <c r="CC232" s="505"/>
      <c r="CD232" s="505"/>
      <c r="CE232" s="505"/>
      <c r="CF232" s="505"/>
      <c r="CG232" s="505"/>
      <c r="CH232" s="505"/>
      <c r="CI232" s="505"/>
      <c r="CJ232" s="505"/>
      <c r="CK232" s="505"/>
      <c r="CL232" s="505"/>
      <c r="CM232" s="505"/>
    </row>
    <row r="233" customFormat="false" ht="12.75" hidden="false" customHeight="false" outlineLevel="0" collapsed="false">
      <c r="A233" s="500"/>
      <c r="B233" s="500"/>
      <c r="K233" s="363"/>
      <c r="L233" s="501"/>
      <c r="N233" s="502"/>
      <c r="O233" s="502"/>
      <c r="P233" s="371"/>
      <c r="Q233" s="501"/>
      <c r="R233" s="501"/>
      <c r="U233" s="501"/>
      <c r="V233" s="503"/>
      <c r="W233" s="503"/>
      <c r="X233" s="504"/>
      <c r="Y233" s="504"/>
      <c r="Z233" s="504"/>
      <c r="AA233" s="504"/>
      <c r="AB233" s="504"/>
      <c r="AC233" s="504"/>
      <c r="AF233" s="378"/>
      <c r="AG233" s="378"/>
      <c r="AH233" s="378"/>
      <c r="AI233" s="378"/>
      <c r="AJ233" s="378"/>
      <c r="AM233" s="505"/>
      <c r="AN233" s="505"/>
      <c r="AO233" s="505"/>
      <c r="AP233" s="505"/>
      <c r="AR233" s="370"/>
      <c r="AT233" s="370"/>
      <c r="AV233" s="506"/>
      <c r="AW233" s="370"/>
      <c r="AX233" s="370"/>
      <c r="AY233" s="370"/>
      <c r="AZ233" s="370"/>
      <c r="BA233" s="507"/>
      <c r="BB233" s="505"/>
      <c r="BC233" s="505"/>
      <c r="BD233" s="370"/>
      <c r="BE233" s="370"/>
      <c r="BF233" s="370"/>
      <c r="BG233" s="370"/>
      <c r="BH233" s="370"/>
      <c r="BI233" s="370"/>
      <c r="BJ233" s="370"/>
      <c r="BK233" s="370"/>
      <c r="BL233" s="370"/>
      <c r="BM233" s="370"/>
      <c r="BN233" s="370"/>
      <c r="BO233" s="370"/>
      <c r="BP233" s="370"/>
      <c r="BQ233" s="370"/>
      <c r="BR233" s="370"/>
      <c r="BS233" s="370"/>
      <c r="BV233" s="508"/>
      <c r="BW233" s="369"/>
      <c r="BX233" s="370"/>
      <c r="BY233" s="370"/>
      <c r="BZ233" s="370"/>
      <c r="CA233" s="370"/>
      <c r="CB233" s="370"/>
      <c r="CC233" s="505"/>
      <c r="CD233" s="505"/>
      <c r="CE233" s="505"/>
      <c r="CF233" s="505"/>
      <c r="CG233" s="505"/>
      <c r="CH233" s="505"/>
      <c r="CI233" s="505"/>
      <c r="CJ233" s="505"/>
      <c r="CK233" s="505"/>
      <c r="CL233" s="505"/>
      <c r="CM233" s="505"/>
    </row>
    <row r="234" customFormat="false" ht="12.75" hidden="false" customHeight="false" outlineLevel="0" collapsed="false">
      <c r="A234" s="500"/>
      <c r="B234" s="500"/>
      <c r="K234" s="363"/>
      <c r="L234" s="501"/>
      <c r="N234" s="502"/>
      <c r="O234" s="502"/>
      <c r="P234" s="371"/>
      <c r="Q234" s="501"/>
      <c r="R234" s="501"/>
      <c r="U234" s="501"/>
      <c r="V234" s="503"/>
      <c r="W234" s="503"/>
      <c r="X234" s="504"/>
      <c r="Y234" s="504"/>
      <c r="Z234" s="504"/>
      <c r="AA234" s="504"/>
      <c r="AB234" s="504"/>
      <c r="AC234" s="504"/>
      <c r="AF234" s="378"/>
      <c r="AG234" s="378"/>
      <c r="AH234" s="378"/>
      <c r="AI234" s="378"/>
      <c r="AJ234" s="378"/>
      <c r="AM234" s="505"/>
      <c r="AN234" s="505"/>
      <c r="AO234" s="505"/>
      <c r="AP234" s="505"/>
      <c r="AR234" s="370"/>
      <c r="AT234" s="370"/>
      <c r="AV234" s="506"/>
      <c r="AW234" s="370"/>
      <c r="AX234" s="370"/>
      <c r="AY234" s="370"/>
      <c r="AZ234" s="370"/>
      <c r="BA234" s="507"/>
      <c r="BB234" s="505"/>
      <c r="BC234" s="505"/>
      <c r="BD234" s="370"/>
      <c r="BE234" s="370"/>
      <c r="BF234" s="370"/>
      <c r="BG234" s="370"/>
      <c r="BH234" s="370"/>
      <c r="BI234" s="370"/>
      <c r="BJ234" s="370"/>
      <c r="BK234" s="370"/>
      <c r="BL234" s="370"/>
      <c r="BM234" s="370"/>
      <c r="BN234" s="370"/>
      <c r="BO234" s="370"/>
      <c r="BP234" s="370"/>
      <c r="BQ234" s="370"/>
      <c r="BR234" s="370"/>
      <c r="BS234" s="370"/>
      <c r="BV234" s="508"/>
      <c r="BW234" s="369"/>
      <c r="BX234" s="370"/>
      <c r="BY234" s="370"/>
      <c r="BZ234" s="370"/>
      <c r="CA234" s="370"/>
      <c r="CB234" s="370"/>
      <c r="CC234" s="505"/>
      <c r="CD234" s="505"/>
      <c r="CE234" s="505"/>
      <c r="CF234" s="505"/>
      <c r="CG234" s="505"/>
      <c r="CH234" s="505"/>
      <c r="CI234" s="505"/>
      <c r="CJ234" s="505"/>
      <c r="CK234" s="505"/>
      <c r="CL234" s="505"/>
      <c r="CM234" s="505"/>
    </row>
    <row r="235" customFormat="false" ht="12.75" hidden="false" customHeight="false" outlineLevel="0" collapsed="false">
      <c r="A235" s="500"/>
      <c r="B235" s="500"/>
      <c r="K235" s="363"/>
      <c r="L235" s="501"/>
      <c r="N235" s="502"/>
      <c r="O235" s="502"/>
      <c r="P235" s="371"/>
      <c r="Q235" s="501"/>
      <c r="R235" s="501"/>
      <c r="U235" s="501"/>
      <c r="V235" s="503"/>
      <c r="W235" s="503"/>
      <c r="X235" s="504"/>
      <c r="Y235" s="504"/>
      <c r="Z235" s="504"/>
      <c r="AA235" s="504"/>
      <c r="AB235" s="504"/>
      <c r="AC235" s="504"/>
      <c r="AF235" s="378"/>
      <c r="AG235" s="378"/>
      <c r="AH235" s="378"/>
      <c r="AI235" s="378"/>
      <c r="AJ235" s="378"/>
      <c r="AM235" s="505"/>
      <c r="AN235" s="505"/>
      <c r="AO235" s="505"/>
      <c r="AP235" s="505"/>
      <c r="AR235" s="370"/>
      <c r="AT235" s="370"/>
      <c r="AV235" s="506"/>
      <c r="AW235" s="370"/>
      <c r="AX235" s="370"/>
      <c r="AY235" s="370"/>
      <c r="AZ235" s="370"/>
      <c r="BA235" s="507"/>
      <c r="BB235" s="505"/>
      <c r="BC235" s="505"/>
      <c r="BD235" s="370"/>
      <c r="BE235" s="370"/>
      <c r="BF235" s="370"/>
      <c r="BG235" s="370"/>
      <c r="BH235" s="370"/>
      <c r="BI235" s="370"/>
      <c r="BJ235" s="370"/>
      <c r="BK235" s="370"/>
      <c r="BL235" s="370"/>
      <c r="BM235" s="370"/>
      <c r="BN235" s="370"/>
      <c r="BO235" s="370"/>
      <c r="BP235" s="370"/>
      <c r="BQ235" s="370"/>
      <c r="BR235" s="370"/>
      <c r="BS235" s="370"/>
      <c r="BV235" s="508"/>
      <c r="BW235" s="369"/>
      <c r="BX235" s="370"/>
      <c r="BY235" s="370"/>
      <c r="BZ235" s="370"/>
      <c r="CA235" s="370"/>
      <c r="CB235" s="370"/>
      <c r="CC235" s="505"/>
      <c r="CD235" s="505"/>
      <c r="CE235" s="505"/>
      <c r="CF235" s="505"/>
      <c r="CG235" s="505"/>
      <c r="CH235" s="505"/>
      <c r="CI235" s="505"/>
      <c r="CJ235" s="505"/>
      <c r="CK235" s="505"/>
      <c r="CL235" s="505"/>
      <c r="CM235" s="505"/>
    </row>
    <row r="236" customFormat="false" ht="12.75" hidden="false" customHeight="false" outlineLevel="0" collapsed="false">
      <c r="A236" s="500"/>
      <c r="B236" s="500"/>
      <c r="K236" s="363"/>
      <c r="L236" s="501"/>
      <c r="N236" s="502"/>
      <c r="O236" s="502"/>
      <c r="P236" s="371"/>
      <c r="Q236" s="501"/>
      <c r="R236" s="501"/>
      <c r="U236" s="501"/>
      <c r="V236" s="503"/>
      <c r="W236" s="503"/>
      <c r="X236" s="504"/>
      <c r="Y236" s="504"/>
      <c r="Z236" s="504"/>
      <c r="AA236" s="504"/>
      <c r="AB236" s="504"/>
      <c r="AC236" s="504"/>
      <c r="AF236" s="378"/>
      <c r="AG236" s="378"/>
      <c r="AH236" s="378"/>
      <c r="AI236" s="378"/>
      <c r="AJ236" s="378"/>
      <c r="AM236" s="505"/>
      <c r="AN236" s="505"/>
      <c r="AO236" s="505"/>
      <c r="AP236" s="505"/>
      <c r="AR236" s="370"/>
      <c r="AT236" s="370"/>
      <c r="AV236" s="506"/>
      <c r="AW236" s="370"/>
      <c r="AX236" s="370"/>
      <c r="AY236" s="370"/>
      <c r="AZ236" s="370"/>
      <c r="BA236" s="507"/>
      <c r="BB236" s="505"/>
      <c r="BC236" s="505"/>
      <c r="BD236" s="370"/>
      <c r="BE236" s="370"/>
      <c r="BF236" s="370"/>
      <c r="BG236" s="370"/>
      <c r="BH236" s="370"/>
      <c r="BI236" s="370"/>
      <c r="BJ236" s="370"/>
      <c r="BK236" s="370"/>
      <c r="BL236" s="370"/>
      <c r="BM236" s="370"/>
      <c r="BN236" s="370"/>
      <c r="BO236" s="370"/>
      <c r="BP236" s="370"/>
      <c r="BQ236" s="370"/>
      <c r="BR236" s="370"/>
      <c r="BS236" s="370"/>
      <c r="BV236" s="508"/>
      <c r="BW236" s="369"/>
      <c r="BX236" s="370"/>
      <c r="BY236" s="370"/>
      <c r="BZ236" s="370"/>
      <c r="CA236" s="370"/>
      <c r="CB236" s="370"/>
      <c r="CC236" s="505"/>
      <c r="CD236" s="505"/>
      <c r="CE236" s="505"/>
      <c r="CF236" s="505"/>
      <c r="CG236" s="505"/>
      <c r="CH236" s="505"/>
      <c r="CI236" s="505"/>
      <c r="CJ236" s="505"/>
      <c r="CK236" s="505"/>
      <c r="CL236" s="505"/>
      <c r="CM236" s="505"/>
    </row>
    <row r="237" customFormat="false" ht="12.75" hidden="false" customHeight="false" outlineLevel="0" collapsed="false">
      <c r="A237" s="500"/>
      <c r="B237" s="500"/>
      <c r="K237" s="363"/>
      <c r="L237" s="501"/>
      <c r="N237" s="502"/>
      <c r="O237" s="502"/>
      <c r="P237" s="371"/>
      <c r="Q237" s="501"/>
      <c r="R237" s="501"/>
      <c r="U237" s="501"/>
      <c r="V237" s="503"/>
      <c r="W237" s="503"/>
      <c r="X237" s="504"/>
      <c r="Y237" s="504"/>
      <c r="Z237" s="504"/>
      <c r="AA237" s="504"/>
      <c r="AB237" s="504"/>
      <c r="AC237" s="504"/>
      <c r="AF237" s="378"/>
      <c r="AG237" s="378"/>
      <c r="AH237" s="378"/>
      <c r="AI237" s="378"/>
      <c r="AJ237" s="378"/>
      <c r="AM237" s="505"/>
      <c r="AN237" s="505"/>
      <c r="AO237" s="505"/>
      <c r="AP237" s="505"/>
      <c r="AR237" s="370"/>
      <c r="AT237" s="370"/>
      <c r="AV237" s="506"/>
      <c r="AW237" s="370"/>
      <c r="AX237" s="370"/>
      <c r="AY237" s="370"/>
      <c r="AZ237" s="370"/>
      <c r="BA237" s="507"/>
      <c r="BB237" s="505"/>
      <c r="BC237" s="505"/>
      <c r="BD237" s="370"/>
      <c r="BE237" s="370"/>
      <c r="BF237" s="370"/>
      <c r="BG237" s="370"/>
      <c r="BH237" s="370"/>
      <c r="BI237" s="370"/>
      <c r="BJ237" s="370"/>
      <c r="BK237" s="370"/>
      <c r="BL237" s="370"/>
      <c r="BM237" s="370"/>
      <c r="BN237" s="370"/>
      <c r="BO237" s="370"/>
      <c r="BP237" s="370"/>
      <c r="BQ237" s="370"/>
      <c r="BR237" s="370"/>
      <c r="BS237" s="370"/>
      <c r="BV237" s="508"/>
      <c r="BW237" s="369"/>
      <c r="BX237" s="370"/>
      <c r="BY237" s="370"/>
      <c r="BZ237" s="370"/>
      <c r="CA237" s="370"/>
      <c r="CB237" s="370"/>
      <c r="CC237" s="505"/>
      <c r="CD237" s="505"/>
      <c r="CE237" s="505"/>
      <c r="CF237" s="505"/>
      <c r="CG237" s="505"/>
      <c r="CH237" s="505"/>
      <c r="CI237" s="505"/>
      <c r="CJ237" s="505"/>
      <c r="CK237" s="505"/>
      <c r="CL237" s="505"/>
      <c r="CM237" s="505"/>
    </row>
    <row r="238" customFormat="false" ht="12.75" hidden="false" customHeight="false" outlineLevel="0" collapsed="false">
      <c r="A238" s="500"/>
      <c r="B238" s="500"/>
      <c r="K238" s="363"/>
      <c r="L238" s="501"/>
      <c r="N238" s="502"/>
      <c r="O238" s="502"/>
      <c r="P238" s="371"/>
      <c r="Q238" s="501"/>
      <c r="R238" s="501"/>
      <c r="U238" s="501"/>
      <c r="V238" s="503"/>
      <c r="W238" s="503"/>
      <c r="X238" s="504"/>
      <c r="Y238" s="504"/>
      <c r="Z238" s="504"/>
      <c r="AA238" s="504"/>
      <c r="AB238" s="504"/>
      <c r="AC238" s="504"/>
      <c r="AF238" s="378"/>
      <c r="AG238" s="378"/>
      <c r="AH238" s="378"/>
      <c r="AI238" s="378"/>
      <c r="AJ238" s="378"/>
      <c r="AM238" s="505"/>
      <c r="AN238" s="505"/>
      <c r="AO238" s="505"/>
      <c r="AP238" s="505"/>
      <c r="AR238" s="370"/>
      <c r="AT238" s="370"/>
      <c r="AV238" s="506"/>
      <c r="AW238" s="370"/>
      <c r="AX238" s="370"/>
      <c r="AY238" s="370"/>
      <c r="AZ238" s="370"/>
      <c r="BA238" s="507"/>
      <c r="BB238" s="505"/>
      <c r="BC238" s="505"/>
      <c r="BD238" s="370"/>
      <c r="BE238" s="370"/>
      <c r="BF238" s="370"/>
      <c r="BG238" s="370"/>
      <c r="BH238" s="370"/>
      <c r="BI238" s="370"/>
      <c r="BJ238" s="370"/>
      <c r="BK238" s="370"/>
      <c r="BL238" s="370"/>
      <c r="BM238" s="370"/>
      <c r="BN238" s="370"/>
      <c r="BO238" s="370"/>
      <c r="BP238" s="370"/>
      <c r="BQ238" s="370"/>
      <c r="BR238" s="370"/>
      <c r="BS238" s="370"/>
      <c r="BV238" s="508"/>
      <c r="BW238" s="369"/>
      <c r="BX238" s="370"/>
      <c r="BY238" s="370"/>
      <c r="BZ238" s="370"/>
      <c r="CA238" s="370"/>
      <c r="CB238" s="370"/>
      <c r="CC238" s="505"/>
      <c r="CD238" s="505"/>
      <c r="CE238" s="505"/>
      <c r="CF238" s="505"/>
      <c r="CG238" s="505"/>
      <c r="CH238" s="505"/>
      <c r="CI238" s="505"/>
      <c r="CJ238" s="505"/>
      <c r="CK238" s="505"/>
      <c r="CL238" s="505"/>
      <c r="CM238" s="505"/>
    </row>
    <row r="239" customFormat="false" ht="12.75" hidden="false" customHeight="false" outlineLevel="0" collapsed="false">
      <c r="A239" s="500"/>
      <c r="B239" s="500"/>
      <c r="K239" s="363"/>
      <c r="L239" s="501"/>
      <c r="N239" s="502"/>
      <c r="O239" s="502"/>
      <c r="P239" s="371"/>
      <c r="Q239" s="501"/>
      <c r="R239" s="501"/>
      <c r="U239" s="501"/>
      <c r="V239" s="503"/>
      <c r="W239" s="503"/>
      <c r="X239" s="504"/>
      <c r="Y239" s="504"/>
      <c r="Z239" s="504"/>
      <c r="AA239" s="504"/>
      <c r="AB239" s="504"/>
      <c r="AC239" s="504"/>
      <c r="AF239" s="378"/>
      <c r="AG239" s="378"/>
      <c r="AH239" s="378"/>
      <c r="AI239" s="378"/>
      <c r="AJ239" s="378"/>
      <c r="AM239" s="505"/>
      <c r="AN239" s="505"/>
      <c r="AO239" s="505"/>
      <c r="AP239" s="505"/>
      <c r="AR239" s="370"/>
      <c r="AT239" s="370"/>
      <c r="AV239" s="506"/>
      <c r="AW239" s="370"/>
      <c r="AX239" s="370"/>
      <c r="AY239" s="370"/>
      <c r="AZ239" s="370"/>
      <c r="BA239" s="507"/>
      <c r="BB239" s="505"/>
      <c r="BC239" s="505"/>
      <c r="BD239" s="370"/>
      <c r="BE239" s="370"/>
      <c r="BF239" s="370"/>
      <c r="BG239" s="370"/>
      <c r="BH239" s="370"/>
      <c r="BI239" s="370"/>
      <c r="BJ239" s="370"/>
      <c r="BK239" s="370"/>
      <c r="BL239" s="370"/>
      <c r="BM239" s="370"/>
      <c r="BN239" s="370"/>
      <c r="BO239" s="370"/>
      <c r="BP239" s="370"/>
      <c r="BQ239" s="370"/>
      <c r="BR239" s="370"/>
      <c r="BS239" s="370"/>
      <c r="BV239" s="508"/>
      <c r="BW239" s="369"/>
      <c r="BX239" s="370"/>
      <c r="BY239" s="370"/>
      <c r="BZ239" s="370"/>
      <c r="CA239" s="370"/>
      <c r="CB239" s="370"/>
      <c r="CC239" s="505"/>
      <c r="CD239" s="505"/>
      <c r="CE239" s="505"/>
      <c r="CF239" s="505"/>
      <c r="CG239" s="505"/>
      <c r="CH239" s="505"/>
      <c r="CI239" s="505"/>
      <c r="CJ239" s="505"/>
      <c r="CK239" s="505"/>
      <c r="CL239" s="505"/>
      <c r="CM239" s="505"/>
    </row>
    <row r="240" customFormat="false" ht="12.75" hidden="false" customHeight="false" outlineLevel="0" collapsed="false">
      <c r="A240" s="500"/>
      <c r="B240" s="500"/>
      <c r="K240" s="363"/>
      <c r="L240" s="501"/>
      <c r="N240" s="502"/>
      <c r="O240" s="502"/>
      <c r="P240" s="371"/>
      <c r="Q240" s="501"/>
      <c r="R240" s="501"/>
      <c r="U240" s="501"/>
      <c r="V240" s="503"/>
      <c r="W240" s="503"/>
      <c r="X240" s="504"/>
      <c r="Y240" s="504"/>
      <c r="Z240" s="504"/>
      <c r="AA240" s="504"/>
      <c r="AB240" s="504"/>
      <c r="AC240" s="504"/>
      <c r="AF240" s="378"/>
      <c r="AG240" s="378"/>
      <c r="AH240" s="378"/>
      <c r="AI240" s="378"/>
      <c r="AJ240" s="378"/>
      <c r="AM240" s="505"/>
      <c r="AN240" s="505"/>
      <c r="AO240" s="505"/>
      <c r="AP240" s="505"/>
      <c r="AR240" s="370"/>
      <c r="AT240" s="370"/>
      <c r="AV240" s="506"/>
      <c r="AW240" s="370"/>
      <c r="AX240" s="370"/>
      <c r="AY240" s="370"/>
      <c r="AZ240" s="370"/>
      <c r="BA240" s="507"/>
      <c r="BB240" s="505"/>
      <c r="BC240" s="505"/>
      <c r="BD240" s="370"/>
      <c r="BE240" s="370"/>
      <c r="BF240" s="370"/>
      <c r="BG240" s="370"/>
      <c r="BH240" s="370"/>
      <c r="BI240" s="370"/>
      <c r="BJ240" s="370"/>
      <c r="BK240" s="370"/>
      <c r="BL240" s="370"/>
      <c r="BM240" s="370"/>
      <c r="BN240" s="370"/>
      <c r="BO240" s="370"/>
      <c r="BP240" s="370"/>
      <c r="BQ240" s="370"/>
      <c r="BR240" s="370"/>
      <c r="BS240" s="370"/>
      <c r="BV240" s="508"/>
      <c r="BW240" s="369"/>
      <c r="BX240" s="370"/>
      <c r="BY240" s="370"/>
      <c r="BZ240" s="370"/>
      <c r="CA240" s="370"/>
      <c r="CB240" s="370"/>
      <c r="CC240" s="505"/>
      <c r="CD240" s="505"/>
      <c r="CE240" s="505"/>
      <c r="CF240" s="505"/>
      <c r="CG240" s="505"/>
      <c r="CH240" s="505"/>
      <c r="CI240" s="505"/>
      <c r="CJ240" s="505"/>
      <c r="CK240" s="505"/>
      <c r="CL240" s="505"/>
      <c r="CM240" s="505"/>
    </row>
    <row r="241" customFormat="false" ht="12.75" hidden="false" customHeight="false" outlineLevel="0" collapsed="false">
      <c r="A241" s="500"/>
      <c r="B241" s="500"/>
      <c r="K241" s="363"/>
      <c r="L241" s="501"/>
      <c r="N241" s="502"/>
      <c r="O241" s="502"/>
      <c r="P241" s="371"/>
      <c r="Q241" s="501"/>
      <c r="R241" s="501"/>
      <c r="U241" s="501"/>
      <c r="V241" s="503"/>
      <c r="W241" s="503"/>
      <c r="X241" s="504"/>
      <c r="Y241" s="504"/>
      <c r="Z241" s="504"/>
      <c r="AA241" s="504"/>
      <c r="AB241" s="504"/>
      <c r="AC241" s="504"/>
      <c r="AF241" s="378"/>
      <c r="AG241" s="378"/>
      <c r="AH241" s="378"/>
      <c r="AI241" s="378"/>
      <c r="AJ241" s="378"/>
      <c r="AM241" s="505"/>
      <c r="AN241" s="505"/>
      <c r="AO241" s="505"/>
      <c r="AP241" s="505"/>
      <c r="AR241" s="370"/>
      <c r="AT241" s="370"/>
      <c r="AV241" s="506"/>
      <c r="AW241" s="370"/>
      <c r="AX241" s="370"/>
      <c r="AY241" s="370"/>
      <c r="AZ241" s="370"/>
      <c r="BA241" s="507"/>
      <c r="BB241" s="505"/>
      <c r="BC241" s="505"/>
      <c r="BD241" s="370"/>
      <c r="BE241" s="370"/>
      <c r="BF241" s="370"/>
      <c r="BG241" s="370"/>
      <c r="BH241" s="370"/>
      <c r="BI241" s="370"/>
      <c r="BJ241" s="370"/>
      <c r="BK241" s="370"/>
      <c r="BL241" s="370"/>
      <c r="BM241" s="370"/>
      <c r="BN241" s="370"/>
      <c r="BO241" s="370"/>
      <c r="BP241" s="370"/>
      <c r="BQ241" s="370"/>
      <c r="BR241" s="370"/>
      <c r="BS241" s="370"/>
      <c r="BV241" s="508"/>
      <c r="BW241" s="369"/>
      <c r="BX241" s="370"/>
      <c r="BY241" s="370"/>
      <c r="BZ241" s="370"/>
      <c r="CA241" s="370"/>
      <c r="CB241" s="370"/>
      <c r="CC241" s="505"/>
      <c r="CD241" s="505"/>
      <c r="CE241" s="505"/>
      <c r="CF241" s="505"/>
      <c r="CG241" s="505"/>
      <c r="CH241" s="505"/>
      <c r="CI241" s="505"/>
      <c r="CJ241" s="505"/>
      <c r="CK241" s="505"/>
      <c r="CL241" s="505"/>
      <c r="CM241" s="505"/>
    </row>
    <row r="242" customFormat="false" ht="12.75" hidden="false" customHeight="false" outlineLevel="0" collapsed="false">
      <c r="A242" s="500"/>
      <c r="B242" s="500"/>
      <c r="K242" s="363"/>
      <c r="L242" s="501"/>
      <c r="N242" s="502"/>
      <c r="O242" s="502"/>
      <c r="P242" s="371"/>
      <c r="Q242" s="501"/>
      <c r="R242" s="501"/>
      <c r="U242" s="501"/>
      <c r="V242" s="503"/>
      <c r="W242" s="503"/>
      <c r="X242" s="504"/>
      <c r="Y242" s="504"/>
      <c r="Z242" s="504"/>
      <c r="AA242" s="504"/>
      <c r="AB242" s="504"/>
      <c r="AC242" s="504"/>
      <c r="AF242" s="378"/>
      <c r="AG242" s="378"/>
      <c r="AH242" s="378"/>
      <c r="AI242" s="378"/>
      <c r="AJ242" s="378"/>
      <c r="AM242" s="505"/>
      <c r="AN242" s="505"/>
      <c r="AO242" s="505"/>
      <c r="AP242" s="505"/>
      <c r="AR242" s="370"/>
      <c r="AT242" s="370"/>
      <c r="AV242" s="506"/>
      <c r="AW242" s="370"/>
      <c r="AX242" s="370"/>
      <c r="AY242" s="370"/>
      <c r="AZ242" s="370"/>
      <c r="BA242" s="507"/>
      <c r="BB242" s="505"/>
      <c r="BC242" s="505"/>
      <c r="BD242" s="370"/>
      <c r="BE242" s="370"/>
      <c r="BF242" s="370"/>
      <c r="BG242" s="370"/>
      <c r="BH242" s="370"/>
      <c r="BI242" s="370"/>
      <c r="BJ242" s="370"/>
      <c r="BK242" s="370"/>
      <c r="BL242" s="370"/>
      <c r="BM242" s="370"/>
      <c r="BN242" s="370"/>
      <c r="BO242" s="370"/>
      <c r="BP242" s="370"/>
      <c r="BQ242" s="370"/>
      <c r="BR242" s="370"/>
      <c r="BS242" s="370"/>
      <c r="BV242" s="508"/>
      <c r="BW242" s="369"/>
      <c r="BX242" s="370"/>
      <c r="BY242" s="370"/>
      <c r="BZ242" s="370"/>
      <c r="CA242" s="370"/>
      <c r="CB242" s="370"/>
      <c r="CC242" s="505"/>
      <c r="CD242" s="505"/>
      <c r="CE242" s="505"/>
      <c r="CF242" s="505"/>
      <c r="CG242" s="505"/>
      <c r="CH242" s="505"/>
      <c r="CI242" s="505"/>
      <c r="CJ242" s="505"/>
      <c r="CK242" s="505"/>
      <c r="CL242" s="505"/>
      <c r="CM242" s="505"/>
    </row>
    <row r="243" customFormat="false" ht="12.75" hidden="false" customHeight="false" outlineLevel="0" collapsed="false">
      <c r="A243" s="500"/>
      <c r="B243" s="500"/>
      <c r="K243" s="363"/>
      <c r="L243" s="501"/>
      <c r="N243" s="502"/>
      <c r="O243" s="502"/>
      <c r="P243" s="371"/>
      <c r="Q243" s="501"/>
      <c r="R243" s="501"/>
      <c r="U243" s="501"/>
      <c r="V243" s="503"/>
      <c r="W243" s="503"/>
      <c r="X243" s="504"/>
      <c r="Y243" s="504"/>
      <c r="Z243" s="504"/>
      <c r="AA243" s="504"/>
      <c r="AB243" s="504"/>
      <c r="AC243" s="504"/>
      <c r="AF243" s="378"/>
      <c r="AG243" s="378"/>
      <c r="AH243" s="378"/>
      <c r="AI243" s="378"/>
      <c r="AJ243" s="378"/>
      <c r="AM243" s="505"/>
      <c r="AN243" s="505"/>
      <c r="AO243" s="505"/>
      <c r="AP243" s="505"/>
      <c r="AR243" s="370"/>
      <c r="AT243" s="370"/>
      <c r="AV243" s="506"/>
      <c r="AW243" s="370"/>
      <c r="AX243" s="370"/>
      <c r="AY243" s="370"/>
      <c r="AZ243" s="370"/>
      <c r="BA243" s="507"/>
      <c r="BB243" s="505"/>
      <c r="BC243" s="505"/>
      <c r="BD243" s="370"/>
      <c r="BE243" s="370"/>
      <c r="BF243" s="370"/>
      <c r="BG243" s="370"/>
      <c r="BH243" s="370"/>
      <c r="BI243" s="370"/>
      <c r="BJ243" s="370"/>
      <c r="BK243" s="370"/>
      <c r="BL243" s="370"/>
      <c r="BM243" s="370"/>
      <c r="BN243" s="370"/>
      <c r="BO243" s="370"/>
      <c r="BP243" s="370"/>
      <c r="BQ243" s="370"/>
      <c r="BR243" s="370"/>
      <c r="BS243" s="370"/>
      <c r="BV243" s="508"/>
      <c r="BW243" s="369"/>
      <c r="BX243" s="370"/>
      <c r="BY243" s="370"/>
      <c r="BZ243" s="370"/>
      <c r="CA243" s="370"/>
      <c r="CB243" s="370"/>
      <c r="CC243" s="505"/>
      <c r="CD243" s="505"/>
      <c r="CE243" s="505"/>
      <c r="CF243" s="505"/>
      <c r="CG243" s="505"/>
      <c r="CH243" s="505"/>
      <c r="CI243" s="505"/>
      <c r="CJ243" s="505"/>
      <c r="CK243" s="505"/>
      <c r="CL243" s="505"/>
      <c r="CM243" s="505"/>
    </row>
    <row r="244" customFormat="false" ht="12.75" hidden="false" customHeight="false" outlineLevel="0" collapsed="false">
      <c r="A244" s="500"/>
      <c r="B244" s="500"/>
      <c r="K244" s="363"/>
      <c r="L244" s="501"/>
      <c r="N244" s="502"/>
      <c r="O244" s="502"/>
      <c r="P244" s="371"/>
      <c r="Q244" s="501"/>
      <c r="R244" s="501"/>
      <c r="U244" s="501"/>
      <c r="V244" s="503"/>
      <c r="W244" s="503"/>
      <c r="X244" s="504"/>
      <c r="Y244" s="504"/>
      <c r="Z244" s="504"/>
      <c r="AA244" s="504"/>
      <c r="AB244" s="504"/>
      <c r="AC244" s="504"/>
      <c r="AF244" s="378"/>
      <c r="AG244" s="378"/>
      <c r="AH244" s="378"/>
      <c r="AI244" s="378"/>
      <c r="AJ244" s="378"/>
      <c r="AM244" s="505"/>
      <c r="AN244" s="505"/>
      <c r="AO244" s="505"/>
      <c r="AP244" s="505"/>
      <c r="AR244" s="370"/>
      <c r="AT244" s="370"/>
      <c r="AV244" s="506"/>
      <c r="AW244" s="370"/>
      <c r="AX244" s="370"/>
      <c r="AY244" s="370"/>
      <c r="AZ244" s="370"/>
      <c r="BA244" s="507"/>
      <c r="BB244" s="505"/>
      <c r="BC244" s="505"/>
      <c r="BD244" s="370"/>
      <c r="BE244" s="370"/>
      <c r="BF244" s="370"/>
      <c r="BG244" s="370"/>
      <c r="BH244" s="370"/>
      <c r="BI244" s="370"/>
      <c r="BJ244" s="370"/>
      <c r="BK244" s="370"/>
      <c r="BL244" s="370"/>
      <c r="BM244" s="370"/>
      <c r="BN244" s="370"/>
      <c r="BO244" s="370"/>
      <c r="BP244" s="370"/>
      <c r="BQ244" s="370"/>
      <c r="BR244" s="370"/>
      <c r="BS244" s="370"/>
      <c r="BV244" s="508"/>
      <c r="BW244" s="369"/>
      <c r="BX244" s="370"/>
      <c r="BY244" s="370"/>
      <c r="BZ244" s="370"/>
      <c r="CA244" s="370"/>
      <c r="CB244" s="370"/>
      <c r="CC244" s="505"/>
      <c r="CD244" s="505"/>
      <c r="CE244" s="505"/>
      <c r="CF244" s="505"/>
      <c r="CG244" s="505"/>
      <c r="CH244" s="505"/>
      <c r="CI244" s="505"/>
      <c r="CJ244" s="505"/>
      <c r="CK244" s="505"/>
      <c r="CL244" s="505"/>
      <c r="CM244" s="505"/>
    </row>
    <row r="245" customFormat="false" ht="12.75" hidden="false" customHeight="false" outlineLevel="0" collapsed="false">
      <c r="A245" s="500"/>
      <c r="B245" s="500"/>
      <c r="K245" s="363"/>
      <c r="L245" s="501"/>
      <c r="N245" s="502"/>
      <c r="O245" s="502"/>
      <c r="P245" s="371"/>
      <c r="Q245" s="501"/>
      <c r="R245" s="501"/>
      <c r="U245" s="501"/>
      <c r="V245" s="503"/>
      <c r="W245" s="503"/>
      <c r="X245" s="504"/>
      <c r="Y245" s="504"/>
      <c r="Z245" s="504"/>
      <c r="AA245" s="504"/>
      <c r="AB245" s="504"/>
      <c r="AC245" s="504"/>
      <c r="AF245" s="378"/>
      <c r="AG245" s="378"/>
      <c r="AH245" s="378"/>
      <c r="AI245" s="378"/>
      <c r="AJ245" s="378"/>
      <c r="AM245" s="505"/>
      <c r="AN245" s="505"/>
      <c r="AO245" s="505"/>
      <c r="AP245" s="505"/>
      <c r="AR245" s="370"/>
      <c r="AT245" s="370"/>
      <c r="AV245" s="506"/>
      <c r="AW245" s="370"/>
      <c r="AX245" s="370"/>
      <c r="AY245" s="370"/>
      <c r="AZ245" s="370"/>
      <c r="BA245" s="507"/>
      <c r="BB245" s="505"/>
      <c r="BC245" s="505"/>
      <c r="BD245" s="370"/>
      <c r="BE245" s="370"/>
      <c r="BF245" s="370"/>
      <c r="BG245" s="370"/>
      <c r="BH245" s="370"/>
      <c r="BI245" s="370"/>
      <c r="BJ245" s="370"/>
      <c r="BK245" s="370"/>
      <c r="BL245" s="370"/>
      <c r="BM245" s="370"/>
      <c r="BN245" s="370"/>
      <c r="BO245" s="370"/>
      <c r="BP245" s="370"/>
      <c r="BQ245" s="370"/>
      <c r="BR245" s="370"/>
      <c r="BS245" s="370"/>
      <c r="BV245" s="508"/>
      <c r="BW245" s="369"/>
      <c r="BX245" s="370"/>
      <c r="BY245" s="370"/>
      <c r="BZ245" s="370"/>
      <c r="CA245" s="370"/>
      <c r="CB245" s="370"/>
      <c r="CC245" s="505"/>
      <c r="CD245" s="505"/>
      <c r="CE245" s="505"/>
      <c r="CF245" s="505"/>
      <c r="CG245" s="505"/>
      <c r="CH245" s="505"/>
      <c r="CI245" s="505"/>
      <c r="CJ245" s="505"/>
      <c r="CK245" s="505"/>
      <c r="CL245" s="505"/>
      <c r="CM245" s="505"/>
    </row>
    <row r="246" customFormat="false" ht="12.75" hidden="false" customHeight="false" outlineLevel="0" collapsed="false">
      <c r="A246" s="500"/>
      <c r="B246" s="500"/>
      <c r="K246" s="363"/>
      <c r="L246" s="501"/>
      <c r="N246" s="502"/>
      <c r="O246" s="502"/>
      <c r="P246" s="371"/>
      <c r="Q246" s="501"/>
      <c r="R246" s="501"/>
      <c r="U246" s="501"/>
      <c r="V246" s="503"/>
      <c r="W246" s="503"/>
      <c r="X246" s="504"/>
      <c r="Y246" s="504"/>
      <c r="Z246" s="504"/>
      <c r="AA246" s="504"/>
      <c r="AB246" s="504"/>
      <c r="AC246" s="504"/>
      <c r="AF246" s="378"/>
      <c r="AG246" s="378"/>
      <c r="AH246" s="378"/>
      <c r="AI246" s="378"/>
      <c r="AJ246" s="378"/>
      <c r="AM246" s="505"/>
      <c r="AN246" s="505"/>
      <c r="AO246" s="505"/>
      <c r="AP246" s="505"/>
      <c r="AR246" s="370"/>
      <c r="AT246" s="370"/>
      <c r="AV246" s="506"/>
      <c r="AW246" s="370"/>
      <c r="AX246" s="370"/>
      <c r="AY246" s="370"/>
      <c r="AZ246" s="370"/>
      <c r="BA246" s="507"/>
      <c r="BB246" s="505"/>
      <c r="BC246" s="505"/>
      <c r="BD246" s="370"/>
      <c r="BE246" s="370"/>
      <c r="BF246" s="370"/>
      <c r="BG246" s="370"/>
      <c r="BH246" s="370"/>
      <c r="BI246" s="370"/>
      <c r="BJ246" s="370"/>
      <c r="BK246" s="370"/>
      <c r="BL246" s="370"/>
      <c r="BM246" s="370"/>
      <c r="BN246" s="370"/>
      <c r="BO246" s="370"/>
      <c r="BP246" s="370"/>
      <c r="BQ246" s="370"/>
      <c r="BR246" s="370"/>
      <c r="BS246" s="370"/>
      <c r="BV246" s="508"/>
      <c r="BW246" s="369"/>
      <c r="BX246" s="370"/>
      <c r="BY246" s="370"/>
      <c r="BZ246" s="370"/>
      <c r="CA246" s="370"/>
      <c r="CB246" s="370"/>
      <c r="CC246" s="505"/>
      <c r="CD246" s="505"/>
      <c r="CE246" s="505"/>
      <c r="CF246" s="505"/>
      <c r="CG246" s="505"/>
      <c r="CH246" s="505"/>
      <c r="CI246" s="505"/>
      <c r="CJ246" s="505"/>
      <c r="CK246" s="505"/>
      <c r="CL246" s="505"/>
      <c r="CM246" s="505"/>
    </row>
    <row r="247" customFormat="false" ht="12.75" hidden="false" customHeight="false" outlineLevel="0" collapsed="false">
      <c r="A247" s="500"/>
      <c r="B247" s="500"/>
      <c r="K247" s="363"/>
      <c r="L247" s="501"/>
      <c r="N247" s="502"/>
      <c r="O247" s="502"/>
      <c r="P247" s="371"/>
      <c r="Q247" s="501"/>
      <c r="R247" s="501"/>
      <c r="U247" s="501"/>
      <c r="V247" s="503"/>
      <c r="W247" s="503"/>
      <c r="X247" s="504"/>
      <c r="Y247" s="504"/>
      <c r="Z247" s="504"/>
      <c r="AA247" s="504"/>
      <c r="AB247" s="504"/>
      <c r="AC247" s="504"/>
      <c r="AF247" s="378"/>
      <c r="AG247" s="378"/>
      <c r="AH247" s="378"/>
      <c r="AI247" s="378"/>
      <c r="AJ247" s="378"/>
      <c r="AM247" s="505"/>
      <c r="AN247" s="505"/>
      <c r="AO247" s="505"/>
      <c r="AP247" s="505"/>
      <c r="AR247" s="370"/>
      <c r="AT247" s="370"/>
      <c r="AV247" s="506"/>
      <c r="AW247" s="370"/>
      <c r="AX247" s="370"/>
      <c r="AY247" s="370"/>
      <c r="AZ247" s="370"/>
      <c r="BA247" s="507"/>
      <c r="BB247" s="505"/>
      <c r="BC247" s="505"/>
      <c r="BD247" s="370"/>
      <c r="BE247" s="370"/>
      <c r="BF247" s="370"/>
      <c r="BG247" s="370"/>
      <c r="BH247" s="370"/>
      <c r="BI247" s="370"/>
      <c r="BJ247" s="370"/>
      <c r="BK247" s="370"/>
      <c r="BL247" s="370"/>
      <c r="BM247" s="370"/>
      <c r="BN247" s="370"/>
      <c r="BO247" s="370"/>
      <c r="BP247" s="370"/>
      <c r="BQ247" s="370"/>
      <c r="BR247" s="370"/>
      <c r="BS247" s="370"/>
      <c r="BV247" s="508"/>
      <c r="BW247" s="369"/>
      <c r="BX247" s="370"/>
      <c r="BY247" s="370"/>
      <c r="BZ247" s="370"/>
      <c r="CA247" s="370"/>
      <c r="CB247" s="370"/>
      <c r="CC247" s="505"/>
      <c r="CD247" s="505"/>
      <c r="CE247" s="505"/>
      <c r="CF247" s="505"/>
      <c r="CG247" s="505"/>
      <c r="CH247" s="505"/>
      <c r="CI247" s="505"/>
      <c r="CJ247" s="505"/>
      <c r="CK247" s="505"/>
      <c r="CL247" s="505"/>
      <c r="CM247" s="505"/>
    </row>
    <row r="248" customFormat="false" ht="12.75" hidden="false" customHeight="false" outlineLevel="0" collapsed="false">
      <c r="A248" s="500"/>
      <c r="B248" s="500"/>
      <c r="K248" s="363"/>
      <c r="L248" s="501"/>
      <c r="N248" s="502"/>
      <c r="O248" s="502"/>
      <c r="P248" s="371"/>
      <c r="Q248" s="501"/>
      <c r="R248" s="501"/>
      <c r="U248" s="501"/>
      <c r="V248" s="503"/>
      <c r="W248" s="503"/>
      <c r="X248" s="504"/>
      <c r="Y248" s="504"/>
      <c r="Z248" s="504"/>
      <c r="AA248" s="504"/>
      <c r="AB248" s="504"/>
      <c r="AC248" s="504"/>
      <c r="AF248" s="378"/>
      <c r="AG248" s="378"/>
      <c r="AH248" s="378"/>
      <c r="AI248" s="378"/>
      <c r="AJ248" s="378"/>
      <c r="AM248" s="505"/>
      <c r="AN248" s="505"/>
      <c r="AO248" s="505"/>
      <c r="AP248" s="505"/>
      <c r="AR248" s="370"/>
      <c r="AT248" s="370"/>
      <c r="AV248" s="506"/>
      <c r="AW248" s="370"/>
      <c r="AX248" s="370"/>
      <c r="AY248" s="370"/>
      <c r="AZ248" s="370"/>
      <c r="BA248" s="507"/>
      <c r="BB248" s="505"/>
      <c r="BC248" s="505"/>
      <c r="BD248" s="370"/>
      <c r="BE248" s="370"/>
      <c r="BF248" s="370"/>
      <c r="BG248" s="370"/>
      <c r="BH248" s="370"/>
      <c r="BI248" s="370"/>
      <c r="BJ248" s="370"/>
      <c r="BK248" s="370"/>
      <c r="BL248" s="370"/>
      <c r="BM248" s="370"/>
      <c r="BN248" s="370"/>
      <c r="BO248" s="370"/>
      <c r="BP248" s="370"/>
      <c r="BQ248" s="370"/>
      <c r="BR248" s="370"/>
      <c r="BS248" s="370"/>
      <c r="BV248" s="508"/>
      <c r="BW248" s="369"/>
      <c r="BX248" s="370"/>
      <c r="BY248" s="370"/>
      <c r="BZ248" s="370"/>
      <c r="CA248" s="370"/>
      <c r="CB248" s="370"/>
      <c r="CC248" s="505"/>
      <c r="CD248" s="505"/>
      <c r="CE248" s="505"/>
      <c r="CF248" s="505"/>
      <c r="CG248" s="505"/>
      <c r="CH248" s="505"/>
      <c r="CI248" s="505"/>
      <c r="CJ248" s="505"/>
      <c r="CK248" s="505"/>
      <c r="CL248" s="505"/>
      <c r="CM248" s="505"/>
    </row>
    <row r="249" customFormat="false" ht="12.75" hidden="false" customHeight="false" outlineLevel="0" collapsed="false">
      <c r="A249" s="500"/>
      <c r="B249" s="500"/>
      <c r="K249" s="363"/>
      <c r="L249" s="501"/>
      <c r="N249" s="502"/>
      <c r="O249" s="502"/>
      <c r="P249" s="371"/>
      <c r="Q249" s="501"/>
      <c r="R249" s="501"/>
      <c r="U249" s="501"/>
      <c r="V249" s="503"/>
      <c r="W249" s="503"/>
      <c r="X249" s="504"/>
      <c r="Y249" s="504"/>
      <c r="Z249" s="504"/>
      <c r="AA249" s="504"/>
      <c r="AB249" s="504"/>
      <c r="AC249" s="504"/>
      <c r="AF249" s="378"/>
      <c r="AG249" s="378"/>
      <c r="AH249" s="378"/>
      <c r="AI249" s="378"/>
      <c r="AJ249" s="378"/>
      <c r="AM249" s="505"/>
      <c r="AN249" s="505"/>
      <c r="AO249" s="505"/>
      <c r="AP249" s="505"/>
      <c r="AR249" s="370"/>
      <c r="AT249" s="370"/>
      <c r="AV249" s="506"/>
      <c r="AW249" s="370"/>
      <c r="AX249" s="370"/>
      <c r="AY249" s="370"/>
      <c r="AZ249" s="370"/>
      <c r="BA249" s="507"/>
      <c r="BB249" s="505"/>
      <c r="BC249" s="505"/>
      <c r="BD249" s="370"/>
      <c r="BE249" s="370"/>
      <c r="BF249" s="370"/>
      <c r="BG249" s="370"/>
      <c r="BH249" s="370"/>
      <c r="BI249" s="370"/>
      <c r="BJ249" s="370"/>
      <c r="BK249" s="370"/>
      <c r="BL249" s="370"/>
      <c r="BM249" s="370"/>
      <c r="BN249" s="370"/>
      <c r="BO249" s="370"/>
      <c r="BP249" s="370"/>
      <c r="BQ249" s="370"/>
      <c r="BR249" s="370"/>
      <c r="BS249" s="370"/>
      <c r="BV249" s="508"/>
      <c r="BW249" s="369"/>
      <c r="BX249" s="370"/>
      <c r="BY249" s="370"/>
      <c r="BZ249" s="370"/>
      <c r="CA249" s="370"/>
      <c r="CB249" s="370"/>
      <c r="CC249" s="505"/>
      <c r="CD249" s="505"/>
      <c r="CE249" s="505"/>
      <c r="CF249" s="505"/>
      <c r="CG249" s="505"/>
      <c r="CH249" s="505"/>
      <c r="CI249" s="505"/>
      <c r="CJ249" s="505"/>
      <c r="CK249" s="505"/>
      <c r="CL249" s="505"/>
      <c r="CM249" s="505"/>
    </row>
    <row r="250" customFormat="false" ht="12.75" hidden="false" customHeight="false" outlineLevel="0" collapsed="false">
      <c r="A250" s="500"/>
      <c r="B250" s="500"/>
      <c r="K250" s="363"/>
      <c r="L250" s="501"/>
      <c r="N250" s="502"/>
      <c r="O250" s="502"/>
      <c r="P250" s="371"/>
      <c r="Q250" s="501"/>
      <c r="R250" s="501"/>
      <c r="U250" s="501"/>
      <c r="V250" s="503"/>
      <c r="W250" s="503"/>
      <c r="X250" s="504"/>
      <c r="Y250" s="504"/>
      <c r="Z250" s="504"/>
      <c r="AA250" s="504"/>
      <c r="AB250" s="504"/>
      <c r="AC250" s="504"/>
      <c r="AF250" s="378"/>
      <c r="AG250" s="378"/>
      <c r="AH250" s="378"/>
      <c r="AI250" s="378"/>
      <c r="AJ250" s="378"/>
      <c r="AM250" s="505"/>
      <c r="AN250" s="505"/>
      <c r="AO250" s="505"/>
      <c r="AP250" s="505"/>
      <c r="AR250" s="370"/>
      <c r="AT250" s="370"/>
      <c r="AV250" s="506"/>
      <c r="AW250" s="370"/>
      <c r="AX250" s="370"/>
      <c r="AY250" s="370"/>
      <c r="AZ250" s="370"/>
      <c r="BA250" s="507"/>
      <c r="BB250" s="505"/>
      <c r="BC250" s="505"/>
      <c r="BD250" s="370"/>
      <c r="BE250" s="370"/>
      <c r="BF250" s="370"/>
      <c r="BG250" s="370"/>
      <c r="BH250" s="370"/>
      <c r="BI250" s="370"/>
      <c r="BJ250" s="370"/>
      <c r="BK250" s="370"/>
      <c r="BL250" s="370"/>
      <c r="BM250" s="370"/>
      <c r="BN250" s="370"/>
      <c r="BO250" s="370"/>
      <c r="BP250" s="370"/>
      <c r="BQ250" s="370"/>
      <c r="BR250" s="370"/>
      <c r="BS250" s="370"/>
      <c r="BV250" s="508"/>
      <c r="BW250" s="369"/>
      <c r="BX250" s="370"/>
      <c r="BY250" s="370"/>
      <c r="BZ250" s="370"/>
      <c r="CA250" s="370"/>
      <c r="CB250" s="370"/>
      <c r="CC250" s="505"/>
      <c r="CD250" s="505"/>
      <c r="CE250" s="505"/>
      <c r="CF250" s="505"/>
      <c r="CG250" s="505"/>
      <c r="CH250" s="505"/>
      <c r="CI250" s="505"/>
      <c r="CJ250" s="505"/>
      <c r="CK250" s="505"/>
      <c r="CL250" s="505"/>
      <c r="CM250" s="505"/>
    </row>
    <row r="251" customFormat="false" ht="12.75" hidden="false" customHeight="false" outlineLevel="0" collapsed="false">
      <c r="A251" s="500"/>
      <c r="B251" s="500"/>
      <c r="K251" s="363"/>
      <c r="L251" s="501"/>
      <c r="N251" s="502"/>
      <c r="O251" s="502"/>
      <c r="P251" s="371"/>
      <c r="Q251" s="501"/>
      <c r="R251" s="501"/>
      <c r="U251" s="501"/>
      <c r="V251" s="503"/>
      <c r="W251" s="503"/>
      <c r="X251" s="504"/>
      <c r="Y251" s="504"/>
      <c r="Z251" s="504"/>
      <c r="AA251" s="504"/>
      <c r="AB251" s="504"/>
      <c r="AC251" s="504"/>
      <c r="AF251" s="378"/>
      <c r="AG251" s="378"/>
      <c r="AH251" s="378"/>
      <c r="AI251" s="378"/>
      <c r="AJ251" s="378"/>
      <c r="AM251" s="505"/>
      <c r="AN251" s="505"/>
      <c r="AO251" s="505"/>
      <c r="AP251" s="505"/>
      <c r="AR251" s="370"/>
      <c r="AT251" s="370"/>
      <c r="AV251" s="506"/>
      <c r="AW251" s="370"/>
      <c r="AX251" s="370"/>
      <c r="AY251" s="370"/>
      <c r="AZ251" s="370"/>
      <c r="BA251" s="507"/>
      <c r="BB251" s="505"/>
      <c r="BC251" s="505"/>
      <c r="BD251" s="370"/>
      <c r="BE251" s="370"/>
      <c r="BF251" s="370"/>
      <c r="BG251" s="370"/>
      <c r="BH251" s="370"/>
      <c r="BI251" s="370"/>
      <c r="BJ251" s="370"/>
      <c r="BK251" s="370"/>
      <c r="BL251" s="370"/>
      <c r="BM251" s="370"/>
      <c r="BN251" s="370"/>
      <c r="BO251" s="370"/>
      <c r="BP251" s="370"/>
      <c r="BQ251" s="370"/>
      <c r="BR251" s="370"/>
      <c r="BS251" s="370"/>
      <c r="BV251" s="508"/>
      <c r="BW251" s="369"/>
      <c r="BX251" s="370"/>
      <c r="BY251" s="370"/>
      <c r="BZ251" s="370"/>
      <c r="CA251" s="370"/>
      <c r="CB251" s="370"/>
      <c r="CC251" s="505"/>
      <c r="CD251" s="505"/>
      <c r="CE251" s="505"/>
      <c r="CF251" s="505"/>
      <c r="CG251" s="505"/>
      <c r="CH251" s="505"/>
      <c r="CI251" s="505"/>
      <c r="CJ251" s="505"/>
      <c r="CK251" s="505"/>
      <c r="CL251" s="505"/>
      <c r="CM251" s="505"/>
    </row>
    <row r="252" customFormat="false" ht="12.75" hidden="false" customHeight="false" outlineLevel="0" collapsed="false">
      <c r="A252" s="500"/>
      <c r="B252" s="500"/>
      <c r="K252" s="363"/>
      <c r="L252" s="501"/>
      <c r="N252" s="502"/>
      <c r="O252" s="502"/>
      <c r="P252" s="371"/>
      <c r="Q252" s="501"/>
      <c r="R252" s="501"/>
      <c r="U252" s="501"/>
      <c r="V252" s="503"/>
      <c r="W252" s="503"/>
      <c r="X252" s="504"/>
      <c r="Y252" s="504"/>
      <c r="Z252" s="504"/>
      <c r="AA252" s="504"/>
      <c r="AB252" s="504"/>
      <c r="AC252" s="504"/>
      <c r="AF252" s="378"/>
      <c r="AG252" s="378"/>
      <c r="AH252" s="378"/>
      <c r="AI252" s="378"/>
      <c r="AJ252" s="378"/>
      <c r="AM252" s="505"/>
      <c r="AN252" s="505"/>
      <c r="AO252" s="505"/>
      <c r="AP252" s="505"/>
      <c r="AR252" s="370"/>
      <c r="AT252" s="370"/>
      <c r="AV252" s="506"/>
      <c r="AW252" s="370"/>
      <c r="AX252" s="370"/>
      <c r="AY252" s="370"/>
      <c r="AZ252" s="370"/>
      <c r="BA252" s="507"/>
      <c r="BB252" s="505"/>
      <c r="BC252" s="505"/>
      <c r="BD252" s="370"/>
      <c r="BE252" s="370"/>
      <c r="BF252" s="370"/>
      <c r="BG252" s="370"/>
      <c r="BH252" s="370"/>
      <c r="BI252" s="370"/>
      <c r="BJ252" s="370"/>
      <c r="BK252" s="370"/>
      <c r="BL252" s="370"/>
      <c r="BM252" s="370"/>
      <c r="BN252" s="370"/>
      <c r="BO252" s="370"/>
      <c r="BP252" s="370"/>
      <c r="BQ252" s="370"/>
      <c r="BR252" s="370"/>
      <c r="BS252" s="370"/>
      <c r="BV252" s="508"/>
      <c r="BW252" s="369"/>
      <c r="BX252" s="370"/>
      <c r="BY252" s="370"/>
      <c r="BZ252" s="370"/>
      <c r="CA252" s="370"/>
      <c r="CB252" s="370"/>
      <c r="CC252" s="505"/>
      <c r="CD252" s="505"/>
      <c r="CE252" s="505"/>
      <c r="CF252" s="505"/>
      <c r="CG252" s="505"/>
      <c r="CH252" s="505"/>
      <c r="CI252" s="505"/>
      <c r="CJ252" s="505"/>
      <c r="CK252" s="505"/>
      <c r="CL252" s="505"/>
      <c r="CM252" s="505"/>
    </row>
    <row r="253" customFormat="false" ht="12.75" hidden="false" customHeight="false" outlineLevel="0" collapsed="false">
      <c r="A253" s="500"/>
      <c r="B253" s="500"/>
      <c r="K253" s="363"/>
      <c r="L253" s="501"/>
      <c r="N253" s="502"/>
      <c r="O253" s="502"/>
      <c r="P253" s="371"/>
      <c r="Q253" s="501"/>
      <c r="R253" s="501"/>
      <c r="U253" s="501"/>
      <c r="V253" s="503"/>
      <c r="W253" s="503"/>
      <c r="X253" s="504"/>
      <c r="Y253" s="504"/>
      <c r="Z253" s="504"/>
      <c r="AA253" s="504"/>
      <c r="AB253" s="504"/>
      <c r="AC253" s="504"/>
      <c r="AF253" s="378"/>
      <c r="AG253" s="378"/>
      <c r="AH253" s="378"/>
      <c r="AI253" s="378"/>
      <c r="AJ253" s="378"/>
      <c r="AM253" s="505"/>
      <c r="AN253" s="505"/>
      <c r="AO253" s="505"/>
      <c r="AP253" s="505"/>
      <c r="AR253" s="370"/>
      <c r="AT253" s="370"/>
      <c r="AV253" s="506"/>
      <c r="AW253" s="370"/>
      <c r="AX253" s="370"/>
      <c r="AY253" s="370"/>
      <c r="AZ253" s="370"/>
      <c r="BA253" s="507"/>
      <c r="BB253" s="505"/>
      <c r="BC253" s="505"/>
      <c r="BD253" s="370"/>
      <c r="BE253" s="370"/>
      <c r="BF253" s="370"/>
      <c r="BG253" s="370"/>
      <c r="BH253" s="370"/>
      <c r="BI253" s="370"/>
      <c r="BJ253" s="370"/>
      <c r="BK253" s="370"/>
      <c r="BL253" s="370"/>
      <c r="BM253" s="370"/>
      <c r="BN253" s="370"/>
      <c r="BO253" s="370"/>
      <c r="BP253" s="370"/>
      <c r="BQ253" s="370"/>
      <c r="BR253" s="370"/>
      <c r="BS253" s="370"/>
      <c r="BV253" s="508"/>
      <c r="BW253" s="369"/>
      <c r="BX253" s="370"/>
      <c r="BY253" s="370"/>
      <c r="BZ253" s="370"/>
      <c r="CA253" s="370"/>
      <c r="CB253" s="370"/>
      <c r="CC253" s="505"/>
      <c r="CD253" s="505"/>
      <c r="CE253" s="505"/>
      <c r="CF253" s="505"/>
      <c r="CG253" s="505"/>
      <c r="CH253" s="505"/>
      <c r="CI253" s="505"/>
      <c r="CJ253" s="505"/>
      <c r="CK253" s="505"/>
      <c r="CL253" s="505"/>
      <c r="CM253" s="505"/>
    </row>
    <row r="254" customFormat="false" ht="12.75" hidden="false" customHeight="false" outlineLevel="0" collapsed="false">
      <c r="A254" s="500"/>
      <c r="B254" s="500"/>
      <c r="K254" s="363"/>
      <c r="L254" s="501"/>
      <c r="N254" s="502"/>
      <c r="O254" s="502"/>
      <c r="P254" s="371"/>
      <c r="Q254" s="501"/>
      <c r="R254" s="501"/>
      <c r="U254" s="501"/>
      <c r="V254" s="503"/>
      <c r="W254" s="503"/>
      <c r="X254" s="504"/>
      <c r="Y254" s="504"/>
      <c r="Z254" s="504"/>
      <c r="AA254" s="504"/>
      <c r="AB254" s="504"/>
      <c r="AC254" s="504"/>
      <c r="AF254" s="378"/>
      <c r="AG254" s="378"/>
      <c r="AH254" s="378"/>
      <c r="AI254" s="378"/>
      <c r="AJ254" s="378"/>
      <c r="AM254" s="505"/>
      <c r="AN254" s="505"/>
      <c r="AO254" s="505"/>
      <c r="AP254" s="505"/>
      <c r="AR254" s="370"/>
      <c r="AT254" s="370"/>
      <c r="AV254" s="506"/>
      <c r="AW254" s="370"/>
      <c r="AX254" s="370"/>
      <c r="AY254" s="370"/>
      <c r="AZ254" s="370"/>
      <c r="BA254" s="507"/>
      <c r="BB254" s="505"/>
      <c r="BC254" s="505"/>
      <c r="BD254" s="370"/>
      <c r="BE254" s="370"/>
      <c r="BF254" s="370"/>
      <c r="BG254" s="370"/>
      <c r="BH254" s="370"/>
      <c r="BI254" s="370"/>
      <c r="BJ254" s="370"/>
      <c r="BK254" s="370"/>
      <c r="BL254" s="370"/>
      <c r="BM254" s="370"/>
      <c r="BN254" s="370"/>
      <c r="BO254" s="370"/>
      <c r="BP254" s="370"/>
      <c r="BQ254" s="370"/>
      <c r="BR254" s="370"/>
      <c r="BS254" s="370"/>
      <c r="BV254" s="508"/>
      <c r="BW254" s="369"/>
      <c r="BX254" s="370"/>
      <c r="BY254" s="370"/>
      <c r="BZ254" s="370"/>
      <c r="CA254" s="370"/>
      <c r="CB254" s="370"/>
      <c r="CC254" s="505"/>
      <c r="CD254" s="505"/>
      <c r="CE254" s="505"/>
      <c r="CF254" s="505"/>
      <c r="CG254" s="505"/>
      <c r="CH254" s="505"/>
      <c r="CI254" s="505"/>
      <c r="CJ254" s="505"/>
      <c r="CK254" s="505"/>
      <c r="CL254" s="505"/>
      <c r="CM254" s="505"/>
    </row>
    <row r="255" customFormat="false" ht="12.75" hidden="false" customHeight="false" outlineLevel="0" collapsed="false">
      <c r="A255" s="500"/>
      <c r="B255" s="500"/>
      <c r="K255" s="363"/>
      <c r="L255" s="501"/>
      <c r="N255" s="502"/>
      <c r="O255" s="502"/>
      <c r="P255" s="371"/>
      <c r="Q255" s="501"/>
      <c r="R255" s="501"/>
      <c r="U255" s="501"/>
      <c r="V255" s="503"/>
      <c r="W255" s="503"/>
      <c r="X255" s="504"/>
      <c r="Y255" s="504"/>
      <c r="Z255" s="504"/>
      <c r="AA255" s="504"/>
      <c r="AB255" s="504"/>
      <c r="AC255" s="504"/>
      <c r="AF255" s="378"/>
      <c r="AG255" s="378"/>
      <c r="AH255" s="378"/>
      <c r="AI255" s="378"/>
      <c r="AJ255" s="378"/>
      <c r="AM255" s="505"/>
      <c r="AN255" s="505"/>
      <c r="AO255" s="505"/>
      <c r="AP255" s="505"/>
      <c r="AR255" s="370"/>
      <c r="AT255" s="370"/>
      <c r="AV255" s="506"/>
      <c r="AW255" s="370"/>
      <c r="AX255" s="370"/>
      <c r="AY255" s="370"/>
      <c r="AZ255" s="370"/>
      <c r="BA255" s="507"/>
      <c r="BB255" s="505"/>
      <c r="BC255" s="505"/>
      <c r="BD255" s="370"/>
      <c r="BE255" s="370"/>
      <c r="BF255" s="370"/>
      <c r="BG255" s="370"/>
      <c r="BH255" s="370"/>
      <c r="BI255" s="370"/>
      <c r="BJ255" s="370"/>
      <c r="BK255" s="370"/>
      <c r="BL255" s="370"/>
      <c r="BM255" s="370"/>
      <c r="BN255" s="370"/>
      <c r="BO255" s="370"/>
      <c r="BP255" s="370"/>
      <c r="BQ255" s="370"/>
      <c r="BR255" s="370"/>
      <c r="BS255" s="370"/>
      <c r="BV255" s="508"/>
      <c r="BW255" s="369"/>
      <c r="BX255" s="370"/>
      <c r="BY255" s="370"/>
      <c r="BZ255" s="370"/>
      <c r="CA255" s="370"/>
      <c r="CB255" s="370"/>
      <c r="CC255" s="505"/>
      <c r="CD255" s="505"/>
      <c r="CE255" s="505"/>
      <c r="CF255" s="505"/>
      <c r="CG255" s="505"/>
      <c r="CH255" s="505"/>
      <c r="CI255" s="505"/>
      <c r="CJ255" s="505"/>
      <c r="CK255" s="505"/>
      <c r="CL255" s="505"/>
      <c r="CM255" s="505"/>
    </row>
    <row r="256" customFormat="false" ht="12.75" hidden="false" customHeight="false" outlineLevel="0" collapsed="false">
      <c r="A256" s="500"/>
      <c r="B256" s="500"/>
      <c r="K256" s="363"/>
      <c r="L256" s="501"/>
      <c r="N256" s="502"/>
      <c r="O256" s="502"/>
      <c r="P256" s="371"/>
      <c r="Q256" s="501"/>
      <c r="R256" s="501"/>
      <c r="U256" s="501"/>
      <c r="V256" s="503"/>
      <c r="W256" s="503"/>
      <c r="X256" s="504"/>
      <c r="Y256" s="504"/>
      <c r="Z256" s="504"/>
      <c r="AA256" s="504"/>
      <c r="AB256" s="504"/>
      <c r="AC256" s="504"/>
      <c r="AF256" s="378"/>
      <c r="AG256" s="378"/>
      <c r="AH256" s="378"/>
      <c r="AI256" s="378"/>
      <c r="AJ256" s="378"/>
      <c r="AM256" s="505"/>
      <c r="AN256" s="505"/>
      <c r="AO256" s="505"/>
      <c r="AP256" s="505"/>
      <c r="AR256" s="370"/>
      <c r="AT256" s="370"/>
      <c r="AV256" s="506"/>
      <c r="AW256" s="370"/>
      <c r="AX256" s="370"/>
      <c r="AY256" s="370"/>
      <c r="AZ256" s="370"/>
      <c r="BA256" s="507"/>
      <c r="BB256" s="505"/>
      <c r="BC256" s="505"/>
      <c r="BD256" s="370"/>
      <c r="BE256" s="370"/>
      <c r="BF256" s="370"/>
      <c r="BG256" s="370"/>
      <c r="BH256" s="370"/>
      <c r="BI256" s="370"/>
      <c r="BJ256" s="370"/>
      <c r="BK256" s="370"/>
      <c r="BL256" s="370"/>
      <c r="BM256" s="370"/>
      <c r="BN256" s="370"/>
      <c r="BO256" s="370"/>
      <c r="BP256" s="370"/>
      <c r="BQ256" s="370"/>
      <c r="BR256" s="370"/>
      <c r="BS256" s="370"/>
      <c r="BV256" s="508"/>
      <c r="BW256" s="369"/>
      <c r="BX256" s="370"/>
      <c r="BY256" s="370"/>
      <c r="BZ256" s="370"/>
      <c r="CA256" s="370"/>
      <c r="CB256" s="370"/>
      <c r="CC256" s="505"/>
      <c r="CD256" s="505"/>
      <c r="CE256" s="505"/>
      <c r="CF256" s="505"/>
      <c r="CG256" s="505"/>
      <c r="CH256" s="505"/>
      <c r="CI256" s="505"/>
      <c r="CJ256" s="505"/>
      <c r="CK256" s="505"/>
      <c r="CL256" s="505"/>
      <c r="CM256" s="505"/>
    </row>
    <row r="257" customFormat="false" ht="12.75" hidden="false" customHeight="false" outlineLevel="0" collapsed="false">
      <c r="A257" s="500"/>
      <c r="B257" s="500"/>
      <c r="K257" s="363"/>
      <c r="L257" s="501"/>
      <c r="N257" s="502"/>
      <c r="O257" s="502"/>
      <c r="P257" s="371"/>
      <c r="Q257" s="501"/>
      <c r="R257" s="501"/>
      <c r="U257" s="501"/>
      <c r="V257" s="503"/>
      <c r="W257" s="503"/>
      <c r="X257" s="504"/>
      <c r="Y257" s="504"/>
      <c r="Z257" s="504"/>
      <c r="AA257" s="504"/>
      <c r="AB257" s="504"/>
      <c r="AC257" s="504"/>
      <c r="AF257" s="378"/>
      <c r="AG257" s="378"/>
      <c r="AH257" s="378"/>
      <c r="AI257" s="378"/>
      <c r="AJ257" s="378"/>
      <c r="AM257" s="505"/>
      <c r="AN257" s="505"/>
      <c r="AO257" s="505"/>
      <c r="AP257" s="505"/>
      <c r="AR257" s="370"/>
      <c r="AT257" s="370"/>
      <c r="AV257" s="506"/>
      <c r="AW257" s="370"/>
      <c r="AX257" s="370"/>
      <c r="AY257" s="370"/>
      <c r="AZ257" s="370"/>
      <c r="BA257" s="507"/>
      <c r="BB257" s="505"/>
      <c r="BC257" s="505"/>
      <c r="BD257" s="370"/>
      <c r="BE257" s="370"/>
      <c r="BF257" s="370"/>
      <c r="BG257" s="370"/>
      <c r="BH257" s="370"/>
      <c r="BI257" s="370"/>
      <c r="BJ257" s="370"/>
      <c r="BK257" s="370"/>
      <c r="BL257" s="370"/>
      <c r="BM257" s="370"/>
      <c r="BN257" s="370"/>
      <c r="BO257" s="370"/>
      <c r="BP257" s="370"/>
      <c r="BQ257" s="370"/>
      <c r="BR257" s="370"/>
      <c r="BS257" s="370"/>
      <c r="BV257" s="508"/>
      <c r="BW257" s="369"/>
      <c r="BX257" s="370"/>
      <c r="BY257" s="370"/>
      <c r="BZ257" s="370"/>
      <c r="CA257" s="370"/>
      <c r="CB257" s="370"/>
      <c r="CC257" s="505"/>
      <c r="CD257" s="505"/>
      <c r="CE257" s="505"/>
      <c r="CF257" s="505"/>
      <c r="CG257" s="505"/>
      <c r="CH257" s="505"/>
      <c r="CI257" s="505"/>
      <c r="CJ257" s="505"/>
      <c r="CK257" s="505"/>
      <c r="CL257" s="505"/>
      <c r="CM257" s="505"/>
    </row>
    <row r="258" customFormat="false" ht="12.75" hidden="false" customHeight="false" outlineLevel="0" collapsed="false">
      <c r="A258" s="500"/>
      <c r="B258" s="500"/>
      <c r="K258" s="363"/>
      <c r="L258" s="501"/>
      <c r="N258" s="502"/>
      <c r="O258" s="502"/>
      <c r="P258" s="371"/>
      <c r="Q258" s="501"/>
      <c r="R258" s="501"/>
      <c r="U258" s="501"/>
      <c r="V258" s="503"/>
      <c r="W258" s="503"/>
      <c r="X258" s="504"/>
      <c r="Y258" s="504"/>
      <c r="Z258" s="504"/>
      <c r="AA258" s="504"/>
      <c r="AB258" s="504"/>
      <c r="AC258" s="504"/>
      <c r="AF258" s="378"/>
      <c r="AG258" s="378"/>
      <c r="AH258" s="378"/>
      <c r="AI258" s="378"/>
      <c r="AJ258" s="378"/>
      <c r="AM258" s="505"/>
      <c r="AN258" s="505"/>
      <c r="AO258" s="505"/>
      <c r="AP258" s="505"/>
      <c r="AR258" s="370"/>
      <c r="AT258" s="370"/>
      <c r="AV258" s="506"/>
      <c r="AW258" s="370"/>
      <c r="AX258" s="370"/>
      <c r="AY258" s="370"/>
      <c r="AZ258" s="370"/>
      <c r="BA258" s="507"/>
      <c r="BB258" s="505"/>
      <c r="BC258" s="505"/>
      <c r="BD258" s="370"/>
      <c r="BE258" s="370"/>
      <c r="BF258" s="370"/>
      <c r="BG258" s="370"/>
      <c r="BH258" s="370"/>
      <c r="BI258" s="370"/>
      <c r="BJ258" s="370"/>
      <c r="BK258" s="370"/>
      <c r="BL258" s="370"/>
      <c r="BM258" s="370"/>
      <c r="BN258" s="370"/>
      <c r="BO258" s="370"/>
      <c r="BP258" s="370"/>
      <c r="BQ258" s="370"/>
      <c r="BR258" s="370"/>
      <c r="BS258" s="370"/>
      <c r="BV258" s="508"/>
      <c r="BW258" s="369"/>
      <c r="BX258" s="370"/>
      <c r="BY258" s="370"/>
      <c r="BZ258" s="370"/>
      <c r="CA258" s="370"/>
      <c r="CB258" s="370"/>
      <c r="CC258" s="505"/>
      <c r="CD258" s="505"/>
      <c r="CE258" s="505"/>
      <c r="CF258" s="505"/>
      <c r="CG258" s="505"/>
      <c r="CH258" s="505"/>
      <c r="CI258" s="505"/>
      <c r="CJ258" s="505"/>
      <c r="CK258" s="505"/>
      <c r="CL258" s="505"/>
      <c r="CM258" s="505"/>
    </row>
    <row r="259" customFormat="false" ht="12.75" hidden="false" customHeight="false" outlineLevel="0" collapsed="false">
      <c r="A259" s="500"/>
      <c r="B259" s="500"/>
      <c r="K259" s="363"/>
      <c r="L259" s="501"/>
      <c r="N259" s="502"/>
      <c r="O259" s="502"/>
      <c r="P259" s="371"/>
      <c r="Q259" s="501"/>
      <c r="R259" s="501"/>
      <c r="U259" s="501"/>
      <c r="V259" s="503"/>
      <c r="W259" s="503"/>
      <c r="X259" s="504"/>
      <c r="Y259" s="504"/>
      <c r="Z259" s="504"/>
      <c r="AA259" s="504"/>
      <c r="AB259" s="504"/>
      <c r="AC259" s="504"/>
      <c r="AF259" s="378"/>
      <c r="AG259" s="378"/>
      <c r="AH259" s="378"/>
      <c r="AI259" s="378"/>
      <c r="AJ259" s="378"/>
      <c r="AM259" s="505"/>
      <c r="AN259" s="505"/>
      <c r="AO259" s="505"/>
      <c r="AP259" s="505"/>
      <c r="AR259" s="370"/>
      <c r="AT259" s="370"/>
      <c r="AV259" s="506"/>
      <c r="AW259" s="370"/>
      <c r="AX259" s="370"/>
      <c r="AY259" s="370"/>
      <c r="AZ259" s="370"/>
      <c r="BA259" s="507"/>
      <c r="BB259" s="505"/>
      <c r="BC259" s="505"/>
      <c r="BD259" s="370"/>
      <c r="BE259" s="370"/>
      <c r="BF259" s="370"/>
      <c r="BG259" s="370"/>
      <c r="BH259" s="370"/>
      <c r="BI259" s="370"/>
      <c r="BJ259" s="370"/>
      <c r="BK259" s="370"/>
      <c r="BL259" s="370"/>
      <c r="BM259" s="370"/>
      <c r="BN259" s="370"/>
      <c r="BO259" s="370"/>
      <c r="BP259" s="370"/>
      <c r="BQ259" s="370"/>
      <c r="BR259" s="370"/>
      <c r="BS259" s="370"/>
      <c r="BV259" s="508"/>
      <c r="BW259" s="369"/>
      <c r="BX259" s="370"/>
      <c r="BY259" s="370"/>
      <c r="BZ259" s="370"/>
      <c r="CA259" s="370"/>
      <c r="CB259" s="370"/>
      <c r="CC259" s="505"/>
      <c r="CD259" s="505"/>
      <c r="CE259" s="505"/>
      <c r="CF259" s="505"/>
      <c r="CG259" s="505"/>
      <c r="CH259" s="505"/>
      <c r="CI259" s="505"/>
      <c r="CJ259" s="505"/>
      <c r="CK259" s="505"/>
      <c r="CL259" s="505"/>
      <c r="CM259" s="505"/>
    </row>
    <row r="260" customFormat="false" ht="12.75" hidden="false" customHeight="false" outlineLevel="0" collapsed="false">
      <c r="A260" s="500"/>
      <c r="B260" s="500"/>
      <c r="K260" s="363"/>
      <c r="L260" s="501"/>
      <c r="N260" s="502"/>
      <c r="O260" s="502"/>
      <c r="P260" s="371"/>
      <c r="Q260" s="501"/>
      <c r="R260" s="501"/>
      <c r="U260" s="501"/>
      <c r="V260" s="503"/>
      <c r="W260" s="503"/>
      <c r="X260" s="504"/>
      <c r="Y260" s="504"/>
      <c r="Z260" s="504"/>
      <c r="AA260" s="504"/>
      <c r="AB260" s="504"/>
      <c r="AC260" s="504"/>
      <c r="AF260" s="378"/>
      <c r="AG260" s="378"/>
      <c r="AH260" s="378"/>
      <c r="AI260" s="378"/>
      <c r="AJ260" s="378"/>
      <c r="AM260" s="505"/>
      <c r="AN260" s="505"/>
      <c r="AO260" s="505"/>
      <c r="AP260" s="505"/>
      <c r="AR260" s="370"/>
      <c r="AT260" s="370"/>
      <c r="AV260" s="506"/>
      <c r="AW260" s="370"/>
      <c r="AX260" s="370"/>
      <c r="AY260" s="370"/>
      <c r="AZ260" s="370"/>
      <c r="BA260" s="507"/>
      <c r="BB260" s="505"/>
      <c r="BC260" s="505"/>
      <c r="BD260" s="370"/>
      <c r="BE260" s="370"/>
      <c r="BF260" s="370"/>
      <c r="BG260" s="370"/>
      <c r="BH260" s="370"/>
      <c r="BI260" s="370"/>
      <c r="BJ260" s="370"/>
      <c r="BK260" s="370"/>
      <c r="BL260" s="370"/>
      <c r="BM260" s="370"/>
      <c r="BN260" s="370"/>
      <c r="BO260" s="370"/>
      <c r="BP260" s="370"/>
      <c r="BQ260" s="370"/>
      <c r="BR260" s="370"/>
      <c r="BS260" s="370"/>
      <c r="BV260" s="508"/>
      <c r="BW260" s="369"/>
      <c r="BX260" s="370"/>
      <c r="BY260" s="370"/>
      <c r="BZ260" s="370"/>
      <c r="CA260" s="370"/>
      <c r="CB260" s="370"/>
      <c r="CC260" s="505"/>
      <c r="CD260" s="505"/>
      <c r="CE260" s="505"/>
      <c r="CF260" s="505"/>
      <c r="CG260" s="505"/>
      <c r="CH260" s="505"/>
      <c r="CI260" s="505"/>
      <c r="CJ260" s="505"/>
      <c r="CK260" s="505"/>
      <c r="CL260" s="505"/>
      <c r="CM260" s="505"/>
    </row>
    <row r="261" customFormat="false" ht="12.75" hidden="false" customHeight="false" outlineLevel="0" collapsed="false">
      <c r="A261" s="500"/>
      <c r="B261" s="500"/>
      <c r="K261" s="363"/>
      <c r="L261" s="501"/>
      <c r="N261" s="502"/>
      <c r="O261" s="502"/>
      <c r="P261" s="371"/>
      <c r="Q261" s="501"/>
      <c r="R261" s="501"/>
      <c r="U261" s="501"/>
      <c r="V261" s="503"/>
      <c r="W261" s="503"/>
      <c r="X261" s="504"/>
      <c r="Y261" s="504"/>
      <c r="Z261" s="504"/>
      <c r="AA261" s="504"/>
      <c r="AB261" s="504"/>
      <c r="AC261" s="504"/>
      <c r="AF261" s="378"/>
      <c r="AG261" s="378"/>
      <c r="AH261" s="378"/>
      <c r="AI261" s="378"/>
      <c r="AJ261" s="378"/>
      <c r="AM261" s="505"/>
      <c r="AN261" s="505"/>
      <c r="AO261" s="505"/>
      <c r="AP261" s="505"/>
      <c r="AR261" s="370"/>
      <c r="AT261" s="370"/>
      <c r="AV261" s="506"/>
      <c r="AW261" s="370"/>
      <c r="AX261" s="370"/>
      <c r="AY261" s="370"/>
      <c r="AZ261" s="370"/>
      <c r="BA261" s="507"/>
      <c r="BB261" s="505"/>
      <c r="BC261" s="505"/>
      <c r="BD261" s="370"/>
      <c r="BE261" s="370"/>
      <c r="BF261" s="370"/>
      <c r="BG261" s="370"/>
      <c r="BH261" s="370"/>
      <c r="BI261" s="370"/>
      <c r="BJ261" s="370"/>
      <c r="BK261" s="370"/>
      <c r="BL261" s="370"/>
      <c r="BM261" s="370"/>
      <c r="BN261" s="370"/>
      <c r="BO261" s="370"/>
      <c r="BP261" s="370"/>
      <c r="BQ261" s="370"/>
      <c r="BR261" s="370"/>
      <c r="BS261" s="370"/>
      <c r="BV261" s="508"/>
      <c r="BW261" s="369"/>
      <c r="BX261" s="370"/>
      <c r="BY261" s="370"/>
      <c r="BZ261" s="370"/>
      <c r="CA261" s="370"/>
      <c r="CB261" s="370"/>
      <c r="CC261" s="505"/>
      <c r="CD261" s="505"/>
      <c r="CE261" s="505"/>
      <c r="CF261" s="505"/>
      <c r="CG261" s="505"/>
      <c r="CH261" s="505"/>
      <c r="CI261" s="505"/>
      <c r="CJ261" s="505"/>
      <c r="CK261" s="505"/>
      <c r="CL261" s="505"/>
      <c r="CM261" s="505"/>
    </row>
    <row r="262" customFormat="false" ht="12.75" hidden="false" customHeight="false" outlineLevel="0" collapsed="false">
      <c r="A262" s="500"/>
      <c r="B262" s="500"/>
    </row>
    <row r="263" customFormat="false" ht="12.75" hidden="false" customHeight="false" outlineLevel="0" collapsed="false">
      <c r="A263" s="500"/>
      <c r="B263" s="500"/>
    </row>
    <row r="264" customFormat="false" ht="12.75" hidden="false" customHeight="false" outlineLevel="0" collapsed="false">
      <c r="A264" s="500"/>
      <c r="B264" s="500"/>
    </row>
    <row r="265" customFormat="false" ht="12.75" hidden="false" customHeight="false" outlineLevel="0" collapsed="false">
      <c r="A265" s="500"/>
      <c r="B265" s="500"/>
    </row>
    <row r="266" customFormat="false" ht="12.75" hidden="false" customHeight="false" outlineLevel="0" collapsed="false">
      <c r="A266" s="500"/>
      <c r="B266" s="500"/>
    </row>
    <row r="267" customFormat="false" ht="12.75" hidden="false" customHeight="false" outlineLevel="0" collapsed="false">
      <c r="A267" s="500"/>
      <c r="B267" s="500"/>
    </row>
    <row r="268" customFormat="false" ht="12.75" hidden="false" customHeight="false" outlineLevel="0" collapsed="false">
      <c r="A268" s="500"/>
      <c r="B268" s="500"/>
    </row>
    <row r="269" customFormat="false" ht="12.75" hidden="false" customHeight="false" outlineLevel="0" collapsed="false">
      <c r="A269" s="500"/>
      <c r="B269" s="500"/>
    </row>
    <row r="270" customFormat="false" ht="12.75" hidden="false" customHeight="false" outlineLevel="0" collapsed="false">
      <c r="A270" s="500"/>
      <c r="B270" s="500"/>
    </row>
  </sheetData>
  <mergeCells count="274">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96"/>
  <sheetViews>
    <sheetView showFormulas="false" showGridLines="true" showRowColHeaders="true" showZeros="true" rightToLeft="false" tabSelected="false" showOutlineSymbols="true" defaultGridColor="true" view="normal" topLeftCell="L14" colorId="64" zoomScale="80" zoomScaleNormal="80" zoomScalePageLayoutView="100" workbookViewId="0">
      <selection pane="topLeft" activeCell="CI21" activeCellId="0" sqref="CI21:CI89"/>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51</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577443.22</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456237.04</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121206.18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1353.56</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-626.52</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SUMPRODUCT(L22:L33,F22:F33)</f>
        <v>#VALUE!</v>
      </c>
      <c r="L10" s="414" t="s">
        <v>478</v>
      </c>
      <c r="M10" s="414"/>
      <c r="N10" s="400" t="e">
        <f aca="true">-SUMPRODUCT(INDIRECT(CONCATENATE(AV10,":",AW10)),INDIRECT(CONCATENATE($AX$7,":",$AY$7)),INDIRECT(CONCATENATE($AV$3,":",$AW$3)))</f>
        <v>#VALUE!</v>
      </c>
      <c r="O10" s="400" t="n">
        <v>-116283.72</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SUMPRODUCT(K22:K33,F22:F33)</f>
        <v>#VALUE!</v>
      </c>
      <c r="L11" s="425" t="s">
        <v>481</v>
      </c>
      <c r="M11" s="425"/>
      <c r="N11" s="426" t="e">
        <f aca="true">-SUMPRODUCT(INDIRECT(CONCATENATE(AV11,":",AW11)),INDIRECT(CONCATENATE($AV$2,":",$AW$2)),INDIRECT(CONCATENATE($AV$3,":",$AW$3)),INDIRECT(CONCATENATE(AX3,":",AY3)))</f>
        <v>#VALUE!</v>
      </c>
      <c r="O11" s="427" t="n">
        <v>-47806.04</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-1980.26</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0.23</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57.34</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0.16</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-290.28</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58.35</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577435.28</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7.94</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2.91362467866324</v>
      </c>
      <c r="BW22" s="369" t="n">
        <v>3.196</v>
      </c>
      <c r="BX22" s="370" t="n">
        <v>0.952435996987834</v>
      </c>
      <c r="BY22" s="370" t="n">
        <v>0.952435996987834</v>
      </c>
      <c r="BZ22" s="370" t="n">
        <v>0.995516733028398</v>
      </c>
      <c r="CA22" s="370" t="n">
        <v>0.0187659081571607</v>
      </c>
      <c r="CB22" s="370" t="n">
        <v>0.998364899395796</v>
      </c>
      <c r="CC22" s="505" t="n">
        <v>-0.01</v>
      </c>
      <c r="CD22" s="505" t="n">
        <v>-0.0025</v>
      </c>
      <c r="CE22" s="505" t="n">
        <v>0.35</v>
      </c>
      <c r="CF22" s="505" t="n">
        <v>0</v>
      </c>
      <c r="CG22" s="505" t="n">
        <v>0.0384</v>
      </c>
      <c r="CH22" s="505" t="n">
        <v>11.6152767490405</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2.97737789203085</v>
      </c>
      <c r="BW23" s="369" t="n">
        <v>3.258</v>
      </c>
      <c r="BX23" s="370" t="n">
        <v>0.906812181950228</v>
      </c>
      <c r="BY23" s="370" t="n">
        <v>0.906812181950228</v>
      </c>
      <c r="BZ23" s="370" t="n">
        <v>0.996461468562414</v>
      </c>
      <c r="CA23" s="370" t="n">
        <v>0.0193261872820063</v>
      </c>
      <c r="CB23" s="370" t="n">
        <v>0.996688029844541</v>
      </c>
      <c r="CC23" s="505" t="n">
        <v>-0.01</v>
      </c>
      <c r="CD23" s="505" t="n">
        <v>-0.0025</v>
      </c>
      <c r="CE23" s="505" t="n">
        <v>0.35</v>
      </c>
      <c r="CF23" s="505" t="n">
        <v>0</v>
      </c>
      <c r="CG23" s="505" t="n">
        <v>0.0384</v>
      </c>
      <c r="CH23" s="505" t="n">
        <v>10.4735964928184</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2.97120822622108</v>
      </c>
      <c r="BW24" s="369" t="n">
        <v>3.302</v>
      </c>
      <c r="BX24" s="370" t="n">
        <v>0.79</v>
      </c>
      <c r="BY24" s="370" t="n">
        <v>0.79</v>
      </c>
      <c r="BZ24" s="370" t="n">
        <v>0.997918918918919</v>
      </c>
      <c r="CA24" s="370" t="n">
        <v>0.0192731753639035</v>
      </c>
      <c r="CB24" s="370" t="n">
        <v>0.99523258517239</v>
      </c>
      <c r="CC24" s="505" t="n">
        <v>-0.01</v>
      </c>
      <c r="CD24" s="505" t="n">
        <v>-0.0025</v>
      </c>
      <c r="CE24" s="505" t="n">
        <v>0.4</v>
      </c>
      <c r="CF24" s="505" t="n">
        <v>0</v>
      </c>
      <c r="CG24" s="505" t="n">
        <v>0.0384</v>
      </c>
      <c r="CH24" s="505" t="n">
        <v>11.5788344656711</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2.9439588688946</v>
      </c>
      <c r="BW25" s="369" t="n">
        <v>3.448</v>
      </c>
      <c r="BX25" s="370" t="n">
        <v>0.600814487825059</v>
      </c>
      <c r="BY25" s="370" t="n">
        <v>0.600814487825059</v>
      </c>
      <c r="BZ25" s="370" t="n">
        <v>1</v>
      </c>
      <c r="CA25" s="370" t="n">
        <v>0.0194226401196236</v>
      </c>
      <c r="CB25" s="370" t="n">
        <v>0.993564587749983</v>
      </c>
      <c r="CC25" s="505" t="n">
        <v>0.01</v>
      </c>
      <c r="CD25" s="505" t="n">
        <v>0.005</v>
      </c>
      <c r="CE25" s="505" t="n">
        <v>0.6</v>
      </c>
      <c r="CF25" s="505" t="n">
        <v>0</v>
      </c>
      <c r="CG25" s="505" t="n">
        <v>0.0384</v>
      </c>
      <c r="CH25" s="505" t="n">
        <v>11.1865436934771</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2.99331619537275</v>
      </c>
      <c r="BW26" s="369" t="n">
        <v>3.646</v>
      </c>
      <c r="BX26" s="370" t="n">
        <v>0.57775293402001</v>
      </c>
      <c r="BY26" s="370" t="n">
        <v>0.57775293402001</v>
      </c>
      <c r="BZ26" s="370" t="n">
        <v>1</v>
      </c>
      <c r="CA26" s="370" t="n">
        <v>0.019712159578257</v>
      </c>
      <c r="CB26" s="370" t="n">
        <v>0.991870109542169</v>
      </c>
      <c r="CC26" s="505" t="n">
        <v>0.01</v>
      </c>
      <c r="CD26" s="505" t="n">
        <v>0.005</v>
      </c>
      <c r="CE26" s="505" t="n">
        <v>0.75</v>
      </c>
      <c r="CF26" s="505" t="n">
        <v>0</v>
      </c>
      <c r="CG26" s="505" t="n">
        <v>0.0384</v>
      </c>
      <c r="CH26" s="505" t="n">
        <v>11.5397144154465</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3.04730077120823</v>
      </c>
      <c r="BW27" s="369" t="n">
        <v>3.796</v>
      </c>
      <c r="BX27" s="370" t="n">
        <v>0.550221330219268</v>
      </c>
      <c r="BY27" s="370" t="n">
        <v>0.550221330219268</v>
      </c>
      <c r="BZ27" s="370" t="n">
        <v>1</v>
      </c>
      <c r="CA27" s="370" t="n">
        <v>0.0200113297153544</v>
      </c>
      <c r="CB27" s="370" t="n">
        <v>0.990073216017117</v>
      </c>
      <c r="CC27" s="505" t="n">
        <v>0.0125</v>
      </c>
      <c r="CD27" s="505" t="n">
        <v>0.005</v>
      </c>
      <c r="CE27" s="505" t="n">
        <v>0.85</v>
      </c>
      <c r="CF27" s="505" t="n">
        <v>0</v>
      </c>
      <c r="CG27" s="505" t="n">
        <v>0.0384</v>
      </c>
      <c r="CH27" s="505" t="n">
        <v>11.1472343391367</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3.08637532133676</v>
      </c>
      <c r="BW28" s="369" t="n">
        <v>4.034</v>
      </c>
      <c r="BX28" s="370" t="n">
        <v>0.549290255131369</v>
      </c>
      <c r="BY28" s="370" t="n">
        <v>0.549290255131369</v>
      </c>
      <c r="BZ28" s="370" t="n">
        <v>1</v>
      </c>
      <c r="CA28" s="370" t="n">
        <v>0.0204286298094831</v>
      </c>
      <c r="CB28" s="370" t="n">
        <v>0.988217193800728</v>
      </c>
      <c r="CC28" s="505" t="n">
        <v>0.0125</v>
      </c>
      <c r="CD28" s="505" t="n">
        <v>0.005</v>
      </c>
      <c r="CE28" s="505" t="n">
        <v>1.05</v>
      </c>
      <c r="CF28" s="505" t="n">
        <v>0</v>
      </c>
      <c r="CG28" s="505" t="n">
        <v>0.0384</v>
      </c>
      <c r="CH28" s="505" t="n">
        <v>11.4972152978358</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3.12956298200514</v>
      </c>
      <c r="BW29" s="369" t="n">
        <v>4.076</v>
      </c>
      <c r="BX29" s="370" t="n">
        <v>0.549894268674422</v>
      </c>
      <c r="BY29" s="370" t="n">
        <v>0.549894268674422</v>
      </c>
      <c r="BZ29" s="370" t="n">
        <v>1</v>
      </c>
      <c r="CA29" s="370" t="n">
        <v>0.021065008234304</v>
      </c>
      <c r="CB29" s="370" t="n">
        <v>0.986098940667972</v>
      </c>
      <c r="CC29" s="505" t="n">
        <v>0.0125</v>
      </c>
      <c r="CD29" s="505" t="n">
        <v>0.005</v>
      </c>
      <c r="CE29" s="505" t="n">
        <v>1.05</v>
      </c>
      <c r="CF29" s="505" t="n">
        <v>0</v>
      </c>
      <c r="CG29" s="505" t="n">
        <v>0.0384</v>
      </c>
      <c r="CH29" s="505" t="n">
        <v>11.4725709054134</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3.11619537275064</v>
      </c>
      <c r="BW30" s="369" t="n">
        <v>3.768</v>
      </c>
      <c r="BX30" s="370" t="n">
        <v>0.548527673591454</v>
      </c>
      <c r="BY30" s="370" t="n">
        <v>0.548527673591454</v>
      </c>
      <c r="BZ30" s="370" t="n">
        <v>1</v>
      </c>
      <c r="CA30" s="370" t="n">
        <v>0.0217013867962765</v>
      </c>
      <c r="CB30" s="370" t="n">
        <v>0.983880178541275</v>
      </c>
      <c r="CC30" s="505" t="n">
        <v>0.0075</v>
      </c>
      <c r="CD30" s="505" t="n">
        <v>0.005</v>
      </c>
      <c r="CE30" s="505" t="n">
        <v>0.75</v>
      </c>
      <c r="CF30" s="505" t="n">
        <v>0</v>
      </c>
      <c r="CG30" s="505" t="n">
        <v>0.0384</v>
      </c>
      <c r="CH30" s="505" t="n">
        <v>11.0775069301962</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3.12956298200514</v>
      </c>
      <c r="BW31" s="369" t="n">
        <v>3.481</v>
      </c>
      <c r="BX31" s="370" t="n">
        <v>0.5511830669082</v>
      </c>
      <c r="BY31" s="370" t="n">
        <v>0.5511830669082</v>
      </c>
      <c r="BZ31" s="370" t="n">
        <v>1</v>
      </c>
      <c r="CA31" s="370" t="n">
        <v>0.022410164045374</v>
      </c>
      <c r="CB31" s="370" t="n">
        <v>0.981562668478235</v>
      </c>
      <c r="CC31" s="505" t="n">
        <v>0.0075</v>
      </c>
      <c r="CD31" s="505" t="n">
        <v>0.005</v>
      </c>
      <c r="CE31" s="505" t="n">
        <v>0.45</v>
      </c>
      <c r="CF31" s="505" t="n">
        <v>0</v>
      </c>
      <c r="CG31" s="505" t="n">
        <v>0.0384</v>
      </c>
      <c r="CH31" s="505" t="n">
        <v>11.4197945538763</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3.3120822622108</v>
      </c>
      <c r="BW32" s="369" t="n">
        <v>3.661</v>
      </c>
      <c r="BX32" s="370" t="n">
        <v>0.557476031074478</v>
      </c>
      <c r="BY32" s="370" t="n">
        <v>0.557476031074478</v>
      </c>
      <c r="BZ32" s="370" t="n">
        <v>1</v>
      </c>
      <c r="CA32" s="370" t="n">
        <v>0.0232740649677528</v>
      </c>
      <c r="CB32" s="370" t="n">
        <v>0.97893835036076</v>
      </c>
      <c r="CC32" s="505" t="n">
        <v>0.005</v>
      </c>
      <c r="CD32" s="505" t="n">
        <v>0.005</v>
      </c>
      <c r="CE32" s="505" t="n">
        <v>0.45</v>
      </c>
      <c r="CF32" s="505" t="n">
        <v>0</v>
      </c>
      <c r="CG32" s="505" t="n">
        <v>0.0384</v>
      </c>
      <c r="CH32" s="505" t="n">
        <v>11.0218668867118</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3.47660668380463</v>
      </c>
      <c r="BW33" s="369" t="n">
        <v>3.771</v>
      </c>
      <c r="BX33" s="370" t="n">
        <v>0.570790000341453</v>
      </c>
      <c r="BY33" s="370" t="n">
        <v>0.570790000341453</v>
      </c>
      <c r="BZ33" s="370" t="n">
        <v>1</v>
      </c>
      <c r="CA33" s="370" t="n">
        <v>0.024110098358836</v>
      </c>
      <c r="CB33" s="370" t="n">
        <v>0.976270925999808</v>
      </c>
      <c r="CC33" s="505" t="n">
        <v>0.005</v>
      </c>
      <c r="CD33" s="505" t="n">
        <v>0.005</v>
      </c>
      <c r="CE33" s="505" t="n">
        <v>0.4</v>
      </c>
      <c r="CF33" s="505" t="n">
        <v>0</v>
      </c>
      <c r="CG33" s="505" t="n">
        <v>0.0384</v>
      </c>
      <c r="CH33" s="505" t="n">
        <v>11.3582288343596</v>
      </c>
      <c r="CI33" s="505" t="n">
        <v>3.371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3.55372750642674</v>
      </c>
      <c r="BW34" s="369" t="n">
        <v>3.796</v>
      </c>
      <c r="BX34" s="370" t="n">
        <v>0.56836354878586</v>
      </c>
      <c r="BY34" s="370" t="n">
        <v>0.56836354878586</v>
      </c>
      <c r="BZ34" s="370" t="n">
        <v>1</v>
      </c>
      <c r="CA34" s="370" t="n">
        <v>0.0250384261928196</v>
      </c>
      <c r="CB34" s="370" t="n">
        <v>0.97331647833328</v>
      </c>
      <c r="CC34" s="505" t="n">
        <v>0.005</v>
      </c>
      <c r="CD34" s="505" t="n">
        <v>0.005</v>
      </c>
      <c r="CE34" s="505" t="n">
        <v>0.35</v>
      </c>
      <c r="CF34" s="505" t="n">
        <v>0</v>
      </c>
      <c r="CG34" s="505" t="n">
        <v>0.0374</v>
      </c>
      <c r="CH34" s="505" t="n">
        <v>11.3238559038729</v>
      </c>
      <c r="CI34" s="505" t="n">
        <v>3.446</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3.47660668380463</v>
      </c>
      <c r="BW35" s="369" t="n">
        <v>3.721</v>
      </c>
      <c r="BX35" s="370" t="n">
        <v>0.554353390063384</v>
      </c>
      <c r="BY35" s="370" t="n">
        <v>0.554353390063384</v>
      </c>
      <c r="BZ35" s="370" t="n">
        <v>1</v>
      </c>
      <c r="CA35" s="370" t="n">
        <v>0.0260449864197474</v>
      </c>
      <c r="CB35" s="370" t="n">
        <v>0.970132608451962</v>
      </c>
      <c r="CC35" s="505" t="n">
        <v>0.005</v>
      </c>
      <c r="CD35" s="505" t="n">
        <v>0.005</v>
      </c>
      <c r="CE35" s="505" t="n">
        <v>0.35</v>
      </c>
      <c r="CF35" s="505" t="n">
        <v>0</v>
      </c>
      <c r="CG35" s="505" t="n">
        <v>0.0374</v>
      </c>
      <c r="CH35" s="505" t="n">
        <v>10.1945415026566</v>
      </c>
      <c r="CI35" s="505" t="n">
        <v>3.371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3.3840616966581</v>
      </c>
      <c r="BW36" s="369" t="n">
        <v>3.681</v>
      </c>
      <c r="BX36" s="370" t="n">
        <v>0.50293567145062</v>
      </c>
      <c r="BY36" s="370" t="n">
        <v>0.50293567145062</v>
      </c>
      <c r="BZ36" s="370" t="n">
        <v>1</v>
      </c>
      <c r="CA36" s="370" t="n">
        <v>0.0269541378866576</v>
      </c>
      <c r="CB36" s="370" t="n">
        <v>0.967126070368611</v>
      </c>
      <c r="CC36" s="505" t="n">
        <v>0.005</v>
      </c>
      <c r="CD36" s="505" t="n">
        <v>0.005</v>
      </c>
      <c r="CE36" s="505" t="n">
        <v>0.4</v>
      </c>
      <c r="CF36" s="505" t="n">
        <v>0</v>
      </c>
      <c r="CG36" s="505" t="n">
        <v>0.0374</v>
      </c>
      <c r="CH36" s="505" t="n">
        <v>11.2518348404895</v>
      </c>
      <c r="CI36" s="505" t="n">
        <v>3.281</v>
      </c>
      <c r="CJ36" s="505"/>
      <c r="CK36" s="505"/>
      <c r="CL36" s="505"/>
      <c r="CM36" s="505"/>
    </row>
    <row r="37" customFormat="false" ht="12.75" hidden="false" customHeight="false" outlineLevel="0" collapsed="false">
      <c r="A37" s="500"/>
      <c r="B37" s="500"/>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3.22982005141388</v>
      </c>
      <c r="BW37" s="369" t="n">
        <v>3.726</v>
      </c>
      <c r="BX37" s="370" t="n">
        <v>0.388875549675273</v>
      </c>
      <c r="BY37" s="370" t="n">
        <v>0.388875549675273</v>
      </c>
      <c r="BZ37" s="370" t="n">
        <v>1</v>
      </c>
      <c r="CA37" s="370" t="n">
        <v>0.0279745964320606</v>
      </c>
      <c r="CB37" s="370" t="n">
        <v>0.963636615990319</v>
      </c>
      <c r="CC37" s="505" t="n">
        <v>0.01</v>
      </c>
      <c r="CD37" s="505" t="n">
        <v>0.005</v>
      </c>
      <c r="CE37" s="505" t="n">
        <v>0.6</v>
      </c>
      <c r="CF37" s="505" t="n">
        <v>0</v>
      </c>
      <c r="CG37" s="505" t="n">
        <v>0.0374</v>
      </c>
      <c r="CH37" s="505" t="n">
        <v>10.849584659435</v>
      </c>
      <c r="CI37" s="505" t="n">
        <v>3.126</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3.23084832904884</v>
      </c>
      <c r="BW38" s="369" t="n">
        <v>3.877</v>
      </c>
      <c r="BX38" s="370" t="n">
        <v>0.376159329765107</v>
      </c>
      <c r="BY38" s="370" t="n">
        <v>0.376159329765107</v>
      </c>
      <c r="BZ38" s="370" t="n">
        <v>1</v>
      </c>
      <c r="CA38" s="370" t="n">
        <v>0.0289631800763801</v>
      </c>
      <c r="CB38" s="370" t="n">
        <v>0.960114752892753</v>
      </c>
      <c r="CC38" s="505" t="n">
        <v>0.01</v>
      </c>
      <c r="CD38" s="505" t="n">
        <v>0.005</v>
      </c>
      <c r="CE38" s="505" t="n">
        <v>0.75</v>
      </c>
      <c r="CF38" s="505" t="n">
        <v>0</v>
      </c>
      <c r="CG38" s="505" t="n">
        <v>0.0374</v>
      </c>
      <c r="CH38" s="505" t="n">
        <v>11.1702630695802</v>
      </c>
      <c r="CI38" s="505" t="n">
        <v>3.127</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3.2694087403599</v>
      </c>
      <c r="BW39" s="369" t="n">
        <v>4.012</v>
      </c>
      <c r="BX39" s="370" t="n">
        <v>0.375845949287242</v>
      </c>
      <c r="BY39" s="370" t="n">
        <v>0.375845949287242</v>
      </c>
      <c r="BZ39" s="370" t="n">
        <v>1</v>
      </c>
      <c r="CA39" s="370" t="n">
        <v>0.0299847168551968</v>
      </c>
      <c r="CB39" s="370" t="n">
        <v>0.956328852591432</v>
      </c>
      <c r="CC39" s="505" t="n">
        <v>0.0125</v>
      </c>
      <c r="CD39" s="505" t="n">
        <v>0.005</v>
      </c>
      <c r="CE39" s="505" t="n">
        <v>0.85</v>
      </c>
      <c r="CF39" s="505" t="n">
        <v>0</v>
      </c>
      <c r="CG39" s="505" t="n">
        <v>0.0374</v>
      </c>
      <c r="CH39" s="505" t="n">
        <v>10.7673065513269</v>
      </c>
      <c r="CI39" s="505" t="n">
        <v>3.162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3.31259640102828</v>
      </c>
      <c r="BW40" s="369" t="n">
        <v>4.254</v>
      </c>
      <c r="BX40" s="370" t="n">
        <v>0.377568797335415</v>
      </c>
      <c r="BY40" s="370" t="n">
        <v>0.377568797335415</v>
      </c>
      <c r="BZ40" s="370" t="n">
        <v>1</v>
      </c>
      <c r="CA40" s="370" t="n">
        <v>0.0309652793004798</v>
      </c>
      <c r="CB40" s="370" t="n">
        <v>0.95253693379797</v>
      </c>
      <c r="CC40" s="505" t="n">
        <v>0.0125</v>
      </c>
      <c r="CD40" s="505" t="n">
        <v>0.005</v>
      </c>
      <c r="CE40" s="505" t="n">
        <v>1.05</v>
      </c>
      <c r="CF40" s="505" t="n">
        <v>0</v>
      </c>
      <c r="CG40" s="505" t="n">
        <v>0.0374</v>
      </c>
      <c r="CH40" s="505" t="n">
        <v>11.0821004488857</v>
      </c>
      <c r="CI40" s="505" t="n">
        <v>3.204</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3.35578406169666</v>
      </c>
      <c r="BW41" s="369" t="n">
        <v>4.296</v>
      </c>
      <c r="BX41" s="370" t="n">
        <v>0.37917572731747</v>
      </c>
      <c r="BY41" s="370" t="n">
        <v>0.37917572731747</v>
      </c>
      <c r="BZ41" s="370" t="n">
        <v>1</v>
      </c>
      <c r="CA41" s="370" t="n">
        <v>0.0319670833322725</v>
      </c>
      <c r="CB41" s="370" t="n">
        <v>0.948494893378275</v>
      </c>
      <c r="CC41" s="505" t="n">
        <v>0.0125</v>
      </c>
      <c r="CD41" s="505" t="n">
        <v>0.005</v>
      </c>
      <c r="CE41" s="505" t="n">
        <v>1.05</v>
      </c>
      <c r="CF41" s="505" t="n">
        <v>0</v>
      </c>
      <c r="CG41" s="505" t="n">
        <v>0.0374</v>
      </c>
      <c r="CH41" s="505" t="n">
        <v>11.0350741380309</v>
      </c>
      <c r="CI41" s="505" t="n">
        <v>3.246</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3.34550128534704</v>
      </c>
      <c r="BW42" s="369" t="n">
        <v>3.991</v>
      </c>
      <c r="BX42" s="370" t="n">
        <v>0.376255879342064</v>
      </c>
      <c r="BY42" s="370" t="n">
        <v>0.376255879342064</v>
      </c>
      <c r="BZ42" s="370" t="n">
        <v>1</v>
      </c>
      <c r="CA42" s="370" t="n">
        <v>0.032968887702129</v>
      </c>
      <c r="CB42" s="370" t="n">
        <v>0.944312700032904</v>
      </c>
      <c r="CC42" s="505" t="n">
        <v>0.0075</v>
      </c>
      <c r="CD42" s="505" t="n">
        <v>0.005</v>
      </c>
      <c r="CE42" s="505" t="n">
        <v>0.75</v>
      </c>
      <c r="CF42" s="505" t="n">
        <v>0</v>
      </c>
      <c r="CG42" s="505" t="n">
        <v>0.0374</v>
      </c>
      <c r="CH42" s="505" t="n">
        <v>10.6320166896705</v>
      </c>
      <c r="CI42" s="505" t="n">
        <v>3.241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3.37223650385604</v>
      </c>
      <c r="BW43" s="369" t="n">
        <v>3.717</v>
      </c>
      <c r="BX43" s="370" t="n">
        <v>0.38041410598552</v>
      </c>
      <c r="BY43" s="370" t="n">
        <v>0.38041410598552</v>
      </c>
      <c r="BZ43" s="370" t="n">
        <v>1</v>
      </c>
      <c r="CA43" s="370" t="n">
        <v>0.0339067018220711</v>
      </c>
      <c r="CB43" s="370" t="n">
        <v>0.940187685777986</v>
      </c>
      <c r="CC43" s="505" t="n">
        <v>0.0075</v>
      </c>
      <c r="CD43" s="505" t="n">
        <v>0.005</v>
      </c>
      <c r="CE43" s="505" t="n">
        <v>0.45</v>
      </c>
      <c r="CF43" s="505" t="n">
        <v>0</v>
      </c>
      <c r="CG43" s="505" t="n">
        <v>0.0374</v>
      </c>
      <c r="CH43" s="505" t="n">
        <v>10.9384255926468</v>
      </c>
      <c r="CI43" s="505" t="n">
        <v>3.267</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3.51105398457584</v>
      </c>
      <c r="BW44" s="369" t="n">
        <v>3.852</v>
      </c>
      <c r="BX44" s="370" t="n">
        <v>0.385609740274895</v>
      </c>
      <c r="BY44" s="370" t="n">
        <v>0.385609740274895</v>
      </c>
      <c r="BZ44" s="370" t="n">
        <v>1</v>
      </c>
      <c r="CA44" s="370" t="n">
        <v>0.0348361539671314</v>
      </c>
      <c r="CB44" s="370" t="n">
        <v>0.93586587426758</v>
      </c>
      <c r="CC44" s="505" t="n">
        <v>0.005</v>
      </c>
      <c r="CD44" s="505" t="n">
        <v>0.0075</v>
      </c>
      <c r="CE44" s="505" t="n">
        <v>0.45</v>
      </c>
      <c r="CF44" s="505" t="n">
        <v>0</v>
      </c>
      <c r="CG44" s="505" t="n">
        <v>0.0374</v>
      </c>
      <c r="CH44" s="505" t="n">
        <v>10.5369138783787</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3.64987146529563</v>
      </c>
      <c r="BW45" s="369" t="n">
        <v>3.937</v>
      </c>
      <c r="BX45" s="370" t="n">
        <v>0.395540413143884</v>
      </c>
      <c r="BY45" s="370" t="n">
        <v>0.395540413143884</v>
      </c>
      <c r="BZ45" s="370" t="n">
        <v>1</v>
      </c>
      <c r="CA45" s="370" t="n">
        <v>0.0357356240616102</v>
      </c>
      <c r="CB45" s="370" t="n">
        <v>0.931565547567078</v>
      </c>
      <c r="CC45" s="505" t="n">
        <v>0.005</v>
      </c>
      <c r="CD45" s="505" t="n">
        <v>0.0075</v>
      </c>
      <c r="CE45" s="505" t="n">
        <v>0.4</v>
      </c>
      <c r="CF45" s="505" t="n">
        <v>0</v>
      </c>
      <c r="CG45" s="505" t="n">
        <v>0.0374</v>
      </c>
      <c r="CH45" s="505" t="n">
        <v>10.8381130500597</v>
      </c>
      <c r="CI45" s="505" t="n">
        <v>3.537</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3.71156812339332</v>
      </c>
      <c r="BW46" s="369" t="n">
        <v>3.947</v>
      </c>
      <c r="BX46" s="370" t="n">
        <v>0.392965652353069</v>
      </c>
      <c r="BY46" s="370" t="n">
        <v>0.392965652353069</v>
      </c>
      <c r="BZ46" s="370" t="n">
        <v>1</v>
      </c>
      <c r="CA46" s="370" t="n">
        <v>0.0366293995889575</v>
      </c>
      <c r="CB46" s="370" t="n">
        <v>0.927069774742957</v>
      </c>
      <c r="CC46" s="505" t="n">
        <v>0.005</v>
      </c>
      <c r="CD46" s="505" t="n">
        <v>0.0075</v>
      </c>
      <c r="CE46" s="505" t="n">
        <v>0.35</v>
      </c>
      <c r="CF46" s="505" t="n">
        <v>0</v>
      </c>
      <c r="CG46" s="505" t="n">
        <v>0.0334</v>
      </c>
      <c r="CH46" s="505" t="n">
        <v>10.785807880292</v>
      </c>
      <c r="CI46" s="505" t="n">
        <v>3.597</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3.62416452442159</v>
      </c>
      <c r="BW47" s="369" t="n">
        <v>3.862</v>
      </c>
      <c r="BX47" s="370" t="n">
        <v>0.390732432296569</v>
      </c>
      <c r="BY47" s="370" t="n">
        <v>0.390732432296569</v>
      </c>
      <c r="BZ47" s="370" t="n">
        <v>1</v>
      </c>
      <c r="CA47" s="370" t="n">
        <v>0.0374851197051385</v>
      </c>
      <c r="CB47" s="370" t="n">
        <v>0.922533811762705</v>
      </c>
      <c r="CC47" s="505" t="n">
        <v>0.005</v>
      </c>
      <c r="CD47" s="505" t="n">
        <v>0.0075</v>
      </c>
      <c r="CE47" s="505" t="n">
        <v>0.35</v>
      </c>
      <c r="CF47" s="505" t="n">
        <v>0</v>
      </c>
      <c r="CG47" s="505" t="n">
        <v>0.0334</v>
      </c>
      <c r="CH47" s="505" t="n">
        <v>10.0405812470818</v>
      </c>
      <c r="CI47" s="505" t="n">
        <v>3.512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3.49048843187661</v>
      </c>
      <c r="BW48" s="369" t="n">
        <v>3.782</v>
      </c>
      <c r="BX48" s="370" t="n">
        <v>0.366388286442151</v>
      </c>
      <c r="BY48" s="370" t="n">
        <v>0.366388286442151</v>
      </c>
      <c r="BZ48" s="370" t="n">
        <v>1</v>
      </c>
      <c r="CA48" s="370" t="n">
        <v>0.0382856322945879</v>
      </c>
      <c r="CB48" s="370" t="n">
        <v>0.918192690834127</v>
      </c>
      <c r="CC48" s="505" t="n">
        <v>0.005</v>
      </c>
      <c r="CD48" s="505" t="n">
        <v>0.0075</v>
      </c>
      <c r="CE48" s="505" t="n">
        <v>0.4</v>
      </c>
      <c r="CF48" s="505" t="n">
        <v>0</v>
      </c>
      <c r="CG48" s="505" t="n">
        <v>0.0334</v>
      </c>
      <c r="CH48" s="505" t="n">
        <v>10.6825292229715</v>
      </c>
      <c r="CI48" s="505" t="n">
        <v>3.382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3.30282776349614</v>
      </c>
      <c r="BW49" s="369" t="n">
        <v>3.797</v>
      </c>
      <c r="BX49" s="370" t="n">
        <v>0.331357120013448</v>
      </c>
      <c r="BY49" s="370" t="n">
        <v>0.331357120013448</v>
      </c>
      <c r="BZ49" s="370" t="n">
        <v>1</v>
      </c>
      <c r="CA49" s="370" t="n">
        <v>0.0390847146165725</v>
      </c>
      <c r="CB49" s="370" t="n">
        <v>0.913567985593808</v>
      </c>
      <c r="CC49" s="505" t="n">
        <v>0.01</v>
      </c>
      <c r="CD49" s="505" t="n">
        <v>0.005</v>
      </c>
      <c r="CE49" s="505" t="n">
        <v>0.6</v>
      </c>
      <c r="CF49" s="505" t="n">
        <v>0</v>
      </c>
      <c r="CG49" s="505" t="n">
        <v>0.0334</v>
      </c>
      <c r="CH49" s="505" t="n">
        <v>10.2858619498007</v>
      </c>
      <c r="CI49" s="505" t="n">
        <v>3.197</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3.29768637532134</v>
      </c>
      <c r="BW50" s="369" t="n">
        <v>3.942</v>
      </c>
      <c r="BX50" s="370" t="n">
        <v>0.327601342960546</v>
      </c>
      <c r="BY50" s="370" t="n">
        <v>0.327601342960546</v>
      </c>
      <c r="BZ50" s="370" t="n">
        <v>1</v>
      </c>
      <c r="CA50" s="370" t="n">
        <v>0.0397995549683068</v>
      </c>
      <c r="CB50" s="370" t="n">
        <v>0.909126089677525</v>
      </c>
      <c r="CC50" s="505" t="n">
        <v>0.01</v>
      </c>
      <c r="CD50" s="505" t="n">
        <v>0.005</v>
      </c>
      <c r="CE50" s="505" t="n">
        <v>0.75</v>
      </c>
      <c r="CF50" s="505" t="n">
        <v>0</v>
      </c>
      <c r="CG50" s="505" t="n">
        <v>0.0334</v>
      </c>
      <c r="CH50" s="505" t="n">
        <v>10.5770456651352</v>
      </c>
      <c r="CI50" s="505" t="n">
        <v>3.192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3.33624678663239</v>
      </c>
      <c r="BW51" s="369" t="n">
        <v>4.077</v>
      </c>
      <c r="BX51" s="370" t="n">
        <v>0.322553846057612</v>
      </c>
      <c r="BY51" s="370" t="n">
        <v>0.322553846057612</v>
      </c>
      <c r="BZ51" s="370" t="n">
        <v>1</v>
      </c>
      <c r="CA51" s="370" t="n">
        <v>0.0405382235118998</v>
      </c>
      <c r="CB51" s="370" t="n">
        <v>0.904449976505324</v>
      </c>
      <c r="CC51" s="505" t="n">
        <v>0.0125</v>
      </c>
      <c r="CD51" s="505" t="n">
        <v>0.005</v>
      </c>
      <c r="CE51" s="505" t="n">
        <v>0.85</v>
      </c>
      <c r="CF51" s="505" t="n">
        <v>0</v>
      </c>
      <c r="CG51" s="505" t="n">
        <v>0.0334</v>
      </c>
      <c r="CH51" s="505" t="n">
        <v>10.1832022854734</v>
      </c>
      <c r="CI51" s="505" t="n">
        <v>3.227</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3.37737789203085</v>
      </c>
      <c r="BW52" s="369" t="n">
        <v>4.317</v>
      </c>
      <c r="BX52" s="370" t="n">
        <v>0.323758663407093</v>
      </c>
      <c r="BY52" s="370" t="n">
        <v>0.323758663407093</v>
      </c>
      <c r="BZ52" s="370" t="n">
        <v>1</v>
      </c>
      <c r="CA52" s="370" t="n">
        <v>0.0412152492802473</v>
      </c>
      <c r="CB52" s="370" t="n">
        <v>0.899929041596613</v>
      </c>
      <c r="CC52" s="505" t="n">
        <v>0.0125</v>
      </c>
      <c r="CD52" s="505" t="n">
        <v>0.005</v>
      </c>
      <c r="CE52" s="505" t="n">
        <v>1.05</v>
      </c>
      <c r="CF52" s="505" t="n">
        <v>0</v>
      </c>
      <c r="CG52" s="505" t="n">
        <v>0.0334</v>
      </c>
      <c r="CH52" s="505" t="n">
        <v>10.4700444486475</v>
      </c>
      <c r="CI52" s="505" t="n">
        <v>3.267</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3.41850899742931</v>
      </c>
      <c r="BW53" s="369" t="n">
        <v>4.357</v>
      </c>
      <c r="BX53" s="370" t="n">
        <v>0.324924899747912</v>
      </c>
      <c r="BY53" s="370" t="n">
        <v>0.324924899747912</v>
      </c>
      <c r="BZ53" s="370" t="n">
        <v>1</v>
      </c>
      <c r="CA53" s="370" t="n">
        <v>0.0418733656308259</v>
      </c>
      <c r="CB53" s="370" t="n">
        <v>0.895276283112479</v>
      </c>
      <c r="CC53" s="505" t="n">
        <v>0.0125</v>
      </c>
      <c r="CD53" s="505" t="n">
        <v>0.005</v>
      </c>
      <c r="CE53" s="505" t="n">
        <v>1.05</v>
      </c>
      <c r="CF53" s="505" t="n">
        <v>0</v>
      </c>
      <c r="CG53" s="505" t="n">
        <v>0.0334</v>
      </c>
      <c r="CH53" s="505" t="n">
        <v>10.4159128606155</v>
      </c>
      <c r="CI53" s="505" t="n">
        <v>3.307</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3.40822622107969</v>
      </c>
      <c r="BW54" s="369" t="n">
        <v>4.052</v>
      </c>
      <c r="BX54" s="370" t="n">
        <v>0.324623837003911</v>
      </c>
      <c r="BY54" s="370" t="n">
        <v>0.324623837003911</v>
      </c>
      <c r="BZ54" s="370" t="n">
        <v>1</v>
      </c>
      <c r="CA54" s="370" t="n">
        <v>0.0425314821265914</v>
      </c>
      <c r="CB54" s="370" t="n">
        <v>0.890550622336601</v>
      </c>
      <c r="CC54" s="505" t="n">
        <v>0.0075</v>
      </c>
      <c r="CD54" s="505" t="n">
        <v>0.005</v>
      </c>
      <c r="CE54" s="505" t="n">
        <v>0.75</v>
      </c>
      <c r="CF54" s="505" t="n">
        <v>0</v>
      </c>
      <c r="CG54" s="505" t="n">
        <v>0.0334</v>
      </c>
      <c r="CH54" s="505" t="n">
        <v>10.0267094568878</v>
      </c>
      <c r="CI54" s="505" t="n">
        <v>3.302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3.43393316195373</v>
      </c>
      <c r="BW55" s="369" t="n">
        <v>3.777</v>
      </c>
      <c r="BX55" s="370" t="n">
        <v>0.325957791635222</v>
      </c>
      <c r="BY55" s="370" t="n">
        <v>0.325957791635222</v>
      </c>
      <c r="BZ55" s="370" t="n">
        <v>1</v>
      </c>
      <c r="CA55" s="370" t="n">
        <v>0.0431331290786572</v>
      </c>
      <c r="CB55" s="370" t="n">
        <v>0.885996047822783</v>
      </c>
      <c r="CC55" s="505" t="n">
        <v>0.0075</v>
      </c>
      <c r="CD55" s="505" t="n">
        <v>0.005</v>
      </c>
      <c r="CE55" s="505" t="n">
        <v>0.45</v>
      </c>
      <c r="CF55" s="505" t="n">
        <v>0</v>
      </c>
      <c r="CG55" s="505" t="n">
        <v>0.0334</v>
      </c>
      <c r="CH55" s="505" t="n">
        <v>10.3079438191846</v>
      </c>
      <c r="CI55" s="505" t="n">
        <v>3.327</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3.59023136246787</v>
      </c>
      <c r="BW56" s="369" t="n">
        <v>3.929</v>
      </c>
      <c r="BX56" s="370" t="n">
        <v>0.331587939765235</v>
      </c>
      <c r="BY56" s="370" t="n">
        <v>0.331587939765235</v>
      </c>
      <c r="BZ56" s="370" t="n">
        <v>1</v>
      </c>
      <c r="CA56" s="370" t="n">
        <v>0.0437209690349563</v>
      </c>
      <c r="CB56" s="370" t="n">
        <v>0.881310319234489</v>
      </c>
      <c r="CC56" s="505" t="n">
        <v>0.005</v>
      </c>
      <c r="CD56" s="505" t="n">
        <v>0.0075</v>
      </c>
      <c r="CE56" s="505" t="n">
        <v>0.45</v>
      </c>
      <c r="CF56" s="505" t="n">
        <v>0</v>
      </c>
      <c r="CG56" s="505" t="n">
        <v>0.0334</v>
      </c>
      <c r="CH56" s="505" t="n">
        <v>9.92267288426111</v>
      </c>
      <c r="CI56" s="505" t="n">
        <v>3.479</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3.73727506426735</v>
      </c>
      <c r="BW57" s="369" t="n">
        <v>4.022</v>
      </c>
      <c r="BX57" s="370" t="n">
        <v>0.339212722084315</v>
      </c>
      <c r="BY57" s="370" t="n">
        <v>0.339212722084315</v>
      </c>
      <c r="BZ57" s="370" t="n">
        <v>1</v>
      </c>
      <c r="CA57" s="370" t="n">
        <v>0.044289846522211</v>
      </c>
      <c r="CB57" s="370" t="n">
        <v>0.876718225648428</v>
      </c>
      <c r="CC57" s="505" t="n">
        <v>0.005</v>
      </c>
      <c r="CD57" s="505" t="n">
        <v>0.0075</v>
      </c>
      <c r="CE57" s="505" t="n">
        <v>0.4</v>
      </c>
      <c r="CF57" s="505" t="n">
        <v>0</v>
      </c>
      <c r="CG57" s="505" t="n">
        <v>0.0334</v>
      </c>
      <c r="CH57" s="505" t="n">
        <v>10.2000028526615</v>
      </c>
      <c r="CI57" s="505" t="n">
        <v>3.622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3.79897172236504</v>
      </c>
      <c r="BW58" s="369" t="n">
        <v>4.032</v>
      </c>
      <c r="BX58" s="370" t="n">
        <v>0.338699959673164</v>
      </c>
      <c r="BY58" s="370" t="n">
        <v>0.338699959673164</v>
      </c>
      <c r="BZ58" s="370" t="n">
        <v>1</v>
      </c>
      <c r="CA58" s="370" t="n">
        <v>0.0448548874957364</v>
      </c>
      <c r="CB58" s="370" t="n">
        <v>0.871974921810256</v>
      </c>
      <c r="CC58" s="505" t="n">
        <v>0.005</v>
      </c>
      <c r="CD58" s="505" t="n">
        <v>0.0075</v>
      </c>
      <c r="CE58" s="505" t="n">
        <v>0.35</v>
      </c>
      <c r="CF58" s="505" t="n">
        <v>0</v>
      </c>
      <c r="CG58" s="505" t="n">
        <v>0.0334</v>
      </c>
      <c r="CH58" s="505" t="n">
        <v>10.1448178328171</v>
      </c>
      <c r="CI58" s="505" t="n">
        <v>3.682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3.71156812339332</v>
      </c>
      <c r="BW59" s="369" t="n">
        <v>3.947</v>
      </c>
      <c r="BX59" s="370" t="n">
        <v>0.334167550636186</v>
      </c>
      <c r="BY59" s="370" t="n">
        <v>0.334167550636186</v>
      </c>
      <c r="BZ59" s="370" t="n">
        <v>1</v>
      </c>
      <c r="CA59" s="370" t="n">
        <v>0.0454011527523237</v>
      </c>
      <c r="CB59" s="370" t="n">
        <v>0.867226855595254</v>
      </c>
      <c r="CC59" s="505" t="n">
        <v>0.005</v>
      </c>
      <c r="CD59" s="505" t="n">
        <v>0.0075</v>
      </c>
      <c r="CE59" s="505" t="n">
        <v>0.35</v>
      </c>
      <c r="CF59" s="505" t="n">
        <v>0</v>
      </c>
      <c r="CG59" s="505" t="n">
        <v>0.0334</v>
      </c>
      <c r="CH59" s="505" t="n">
        <v>9.11316668933717</v>
      </c>
      <c r="CI59" s="505" t="n">
        <v>3.597</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3.57789203084833</v>
      </c>
      <c r="BW60" s="369" t="n">
        <v>3.867</v>
      </c>
      <c r="BX60" s="370" t="n">
        <v>0.317268038421172</v>
      </c>
      <c r="BY60" s="370" t="n">
        <v>0.317268038421172</v>
      </c>
      <c r="BZ60" s="370" t="n">
        <v>1</v>
      </c>
      <c r="CA60" s="370" t="n">
        <v>0.0458945537150708</v>
      </c>
      <c r="CB60" s="370" t="n">
        <v>0.862893591140207</v>
      </c>
      <c r="CC60" s="505" t="n">
        <v>0.005</v>
      </c>
      <c r="CD60" s="505" t="n">
        <v>0.0075</v>
      </c>
      <c r="CE60" s="505" t="n">
        <v>0.4</v>
      </c>
      <c r="CF60" s="505" t="n">
        <v>0</v>
      </c>
      <c r="CG60" s="505" t="n">
        <v>0.0334</v>
      </c>
      <c r="CH60" s="505" t="n">
        <v>10.0391629074025</v>
      </c>
      <c r="CI60" s="505" t="n">
        <v>3.467</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3.39280205655527</v>
      </c>
      <c r="BW61" s="369" t="n">
        <v>3.882</v>
      </c>
      <c r="BX61" s="370" t="n">
        <v>0.29897490298836</v>
      </c>
      <c r="BY61" s="370" t="n">
        <v>0.29897490298836</v>
      </c>
      <c r="BZ61" s="370" t="n">
        <v>1</v>
      </c>
      <c r="CA61" s="370" t="n">
        <v>0.0464010564150716</v>
      </c>
      <c r="CB61" s="370" t="n">
        <v>0.85815886093194</v>
      </c>
      <c r="CC61" s="505" t="n">
        <v>0.01</v>
      </c>
      <c r="CD61" s="505" t="n">
        <v>0.0075</v>
      </c>
      <c r="CE61" s="505" t="n">
        <v>0.6</v>
      </c>
      <c r="CF61" s="505" t="n">
        <v>0</v>
      </c>
      <c r="CG61" s="505" t="n">
        <v>0.0334</v>
      </c>
      <c r="CH61" s="505" t="n">
        <v>9.66201061523271</v>
      </c>
      <c r="CI61" s="505" t="n">
        <v>3.282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3.38766066838046</v>
      </c>
      <c r="BW62" s="369" t="n">
        <v>4.027</v>
      </c>
      <c r="BX62" s="370" t="n">
        <v>0.292521362466059</v>
      </c>
      <c r="BY62" s="370" t="n">
        <v>0.292521362466059</v>
      </c>
      <c r="BZ62" s="370" t="n">
        <v>1</v>
      </c>
      <c r="CA62" s="370" t="n">
        <v>0.0468566770502532</v>
      </c>
      <c r="CB62" s="370" t="n">
        <v>0.853632083295416</v>
      </c>
      <c r="CC62" s="505" t="n">
        <v>0.01</v>
      </c>
      <c r="CD62" s="505" t="n">
        <v>0.0075</v>
      </c>
      <c r="CE62" s="505" t="n">
        <v>0.75</v>
      </c>
      <c r="CF62" s="505" t="n">
        <v>0</v>
      </c>
      <c r="CG62" s="505" t="n">
        <v>0.0334</v>
      </c>
      <c r="CH62" s="505" t="n">
        <v>9.93141174668386</v>
      </c>
      <c r="CI62" s="505" t="n">
        <v>3.277</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3.42622107969152</v>
      </c>
      <c r="BW63" s="369" t="n">
        <v>4.162</v>
      </c>
      <c r="BX63" s="370" t="n">
        <v>0.292382455013977</v>
      </c>
      <c r="BY63" s="370" t="n">
        <v>0.292382455013977</v>
      </c>
      <c r="BZ63" s="370" t="n">
        <v>1</v>
      </c>
      <c r="CA63" s="370" t="n">
        <v>0.0473274851128664</v>
      </c>
      <c r="CB63" s="370" t="n">
        <v>0.848914575635623</v>
      </c>
      <c r="CC63" s="505" t="n">
        <v>0.0125</v>
      </c>
      <c r="CD63" s="505" t="n">
        <v>0.0075</v>
      </c>
      <c r="CE63" s="505" t="n">
        <v>0.85</v>
      </c>
      <c r="CF63" s="505" t="n">
        <v>0</v>
      </c>
      <c r="CG63" s="505" t="n">
        <v>0.0334</v>
      </c>
      <c r="CH63" s="505" t="n">
        <v>9.55792920708148</v>
      </c>
      <c r="CI63" s="505" t="n">
        <v>3.312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3.46735218508997</v>
      </c>
      <c r="BW64" s="369" t="n">
        <v>4.402</v>
      </c>
      <c r="BX64" s="370" t="n">
        <v>0.288480838532972</v>
      </c>
      <c r="BY64" s="370" t="n">
        <v>0.288480838532972</v>
      </c>
      <c r="BZ64" s="370" t="n">
        <v>1</v>
      </c>
      <c r="CA64" s="370" t="n">
        <v>0.047760481058801</v>
      </c>
      <c r="CB64" s="370" t="n">
        <v>0.844378469838596</v>
      </c>
      <c r="CC64" s="505" t="n">
        <v>0.0125</v>
      </c>
      <c r="CD64" s="505" t="n">
        <v>0.0075</v>
      </c>
      <c r="CE64" s="505" t="n">
        <v>1.05</v>
      </c>
      <c r="CF64" s="505" t="n">
        <v>0</v>
      </c>
      <c r="CG64" s="505" t="n">
        <v>0.0334</v>
      </c>
      <c r="CH64" s="505" t="n">
        <v>9.82375243164318</v>
      </c>
      <c r="CI64" s="505" t="n">
        <v>3.352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3.50848329048843</v>
      </c>
      <c r="BW65" s="369" t="n">
        <v>4.442</v>
      </c>
      <c r="BX65" s="370" t="n">
        <v>0.289450621554524</v>
      </c>
      <c r="BY65" s="370" t="n">
        <v>0.289450621554524</v>
      </c>
      <c r="BZ65" s="370" t="n">
        <v>1</v>
      </c>
      <c r="CA65" s="370" t="n">
        <v>0.0481861434694211</v>
      </c>
      <c r="CB65" s="370" t="n">
        <v>0.839721100096823</v>
      </c>
      <c r="CC65" s="505" t="n">
        <v>0.0125</v>
      </c>
      <c r="CD65" s="505" t="n">
        <v>0.0075</v>
      </c>
      <c r="CE65" s="505" t="n">
        <v>1.05</v>
      </c>
      <c r="CF65" s="505" t="n">
        <v>0</v>
      </c>
      <c r="CG65" s="505" t="n">
        <v>0.0334</v>
      </c>
      <c r="CH65" s="505" t="n">
        <v>9.76956719485647</v>
      </c>
      <c r="CI65" s="505" t="n">
        <v>3.392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3.49820051413882</v>
      </c>
      <c r="BW66" s="369" t="n">
        <v>4.137</v>
      </c>
      <c r="BX66" s="370" t="n">
        <v>0.289213048318682</v>
      </c>
      <c r="BY66" s="370" t="n">
        <v>0.289213048318682</v>
      </c>
      <c r="BZ66" s="370" t="n">
        <v>1</v>
      </c>
      <c r="CA66" s="370" t="n">
        <v>0.0486118059405909</v>
      </c>
      <c r="CB66" s="370" t="n">
        <v>0.835030766033085</v>
      </c>
      <c r="CC66" s="505" t="n">
        <v>0.0075</v>
      </c>
      <c r="CD66" s="505" t="n">
        <v>0.0075</v>
      </c>
      <c r="CE66" s="505" t="n">
        <v>0.75</v>
      </c>
      <c r="CF66" s="505" t="n">
        <v>0</v>
      </c>
      <c r="CG66" s="505" t="n">
        <v>0.0334</v>
      </c>
      <c r="CH66" s="505" t="n">
        <v>9.4016113947665</v>
      </c>
      <c r="CI66" s="505" t="n">
        <v>3.387</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3.52390745501285</v>
      </c>
      <c r="BW67" s="369" t="n">
        <v>3.862</v>
      </c>
      <c r="BX67" s="370" t="n">
        <v>0.290354844679535</v>
      </c>
      <c r="BY67" s="370" t="n">
        <v>0.290354844679535</v>
      </c>
      <c r="BZ67" s="370" t="n">
        <v>1</v>
      </c>
      <c r="CA67" s="370" t="n">
        <v>0.0490091513549218</v>
      </c>
      <c r="CB67" s="370" t="n">
        <v>0.830506508545646</v>
      </c>
      <c r="CC67" s="505" t="n">
        <v>0.0075</v>
      </c>
      <c r="CD67" s="505" t="n">
        <v>0.0075</v>
      </c>
      <c r="CE67" s="505" t="n">
        <v>0.45</v>
      </c>
      <c r="CF67" s="505" t="n">
        <v>0</v>
      </c>
      <c r="CG67" s="505" t="n">
        <v>0.0334</v>
      </c>
      <c r="CH67" s="505" t="n">
        <v>9.66236187237261</v>
      </c>
      <c r="CI67" s="505" t="n">
        <v>3.412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3.67763496143959</v>
      </c>
      <c r="BW68" s="369" t="n">
        <v>4.014</v>
      </c>
      <c r="BX68" s="370" t="n">
        <v>0.295083048619696</v>
      </c>
      <c r="BY68" s="370" t="n">
        <v>0.295083048619696</v>
      </c>
      <c r="BZ68" s="370" t="n">
        <v>1</v>
      </c>
      <c r="CA68" s="370" t="n">
        <v>0.0493920179871608</v>
      </c>
      <c r="CB68" s="370" t="n">
        <v>0.825889768863549</v>
      </c>
      <c r="CC68" s="505" t="n">
        <v>0.005</v>
      </c>
      <c r="CD68" s="505" t="n">
        <v>0.0075</v>
      </c>
      <c r="CE68" s="505" t="n">
        <v>0.45</v>
      </c>
      <c r="CF68" s="505" t="n">
        <v>0</v>
      </c>
      <c r="CG68" s="505" t="n">
        <v>0.0334</v>
      </c>
      <c r="CH68" s="505" t="n">
        <v>9.2986929076347</v>
      </c>
      <c r="CI68" s="505" t="n">
        <v>3.564</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3.82467866323907</v>
      </c>
      <c r="BW69" s="369" t="n">
        <v>4.107</v>
      </c>
      <c r="BX69" s="370" t="n">
        <v>0.30158877782868</v>
      </c>
      <c r="BY69" s="370" t="n">
        <v>0.30158877782868</v>
      </c>
      <c r="BZ69" s="370" t="n">
        <v>1</v>
      </c>
      <c r="CA69" s="370" t="n">
        <v>0.0497625341294907</v>
      </c>
      <c r="CB69" s="370" t="n">
        <v>0.821397003079716</v>
      </c>
      <c r="CC69" s="505" t="n">
        <v>0.005</v>
      </c>
      <c r="CD69" s="505" t="n">
        <v>0.0075</v>
      </c>
      <c r="CE69" s="505" t="n">
        <v>0.4</v>
      </c>
      <c r="CF69" s="505" t="n">
        <v>0</v>
      </c>
      <c r="CG69" s="505" t="n">
        <v>0.0334</v>
      </c>
      <c r="CH69" s="505" t="n">
        <v>9.55637915293034</v>
      </c>
      <c r="CI69" s="505" t="n">
        <v>3.707</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3.88123393316195</v>
      </c>
      <c r="BW70" s="369" t="n">
        <v>4.112</v>
      </c>
      <c r="BX70" s="370" t="n">
        <v>0.301253958992461</v>
      </c>
      <c r="BY70" s="370" t="n">
        <v>0.301253958992461</v>
      </c>
      <c r="BZ70" s="370" t="n">
        <v>1</v>
      </c>
      <c r="CA70" s="370" t="n">
        <v>0.0501238670100874</v>
      </c>
      <c r="CB70" s="370" t="n">
        <v>0.816799555121222</v>
      </c>
      <c r="CC70" s="505" t="n">
        <v>0.005</v>
      </c>
      <c r="CD70" s="505" t="n">
        <v>0.0075</v>
      </c>
      <c r="CE70" s="505" t="n">
        <v>0.35</v>
      </c>
      <c r="CF70" s="505" t="n">
        <v>0</v>
      </c>
      <c r="CG70" s="505" t="n">
        <v>0.0334</v>
      </c>
      <c r="CH70" s="505" t="n">
        <v>9.50289106414684</v>
      </c>
      <c r="CI70" s="505" t="n">
        <v>3.762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3.79383033419023</v>
      </c>
      <c r="BW71" s="369" t="n">
        <v>4.027</v>
      </c>
      <c r="BX71" s="370" t="n">
        <v>0.294730625711485</v>
      </c>
      <c r="BY71" s="370" t="n">
        <v>0.294730625711485</v>
      </c>
      <c r="BZ71" s="370" t="n">
        <v>1</v>
      </c>
      <c r="CA71" s="370" t="n">
        <v>0.0504460474790935</v>
      </c>
      <c r="CB71" s="370" t="n">
        <v>0.812308871993658</v>
      </c>
      <c r="CC71" s="505" t="n">
        <v>0.005</v>
      </c>
      <c r="CD71" s="505" t="n">
        <v>0.0075</v>
      </c>
      <c r="CE71" s="505" t="n">
        <v>0.35</v>
      </c>
      <c r="CF71" s="505" t="n">
        <v>0</v>
      </c>
      <c r="CG71" s="505" t="n">
        <v>0.0334</v>
      </c>
      <c r="CH71" s="505" t="n">
        <v>8.53606655045815</v>
      </c>
      <c r="CI71" s="505" t="n">
        <v>3.677</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3.66529562982005</v>
      </c>
      <c r="BW72" s="369" t="n">
        <v>3.947</v>
      </c>
      <c r="BX72" s="370" t="n">
        <v>0.278899568705084</v>
      </c>
      <c r="BY72" s="370" t="n">
        <v>0.278899568705084</v>
      </c>
      <c r="BZ72" s="370" t="n">
        <v>1</v>
      </c>
      <c r="CA72" s="370" t="n">
        <v>0.0507370492228172</v>
      </c>
      <c r="CB72" s="370" t="n">
        <v>0.808237080144648</v>
      </c>
      <c r="CC72" s="505" t="n">
        <v>0.01</v>
      </c>
      <c r="CD72" s="505" t="n">
        <v>0.0075</v>
      </c>
      <c r="CE72" s="505" t="n">
        <v>0.4</v>
      </c>
      <c r="CF72" s="505" t="n">
        <v>0</v>
      </c>
      <c r="CG72" s="505" t="n">
        <v>0.0334</v>
      </c>
      <c r="CH72" s="505" t="n">
        <v>9.40327266152688</v>
      </c>
      <c r="CI72" s="505" t="n">
        <v>3.547</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3.47763496143959</v>
      </c>
      <c r="BW73" s="369" t="n">
        <v>3.962</v>
      </c>
      <c r="BX73" s="370" t="n">
        <v>0.251839821026274</v>
      </c>
      <c r="BY73" s="370" t="n">
        <v>0.251839821026274</v>
      </c>
      <c r="BZ73" s="370" t="n">
        <v>1</v>
      </c>
      <c r="CA73" s="370" t="n">
        <v>0.0510592297577648</v>
      </c>
      <c r="CB73" s="370" t="n">
        <v>0.803712195296429</v>
      </c>
      <c r="CC73" s="505" t="n">
        <v>0.01</v>
      </c>
      <c r="CD73" s="505" t="n">
        <v>0.01</v>
      </c>
      <c r="CE73" s="505" t="n">
        <v>0.6</v>
      </c>
      <c r="CF73" s="505" t="n">
        <v>0</v>
      </c>
      <c r="CG73" s="505" t="n">
        <v>0.0334</v>
      </c>
      <c r="CH73" s="505" t="n">
        <v>9.0489956068425</v>
      </c>
      <c r="CI73" s="505" t="n">
        <v>3.362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3.47506426735219</v>
      </c>
      <c r="BW74" s="369" t="n">
        <v>4.107</v>
      </c>
      <c r="BX74" s="370" t="n">
        <v>0.24777576676848</v>
      </c>
      <c r="BY74" s="370" t="n">
        <v>0.24777576676848</v>
      </c>
      <c r="BZ74" s="370" t="n">
        <v>1</v>
      </c>
      <c r="CA74" s="370" t="n">
        <v>0.051371017405212</v>
      </c>
      <c r="CB74" s="370" t="n">
        <v>0.799316971929618</v>
      </c>
      <c r="CC74" s="505" t="n">
        <v>0.0125</v>
      </c>
      <c r="CD74" s="505" t="n">
        <v>0.01</v>
      </c>
      <c r="CE74" s="505" t="n">
        <v>0.75</v>
      </c>
      <c r="CF74" s="505" t="n">
        <v>0</v>
      </c>
      <c r="CG74" s="505" t="n">
        <v>0.0334</v>
      </c>
      <c r="CH74" s="505" t="n">
        <v>9.29949344652076</v>
      </c>
      <c r="CI74" s="505" t="n">
        <v>3.357</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3.51105398457584</v>
      </c>
      <c r="BW75" s="369" t="n">
        <v>4.242</v>
      </c>
      <c r="BX75" s="370" t="n">
        <v>0.250088358245823</v>
      </c>
      <c r="BY75" s="370" t="n">
        <v>0.250088358245823</v>
      </c>
      <c r="BZ75" s="370" t="n">
        <v>1</v>
      </c>
      <c r="CA75" s="370" t="n">
        <v>0.0516931980083157</v>
      </c>
      <c r="CB75" s="370" t="n">
        <v>0.794758967227619</v>
      </c>
      <c r="CC75" s="505" t="n">
        <v>0.0125</v>
      </c>
      <c r="CD75" s="505" t="n">
        <v>0.01</v>
      </c>
      <c r="CE75" s="505" t="n">
        <v>0.85</v>
      </c>
      <c r="CF75" s="505" t="n">
        <v>0</v>
      </c>
      <c r="CG75" s="505" t="n">
        <v>0.0334</v>
      </c>
      <c r="CH75" s="505" t="n">
        <v>8.94819121201577</v>
      </c>
      <c r="CI75" s="505" t="n">
        <v>3.392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3.55218508997429</v>
      </c>
      <c r="BW76" s="369" t="n">
        <v>4.482</v>
      </c>
      <c r="BX76" s="370" t="n">
        <v>0.251002615011208</v>
      </c>
      <c r="BY76" s="370" t="n">
        <v>0.251002615011208</v>
      </c>
      <c r="BZ76" s="370" t="n">
        <v>1</v>
      </c>
      <c r="CA76" s="370" t="n">
        <v>0.0520049857217106</v>
      </c>
      <c r="CB76" s="370" t="n">
        <v>0.790332792803782</v>
      </c>
      <c r="CC76" s="505" t="n">
        <v>0.0125</v>
      </c>
      <c r="CD76" s="505" t="n">
        <v>0.01</v>
      </c>
      <c r="CE76" s="505" t="n">
        <v>1.05</v>
      </c>
      <c r="CF76" s="505" t="n">
        <v>0</v>
      </c>
      <c r="CG76" s="505" t="n">
        <v>0.0334</v>
      </c>
      <c r="CH76" s="505" t="n">
        <v>9.19496881131705</v>
      </c>
      <c r="CI76" s="505" t="n">
        <v>3.432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3.58817480719794</v>
      </c>
      <c r="BW77" s="369" t="n">
        <v>4.522</v>
      </c>
      <c r="BX77" s="370" t="n">
        <v>0.251887767191014</v>
      </c>
      <c r="BY77" s="370" t="n">
        <v>0.251887767191014</v>
      </c>
      <c r="BZ77" s="370" t="n">
        <v>1</v>
      </c>
      <c r="CA77" s="370" t="n">
        <v>0.0523271663929492</v>
      </c>
      <c r="CB77" s="370" t="n">
        <v>0.785743940633574</v>
      </c>
      <c r="CC77" s="505" t="n">
        <v>0.0075</v>
      </c>
      <c r="CD77" s="505" t="n">
        <v>0.01</v>
      </c>
      <c r="CE77" s="505" t="n">
        <v>1.05</v>
      </c>
      <c r="CF77" s="505" t="n">
        <v>0</v>
      </c>
      <c r="CG77" s="505" t="n">
        <v>0.0334</v>
      </c>
      <c r="CH77" s="505" t="n">
        <v>9.1415807285132</v>
      </c>
      <c r="CI77" s="505" t="n">
        <v>3.472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3.58303341902314</v>
      </c>
      <c r="BW78" s="369" t="n">
        <v>4.217</v>
      </c>
      <c r="BX78" s="370" t="n">
        <v>0.251673457799918</v>
      </c>
      <c r="BY78" s="370" t="n">
        <v>0.251673457799918</v>
      </c>
      <c r="BZ78" s="370" t="n">
        <v>1</v>
      </c>
      <c r="CA78" s="370" t="n">
        <v>0.0526493470988063</v>
      </c>
      <c r="CB78" s="370" t="n">
        <v>0.781140280211496</v>
      </c>
      <c r="CC78" s="505" t="n">
        <v>0.0075</v>
      </c>
      <c r="CD78" s="505" t="n">
        <v>0.01</v>
      </c>
      <c r="CE78" s="505" t="n">
        <v>0.75</v>
      </c>
      <c r="CF78" s="505" t="n">
        <v>0</v>
      </c>
      <c r="CG78" s="505" t="n">
        <v>0.0334</v>
      </c>
      <c r="CH78" s="505" t="n">
        <v>8.79485841490123</v>
      </c>
      <c r="CI78" s="505" t="n">
        <v>3.467</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3.60616966580977</v>
      </c>
      <c r="BW79" s="369" t="n">
        <v>3.942</v>
      </c>
      <c r="BX79" s="370" t="n">
        <v>0.252737151785216</v>
      </c>
      <c r="BY79" s="370" t="n">
        <v>0.252737151785216</v>
      </c>
      <c r="BZ79" s="370" t="n">
        <v>1</v>
      </c>
      <c r="CA79" s="370" t="n">
        <v>0.0529611349116244</v>
      </c>
      <c r="CB79" s="370" t="n">
        <v>0.776671575219578</v>
      </c>
      <c r="CC79" s="505" t="n">
        <v>0.005</v>
      </c>
      <c r="CD79" s="505" t="n">
        <v>0.01</v>
      </c>
      <c r="CE79" s="505" t="n">
        <v>0.45</v>
      </c>
      <c r="CF79" s="505" t="n">
        <v>0</v>
      </c>
      <c r="CG79" s="505" t="n">
        <v>0.0334</v>
      </c>
      <c r="CH79" s="505" t="n">
        <v>9.03603010757713</v>
      </c>
      <c r="CI79" s="505" t="n">
        <v>3.492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3.76092544987147</v>
      </c>
      <c r="BW80" s="369" t="n">
        <v>4.094</v>
      </c>
      <c r="BX80" s="370" t="n">
        <v>0.257069016574414</v>
      </c>
      <c r="BY80" s="370" t="n">
        <v>0.257069016574414</v>
      </c>
      <c r="BZ80" s="370" t="n">
        <v>1</v>
      </c>
      <c r="CA80" s="370" t="n">
        <v>0.0532833156855848</v>
      </c>
      <c r="CB80" s="370" t="n">
        <v>0.772040478692847</v>
      </c>
      <c r="CC80" s="505" t="n">
        <v>0.006</v>
      </c>
      <c r="CD80" s="505" t="n">
        <v>0.0075</v>
      </c>
      <c r="CE80" s="505" t="n">
        <v>0.45</v>
      </c>
      <c r="CF80" s="505" t="n">
        <v>0</v>
      </c>
      <c r="CG80" s="505" t="n">
        <v>0.0334</v>
      </c>
      <c r="CH80" s="505" t="n">
        <v>8.69240374960276</v>
      </c>
      <c r="CI80" s="505" t="n">
        <v>3.644</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3.90796915167095</v>
      </c>
      <c r="BW81" s="369" t="n">
        <v>4.187</v>
      </c>
      <c r="BX81" s="370" t="n">
        <v>0.263085311093791</v>
      </c>
      <c r="BY81" s="370" t="n">
        <v>0.263085311093791</v>
      </c>
      <c r="BZ81" s="370" t="n">
        <v>1</v>
      </c>
      <c r="CA81" s="370" t="n">
        <v>0.0535951035642985</v>
      </c>
      <c r="CB81" s="370" t="n">
        <v>0.767546312167612</v>
      </c>
      <c r="CC81" s="505" t="n">
        <v>0.006</v>
      </c>
      <c r="CD81" s="505" t="n">
        <v>0.0075</v>
      </c>
      <c r="CE81" s="505" t="n">
        <v>0.4</v>
      </c>
      <c r="CF81" s="505" t="n">
        <v>0</v>
      </c>
      <c r="CG81" s="505" t="n">
        <v>0.0334</v>
      </c>
      <c r="CH81" s="505" t="n">
        <v>8.92986405965166</v>
      </c>
      <c r="CI81" s="505" t="n">
        <v>3.787</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3.96195372750643</v>
      </c>
      <c r="BW82" s="369" t="n">
        <v>4.1895</v>
      </c>
      <c r="BX82" s="370" t="n">
        <v>0.262833061218283</v>
      </c>
      <c r="BY82" s="370" t="n">
        <v>0.262833061218283</v>
      </c>
      <c r="BZ82" s="370" t="n">
        <v>1</v>
      </c>
      <c r="CA82" s="370" t="n">
        <v>0.0538548873933569</v>
      </c>
      <c r="CB82" s="370" t="n">
        <v>0.76312585991901</v>
      </c>
      <c r="CC82" s="505" t="n">
        <v>0.006</v>
      </c>
      <c r="CD82" s="505" t="n">
        <v>0.0075</v>
      </c>
      <c r="CE82" s="505" t="n">
        <v>0.35</v>
      </c>
      <c r="CF82" s="505" t="n">
        <v>0</v>
      </c>
      <c r="CG82" s="505" t="n">
        <v>0.0334</v>
      </c>
      <c r="CH82" s="505" t="n">
        <v>8.87843519205574</v>
      </c>
      <c r="CI82" s="505" t="n">
        <v>3.8395</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3.8745501285347</v>
      </c>
      <c r="BW83" s="369" t="n">
        <v>4.1045</v>
      </c>
      <c r="BX83" s="370" t="n">
        <v>0.2425</v>
      </c>
      <c r="BY83" s="370" t="n">
        <v>0.2425</v>
      </c>
      <c r="BZ83" s="370" t="n">
        <v>0</v>
      </c>
      <c r="CA83" s="370" t="n">
        <v>0.0540389034386073</v>
      </c>
      <c r="CB83" s="370" t="n">
        <v>0</v>
      </c>
      <c r="CC83" s="505" t="n">
        <v>0.006</v>
      </c>
      <c r="CD83" s="505" t="n">
        <v>0.0075</v>
      </c>
      <c r="CE83" s="505" t="n">
        <v>0.35</v>
      </c>
      <c r="CF83" s="505" t="n">
        <v>0</v>
      </c>
      <c r="CG83" s="505" t="n">
        <v>0.0334</v>
      </c>
      <c r="CH83" s="505" t="n">
        <v>0</v>
      </c>
      <c r="CI83" s="505" t="n">
        <v>3.7545</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3.8745501285347</v>
      </c>
      <c r="BW84" s="369" t="n">
        <v>4.1045</v>
      </c>
      <c r="BX84" s="370" t="n">
        <v>0.2425</v>
      </c>
      <c r="BY84" s="370" t="n">
        <v>0.2425</v>
      </c>
      <c r="BZ84" s="370" t="n">
        <v>0</v>
      </c>
      <c r="CA84" s="370" t="n">
        <v>0.0540389034386073</v>
      </c>
      <c r="CB84" s="370" t="n">
        <v>0</v>
      </c>
      <c r="CC84" s="505" t="n">
        <v>0.006</v>
      </c>
      <c r="CD84" s="505" t="n">
        <v>0.0075</v>
      </c>
      <c r="CE84" s="505" t="n">
        <v>0.35</v>
      </c>
      <c r="CF84" s="505" t="n">
        <v>0</v>
      </c>
      <c r="CG84" s="505" t="n">
        <v>0.0334</v>
      </c>
      <c r="CH84" s="505" t="n">
        <v>0</v>
      </c>
      <c r="CI84" s="505" t="n">
        <v>3.7545</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3.8745501285347</v>
      </c>
      <c r="BW85" s="369" t="n">
        <v>4.1045</v>
      </c>
      <c r="BX85" s="370" t="n">
        <v>0.2425</v>
      </c>
      <c r="BY85" s="370" t="n">
        <v>0.2425</v>
      </c>
      <c r="BZ85" s="370" t="n">
        <v>0</v>
      </c>
      <c r="CA85" s="370" t="n">
        <v>0.0540389034386073</v>
      </c>
      <c r="CB85" s="370" t="n">
        <v>0</v>
      </c>
      <c r="CC85" s="505" t="n">
        <v>0.006</v>
      </c>
      <c r="CD85" s="505" t="n">
        <v>0.0075</v>
      </c>
      <c r="CE85" s="505" t="n">
        <v>0.35</v>
      </c>
      <c r="CF85" s="505" t="n">
        <v>0</v>
      </c>
      <c r="CG85" s="505" t="n">
        <v>0.0334</v>
      </c>
      <c r="CH85" s="505" t="n">
        <v>0</v>
      </c>
      <c r="CI85" s="505" t="n">
        <v>3.7545</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3.8745501285347</v>
      </c>
      <c r="BW86" s="369" t="n">
        <v>4.1045</v>
      </c>
      <c r="BX86" s="370" t="n">
        <v>0.2425</v>
      </c>
      <c r="BY86" s="370" t="n">
        <v>0.2425</v>
      </c>
      <c r="BZ86" s="370" t="n">
        <v>0</v>
      </c>
      <c r="CA86" s="370" t="n">
        <v>0.0540389034386073</v>
      </c>
      <c r="CB86" s="370" t="n">
        <v>0</v>
      </c>
      <c r="CC86" s="505" t="n">
        <v>0.006</v>
      </c>
      <c r="CD86" s="505" t="n">
        <v>0.0075</v>
      </c>
      <c r="CE86" s="505" t="n">
        <v>0.35</v>
      </c>
      <c r="CF86" s="505" t="n">
        <v>0</v>
      </c>
      <c r="CG86" s="505" t="n">
        <v>0.0334</v>
      </c>
      <c r="CH86" s="505" t="n">
        <v>0</v>
      </c>
      <c r="CI86" s="505" t="n">
        <v>3.7545</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3.8745501285347</v>
      </c>
      <c r="BW87" s="369" t="n">
        <v>4.1045</v>
      </c>
      <c r="BX87" s="370" t="n">
        <v>0.2425</v>
      </c>
      <c r="BY87" s="370" t="n">
        <v>0.2425</v>
      </c>
      <c r="BZ87" s="370" t="n">
        <v>0</v>
      </c>
      <c r="CA87" s="370" t="n">
        <v>0.0540389034386073</v>
      </c>
      <c r="CB87" s="370" t="n">
        <v>0</v>
      </c>
      <c r="CC87" s="505" t="n">
        <v>0.006</v>
      </c>
      <c r="CD87" s="505" t="n">
        <v>0.0075</v>
      </c>
      <c r="CE87" s="505" t="n">
        <v>0.35</v>
      </c>
      <c r="CF87" s="505" t="n">
        <v>0</v>
      </c>
      <c r="CG87" s="505" t="n">
        <v>0.0334</v>
      </c>
      <c r="CH87" s="505" t="n">
        <v>0</v>
      </c>
      <c r="CI87" s="505" t="n">
        <v>3.7545</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3.8745501285347</v>
      </c>
      <c r="BW88" s="369" t="n">
        <v>4.1045</v>
      </c>
      <c r="BX88" s="370" t="n">
        <v>0.2425</v>
      </c>
      <c r="BY88" s="370" t="n">
        <v>0.2425</v>
      </c>
      <c r="BZ88" s="370" t="n">
        <v>0</v>
      </c>
      <c r="CA88" s="370" t="n">
        <v>0.0540389034386073</v>
      </c>
      <c r="CB88" s="370" t="n">
        <v>0</v>
      </c>
      <c r="CC88" s="505" t="n">
        <v>0.006</v>
      </c>
      <c r="CD88" s="505" t="n">
        <v>0.0075</v>
      </c>
      <c r="CE88" s="505" t="n">
        <v>0.35</v>
      </c>
      <c r="CF88" s="505" t="n">
        <v>0</v>
      </c>
      <c r="CG88" s="505" t="n">
        <v>0.0334</v>
      </c>
      <c r="CH88" s="505" t="n">
        <v>0</v>
      </c>
      <c r="CI88" s="505" t="n">
        <v>3.7545</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3.8745501285347</v>
      </c>
      <c r="BW89" s="369" t="n">
        <v>4.1045</v>
      </c>
      <c r="BX89" s="370" t="n">
        <v>0.2425</v>
      </c>
      <c r="BY89" s="370" t="n">
        <v>0.2425</v>
      </c>
      <c r="BZ89" s="370" t="n">
        <v>0</v>
      </c>
      <c r="CA89" s="370" t="n">
        <v>0.0540389034386073</v>
      </c>
      <c r="CB89" s="370" t="n">
        <v>0</v>
      </c>
      <c r="CC89" s="505" t="n">
        <v>0.006</v>
      </c>
      <c r="CD89" s="505" t="n">
        <v>0.0075</v>
      </c>
      <c r="CE89" s="505" t="n">
        <v>0.35</v>
      </c>
      <c r="CF89" s="505" t="n">
        <v>0</v>
      </c>
      <c r="CG89" s="505" t="n">
        <v>0.0334</v>
      </c>
      <c r="CH89" s="505" t="n">
        <v>0</v>
      </c>
      <c r="CI89" s="505" t="n">
        <v>3.7545</v>
      </c>
      <c r="CJ89" s="505"/>
      <c r="CK89" s="505"/>
      <c r="CL89" s="505"/>
      <c r="CM89" s="505"/>
    </row>
    <row r="90" customFormat="false" ht="12.75" hidden="false" customHeight="false" outlineLevel="0" collapsed="false">
      <c r="A90" s="500"/>
      <c r="B90" s="500"/>
      <c r="D90" s="95"/>
      <c r="E90" s="95"/>
      <c r="F90" s="95"/>
      <c r="G90" s="95"/>
      <c r="H90" s="95"/>
      <c r="I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U90" s="95"/>
      <c r="BV90" s="95"/>
    </row>
    <row r="91" customFormat="false" ht="12.75" hidden="false" customHeight="false" outlineLevel="0" collapsed="false">
      <c r="A91" s="500"/>
      <c r="B91" s="500"/>
      <c r="D91" s="95"/>
      <c r="E91" s="95"/>
      <c r="F91" s="95"/>
      <c r="G91" s="95"/>
      <c r="H91" s="95"/>
      <c r="I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U91" s="95"/>
      <c r="BV91" s="95"/>
    </row>
    <row r="92" customFormat="false" ht="12.75" hidden="false" customHeight="false" outlineLevel="0" collapsed="false">
      <c r="A92" s="500"/>
      <c r="B92" s="500"/>
      <c r="D92" s="95"/>
      <c r="E92" s="95"/>
      <c r="F92" s="95"/>
      <c r="G92" s="95"/>
      <c r="H92" s="95"/>
      <c r="I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U92" s="95"/>
      <c r="BV92" s="95"/>
    </row>
    <row r="93" customFormat="false" ht="12.75" hidden="false" customHeight="false" outlineLevel="0" collapsed="false">
      <c r="A93" s="500"/>
      <c r="B93" s="500"/>
      <c r="D93" s="95"/>
      <c r="E93" s="95"/>
      <c r="F93" s="95"/>
      <c r="G93" s="95"/>
      <c r="H93" s="95"/>
      <c r="I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U93" s="95"/>
      <c r="BV93" s="95"/>
    </row>
    <row r="94" customFormat="false" ht="12.75" hidden="false" customHeight="false" outlineLevel="0" collapsed="false">
      <c r="A94" s="500"/>
      <c r="B94" s="500"/>
      <c r="D94" s="95"/>
      <c r="E94" s="95"/>
      <c r="F94" s="95"/>
      <c r="G94" s="95"/>
      <c r="H94" s="95"/>
      <c r="I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U94" s="95"/>
      <c r="BV94" s="95"/>
    </row>
    <row r="95" customFormat="false" ht="12.75" hidden="false" customHeight="false" outlineLevel="0" collapsed="false">
      <c r="A95" s="500"/>
      <c r="B95" s="500"/>
      <c r="D95" s="95"/>
      <c r="E95" s="95"/>
      <c r="F95" s="95"/>
      <c r="G95" s="95"/>
      <c r="H95" s="95"/>
      <c r="I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U95" s="95"/>
      <c r="BV95" s="95"/>
    </row>
    <row r="96" customFormat="false" ht="12.75" hidden="false" customHeight="false" outlineLevel="0" collapsed="false">
      <c r="D96" s="95"/>
      <c r="E96" s="95"/>
      <c r="F96" s="95"/>
      <c r="G96" s="95"/>
      <c r="H96" s="95"/>
      <c r="I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U96" s="95"/>
      <c r="BV96" s="95"/>
    </row>
  </sheetData>
  <mergeCells count="99">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99"/>
  <sheetViews>
    <sheetView showFormulas="false" showGridLines="true" showRowColHeaders="true" showZeros="true" rightToLeft="false" tabSelected="false" showOutlineSymbols="true" defaultGridColor="true" view="normal" topLeftCell="I6" colorId="64" zoomScale="80" zoomScaleNormal="80" zoomScalePageLayoutView="100" workbookViewId="0">
      <selection pane="topLeft" activeCell="CI21" activeCellId="0" sqref="CI21:CI89"/>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52</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298840.07</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221885.77</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76954.3</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644.55</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1275.7</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SUMPRODUCT(L22:L33,F22:F33)</f>
        <v>#VALUE!</v>
      </c>
      <c r="L10" s="414" t="s">
        <v>478</v>
      </c>
      <c r="M10" s="414"/>
      <c r="N10" s="400" t="e">
        <f aca="true">-SUMPRODUCT(INDIRECT(CONCATENATE(AV10,":",AW10)),INDIRECT(CONCATENATE($AX$7,":",$AY$7)),INDIRECT(CONCATENATE($AV$3,":",$AW$3)))</f>
        <v>#VALUE!</v>
      </c>
      <c r="O10" s="400" t="n">
        <v>-54881.24</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SUMPRODUCT(K22:K33,F22:F33)</f>
        <v>#VALUE!</v>
      </c>
      <c r="L11" s="425" t="s">
        <v>481</v>
      </c>
      <c r="M11" s="425"/>
      <c r="N11" s="426" t="e">
        <f aca="true">-SUMPRODUCT(INDIRECT(CONCATENATE(AV11,":",AW11)),INDIRECT(CONCATENATE($AV$2,":",$AW$2)),INDIRECT(CONCATENATE($AV$3,":",$AW$3)),INDIRECT(CONCATENATE(AX3,":",AY3)))</f>
        <v>#VALUE!</v>
      </c>
      <c r="O11" s="427" t="n">
        <v>-23249.93</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664.49</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0.06</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29.6</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0.04</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-180.49</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29.99</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298838.4</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1.67</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2.8879177377892</v>
      </c>
      <c r="BW22" s="369" t="n">
        <v>3.196</v>
      </c>
      <c r="BX22" s="370" t="n">
        <v>0.952435996987834</v>
      </c>
      <c r="BY22" s="370" t="n">
        <v>0.952435996987834</v>
      </c>
      <c r="BZ22" s="370" t="n">
        <v>0.995516733028398</v>
      </c>
      <c r="CA22" s="370" t="n">
        <v>0.0187659081571607</v>
      </c>
      <c r="CB22" s="370" t="n">
        <v>0.998364899395796</v>
      </c>
      <c r="CC22" s="505" t="n">
        <v>-0.035</v>
      </c>
      <c r="CD22" s="505" t="n">
        <v>-0.0025</v>
      </c>
      <c r="CE22" s="505" t="n">
        <v>0.35</v>
      </c>
      <c r="CF22" s="505" t="n">
        <v>0</v>
      </c>
      <c r="CG22" s="505" t="n">
        <v>0.0384</v>
      </c>
      <c r="CH22" s="505" t="n">
        <v>11.6152767490405</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2.95167095115681</v>
      </c>
      <c r="BW23" s="369" t="n">
        <v>3.258</v>
      </c>
      <c r="BX23" s="370" t="n">
        <v>0.906812181950228</v>
      </c>
      <c r="BY23" s="370" t="n">
        <v>0.906812181950228</v>
      </c>
      <c r="BZ23" s="370" t="n">
        <v>0.996461468562414</v>
      </c>
      <c r="CA23" s="370" t="n">
        <v>0.0193261872820063</v>
      </c>
      <c r="CB23" s="370" t="n">
        <v>0.996688029844541</v>
      </c>
      <c r="CC23" s="505" t="n">
        <v>-0.035</v>
      </c>
      <c r="CD23" s="505" t="n">
        <v>-0.0025</v>
      </c>
      <c r="CE23" s="505" t="n">
        <v>0.35</v>
      </c>
      <c r="CF23" s="505" t="n">
        <v>0</v>
      </c>
      <c r="CG23" s="505" t="n">
        <v>0.0384</v>
      </c>
      <c r="CH23" s="505" t="n">
        <v>10.4735964928184</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2.94550128534704</v>
      </c>
      <c r="BW24" s="369" t="n">
        <v>3.302</v>
      </c>
      <c r="BX24" s="370" t="n">
        <v>0.79</v>
      </c>
      <c r="BY24" s="370" t="n">
        <v>0.79</v>
      </c>
      <c r="BZ24" s="370" t="n">
        <v>0.997918918918919</v>
      </c>
      <c r="CA24" s="370" t="n">
        <v>0.0192731753639035</v>
      </c>
      <c r="CB24" s="370" t="n">
        <v>0.99523258517239</v>
      </c>
      <c r="CC24" s="505" t="n">
        <v>-0.035</v>
      </c>
      <c r="CD24" s="505" t="n">
        <v>-0.0025</v>
      </c>
      <c r="CE24" s="505" t="n">
        <v>0.4</v>
      </c>
      <c r="CF24" s="505" t="n">
        <v>0</v>
      </c>
      <c r="CG24" s="505" t="n">
        <v>0.0384</v>
      </c>
      <c r="CH24" s="505" t="n">
        <v>11.5788344656711</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2.90796915167095</v>
      </c>
      <c r="BW25" s="369" t="n">
        <v>3.448</v>
      </c>
      <c r="BX25" s="370" t="n">
        <v>0.600814487825059</v>
      </c>
      <c r="BY25" s="370" t="n">
        <v>0.600814487825059</v>
      </c>
      <c r="BZ25" s="370" t="n">
        <v>1</v>
      </c>
      <c r="CA25" s="370" t="n">
        <v>0.0194226401196236</v>
      </c>
      <c r="CB25" s="370" t="n">
        <v>0.993564587749983</v>
      </c>
      <c r="CC25" s="505" t="n">
        <v>-0.025</v>
      </c>
      <c r="CD25" s="505" t="n">
        <v>0.005</v>
      </c>
      <c r="CE25" s="505" t="n">
        <v>0.6</v>
      </c>
      <c r="CF25" s="505" t="n">
        <v>0</v>
      </c>
      <c r="CG25" s="505" t="n">
        <v>0.0384</v>
      </c>
      <c r="CH25" s="505" t="n">
        <v>11.1865436934771</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2.9573264781491</v>
      </c>
      <c r="BW26" s="369" t="n">
        <v>3.646</v>
      </c>
      <c r="BX26" s="370" t="n">
        <v>0.57775293402001</v>
      </c>
      <c r="BY26" s="370" t="n">
        <v>0.57775293402001</v>
      </c>
      <c r="BZ26" s="370" t="n">
        <v>1</v>
      </c>
      <c r="CA26" s="370" t="n">
        <v>0.019712159578257</v>
      </c>
      <c r="CB26" s="370" t="n">
        <v>0.991870109542169</v>
      </c>
      <c r="CC26" s="505" t="n">
        <v>-0.025</v>
      </c>
      <c r="CD26" s="505" t="n">
        <v>0.005</v>
      </c>
      <c r="CE26" s="505" t="n">
        <v>0.75</v>
      </c>
      <c r="CF26" s="505" t="n">
        <v>0</v>
      </c>
      <c r="CG26" s="505" t="n">
        <v>0.0384</v>
      </c>
      <c r="CH26" s="505" t="n">
        <v>11.5397144154465</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3.01131105398458</v>
      </c>
      <c r="BW27" s="369" t="n">
        <v>3.796</v>
      </c>
      <c r="BX27" s="370" t="n">
        <v>0.550221330219268</v>
      </c>
      <c r="BY27" s="370" t="n">
        <v>0.550221330219268</v>
      </c>
      <c r="BZ27" s="370" t="n">
        <v>1</v>
      </c>
      <c r="CA27" s="370" t="n">
        <v>0.0200113297153544</v>
      </c>
      <c r="CB27" s="370" t="n">
        <v>0.990073216017117</v>
      </c>
      <c r="CC27" s="505" t="n">
        <v>-0.0225</v>
      </c>
      <c r="CD27" s="505" t="n">
        <v>0.005</v>
      </c>
      <c r="CE27" s="505" t="n">
        <v>0.85</v>
      </c>
      <c r="CF27" s="505" t="n">
        <v>0</v>
      </c>
      <c r="CG27" s="505" t="n">
        <v>0.0384</v>
      </c>
      <c r="CH27" s="505" t="n">
        <v>11.1472343391367</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3.05038560411311</v>
      </c>
      <c r="BW28" s="369" t="n">
        <v>4.034</v>
      </c>
      <c r="BX28" s="370" t="n">
        <v>0.549290255131369</v>
      </c>
      <c r="BY28" s="370" t="n">
        <v>0.549290255131369</v>
      </c>
      <c r="BZ28" s="370" t="n">
        <v>1</v>
      </c>
      <c r="CA28" s="370" t="n">
        <v>0.0204286298094831</v>
      </c>
      <c r="CB28" s="370" t="n">
        <v>0.988217193800728</v>
      </c>
      <c r="CC28" s="505" t="n">
        <v>-0.0225</v>
      </c>
      <c r="CD28" s="505" t="n">
        <v>0.005</v>
      </c>
      <c r="CE28" s="505" t="n">
        <v>1.05</v>
      </c>
      <c r="CF28" s="505" t="n">
        <v>0</v>
      </c>
      <c r="CG28" s="505" t="n">
        <v>0.0384</v>
      </c>
      <c r="CH28" s="505" t="n">
        <v>11.4972152978358</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3.09357326478149</v>
      </c>
      <c r="BW29" s="369" t="n">
        <v>4.076</v>
      </c>
      <c r="BX29" s="370" t="n">
        <v>0.549894268674422</v>
      </c>
      <c r="BY29" s="370" t="n">
        <v>0.549894268674422</v>
      </c>
      <c r="BZ29" s="370" t="n">
        <v>1</v>
      </c>
      <c r="CA29" s="370" t="n">
        <v>0.021065008234304</v>
      </c>
      <c r="CB29" s="370" t="n">
        <v>0.986098940667972</v>
      </c>
      <c r="CC29" s="505" t="n">
        <v>-0.0225</v>
      </c>
      <c r="CD29" s="505" t="n">
        <v>0.005</v>
      </c>
      <c r="CE29" s="505" t="n">
        <v>1.05</v>
      </c>
      <c r="CF29" s="505" t="n">
        <v>0</v>
      </c>
      <c r="CG29" s="505" t="n">
        <v>0.0384</v>
      </c>
      <c r="CH29" s="505" t="n">
        <v>11.4725709054134</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3.08020565552699</v>
      </c>
      <c r="BW30" s="369" t="n">
        <v>3.768</v>
      </c>
      <c r="BX30" s="370" t="n">
        <v>0.548527673591454</v>
      </c>
      <c r="BY30" s="370" t="n">
        <v>0.548527673591454</v>
      </c>
      <c r="BZ30" s="370" t="n">
        <v>1</v>
      </c>
      <c r="CA30" s="370" t="n">
        <v>0.0217013867962765</v>
      </c>
      <c r="CB30" s="370" t="n">
        <v>0.983880178541275</v>
      </c>
      <c r="CC30" s="505" t="n">
        <v>-0.0275</v>
      </c>
      <c r="CD30" s="505" t="n">
        <v>0.005</v>
      </c>
      <c r="CE30" s="505" t="n">
        <v>0.75</v>
      </c>
      <c r="CF30" s="505" t="n">
        <v>0</v>
      </c>
      <c r="CG30" s="505" t="n">
        <v>0.0384</v>
      </c>
      <c r="CH30" s="505" t="n">
        <v>11.0775069301962</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3.09357326478149</v>
      </c>
      <c r="BW31" s="369" t="n">
        <v>3.481</v>
      </c>
      <c r="BX31" s="370" t="n">
        <v>0.5511830669082</v>
      </c>
      <c r="BY31" s="370" t="n">
        <v>0.5511830669082</v>
      </c>
      <c r="BZ31" s="370" t="n">
        <v>1</v>
      </c>
      <c r="CA31" s="370" t="n">
        <v>0.022410164045374</v>
      </c>
      <c r="CB31" s="370" t="n">
        <v>0.981562668478235</v>
      </c>
      <c r="CC31" s="505" t="n">
        <v>-0.0275</v>
      </c>
      <c r="CD31" s="505" t="n">
        <v>0.005</v>
      </c>
      <c r="CE31" s="505" t="n">
        <v>0.45</v>
      </c>
      <c r="CF31" s="505" t="n">
        <v>0</v>
      </c>
      <c r="CG31" s="505" t="n">
        <v>0.0384</v>
      </c>
      <c r="CH31" s="505" t="n">
        <v>11.4197945538763</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3.27866323907455</v>
      </c>
      <c r="BW32" s="369" t="n">
        <v>3.661</v>
      </c>
      <c r="BX32" s="370" t="n">
        <v>0.557476031074478</v>
      </c>
      <c r="BY32" s="370" t="n">
        <v>0.557476031074478</v>
      </c>
      <c r="BZ32" s="370" t="n">
        <v>1</v>
      </c>
      <c r="CA32" s="370" t="n">
        <v>0.0232740649677528</v>
      </c>
      <c r="CB32" s="370" t="n">
        <v>0.97893835036076</v>
      </c>
      <c r="CC32" s="505" t="n">
        <v>-0.025</v>
      </c>
      <c r="CD32" s="505" t="n">
        <v>0.0025</v>
      </c>
      <c r="CE32" s="505" t="n">
        <v>0.45</v>
      </c>
      <c r="CF32" s="505" t="n">
        <v>0</v>
      </c>
      <c r="CG32" s="505" t="n">
        <v>0.0384</v>
      </c>
      <c r="CH32" s="505" t="n">
        <v>11.0218668867118</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3.44318766066838</v>
      </c>
      <c r="BW33" s="369" t="n">
        <v>3.771</v>
      </c>
      <c r="BX33" s="370" t="n">
        <v>0.570790000341453</v>
      </c>
      <c r="BY33" s="370" t="n">
        <v>0.570790000341453</v>
      </c>
      <c r="BZ33" s="370" t="n">
        <v>1</v>
      </c>
      <c r="CA33" s="370" t="n">
        <v>0.024110098358836</v>
      </c>
      <c r="CB33" s="370" t="n">
        <v>0.976270925999808</v>
      </c>
      <c r="CC33" s="505" t="n">
        <v>-0.025</v>
      </c>
      <c r="CD33" s="505" t="n">
        <v>0.0025</v>
      </c>
      <c r="CE33" s="505" t="n">
        <v>0.4</v>
      </c>
      <c r="CF33" s="505" t="n">
        <v>0</v>
      </c>
      <c r="CG33" s="505" t="n">
        <v>0.0384</v>
      </c>
      <c r="CH33" s="505" t="n">
        <v>11.3582288343596</v>
      </c>
      <c r="CI33" s="505" t="n">
        <v>3.371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3.52030848329049</v>
      </c>
      <c r="BW34" s="369" t="n">
        <v>3.796</v>
      </c>
      <c r="BX34" s="370" t="n">
        <v>0.56836354878586</v>
      </c>
      <c r="BY34" s="370" t="n">
        <v>0.56836354878586</v>
      </c>
      <c r="BZ34" s="370" t="n">
        <v>1</v>
      </c>
      <c r="CA34" s="370" t="n">
        <v>0.0250384261928196</v>
      </c>
      <c r="CB34" s="370" t="n">
        <v>0.97331647833328</v>
      </c>
      <c r="CC34" s="505" t="n">
        <v>-0.025</v>
      </c>
      <c r="CD34" s="505" t="n">
        <v>0.0025</v>
      </c>
      <c r="CE34" s="505" t="n">
        <v>0.35</v>
      </c>
      <c r="CF34" s="505" t="n">
        <v>0</v>
      </c>
      <c r="CG34" s="505" t="n">
        <v>0.0374</v>
      </c>
      <c r="CH34" s="505" t="n">
        <v>11.3238559038729</v>
      </c>
      <c r="CI34" s="505" t="n">
        <v>3.446</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3.44318766066838</v>
      </c>
      <c r="BW35" s="369" t="n">
        <v>3.721</v>
      </c>
      <c r="BX35" s="370" t="n">
        <v>0.554353390063384</v>
      </c>
      <c r="BY35" s="370" t="n">
        <v>0.554353390063384</v>
      </c>
      <c r="BZ35" s="370" t="n">
        <v>1</v>
      </c>
      <c r="CA35" s="370" t="n">
        <v>0.0260449864197474</v>
      </c>
      <c r="CB35" s="370" t="n">
        <v>0.970132608451962</v>
      </c>
      <c r="CC35" s="505" t="n">
        <v>-0.025</v>
      </c>
      <c r="CD35" s="505" t="n">
        <v>0.0025</v>
      </c>
      <c r="CE35" s="505" t="n">
        <v>0.35</v>
      </c>
      <c r="CF35" s="505" t="n">
        <v>0</v>
      </c>
      <c r="CG35" s="505" t="n">
        <v>0.0374</v>
      </c>
      <c r="CH35" s="505" t="n">
        <v>10.1945415026566</v>
      </c>
      <c r="CI35" s="505" t="n">
        <v>3.371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3.35064267352185</v>
      </c>
      <c r="BW36" s="369" t="n">
        <v>3.681</v>
      </c>
      <c r="BX36" s="370" t="n">
        <v>0.50293567145062</v>
      </c>
      <c r="BY36" s="370" t="n">
        <v>0.50293567145062</v>
      </c>
      <c r="BZ36" s="370" t="n">
        <v>1</v>
      </c>
      <c r="CA36" s="370" t="n">
        <v>0.0269541378866576</v>
      </c>
      <c r="CB36" s="370" t="n">
        <v>0.967126070368611</v>
      </c>
      <c r="CC36" s="505" t="n">
        <v>-0.025</v>
      </c>
      <c r="CD36" s="505" t="n">
        <v>0.0025</v>
      </c>
      <c r="CE36" s="505" t="n">
        <v>0.4</v>
      </c>
      <c r="CF36" s="505" t="n">
        <v>0</v>
      </c>
      <c r="CG36" s="505" t="n">
        <v>0.0374</v>
      </c>
      <c r="CH36" s="505" t="n">
        <v>11.2518348404895</v>
      </c>
      <c r="CI36" s="505" t="n">
        <v>3.281</v>
      </c>
      <c r="CJ36" s="505"/>
      <c r="CK36" s="505"/>
      <c r="CL36" s="505"/>
      <c r="CM36" s="505"/>
    </row>
    <row r="37" customFormat="false" ht="12.75" hidden="false" customHeight="false" outlineLevel="0" collapsed="false">
      <c r="A37" s="500"/>
      <c r="B37" s="500"/>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3.19640102827763</v>
      </c>
      <c r="BW37" s="369" t="n">
        <v>3.726</v>
      </c>
      <c r="BX37" s="370" t="n">
        <v>0.388875549675273</v>
      </c>
      <c r="BY37" s="370" t="n">
        <v>0.388875549675273</v>
      </c>
      <c r="BZ37" s="370" t="n">
        <v>1</v>
      </c>
      <c r="CA37" s="370" t="n">
        <v>0.0279745964320606</v>
      </c>
      <c r="CB37" s="370" t="n">
        <v>0.963636615990319</v>
      </c>
      <c r="CC37" s="505" t="n">
        <v>-0.0225</v>
      </c>
      <c r="CD37" s="505" t="n">
        <v>0.005</v>
      </c>
      <c r="CE37" s="505" t="n">
        <v>0.6</v>
      </c>
      <c r="CF37" s="505" t="n">
        <v>0</v>
      </c>
      <c r="CG37" s="505" t="n">
        <v>0.0374</v>
      </c>
      <c r="CH37" s="505" t="n">
        <v>10.849584659435</v>
      </c>
      <c r="CI37" s="505" t="n">
        <v>3.126</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3.1974293059126</v>
      </c>
      <c r="BW38" s="369" t="n">
        <v>3.877</v>
      </c>
      <c r="BX38" s="370" t="n">
        <v>0.376159329765107</v>
      </c>
      <c r="BY38" s="370" t="n">
        <v>0.376159329765107</v>
      </c>
      <c r="BZ38" s="370" t="n">
        <v>1</v>
      </c>
      <c r="CA38" s="370" t="n">
        <v>0.0289631800763801</v>
      </c>
      <c r="CB38" s="370" t="n">
        <v>0.960114752892753</v>
      </c>
      <c r="CC38" s="505" t="n">
        <v>-0.0225</v>
      </c>
      <c r="CD38" s="505" t="n">
        <v>0.005</v>
      </c>
      <c r="CE38" s="505" t="n">
        <v>0.75</v>
      </c>
      <c r="CF38" s="505" t="n">
        <v>0</v>
      </c>
      <c r="CG38" s="505" t="n">
        <v>0.0374</v>
      </c>
      <c r="CH38" s="505" t="n">
        <v>11.1702630695802</v>
      </c>
      <c r="CI38" s="505" t="n">
        <v>3.127</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3.23598971722365</v>
      </c>
      <c r="BW39" s="369" t="n">
        <v>4.012</v>
      </c>
      <c r="BX39" s="370" t="n">
        <v>0.375845949287242</v>
      </c>
      <c r="BY39" s="370" t="n">
        <v>0.375845949287242</v>
      </c>
      <c r="BZ39" s="370" t="n">
        <v>1</v>
      </c>
      <c r="CA39" s="370" t="n">
        <v>0.0299847168551968</v>
      </c>
      <c r="CB39" s="370" t="n">
        <v>0.956328852591432</v>
      </c>
      <c r="CC39" s="505" t="n">
        <v>-0.02</v>
      </c>
      <c r="CD39" s="505" t="n">
        <v>0.005</v>
      </c>
      <c r="CE39" s="505" t="n">
        <v>0.85</v>
      </c>
      <c r="CF39" s="505" t="n">
        <v>0</v>
      </c>
      <c r="CG39" s="505" t="n">
        <v>0.0374</v>
      </c>
      <c r="CH39" s="505" t="n">
        <v>10.7673065513269</v>
      </c>
      <c r="CI39" s="505" t="n">
        <v>3.162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3.27917737789203</v>
      </c>
      <c r="BW40" s="369" t="n">
        <v>4.254</v>
      </c>
      <c r="BX40" s="370" t="n">
        <v>0.377568797335415</v>
      </c>
      <c r="BY40" s="370" t="n">
        <v>0.377568797335415</v>
      </c>
      <c r="BZ40" s="370" t="n">
        <v>1</v>
      </c>
      <c r="CA40" s="370" t="n">
        <v>0.0309652793004798</v>
      </c>
      <c r="CB40" s="370" t="n">
        <v>0.95253693379797</v>
      </c>
      <c r="CC40" s="505" t="n">
        <v>-0.02</v>
      </c>
      <c r="CD40" s="505" t="n">
        <v>0.005</v>
      </c>
      <c r="CE40" s="505" t="n">
        <v>1.05</v>
      </c>
      <c r="CF40" s="505" t="n">
        <v>0</v>
      </c>
      <c r="CG40" s="505" t="n">
        <v>0.0374</v>
      </c>
      <c r="CH40" s="505" t="n">
        <v>11.0821004488857</v>
      </c>
      <c r="CI40" s="505" t="n">
        <v>3.204</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3.32236503856041</v>
      </c>
      <c r="BW41" s="369" t="n">
        <v>4.296</v>
      </c>
      <c r="BX41" s="370" t="n">
        <v>0.37917572731747</v>
      </c>
      <c r="BY41" s="370" t="n">
        <v>0.37917572731747</v>
      </c>
      <c r="BZ41" s="370" t="n">
        <v>1</v>
      </c>
      <c r="CA41" s="370" t="n">
        <v>0.0319670833322725</v>
      </c>
      <c r="CB41" s="370" t="n">
        <v>0.948494893378275</v>
      </c>
      <c r="CC41" s="505" t="n">
        <v>-0.02</v>
      </c>
      <c r="CD41" s="505" t="n">
        <v>0.005</v>
      </c>
      <c r="CE41" s="505" t="n">
        <v>1.05</v>
      </c>
      <c r="CF41" s="505" t="n">
        <v>0</v>
      </c>
      <c r="CG41" s="505" t="n">
        <v>0.0374</v>
      </c>
      <c r="CH41" s="505" t="n">
        <v>11.0350741380309</v>
      </c>
      <c r="CI41" s="505" t="n">
        <v>3.246</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3.3120822622108</v>
      </c>
      <c r="BW42" s="369" t="n">
        <v>3.991</v>
      </c>
      <c r="BX42" s="370" t="n">
        <v>0.376255879342064</v>
      </c>
      <c r="BY42" s="370" t="n">
        <v>0.376255879342064</v>
      </c>
      <c r="BZ42" s="370" t="n">
        <v>1</v>
      </c>
      <c r="CA42" s="370" t="n">
        <v>0.032968887702129</v>
      </c>
      <c r="CB42" s="370" t="n">
        <v>0.944312700032904</v>
      </c>
      <c r="CC42" s="505" t="n">
        <v>-0.025</v>
      </c>
      <c r="CD42" s="505" t="n">
        <v>0.005</v>
      </c>
      <c r="CE42" s="505" t="n">
        <v>0.75</v>
      </c>
      <c r="CF42" s="505" t="n">
        <v>0</v>
      </c>
      <c r="CG42" s="505" t="n">
        <v>0.0374</v>
      </c>
      <c r="CH42" s="505" t="n">
        <v>10.6320166896705</v>
      </c>
      <c r="CI42" s="505" t="n">
        <v>3.241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3.33881748071979</v>
      </c>
      <c r="BW43" s="369" t="n">
        <v>3.717</v>
      </c>
      <c r="BX43" s="370" t="n">
        <v>0.38041410598552</v>
      </c>
      <c r="BY43" s="370" t="n">
        <v>0.38041410598552</v>
      </c>
      <c r="BZ43" s="370" t="n">
        <v>1</v>
      </c>
      <c r="CA43" s="370" t="n">
        <v>0.0339067018220711</v>
      </c>
      <c r="CB43" s="370" t="n">
        <v>0.940187685777986</v>
      </c>
      <c r="CC43" s="505" t="n">
        <v>-0.025</v>
      </c>
      <c r="CD43" s="505" t="n">
        <v>0.005</v>
      </c>
      <c r="CE43" s="505" t="n">
        <v>0.45</v>
      </c>
      <c r="CF43" s="505" t="n">
        <v>0</v>
      </c>
      <c r="CG43" s="505" t="n">
        <v>0.0374</v>
      </c>
      <c r="CH43" s="505" t="n">
        <v>10.9384255926468</v>
      </c>
      <c r="CI43" s="505" t="n">
        <v>3.267</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3.48020565552699</v>
      </c>
      <c r="BW44" s="369" t="n">
        <v>3.852</v>
      </c>
      <c r="BX44" s="370" t="n">
        <v>0.385609740274895</v>
      </c>
      <c r="BY44" s="370" t="n">
        <v>0.385609740274895</v>
      </c>
      <c r="BZ44" s="370" t="n">
        <v>1</v>
      </c>
      <c r="CA44" s="370" t="n">
        <v>0.0348361539671314</v>
      </c>
      <c r="CB44" s="370" t="n">
        <v>0.93586587426758</v>
      </c>
      <c r="CC44" s="505" t="n">
        <v>-0.02</v>
      </c>
      <c r="CD44" s="505" t="n">
        <v>0.0025</v>
      </c>
      <c r="CE44" s="505" t="n">
        <v>0.45</v>
      </c>
      <c r="CF44" s="505" t="n">
        <v>0</v>
      </c>
      <c r="CG44" s="505" t="n">
        <v>0.0374</v>
      </c>
      <c r="CH44" s="505" t="n">
        <v>10.5369138783787</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3.61902313624679</v>
      </c>
      <c r="BW45" s="369" t="n">
        <v>3.937</v>
      </c>
      <c r="BX45" s="370" t="n">
        <v>0.395540413143884</v>
      </c>
      <c r="BY45" s="370" t="n">
        <v>0.395540413143884</v>
      </c>
      <c r="BZ45" s="370" t="n">
        <v>1</v>
      </c>
      <c r="CA45" s="370" t="n">
        <v>0.0357356240616102</v>
      </c>
      <c r="CB45" s="370" t="n">
        <v>0.931565547567078</v>
      </c>
      <c r="CC45" s="505" t="n">
        <v>-0.02</v>
      </c>
      <c r="CD45" s="505" t="n">
        <v>0.0025</v>
      </c>
      <c r="CE45" s="505" t="n">
        <v>0.4</v>
      </c>
      <c r="CF45" s="505" t="n">
        <v>0</v>
      </c>
      <c r="CG45" s="505" t="n">
        <v>0.0374</v>
      </c>
      <c r="CH45" s="505" t="n">
        <v>10.8381130500597</v>
      </c>
      <c r="CI45" s="505" t="n">
        <v>3.537</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3.68071979434447</v>
      </c>
      <c r="BW46" s="369" t="n">
        <v>3.947</v>
      </c>
      <c r="BX46" s="370" t="n">
        <v>0.392965652353069</v>
      </c>
      <c r="BY46" s="370" t="n">
        <v>0.392965652353069</v>
      </c>
      <c r="BZ46" s="370" t="n">
        <v>1</v>
      </c>
      <c r="CA46" s="370" t="n">
        <v>0.0366293995889575</v>
      </c>
      <c r="CB46" s="370" t="n">
        <v>0.927069774742957</v>
      </c>
      <c r="CC46" s="505" t="n">
        <v>-0.02</v>
      </c>
      <c r="CD46" s="505" t="n">
        <v>0.0025</v>
      </c>
      <c r="CE46" s="505" t="n">
        <v>0.35</v>
      </c>
      <c r="CF46" s="505" t="n">
        <v>0</v>
      </c>
      <c r="CG46" s="505" t="n">
        <v>0.0334</v>
      </c>
      <c r="CH46" s="505" t="n">
        <v>10.785807880292</v>
      </c>
      <c r="CI46" s="505" t="n">
        <v>3.597</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3.59331619537275</v>
      </c>
      <c r="BW47" s="369" t="n">
        <v>3.862</v>
      </c>
      <c r="BX47" s="370" t="n">
        <v>0.390732432296569</v>
      </c>
      <c r="BY47" s="370" t="n">
        <v>0.390732432296569</v>
      </c>
      <c r="BZ47" s="370" t="n">
        <v>1</v>
      </c>
      <c r="CA47" s="370" t="n">
        <v>0.0374851197051385</v>
      </c>
      <c r="CB47" s="370" t="n">
        <v>0.922533811762705</v>
      </c>
      <c r="CC47" s="505" t="n">
        <v>-0.02</v>
      </c>
      <c r="CD47" s="505" t="n">
        <v>0.0025</v>
      </c>
      <c r="CE47" s="505" t="n">
        <v>0.35</v>
      </c>
      <c r="CF47" s="505" t="n">
        <v>0</v>
      </c>
      <c r="CG47" s="505" t="n">
        <v>0.0334</v>
      </c>
      <c r="CH47" s="505" t="n">
        <v>10.0405812470818</v>
      </c>
      <c r="CI47" s="505" t="n">
        <v>3.512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3.45964010282776</v>
      </c>
      <c r="BW48" s="369" t="n">
        <v>3.782</v>
      </c>
      <c r="BX48" s="370" t="n">
        <v>0.366388286442151</v>
      </c>
      <c r="BY48" s="370" t="n">
        <v>0.366388286442151</v>
      </c>
      <c r="BZ48" s="370" t="n">
        <v>1</v>
      </c>
      <c r="CA48" s="370" t="n">
        <v>0.0382856322945879</v>
      </c>
      <c r="CB48" s="370" t="n">
        <v>0.918192690834127</v>
      </c>
      <c r="CC48" s="505" t="n">
        <v>-0.02</v>
      </c>
      <c r="CD48" s="505" t="n">
        <v>0.0025</v>
      </c>
      <c r="CE48" s="505" t="n">
        <v>0.4</v>
      </c>
      <c r="CF48" s="505" t="n">
        <v>0</v>
      </c>
      <c r="CG48" s="505" t="n">
        <v>0.0334</v>
      </c>
      <c r="CH48" s="505" t="n">
        <v>10.6825292229715</v>
      </c>
      <c r="CI48" s="505" t="n">
        <v>3.382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3.2745501285347</v>
      </c>
      <c r="BW49" s="369" t="n">
        <v>3.797</v>
      </c>
      <c r="BX49" s="370" t="n">
        <v>0.331357120013448</v>
      </c>
      <c r="BY49" s="370" t="n">
        <v>0.331357120013448</v>
      </c>
      <c r="BZ49" s="370" t="n">
        <v>1</v>
      </c>
      <c r="CA49" s="370" t="n">
        <v>0.0390847146165725</v>
      </c>
      <c r="CB49" s="370" t="n">
        <v>0.913567985593808</v>
      </c>
      <c r="CC49" s="505" t="n">
        <v>-0.02</v>
      </c>
      <c r="CD49" s="505" t="n">
        <v>0.0075</v>
      </c>
      <c r="CE49" s="505" t="n">
        <v>0.6</v>
      </c>
      <c r="CF49" s="505" t="n">
        <v>0</v>
      </c>
      <c r="CG49" s="505" t="n">
        <v>0.0334</v>
      </c>
      <c r="CH49" s="505" t="n">
        <v>10.2858619498007</v>
      </c>
      <c r="CI49" s="505" t="n">
        <v>3.197</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3.2694087403599</v>
      </c>
      <c r="BW50" s="369" t="n">
        <v>3.942</v>
      </c>
      <c r="BX50" s="370" t="n">
        <v>0.327601342960546</v>
      </c>
      <c r="BY50" s="370" t="n">
        <v>0.327601342960546</v>
      </c>
      <c r="BZ50" s="370" t="n">
        <v>1</v>
      </c>
      <c r="CA50" s="370" t="n">
        <v>0.0397995549683068</v>
      </c>
      <c r="CB50" s="370" t="n">
        <v>0.909126089677525</v>
      </c>
      <c r="CC50" s="505" t="n">
        <v>-0.02</v>
      </c>
      <c r="CD50" s="505" t="n">
        <v>0.0075</v>
      </c>
      <c r="CE50" s="505" t="n">
        <v>0.75</v>
      </c>
      <c r="CF50" s="505" t="n">
        <v>0</v>
      </c>
      <c r="CG50" s="505" t="n">
        <v>0.0334</v>
      </c>
      <c r="CH50" s="505" t="n">
        <v>10.5770456651352</v>
      </c>
      <c r="CI50" s="505" t="n">
        <v>3.192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3.30796915167095</v>
      </c>
      <c r="BW51" s="369" t="n">
        <v>4.077</v>
      </c>
      <c r="BX51" s="370" t="n">
        <v>0.322553846057612</v>
      </c>
      <c r="BY51" s="370" t="n">
        <v>0.322553846057612</v>
      </c>
      <c r="BZ51" s="370" t="n">
        <v>1</v>
      </c>
      <c r="CA51" s="370" t="n">
        <v>0.0405382235118998</v>
      </c>
      <c r="CB51" s="370" t="n">
        <v>0.904449976505324</v>
      </c>
      <c r="CC51" s="505" t="n">
        <v>-0.0175</v>
      </c>
      <c r="CD51" s="505" t="n">
        <v>0.0075</v>
      </c>
      <c r="CE51" s="505" t="n">
        <v>0.85</v>
      </c>
      <c r="CF51" s="505" t="n">
        <v>0</v>
      </c>
      <c r="CG51" s="505" t="n">
        <v>0.0334</v>
      </c>
      <c r="CH51" s="505" t="n">
        <v>10.1832022854734</v>
      </c>
      <c r="CI51" s="505" t="n">
        <v>3.227</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3.34910025706941</v>
      </c>
      <c r="BW52" s="369" t="n">
        <v>4.317</v>
      </c>
      <c r="BX52" s="370" t="n">
        <v>0.323758663407093</v>
      </c>
      <c r="BY52" s="370" t="n">
        <v>0.323758663407093</v>
      </c>
      <c r="BZ52" s="370" t="n">
        <v>1</v>
      </c>
      <c r="CA52" s="370" t="n">
        <v>0.0412152492802473</v>
      </c>
      <c r="CB52" s="370" t="n">
        <v>0.899929041596613</v>
      </c>
      <c r="CC52" s="505" t="n">
        <v>-0.0175</v>
      </c>
      <c r="CD52" s="505" t="n">
        <v>0.0075</v>
      </c>
      <c r="CE52" s="505" t="n">
        <v>1.05</v>
      </c>
      <c r="CF52" s="505" t="n">
        <v>0</v>
      </c>
      <c r="CG52" s="505" t="n">
        <v>0.0334</v>
      </c>
      <c r="CH52" s="505" t="n">
        <v>10.4700444486475</v>
      </c>
      <c r="CI52" s="505" t="n">
        <v>3.267</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3.39023136246787</v>
      </c>
      <c r="BW53" s="369" t="n">
        <v>4.357</v>
      </c>
      <c r="BX53" s="370" t="n">
        <v>0.324924899747912</v>
      </c>
      <c r="BY53" s="370" t="n">
        <v>0.324924899747912</v>
      </c>
      <c r="BZ53" s="370" t="n">
        <v>1</v>
      </c>
      <c r="CA53" s="370" t="n">
        <v>0.0418733656308259</v>
      </c>
      <c r="CB53" s="370" t="n">
        <v>0.895276283112479</v>
      </c>
      <c r="CC53" s="505" t="n">
        <v>-0.0175</v>
      </c>
      <c r="CD53" s="505" t="n">
        <v>0.0075</v>
      </c>
      <c r="CE53" s="505" t="n">
        <v>1.05</v>
      </c>
      <c r="CF53" s="505" t="n">
        <v>0</v>
      </c>
      <c r="CG53" s="505" t="n">
        <v>0.0334</v>
      </c>
      <c r="CH53" s="505" t="n">
        <v>10.4159128606155</v>
      </c>
      <c r="CI53" s="505" t="n">
        <v>3.307</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3.37994858611825</v>
      </c>
      <c r="BW54" s="369" t="n">
        <v>4.052</v>
      </c>
      <c r="BX54" s="370" t="n">
        <v>0.324623837003911</v>
      </c>
      <c r="BY54" s="370" t="n">
        <v>0.324623837003911</v>
      </c>
      <c r="BZ54" s="370" t="n">
        <v>1</v>
      </c>
      <c r="CA54" s="370" t="n">
        <v>0.0425314821265914</v>
      </c>
      <c r="CB54" s="370" t="n">
        <v>0.890550622336601</v>
      </c>
      <c r="CC54" s="505" t="n">
        <v>-0.0225</v>
      </c>
      <c r="CD54" s="505" t="n">
        <v>0.0075</v>
      </c>
      <c r="CE54" s="505" t="n">
        <v>0.75</v>
      </c>
      <c r="CF54" s="505" t="n">
        <v>0</v>
      </c>
      <c r="CG54" s="505" t="n">
        <v>0.0334</v>
      </c>
      <c r="CH54" s="505" t="n">
        <v>10.0267094568878</v>
      </c>
      <c r="CI54" s="505" t="n">
        <v>3.302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3.40565552699229</v>
      </c>
      <c r="BW55" s="369" t="n">
        <v>3.777</v>
      </c>
      <c r="BX55" s="370" t="n">
        <v>0.325957791635222</v>
      </c>
      <c r="BY55" s="370" t="n">
        <v>0.325957791635222</v>
      </c>
      <c r="BZ55" s="370" t="n">
        <v>1</v>
      </c>
      <c r="CA55" s="370" t="n">
        <v>0.0431331290786572</v>
      </c>
      <c r="CB55" s="370" t="n">
        <v>0.885996047822783</v>
      </c>
      <c r="CC55" s="505" t="n">
        <v>-0.0225</v>
      </c>
      <c r="CD55" s="505" t="n">
        <v>0.0075</v>
      </c>
      <c r="CE55" s="505" t="n">
        <v>0.45</v>
      </c>
      <c r="CF55" s="505" t="n">
        <v>0</v>
      </c>
      <c r="CG55" s="505" t="n">
        <v>0.0334</v>
      </c>
      <c r="CH55" s="505" t="n">
        <v>10.3079438191846</v>
      </c>
      <c r="CI55" s="505" t="n">
        <v>3.327</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3.55681233933162</v>
      </c>
      <c r="BW56" s="369" t="n">
        <v>3.929</v>
      </c>
      <c r="BX56" s="370" t="n">
        <v>0.331587939765235</v>
      </c>
      <c r="BY56" s="370" t="n">
        <v>0.331587939765235</v>
      </c>
      <c r="BZ56" s="370" t="n">
        <v>1</v>
      </c>
      <c r="CA56" s="370" t="n">
        <v>0.0437209690349563</v>
      </c>
      <c r="CB56" s="370" t="n">
        <v>0.881310319234489</v>
      </c>
      <c r="CC56" s="505" t="n">
        <v>-0.0225</v>
      </c>
      <c r="CD56" s="505" t="n">
        <v>0.0025</v>
      </c>
      <c r="CE56" s="505" t="n">
        <v>0.45</v>
      </c>
      <c r="CF56" s="505" t="n">
        <v>0</v>
      </c>
      <c r="CG56" s="505" t="n">
        <v>0.0334</v>
      </c>
      <c r="CH56" s="505" t="n">
        <v>9.92267288426111</v>
      </c>
      <c r="CI56" s="505" t="n">
        <v>3.479</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3.70385604113111</v>
      </c>
      <c r="BW57" s="369" t="n">
        <v>4.022</v>
      </c>
      <c r="BX57" s="370" t="n">
        <v>0.339212722084315</v>
      </c>
      <c r="BY57" s="370" t="n">
        <v>0.339212722084315</v>
      </c>
      <c r="BZ57" s="370" t="n">
        <v>1</v>
      </c>
      <c r="CA57" s="370" t="n">
        <v>0.044289846522211</v>
      </c>
      <c r="CB57" s="370" t="n">
        <v>0.876718225648428</v>
      </c>
      <c r="CC57" s="505" t="n">
        <v>-0.0225</v>
      </c>
      <c r="CD57" s="505" t="n">
        <v>0.0025</v>
      </c>
      <c r="CE57" s="505" t="n">
        <v>0.4</v>
      </c>
      <c r="CF57" s="505" t="n">
        <v>0</v>
      </c>
      <c r="CG57" s="505" t="n">
        <v>0.0334</v>
      </c>
      <c r="CH57" s="505" t="n">
        <v>10.2000028526615</v>
      </c>
      <c r="CI57" s="505" t="n">
        <v>3.622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3.76555269922879</v>
      </c>
      <c r="BW58" s="369" t="n">
        <v>4.032</v>
      </c>
      <c r="BX58" s="370" t="n">
        <v>0.338699959673164</v>
      </c>
      <c r="BY58" s="370" t="n">
        <v>0.338699959673164</v>
      </c>
      <c r="BZ58" s="370" t="n">
        <v>1</v>
      </c>
      <c r="CA58" s="370" t="n">
        <v>0.0448548874957364</v>
      </c>
      <c r="CB58" s="370" t="n">
        <v>0.871974921810256</v>
      </c>
      <c r="CC58" s="505" t="n">
        <v>-0.0225</v>
      </c>
      <c r="CD58" s="505" t="n">
        <v>0.0025</v>
      </c>
      <c r="CE58" s="505" t="n">
        <v>0.35</v>
      </c>
      <c r="CF58" s="505" t="n">
        <v>0</v>
      </c>
      <c r="CG58" s="505" t="n">
        <v>0.0334</v>
      </c>
      <c r="CH58" s="505" t="n">
        <v>10.1448178328171</v>
      </c>
      <c r="CI58" s="505" t="n">
        <v>3.682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3.67814910025707</v>
      </c>
      <c r="BW59" s="369" t="n">
        <v>3.947</v>
      </c>
      <c r="BX59" s="370" t="n">
        <v>0.334167550636186</v>
      </c>
      <c r="BY59" s="370" t="n">
        <v>0.334167550636186</v>
      </c>
      <c r="BZ59" s="370" t="n">
        <v>1</v>
      </c>
      <c r="CA59" s="370" t="n">
        <v>0.0454011527523237</v>
      </c>
      <c r="CB59" s="370" t="n">
        <v>0.867226855595254</v>
      </c>
      <c r="CC59" s="505" t="n">
        <v>-0.0225</v>
      </c>
      <c r="CD59" s="505" t="n">
        <v>0.0025</v>
      </c>
      <c r="CE59" s="505" t="n">
        <v>0.35</v>
      </c>
      <c r="CF59" s="505" t="n">
        <v>0</v>
      </c>
      <c r="CG59" s="505" t="n">
        <v>0.0334</v>
      </c>
      <c r="CH59" s="505" t="n">
        <v>9.11316668933717</v>
      </c>
      <c r="CI59" s="505" t="n">
        <v>3.597</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3.54447300771208</v>
      </c>
      <c r="BW60" s="369" t="n">
        <v>3.867</v>
      </c>
      <c r="BX60" s="370" t="n">
        <v>0.317268038421172</v>
      </c>
      <c r="BY60" s="370" t="n">
        <v>0.317268038421172</v>
      </c>
      <c r="BZ60" s="370" t="n">
        <v>1</v>
      </c>
      <c r="CA60" s="370" t="n">
        <v>0.0458945537150708</v>
      </c>
      <c r="CB60" s="370" t="n">
        <v>0.862893591140207</v>
      </c>
      <c r="CC60" s="505" t="n">
        <v>-0.0225</v>
      </c>
      <c r="CD60" s="505" t="n">
        <v>0.0025</v>
      </c>
      <c r="CE60" s="505" t="n">
        <v>0.4</v>
      </c>
      <c r="CF60" s="505" t="n">
        <v>0</v>
      </c>
      <c r="CG60" s="505" t="n">
        <v>0.0334</v>
      </c>
      <c r="CH60" s="505" t="n">
        <v>10.0391629074025</v>
      </c>
      <c r="CI60" s="505" t="n">
        <v>3.467</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3.36452442159383</v>
      </c>
      <c r="BW61" s="369" t="n">
        <v>3.882</v>
      </c>
      <c r="BX61" s="370" t="n">
        <v>0.29897490298836</v>
      </c>
      <c r="BY61" s="370" t="n">
        <v>0.29897490298836</v>
      </c>
      <c r="BZ61" s="370" t="n">
        <v>1</v>
      </c>
      <c r="CA61" s="370" t="n">
        <v>0.0464010564150716</v>
      </c>
      <c r="CB61" s="370" t="n">
        <v>0.85815886093194</v>
      </c>
      <c r="CC61" s="505" t="n">
        <v>-0.0175</v>
      </c>
      <c r="CD61" s="505" t="n">
        <v>0.0075</v>
      </c>
      <c r="CE61" s="505" t="n">
        <v>0.6</v>
      </c>
      <c r="CF61" s="505" t="n">
        <v>0</v>
      </c>
      <c r="CG61" s="505" t="n">
        <v>0.0334</v>
      </c>
      <c r="CH61" s="505" t="n">
        <v>9.66201061523271</v>
      </c>
      <c r="CI61" s="505" t="n">
        <v>3.282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3.35938303341902</v>
      </c>
      <c r="BW62" s="369" t="n">
        <v>4.027</v>
      </c>
      <c r="BX62" s="370" t="n">
        <v>0.292521362466059</v>
      </c>
      <c r="BY62" s="370" t="n">
        <v>0.292521362466059</v>
      </c>
      <c r="BZ62" s="370" t="n">
        <v>1</v>
      </c>
      <c r="CA62" s="370" t="n">
        <v>0.0468566770502532</v>
      </c>
      <c r="CB62" s="370" t="n">
        <v>0.853632083295416</v>
      </c>
      <c r="CC62" s="505" t="n">
        <v>-0.0175</v>
      </c>
      <c r="CD62" s="505" t="n">
        <v>0.0075</v>
      </c>
      <c r="CE62" s="505" t="n">
        <v>0.75</v>
      </c>
      <c r="CF62" s="505" t="n">
        <v>0</v>
      </c>
      <c r="CG62" s="505" t="n">
        <v>0.0334</v>
      </c>
      <c r="CH62" s="505" t="n">
        <v>9.93141174668386</v>
      </c>
      <c r="CI62" s="505" t="n">
        <v>3.277</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3.39794344473008</v>
      </c>
      <c r="BW63" s="369" t="n">
        <v>4.162</v>
      </c>
      <c r="BX63" s="370" t="n">
        <v>0.292382455013977</v>
      </c>
      <c r="BY63" s="370" t="n">
        <v>0.292382455013977</v>
      </c>
      <c r="BZ63" s="370" t="n">
        <v>1</v>
      </c>
      <c r="CA63" s="370" t="n">
        <v>0.0473274851128664</v>
      </c>
      <c r="CB63" s="370" t="n">
        <v>0.848914575635623</v>
      </c>
      <c r="CC63" s="505" t="n">
        <v>-0.015</v>
      </c>
      <c r="CD63" s="505" t="n">
        <v>0.0075</v>
      </c>
      <c r="CE63" s="505" t="n">
        <v>0.85</v>
      </c>
      <c r="CF63" s="505" t="n">
        <v>0</v>
      </c>
      <c r="CG63" s="505" t="n">
        <v>0.0334</v>
      </c>
      <c r="CH63" s="505" t="n">
        <v>9.55792920708148</v>
      </c>
      <c r="CI63" s="505" t="n">
        <v>3.312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3.43907455012853</v>
      </c>
      <c r="BW64" s="369" t="n">
        <v>4.402</v>
      </c>
      <c r="BX64" s="370" t="n">
        <v>0.288480838532972</v>
      </c>
      <c r="BY64" s="370" t="n">
        <v>0.288480838532972</v>
      </c>
      <c r="BZ64" s="370" t="n">
        <v>1</v>
      </c>
      <c r="CA64" s="370" t="n">
        <v>0.047760481058801</v>
      </c>
      <c r="CB64" s="370" t="n">
        <v>0.844378469838596</v>
      </c>
      <c r="CC64" s="505" t="n">
        <v>-0.015</v>
      </c>
      <c r="CD64" s="505" t="n">
        <v>0.0075</v>
      </c>
      <c r="CE64" s="505" t="n">
        <v>1.05</v>
      </c>
      <c r="CF64" s="505" t="n">
        <v>0</v>
      </c>
      <c r="CG64" s="505" t="n">
        <v>0.0334</v>
      </c>
      <c r="CH64" s="505" t="n">
        <v>9.82375243164318</v>
      </c>
      <c r="CI64" s="505" t="n">
        <v>3.352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3.48020565552699</v>
      </c>
      <c r="BW65" s="369" t="n">
        <v>4.442</v>
      </c>
      <c r="BX65" s="370" t="n">
        <v>0.289450621554524</v>
      </c>
      <c r="BY65" s="370" t="n">
        <v>0.289450621554524</v>
      </c>
      <c r="BZ65" s="370" t="n">
        <v>1</v>
      </c>
      <c r="CA65" s="370" t="n">
        <v>0.0481861434694211</v>
      </c>
      <c r="CB65" s="370" t="n">
        <v>0.839721100096823</v>
      </c>
      <c r="CC65" s="505" t="n">
        <v>-0.015</v>
      </c>
      <c r="CD65" s="505" t="n">
        <v>0.0075</v>
      </c>
      <c r="CE65" s="505" t="n">
        <v>1.05</v>
      </c>
      <c r="CF65" s="505" t="n">
        <v>0</v>
      </c>
      <c r="CG65" s="505" t="n">
        <v>0.0334</v>
      </c>
      <c r="CH65" s="505" t="n">
        <v>9.76956719485647</v>
      </c>
      <c r="CI65" s="505" t="n">
        <v>3.392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3.46992287917738</v>
      </c>
      <c r="BW66" s="369" t="n">
        <v>4.137</v>
      </c>
      <c r="BX66" s="370" t="n">
        <v>0.289213048318682</v>
      </c>
      <c r="BY66" s="370" t="n">
        <v>0.289213048318682</v>
      </c>
      <c r="BZ66" s="370" t="n">
        <v>1</v>
      </c>
      <c r="CA66" s="370" t="n">
        <v>0.0486118059405909</v>
      </c>
      <c r="CB66" s="370" t="n">
        <v>0.835030766033085</v>
      </c>
      <c r="CC66" s="505" t="n">
        <v>-0.02</v>
      </c>
      <c r="CD66" s="505" t="n">
        <v>0.0075</v>
      </c>
      <c r="CE66" s="505" t="n">
        <v>0.75</v>
      </c>
      <c r="CF66" s="505" t="n">
        <v>0</v>
      </c>
      <c r="CG66" s="505" t="n">
        <v>0.0334</v>
      </c>
      <c r="CH66" s="505" t="n">
        <v>9.4016113947665</v>
      </c>
      <c r="CI66" s="505" t="n">
        <v>3.387</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3.49562982005141</v>
      </c>
      <c r="BW67" s="369" t="n">
        <v>3.862</v>
      </c>
      <c r="BX67" s="370" t="n">
        <v>0.290354844679535</v>
      </c>
      <c r="BY67" s="370" t="n">
        <v>0.290354844679535</v>
      </c>
      <c r="BZ67" s="370" t="n">
        <v>1</v>
      </c>
      <c r="CA67" s="370" t="n">
        <v>0.0490091513549218</v>
      </c>
      <c r="CB67" s="370" t="n">
        <v>0.830506508545646</v>
      </c>
      <c r="CC67" s="505" t="n">
        <v>-0.02</v>
      </c>
      <c r="CD67" s="505" t="n">
        <v>0.0075</v>
      </c>
      <c r="CE67" s="505" t="n">
        <v>0.45</v>
      </c>
      <c r="CF67" s="505" t="n">
        <v>0</v>
      </c>
      <c r="CG67" s="505" t="n">
        <v>0.0334</v>
      </c>
      <c r="CH67" s="505" t="n">
        <v>9.66236187237261</v>
      </c>
      <c r="CI67" s="505" t="n">
        <v>3.412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3.64935732647815</v>
      </c>
      <c r="BW68" s="369" t="n">
        <v>4.014</v>
      </c>
      <c r="BX68" s="370" t="n">
        <v>0.295083048619696</v>
      </c>
      <c r="BY68" s="370" t="n">
        <v>0.295083048619696</v>
      </c>
      <c r="BZ68" s="370" t="n">
        <v>1</v>
      </c>
      <c r="CA68" s="370" t="n">
        <v>0.0493920179871608</v>
      </c>
      <c r="CB68" s="370" t="n">
        <v>0.825889768863549</v>
      </c>
      <c r="CC68" s="505" t="n">
        <v>-0.0175</v>
      </c>
      <c r="CD68" s="505" t="n">
        <v>0.0025</v>
      </c>
      <c r="CE68" s="505" t="n">
        <v>0.45</v>
      </c>
      <c r="CF68" s="505" t="n">
        <v>0</v>
      </c>
      <c r="CG68" s="505" t="n">
        <v>0.0334</v>
      </c>
      <c r="CH68" s="505" t="n">
        <v>9.2986929076347</v>
      </c>
      <c r="CI68" s="505" t="n">
        <v>3.564</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3.79640102827763</v>
      </c>
      <c r="BW69" s="369" t="n">
        <v>4.107</v>
      </c>
      <c r="BX69" s="370" t="n">
        <v>0.30158877782868</v>
      </c>
      <c r="BY69" s="370" t="n">
        <v>0.30158877782868</v>
      </c>
      <c r="BZ69" s="370" t="n">
        <v>1</v>
      </c>
      <c r="CA69" s="370" t="n">
        <v>0.0497625341294907</v>
      </c>
      <c r="CB69" s="370" t="n">
        <v>0.821397003079716</v>
      </c>
      <c r="CC69" s="505" t="n">
        <v>-0.0175</v>
      </c>
      <c r="CD69" s="505" t="n">
        <v>0.0025</v>
      </c>
      <c r="CE69" s="505" t="n">
        <v>0.4</v>
      </c>
      <c r="CF69" s="505" t="n">
        <v>0</v>
      </c>
      <c r="CG69" s="505" t="n">
        <v>0.0334</v>
      </c>
      <c r="CH69" s="505" t="n">
        <v>9.55637915293034</v>
      </c>
      <c r="CI69" s="505" t="n">
        <v>3.707</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3.85295629820051</v>
      </c>
      <c r="BW70" s="369" t="n">
        <v>4.112</v>
      </c>
      <c r="BX70" s="370" t="n">
        <v>0.301253958992461</v>
      </c>
      <c r="BY70" s="370" t="n">
        <v>0.301253958992461</v>
      </c>
      <c r="BZ70" s="370" t="n">
        <v>1</v>
      </c>
      <c r="CA70" s="370" t="n">
        <v>0.0501238670100874</v>
      </c>
      <c r="CB70" s="370" t="n">
        <v>0.816799555121222</v>
      </c>
      <c r="CC70" s="505" t="n">
        <v>-0.0175</v>
      </c>
      <c r="CD70" s="505" t="n">
        <v>0.0025</v>
      </c>
      <c r="CE70" s="505" t="n">
        <v>0.35</v>
      </c>
      <c r="CF70" s="505" t="n">
        <v>0</v>
      </c>
      <c r="CG70" s="505" t="n">
        <v>0.0334</v>
      </c>
      <c r="CH70" s="505" t="n">
        <v>9.50289106414684</v>
      </c>
      <c r="CI70" s="505" t="n">
        <v>3.762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3.76555269922879</v>
      </c>
      <c r="BW71" s="369" t="n">
        <v>4.027</v>
      </c>
      <c r="BX71" s="370" t="n">
        <v>0.294730625711485</v>
      </c>
      <c r="BY71" s="370" t="n">
        <v>0.294730625711485</v>
      </c>
      <c r="BZ71" s="370" t="n">
        <v>1</v>
      </c>
      <c r="CA71" s="370" t="n">
        <v>0.0504460474790935</v>
      </c>
      <c r="CB71" s="370" t="n">
        <v>0.812308871993658</v>
      </c>
      <c r="CC71" s="505" t="n">
        <v>-0.0175</v>
      </c>
      <c r="CD71" s="505" t="n">
        <v>0.0025</v>
      </c>
      <c r="CE71" s="505" t="n">
        <v>0.35</v>
      </c>
      <c r="CF71" s="505" t="n">
        <v>0</v>
      </c>
      <c r="CG71" s="505" t="n">
        <v>0.0334</v>
      </c>
      <c r="CH71" s="505" t="n">
        <v>8.53606655045815</v>
      </c>
      <c r="CI71" s="505" t="n">
        <v>3.677</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3.63701799485861</v>
      </c>
      <c r="BW72" s="369" t="n">
        <v>3.947</v>
      </c>
      <c r="BX72" s="370" t="n">
        <v>0.278899568705084</v>
      </c>
      <c r="BY72" s="370" t="n">
        <v>0.278899568705084</v>
      </c>
      <c r="BZ72" s="370" t="n">
        <v>1</v>
      </c>
      <c r="CA72" s="370" t="n">
        <v>0.0507370492228172</v>
      </c>
      <c r="CB72" s="370" t="n">
        <v>0.808237080144648</v>
      </c>
      <c r="CC72" s="505" t="n">
        <v>-0.0125</v>
      </c>
      <c r="CD72" s="505" t="n">
        <v>0.0025</v>
      </c>
      <c r="CE72" s="505" t="n">
        <v>0.4</v>
      </c>
      <c r="CF72" s="505" t="n">
        <v>0</v>
      </c>
      <c r="CG72" s="505" t="n">
        <v>0.0334</v>
      </c>
      <c r="CH72" s="505" t="n">
        <v>9.40327266152688</v>
      </c>
      <c r="CI72" s="505" t="n">
        <v>3.547</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3.45192802056555</v>
      </c>
      <c r="BW73" s="369" t="n">
        <v>3.962</v>
      </c>
      <c r="BX73" s="370" t="n">
        <v>0.251839821026274</v>
      </c>
      <c r="BY73" s="370" t="n">
        <v>0.251839821026274</v>
      </c>
      <c r="BZ73" s="370" t="n">
        <v>1</v>
      </c>
      <c r="CA73" s="370" t="n">
        <v>0.0510592297577648</v>
      </c>
      <c r="CB73" s="370" t="n">
        <v>0.803712195296429</v>
      </c>
      <c r="CC73" s="505" t="n">
        <v>-0.0125</v>
      </c>
      <c r="CD73" s="505" t="n">
        <v>0.0075</v>
      </c>
      <c r="CE73" s="505" t="n">
        <v>0.6</v>
      </c>
      <c r="CF73" s="505" t="n">
        <v>0</v>
      </c>
      <c r="CG73" s="505" t="n">
        <v>0.0334</v>
      </c>
      <c r="CH73" s="505" t="n">
        <v>9.0489956068425</v>
      </c>
      <c r="CI73" s="505" t="n">
        <v>3.362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3.44935732647815</v>
      </c>
      <c r="BW74" s="369" t="n">
        <v>4.107</v>
      </c>
      <c r="BX74" s="370" t="n">
        <v>0.24777576676848</v>
      </c>
      <c r="BY74" s="370" t="n">
        <v>0.24777576676848</v>
      </c>
      <c r="BZ74" s="370" t="n">
        <v>1</v>
      </c>
      <c r="CA74" s="370" t="n">
        <v>0.051371017405212</v>
      </c>
      <c r="CB74" s="370" t="n">
        <v>0.799316971929618</v>
      </c>
      <c r="CC74" s="505" t="n">
        <v>-0.01</v>
      </c>
      <c r="CD74" s="505" t="n">
        <v>0.0075</v>
      </c>
      <c r="CE74" s="505" t="n">
        <v>0.75</v>
      </c>
      <c r="CF74" s="505" t="n">
        <v>0</v>
      </c>
      <c r="CG74" s="505" t="n">
        <v>0.0334</v>
      </c>
      <c r="CH74" s="505" t="n">
        <v>9.29949344652076</v>
      </c>
      <c r="CI74" s="505" t="n">
        <v>3.357</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3.4853470437018</v>
      </c>
      <c r="BW75" s="369" t="n">
        <v>4.242</v>
      </c>
      <c r="BX75" s="370" t="n">
        <v>0.250088358245823</v>
      </c>
      <c r="BY75" s="370" t="n">
        <v>0.250088358245823</v>
      </c>
      <c r="BZ75" s="370" t="n">
        <v>1</v>
      </c>
      <c r="CA75" s="370" t="n">
        <v>0.0516931980083157</v>
      </c>
      <c r="CB75" s="370" t="n">
        <v>0.794758967227619</v>
      </c>
      <c r="CC75" s="505" t="n">
        <v>-0.01</v>
      </c>
      <c r="CD75" s="505" t="n">
        <v>0.0075</v>
      </c>
      <c r="CE75" s="505" t="n">
        <v>0.85</v>
      </c>
      <c r="CF75" s="505" t="n">
        <v>0</v>
      </c>
      <c r="CG75" s="505" t="n">
        <v>0.0334</v>
      </c>
      <c r="CH75" s="505" t="n">
        <v>8.94819121201577</v>
      </c>
      <c r="CI75" s="505" t="n">
        <v>3.392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3.52647814910026</v>
      </c>
      <c r="BW76" s="369" t="n">
        <v>4.482</v>
      </c>
      <c r="BX76" s="370" t="n">
        <v>0.251002615011208</v>
      </c>
      <c r="BY76" s="370" t="n">
        <v>0.251002615011208</v>
      </c>
      <c r="BZ76" s="370" t="n">
        <v>1</v>
      </c>
      <c r="CA76" s="370" t="n">
        <v>0.0520049857217106</v>
      </c>
      <c r="CB76" s="370" t="n">
        <v>0.790332792803782</v>
      </c>
      <c r="CC76" s="505" t="n">
        <v>-0.01</v>
      </c>
      <c r="CD76" s="505" t="n">
        <v>0.0075</v>
      </c>
      <c r="CE76" s="505" t="n">
        <v>1.05</v>
      </c>
      <c r="CF76" s="505" t="n">
        <v>0</v>
      </c>
      <c r="CG76" s="505" t="n">
        <v>0.0334</v>
      </c>
      <c r="CH76" s="505" t="n">
        <v>9.19496881131705</v>
      </c>
      <c r="CI76" s="505" t="n">
        <v>3.432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3.56246786632391</v>
      </c>
      <c r="BW77" s="369" t="n">
        <v>4.522</v>
      </c>
      <c r="BX77" s="370" t="n">
        <v>0.251887767191014</v>
      </c>
      <c r="BY77" s="370" t="n">
        <v>0.251887767191014</v>
      </c>
      <c r="BZ77" s="370" t="n">
        <v>1</v>
      </c>
      <c r="CA77" s="370" t="n">
        <v>0.0523271663929492</v>
      </c>
      <c r="CB77" s="370" t="n">
        <v>0.785743940633574</v>
      </c>
      <c r="CC77" s="505" t="n">
        <v>-0.015</v>
      </c>
      <c r="CD77" s="505" t="n">
        <v>0.0075</v>
      </c>
      <c r="CE77" s="505" t="n">
        <v>1.05</v>
      </c>
      <c r="CF77" s="505" t="n">
        <v>0</v>
      </c>
      <c r="CG77" s="505" t="n">
        <v>0.0334</v>
      </c>
      <c r="CH77" s="505" t="n">
        <v>9.1415807285132</v>
      </c>
      <c r="CI77" s="505" t="n">
        <v>3.472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3.5573264781491</v>
      </c>
      <c r="BW78" s="369" t="n">
        <v>4.217</v>
      </c>
      <c r="BX78" s="370" t="n">
        <v>0.251673457799918</v>
      </c>
      <c r="BY78" s="370" t="n">
        <v>0.251673457799918</v>
      </c>
      <c r="BZ78" s="370" t="n">
        <v>1</v>
      </c>
      <c r="CA78" s="370" t="n">
        <v>0.0526493470988063</v>
      </c>
      <c r="CB78" s="370" t="n">
        <v>0.781140280211496</v>
      </c>
      <c r="CC78" s="505" t="n">
        <v>-0.015</v>
      </c>
      <c r="CD78" s="505" t="n">
        <v>0.0075</v>
      </c>
      <c r="CE78" s="505" t="n">
        <v>0.75</v>
      </c>
      <c r="CF78" s="505" t="n">
        <v>0</v>
      </c>
      <c r="CG78" s="505" t="n">
        <v>0.0334</v>
      </c>
      <c r="CH78" s="505" t="n">
        <v>8.79485841490123</v>
      </c>
      <c r="CI78" s="505" t="n">
        <v>3.467</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3.58046272493573</v>
      </c>
      <c r="BW79" s="369" t="n">
        <v>3.942</v>
      </c>
      <c r="BX79" s="370" t="n">
        <v>0.252737151785216</v>
      </c>
      <c r="BY79" s="370" t="n">
        <v>0.252737151785216</v>
      </c>
      <c r="BZ79" s="370" t="n">
        <v>1</v>
      </c>
      <c r="CA79" s="370" t="n">
        <v>0.0529611349116244</v>
      </c>
      <c r="CB79" s="370" t="n">
        <v>0.776671575219578</v>
      </c>
      <c r="CC79" s="505" t="n">
        <v>-0.0175</v>
      </c>
      <c r="CD79" s="505" t="n">
        <v>0.0075</v>
      </c>
      <c r="CE79" s="505" t="n">
        <v>0.45</v>
      </c>
      <c r="CF79" s="505" t="n">
        <v>0</v>
      </c>
      <c r="CG79" s="505" t="n">
        <v>0.0334</v>
      </c>
      <c r="CH79" s="505" t="n">
        <v>9.03603010757713</v>
      </c>
      <c r="CI79" s="505" t="n">
        <v>3.492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3.73521850899743</v>
      </c>
      <c r="BW80" s="369" t="n">
        <v>4.094</v>
      </c>
      <c r="BX80" s="370" t="n">
        <v>0.257069016574414</v>
      </c>
      <c r="BY80" s="370" t="n">
        <v>0.257069016574414</v>
      </c>
      <c r="BZ80" s="370" t="n">
        <v>1</v>
      </c>
      <c r="CA80" s="370" t="n">
        <v>0.0532833156855848</v>
      </c>
      <c r="CB80" s="370" t="n">
        <v>0.772040478692847</v>
      </c>
      <c r="CC80" s="505" t="n">
        <v>-0.014</v>
      </c>
      <c r="CD80" s="505" t="n">
        <v>0.0025</v>
      </c>
      <c r="CE80" s="505" t="n">
        <v>0.45</v>
      </c>
      <c r="CF80" s="505" t="n">
        <v>0</v>
      </c>
      <c r="CG80" s="505" t="n">
        <v>0.0334</v>
      </c>
      <c r="CH80" s="505" t="n">
        <v>8.69240374960276</v>
      </c>
      <c r="CI80" s="505" t="n">
        <v>3.644</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3.88226221079692</v>
      </c>
      <c r="BW81" s="369" t="n">
        <v>4.187</v>
      </c>
      <c r="BX81" s="370" t="n">
        <v>0.263085311093791</v>
      </c>
      <c r="BY81" s="370" t="n">
        <v>0.263085311093791</v>
      </c>
      <c r="BZ81" s="370" t="n">
        <v>1</v>
      </c>
      <c r="CA81" s="370" t="n">
        <v>0.0535951035642985</v>
      </c>
      <c r="CB81" s="370" t="n">
        <v>0.767546312167612</v>
      </c>
      <c r="CC81" s="505" t="n">
        <v>-0.014</v>
      </c>
      <c r="CD81" s="505" t="n">
        <v>0.0025</v>
      </c>
      <c r="CE81" s="505" t="n">
        <v>0.4</v>
      </c>
      <c r="CF81" s="505" t="n">
        <v>0</v>
      </c>
      <c r="CG81" s="505" t="n">
        <v>0.0334</v>
      </c>
      <c r="CH81" s="505" t="n">
        <v>8.92986405965166</v>
      </c>
      <c r="CI81" s="505" t="n">
        <v>3.787</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3.93624678663239</v>
      </c>
      <c r="BW82" s="369" t="n">
        <v>4.1895</v>
      </c>
      <c r="BX82" s="370" t="n">
        <v>0.262833061218283</v>
      </c>
      <c r="BY82" s="370" t="n">
        <v>0.262833061218283</v>
      </c>
      <c r="BZ82" s="370" t="n">
        <v>1</v>
      </c>
      <c r="CA82" s="370" t="n">
        <v>0.0538548873933569</v>
      </c>
      <c r="CB82" s="370" t="n">
        <v>0.76312585991901</v>
      </c>
      <c r="CC82" s="505" t="n">
        <v>-0.014</v>
      </c>
      <c r="CD82" s="505" t="n">
        <v>0.0025</v>
      </c>
      <c r="CE82" s="505" t="n">
        <v>0.35</v>
      </c>
      <c r="CF82" s="505" t="n">
        <v>0</v>
      </c>
      <c r="CG82" s="505" t="n">
        <v>0.0334</v>
      </c>
      <c r="CH82" s="505" t="n">
        <v>8.87843519205574</v>
      </c>
      <c r="CI82" s="505" t="n">
        <v>3.8395</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3.84884318766067</v>
      </c>
      <c r="BW83" s="369" t="n">
        <v>4.1045</v>
      </c>
      <c r="BX83" s="370" t="n">
        <v>0.2425</v>
      </c>
      <c r="BY83" s="370" t="n">
        <v>0.2425</v>
      </c>
      <c r="BZ83" s="370" t="n">
        <v>0</v>
      </c>
      <c r="CA83" s="370" t="n">
        <v>0.0540389034386073</v>
      </c>
      <c r="CB83" s="370" t="n">
        <v>0</v>
      </c>
      <c r="CC83" s="505" t="n">
        <v>-0.014</v>
      </c>
      <c r="CD83" s="505" t="n">
        <v>0.0025</v>
      </c>
      <c r="CE83" s="505" t="n">
        <v>0.35</v>
      </c>
      <c r="CF83" s="505" t="n">
        <v>0</v>
      </c>
      <c r="CG83" s="505" t="n">
        <v>0.0334</v>
      </c>
      <c r="CH83" s="505" t="n">
        <v>0</v>
      </c>
      <c r="CI83" s="505" t="n">
        <v>3.7545</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3.84884318766067</v>
      </c>
      <c r="BW84" s="369" t="n">
        <v>4.1045</v>
      </c>
      <c r="BX84" s="370" t="n">
        <v>0.2425</v>
      </c>
      <c r="BY84" s="370" t="n">
        <v>0.2425</v>
      </c>
      <c r="BZ84" s="370" t="n">
        <v>0</v>
      </c>
      <c r="CA84" s="370" t="n">
        <v>0.0540389034386073</v>
      </c>
      <c r="CB84" s="370" t="n">
        <v>0</v>
      </c>
      <c r="CC84" s="505" t="n">
        <v>-0.014</v>
      </c>
      <c r="CD84" s="505" t="n">
        <v>0.0025</v>
      </c>
      <c r="CE84" s="505" t="n">
        <v>0.35</v>
      </c>
      <c r="CF84" s="505" t="n">
        <v>0</v>
      </c>
      <c r="CG84" s="505" t="n">
        <v>0.0334</v>
      </c>
      <c r="CH84" s="505" t="n">
        <v>0</v>
      </c>
      <c r="CI84" s="505" t="n">
        <v>3.7545</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3.84884318766067</v>
      </c>
      <c r="BW85" s="369" t="n">
        <v>4.1045</v>
      </c>
      <c r="BX85" s="370" t="n">
        <v>0.2425</v>
      </c>
      <c r="BY85" s="370" t="n">
        <v>0.2425</v>
      </c>
      <c r="BZ85" s="370" t="n">
        <v>0</v>
      </c>
      <c r="CA85" s="370" t="n">
        <v>0.0540389034386073</v>
      </c>
      <c r="CB85" s="370" t="n">
        <v>0</v>
      </c>
      <c r="CC85" s="505" t="n">
        <v>-0.014</v>
      </c>
      <c r="CD85" s="505" t="n">
        <v>0.0025</v>
      </c>
      <c r="CE85" s="505" t="n">
        <v>0.35</v>
      </c>
      <c r="CF85" s="505" t="n">
        <v>0</v>
      </c>
      <c r="CG85" s="505" t="n">
        <v>0.0334</v>
      </c>
      <c r="CH85" s="505" t="n">
        <v>0</v>
      </c>
      <c r="CI85" s="505" t="n">
        <v>3.7545</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3.84884318766067</v>
      </c>
      <c r="BW86" s="369" t="n">
        <v>4.1045</v>
      </c>
      <c r="BX86" s="370" t="n">
        <v>0.2425</v>
      </c>
      <c r="BY86" s="370" t="n">
        <v>0.2425</v>
      </c>
      <c r="BZ86" s="370" t="n">
        <v>0</v>
      </c>
      <c r="CA86" s="370" t="n">
        <v>0.0540389034386073</v>
      </c>
      <c r="CB86" s="370" t="n">
        <v>0</v>
      </c>
      <c r="CC86" s="505" t="n">
        <v>-0.014</v>
      </c>
      <c r="CD86" s="505" t="n">
        <v>0.0025</v>
      </c>
      <c r="CE86" s="505" t="n">
        <v>0.35</v>
      </c>
      <c r="CF86" s="505" t="n">
        <v>0</v>
      </c>
      <c r="CG86" s="505" t="n">
        <v>0.0334</v>
      </c>
      <c r="CH86" s="505" t="n">
        <v>0</v>
      </c>
      <c r="CI86" s="505" t="n">
        <v>3.7545</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3.84884318766067</v>
      </c>
      <c r="BW87" s="369" t="n">
        <v>4.1045</v>
      </c>
      <c r="BX87" s="370" t="n">
        <v>0.2425</v>
      </c>
      <c r="BY87" s="370" t="n">
        <v>0.2425</v>
      </c>
      <c r="BZ87" s="370" t="n">
        <v>0</v>
      </c>
      <c r="CA87" s="370" t="n">
        <v>0.0540389034386073</v>
      </c>
      <c r="CB87" s="370" t="n">
        <v>0</v>
      </c>
      <c r="CC87" s="505" t="n">
        <v>-0.014</v>
      </c>
      <c r="CD87" s="505" t="n">
        <v>0.0025</v>
      </c>
      <c r="CE87" s="505" t="n">
        <v>0.35</v>
      </c>
      <c r="CF87" s="505" t="n">
        <v>0</v>
      </c>
      <c r="CG87" s="505" t="n">
        <v>0.0334</v>
      </c>
      <c r="CH87" s="505" t="n">
        <v>0</v>
      </c>
      <c r="CI87" s="505" t="n">
        <v>3.7545</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3.84884318766067</v>
      </c>
      <c r="BW88" s="369" t="n">
        <v>4.1045</v>
      </c>
      <c r="BX88" s="370" t="n">
        <v>0.2425</v>
      </c>
      <c r="BY88" s="370" t="n">
        <v>0.2425</v>
      </c>
      <c r="BZ88" s="370" t="n">
        <v>0</v>
      </c>
      <c r="CA88" s="370" t="n">
        <v>0.0540389034386073</v>
      </c>
      <c r="CB88" s="370" t="n">
        <v>0</v>
      </c>
      <c r="CC88" s="505" t="n">
        <v>-0.014</v>
      </c>
      <c r="CD88" s="505" t="n">
        <v>0.0025</v>
      </c>
      <c r="CE88" s="505" t="n">
        <v>0.35</v>
      </c>
      <c r="CF88" s="505" t="n">
        <v>0</v>
      </c>
      <c r="CG88" s="505" t="n">
        <v>0.0334</v>
      </c>
      <c r="CH88" s="505" t="n">
        <v>0</v>
      </c>
      <c r="CI88" s="505" t="n">
        <v>3.7545</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3.84884318766067</v>
      </c>
      <c r="BW89" s="369" t="n">
        <v>4.1045</v>
      </c>
      <c r="BX89" s="370" t="n">
        <v>0.2425</v>
      </c>
      <c r="BY89" s="370" t="n">
        <v>0.2425</v>
      </c>
      <c r="BZ89" s="370" t="n">
        <v>0</v>
      </c>
      <c r="CA89" s="370" t="n">
        <v>0.0540389034386073</v>
      </c>
      <c r="CB89" s="370" t="n">
        <v>0</v>
      </c>
      <c r="CC89" s="505" t="n">
        <v>-0.014</v>
      </c>
      <c r="CD89" s="505" t="n">
        <v>0.0025</v>
      </c>
      <c r="CE89" s="505" t="n">
        <v>0.35</v>
      </c>
      <c r="CF89" s="505" t="n">
        <v>0</v>
      </c>
      <c r="CG89" s="505" t="n">
        <v>0.0334</v>
      </c>
      <c r="CH89" s="505" t="n">
        <v>0</v>
      </c>
      <c r="CI89" s="505" t="n">
        <v>3.7545</v>
      </c>
      <c r="CJ89" s="505"/>
      <c r="CK89" s="505"/>
      <c r="CL89" s="505"/>
      <c r="CM89" s="505"/>
    </row>
    <row r="90" customFormat="false" ht="12.75" hidden="false" customHeight="false" outlineLevel="0" collapsed="false">
      <c r="A90" s="500"/>
      <c r="B90" s="500"/>
      <c r="D90" s="95"/>
      <c r="E90" s="95"/>
      <c r="F90" s="95"/>
      <c r="G90" s="95"/>
      <c r="H90" s="95"/>
      <c r="I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U90" s="95"/>
      <c r="BV90" s="95"/>
    </row>
    <row r="91" customFormat="false" ht="12.75" hidden="false" customHeight="false" outlineLevel="0" collapsed="false">
      <c r="A91" s="500"/>
      <c r="B91" s="500"/>
      <c r="D91" s="95"/>
      <c r="E91" s="95"/>
      <c r="F91" s="95"/>
      <c r="G91" s="95"/>
      <c r="H91" s="95"/>
      <c r="I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U91" s="95"/>
      <c r="BV91" s="95"/>
    </row>
    <row r="92" customFormat="false" ht="12.75" hidden="false" customHeight="false" outlineLevel="0" collapsed="false">
      <c r="A92" s="500"/>
      <c r="B92" s="500"/>
      <c r="D92" s="95"/>
      <c r="E92" s="95"/>
      <c r="F92" s="95"/>
      <c r="G92" s="95"/>
      <c r="H92" s="95"/>
      <c r="I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U92" s="95"/>
      <c r="BV92" s="95"/>
    </row>
    <row r="93" customFormat="false" ht="12.75" hidden="false" customHeight="false" outlineLevel="0" collapsed="false">
      <c r="A93" s="500"/>
      <c r="B93" s="500"/>
      <c r="D93" s="95"/>
      <c r="E93" s="95"/>
      <c r="F93" s="95"/>
      <c r="G93" s="95"/>
      <c r="H93" s="95"/>
      <c r="I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U93" s="95"/>
      <c r="BV93" s="95"/>
    </row>
    <row r="94" customFormat="false" ht="12.75" hidden="false" customHeight="false" outlineLevel="0" collapsed="false">
      <c r="A94" s="500"/>
      <c r="B94" s="500"/>
      <c r="D94" s="95"/>
      <c r="E94" s="95"/>
      <c r="F94" s="95"/>
      <c r="G94" s="95"/>
      <c r="H94" s="95"/>
      <c r="I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U94" s="95"/>
      <c r="BV94" s="95"/>
    </row>
    <row r="95" customFormat="false" ht="12.75" hidden="false" customHeight="false" outlineLevel="0" collapsed="false">
      <c r="A95" s="500"/>
      <c r="B95" s="500"/>
      <c r="D95" s="95"/>
      <c r="E95" s="95"/>
      <c r="F95" s="95"/>
      <c r="G95" s="95"/>
      <c r="H95" s="95"/>
      <c r="I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U95" s="95"/>
      <c r="BV95" s="95"/>
    </row>
    <row r="96" customFormat="false" ht="12.75" hidden="false" customHeight="false" outlineLevel="0" collapsed="false">
      <c r="D96" s="95"/>
      <c r="E96" s="95"/>
      <c r="F96" s="95"/>
      <c r="G96" s="95"/>
      <c r="H96" s="95"/>
      <c r="I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U96" s="95"/>
      <c r="BV96" s="95"/>
    </row>
    <row r="97" customFormat="false" ht="12.75" hidden="false" customHeight="false" outlineLevel="0" collapsed="false">
      <c r="D97" s="95"/>
      <c r="E97" s="95"/>
      <c r="F97" s="95"/>
      <c r="G97" s="95"/>
      <c r="H97" s="95"/>
      <c r="I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U97" s="95"/>
      <c r="BV97" s="95"/>
    </row>
    <row r="98" customFormat="false" ht="12.75" hidden="false" customHeight="false" outlineLevel="0" collapsed="false">
      <c r="D98" s="95"/>
      <c r="E98" s="95"/>
      <c r="F98" s="95"/>
      <c r="G98" s="95"/>
      <c r="H98" s="95"/>
      <c r="I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U98" s="95"/>
      <c r="BV98" s="95"/>
    </row>
    <row r="99" customFormat="false" ht="12.75" hidden="false" customHeight="false" outlineLevel="0" collapsed="false">
      <c r="D99" s="95"/>
      <c r="E99" s="95"/>
      <c r="F99" s="95"/>
      <c r="G99" s="95"/>
      <c r="H99" s="95"/>
      <c r="I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U99" s="95"/>
      <c r="BV99" s="95"/>
    </row>
  </sheetData>
  <mergeCells count="99">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70"/>
  <sheetViews>
    <sheetView showFormulas="false" showGridLines="true" showRowColHeaders="true" showZeros="true" rightToLeft="false" tabSelected="false" showOutlineSymbols="true" defaultGridColor="true" view="normal" topLeftCell="O13" colorId="64" zoomScale="80" zoomScaleNormal="80" zoomScalePageLayoutView="100" workbookViewId="0">
      <selection pane="topLeft" activeCell="CI21" activeCellId="0" sqref="CI21:CI89"/>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53</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292891.65</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145061.68</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147829.98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426.66</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3130.98</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SUMPRODUCT(L22:L33,F22:F33)</f>
        <v>#VALUE!</v>
      </c>
      <c r="L10" s="414" t="s">
        <v>478</v>
      </c>
      <c r="M10" s="414"/>
      <c r="N10" s="400" t="e">
        <f aca="true">-SUMPRODUCT(INDIRECT(CONCATENATE(AV10,":",AW10)),INDIRECT(CONCATENATE($AX$7,":",$AY$7)),INDIRECT(CONCATENATE($AV$3,":",$AW$3)))</f>
        <v>#VALUE!</v>
      </c>
      <c r="O10" s="400" t="n">
        <v>-35887.92</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SUMPRODUCT(K22:K33,F22:F33)</f>
        <v>#VALUE!</v>
      </c>
      <c r="L11" s="425" t="s">
        <v>481</v>
      </c>
      <c r="M11" s="425"/>
      <c r="N11" s="426" t="e">
        <f aca="true">-SUMPRODUCT(INDIRECT(CONCATENATE(AV11,":",AW11)),INDIRECT(CONCATENATE($AV$2,":",$AW$2)),INDIRECT(CONCATENATE($AV$3,":",$AW$3)),INDIRECT(CONCATENATE(AX3,":",AY3)))</f>
        <v>#VALUE!</v>
      </c>
      <c r="O11" s="427" t="n">
        <v>-15545.8</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2780.84</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0.04</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28.86</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0.03</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-354.56</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29.2</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292890.69</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0.96</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2.86735218508997</v>
      </c>
      <c r="BW22" s="369" t="n">
        <v>3.196</v>
      </c>
      <c r="BX22" s="370" t="n">
        <v>0.952435996987834</v>
      </c>
      <c r="BY22" s="370" t="n">
        <v>0.952435996987834</v>
      </c>
      <c r="BZ22" s="370" t="n">
        <v>0.995516733028398</v>
      </c>
      <c r="CA22" s="370" t="n">
        <v>0.0187659081571607</v>
      </c>
      <c r="CB22" s="370" t="n">
        <v>0.998364899395796</v>
      </c>
      <c r="CC22" s="505" t="n">
        <v>-0.06</v>
      </c>
      <c r="CD22" s="505" t="n">
        <v>0.0025</v>
      </c>
      <c r="CE22" s="505" t="n">
        <v>0.35</v>
      </c>
      <c r="CF22" s="505" t="n">
        <v>0</v>
      </c>
      <c r="CG22" s="505" t="n">
        <v>0.0384</v>
      </c>
      <c r="CH22" s="505" t="n">
        <v>11.6152767490405</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2.93110539845758</v>
      </c>
      <c r="BW23" s="369" t="n">
        <v>3.258</v>
      </c>
      <c r="BX23" s="370" t="n">
        <v>0.906812181950228</v>
      </c>
      <c r="BY23" s="370" t="n">
        <v>0.906812181950228</v>
      </c>
      <c r="BZ23" s="370" t="n">
        <v>0.996461468562414</v>
      </c>
      <c r="CA23" s="370" t="n">
        <v>0.0193261872820063</v>
      </c>
      <c r="CB23" s="370" t="n">
        <v>0.996688029844541</v>
      </c>
      <c r="CC23" s="505" t="n">
        <v>-0.06</v>
      </c>
      <c r="CD23" s="505" t="n">
        <v>0.0025</v>
      </c>
      <c r="CE23" s="505" t="n">
        <v>0.35</v>
      </c>
      <c r="CF23" s="505" t="n">
        <v>0</v>
      </c>
      <c r="CG23" s="505" t="n">
        <v>0.0384</v>
      </c>
      <c r="CH23" s="505" t="n">
        <v>10.4735964928184</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2.92493573264782</v>
      </c>
      <c r="BW24" s="369" t="n">
        <v>3.302</v>
      </c>
      <c r="BX24" s="370" t="n">
        <v>0.79</v>
      </c>
      <c r="BY24" s="370" t="n">
        <v>0.79</v>
      </c>
      <c r="BZ24" s="370" t="n">
        <v>0.997918918918919</v>
      </c>
      <c r="CA24" s="370" t="n">
        <v>0.0192731753639035</v>
      </c>
      <c r="CB24" s="370" t="n">
        <v>0.99523258517239</v>
      </c>
      <c r="CC24" s="505" t="n">
        <v>-0.06</v>
      </c>
      <c r="CD24" s="505" t="n">
        <v>0.0025</v>
      </c>
      <c r="CE24" s="505" t="n">
        <v>0.4</v>
      </c>
      <c r="CF24" s="505" t="n">
        <v>0</v>
      </c>
      <c r="CG24" s="505" t="n">
        <v>0.0384</v>
      </c>
      <c r="CH24" s="505" t="n">
        <v>11.5788344656711</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2.8745501285347</v>
      </c>
      <c r="BW25" s="369" t="n">
        <v>3.448</v>
      </c>
      <c r="BX25" s="370" t="n">
        <v>0.600814487825059</v>
      </c>
      <c r="BY25" s="370" t="n">
        <v>0.600814487825059</v>
      </c>
      <c r="BZ25" s="370" t="n">
        <v>1</v>
      </c>
      <c r="CA25" s="370" t="n">
        <v>0.0194226401196236</v>
      </c>
      <c r="CB25" s="370" t="n">
        <v>0.993564587749983</v>
      </c>
      <c r="CC25" s="505" t="n">
        <v>-0.0575</v>
      </c>
      <c r="CD25" s="505" t="n">
        <v>0.005</v>
      </c>
      <c r="CE25" s="505" t="n">
        <v>0.6</v>
      </c>
      <c r="CF25" s="505" t="n">
        <v>0</v>
      </c>
      <c r="CG25" s="505" t="n">
        <v>0.0384</v>
      </c>
      <c r="CH25" s="505" t="n">
        <v>11.1865436934771</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2.8435</v>
      </c>
      <c r="BW26" s="369" t="n">
        <v>3.646</v>
      </c>
      <c r="BX26" s="370" t="n">
        <v>0.57775293402001</v>
      </c>
      <c r="BY26" s="370" t="n">
        <v>0.57775293402001</v>
      </c>
      <c r="BZ26" s="370" t="n">
        <v>1</v>
      </c>
      <c r="CA26" s="370" t="n">
        <v>0.019712159578257</v>
      </c>
      <c r="CB26" s="370" t="n">
        <v>0.991870109542169</v>
      </c>
      <c r="CC26" s="505" t="n">
        <v>-0.0575</v>
      </c>
      <c r="CD26" s="505" t="n">
        <v>0.005</v>
      </c>
      <c r="CE26" s="505" t="n">
        <v>0.75</v>
      </c>
      <c r="CF26" s="505" t="n">
        <v>0</v>
      </c>
      <c r="CG26" s="505" t="n">
        <v>0.005</v>
      </c>
      <c r="CH26" s="505" t="n">
        <v>0</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2.896</v>
      </c>
      <c r="BW27" s="369" t="n">
        <v>3.796</v>
      </c>
      <c r="BX27" s="370" t="n">
        <v>0.550221330219268</v>
      </c>
      <c r="BY27" s="370" t="n">
        <v>0.550221330219268</v>
      </c>
      <c r="BZ27" s="370" t="n">
        <v>1</v>
      </c>
      <c r="CA27" s="370" t="n">
        <v>0.0200113297153544</v>
      </c>
      <c r="CB27" s="370" t="n">
        <v>0.990073216017117</v>
      </c>
      <c r="CC27" s="505" t="n">
        <v>-0.055</v>
      </c>
      <c r="CD27" s="505" t="n">
        <v>0.005</v>
      </c>
      <c r="CE27" s="505" t="n">
        <v>0.85</v>
      </c>
      <c r="CF27" s="505" t="n">
        <v>0</v>
      </c>
      <c r="CG27" s="505" t="n">
        <v>0.005</v>
      </c>
      <c r="CH27" s="505" t="n">
        <v>0</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2.934</v>
      </c>
      <c r="BW28" s="369" t="n">
        <v>4.034</v>
      </c>
      <c r="BX28" s="370" t="n">
        <v>0.549290255131369</v>
      </c>
      <c r="BY28" s="370" t="n">
        <v>0.549290255131369</v>
      </c>
      <c r="BZ28" s="370" t="n">
        <v>1</v>
      </c>
      <c r="CA28" s="370" t="n">
        <v>0.0204286298094831</v>
      </c>
      <c r="CB28" s="370" t="n">
        <v>0.988217193800728</v>
      </c>
      <c r="CC28" s="505" t="n">
        <v>-0.055</v>
      </c>
      <c r="CD28" s="505" t="n">
        <v>0.005</v>
      </c>
      <c r="CE28" s="505" t="n">
        <v>1.05</v>
      </c>
      <c r="CF28" s="505" t="n">
        <v>0</v>
      </c>
      <c r="CG28" s="505" t="n">
        <v>0.005</v>
      </c>
      <c r="CH28" s="505" t="n">
        <v>0</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2.976</v>
      </c>
      <c r="BW29" s="369" t="n">
        <v>4.076</v>
      </c>
      <c r="BX29" s="370" t="n">
        <v>0.549894268674422</v>
      </c>
      <c r="BY29" s="370" t="n">
        <v>0.549894268674422</v>
      </c>
      <c r="BZ29" s="370" t="n">
        <v>1</v>
      </c>
      <c r="CA29" s="370" t="n">
        <v>0.021065008234304</v>
      </c>
      <c r="CB29" s="370" t="n">
        <v>0.986098940667972</v>
      </c>
      <c r="CC29" s="505" t="n">
        <v>-0.055</v>
      </c>
      <c r="CD29" s="505" t="n">
        <v>0.005</v>
      </c>
      <c r="CE29" s="505" t="n">
        <v>1.05</v>
      </c>
      <c r="CF29" s="505" t="n">
        <v>0</v>
      </c>
      <c r="CG29" s="505" t="n">
        <v>0.005</v>
      </c>
      <c r="CH29" s="505" t="n">
        <v>0</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2.963</v>
      </c>
      <c r="BW30" s="369" t="n">
        <v>3.768</v>
      </c>
      <c r="BX30" s="370" t="n">
        <v>0.548527673591454</v>
      </c>
      <c r="BY30" s="370" t="n">
        <v>0.548527673591454</v>
      </c>
      <c r="BZ30" s="370" t="n">
        <v>1</v>
      </c>
      <c r="CA30" s="370" t="n">
        <v>0.0217013867962765</v>
      </c>
      <c r="CB30" s="370" t="n">
        <v>0.983880178541275</v>
      </c>
      <c r="CC30" s="505" t="n">
        <v>-0.06</v>
      </c>
      <c r="CD30" s="505" t="n">
        <v>0.005</v>
      </c>
      <c r="CE30" s="505" t="n">
        <v>0.75</v>
      </c>
      <c r="CF30" s="505" t="n">
        <v>0</v>
      </c>
      <c r="CG30" s="505" t="n">
        <v>0.005</v>
      </c>
      <c r="CH30" s="505" t="n">
        <v>0</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3.06015424164524</v>
      </c>
      <c r="BW31" s="369" t="n">
        <v>3.481</v>
      </c>
      <c r="BX31" s="370" t="n">
        <v>0.5511830669082</v>
      </c>
      <c r="BY31" s="370" t="n">
        <v>0.5511830669082</v>
      </c>
      <c r="BZ31" s="370" t="n">
        <v>1</v>
      </c>
      <c r="CA31" s="370" t="n">
        <v>0.022410164045374</v>
      </c>
      <c r="CB31" s="370" t="n">
        <v>0.981562668478235</v>
      </c>
      <c r="CC31" s="505" t="n">
        <v>-0.06</v>
      </c>
      <c r="CD31" s="505" t="n">
        <v>0.005</v>
      </c>
      <c r="CE31" s="505" t="n">
        <v>0.45</v>
      </c>
      <c r="CF31" s="505" t="n">
        <v>0</v>
      </c>
      <c r="CG31" s="505" t="n">
        <v>0.0384</v>
      </c>
      <c r="CH31" s="505" t="n">
        <v>11.4197945538763</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3.25552699228792</v>
      </c>
      <c r="BW32" s="369" t="n">
        <v>3.661</v>
      </c>
      <c r="BX32" s="370" t="n">
        <v>0.557476031074478</v>
      </c>
      <c r="BY32" s="370" t="n">
        <v>0.557476031074478</v>
      </c>
      <c r="BZ32" s="370" t="n">
        <v>1</v>
      </c>
      <c r="CA32" s="370" t="n">
        <v>0.0232740649677528</v>
      </c>
      <c r="CB32" s="370" t="n">
        <v>0.97893835036076</v>
      </c>
      <c r="CC32" s="505" t="n">
        <v>-0.0525</v>
      </c>
      <c r="CD32" s="505" t="n">
        <v>0.0075</v>
      </c>
      <c r="CE32" s="505" t="n">
        <v>0.45</v>
      </c>
      <c r="CF32" s="505" t="n">
        <v>0</v>
      </c>
      <c r="CG32" s="505" t="n">
        <v>0.0384</v>
      </c>
      <c r="CH32" s="505" t="n">
        <v>11.0218668867118</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3.42005141388175</v>
      </c>
      <c r="BW33" s="369" t="n">
        <v>3.771</v>
      </c>
      <c r="BX33" s="370" t="n">
        <v>0.570790000341453</v>
      </c>
      <c r="BY33" s="370" t="n">
        <v>0.570790000341453</v>
      </c>
      <c r="BZ33" s="370" t="n">
        <v>1</v>
      </c>
      <c r="CA33" s="370" t="n">
        <v>0.024110098358836</v>
      </c>
      <c r="CB33" s="370" t="n">
        <v>0.976270925999808</v>
      </c>
      <c r="CC33" s="505" t="n">
        <v>-0.0525</v>
      </c>
      <c r="CD33" s="505" t="n">
        <v>0.0075</v>
      </c>
      <c r="CE33" s="505" t="n">
        <v>0.4</v>
      </c>
      <c r="CF33" s="505" t="n">
        <v>0</v>
      </c>
      <c r="CG33" s="505" t="n">
        <v>0.0384</v>
      </c>
      <c r="CH33" s="505" t="n">
        <v>11.3582288343596</v>
      </c>
      <c r="CI33" s="505" t="n">
        <v>3.371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3.49717223650386</v>
      </c>
      <c r="BW34" s="369" t="n">
        <v>3.796</v>
      </c>
      <c r="BX34" s="370" t="n">
        <v>0.56836354878586</v>
      </c>
      <c r="BY34" s="370" t="n">
        <v>0.56836354878586</v>
      </c>
      <c r="BZ34" s="370" t="n">
        <v>1</v>
      </c>
      <c r="CA34" s="370" t="n">
        <v>0.0250384261928196</v>
      </c>
      <c r="CB34" s="370" t="n">
        <v>0.97331647833328</v>
      </c>
      <c r="CC34" s="505" t="n">
        <v>-0.0525</v>
      </c>
      <c r="CD34" s="505" t="n">
        <v>0.0075</v>
      </c>
      <c r="CE34" s="505" t="n">
        <v>0.35</v>
      </c>
      <c r="CF34" s="505" t="n">
        <v>0</v>
      </c>
      <c r="CG34" s="505" t="n">
        <v>0.0374</v>
      </c>
      <c r="CH34" s="505" t="n">
        <v>11.3238559038729</v>
      </c>
      <c r="CI34" s="505" t="n">
        <v>3.446</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3.42005141388175</v>
      </c>
      <c r="BW35" s="369" t="n">
        <v>3.721</v>
      </c>
      <c r="BX35" s="370" t="n">
        <v>0.554353390063384</v>
      </c>
      <c r="BY35" s="370" t="n">
        <v>0.554353390063384</v>
      </c>
      <c r="BZ35" s="370" t="n">
        <v>1</v>
      </c>
      <c r="CA35" s="370" t="n">
        <v>0.0260449864197474</v>
      </c>
      <c r="CB35" s="370" t="n">
        <v>0.970132608451962</v>
      </c>
      <c r="CC35" s="505" t="n">
        <v>-0.0525</v>
      </c>
      <c r="CD35" s="505" t="n">
        <v>0.0075</v>
      </c>
      <c r="CE35" s="505" t="n">
        <v>0.35</v>
      </c>
      <c r="CF35" s="505" t="n">
        <v>0</v>
      </c>
      <c r="CG35" s="505" t="n">
        <v>0.0374</v>
      </c>
      <c r="CH35" s="505" t="n">
        <v>10.1945415026566</v>
      </c>
      <c r="CI35" s="505" t="n">
        <v>3.371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3.32750642673522</v>
      </c>
      <c r="BW36" s="369" t="n">
        <v>3.681</v>
      </c>
      <c r="BX36" s="370" t="n">
        <v>0.50293567145062</v>
      </c>
      <c r="BY36" s="370" t="n">
        <v>0.50293567145062</v>
      </c>
      <c r="BZ36" s="370" t="n">
        <v>1</v>
      </c>
      <c r="CA36" s="370" t="n">
        <v>0.0269541378866576</v>
      </c>
      <c r="CB36" s="370" t="n">
        <v>0.967126070368611</v>
      </c>
      <c r="CC36" s="505" t="n">
        <v>-0.0525</v>
      </c>
      <c r="CD36" s="505" t="n">
        <v>0.0075</v>
      </c>
      <c r="CE36" s="505" t="n">
        <v>0.4</v>
      </c>
      <c r="CF36" s="505" t="n">
        <v>0</v>
      </c>
      <c r="CG36" s="505" t="n">
        <v>0.0374</v>
      </c>
      <c r="CH36" s="505" t="n">
        <v>11.2518348404895</v>
      </c>
      <c r="CI36" s="505" t="n">
        <v>3.281</v>
      </c>
      <c r="CJ36" s="505"/>
      <c r="CK36" s="505"/>
      <c r="CL36" s="505"/>
      <c r="CM36" s="505"/>
    </row>
    <row r="37" customFormat="false" ht="12.75" hidden="false" customHeight="false" outlineLevel="0" collapsed="false">
      <c r="A37" s="500"/>
      <c r="B37" s="500"/>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3.16555269922879</v>
      </c>
      <c r="BW37" s="369" t="n">
        <v>3.726</v>
      </c>
      <c r="BX37" s="370" t="n">
        <v>0.388875549675273</v>
      </c>
      <c r="BY37" s="370" t="n">
        <v>0.388875549675273</v>
      </c>
      <c r="BZ37" s="370" t="n">
        <v>1</v>
      </c>
      <c r="CA37" s="370" t="n">
        <v>0.0279745964320606</v>
      </c>
      <c r="CB37" s="370" t="n">
        <v>0.963636615990319</v>
      </c>
      <c r="CC37" s="505" t="n">
        <v>-0.055</v>
      </c>
      <c r="CD37" s="505" t="n">
        <v>0.0075</v>
      </c>
      <c r="CE37" s="505" t="n">
        <v>0.6</v>
      </c>
      <c r="CF37" s="505" t="n">
        <v>0</v>
      </c>
      <c r="CG37" s="505" t="n">
        <v>0.0374</v>
      </c>
      <c r="CH37" s="505" t="n">
        <v>10.849584659435</v>
      </c>
      <c r="CI37" s="505" t="n">
        <v>3.126</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3.0795</v>
      </c>
      <c r="BW38" s="369" t="n">
        <v>3.877</v>
      </c>
      <c r="BX38" s="370" t="n">
        <v>0.376159329765107</v>
      </c>
      <c r="BY38" s="370" t="n">
        <v>0.376159329765107</v>
      </c>
      <c r="BZ38" s="370" t="n">
        <v>1</v>
      </c>
      <c r="CA38" s="370" t="n">
        <v>0.0289631800763801</v>
      </c>
      <c r="CB38" s="370" t="n">
        <v>0.960114752892753</v>
      </c>
      <c r="CC38" s="505" t="n">
        <v>-0.055</v>
      </c>
      <c r="CD38" s="505" t="n">
        <v>0.0075</v>
      </c>
      <c r="CE38" s="505" t="n">
        <v>0.75</v>
      </c>
      <c r="CF38" s="505" t="n">
        <v>0</v>
      </c>
      <c r="CG38" s="505" t="n">
        <v>0.004</v>
      </c>
      <c r="CH38" s="505" t="n">
        <v>0</v>
      </c>
      <c r="CI38" s="505" t="n">
        <v>3.127</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3.117</v>
      </c>
      <c r="BW39" s="369" t="n">
        <v>4.012</v>
      </c>
      <c r="BX39" s="370" t="n">
        <v>0.375845949287242</v>
      </c>
      <c r="BY39" s="370" t="n">
        <v>0.375845949287242</v>
      </c>
      <c r="BZ39" s="370" t="n">
        <v>1</v>
      </c>
      <c r="CA39" s="370" t="n">
        <v>0.0299847168551968</v>
      </c>
      <c r="CB39" s="370" t="n">
        <v>0.956328852591432</v>
      </c>
      <c r="CC39" s="505" t="n">
        <v>-0.0525</v>
      </c>
      <c r="CD39" s="505" t="n">
        <v>0.0075</v>
      </c>
      <c r="CE39" s="505" t="n">
        <v>0.85</v>
      </c>
      <c r="CF39" s="505" t="n">
        <v>0</v>
      </c>
      <c r="CG39" s="505" t="n">
        <v>0.004</v>
      </c>
      <c r="CH39" s="505" t="n">
        <v>0</v>
      </c>
      <c r="CI39" s="505" t="n">
        <v>3.162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3.159</v>
      </c>
      <c r="BW40" s="369" t="n">
        <v>4.254</v>
      </c>
      <c r="BX40" s="370" t="n">
        <v>0.377568797335415</v>
      </c>
      <c r="BY40" s="370" t="n">
        <v>0.377568797335415</v>
      </c>
      <c r="BZ40" s="370" t="n">
        <v>1</v>
      </c>
      <c r="CA40" s="370" t="n">
        <v>0.0309652793004798</v>
      </c>
      <c r="CB40" s="370" t="n">
        <v>0.95253693379797</v>
      </c>
      <c r="CC40" s="505" t="n">
        <v>-0.0525</v>
      </c>
      <c r="CD40" s="505" t="n">
        <v>0.0075</v>
      </c>
      <c r="CE40" s="505" t="n">
        <v>1.05</v>
      </c>
      <c r="CF40" s="505" t="n">
        <v>0</v>
      </c>
      <c r="CG40" s="505" t="n">
        <v>0.004</v>
      </c>
      <c r="CH40" s="505" t="n">
        <v>0</v>
      </c>
      <c r="CI40" s="505" t="n">
        <v>3.204</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3.201</v>
      </c>
      <c r="BW41" s="369" t="n">
        <v>4.296</v>
      </c>
      <c r="BX41" s="370" t="n">
        <v>0.37917572731747</v>
      </c>
      <c r="BY41" s="370" t="n">
        <v>0.37917572731747</v>
      </c>
      <c r="BZ41" s="370" t="n">
        <v>1</v>
      </c>
      <c r="CA41" s="370" t="n">
        <v>0.0319670833322725</v>
      </c>
      <c r="CB41" s="370" t="n">
        <v>0.948494893378275</v>
      </c>
      <c r="CC41" s="505" t="n">
        <v>-0.0525</v>
      </c>
      <c r="CD41" s="505" t="n">
        <v>0.0075</v>
      </c>
      <c r="CE41" s="505" t="n">
        <v>1.05</v>
      </c>
      <c r="CF41" s="505" t="n">
        <v>0</v>
      </c>
      <c r="CG41" s="505" t="n">
        <v>0.004</v>
      </c>
      <c r="CH41" s="505" t="n">
        <v>0</v>
      </c>
      <c r="CI41" s="505" t="n">
        <v>3.246</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3.191</v>
      </c>
      <c r="BW42" s="369" t="n">
        <v>3.991</v>
      </c>
      <c r="BX42" s="370" t="n">
        <v>0.376255879342064</v>
      </c>
      <c r="BY42" s="370" t="n">
        <v>0.376255879342064</v>
      </c>
      <c r="BZ42" s="370" t="n">
        <v>1</v>
      </c>
      <c r="CA42" s="370" t="n">
        <v>0.032968887702129</v>
      </c>
      <c r="CB42" s="370" t="n">
        <v>0.944312700032904</v>
      </c>
      <c r="CC42" s="505" t="n">
        <v>-0.0575</v>
      </c>
      <c r="CD42" s="505" t="n">
        <v>0.0075</v>
      </c>
      <c r="CE42" s="505" t="n">
        <v>0.75</v>
      </c>
      <c r="CF42" s="505" t="n">
        <v>0</v>
      </c>
      <c r="CG42" s="505" t="n">
        <v>0.004</v>
      </c>
      <c r="CH42" s="505" t="n">
        <v>0</v>
      </c>
      <c r="CI42" s="505" t="n">
        <v>3.241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3.30796915167095</v>
      </c>
      <c r="BW43" s="369" t="n">
        <v>3.717</v>
      </c>
      <c r="BX43" s="370" t="n">
        <v>0.38041410598552</v>
      </c>
      <c r="BY43" s="370" t="n">
        <v>0.38041410598552</v>
      </c>
      <c r="BZ43" s="370" t="n">
        <v>1</v>
      </c>
      <c r="CA43" s="370" t="n">
        <v>0.0339067018220711</v>
      </c>
      <c r="CB43" s="370" t="n">
        <v>0.940187685777986</v>
      </c>
      <c r="CC43" s="505" t="n">
        <v>-0.0575</v>
      </c>
      <c r="CD43" s="505" t="n">
        <v>0.0075</v>
      </c>
      <c r="CE43" s="505" t="n">
        <v>0.45</v>
      </c>
      <c r="CF43" s="505" t="n">
        <v>0</v>
      </c>
      <c r="CG43" s="505" t="n">
        <v>0.0374</v>
      </c>
      <c r="CH43" s="505" t="n">
        <v>10.9384255926468</v>
      </c>
      <c r="CI43" s="505" t="n">
        <v>3.267</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3.45449871465296</v>
      </c>
      <c r="BW44" s="369" t="n">
        <v>3.852</v>
      </c>
      <c r="BX44" s="370" t="n">
        <v>0.385609740274895</v>
      </c>
      <c r="BY44" s="370" t="n">
        <v>0.385609740274895</v>
      </c>
      <c r="BZ44" s="370" t="n">
        <v>1</v>
      </c>
      <c r="CA44" s="370" t="n">
        <v>0.0348361539671314</v>
      </c>
      <c r="CB44" s="370" t="n">
        <v>0.93586587426758</v>
      </c>
      <c r="CC44" s="505" t="n">
        <v>-0.05</v>
      </c>
      <c r="CD44" s="505" t="n">
        <v>0.0075</v>
      </c>
      <c r="CE44" s="505" t="n">
        <v>0.45</v>
      </c>
      <c r="CF44" s="505" t="n">
        <v>0</v>
      </c>
      <c r="CG44" s="505" t="n">
        <v>0.0374</v>
      </c>
      <c r="CH44" s="505" t="n">
        <v>10.5369138783787</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3.59331619537275</v>
      </c>
      <c r="BW45" s="369" t="n">
        <v>3.937</v>
      </c>
      <c r="BX45" s="370" t="n">
        <v>0.395540413143884</v>
      </c>
      <c r="BY45" s="370" t="n">
        <v>0.395540413143884</v>
      </c>
      <c r="BZ45" s="370" t="n">
        <v>1</v>
      </c>
      <c r="CA45" s="370" t="n">
        <v>0.0357356240616102</v>
      </c>
      <c r="CB45" s="370" t="n">
        <v>0.931565547567078</v>
      </c>
      <c r="CC45" s="505" t="n">
        <v>-0.05</v>
      </c>
      <c r="CD45" s="505" t="n">
        <v>0.0075</v>
      </c>
      <c r="CE45" s="505" t="n">
        <v>0.4</v>
      </c>
      <c r="CF45" s="505" t="n">
        <v>0</v>
      </c>
      <c r="CG45" s="505" t="n">
        <v>0.0374</v>
      </c>
      <c r="CH45" s="505" t="n">
        <v>10.8381130500597</v>
      </c>
      <c r="CI45" s="505" t="n">
        <v>3.537</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3.65501285347044</v>
      </c>
      <c r="BW46" s="369" t="n">
        <v>3.947</v>
      </c>
      <c r="BX46" s="370" t="n">
        <v>0.392965652353069</v>
      </c>
      <c r="BY46" s="370" t="n">
        <v>0.392965652353069</v>
      </c>
      <c r="BZ46" s="370" t="n">
        <v>1</v>
      </c>
      <c r="CA46" s="370" t="n">
        <v>0.0366293995889575</v>
      </c>
      <c r="CB46" s="370" t="n">
        <v>0.927069774742957</v>
      </c>
      <c r="CC46" s="505" t="n">
        <v>-0.05</v>
      </c>
      <c r="CD46" s="505" t="n">
        <v>0.0075</v>
      </c>
      <c r="CE46" s="505" t="n">
        <v>0.35</v>
      </c>
      <c r="CF46" s="505" t="n">
        <v>0</v>
      </c>
      <c r="CG46" s="505" t="n">
        <v>0.0334</v>
      </c>
      <c r="CH46" s="505" t="n">
        <v>10.785807880292</v>
      </c>
      <c r="CI46" s="505" t="n">
        <v>3.597</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3.56760925449871</v>
      </c>
      <c r="BW47" s="369" t="n">
        <v>3.862</v>
      </c>
      <c r="BX47" s="370" t="n">
        <v>0.390732432296569</v>
      </c>
      <c r="BY47" s="370" t="n">
        <v>0.390732432296569</v>
      </c>
      <c r="BZ47" s="370" t="n">
        <v>1</v>
      </c>
      <c r="CA47" s="370" t="n">
        <v>0.0374851197051385</v>
      </c>
      <c r="CB47" s="370" t="n">
        <v>0.922533811762705</v>
      </c>
      <c r="CC47" s="505" t="n">
        <v>-0.05</v>
      </c>
      <c r="CD47" s="505" t="n">
        <v>0.0075</v>
      </c>
      <c r="CE47" s="505" t="n">
        <v>0.35</v>
      </c>
      <c r="CF47" s="505" t="n">
        <v>0</v>
      </c>
      <c r="CG47" s="505" t="n">
        <v>0.0334</v>
      </c>
      <c r="CH47" s="505" t="n">
        <v>10.0405812470818</v>
      </c>
      <c r="CI47" s="505" t="n">
        <v>3.512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3.43393316195373</v>
      </c>
      <c r="BW48" s="369" t="n">
        <v>3.782</v>
      </c>
      <c r="BX48" s="370" t="n">
        <v>0.366388286442151</v>
      </c>
      <c r="BY48" s="370" t="n">
        <v>0.366388286442151</v>
      </c>
      <c r="BZ48" s="370" t="n">
        <v>1</v>
      </c>
      <c r="CA48" s="370" t="n">
        <v>0.0382856322945879</v>
      </c>
      <c r="CB48" s="370" t="n">
        <v>0.918192690834127</v>
      </c>
      <c r="CC48" s="505" t="n">
        <v>-0.05</v>
      </c>
      <c r="CD48" s="505" t="n">
        <v>0.0075</v>
      </c>
      <c r="CE48" s="505" t="n">
        <v>0.4</v>
      </c>
      <c r="CF48" s="505" t="n">
        <v>0</v>
      </c>
      <c r="CG48" s="505" t="n">
        <v>0.0334</v>
      </c>
      <c r="CH48" s="505" t="n">
        <v>10.6825292229715</v>
      </c>
      <c r="CI48" s="505" t="n">
        <v>3.382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3.24113110539846</v>
      </c>
      <c r="BW49" s="369" t="n">
        <v>3.797</v>
      </c>
      <c r="BX49" s="370" t="n">
        <v>0.331357120013448</v>
      </c>
      <c r="BY49" s="370" t="n">
        <v>0.331357120013448</v>
      </c>
      <c r="BZ49" s="370" t="n">
        <v>1</v>
      </c>
      <c r="CA49" s="370" t="n">
        <v>0.0390847146165725</v>
      </c>
      <c r="CB49" s="370" t="n">
        <v>0.913567985593808</v>
      </c>
      <c r="CC49" s="505" t="n">
        <v>-0.0525</v>
      </c>
      <c r="CD49" s="505" t="n">
        <v>0.0075</v>
      </c>
      <c r="CE49" s="505" t="n">
        <v>0.6</v>
      </c>
      <c r="CF49" s="505" t="n">
        <v>0</v>
      </c>
      <c r="CG49" s="505" t="n">
        <v>0.0334</v>
      </c>
      <c r="CH49" s="505" t="n">
        <v>10.2858619498007</v>
      </c>
      <c r="CI49" s="505" t="n">
        <v>3.197</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3.147</v>
      </c>
      <c r="BW50" s="369" t="n">
        <v>3.942</v>
      </c>
      <c r="BX50" s="370" t="n">
        <v>0.327601342960546</v>
      </c>
      <c r="BY50" s="370" t="n">
        <v>0.327601342960546</v>
      </c>
      <c r="BZ50" s="370" t="n">
        <v>1</v>
      </c>
      <c r="CA50" s="370" t="n">
        <v>0.0397995549683068</v>
      </c>
      <c r="CB50" s="370" t="n">
        <v>0.909126089677525</v>
      </c>
      <c r="CC50" s="505" t="n">
        <v>-0.0525</v>
      </c>
      <c r="CD50" s="505" t="n">
        <v>0.0075</v>
      </c>
      <c r="CE50" s="505" t="n">
        <v>0.75</v>
      </c>
      <c r="CF50" s="505" t="n">
        <v>0</v>
      </c>
      <c r="CG50" s="505" t="n">
        <v>0</v>
      </c>
      <c r="CH50" s="505" t="n">
        <v>0</v>
      </c>
      <c r="CI50" s="505" t="n">
        <v>3.192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3.1845</v>
      </c>
      <c r="BW51" s="369" t="n">
        <v>4.077</v>
      </c>
      <c r="BX51" s="370" t="n">
        <v>0.322553846057612</v>
      </c>
      <c r="BY51" s="370" t="n">
        <v>0.322553846057612</v>
      </c>
      <c r="BZ51" s="370" t="n">
        <v>1</v>
      </c>
      <c r="CA51" s="370" t="n">
        <v>0.0405382235118998</v>
      </c>
      <c r="CB51" s="370" t="n">
        <v>0.904449976505324</v>
      </c>
      <c r="CC51" s="505" t="n">
        <v>-0.05</v>
      </c>
      <c r="CD51" s="505" t="n">
        <v>0.0075</v>
      </c>
      <c r="CE51" s="505" t="n">
        <v>0.85</v>
      </c>
      <c r="CF51" s="505" t="n">
        <v>0</v>
      </c>
      <c r="CG51" s="505" t="n">
        <v>0</v>
      </c>
      <c r="CH51" s="505" t="n">
        <v>0</v>
      </c>
      <c r="CI51" s="505" t="n">
        <v>3.227</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3.2245</v>
      </c>
      <c r="BW52" s="369" t="n">
        <v>4.317</v>
      </c>
      <c r="BX52" s="370" t="n">
        <v>0.323758663407093</v>
      </c>
      <c r="BY52" s="370" t="n">
        <v>0.323758663407093</v>
      </c>
      <c r="BZ52" s="370" t="n">
        <v>1</v>
      </c>
      <c r="CA52" s="370" t="n">
        <v>0.0412152492802473</v>
      </c>
      <c r="CB52" s="370" t="n">
        <v>0.899929041596613</v>
      </c>
      <c r="CC52" s="505" t="n">
        <v>-0.05</v>
      </c>
      <c r="CD52" s="505" t="n">
        <v>0.0075</v>
      </c>
      <c r="CE52" s="505" t="n">
        <v>1.05</v>
      </c>
      <c r="CF52" s="505" t="n">
        <v>0</v>
      </c>
      <c r="CG52" s="505" t="n">
        <v>0</v>
      </c>
      <c r="CH52" s="505" t="n">
        <v>0</v>
      </c>
      <c r="CI52" s="505" t="n">
        <v>3.267</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3.2645</v>
      </c>
      <c r="BW53" s="369" t="n">
        <v>4.357</v>
      </c>
      <c r="BX53" s="370" t="n">
        <v>0.324924899747912</v>
      </c>
      <c r="BY53" s="370" t="n">
        <v>0.324924899747912</v>
      </c>
      <c r="BZ53" s="370" t="n">
        <v>1</v>
      </c>
      <c r="CA53" s="370" t="n">
        <v>0.0418733656308259</v>
      </c>
      <c r="CB53" s="370" t="n">
        <v>0.895276283112479</v>
      </c>
      <c r="CC53" s="505" t="n">
        <v>-0.05</v>
      </c>
      <c r="CD53" s="505" t="n">
        <v>0.0075</v>
      </c>
      <c r="CE53" s="505" t="n">
        <v>1.05</v>
      </c>
      <c r="CF53" s="505" t="n">
        <v>0</v>
      </c>
      <c r="CG53" s="505" t="n">
        <v>0</v>
      </c>
      <c r="CH53" s="505" t="n">
        <v>0</v>
      </c>
      <c r="CI53" s="505" t="n">
        <v>3.307</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3.2545</v>
      </c>
      <c r="BW54" s="369" t="n">
        <v>4.052</v>
      </c>
      <c r="BX54" s="370" t="n">
        <v>0.324623837003911</v>
      </c>
      <c r="BY54" s="370" t="n">
        <v>0.324623837003911</v>
      </c>
      <c r="BZ54" s="370" t="n">
        <v>1</v>
      </c>
      <c r="CA54" s="370" t="n">
        <v>0.0425314821265914</v>
      </c>
      <c r="CB54" s="370" t="n">
        <v>0.890550622336601</v>
      </c>
      <c r="CC54" s="505" t="n">
        <v>-0.055</v>
      </c>
      <c r="CD54" s="505" t="n">
        <v>0.0075</v>
      </c>
      <c r="CE54" s="505" t="n">
        <v>0.75</v>
      </c>
      <c r="CF54" s="505" t="n">
        <v>0</v>
      </c>
      <c r="CG54" s="505" t="n">
        <v>0</v>
      </c>
      <c r="CH54" s="505" t="n">
        <v>0</v>
      </c>
      <c r="CI54" s="505" t="n">
        <v>3.302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3.37223650385604</v>
      </c>
      <c r="BW55" s="369" t="n">
        <v>3.777</v>
      </c>
      <c r="BX55" s="370" t="n">
        <v>0.325957791635222</v>
      </c>
      <c r="BY55" s="370" t="n">
        <v>0.325957791635222</v>
      </c>
      <c r="BZ55" s="370" t="n">
        <v>1</v>
      </c>
      <c r="CA55" s="370" t="n">
        <v>0.0431331290786572</v>
      </c>
      <c r="CB55" s="370" t="n">
        <v>0.885996047822783</v>
      </c>
      <c r="CC55" s="505" t="n">
        <v>-0.055</v>
      </c>
      <c r="CD55" s="505" t="n">
        <v>0.0075</v>
      </c>
      <c r="CE55" s="505" t="n">
        <v>0.45</v>
      </c>
      <c r="CF55" s="505" t="n">
        <v>0</v>
      </c>
      <c r="CG55" s="505" t="n">
        <v>0.0334</v>
      </c>
      <c r="CH55" s="505" t="n">
        <v>10.3079438191846</v>
      </c>
      <c r="CI55" s="505" t="n">
        <v>3.327</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3.53624678663239</v>
      </c>
      <c r="BW56" s="369" t="n">
        <v>3.929</v>
      </c>
      <c r="BX56" s="370" t="n">
        <v>0.331587939765235</v>
      </c>
      <c r="BY56" s="370" t="n">
        <v>0.331587939765235</v>
      </c>
      <c r="BZ56" s="370" t="n">
        <v>1</v>
      </c>
      <c r="CA56" s="370" t="n">
        <v>0.0437209690349563</v>
      </c>
      <c r="CB56" s="370" t="n">
        <v>0.881310319234489</v>
      </c>
      <c r="CC56" s="505" t="n">
        <v>-0.0475</v>
      </c>
      <c r="CD56" s="505" t="n">
        <v>0.0075</v>
      </c>
      <c r="CE56" s="505" t="n">
        <v>0.45</v>
      </c>
      <c r="CF56" s="505" t="n">
        <v>0</v>
      </c>
      <c r="CG56" s="505" t="n">
        <v>0.0334</v>
      </c>
      <c r="CH56" s="505" t="n">
        <v>9.92267288426111</v>
      </c>
      <c r="CI56" s="505" t="n">
        <v>3.479</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3.68329048843188</v>
      </c>
      <c r="BW57" s="369" t="n">
        <v>4.022</v>
      </c>
      <c r="BX57" s="370" t="n">
        <v>0.339212722084315</v>
      </c>
      <c r="BY57" s="370" t="n">
        <v>0.339212722084315</v>
      </c>
      <c r="BZ57" s="370" t="n">
        <v>1</v>
      </c>
      <c r="CA57" s="370" t="n">
        <v>0.044289846522211</v>
      </c>
      <c r="CB57" s="370" t="n">
        <v>0.876718225648428</v>
      </c>
      <c r="CC57" s="505" t="n">
        <v>-0.0475</v>
      </c>
      <c r="CD57" s="505" t="n">
        <v>0.0075</v>
      </c>
      <c r="CE57" s="505" t="n">
        <v>0.4</v>
      </c>
      <c r="CF57" s="505" t="n">
        <v>0</v>
      </c>
      <c r="CG57" s="505" t="n">
        <v>0.0334</v>
      </c>
      <c r="CH57" s="505" t="n">
        <v>10.2000028526615</v>
      </c>
      <c r="CI57" s="505" t="n">
        <v>3.622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3.74498714652956</v>
      </c>
      <c r="BW58" s="369" t="n">
        <v>4.032</v>
      </c>
      <c r="BX58" s="370" t="n">
        <v>0.338699959673164</v>
      </c>
      <c r="BY58" s="370" t="n">
        <v>0.338699959673164</v>
      </c>
      <c r="BZ58" s="370" t="n">
        <v>1</v>
      </c>
      <c r="CA58" s="370" t="n">
        <v>0.0448548874957364</v>
      </c>
      <c r="CB58" s="370" t="n">
        <v>0.871974921810256</v>
      </c>
      <c r="CC58" s="505" t="n">
        <v>-0.0475</v>
      </c>
      <c r="CD58" s="505" t="n">
        <v>0.0075</v>
      </c>
      <c r="CE58" s="505" t="n">
        <v>0.35</v>
      </c>
      <c r="CF58" s="505" t="n">
        <v>0</v>
      </c>
      <c r="CG58" s="505" t="n">
        <v>0.0334</v>
      </c>
      <c r="CH58" s="505" t="n">
        <v>10.1448178328171</v>
      </c>
      <c r="CI58" s="505" t="n">
        <v>3.682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3.65758354755784</v>
      </c>
      <c r="BW59" s="369" t="n">
        <v>3.947</v>
      </c>
      <c r="BX59" s="370" t="n">
        <v>0.334167550636186</v>
      </c>
      <c r="BY59" s="370" t="n">
        <v>0.334167550636186</v>
      </c>
      <c r="BZ59" s="370" t="n">
        <v>1</v>
      </c>
      <c r="CA59" s="370" t="n">
        <v>0.0454011527523237</v>
      </c>
      <c r="CB59" s="370" t="n">
        <v>0.867226855595254</v>
      </c>
      <c r="CC59" s="505" t="n">
        <v>-0.0475</v>
      </c>
      <c r="CD59" s="505" t="n">
        <v>0.0075</v>
      </c>
      <c r="CE59" s="505" t="n">
        <v>0.35</v>
      </c>
      <c r="CF59" s="505" t="n">
        <v>0</v>
      </c>
      <c r="CG59" s="505" t="n">
        <v>0.0334</v>
      </c>
      <c r="CH59" s="505" t="n">
        <v>9.11316668933717</v>
      </c>
      <c r="CI59" s="505" t="n">
        <v>3.597</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3.52390745501285</v>
      </c>
      <c r="BW60" s="369" t="n">
        <v>3.867</v>
      </c>
      <c r="BX60" s="370" t="n">
        <v>0.317268038421172</v>
      </c>
      <c r="BY60" s="370" t="n">
        <v>0.317268038421172</v>
      </c>
      <c r="BZ60" s="370" t="n">
        <v>1</v>
      </c>
      <c r="CA60" s="370" t="n">
        <v>0.0458945537150708</v>
      </c>
      <c r="CB60" s="370" t="n">
        <v>0.862893591140207</v>
      </c>
      <c r="CC60" s="505" t="n">
        <v>-0.0475</v>
      </c>
      <c r="CD60" s="505" t="n">
        <v>0.0075</v>
      </c>
      <c r="CE60" s="505" t="n">
        <v>0.4</v>
      </c>
      <c r="CF60" s="505" t="n">
        <v>0</v>
      </c>
      <c r="CG60" s="505" t="n">
        <v>0.0334</v>
      </c>
      <c r="CH60" s="505" t="n">
        <v>10.0391629074025</v>
      </c>
      <c r="CI60" s="505" t="n">
        <v>3.467</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3.32853470437018</v>
      </c>
      <c r="BW61" s="369" t="n">
        <v>3.882</v>
      </c>
      <c r="BX61" s="370" t="n">
        <v>0.29897490298836</v>
      </c>
      <c r="BY61" s="370" t="n">
        <v>0.29897490298836</v>
      </c>
      <c r="BZ61" s="370" t="n">
        <v>1</v>
      </c>
      <c r="CA61" s="370" t="n">
        <v>0.0464010564150716</v>
      </c>
      <c r="CB61" s="370" t="n">
        <v>0.85815886093194</v>
      </c>
      <c r="CC61" s="505" t="n">
        <v>-0.0525</v>
      </c>
      <c r="CD61" s="505" t="n">
        <v>0.0075</v>
      </c>
      <c r="CE61" s="505" t="n">
        <v>0.6</v>
      </c>
      <c r="CF61" s="505" t="n">
        <v>0</v>
      </c>
      <c r="CG61" s="505" t="n">
        <v>0.0334</v>
      </c>
      <c r="CH61" s="505" t="n">
        <v>9.66201061523271</v>
      </c>
      <c r="CI61" s="505" t="n">
        <v>3.282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3.232</v>
      </c>
      <c r="BW62" s="369" t="n">
        <v>4.027</v>
      </c>
      <c r="BX62" s="370" t="n">
        <v>0.292521362466059</v>
      </c>
      <c r="BY62" s="370" t="n">
        <v>0.292521362466059</v>
      </c>
      <c r="BZ62" s="370" t="n">
        <v>1</v>
      </c>
      <c r="CA62" s="370" t="n">
        <v>0.0468566770502532</v>
      </c>
      <c r="CB62" s="370" t="n">
        <v>0.853632083295416</v>
      </c>
      <c r="CC62" s="505" t="n">
        <v>-0.0525</v>
      </c>
      <c r="CD62" s="505" t="n">
        <v>0.0075</v>
      </c>
      <c r="CE62" s="505" t="n">
        <v>0.75</v>
      </c>
      <c r="CF62" s="505" t="n">
        <v>0</v>
      </c>
      <c r="CG62" s="505" t="n">
        <v>0</v>
      </c>
      <c r="CH62" s="505" t="n">
        <v>0</v>
      </c>
      <c r="CI62" s="505" t="n">
        <v>3.277</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3.2695</v>
      </c>
      <c r="BW63" s="369" t="n">
        <v>4.162</v>
      </c>
      <c r="BX63" s="370" t="n">
        <v>0.292382455013977</v>
      </c>
      <c r="BY63" s="370" t="n">
        <v>0.292382455013977</v>
      </c>
      <c r="BZ63" s="370" t="n">
        <v>1</v>
      </c>
      <c r="CA63" s="370" t="n">
        <v>0.0473274851128664</v>
      </c>
      <c r="CB63" s="370" t="n">
        <v>0.848914575635623</v>
      </c>
      <c r="CC63" s="505" t="n">
        <v>-0.05</v>
      </c>
      <c r="CD63" s="505" t="n">
        <v>0.0075</v>
      </c>
      <c r="CE63" s="505" t="n">
        <v>0.85</v>
      </c>
      <c r="CF63" s="505" t="n">
        <v>0</v>
      </c>
      <c r="CG63" s="505" t="n">
        <v>0</v>
      </c>
      <c r="CH63" s="505" t="n">
        <v>0</v>
      </c>
      <c r="CI63" s="505" t="n">
        <v>3.312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3.3095</v>
      </c>
      <c r="BW64" s="369" t="n">
        <v>4.402</v>
      </c>
      <c r="BX64" s="370" t="n">
        <v>0.288480838532972</v>
      </c>
      <c r="BY64" s="370" t="n">
        <v>0.288480838532972</v>
      </c>
      <c r="BZ64" s="370" t="n">
        <v>1</v>
      </c>
      <c r="CA64" s="370" t="n">
        <v>0.047760481058801</v>
      </c>
      <c r="CB64" s="370" t="n">
        <v>0.844378469838596</v>
      </c>
      <c r="CC64" s="505" t="n">
        <v>-0.05</v>
      </c>
      <c r="CD64" s="505" t="n">
        <v>0.0075</v>
      </c>
      <c r="CE64" s="505" t="n">
        <v>1.05</v>
      </c>
      <c r="CF64" s="505" t="n">
        <v>0</v>
      </c>
      <c r="CG64" s="505" t="n">
        <v>0</v>
      </c>
      <c r="CH64" s="505" t="n">
        <v>0</v>
      </c>
      <c r="CI64" s="505" t="n">
        <v>3.352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3.3495</v>
      </c>
      <c r="BW65" s="369" t="n">
        <v>4.442</v>
      </c>
      <c r="BX65" s="370" t="n">
        <v>0.289450621554524</v>
      </c>
      <c r="BY65" s="370" t="n">
        <v>0.289450621554524</v>
      </c>
      <c r="BZ65" s="370" t="n">
        <v>1</v>
      </c>
      <c r="CA65" s="370" t="n">
        <v>0.0481861434694211</v>
      </c>
      <c r="CB65" s="370" t="n">
        <v>0.839721100096823</v>
      </c>
      <c r="CC65" s="505" t="n">
        <v>-0.05</v>
      </c>
      <c r="CD65" s="505" t="n">
        <v>0.0075</v>
      </c>
      <c r="CE65" s="505" t="n">
        <v>1.05</v>
      </c>
      <c r="CF65" s="505" t="n">
        <v>0</v>
      </c>
      <c r="CG65" s="505" t="n">
        <v>0</v>
      </c>
      <c r="CH65" s="505" t="n">
        <v>0</v>
      </c>
      <c r="CI65" s="505" t="n">
        <v>3.392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3.3395</v>
      </c>
      <c r="BW66" s="369" t="n">
        <v>4.137</v>
      </c>
      <c r="BX66" s="370" t="n">
        <v>0.289213048318682</v>
      </c>
      <c r="BY66" s="370" t="n">
        <v>0.289213048318682</v>
      </c>
      <c r="BZ66" s="370" t="n">
        <v>1</v>
      </c>
      <c r="CA66" s="370" t="n">
        <v>0.0486118059405909</v>
      </c>
      <c r="CB66" s="370" t="n">
        <v>0.835030766033085</v>
      </c>
      <c r="CC66" s="505" t="n">
        <v>-0.055</v>
      </c>
      <c r="CD66" s="505" t="n">
        <v>0.0075</v>
      </c>
      <c r="CE66" s="505" t="n">
        <v>0.75</v>
      </c>
      <c r="CF66" s="505" t="n">
        <v>0</v>
      </c>
      <c r="CG66" s="505" t="n">
        <v>0</v>
      </c>
      <c r="CH66" s="505" t="n">
        <v>0</v>
      </c>
      <c r="CI66" s="505" t="n">
        <v>3.387</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3.45964010282776</v>
      </c>
      <c r="BW67" s="369" t="n">
        <v>3.862</v>
      </c>
      <c r="BX67" s="370" t="n">
        <v>0.290354844679535</v>
      </c>
      <c r="BY67" s="370" t="n">
        <v>0.290354844679535</v>
      </c>
      <c r="BZ67" s="370" t="n">
        <v>1</v>
      </c>
      <c r="CA67" s="370" t="n">
        <v>0.0490091513549218</v>
      </c>
      <c r="CB67" s="370" t="n">
        <v>0.830506508545646</v>
      </c>
      <c r="CC67" s="505" t="n">
        <v>-0.055</v>
      </c>
      <c r="CD67" s="505" t="n">
        <v>0.0075</v>
      </c>
      <c r="CE67" s="505" t="n">
        <v>0.45</v>
      </c>
      <c r="CF67" s="505" t="n">
        <v>0</v>
      </c>
      <c r="CG67" s="505" t="n">
        <v>0.0334</v>
      </c>
      <c r="CH67" s="505" t="n">
        <v>9.66236187237261</v>
      </c>
      <c r="CI67" s="505" t="n">
        <v>3.412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3.62879177377892</v>
      </c>
      <c r="BW68" s="369" t="n">
        <v>4.014</v>
      </c>
      <c r="BX68" s="370" t="n">
        <v>0.295083048619696</v>
      </c>
      <c r="BY68" s="370" t="n">
        <v>0.295083048619696</v>
      </c>
      <c r="BZ68" s="370" t="n">
        <v>1</v>
      </c>
      <c r="CA68" s="370" t="n">
        <v>0.0493920179871608</v>
      </c>
      <c r="CB68" s="370" t="n">
        <v>0.825889768863549</v>
      </c>
      <c r="CC68" s="505" t="n">
        <v>-0.0475</v>
      </c>
      <c r="CD68" s="505" t="n">
        <v>0.0125</v>
      </c>
      <c r="CE68" s="505" t="n">
        <v>0.45</v>
      </c>
      <c r="CF68" s="505" t="n">
        <v>0</v>
      </c>
      <c r="CG68" s="505" t="n">
        <v>0.0334</v>
      </c>
      <c r="CH68" s="505" t="n">
        <v>9.2986929076347</v>
      </c>
      <c r="CI68" s="505" t="n">
        <v>3.564</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3.77583547557841</v>
      </c>
      <c r="BW69" s="369" t="n">
        <v>4.107</v>
      </c>
      <c r="BX69" s="370" t="n">
        <v>0.30158877782868</v>
      </c>
      <c r="BY69" s="370" t="n">
        <v>0.30158877782868</v>
      </c>
      <c r="BZ69" s="370" t="n">
        <v>1</v>
      </c>
      <c r="CA69" s="370" t="n">
        <v>0.0497625341294907</v>
      </c>
      <c r="CB69" s="370" t="n">
        <v>0.821397003079716</v>
      </c>
      <c r="CC69" s="505" t="n">
        <v>-0.0475</v>
      </c>
      <c r="CD69" s="505" t="n">
        <v>0.0125</v>
      </c>
      <c r="CE69" s="505" t="n">
        <v>0.4</v>
      </c>
      <c r="CF69" s="505" t="n">
        <v>0</v>
      </c>
      <c r="CG69" s="505" t="n">
        <v>0.0334</v>
      </c>
      <c r="CH69" s="505" t="n">
        <v>9.55637915293034</v>
      </c>
      <c r="CI69" s="505" t="n">
        <v>3.707</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3.83239074550129</v>
      </c>
      <c r="BW70" s="369" t="n">
        <v>4.112</v>
      </c>
      <c r="BX70" s="370" t="n">
        <v>0.301253958992461</v>
      </c>
      <c r="BY70" s="370" t="n">
        <v>0.301253958992461</v>
      </c>
      <c r="BZ70" s="370" t="n">
        <v>1</v>
      </c>
      <c r="CA70" s="370" t="n">
        <v>0.0501238670100874</v>
      </c>
      <c r="CB70" s="370" t="n">
        <v>0.816799555121222</v>
      </c>
      <c r="CC70" s="505" t="n">
        <v>-0.0475</v>
      </c>
      <c r="CD70" s="505" t="n">
        <v>0.0125</v>
      </c>
      <c r="CE70" s="505" t="n">
        <v>0.35</v>
      </c>
      <c r="CF70" s="505" t="n">
        <v>0</v>
      </c>
      <c r="CG70" s="505" t="n">
        <v>0.0334</v>
      </c>
      <c r="CH70" s="505" t="n">
        <v>9.50289106414684</v>
      </c>
      <c r="CI70" s="505" t="n">
        <v>3.762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3.74498714652956</v>
      </c>
      <c r="BW71" s="369" t="n">
        <v>4.027</v>
      </c>
      <c r="BX71" s="370" t="n">
        <v>0.294730625711485</v>
      </c>
      <c r="BY71" s="370" t="n">
        <v>0.294730625711485</v>
      </c>
      <c r="BZ71" s="370" t="n">
        <v>1</v>
      </c>
      <c r="CA71" s="370" t="n">
        <v>0.0504460474790935</v>
      </c>
      <c r="CB71" s="370" t="n">
        <v>0.812308871993658</v>
      </c>
      <c r="CC71" s="505" t="n">
        <v>-0.0475</v>
      </c>
      <c r="CD71" s="505" t="n">
        <v>0.0125</v>
      </c>
      <c r="CE71" s="505" t="n">
        <v>0.35</v>
      </c>
      <c r="CF71" s="505" t="n">
        <v>0</v>
      </c>
      <c r="CG71" s="505" t="n">
        <v>0.0334</v>
      </c>
      <c r="CH71" s="505" t="n">
        <v>8.53606655045815</v>
      </c>
      <c r="CI71" s="505" t="n">
        <v>3.677</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3.61131105398458</v>
      </c>
      <c r="BW72" s="369" t="n">
        <v>3.947</v>
      </c>
      <c r="BX72" s="370" t="n">
        <v>0.278899568705084</v>
      </c>
      <c r="BY72" s="370" t="n">
        <v>0.278899568705084</v>
      </c>
      <c r="BZ72" s="370" t="n">
        <v>1</v>
      </c>
      <c r="CA72" s="370" t="n">
        <v>0.0507370492228172</v>
      </c>
      <c r="CB72" s="370" t="n">
        <v>0.808237080144648</v>
      </c>
      <c r="CC72" s="505" t="n">
        <v>-0.0475</v>
      </c>
      <c r="CD72" s="505" t="n">
        <v>0.0125</v>
      </c>
      <c r="CE72" s="505" t="n">
        <v>0.4</v>
      </c>
      <c r="CF72" s="505" t="n">
        <v>0</v>
      </c>
      <c r="CG72" s="505" t="n">
        <v>0.0334</v>
      </c>
      <c r="CH72" s="505" t="n">
        <v>9.40327266152688</v>
      </c>
      <c r="CI72" s="505" t="n">
        <v>3.547</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3.4133676092545</v>
      </c>
      <c r="BW73" s="369" t="n">
        <v>3.962</v>
      </c>
      <c r="BX73" s="370" t="n">
        <v>0.251839821026274</v>
      </c>
      <c r="BY73" s="370" t="n">
        <v>0.251839821026274</v>
      </c>
      <c r="BZ73" s="370" t="n">
        <v>1</v>
      </c>
      <c r="CA73" s="370" t="n">
        <v>0.0510592297577648</v>
      </c>
      <c r="CB73" s="370" t="n">
        <v>0.803712195296429</v>
      </c>
      <c r="CC73" s="505" t="n">
        <v>-0.0525</v>
      </c>
      <c r="CD73" s="505" t="n">
        <v>0.01</v>
      </c>
      <c r="CE73" s="505" t="n">
        <v>0.6</v>
      </c>
      <c r="CF73" s="505" t="n">
        <v>0</v>
      </c>
      <c r="CG73" s="505" t="n">
        <v>0.0334</v>
      </c>
      <c r="CH73" s="505" t="n">
        <v>9.0489956068425</v>
      </c>
      <c r="CI73" s="505" t="n">
        <v>3.362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3.3145</v>
      </c>
      <c r="BW74" s="369" t="n">
        <v>4.107</v>
      </c>
      <c r="BX74" s="370" t="n">
        <v>0.24777576676848</v>
      </c>
      <c r="BY74" s="370" t="n">
        <v>0.24777576676848</v>
      </c>
      <c r="BZ74" s="370" t="n">
        <v>1</v>
      </c>
      <c r="CA74" s="370" t="n">
        <v>0.051371017405212</v>
      </c>
      <c r="CB74" s="370" t="n">
        <v>0.799316971929618</v>
      </c>
      <c r="CC74" s="505" t="n">
        <v>-0.0525</v>
      </c>
      <c r="CD74" s="505" t="n">
        <v>0.01</v>
      </c>
      <c r="CE74" s="505" t="n">
        <v>0.75</v>
      </c>
      <c r="CF74" s="505" t="n">
        <v>0</v>
      </c>
      <c r="CG74" s="505" t="n">
        <v>0</v>
      </c>
      <c r="CH74" s="505" t="n">
        <v>0</v>
      </c>
      <c r="CI74" s="505" t="n">
        <v>3.357</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3.352</v>
      </c>
      <c r="BW75" s="369" t="n">
        <v>4.242</v>
      </c>
      <c r="BX75" s="370" t="n">
        <v>0.250088358245823</v>
      </c>
      <c r="BY75" s="370" t="n">
        <v>0.250088358245823</v>
      </c>
      <c r="BZ75" s="370" t="n">
        <v>1</v>
      </c>
      <c r="CA75" s="370" t="n">
        <v>0.0516931980083157</v>
      </c>
      <c r="CB75" s="370" t="n">
        <v>0.794758967227619</v>
      </c>
      <c r="CC75" s="505" t="n">
        <v>-0.05</v>
      </c>
      <c r="CD75" s="505" t="n">
        <v>0.01</v>
      </c>
      <c r="CE75" s="505" t="n">
        <v>0.85</v>
      </c>
      <c r="CF75" s="505" t="n">
        <v>0</v>
      </c>
      <c r="CG75" s="505" t="n">
        <v>0</v>
      </c>
      <c r="CH75" s="505" t="n">
        <v>0</v>
      </c>
      <c r="CI75" s="505" t="n">
        <v>3.392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3.392</v>
      </c>
      <c r="BW76" s="369" t="n">
        <v>4.482</v>
      </c>
      <c r="BX76" s="370" t="n">
        <v>0.251002615011208</v>
      </c>
      <c r="BY76" s="370" t="n">
        <v>0.251002615011208</v>
      </c>
      <c r="BZ76" s="370" t="n">
        <v>1</v>
      </c>
      <c r="CA76" s="370" t="n">
        <v>0.0520049857217106</v>
      </c>
      <c r="CB76" s="370" t="n">
        <v>0.790332792803782</v>
      </c>
      <c r="CC76" s="505" t="n">
        <v>-0.05</v>
      </c>
      <c r="CD76" s="505" t="n">
        <v>0.01</v>
      </c>
      <c r="CE76" s="505" t="n">
        <v>1.05</v>
      </c>
      <c r="CF76" s="505" t="n">
        <v>0</v>
      </c>
      <c r="CG76" s="505" t="n">
        <v>0</v>
      </c>
      <c r="CH76" s="505" t="n">
        <v>0</v>
      </c>
      <c r="CI76" s="505" t="n">
        <v>3.432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3.432</v>
      </c>
      <c r="BW77" s="369" t="n">
        <v>4.522</v>
      </c>
      <c r="BX77" s="370" t="n">
        <v>0.251887767191014</v>
      </c>
      <c r="BY77" s="370" t="n">
        <v>0.251887767191014</v>
      </c>
      <c r="BZ77" s="370" t="n">
        <v>1</v>
      </c>
      <c r="CA77" s="370" t="n">
        <v>0.0523271663929492</v>
      </c>
      <c r="CB77" s="370" t="n">
        <v>0.785743940633574</v>
      </c>
      <c r="CC77" s="505" t="n">
        <v>-0.05</v>
      </c>
      <c r="CD77" s="505" t="n">
        <v>0.01</v>
      </c>
      <c r="CE77" s="505" t="n">
        <v>1.05</v>
      </c>
      <c r="CF77" s="505" t="n">
        <v>0</v>
      </c>
      <c r="CG77" s="505" t="n">
        <v>0</v>
      </c>
      <c r="CH77" s="505" t="n">
        <v>0</v>
      </c>
      <c r="CI77" s="505" t="n">
        <v>3.472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3.422</v>
      </c>
      <c r="BW78" s="369" t="n">
        <v>4.217</v>
      </c>
      <c r="BX78" s="370" t="n">
        <v>0.251673457799918</v>
      </c>
      <c r="BY78" s="370" t="n">
        <v>0.251673457799918</v>
      </c>
      <c r="BZ78" s="370" t="n">
        <v>1</v>
      </c>
      <c r="CA78" s="370" t="n">
        <v>0.0526493470988063</v>
      </c>
      <c r="CB78" s="370" t="n">
        <v>0.781140280211496</v>
      </c>
      <c r="CC78" s="505" t="n">
        <v>-0.055</v>
      </c>
      <c r="CD78" s="505" t="n">
        <v>0.01</v>
      </c>
      <c r="CE78" s="505" t="n">
        <v>0.75</v>
      </c>
      <c r="CF78" s="505" t="n">
        <v>0</v>
      </c>
      <c r="CG78" s="505" t="n">
        <v>0</v>
      </c>
      <c r="CH78" s="505" t="n">
        <v>0</v>
      </c>
      <c r="CI78" s="505" t="n">
        <v>3.467</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3.54447300771208</v>
      </c>
      <c r="BW79" s="369" t="n">
        <v>3.942</v>
      </c>
      <c r="BX79" s="370" t="n">
        <v>0.252737151785216</v>
      </c>
      <c r="BY79" s="370" t="n">
        <v>0.252737151785216</v>
      </c>
      <c r="BZ79" s="370" t="n">
        <v>1</v>
      </c>
      <c r="CA79" s="370" t="n">
        <v>0.0529611349116244</v>
      </c>
      <c r="CB79" s="370" t="n">
        <v>0.776671575219578</v>
      </c>
      <c r="CC79" s="505" t="n">
        <v>-0.055</v>
      </c>
      <c r="CD79" s="505" t="n">
        <v>0.01</v>
      </c>
      <c r="CE79" s="505" t="n">
        <v>0.45</v>
      </c>
      <c r="CF79" s="505" t="n">
        <v>0</v>
      </c>
      <c r="CG79" s="505" t="n">
        <v>0.0334</v>
      </c>
      <c r="CH79" s="505" t="n">
        <v>9.03603010757713</v>
      </c>
      <c r="CI79" s="505" t="n">
        <v>3.492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3.71362467866324</v>
      </c>
      <c r="BW80" s="369" t="n">
        <v>4.094</v>
      </c>
      <c r="BX80" s="370" t="n">
        <v>0.257069016574414</v>
      </c>
      <c r="BY80" s="370" t="n">
        <v>0.257069016574414</v>
      </c>
      <c r="BZ80" s="370" t="n">
        <v>1</v>
      </c>
      <c r="CA80" s="370" t="n">
        <v>0.0532833156855848</v>
      </c>
      <c r="CB80" s="370" t="n">
        <v>0.772040478692847</v>
      </c>
      <c r="CC80" s="505" t="n">
        <v>-0.045</v>
      </c>
      <c r="CD80" s="505" t="n">
        <v>0.0125</v>
      </c>
      <c r="CE80" s="505" t="n">
        <v>0.45</v>
      </c>
      <c r="CF80" s="505" t="n">
        <v>0</v>
      </c>
      <c r="CG80" s="505" t="n">
        <v>0.0334</v>
      </c>
      <c r="CH80" s="505" t="n">
        <v>8.69240374960276</v>
      </c>
      <c r="CI80" s="505" t="n">
        <v>3.644</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3.86066838046273</v>
      </c>
      <c r="BW81" s="369" t="n">
        <v>4.187</v>
      </c>
      <c r="BX81" s="370" t="n">
        <v>0.263085311093791</v>
      </c>
      <c r="BY81" s="370" t="n">
        <v>0.263085311093791</v>
      </c>
      <c r="BZ81" s="370" t="n">
        <v>1</v>
      </c>
      <c r="CA81" s="370" t="n">
        <v>0.0535951035642985</v>
      </c>
      <c r="CB81" s="370" t="n">
        <v>0.767546312167612</v>
      </c>
      <c r="CC81" s="505" t="n">
        <v>-0.045</v>
      </c>
      <c r="CD81" s="505" t="n">
        <v>0.0125</v>
      </c>
      <c r="CE81" s="505" t="n">
        <v>0.4</v>
      </c>
      <c r="CF81" s="505" t="n">
        <v>0</v>
      </c>
      <c r="CG81" s="505" t="n">
        <v>0.0334</v>
      </c>
      <c r="CH81" s="505" t="n">
        <v>8.92986405965166</v>
      </c>
      <c r="CI81" s="505" t="n">
        <v>3.787</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3.9146529562982</v>
      </c>
      <c r="BW82" s="369" t="n">
        <v>4.1895</v>
      </c>
      <c r="BX82" s="370" t="n">
        <v>0.262833061218283</v>
      </c>
      <c r="BY82" s="370" t="n">
        <v>0.262833061218283</v>
      </c>
      <c r="BZ82" s="370" t="n">
        <v>1</v>
      </c>
      <c r="CA82" s="370" t="n">
        <v>0.0538548873933569</v>
      </c>
      <c r="CB82" s="370" t="n">
        <v>0.76312585991901</v>
      </c>
      <c r="CC82" s="505" t="n">
        <v>-0.045</v>
      </c>
      <c r="CD82" s="505" t="n">
        <v>0.0125</v>
      </c>
      <c r="CE82" s="505" t="n">
        <v>0.35</v>
      </c>
      <c r="CF82" s="505" t="n">
        <v>0</v>
      </c>
      <c r="CG82" s="505" t="n">
        <v>0.0334</v>
      </c>
      <c r="CH82" s="505" t="n">
        <v>8.87843519205574</v>
      </c>
      <c r="CI82" s="505" t="n">
        <v>3.8395</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3.82724935732648</v>
      </c>
      <c r="BW83" s="369" t="n">
        <v>4.1045</v>
      </c>
      <c r="BX83" s="370" t="n">
        <v>0.2425</v>
      </c>
      <c r="BY83" s="370" t="n">
        <v>0.2425</v>
      </c>
      <c r="BZ83" s="370" t="n">
        <v>0</v>
      </c>
      <c r="CA83" s="370" t="n">
        <v>0.0540389034386073</v>
      </c>
      <c r="CB83" s="370" t="n">
        <v>0</v>
      </c>
      <c r="CC83" s="505" t="n">
        <v>-0.045</v>
      </c>
      <c r="CD83" s="505" t="n">
        <v>0.0125</v>
      </c>
      <c r="CE83" s="505" t="n">
        <v>0.35</v>
      </c>
      <c r="CF83" s="505" t="n">
        <v>0</v>
      </c>
      <c r="CG83" s="505" t="n">
        <v>0.0334</v>
      </c>
      <c r="CH83" s="505" t="n">
        <v>0</v>
      </c>
      <c r="CI83" s="505" t="n">
        <v>3.7545</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3.82724935732648</v>
      </c>
      <c r="BW84" s="369" t="n">
        <v>4.1045</v>
      </c>
      <c r="BX84" s="370" t="n">
        <v>0.2425</v>
      </c>
      <c r="BY84" s="370" t="n">
        <v>0.2425</v>
      </c>
      <c r="BZ84" s="370" t="n">
        <v>0</v>
      </c>
      <c r="CA84" s="370" t="n">
        <v>0.0540389034386073</v>
      </c>
      <c r="CB84" s="370" t="n">
        <v>0</v>
      </c>
      <c r="CC84" s="505" t="n">
        <v>-0.045</v>
      </c>
      <c r="CD84" s="505" t="n">
        <v>0.0125</v>
      </c>
      <c r="CE84" s="505" t="n">
        <v>0.35</v>
      </c>
      <c r="CF84" s="505" t="n">
        <v>0</v>
      </c>
      <c r="CG84" s="505" t="n">
        <v>0.0334</v>
      </c>
      <c r="CH84" s="505" t="n">
        <v>0</v>
      </c>
      <c r="CI84" s="505" t="n">
        <v>3.7545</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3.82724935732648</v>
      </c>
      <c r="BW85" s="369" t="n">
        <v>4.1045</v>
      </c>
      <c r="BX85" s="370" t="n">
        <v>0.2425</v>
      </c>
      <c r="BY85" s="370" t="n">
        <v>0.2425</v>
      </c>
      <c r="BZ85" s="370" t="n">
        <v>0</v>
      </c>
      <c r="CA85" s="370" t="n">
        <v>0.0540389034386073</v>
      </c>
      <c r="CB85" s="370" t="n">
        <v>0</v>
      </c>
      <c r="CC85" s="505" t="n">
        <v>-0.045</v>
      </c>
      <c r="CD85" s="505" t="n">
        <v>0.0125</v>
      </c>
      <c r="CE85" s="505" t="n">
        <v>0.35</v>
      </c>
      <c r="CF85" s="505" t="n">
        <v>0</v>
      </c>
      <c r="CG85" s="505" t="n">
        <v>0.0334</v>
      </c>
      <c r="CH85" s="505" t="n">
        <v>0</v>
      </c>
      <c r="CI85" s="505" t="n">
        <v>3.7545</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3.82724935732648</v>
      </c>
      <c r="BW86" s="369" t="n">
        <v>4.1045</v>
      </c>
      <c r="BX86" s="370" t="n">
        <v>0.2425</v>
      </c>
      <c r="BY86" s="370" t="n">
        <v>0.2425</v>
      </c>
      <c r="BZ86" s="370" t="n">
        <v>0</v>
      </c>
      <c r="CA86" s="370" t="n">
        <v>0.0540389034386073</v>
      </c>
      <c r="CB86" s="370" t="n">
        <v>0</v>
      </c>
      <c r="CC86" s="505" t="n">
        <v>-0.045</v>
      </c>
      <c r="CD86" s="505" t="n">
        <v>0.0125</v>
      </c>
      <c r="CE86" s="505" t="n">
        <v>0.35</v>
      </c>
      <c r="CF86" s="505" t="n">
        <v>0</v>
      </c>
      <c r="CG86" s="505" t="n">
        <v>0.0334</v>
      </c>
      <c r="CH86" s="505" t="n">
        <v>0</v>
      </c>
      <c r="CI86" s="505" t="n">
        <v>3.7545</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3.82724935732648</v>
      </c>
      <c r="BW87" s="369" t="n">
        <v>4.1045</v>
      </c>
      <c r="BX87" s="370" t="n">
        <v>0.2425</v>
      </c>
      <c r="BY87" s="370" t="n">
        <v>0.2425</v>
      </c>
      <c r="BZ87" s="370" t="n">
        <v>0</v>
      </c>
      <c r="CA87" s="370" t="n">
        <v>0.0540389034386073</v>
      </c>
      <c r="CB87" s="370" t="n">
        <v>0</v>
      </c>
      <c r="CC87" s="505" t="n">
        <v>-0.045</v>
      </c>
      <c r="CD87" s="505" t="n">
        <v>0.0125</v>
      </c>
      <c r="CE87" s="505" t="n">
        <v>0.35</v>
      </c>
      <c r="CF87" s="505" t="n">
        <v>0</v>
      </c>
      <c r="CG87" s="505" t="n">
        <v>0.0334</v>
      </c>
      <c r="CH87" s="505" t="n">
        <v>0</v>
      </c>
      <c r="CI87" s="505" t="n">
        <v>3.7545</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3.82724935732648</v>
      </c>
      <c r="BW88" s="369" t="n">
        <v>4.1045</v>
      </c>
      <c r="BX88" s="370" t="n">
        <v>0.2425</v>
      </c>
      <c r="BY88" s="370" t="n">
        <v>0.2425</v>
      </c>
      <c r="BZ88" s="370" t="n">
        <v>0</v>
      </c>
      <c r="CA88" s="370" t="n">
        <v>0.0540389034386073</v>
      </c>
      <c r="CB88" s="370" t="n">
        <v>0</v>
      </c>
      <c r="CC88" s="505" t="n">
        <v>-0.045</v>
      </c>
      <c r="CD88" s="505" t="n">
        <v>0.0125</v>
      </c>
      <c r="CE88" s="505" t="n">
        <v>0.35</v>
      </c>
      <c r="CF88" s="505" t="n">
        <v>0</v>
      </c>
      <c r="CG88" s="505" t="n">
        <v>0.0334</v>
      </c>
      <c r="CH88" s="505" t="n">
        <v>0</v>
      </c>
      <c r="CI88" s="505" t="n">
        <v>3.7545</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3.82724935732648</v>
      </c>
      <c r="BW89" s="369" t="n">
        <v>4.1045</v>
      </c>
      <c r="BX89" s="370" t="n">
        <v>0.2425</v>
      </c>
      <c r="BY89" s="370" t="n">
        <v>0.2425</v>
      </c>
      <c r="BZ89" s="370" t="n">
        <v>0</v>
      </c>
      <c r="CA89" s="370" t="n">
        <v>0.0540389034386073</v>
      </c>
      <c r="CB89" s="370" t="n">
        <v>0</v>
      </c>
      <c r="CC89" s="505" t="n">
        <v>-0.045</v>
      </c>
      <c r="CD89" s="505" t="n">
        <v>0.0125</v>
      </c>
      <c r="CE89" s="505" t="n">
        <v>0.35</v>
      </c>
      <c r="CF89" s="505" t="n">
        <v>0</v>
      </c>
      <c r="CG89" s="505" t="n">
        <v>0.0334</v>
      </c>
      <c r="CH89" s="505" t="n">
        <v>0</v>
      </c>
      <c r="CI89" s="505" t="n">
        <v>3.7545</v>
      </c>
      <c r="CJ89" s="505"/>
      <c r="CK89" s="505"/>
      <c r="CL89" s="505"/>
      <c r="CM89" s="505"/>
    </row>
    <row r="90" customFormat="false" ht="12.75" hidden="false" customHeight="false" outlineLevel="0" collapsed="false">
      <c r="A90" s="500"/>
      <c r="B90" s="500"/>
      <c r="K90" s="363"/>
      <c r="L90" s="501"/>
      <c r="N90" s="502"/>
      <c r="O90" s="502"/>
      <c r="P90" s="371"/>
      <c r="Q90" s="501"/>
      <c r="R90" s="501"/>
      <c r="U90" s="501"/>
      <c r="V90" s="503"/>
      <c r="W90" s="503"/>
      <c r="X90" s="504"/>
      <c r="Y90" s="504"/>
      <c r="Z90" s="504"/>
      <c r="AA90" s="504"/>
      <c r="AB90" s="504"/>
      <c r="AC90" s="504"/>
      <c r="AF90" s="378"/>
      <c r="AG90" s="378"/>
      <c r="AH90" s="378"/>
      <c r="AI90" s="378"/>
      <c r="AJ90" s="378"/>
      <c r="AM90" s="505"/>
      <c r="AN90" s="505"/>
      <c r="AO90" s="505"/>
      <c r="AP90" s="505"/>
      <c r="AR90" s="370"/>
      <c r="AT90" s="370"/>
      <c r="AV90" s="506"/>
      <c r="AW90" s="370"/>
      <c r="AX90" s="370"/>
      <c r="AY90" s="370"/>
      <c r="AZ90" s="370"/>
      <c r="BA90" s="507"/>
      <c r="BB90" s="505"/>
      <c r="BC90" s="505"/>
      <c r="BD90" s="370"/>
      <c r="BE90" s="370"/>
      <c r="BF90" s="370"/>
      <c r="BG90" s="370"/>
      <c r="BH90" s="370"/>
      <c r="BI90" s="370"/>
      <c r="BJ90" s="370"/>
      <c r="BK90" s="370"/>
      <c r="BL90" s="370"/>
      <c r="BM90" s="370"/>
      <c r="BN90" s="370"/>
      <c r="BO90" s="370"/>
      <c r="BP90" s="370"/>
      <c r="BQ90" s="370"/>
      <c r="BR90" s="370"/>
      <c r="BS90" s="370"/>
      <c r="BV90" s="508"/>
      <c r="BW90" s="369"/>
      <c r="BX90" s="370"/>
      <c r="BY90" s="370"/>
      <c r="BZ90" s="370"/>
      <c r="CA90" s="370"/>
      <c r="CB90" s="370"/>
      <c r="CC90" s="505"/>
      <c r="CD90" s="505"/>
      <c r="CE90" s="505"/>
      <c r="CF90" s="505"/>
      <c r="CG90" s="505"/>
      <c r="CH90" s="505"/>
      <c r="CI90" s="505"/>
      <c r="CJ90" s="505"/>
      <c r="CK90" s="505"/>
      <c r="CL90" s="505"/>
      <c r="CM90" s="505"/>
    </row>
    <row r="91" customFormat="false" ht="12.75" hidden="false" customHeight="false" outlineLevel="0" collapsed="false">
      <c r="A91" s="500"/>
      <c r="B91" s="500"/>
      <c r="K91" s="363"/>
      <c r="L91" s="501"/>
      <c r="N91" s="502"/>
      <c r="O91" s="502"/>
      <c r="P91" s="371"/>
      <c r="Q91" s="501"/>
      <c r="R91" s="501"/>
      <c r="U91" s="501"/>
      <c r="V91" s="503"/>
      <c r="W91" s="503"/>
      <c r="X91" s="504"/>
      <c r="Y91" s="504"/>
      <c r="Z91" s="504"/>
      <c r="AA91" s="504"/>
      <c r="AB91" s="504"/>
      <c r="AC91" s="504"/>
      <c r="AF91" s="378"/>
      <c r="AG91" s="378"/>
      <c r="AH91" s="378"/>
      <c r="AI91" s="378"/>
      <c r="AJ91" s="378"/>
      <c r="AM91" s="505"/>
      <c r="AN91" s="505"/>
      <c r="AO91" s="505"/>
      <c r="AP91" s="505"/>
      <c r="AR91" s="370"/>
      <c r="AT91" s="370"/>
      <c r="AV91" s="506"/>
      <c r="AW91" s="370"/>
      <c r="AX91" s="370"/>
      <c r="AY91" s="370"/>
      <c r="AZ91" s="370"/>
      <c r="BA91" s="507"/>
      <c r="BB91" s="505"/>
      <c r="BC91" s="505"/>
      <c r="BD91" s="370"/>
      <c r="BE91" s="370"/>
      <c r="BF91" s="370"/>
      <c r="BG91" s="370"/>
      <c r="BH91" s="370"/>
      <c r="BI91" s="370"/>
      <c r="BJ91" s="370"/>
      <c r="BK91" s="370"/>
      <c r="BL91" s="370"/>
      <c r="BM91" s="370"/>
      <c r="BN91" s="370"/>
      <c r="BO91" s="370"/>
      <c r="BP91" s="370"/>
      <c r="BQ91" s="370"/>
      <c r="BR91" s="370"/>
      <c r="BS91" s="370"/>
      <c r="BV91" s="508"/>
      <c r="BW91" s="369"/>
      <c r="BX91" s="370"/>
      <c r="BY91" s="370"/>
      <c r="BZ91" s="370"/>
      <c r="CA91" s="370"/>
      <c r="CB91" s="370"/>
      <c r="CC91" s="505"/>
      <c r="CD91" s="505"/>
      <c r="CE91" s="505"/>
      <c r="CF91" s="505"/>
      <c r="CG91" s="505"/>
      <c r="CH91" s="505"/>
      <c r="CI91" s="505"/>
      <c r="CJ91" s="505"/>
      <c r="CK91" s="505"/>
      <c r="CL91" s="505"/>
      <c r="CM91" s="505"/>
    </row>
    <row r="92" customFormat="false" ht="12.75" hidden="false" customHeight="false" outlineLevel="0" collapsed="false">
      <c r="A92" s="500"/>
      <c r="B92" s="500"/>
      <c r="K92" s="363"/>
      <c r="L92" s="501"/>
      <c r="N92" s="502"/>
      <c r="O92" s="502"/>
      <c r="P92" s="371"/>
      <c r="Q92" s="501"/>
      <c r="R92" s="501"/>
      <c r="U92" s="501"/>
      <c r="V92" s="503"/>
      <c r="W92" s="503"/>
      <c r="X92" s="504"/>
      <c r="Y92" s="504"/>
      <c r="Z92" s="504"/>
      <c r="AA92" s="504"/>
      <c r="AB92" s="504"/>
      <c r="AC92" s="504"/>
      <c r="AF92" s="378"/>
      <c r="AG92" s="378"/>
      <c r="AH92" s="378"/>
      <c r="AI92" s="378"/>
      <c r="AJ92" s="378"/>
      <c r="AM92" s="505"/>
      <c r="AN92" s="505"/>
      <c r="AO92" s="505"/>
      <c r="AP92" s="505"/>
      <c r="AR92" s="370"/>
      <c r="AT92" s="370"/>
      <c r="AV92" s="506"/>
      <c r="AW92" s="370"/>
      <c r="AX92" s="370"/>
      <c r="AY92" s="370"/>
      <c r="AZ92" s="370"/>
      <c r="BA92" s="507"/>
      <c r="BB92" s="505"/>
      <c r="BC92" s="505"/>
      <c r="BD92" s="370"/>
      <c r="BE92" s="370"/>
      <c r="BF92" s="370"/>
      <c r="BG92" s="370"/>
      <c r="BH92" s="370"/>
      <c r="BI92" s="370"/>
      <c r="BJ92" s="370"/>
      <c r="BK92" s="370"/>
      <c r="BL92" s="370"/>
      <c r="BM92" s="370"/>
      <c r="BN92" s="370"/>
      <c r="BO92" s="370"/>
      <c r="BP92" s="370"/>
      <c r="BQ92" s="370"/>
      <c r="BR92" s="370"/>
      <c r="BS92" s="370"/>
      <c r="BV92" s="508"/>
      <c r="BW92" s="369"/>
      <c r="BX92" s="370"/>
      <c r="BY92" s="370"/>
      <c r="BZ92" s="370"/>
      <c r="CA92" s="370"/>
      <c r="CB92" s="370"/>
      <c r="CC92" s="505"/>
      <c r="CD92" s="505"/>
      <c r="CE92" s="505"/>
      <c r="CF92" s="505"/>
      <c r="CG92" s="505"/>
      <c r="CH92" s="505"/>
      <c r="CI92" s="505"/>
      <c r="CJ92" s="505"/>
      <c r="CK92" s="505"/>
      <c r="CL92" s="505"/>
      <c r="CM92" s="505"/>
    </row>
    <row r="93" customFormat="false" ht="12.75" hidden="false" customHeight="false" outlineLevel="0" collapsed="false">
      <c r="A93" s="500"/>
      <c r="B93" s="500"/>
      <c r="K93" s="363"/>
      <c r="L93" s="501"/>
      <c r="N93" s="502"/>
      <c r="O93" s="502"/>
      <c r="P93" s="371"/>
      <c r="Q93" s="501"/>
      <c r="R93" s="501"/>
      <c r="U93" s="501"/>
      <c r="V93" s="503"/>
      <c r="W93" s="503"/>
      <c r="X93" s="504"/>
      <c r="Y93" s="504"/>
      <c r="Z93" s="504"/>
      <c r="AA93" s="504"/>
      <c r="AB93" s="504"/>
      <c r="AC93" s="504"/>
      <c r="AF93" s="378"/>
      <c r="AG93" s="378"/>
      <c r="AH93" s="378"/>
      <c r="AI93" s="378"/>
      <c r="AJ93" s="378"/>
      <c r="AM93" s="505"/>
      <c r="AN93" s="505"/>
      <c r="AO93" s="505"/>
      <c r="AP93" s="505"/>
      <c r="AR93" s="370"/>
      <c r="AT93" s="370"/>
      <c r="AV93" s="506"/>
      <c r="AW93" s="370"/>
      <c r="AX93" s="370"/>
      <c r="AY93" s="370"/>
      <c r="AZ93" s="370"/>
      <c r="BA93" s="507"/>
      <c r="BB93" s="505"/>
      <c r="BC93" s="505"/>
      <c r="BD93" s="370"/>
      <c r="BE93" s="370"/>
      <c r="BF93" s="370"/>
      <c r="BG93" s="370"/>
      <c r="BH93" s="370"/>
      <c r="BI93" s="370"/>
      <c r="BJ93" s="370"/>
      <c r="BK93" s="370"/>
      <c r="BL93" s="370"/>
      <c r="BM93" s="370"/>
      <c r="BN93" s="370"/>
      <c r="BO93" s="370"/>
      <c r="BP93" s="370"/>
      <c r="BQ93" s="370"/>
      <c r="BR93" s="370"/>
      <c r="BS93" s="370"/>
      <c r="BV93" s="508"/>
      <c r="BW93" s="369"/>
      <c r="BX93" s="370"/>
      <c r="BY93" s="370"/>
      <c r="BZ93" s="370"/>
      <c r="CA93" s="370"/>
      <c r="CB93" s="370"/>
      <c r="CC93" s="505"/>
      <c r="CD93" s="505"/>
      <c r="CE93" s="505"/>
      <c r="CF93" s="505"/>
      <c r="CG93" s="505"/>
      <c r="CH93" s="505"/>
      <c r="CI93" s="505"/>
      <c r="CJ93" s="505"/>
      <c r="CK93" s="505"/>
      <c r="CL93" s="505"/>
      <c r="CM93" s="505"/>
    </row>
    <row r="94" customFormat="false" ht="12.75" hidden="false" customHeight="false" outlineLevel="0" collapsed="false">
      <c r="A94" s="500"/>
      <c r="B94" s="500"/>
      <c r="K94" s="363"/>
      <c r="L94" s="501"/>
      <c r="N94" s="502"/>
      <c r="O94" s="502"/>
      <c r="P94" s="371"/>
      <c r="Q94" s="501"/>
      <c r="R94" s="501"/>
      <c r="U94" s="501"/>
      <c r="V94" s="503"/>
      <c r="W94" s="503"/>
      <c r="X94" s="504"/>
      <c r="Y94" s="504"/>
      <c r="Z94" s="504"/>
      <c r="AA94" s="504"/>
      <c r="AB94" s="504"/>
      <c r="AC94" s="504"/>
      <c r="AF94" s="378"/>
      <c r="AG94" s="378"/>
      <c r="AH94" s="378"/>
      <c r="AI94" s="378"/>
      <c r="AJ94" s="378"/>
      <c r="AM94" s="505"/>
      <c r="AN94" s="505"/>
      <c r="AO94" s="505"/>
      <c r="AP94" s="505"/>
      <c r="AR94" s="370"/>
      <c r="AT94" s="370"/>
      <c r="AV94" s="506"/>
      <c r="AW94" s="370"/>
      <c r="AX94" s="370"/>
      <c r="AY94" s="370"/>
      <c r="AZ94" s="370"/>
      <c r="BA94" s="507"/>
      <c r="BB94" s="505"/>
      <c r="BC94" s="505"/>
      <c r="BD94" s="370"/>
      <c r="BE94" s="370"/>
      <c r="BF94" s="370"/>
      <c r="BG94" s="370"/>
      <c r="BH94" s="370"/>
      <c r="BI94" s="370"/>
      <c r="BJ94" s="370"/>
      <c r="BK94" s="370"/>
      <c r="BL94" s="370"/>
      <c r="BM94" s="370"/>
      <c r="BN94" s="370"/>
      <c r="BO94" s="370"/>
      <c r="BP94" s="370"/>
      <c r="BQ94" s="370"/>
      <c r="BR94" s="370"/>
      <c r="BS94" s="370"/>
      <c r="BV94" s="508"/>
      <c r="BW94" s="369"/>
      <c r="BX94" s="370"/>
      <c r="BY94" s="370"/>
      <c r="BZ94" s="370"/>
      <c r="CA94" s="370"/>
      <c r="CB94" s="370"/>
      <c r="CC94" s="505"/>
      <c r="CD94" s="505"/>
      <c r="CE94" s="505"/>
      <c r="CF94" s="505"/>
      <c r="CG94" s="505"/>
      <c r="CH94" s="505"/>
      <c r="CI94" s="505"/>
      <c r="CJ94" s="505"/>
      <c r="CK94" s="505"/>
      <c r="CL94" s="505"/>
      <c r="CM94" s="505"/>
    </row>
    <row r="95" customFormat="false" ht="12.75" hidden="false" customHeight="false" outlineLevel="0" collapsed="false">
      <c r="A95" s="500"/>
      <c r="B95" s="500"/>
      <c r="K95" s="363"/>
      <c r="L95" s="501"/>
      <c r="N95" s="502"/>
      <c r="O95" s="502"/>
      <c r="P95" s="371"/>
      <c r="Q95" s="501"/>
      <c r="R95" s="501"/>
      <c r="U95" s="501"/>
      <c r="V95" s="503"/>
      <c r="W95" s="503"/>
      <c r="X95" s="504"/>
      <c r="Y95" s="504"/>
      <c r="Z95" s="504"/>
      <c r="AA95" s="504"/>
      <c r="AB95" s="504"/>
      <c r="AC95" s="504"/>
      <c r="AF95" s="378"/>
      <c r="AG95" s="378"/>
      <c r="AH95" s="378"/>
      <c r="AI95" s="378"/>
      <c r="AJ95" s="378"/>
      <c r="AM95" s="505"/>
      <c r="AN95" s="505"/>
      <c r="AO95" s="505"/>
      <c r="AP95" s="505"/>
      <c r="AR95" s="370"/>
      <c r="AT95" s="370"/>
      <c r="AV95" s="506"/>
      <c r="AW95" s="370"/>
      <c r="AX95" s="370"/>
      <c r="AY95" s="370"/>
      <c r="AZ95" s="370"/>
      <c r="BA95" s="507"/>
      <c r="BB95" s="505"/>
      <c r="BC95" s="505"/>
      <c r="BD95" s="370"/>
      <c r="BE95" s="370"/>
      <c r="BF95" s="370"/>
      <c r="BG95" s="370"/>
      <c r="BH95" s="370"/>
      <c r="BI95" s="370"/>
      <c r="BJ95" s="370"/>
      <c r="BK95" s="370"/>
      <c r="BL95" s="370"/>
      <c r="BM95" s="370"/>
      <c r="BN95" s="370"/>
      <c r="BO95" s="370"/>
      <c r="BP95" s="370"/>
      <c r="BQ95" s="370"/>
      <c r="BR95" s="370"/>
      <c r="BS95" s="370"/>
      <c r="BV95" s="508"/>
      <c r="BW95" s="369"/>
      <c r="BX95" s="370"/>
      <c r="BY95" s="370"/>
      <c r="BZ95" s="370"/>
      <c r="CA95" s="370"/>
      <c r="CB95" s="370"/>
      <c r="CC95" s="505"/>
      <c r="CD95" s="505"/>
      <c r="CE95" s="505"/>
      <c r="CF95" s="505"/>
      <c r="CG95" s="505"/>
      <c r="CH95" s="505"/>
      <c r="CI95" s="505"/>
      <c r="CJ95" s="505"/>
      <c r="CK95" s="505"/>
      <c r="CL95" s="505"/>
      <c r="CM95" s="505"/>
    </row>
    <row r="96" customFormat="false" ht="12.75" hidden="false" customHeight="false" outlineLevel="0" collapsed="false">
      <c r="A96" s="500"/>
      <c r="B96" s="500"/>
      <c r="K96" s="363"/>
      <c r="L96" s="501"/>
      <c r="N96" s="502"/>
      <c r="O96" s="502"/>
      <c r="P96" s="371"/>
      <c r="Q96" s="501"/>
      <c r="R96" s="501"/>
      <c r="U96" s="501"/>
      <c r="V96" s="503"/>
      <c r="W96" s="503"/>
      <c r="X96" s="504"/>
      <c r="Y96" s="504"/>
      <c r="Z96" s="504"/>
      <c r="AA96" s="504"/>
      <c r="AB96" s="504"/>
      <c r="AC96" s="504"/>
      <c r="AF96" s="378"/>
      <c r="AG96" s="378"/>
      <c r="AH96" s="378"/>
      <c r="AI96" s="378"/>
      <c r="AJ96" s="378"/>
      <c r="AM96" s="505"/>
      <c r="AN96" s="505"/>
      <c r="AO96" s="505"/>
      <c r="AP96" s="505"/>
      <c r="AR96" s="370"/>
      <c r="AT96" s="370"/>
      <c r="AV96" s="506"/>
      <c r="AW96" s="370"/>
      <c r="AX96" s="370"/>
      <c r="AY96" s="370"/>
      <c r="AZ96" s="370"/>
      <c r="BA96" s="507"/>
      <c r="BB96" s="505"/>
      <c r="BC96" s="505"/>
      <c r="BD96" s="370"/>
      <c r="BE96" s="370"/>
      <c r="BF96" s="370"/>
      <c r="BG96" s="370"/>
      <c r="BH96" s="370"/>
      <c r="BI96" s="370"/>
      <c r="BJ96" s="370"/>
      <c r="BK96" s="370"/>
      <c r="BL96" s="370"/>
      <c r="BM96" s="370"/>
      <c r="BN96" s="370"/>
      <c r="BO96" s="370"/>
      <c r="BP96" s="370"/>
      <c r="BQ96" s="370"/>
      <c r="BR96" s="370"/>
      <c r="BS96" s="370"/>
      <c r="BV96" s="508"/>
      <c r="BW96" s="369"/>
      <c r="BX96" s="370"/>
      <c r="BY96" s="370"/>
      <c r="BZ96" s="370"/>
      <c r="CA96" s="370"/>
      <c r="CB96" s="370"/>
      <c r="CC96" s="505"/>
      <c r="CD96" s="505"/>
      <c r="CE96" s="505"/>
      <c r="CF96" s="505"/>
      <c r="CG96" s="505"/>
      <c r="CH96" s="505"/>
      <c r="CI96" s="505"/>
      <c r="CJ96" s="505"/>
      <c r="CK96" s="505"/>
      <c r="CL96" s="505"/>
      <c r="CM96" s="505"/>
    </row>
    <row r="97" customFormat="false" ht="12.75" hidden="false" customHeight="false" outlineLevel="0" collapsed="false">
      <c r="A97" s="500"/>
      <c r="B97" s="500"/>
      <c r="K97" s="363"/>
      <c r="L97" s="501"/>
      <c r="N97" s="502"/>
      <c r="O97" s="502"/>
      <c r="P97" s="371"/>
      <c r="Q97" s="501"/>
      <c r="R97" s="501"/>
      <c r="U97" s="501"/>
      <c r="V97" s="503"/>
      <c r="W97" s="503"/>
      <c r="X97" s="504"/>
      <c r="Y97" s="504"/>
      <c r="Z97" s="504"/>
      <c r="AA97" s="504"/>
      <c r="AB97" s="504"/>
      <c r="AC97" s="504"/>
      <c r="AF97" s="378"/>
      <c r="AG97" s="378"/>
      <c r="AH97" s="378"/>
      <c r="AI97" s="378"/>
      <c r="AJ97" s="378"/>
      <c r="AM97" s="505"/>
      <c r="AN97" s="505"/>
      <c r="AO97" s="505"/>
      <c r="AP97" s="505"/>
      <c r="AR97" s="370"/>
      <c r="AT97" s="370"/>
      <c r="AV97" s="506"/>
      <c r="AW97" s="370"/>
      <c r="AX97" s="370"/>
      <c r="AY97" s="370"/>
      <c r="AZ97" s="370"/>
      <c r="BA97" s="507"/>
      <c r="BB97" s="505"/>
      <c r="BC97" s="505"/>
      <c r="BD97" s="370"/>
      <c r="BE97" s="370"/>
      <c r="BF97" s="370"/>
      <c r="BG97" s="370"/>
      <c r="BH97" s="370"/>
      <c r="BI97" s="370"/>
      <c r="BJ97" s="370"/>
      <c r="BK97" s="370"/>
      <c r="BL97" s="370"/>
      <c r="BM97" s="370"/>
      <c r="BN97" s="370"/>
      <c r="BO97" s="370"/>
      <c r="BP97" s="370"/>
      <c r="BQ97" s="370"/>
      <c r="BR97" s="370"/>
      <c r="BS97" s="370"/>
      <c r="BV97" s="508"/>
      <c r="BW97" s="369"/>
      <c r="BX97" s="370"/>
      <c r="BY97" s="370"/>
      <c r="BZ97" s="370"/>
      <c r="CA97" s="370"/>
      <c r="CB97" s="370"/>
      <c r="CC97" s="505"/>
      <c r="CD97" s="505"/>
      <c r="CE97" s="505"/>
      <c r="CF97" s="505"/>
      <c r="CG97" s="505"/>
      <c r="CH97" s="505"/>
      <c r="CI97" s="505"/>
      <c r="CJ97" s="505"/>
      <c r="CK97" s="505"/>
      <c r="CL97" s="505"/>
      <c r="CM97" s="505"/>
    </row>
    <row r="98" customFormat="false" ht="12.75" hidden="false" customHeight="false" outlineLevel="0" collapsed="false">
      <c r="A98" s="500"/>
      <c r="B98" s="500"/>
      <c r="K98" s="363"/>
      <c r="L98" s="501"/>
      <c r="N98" s="502"/>
      <c r="O98" s="502"/>
      <c r="P98" s="371"/>
      <c r="Q98" s="501"/>
      <c r="R98" s="501"/>
      <c r="U98" s="501"/>
      <c r="V98" s="503"/>
      <c r="W98" s="503"/>
      <c r="X98" s="504"/>
      <c r="Y98" s="504"/>
      <c r="Z98" s="504"/>
      <c r="AA98" s="504"/>
      <c r="AB98" s="504"/>
      <c r="AC98" s="504"/>
      <c r="AF98" s="378"/>
      <c r="AG98" s="378"/>
      <c r="AH98" s="378"/>
      <c r="AI98" s="378"/>
      <c r="AJ98" s="378"/>
      <c r="AM98" s="505"/>
      <c r="AN98" s="505"/>
      <c r="AO98" s="505"/>
      <c r="AP98" s="505"/>
      <c r="AR98" s="370"/>
      <c r="AT98" s="370"/>
      <c r="AV98" s="506"/>
      <c r="AW98" s="370"/>
      <c r="AX98" s="370"/>
      <c r="AY98" s="370"/>
      <c r="AZ98" s="370"/>
      <c r="BA98" s="507"/>
      <c r="BB98" s="505"/>
      <c r="BC98" s="505"/>
      <c r="BD98" s="370"/>
      <c r="BE98" s="370"/>
      <c r="BF98" s="370"/>
      <c r="BG98" s="370"/>
      <c r="BH98" s="370"/>
      <c r="BI98" s="370"/>
      <c r="BJ98" s="370"/>
      <c r="BK98" s="370"/>
      <c r="BL98" s="370"/>
      <c r="BM98" s="370"/>
      <c r="BN98" s="370"/>
      <c r="BO98" s="370"/>
      <c r="BP98" s="370"/>
      <c r="BQ98" s="370"/>
      <c r="BR98" s="370"/>
      <c r="BS98" s="370"/>
      <c r="BV98" s="508"/>
      <c r="BW98" s="369"/>
      <c r="BX98" s="370"/>
      <c r="BY98" s="370"/>
      <c r="BZ98" s="370"/>
      <c r="CA98" s="370"/>
      <c r="CB98" s="370"/>
      <c r="CC98" s="505"/>
      <c r="CD98" s="505"/>
      <c r="CE98" s="505"/>
      <c r="CF98" s="505"/>
      <c r="CG98" s="505"/>
      <c r="CH98" s="505"/>
      <c r="CI98" s="505"/>
      <c r="CJ98" s="505"/>
      <c r="CK98" s="505"/>
      <c r="CL98" s="505"/>
      <c r="CM98" s="505"/>
    </row>
    <row r="99" customFormat="false" ht="12.75" hidden="false" customHeight="false" outlineLevel="0" collapsed="false">
      <c r="A99" s="500"/>
      <c r="B99" s="500"/>
      <c r="K99" s="363"/>
      <c r="L99" s="501"/>
      <c r="N99" s="502"/>
      <c r="O99" s="502"/>
      <c r="P99" s="371"/>
      <c r="Q99" s="501"/>
      <c r="R99" s="501"/>
      <c r="U99" s="501"/>
      <c r="V99" s="503"/>
      <c r="W99" s="503"/>
      <c r="X99" s="504"/>
      <c r="Y99" s="504"/>
      <c r="Z99" s="504"/>
      <c r="AA99" s="504"/>
      <c r="AB99" s="504"/>
      <c r="AC99" s="504"/>
      <c r="AF99" s="378"/>
      <c r="AG99" s="378"/>
      <c r="AH99" s="378"/>
      <c r="AI99" s="378"/>
      <c r="AJ99" s="378"/>
      <c r="AM99" s="505"/>
      <c r="AN99" s="505"/>
      <c r="AO99" s="505"/>
      <c r="AP99" s="505"/>
      <c r="AR99" s="370"/>
      <c r="AT99" s="370"/>
      <c r="AV99" s="506"/>
      <c r="AW99" s="370"/>
      <c r="AX99" s="370"/>
      <c r="AY99" s="370"/>
      <c r="AZ99" s="370"/>
      <c r="BA99" s="507"/>
      <c r="BB99" s="505"/>
      <c r="BC99" s="505"/>
      <c r="BD99" s="370"/>
      <c r="BE99" s="370"/>
      <c r="BF99" s="370"/>
      <c r="BG99" s="370"/>
      <c r="BH99" s="370"/>
      <c r="BI99" s="370"/>
      <c r="BJ99" s="370"/>
      <c r="BK99" s="370"/>
      <c r="BL99" s="370"/>
      <c r="BM99" s="370"/>
      <c r="BN99" s="370"/>
      <c r="BO99" s="370"/>
      <c r="BP99" s="370"/>
      <c r="BQ99" s="370"/>
      <c r="BR99" s="370"/>
      <c r="BS99" s="370"/>
      <c r="BV99" s="508"/>
      <c r="BW99" s="369"/>
      <c r="BX99" s="370"/>
      <c r="BY99" s="370"/>
      <c r="BZ99" s="370"/>
      <c r="CA99" s="370"/>
      <c r="CB99" s="370"/>
      <c r="CC99" s="505"/>
      <c r="CD99" s="505"/>
      <c r="CE99" s="505"/>
      <c r="CF99" s="505"/>
      <c r="CG99" s="505"/>
      <c r="CH99" s="505"/>
      <c r="CI99" s="505"/>
      <c r="CJ99" s="505"/>
      <c r="CK99" s="505"/>
      <c r="CL99" s="505"/>
      <c r="CM99" s="505"/>
    </row>
    <row r="100" customFormat="false" ht="12.75" hidden="false" customHeight="false" outlineLevel="0" collapsed="false">
      <c r="A100" s="500"/>
      <c r="B100" s="500"/>
      <c r="K100" s="363"/>
      <c r="L100" s="501"/>
      <c r="N100" s="502"/>
      <c r="O100" s="502"/>
      <c r="P100" s="371"/>
      <c r="Q100" s="501"/>
      <c r="R100" s="501"/>
      <c r="U100" s="501"/>
      <c r="V100" s="503"/>
      <c r="W100" s="503"/>
      <c r="X100" s="504"/>
      <c r="Y100" s="504"/>
      <c r="Z100" s="504"/>
      <c r="AA100" s="504"/>
      <c r="AB100" s="504"/>
      <c r="AC100" s="504"/>
      <c r="AF100" s="378"/>
      <c r="AG100" s="378"/>
      <c r="AH100" s="378"/>
      <c r="AI100" s="378"/>
      <c r="AJ100" s="378"/>
      <c r="AM100" s="505"/>
      <c r="AN100" s="505"/>
      <c r="AO100" s="505"/>
      <c r="AP100" s="505"/>
      <c r="AR100" s="370"/>
      <c r="AT100" s="370"/>
      <c r="AV100" s="506"/>
      <c r="AW100" s="370"/>
      <c r="AX100" s="370"/>
      <c r="AY100" s="370"/>
      <c r="AZ100" s="370"/>
      <c r="BA100" s="507"/>
      <c r="BB100" s="505"/>
      <c r="BC100" s="505"/>
      <c r="BD100" s="370"/>
      <c r="BE100" s="370"/>
      <c r="BF100" s="370"/>
      <c r="BG100" s="370"/>
      <c r="BH100" s="370"/>
      <c r="BI100" s="370"/>
      <c r="BJ100" s="370"/>
      <c r="BK100" s="370"/>
      <c r="BL100" s="370"/>
      <c r="BM100" s="370"/>
      <c r="BN100" s="370"/>
      <c r="BO100" s="370"/>
      <c r="BP100" s="370"/>
      <c r="BQ100" s="370"/>
      <c r="BR100" s="370"/>
      <c r="BS100" s="370"/>
      <c r="BV100" s="508"/>
      <c r="BW100" s="369"/>
      <c r="BX100" s="370"/>
      <c r="BY100" s="370"/>
      <c r="BZ100" s="370"/>
      <c r="CA100" s="370"/>
      <c r="CB100" s="370"/>
      <c r="CC100" s="505"/>
      <c r="CD100" s="505"/>
      <c r="CE100" s="505"/>
      <c r="CF100" s="505"/>
      <c r="CG100" s="505"/>
      <c r="CH100" s="505"/>
      <c r="CI100" s="505"/>
      <c r="CJ100" s="505"/>
      <c r="CK100" s="505"/>
      <c r="CL100" s="505"/>
      <c r="CM100" s="505"/>
    </row>
    <row r="101" customFormat="false" ht="12.75" hidden="false" customHeight="false" outlineLevel="0" collapsed="false">
      <c r="A101" s="500"/>
      <c r="B101" s="500"/>
      <c r="K101" s="363"/>
      <c r="L101" s="501"/>
      <c r="N101" s="502"/>
      <c r="O101" s="502"/>
      <c r="P101" s="371"/>
      <c r="Q101" s="501"/>
      <c r="R101" s="501"/>
      <c r="U101" s="501"/>
      <c r="V101" s="503"/>
      <c r="W101" s="503"/>
      <c r="X101" s="504"/>
      <c r="Y101" s="504"/>
      <c r="Z101" s="504"/>
      <c r="AA101" s="504"/>
      <c r="AB101" s="504"/>
      <c r="AC101" s="504"/>
      <c r="AF101" s="378"/>
      <c r="AG101" s="378"/>
      <c r="AH101" s="378"/>
      <c r="AI101" s="378"/>
      <c r="AJ101" s="378"/>
      <c r="AM101" s="505"/>
      <c r="AN101" s="505"/>
      <c r="AO101" s="505"/>
      <c r="AP101" s="505"/>
      <c r="AR101" s="370"/>
      <c r="AT101" s="370"/>
      <c r="AV101" s="506"/>
      <c r="AW101" s="370"/>
      <c r="AX101" s="370"/>
      <c r="AY101" s="370"/>
      <c r="AZ101" s="370"/>
      <c r="BA101" s="507"/>
      <c r="BB101" s="505"/>
      <c r="BC101" s="505"/>
      <c r="BD101" s="370"/>
      <c r="BE101" s="370"/>
      <c r="BF101" s="370"/>
      <c r="BG101" s="370"/>
      <c r="BH101" s="370"/>
      <c r="BI101" s="370"/>
      <c r="BJ101" s="370"/>
      <c r="BK101" s="370"/>
      <c r="BL101" s="370"/>
      <c r="BM101" s="370"/>
      <c r="BN101" s="370"/>
      <c r="BO101" s="370"/>
      <c r="BP101" s="370"/>
      <c r="BQ101" s="370"/>
      <c r="BR101" s="370"/>
      <c r="BS101" s="370"/>
      <c r="BV101" s="508"/>
      <c r="BW101" s="369"/>
      <c r="BX101" s="370"/>
      <c r="BY101" s="370"/>
      <c r="BZ101" s="370"/>
      <c r="CA101" s="370"/>
      <c r="CB101" s="370"/>
      <c r="CC101" s="505"/>
      <c r="CD101" s="505"/>
      <c r="CE101" s="505"/>
      <c r="CF101" s="505"/>
      <c r="CG101" s="505"/>
      <c r="CH101" s="505"/>
      <c r="CI101" s="505"/>
      <c r="CJ101" s="505"/>
      <c r="CK101" s="505"/>
      <c r="CL101" s="505"/>
      <c r="CM101" s="505"/>
    </row>
    <row r="102" customFormat="false" ht="12.75" hidden="false" customHeight="false" outlineLevel="0" collapsed="false">
      <c r="A102" s="500"/>
      <c r="B102" s="500"/>
      <c r="K102" s="363"/>
      <c r="L102" s="501"/>
      <c r="N102" s="502"/>
      <c r="O102" s="502"/>
      <c r="P102" s="371"/>
      <c r="Q102" s="501"/>
      <c r="R102" s="501"/>
      <c r="U102" s="501"/>
      <c r="V102" s="503"/>
      <c r="W102" s="503"/>
      <c r="X102" s="504"/>
      <c r="Y102" s="504"/>
      <c r="Z102" s="504"/>
      <c r="AA102" s="504"/>
      <c r="AB102" s="504"/>
      <c r="AC102" s="504"/>
      <c r="AF102" s="378"/>
      <c r="AG102" s="378"/>
      <c r="AH102" s="378"/>
      <c r="AI102" s="378"/>
      <c r="AJ102" s="378"/>
      <c r="AM102" s="505"/>
      <c r="AN102" s="505"/>
      <c r="AO102" s="505"/>
      <c r="AP102" s="505"/>
      <c r="AR102" s="370"/>
      <c r="AT102" s="370"/>
      <c r="AV102" s="506"/>
      <c r="AW102" s="370"/>
      <c r="AX102" s="370"/>
      <c r="AY102" s="370"/>
      <c r="AZ102" s="370"/>
      <c r="BA102" s="507"/>
      <c r="BB102" s="505"/>
      <c r="BC102" s="505"/>
      <c r="BD102" s="370"/>
      <c r="BE102" s="370"/>
      <c r="BF102" s="370"/>
      <c r="BG102" s="370"/>
      <c r="BH102" s="370"/>
      <c r="BI102" s="370"/>
      <c r="BJ102" s="370"/>
      <c r="BK102" s="370"/>
      <c r="BL102" s="370"/>
      <c r="BM102" s="370"/>
      <c r="BN102" s="370"/>
      <c r="BO102" s="370"/>
      <c r="BP102" s="370"/>
      <c r="BQ102" s="370"/>
      <c r="BR102" s="370"/>
      <c r="BS102" s="370"/>
      <c r="BV102" s="508"/>
      <c r="BW102" s="369"/>
      <c r="BX102" s="370"/>
      <c r="BY102" s="370"/>
      <c r="BZ102" s="370"/>
      <c r="CA102" s="370"/>
      <c r="CB102" s="370"/>
      <c r="CC102" s="505"/>
      <c r="CD102" s="505"/>
      <c r="CE102" s="505"/>
      <c r="CF102" s="505"/>
      <c r="CG102" s="505"/>
      <c r="CH102" s="505"/>
      <c r="CI102" s="505"/>
      <c r="CJ102" s="505"/>
      <c r="CK102" s="505"/>
      <c r="CL102" s="505"/>
      <c r="CM102" s="505"/>
    </row>
    <row r="103" customFormat="false" ht="12.75" hidden="false" customHeight="false" outlineLevel="0" collapsed="false">
      <c r="A103" s="500"/>
      <c r="B103" s="500"/>
      <c r="K103" s="363"/>
      <c r="L103" s="501"/>
      <c r="N103" s="502"/>
      <c r="O103" s="502"/>
      <c r="P103" s="371"/>
      <c r="Q103" s="501"/>
      <c r="R103" s="501"/>
      <c r="U103" s="501"/>
      <c r="V103" s="503"/>
      <c r="W103" s="503"/>
      <c r="X103" s="504"/>
      <c r="Y103" s="504"/>
      <c r="Z103" s="504"/>
      <c r="AA103" s="504"/>
      <c r="AB103" s="504"/>
      <c r="AC103" s="504"/>
      <c r="AF103" s="378"/>
      <c r="AG103" s="378"/>
      <c r="AH103" s="378"/>
      <c r="AI103" s="378"/>
      <c r="AJ103" s="378"/>
      <c r="AM103" s="505"/>
      <c r="AN103" s="505"/>
      <c r="AO103" s="505"/>
      <c r="AP103" s="505"/>
      <c r="AR103" s="370"/>
      <c r="AT103" s="370"/>
      <c r="AV103" s="506"/>
      <c r="AW103" s="370"/>
      <c r="AX103" s="370"/>
      <c r="AY103" s="370"/>
      <c r="AZ103" s="370"/>
      <c r="BA103" s="507"/>
      <c r="BB103" s="505"/>
      <c r="BC103" s="505"/>
      <c r="BD103" s="370"/>
      <c r="BE103" s="370"/>
      <c r="BF103" s="370"/>
      <c r="BG103" s="370"/>
      <c r="BH103" s="370"/>
      <c r="BI103" s="370"/>
      <c r="BJ103" s="370"/>
      <c r="BK103" s="370"/>
      <c r="BL103" s="370"/>
      <c r="BM103" s="370"/>
      <c r="BN103" s="370"/>
      <c r="BO103" s="370"/>
      <c r="BP103" s="370"/>
      <c r="BQ103" s="370"/>
      <c r="BR103" s="370"/>
      <c r="BS103" s="370"/>
      <c r="BV103" s="508"/>
      <c r="BW103" s="369"/>
      <c r="BX103" s="370"/>
      <c r="BY103" s="370"/>
      <c r="BZ103" s="370"/>
      <c r="CA103" s="370"/>
      <c r="CB103" s="370"/>
      <c r="CC103" s="505"/>
      <c r="CD103" s="505"/>
      <c r="CE103" s="505"/>
      <c r="CF103" s="505"/>
      <c r="CG103" s="505"/>
      <c r="CH103" s="505"/>
      <c r="CI103" s="505"/>
      <c r="CJ103" s="505"/>
      <c r="CK103" s="505"/>
      <c r="CL103" s="505"/>
      <c r="CM103" s="505"/>
    </row>
    <row r="104" customFormat="false" ht="12.75" hidden="false" customHeight="false" outlineLevel="0" collapsed="false">
      <c r="A104" s="500"/>
      <c r="B104" s="500"/>
      <c r="K104" s="363"/>
      <c r="L104" s="501"/>
      <c r="N104" s="502"/>
      <c r="O104" s="502"/>
      <c r="P104" s="371"/>
      <c r="Q104" s="501"/>
      <c r="R104" s="501"/>
      <c r="U104" s="501"/>
      <c r="V104" s="503"/>
      <c r="W104" s="503"/>
      <c r="X104" s="504"/>
      <c r="Y104" s="504"/>
      <c r="Z104" s="504"/>
      <c r="AA104" s="504"/>
      <c r="AB104" s="504"/>
      <c r="AC104" s="504"/>
      <c r="AF104" s="378"/>
      <c r="AG104" s="378"/>
      <c r="AH104" s="378"/>
      <c r="AI104" s="378"/>
      <c r="AJ104" s="378"/>
      <c r="AM104" s="505"/>
      <c r="AN104" s="505"/>
      <c r="AO104" s="505"/>
      <c r="AP104" s="505"/>
      <c r="AR104" s="370"/>
      <c r="AT104" s="370"/>
      <c r="AV104" s="506"/>
      <c r="AW104" s="370"/>
      <c r="AX104" s="370"/>
      <c r="AY104" s="370"/>
      <c r="AZ104" s="370"/>
      <c r="BA104" s="507"/>
      <c r="BB104" s="505"/>
      <c r="BC104" s="505"/>
      <c r="BD104" s="370"/>
      <c r="BE104" s="370"/>
      <c r="BF104" s="370"/>
      <c r="BG104" s="370"/>
      <c r="BH104" s="370"/>
      <c r="BI104" s="370"/>
      <c r="BJ104" s="370"/>
      <c r="BK104" s="370"/>
      <c r="BL104" s="370"/>
      <c r="BM104" s="370"/>
      <c r="BN104" s="370"/>
      <c r="BO104" s="370"/>
      <c r="BP104" s="370"/>
      <c r="BQ104" s="370"/>
      <c r="BR104" s="370"/>
      <c r="BS104" s="370"/>
      <c r="BV104" s="508"/>
      <c r="BW104" s="369"/>
      <c r="BX104" s="370"/>
      <c r="BY104" s="370"/>
      <c r="BZ104" s="370"/>
      <c r="CA104" s="370"/>
      <c r="CB104" s="370"/>
      <c r="CC104" s="505"/>
      <c r="CD104" s="505"/>
      <c r="CE104" s="505"/>
      <c r="CF104" s="505"/>
      <c r="CG104" s="505"/>
      <c r="CH104" s="505"/>
      <c r="CI104" s="505"/>
      <c r="CJ104" s="505"/>
      <c r="CK104" s="505"/>
      <c r="CL104" s="505"/>
      <c r="CM104" s="505"/>
    </row>
    <row r="105" customFormat="false" ht="12.75" hidden="false" customHeight="false" outlineLevel="0" collapsed="false">
      <c r="A105" s="500"/>
      <c r="B105" s="500"/>
      <c r="K105" s="363"/>
      <c r="L105" s="501"/>
      <c r="N105" s="502"/>
      <c r="O105" s="502"/>
      <c r="P105" s="371"/>
      <c r="Q105" s="501"/>
      <c r="R105" s="501"/>
      <c r="U105" s="501"/>
      <c r="V105" s="503"/>
      <c r="W105" s="503"/>
      <c r="X105" s="504"/>
      <c r="Y105" s="504"/>
      <c r="Z105" s="504"/>
      <c r="AA105" s="504"/>
      <c r="AB105" s="504"/>
      <c r="AC105" s="504"/>
      <c r="AF105" s="378"/>
      <c r="AG105" s="378"/>
      <c r="AH105" s="378"/>
      <c r="AI105" s="378"/>
      <c r="AJ105" s="378"/>
      <c r="AM105" s="505"/>
      <c r="AN105" s="505"/>
      <c r="AO105" s="505"/>
      <c r="AP105" s="505"/>
      <c r="AR105" s="370"/>
      <c r="AT105" s="370"/>
      <c r="AV105" s="506"/>
      <c r="AW105" s="370"/>
      <c r="AX105" s="370"/>
      <c r="AY105" s="370"/>
      <c r="AZ105" s="370"/>
      <c r="BA105" s="507"/>
      <c r="BB105" s="505"/>
      <c r="BC105" s="505"/>
      <c r="BD105" s="370"/>
      <c r="BE105" s="370"/>
      <c r="BF105" s="370"/>
      <c r="BG105" s="370"/>
      <c r="BH105" s="370"/>
      <c r="BI105" s="370"/>
      <c r="BJ105" s="370"/>
      <c r="BK105" s="370"/>
      <c r="BL105" s="370"/>
      <c r="BM105" s="370"/>
      <c r="BN105" s="370"/>
      <c r="BO105" s="370"/>
      <c r="BP105" s="370"/>
      <c r="BQ105" s="370"/>
      <c r="BR105" s="370"/>
      <c r="BS105" s="370"/>
      <c r="BV105" s="508"/>
      <c r="BW105" s="369"/>
      <c r="BX105" s="370"/>
      <c r="BY105" s="370"/>
      <c r="BZ105" s="370"/>
      <c r="CA105" s="370"/>
      <c r="CB105" s="370"/>
      <c r="CC105" s="505"/>
      <c r="CD105" s="505"/>
      <c r="CE105" s="505"/>
      <c r="CF105" s="505"/>
      <c r="CG105" s="505"/>
      <c r="CH105" s="505"/>
      <c r="CI105" s="505"/>
      <c r="CJ105" s="505"/>
      <c r="CK105" s="505"/>
      <c r="CL105" s="505"/>
      <c r="CM105" s="505"/>
    </row>
    <row r="106" customFormat="false" ht="12.75" hidden="false" customHeight="false" outlineLevel="0" collapsed="false">
      <c r="A106" s="500"/>
      <c r="B106" s="500"/>
      <c r="K106" s="363"/>
      <c r="L106" s="501"/>
      <c r="N106" s="502"/>
      <c r="O106" s="502"/>
      <c r="P106" s="371"/>
      <c r="Q106" s="501"/>
      <c r="R106" s="501"/>
      <c r="U106" s="501"/>
      <c r="V106" s="503"/>
      <c r="W106" s="503"/>
      <c r="X106" s="504"/>
      <c r="Y106" s="504"/>
      <c r="Z106" s="504"/>
      <c r="AA106" s="504"/>
      <c r="AB106" s="504"/>
      <c r="AC106" s="504"/>
      <c r="AF106" s="378"/>
      <c r="AG106" s="378"/>
      <c r="AH106" s="378"/>
      <c r="AI106" s="378"/>
      <c r="AJ106" s="378"/>
      <c r="AM106" s="505"/>
      <c r="AN106" s="505"/>
      <c r="AO106" s="505"/>
      <c r="AP106" s="505"/>
      <c r="AR106" s="370"/>
      <c r="AT106" s="370"/>
      <c r="AV106" s="506"/>
      <c r="AW106" s="370"/>
      <c r="AX106" s="370"/>
      <c r="AY106" s="370"/>
      <c r="AZ106" s="370"/>
      <c r="BA106" s="507"/>
      <c r="BB106" s="505"/>
      <c r="BC106" s="505"/>
      <c r="BD106" s="370"/>
      <c r="BE106" s="370"/>
      <c r="BF106" s="370"/>
      <c r="BG106" s="370"/>
      <c r="BH106" s="370"/>
      <c r="BI106" s="370"/>
      <c r="BJ106" s="370"/>
      <c r="BK106" s="370"/>
      <c r="BL106" s="370"/>
      <c r="BM106" s="370"/>
      <c r="BN106" s="370"/>
      <c r="BO106" s="370"/>
      <c r="BP106" s="370"/>
      <c r="BQ106" s="370"/>
      <c r="BR106" s="370"/>
      <c r="BS106" s="370"/>
      <c r="BV106" s="508"/>
      <c r="BW106" s="369"/>
      <c r="BX106" s="370"/>
      <c r="BY106" s="370"/>
      <c r="BZ106" s="370"/>
      <c r="CA106" s="370"/>
      <c r="CB106" s="370"/>
      <c r="CC106" s="505"/>
      <c r="CD106" s="505"/>
      <c r="CE106" s="505"/>
      <c r="CF106" s="505"/>
      <c r="CG106" s="505"/>
      <c r="CH106" s="505"/>
      <c r="CI106" s="505"/>
      <c r="CJ106" s="505"/>
      <c r="CK106" s="505"/>
      <c r="CL106" s="505"/>
      <c r="CM106" s="505"/>
    </row>
    <row r="107" customFormat="false" ht="12.75" hidden="false" customHeight="false" outlineLevel="0" collapsed="false">
      <c r="A107" s="500"/>
      <c r="B107" s="500"/>
      <c r="K107" s="363"/>
      <c r="L107" s="501"/>
      <c r="N107" s="502"/>
      <c r="O107" s="502"/>
      <c r="P107" s="371"/>
      <c r="Q107" s="501"/>
      <c r="R107" s="501"/>
      <c r="U107" s="501"/>
      <c r="V107" s="503"/>
      <c r="W107" s="503"/>
      <c r="X107" s="504"/>
      <c r="Y107" s="504"/>
      <c r="Z107" s="504"/>
      <c r="AA107" s="504"/>
      <c r="AB107" s="504"/>
      <c r="AC107" s="504"/>
      <c r="AF107" s="378"/>
      <c r="AG107" s="378"/>
      <c r="AH107" s="378"/>
      <c r="AI107" s="378"/>
      <c r="AJ107" s="378"/>
      <c r="AM107" s="505"/>
      <c r="AN107" s="505"/>
      <c r="AO107" s="505"/>
      <c r="AP107" s="505"/>
      <c r="AR107" s="370"/>
      <c r="AT107" s="370"/>
      <c r="AV107" s="506"/>
      <c r="AW107" s="370"/>
      <c r="AX107" s="370"/>
      <c r="AY107" s="370"/>
      <c r="AZ107" s="370"/>
      <c r="BA107" s="507"/>
      <c r="BB107" s="505"/>
      <c r="BC107" s="505"/>
      <c r="BD107" s="370"/>
      <c r="BE107" s="370"/>
      <c r="BF107" s="370"/>
      <c r="BG107" s="370"/>
      <c r="BH107" s="370"/>
      <c r="BI107" s="370"/>
      <c r="BJ107" s="370"/>
      <c r="BK107" s="370"/>
      <c r="BL107" s="370"/>
      <c r="BM107" s="370"/>
      <c r="BN107" s="370"/>
      <c r="BO107" s="370"/>
      <c r="BP107" s="370"/>
      <c r="BQ107" s="370"/>
      <c r="BR107" s="370"/>
      <c r="BS107" s="370"/>
      <c r="BV107" s="508"/>
      <c r="BW107" s="369"/>
      <c r="BX107" s="370"/>
      <c r="BY107" s="370"/>
      <c r="BZ107" s="370"/>
      <c r="CA107" s="370"/>
      <c r="CB107" s="370"/>
      <c r="CC107" s="505"/>
      <c r="CD107" s="505"/>
      <c r="CE107" s="505"/>
      <c r="CF107" s="505"/>
      <c r="CG107" s="505"/>
      <c r="CH107" s="505"/>
      <c r="CI107" s="505"/>
      <c r="CJ107" s="505"/>
      <c r="CK107" s="505"/>
      <c r="CL107" s="505"/>
      <c r="CM107" s="505"/>
    </row>
    <row r="108" customFormat="false" ht="12.75" hidden="false" customHeight="false" outlineLevel="0" collapsed="false">
      <c r="A108" s="500"/>
      <c r="B108" s="500"/>
      <c r="K108" s="363"/>
      <c r="L108" s="501"/>
      <c r="N108" s="502"/>
      <c r="O108" s="502"/>
      <c r="P108" s="371"/>
      <c r="Q108" s="501"/>
      <c r="R108" s="501"/>
      <c r="U108" s="501"/>
      <c r="V108" s="503"/>
      <c r="W108" s="503"/>
      <c r="X108" s="504"/>
      <c r="Y108" s="504"/>
      <c r="Z108" s="504"/>
      <c r="AA108" s="504"/>
      <c r="AB108" s="504"/>
      <c r="AC108" s="504"/>
      <c r="AF108" s="378"/>
      <c r="AG108" s="378"/>
      <c r="AH108" s="378"/>
      <c r="AI108" s="378"/>
      <c r="AJ108" s="378"/>
      <c r="AM108" s="505"/>
      <c r="AN108" s="505"/>
      <c r="AO108" s="505"/>
      <c r="AP108" s="505"/>
      <c r="AR108" s="370"/>
      <c r="AT108" s="370"/>
      <c r="AV108" s="506"/>
      <c r="AW108" s="370"/>
      <c r="AX108" s="370"/>
      <c r="AY108" s="370"/>
      <c r="AZ108" s="370"/>
      <c r="BA108" s="507"/>
      <c r="BB108" s="505"/>
      <c r="BC108" s="505"/>
      <c r="BD108" s="370"/>
      <c r="BE108" s="370"/>
      <c r="BF108" s="370"/>
      <c r="BG108" s="370"/>
      <c r="BH108" s="370"/>
      <c r="BI108" s="370"/>
      <c r="BJ108" s="370"/>
      <c r="BK108" s="370"/>
      <c r="BL108" s="370"/>
      <c r="BM108" s="370"/>
      <c r="BN108" s="370"/>
      <c r="BO108" s="370"/>
      <c r="BP108" s="370"/>
      <c r="BQ108" s="370"/>
      <c r="BR108" s="370"/>
      <c r="BS108" s="370"/>
      <c r="BV108" s="508"/>
      <c r="BW108" s="369"/>
      <c r="BX108" s="370"/>
      <c r="BY108" s="370"/>
      <c r="BZ108" s="370"/>
      <c r="CA108" s="370"/>
      <c r="CB108" s="370"/>
      <c r="CC108" s="505"/>
      <c r="CD108" s="505"/>
      <c r="CE108" s="505"/>
      <c r="CF108" s="505"/>
      <c r="CG108" s="505"/>
      <c r="CH108" s="505"/>
      <c r="CI108" s="505"/>
      <c r="CJ108" s="505"/>
      <c r="CK108" s="505"/>
      <c r="CL108" s="505"/>
      <c r="CM108" s="505"/>
    </row>
    <row r="109" customFormat="false" ht="12.75" hidden="false" customHeight="false" outlineLevel="0" collapsed="false">
      <c r="A109" s="500"/>
      <c r="B109" s="500"/>
      <c r="K109" s="363"/>
      <c r="L109" s="501"/>
      <c r="N109" s="502"/>
      <c r="O109" s="502"/>
      <c r="P109" s="371"/>
      <c r="Q109" s="501"/>
      <c r="R109" s="501"/>
      <c r="U109" s="501"/>
      <c r="V109" s="503"/>
      <c r="W109" s="503"/>
      <c r="X109" s="504"/>
      <c r="Y109" s="504"/>
      <c r="Z109" s="504"/>
      <c r="AA109" s="504"/>
      <c r="AB109" s="504"/>
      <c r="AC109" s="504"/>
      <c r="AF109" s="378"/>
      <c r="AG109" s="378"/>
      <c r="AH109" s="378"/>
      <c r="AI109" s="378"/>
      <c r="AJ109" s="378"/>
      <c r="AM109" s="505"/>
      <c r="AN109" s="505"/>
      <c r="AO109" s="505"/>
      <c r="AP109" s="505"/>
      <c r="AR109" s="370"/>
      <c r="AT109" s="370"/>
      <c r="AV109" s="506"/>
      <c r="AW109" s="370"/>
      <c r="AX109" s="370"/>
      <c r="AY109" s="370"/>
      <c r="AZ109" s="370"/>
      <c r="BA109" s="507"/>
      <c r="BB109" s="505"/>
      <c r="BC109" s="505"/>
      <c r="BD109" s="370"/>
      <c r="BE109" s="370"/>
      <c r="BF109" s="370"/>
      <c r="BG109" s="370"/>
      <c r="BH109" s="370"/>
      <c r="BI109" s="370"/>
      <c r="BJ109" s="370"/>
      <c r="BK109" s="370"/>
      <c r="BL109" s="370"/>
      <c r="BM109" s="370"/>
      <c r="BN109" s="370"/>
      <c r="BO109" s="370"/>
      <c r="BP109" s="370"/>
      <c r="BQ109" s="370"/>
      <c r="BR109" s="370"/>
      <c r="BS109" s="370"/>
      <c r="BV109" s="508"/>
      <c r="BW109" s="369"/>
      <c r="BX109" s="370"/>
      <c r="BY109" s="370"/>
      <c r="BZ109" s="370"/>
      <c r="CA109" s="370"/>
      <c r="CB109" s="370"/>
      <c r="CC109" s="505"/>
      <c r="CD109" s="505"/>
      <c r="CE109" s="505"/>
      <c r="CF109" s="505"/>
      <c r="CG109" s="505"/>
      <c r="CH109" s="505"/>
      <c r="CI109" s="505"/>
      <c r="CJ109" s="505"/>
      <c r="CK109" s="505"/>
      <c r="CL109" s="505"/>
      <c r="CM109" s="505"/>
    </row>
    <row r="110" customFormat="false" ht="12.75" hidden="false" customHeight="false" outlineLevel="0" collapsed="false">
      <c r="A110" s="500"/>
      <c r="B110" s="500"/>
      <c r="K110" s="363"/>
      <c r="L110" s="501"/>
      <c r="N110" s="502"/>
      <c r="O110" s="502"/>
      <c r="P110" s="371"/>
      <c r="Q110" s="501"/>
      <c r="R110" s="501"/>
      <c r="U110" s="501"/>
      <c r="V110" s="503"/>
      <c r="W110" s="503"/>
      <c r="X110" s="504"/>
      <c r="Y110" s="504"/>
      <c r="Z110" s="504"/>
      <c r="AA110" s="504"/>
      <c r="AB110" s="504"/>
      <c r="AC110" s="504"/>
      <c r="AF110" s="378"/>
      <c r="AG110" s="378"/>
      <c r="AH110" s="378"/>
      <c r="AI110" s="378"/>
      <c r="AJ110" s="378"/>
      <c r="AM110" s="505"/>
      <c r="AN110" s="505"/>
      <c r="AO110" s="505"/>
      <c r="AP110" s="505"/>
      <c r="AR110" s="370"/>
      <c r="AT110" s="370"/>
      <c r="AV110" s="506"/>
      <c r="AW110" s="370"/>
      <c r="AX110" s="370"/>
      <c r="AY110" s="370"/>
      <c r="AZ110" s="370"/>
      <c r="BA110" s="507"/>
      <c r="BB110" s="505"/>
      <c r="BC110" s="505"/>
      <c r="BD110" s="370"/>
      <c r="BE110" s="370"/>
      <c r="BF110" s="370"/>
      <c r="BG110" s="370"/>
      <c r="BH110" s="370"/>
      <c r="BI110" s="370"/>
      <c r="BJ110" s="370"/>
      <c r="BK110" s="370"/>
      <c r="BL110" s="370"/>
      <c r="BM110" s="370"/>
      <c r="BN110" s="370"/>
      <c r="BO110" s="370"/>
      <c r="BP110" s="370"/>
      <c r="BQ110" s="370"/>
      <c r="BR110" s="370"/>
      <c r="BS110" s="370"/>
      <c r="BV110" s="508"/>
      <c r="BW110" s="369"/>
      <c r="BX110" s="370"/>
      <c r="BY110" s="370"/>
      <c r="BZ110" s="370"/>
      <c r="CA110" s="370"/>
      <c r="CB110" s="370"/>
      <c r="CC110" s="505"/>
      <c r="CD110" s="505"/>
      <c r="CE110" s="505"/>
      <c r="CF110" s="505"/>
      <c r="CG110" s="505"/>
      <c r="CH110" s="505"/>
      <c r="CI110" s="505"/>
      <c r="CJ110" s="505"/>
      <c r="CK110" s="505"/>
      <c r="CL110" s="505"/>
      <c r="CM110" s="505"/>
    </row>
    <row r="111" customFormat="false" ht="12.75" hidden="false" customHeight="false" outlineLevel="0" collapsed="false">
      <c r="A111" s="500"/>
      <c r="B111" s="500"/>
      <c r="K111" s="363"/>
      <c r="L111" s="501"/>
      <c r="N111" s="502"/>
      <c r="O111" s="502"/>
      <c r="P111" s="371"/>
      <c r="Q111" s="501"/>
      <c r="R111" s="501"/>
      <c r="U111" s="501"/>
      <c r="V111" s="503"/>
      <c r="W111" s="503"/>
      <c r="X111" s="504"/>
      <c r="Y111" s="504"/>
      <c r="Z111" s="504"/>
      <c r="AA111" s="504"/>
      <c r="AB111" s="504"/>
      <c r="AC111" s="504"/>
      <c r="AF111" s="378"/>
      <c r="AG111" s="378"/>
      <c r="AH111" s="378"/>
      <c r="AI111" s="378"/>
      <c r="AJ111" s="378"/>
      <c r="AM111" s="505"/>
      <c r="AN111" s="505"/>
      <c r="AO111" s="505"/>
      <c r="AP111" s="505"/>
      <c r="AR111" s="370"/>
      <c r="AT111" s="370"/>
      <c r="AV111" s="506"/>
      <c r="AW111" s="370"/>
      <c r="AX111" s="370"/>
      <c r="AY111" s="370"/>
      <c r="AZ111" s="370"/>
      <c r="BA111" s="507"/>
      <c r="BB111" s="505"/>
      <c r="BC111" s="505"/>
      <c r="BD111" s="370"/>
      <c r="BE111" s="370"/>
      <c r="BF111" s="370"/>
      <c r="BG111" s="370"/>
      <c r="BH111" s="370"/>
      <c r="BI111" s="370"/>
      <c r="BJ111" s="370"/>
      <c r="BK111" s="370"/>
      <c r="BL111" s="370"/>
      <c r="BM111" s="370"/>
      <c r="BN111" s="370"/>
      <c r="BO111" s="370"/>
      <c r="BP111" s="370"/>
      <c r="BQ111" s="370"/>
      <c r="BR111" s="370"/>
      <c r="BS111" s="370"/>
      <c r="BV111" s="508"/>
      <c r="BW111" s="369"/>
      <c r="BX111" s="370"/>
      <c r="BY111" s="370"/>
      <c r="BZ111" s="370"/>
      <c r="CA111" s="370"/>
      <c r="CB111" s="370"/>
      <c r="CC111" s="505"/>
      <c r="CD111" s="505"/>
      <c r="CE111" s="505"/>
      <c r="CF111" s="505"/>
      <c r="CG111" s="505"/>
      <c r="CH111" s="505"/>
      <c r="CI111" s="505"/>
      <c r="CJ111" s="505"/>
      <c r="CK111" s="505"/>
      <c r="CL111" s="505"/>
      <c r="CM111" s="505"/>
    </row>
    <row r="112" customFormat="false" ht="12.75" hidden="false" customHeight="false" outlineLevel="0" collapsed="false">
      <c r="A112" s="500"/>
      <c r="B112" s="500"/>
      <c r="K112" s="363"/>
      <c r="L112" s="501"/>
      <c r="N112" s="502"/>
      <c r="O112" s="502"/>
      <c r="P112" s="371"/>
      <c r="Q112" s="501"/>
      <c r="R112" s="501"/>
      <c r="U112" s="501"/>
      <c r="V112" s="503"/>
      <c r="W112" s="503"/>
      <c r="X112" s="504"/>
      <c r="Y112" s="504"/>
      <c r="Z112" s="504"/>
      <c r="AA112" s="504"/>
      <c r="AB112" s="504"/>
      <c r="AC112" s="504"/>
      <c r="AF112" s="378"/>
      <c r="AG112" s="378"/>
      <c r="AH112" s="378"/>
      <c r="AI112" s="378"/>
      <c r="AJ112" s="378"/>
      <c r="AM112" s="505"/>
      <c r="AN112" s="505"/>
      <c r="AO112" s="505"/>
      <c r="AP112" s="505"/>
      <c r="AR112" s="370"/>
      <c r="AT112" s="370"/>
      <c r="AV112" s="506"/>
      <c r="AW112" s="370"/>
      <c r="AX112" s="370"/>
      <c r="AY112" s="370"/>
      <c r="AZ112" s="370"/>
      <c r="BA112" s="507"/>
      <c r="BB112" s="505"/>
      <c r="BC112" s="505"/>
      <c r="BD112" s="370"/>
      <c r="BE112" s="370"/>
      <c r="BF112" s="370"/>
      <c r="BG112" s="370"/>
      <c r="BH112" s="370"/>
      <c r="BI112" s="370"/>
      <c r="BJ112" s="370"/>
      <c r="BK112" s="370"/>
      <c r="BL112" s="370"/>
      <c r="BM112" s="370"/>
      <c r="BN112" s="370"/>
      <c r="BO112" s="370"/>
      <c r="BP112" s="370"/>
      <c r="BQ112" s="370"/>
      <c r="BR112" s="370"/>
      <c r="BS112" s="370"/>
      <c r="BV112" s="508"/>
      <c r="BW112" s="369"/>
      <c r="BX112" s="370"/>
      <c r="BY112" s="370"/>
      <c r="BZ112" s="370"/>
      <c r="CA112" s="370"/>
      <c r="CB112" s="370"/>
      <c r="CC112" s="505"/>
      <c r="CD112" s="505"/>
      <c r="CE112" s="505"/>
      <c r="CF112" s="505"/>
      <c r="CG112" s="505"/>
      <c r="CH112" s="505"/>
      <c r="CI112" s="505"/>
      <c r="CJ112" s="505"/>
      <c r="CK112" s="505"/>
      <c r="CL112" s="505"/>
      <c r="CM112" s="505"/>
    </row>
    <row r="113" customFormat="false" ht="12.75" hidden="false" customHeight="false" outlineLevel="0" collapsed="false">
      <c r="A113" s="500"/>
      <c r="B113" s="500"/>
      <c r="K113" s="363"/>
      <c r="L113" s="501"/>
      <c r="N113" s="502"/>
      <c r="O113" s="502"/>
      <c r="P113" s="371"/>
      <c r="Q113" s="501"/>
      <c r="R113" s="501"/>
      <c r="U113" s="501"/>
      <c r="V113" s="503"/>
      <c r="W113" s="503"/>
      <c r="X113" s="504"/>
      <c r="Y113" s="504"/>
      <c r="Z113" s="504"/>
      <c r="AA113" s="504"/>
      <c r="AB113" s="504"/>
      <c r="AC113" s="504"/>
      <c r="AF113" s="378"/>
      <c r="AG113" s="378"/>
      <c r="AH113" s="378"/>
      <c r="AI113" s="378"/>
      <c r="AJ113" s="378"/>
      <c r="AM113" s="505"/>
      <c r="AN113" s="505"/>
      <c r="AO113" s="505"/>
      <c r="AP113" s="505"/>
      <c r="AR113" s="370"/>
      <c r="AT113" s="370"/>
      <c r="AV113" s="506"/>
      <c r="AW113" s="370"/>
      <c r="AX113" s="370"/>
      <c r="AY113" s="370"/>
      <c r="AZ113" s="370"/>
      <c r="BA113" s="507"/>
      <c r="BB113" s="505"/>
      <c r="BC113" s="505"/>
      <c r="BD113" s="370"/>
      <c r="BE113" s="370"/>
      <c r="BF113" s="370"/>
      <c r="BG113" s="370"/>
      <c r="BH113" s="370"/>
      <c r="BI113" s="370"/>
      <c r="BJ113" s="370"/>
      <c r="BK113" s="370"/>
      <c r="BL113" s="370"/>
      <c r="BM113" s="370"/>
      <c r="BN113" s="370"/>
      <c r="BO113" s="370"/>
      <c r="BP113" s="370"/>
      <c r="BQ113" s="370"/>
      <c r="BR113" s="370"/>
      <c r="BS113" s="370"/>
      <c r="BV113" s="508"/>
      <c r="BW113" s="369"/>
      <c r="BX113" s="370"/>
      <c r="BY113" s="370"/>
      <c r="BZ113" s="370"/>
      <c r="CA113" s="370"/>
      <c r="CB113" s="370"/>
      <c r="CC113" s="505"/>
      <c r="CD113" s="505"/>
      <c r="CE113" s="505"/>
      <c r="CF113" s="505"/>
      <c r="CG113" s="505"/>
      <c r="CH113" s="505"/>
      <c r="CI113" s="505"/>
      <c r="CJ113" s="505"/>
      <c r="CK113" s="505"/>
      <c r="CL113" s="505"/>
      <c r="CM113" s="505"/>
    </row>
    <row r="114" customFormat="false" ht="12.75" hidden="false" customHeight="false" outlineLevel="0" collapsed="false">
      <c r="A114" s="500"/>
      <c r="B114" s="500"/>
      <c r="K114" s="363"/>
      <c r="L114" s="501"/>
      <c r="N114" s="502"/>
      <c r="O114" s="502"/>
      <c r="P114" s="371"/>
      <c r="Q114" s="501"/>
      <c r="R114" s="501"/>
      <c r="U114" s="501"/>
      <c r="V114" s="503"/>
      <c r="W114" s="503"/>
      <c r="X114" s="504"/>
      <c r="Y114" s="504"/>
      <c r="Z114" s="504"/>
      <c r="AA114" s="504"/>
      <c r="AB114" s="504"/>
      <c r="AC114" s="504"/>
      <c r="AF114" s="378"/>
      <c r="AG114" s="378"/>
      <c r="AH114" s="378"/>
      <c r="AI114" s="378"/>
      <c r="AJ114" s="378"/>
      <c r="AM114" s="505"/>
      <c r="AN114" s="505"/>
      <c r="AO114" s="505"/>
      <c r="AP114" s="505"/>
      <c r="AR114" s="370"/>
      <c r="AT114" s="370"/>
      <c r="AV114" s="506"/>
      <c r="AW114" s="370"/>
      <c r="AX114" s="370"/>
      <c r="AY114" s="370"/>
      <c r="AZ114" s="370"/>
      <c r="BA114" s="507"/>
      <c r="BB114" s="505"/>
      <c r="BC114" s="505"/>
      <c r="BD114" s="370"/>
      <c r="BE114" s="370"/>
      <c r="BF114" s="370"/>
      <c r="BG114" s="370"/>
      <c r="BH114" s="370"/>
      <c r="BI114" s="370"/>
      <c r="BJ114" s="370"/>
      <c r="BK114" s="370"/>
      <c r="BL114" s="370"/>
      <c r="BM114" s="370"/>
      <c r="BN114" s="370"/>
      <c r="BO114" s="370"/>
      <c r="BP114" s="370"/>
      <c r="BQ114" s="370"/>
      <c r="BR114" s="370"/>
      <c r="BS114" s="370"/>
      <c r="BV114" s="508"/>
      <c r="BW114" s="369"/>
      <c r="BX114" s="370"/>
      <c r="BY114" s="370"/>
      <c r="BZ114" s="370"/>
      <c r="CA114" s="370"/>
      <c r="CB114" s="370"/>
      <c r="CC114" s="505"/>
      <c r="CD114" s="505"/>
      <c r="CE114" s="505"/>
      <c r="CF114" s="505"/>
      <c r="CG114" s="505"/>
      <c r="CH114" s="505"/>
      <c r="CI114" s="505"/>
      <c r="CJ114" s="505"/>
      <c r="CK114" s="505"/>
      <c r="CL114" s="505"/>
      <c r="CM114" s="505"/>
    </row>
    <row r="115" customFormat="false" ht="12.75" hidden="false" customHeight="false" outlineLevel="0" collapsed="false">
      <c r="A115" s="500"/>
      <c r="B115" s="500"/>
      <c r="K115" s="363"/>
      <c r="L115" s="501"/>
      <c r="N115" s="502"/>
      <c r="O115" s="502"/>
      <c r="P115" s="371"/>
      <c r="Q115" s="501"/>
      <c r="R115" s="501"/>
      <c r="U115" s="501"/>
      <c r="V115" s="503"/>
      <c r="W115" s="503"/>
      <c r="X115" s="504"/>
      <c r="Y115" s="504"/>
      <c r="Z115" s="504"/>
      <c r="AA115" s="504"/>
      <c r="AB115" s="504"/>
      <c r="AC115" s="504"/>
      <c r="AF115" s="378"/>
      <c r="AG115" s="378"/>
      <c r="AH115" s="378"/>
      <c r="AI115" s="378"/>
      <c r="AJ115" s="378"/>
      <c r="AM115" s="505"/>
      <c r="AN115" s="505"/>
      <c r="AO115" s="505"/>
      <c r="AP115" s="505"/>
      <c r="AR115" s="370"/>
      <c r="AT115" s="370"/>
      <c r="AV115" s="506"/>
      <c r="AW115" s="370"/>
      <c r="AX115" s="370"/>
      <c r="AY115" s="370"/>
      <c r="AZ115" s="370"/>
      <c r="BA115" s="507"/>
      <c r="BB115" s="505"/>
      <c r="BC115" s="505"/>
      <c r="BD115" s="370"/>
      <c r="BE115" s="370"/>
      <c r="BF115" s="370"/>
      <c r="BG115" s="370"/>
      <c r="BH115" s="370"/>
      <c r="BI115" s="370"/>
      <c r="BJ115" s="370"/>
      <c r="BK115" s="370"/>
      <c r="BL115" s="370"/>
      <c r="BM115" s="370"/>
      <c r="BN115" s="370"/>
      <c r="BO115" s="370"/>
      <c r="BP115" s="370"/>
      <c r="BQ115" s="370"/>
      <c r="BR115" s="370"/>
      <c r="BS115" s="370"/>
      <c r="BV115" s="508"/>
      <c r="BW115" s="369"/>
      <c r="BX115" s="370"/>
      <c r="BY115" s="370"/>
      <c r="BZ115" s="370"/>
      <c r="CA115" s="370"/>
      <c r="CB115" s="370"/>
      <c r="CC115" s="505"/>
      <c r="CD115" s="505"/>
      <c r="CE115" s="505"/>
      <c r="CF115" s="505"/>
      <c r="CG115" s="505"/>
      <c r="CH115" s="505"/>
      <c r="CI115" s="505"/>
      <c r="CJ115" s="505"/>
      <c r="CK115" s="505"/>
      <c r="CL115" s="505"/>
      <c r="CM115" s="505"/>
    </row>
    <row r="116" customFormat="false" ht="12.75" hidden="false" customHeight="false" outlineLevel="0" collapsed="false">
      <c r="A116" s="500"/>
      <c r="B116" s="500"/>
      <c r="K116" s="363"/>
      <c r="L116" s="501"/>
      <c r="N116" s="502"/>
      <c r="O116" s="502"/>
      <c r="P116" s="371"/>
      <c r="Q116" s="501"/>
      <c r="R116" s="501"/>
      <c r="U116" s="501"/>
      <c r="V116" s="503"/>
      <c r="W116" s="503"/>
      <c r="X116" s="504"/>
      <c r="Y116" s="504"/>
      <c r="Z116" s="504"/>
      <c r="AA116" s="504"/>
      <c r="AB116" s="504"/>
      <c r="AC116" s="504"/>
      <c r="AF116" s="378"/>
      <c r="AG116" s="378"/>
      <c r="AH116" s="378"/>
      <c r="AI116" s="378"/>
      <c r="AJ116" s="378"/>
      <c r="AM116" s="505"/>
      <c r="AN116" s="505"/>
      <c r="AO116" s="505"/>
      <c r="AP116" s="505"/>
      <c r="AR116" s="370"/>
      <c r="AT116" s="370"/>
      <c r="AV116" s="506"/>
      <c r="AW116" s="370"/>
      <c r="AX116" s="370"/>
      <c r="AY116" s="370"/>
      <c r="AZ116" s="370"/>
      <c r="BA116" s="507"/>
      <c r="BB116" s="505"/>
      <c r="BC116" s="505"/>
      <c r="BD116" s="370"/>
      <c r="BE116" s="370"/>
      <c r="BF116" s="370"/>
      <c r="BG116" s="370"/>
      <c r="BH116" s="370"/>
      <c r="BI116" s="370"/>
      <c r="BJ116" s="370"/>
      <c r="BK116" s="370"/>
      <c r="BL116" s="370"/>
      <c r="BM116" s="370"/>
      <c r="BN116" s="370"/>
      <c r="BO116" s="370"/>
      <c r="BP116" s="370"/>
      <c r="BQ116" s="370"/>
      <c r="BR116" s="370"/>
      <c r="BS116" s="370"/>
      <c r="BV116" s="508"/>
      <c r="BW116" s="369"/>
      <c r="BX116" s="370"/>
      <c r="BY116" s="370"/>
      <c r="BZ116" s="370"/>
      <c r="CA116" s="370"/>
      <c r="CB116" s="370"/>
      <c r="CC116" s="505"/>
      <c r="CD116" s="505"/>
      <c r="CE116" s="505"/>
      <c r="CF116" s="505"/>
      <c r="CG116" s="505"/>
      <c r="CH116" s="505"/>
      <c r="CI116" s="505"/>
      <c r="CJ116" s="505"/>
      <c r="CK116" s="505"/>
      <c r="CL116" s="505"/>
      <c r="CM116" s="505"/>
    </row>
    <row r="117" customFormat="false" ht="12.75" hidden="false" customHeight="false" outlineLevel="0" collapsed="false">
      <c r="A117" s="500"/>
      <c r="B117" s="500"/>
      <c r="K117" s="363"/>
      <c r="L117" s="501"/>
      <c r="N117" s="502"/>
      <c r="O117" s="502"/>
      <c r="P117" s="371"/>
      <c r="Q117" s="501"/>
      <c r="R117" s="501"/>
      <c r="U117" s="501"/>
      <c r="V117" s="503"/>
      <c r="W117" s="503"/>
      <c r="X117" s="504"/>
      <c r="Y117" s="504"/>
      <c r="Z117" s="504"/>
      <c r="AA117" s="504"/>
      <c r="AB117" s="504"/>
      <c r="AC117" s="504"/>
      <c r="AF117" s="378"/>
      <c r="AG117" s="378"/>
      <c r="AH117" s="378"/>
      <c r="AI117" s="378"/>
      <c r="AJ117" s="378"/>
      <c r="AM117" s="505"/>
      <c r="AN117" s="505"/>
      <c r="AO117" s="505"/>
      <c r="AP117" s="505"/>
      <c r="AR117" s="370"/>
      <c r="AT117" s="370"/>
      <c r="AV117" s="506"/>
      <c r="AW117" s="370"/>
      <c r="AX117" s="370"/>
      <c r="AY117" s="370"/>
      <c r="AZ117" s="370"/>
      <c r="BA117" s="507"/>
      <c r="BB117" s="505"/>
      <c r="BC117" s="505"/>
      <c r="BD117" s="370"/>
      <c r="BE117" s="370"/>
      <c r="BF117" s="370"/>
      <c r="BG117" s="370"/>
      <c r="BH117" s="370"/>
      <c r="BI117" s="370"/>
      <c r="BJ117" s="370"/>
      <c r="BK117" s="370"/>
      <c r="BL117" s="370"/>
      <c r="BM117" s="370"/>
      <c r="BN117" s="370"/>
      <c r="BO117" s="370"/>
      <c r="BP117" s="370"/>
      <c r="BQ117" s="370"/>
      <c r="BR117" s="370"/>
      <c r="BS117" s="370"/>
      <c r="BV117" s="508"/>
      <c r="BW117" s="369"/>
      <c r="BX117" s="370"/>
      <c r="BY117" s="370"/>
      <c r="BZ117" s="370"/>
      <c r="CA117" s="370"/>
      <c r="CB117" s="370"/>
      <c r="CC117" s="505"/>
      <c r="CD117" s="505"/>
      <c r="CE117" s="505"/>
      <c r="CF117" s="505"/>
      <c r="CG117" s="505"/>
      <c r="CH117" s="505"/>
      <c r="CI117" s="505"/>
      <c r="CJ117" s="505"/>
      <c r="CK117" s="505"/>
      <c r="CL117" s="505"/>
      <c r="CM117" s="505"/>
    </row>
    <row r="118" customFormat="false" ht="12.75" hidden="false" customHeight="false" outlineLevel="0" collapsed="false">
      <c r="A118" s="500"/>
      <c r="B118" s="500"/>
      <c r="K118" s="363"/>
      <c r="L118" s="501"/>
      <c r="N118" s="502"/>
      <c r="O118" s="502"/>
      <c r="P118" s="371"/>
      <c r="Q118" s="501"/>
      <c r="R118" s="501"/>
      <c r="U118" s="501"/>
      <c r="V118" s="503"/>
      <c r="W118" s="503"/>
      <c r="X118" s="504"/>
      <c r="Y118" s="504"/>
      <c r="Z118" s="504"/>
      <c r="AA118" s="504"/>
      <c r="AB118" s="504"/>
      <c r="AC118" s="504"/>
      <c r="AF118" s="378"/>
      <c r="AG118" s="378"/>
      <c r="AH118" s="378"/>
      <c r="AI118" s="378"/>
      <c r="AJ118" s="378"/>
      <c r="AM118" s="505"/>
      <c r="AN118" s="505"/>
      <c r="AO118" s="505"/>
      <c r="AP118" s="505"/>
      <c r="AR118" s="370"/>
      <c r="AT118" s="370"/>
      <c r="AV118" s="506"/>
      <c r="AW118" s="370"/>
      <c r="AX118" s="370"/>
      <c r="AY118" s="370"/>
      <c r="AZ118" s="370"/>
      <c r="BA118" s="507"/>
      <c r="BB118" s="505"/>
      <c r="BC118" s="505"/>
      <c r="BD118" s="370"/>
      <c r="BE118" s="370"/>
      <c r="BF118" s="370"/>
      <c r="BG118" s="370"/>
      <c r="BH118" s="370"/>
      <c r="BI118" s="370"/>
      <c r="BJ118" s="370"/>
      <c r="BK118" s="370"/>
      <c r="BL118" s="370"/>
      <c r="BM118" s="370"/>
      <c r="BN118" s="370"/>
      <c r="BO118" s="370"/>
      <c r="BP118" s="370"/>
      <c r="BQ118" s="370"/>
      <c r="BR118" s="370"/>
      <c r="BS118" s="370"/>
      <c r="BV118" s="508"/>
      <c r="BW118" s="369"/>
      <c r="BX118" s="370"/>
      <c r="BY118" s="370"/>
      <c r="BZ118" s="370"/>
      <c r="CA118" s="370"/>
      <c r="CB118" s="370"/>
      <c r="CC118" s="505"/>
      <c r="CD118" s="505"/>
      <c r="CE118" s="505"/>
      <c r="CF118" s="505"/>
      <c r="CG118" s="505"/>
      <c r="CH118" s="505"/>
      <c r="CI118" s="505"/>
      <c r="CJ118" s="505"/>
      <c r="CK118" s="505"/>
      <c r="CL118" s="505"/>
      <c r="CM118" s="505"/>
    </row>
    <row r="119" customFormat="false" ht="12.75" hidden="false" customHeight="false" outlineLevel="0" collapsed="false">
      <c r="A119" s="500"/>
      <c r="B119" s="500"/>
      <c r="K119" s="363"/>
      <c r="L119" s="501"/>
      <c r="N119" s="502"/>
      <c r="O119" s="502"/>
      <c r="P119" s="371"/>
      <c r="Q119" s="501"/>
      <c r="R119" s="501"/>
      <c r="U119" s="501"/>
      <c r="V119" s="503"/>
      <c r="W119" s="503"/>
      <c r="X119" s="504"/>
      <c r="Y119" s="504"/>
      <c r="Z119" s="504"/>
      <c r="AA119" s="504"/>
      <c r="AB119" s="504"/>
      <c r="AC119" s="504"/>
      <c r="AF119" s="378"/>
      <c r="AG119" s="378"/>
      <c r="AH119" s="378"/>
      <c r="AI119" s="378"/>
      <c r="AJ119" s="378"/>
      <c r="AM119" s="505"/>
      <c r="AN119" s="505"/>
      <c r="AO119" s="505"/>
      <c r="AP119" s="505"/>
      <c r="AR119" s="370"/>
      <c r="AT119" s="370"/>
      <c r="AV119" s="506"/>
      <c r="AW119" s="370"/>
      <c r="AX119" s="370"/>
      <c r="AY119" s="370"/>
      <c r="AZ119" s="370"/>
      <c r="BA119" s="507"/>
      <c r="BB119" s="505"/>
      <c r="BC119" s="505"/>
      <c r="BD119" s="370"/>
      <c r="BE119" s="370"/>
      <c r="BF119" s="370"/>
      <c r="BG119" s="370"/>
      <c r="BH119" s="370"/>
      <c r="BI119" s="370"/>
      <c r="BJ119" s="370"/>
      <c r="BK119" s="370"/>
      <c r="BL119" s="370"/>
      <c r="BM119" s="370"/>
      <c r="BN119" s="370"/>
      <c r="BO119" s="370"/>
      <c r="BP119" s="370"/>
      <c r="BQ119" s="370"/>
      <c r="BR119" s="370"/>
      <c r="BS119" s="370"/>
      <c r="BV119" s="508"/>
      <c r="BW119" s="369"/>
      <c r="BX119" s="370"/>
      <c r="BY119" s="370"/>
      <c r="BZ119" s="370"/>
      <c r="CA119" s="370"/>
      <c r="CB119" s="370"/>
      <c r="CC119" s="505"/>
      <c r="CD119" s="505"/>
      <c r="CE119" s="505"/>
      <c r="CF119" s="505"/>
      <c r="CG119" s="505"/>
      <c r="CH119" s="505"/>
      <c r="CI119" s="505"/>
      <c r="CJ119" s="505"/>
      <c r="CK119" s="505"/>
      <c r="CL119" s="505"/>
      <c r="CM119" s="505"/>
    </row>
    <row r="120" customFormat="false" ht="12.75" hidden="false" customHeight="false" outlineLevel="0" collapsed="false">
      <c r="A120" s="500"/>
      <c r="B120" s="500"/>
      <c r="K120" s="363"/>
      <c r="L120" s="501"/>
      <c r="N120" s="502"/>
      <c r="O120" s="502"/>
      <c r="P120" s="371"/>
      <c r="Q120" s="501"/>
      <c r="R120" s="501"/>
      <c r="U120" s="501"/>
      <c r="V120" s="503"/>
      <c r="W120" s="503"/>
      <c r="X120" s="504"/>
      <c r="Y120" s="504"/>
      <c r="Z120" s="504"/>
      <c r="AA120" s="504"/>
      <c r="AB120" s="504"/>
      <c r="AC120" s="504"/>
      <c r="AF120" s="378"/>
      <c r="AG120" s="378"/>
      <c r="AH120" s="378"/>
      <c r="AI120" s="378"/>
      <c r="AJ120" s="378"/>
      <c r="AM120" s="505"/>
      <c r="AN120" s="505"/>
      <c r="AO120" s="505"/>
      <c r="AP120" s="505"/>
      <c r="AR120" s="370"/>
      <c r="AT120" s="370"/>
      <c r="AV120" s="506"/>
      <c r="AW120" s="370"/>
      <c r="AX120" s="370"/>
      <c r="AY120" s="370"/>
      <c r="AZ120" s="370"/>
      <c r="BA120" s="507"/>
      <c r="BB120" s="505"/>
      <c r="BC120" s="505"/>
      <c r="BD120" s="370"/>
      <c r="BE120" s="370"/>
      <c r="BF120" s="370"/>
      <c r="BG120" s="370"/>
      <c r="BH120" s="370"/>
      <c r="BI120" s="370"/>
      <c r="BJ120" s="370"/>
      <c r="BK120" s="370"/>
      <c r="BL120" s="370"/>
      <c r="BM120" s="370"/>
      <c r="BN120" s="370"/>
      <c r="BO120" s="370"/>
      <c r="BP120" s="370"/>
      <c r="BQ120" s="370"/>
      <c r="BR120" s="370"/>
      <c r="BS120" s="370"/>
      <c r="BV120" s="508"/>
      <c r="BW120" s="369"/>
      <c r="BX120" s="370"/>
      <c r="BY120" s="370"/>
      <c r="BZ120" s="370"/>
      <c r="CA120" s="370"/>
      <c r="CB120" s="370"/>
      <c r="CC120" s="505"/>
      <c r="CD120" s="505"/>
      <c r="CE120" s="505"/>
      <c r="CF120" s="505"/>
      <c r="CG120" s="505"/>
      <c r="CH120" s="505"/>
      <c r="CI120" s="505"/>
      <c r="CJ120" s="505"/>
      <c r="CK120" s="505"/>
      <c r="CL120" s="505"/>
      <c r="CM120" s="505"/>
    </row>
    <row r="121" customFormat="false" ht="12.75" hidden="false" customHeight="false" outlineLevel="0" collapsed="false">
      <c r="A121" s="500"/>
      <c r="B121" s="500"/>
      <c r="K121" s="363"/>
      <c r="L121" s="501"/>
      <c r="N121" s="502"/>
      <c r="O121" s="502"/>
      <c r="P121" s="371"/>
      <c r="Q121" s="501"/>
      <c r="R121" s="501"/>
      <c r="U121" s="501"/>
      <c r="V121" s="503"/>
      <c r="W121" s="503"/>
      <c r="X121" s="504"/>
      <c r="Y121" s="504"/>
      <c r="Z121" s="504"/>
      <c r="AA121" s="504"/>
      <c r="AB121" s="504"/>
      <c r="AC121" s="504"/>
      <c r="AF121" s="378"/>
      <c r="AG121" s="378"/>
      <c r="AH121" s="378"/>
      <c r="AI121" s="378"/>
      <c r="AJ121" s="378"/>
      <c r="AM121" s="505"/>
      <c r="AN121" s="505"/>
      <c r="AO121" s="505"/>
      <c r="AP121" s="505"/>
      <c r="AR121" s="370"/>
      <c r="AT121" s="370"/>
      <c r="AV121" s="506"/>
      <c r="AW121" s="370"/>
      <c r="AX121" s="370"/>
      <c r="AY121" s="370"/>
      <c r="AZ121" s="370"/>
      <c r="BA121" s="507"/>
      <c r="BB121" s="505"/>
      <c r="BC121" s="505"/>
      <c r="BD121" s="370"/>
      <c r="BE121" s="370"/>
      <c r="BF121" s="370"/>
      <c r="BG121" s="370"/>
      <c r="BH121" s="370"/>
      <c r="BI121" s="370"/>
      <c r="BJ121" s="370"/>
      <c r="BK121" s="370"/>
      <c r="BL121" s="370"/>
      <c r="BM121" s="370"/>
      <c r="BN121" s="370"/>
      <c r="BO121" s="370"/>
      <c r="BP121" s="370"/>
      <c r="BQ121" s="370"/>
      <c r="BR121" s="370"/>
      <c r="BS121" s="370"/>
      <c r="BV121" s="508"/>
      <c r="BW121" s="369"/>
      <c r="BX121" s="370"/>
      <c r="BY121" s="370"/>
      <c r="BZ121" s="370"/>
      <c r="CA121" s="370"/>
      <c r="CB121" s="370"/>
      <c r="CC121" s="505"/>
      <c r="CD121" s="505"/>
      <c r="CE121" s="505"/>
      <c r="CF121" s="505"/>
      <c r="CG121" s="505"/>
      <c r="CH121" s="505"/>
      <c r="CI121" s="505"/>
      <c r="CJ121" s="505"/>
      <c r="CK121" s="505"/>
      <c r="CL121" s="505"/>
      <c r="CM121" s="505"/>
    </row>
    <row r="122" customFormat="false" ht="12.75" hidden="false" customHeight="false" outlineLevel="0" collapsed="false">
      <c r="A122" s="500"/>
      <c r="B122" s="500"/>
      <c r="K122" s="363"/>
      <c r="L122" s="501"/>
      <c r="N122" s="502"/>
      <c r="O122" s="502"/>
      <c r="P122" s="371"/>
      <c r="Q122" s="501"/>
      <c r="R122" s="501"/>
      <c r="U122" s="501"/>
      <c r="V122" s="503"/>
      <c r="W122" s="503"/>
      <c r="X122" s="504"/>
      <c r="Y122" s="504"/>
      <c r="Z122" s="504"/>
      <c r="AA122" s="504"/>
      <c r="AB122" s="504"/>
      <c r="AC122" s="504"/>
      <c r="AF122" s="378"/>
      <c r="AG122" s="378"/>
      <c r="AH122" s="378"/>
      <c r="AI122" s="378"/>
      <c r="AJ122" s="378"/>
      <c r="AM122" s="505"/>
      <c r="AN122" s="505"/>
      <c r="AO122" s="505"/>
      <c r="AP122" s="505"/>
      <c r="AR122" s="370"/>
      <c r="AT122" s="370"/>
      <c r="AV122" s="506"/>
      <c r="AW122" s="370"/>
      <c r="AX122" s="370"/>
      <c r="AY122" s="370"/>
      <c r="AZ122" s="370"/>
      <c r="BA122" s="507"/>
      <c r="BB122" s="505"/>
      <c r="BC122" s="505"/>
      <c r="BD122" s="370"/>
      <c r="BE122" s="370"/>
      <c r="BF122" s="370"/>
      <c r="BG122" s="370"/>
      <c r="BH122" s="370"/>
      <c r="BI122" s="370"/>
      <c r="BJ122" s="370"/>
      <c r="BK122" s="370"/>
      <c r="BL122" s="370"/>
      <c r="BM122" s="370"/>
      <c r="BN122" s="370"/>
      <c r="BO122" s="370"/>
      <c r="BP122" s="370"/>
      <c r="BQ122" s="370"/>
      <c r="BR122" s="370"/>
      <c r="BS122" s="370"/>
      <c r="BV122" s="508"/>
      <c r="BW122" s="369"/>
      <c r="BX122" s="370"/>
      <c r="BY122" s="370"/>
      <c r="BZ122" s="370"/>
      <c r="CA122" s="370"/>
      <c r="CB122" s="370"/>
      <c r="CC122" s="505"/>
      <c r="CD122" s="505"/>
      <c r="CE122" s="505"/>
      <c r="CF122" s="505"/>
      <c r="CG122" s="505"/>
      <c r="CH122" s="505"/>
      <c r="CI122" s="505"/>
      <c r="CJ122" s="505"/>
      <c r="CK122" s="505"/>
      <c r="CL122" s="505"/>
      <c r="CM122" s="505"/>
    </row>
    <row r="123" customFormat="false" ht="12.75" hidden="false" customHeight="false" outlineLevel="0" collapsed="false">
      <c r="A123" s="500"/>
      <c r="B123" s="500"/>
      <c r="K123" s="363"/>
      <c r="L123" s="501"/>
      <c r="N123" s="502"/>
      <c r="O123" s="502"/>
      <c r="P123" s="371"/>
      <c r="Q123" s="501"/>
      <c r="R123" s="501"/>
      <c r="U123" s="501"/>
      <c r="V123" s="503"/>
      <c r="W123" s="503"/>
      <c r="X123" s="504"/>
      <c r="Y123" s="504"/>
      <c r="Z123" s="504"/>
      <c r="AA123" s="504"/>
      <c r="AB123" s="504"/>
      <c r="AC123" s="504"/>
      <c r="AF123" s="378"/>
      <c r="AG123" s="378"/>
      <c r="AH123" s="378"/>
      <c r="AI123" s="378"/>
      <c r="AJ123" s="378"/>
      <c r="AM123" s="505"/>
      <c r="AN123" s="505"/>
      <c r="AO123" s="505"/>
      <c r="AP123" s="505"/>
      <c r="AR123" s="370"/>
      <c r="AT123" s="370"/>
      <c r="AV123" s="506"/>
      <c r="AW123" s="370"/>
      <c r="AX123" s="370"/>
      <c r="AY123" s="370"/>
      <c r="AZ123" s="370"/>
      <c r="BA123" s="507"/>
      <c r="BB123" s="505"/>
      <c r="BC123" s="505"/>
      <c r="BD123" s="370"/>
      <c r="BE123" s="370"/>
      <c r="BF123" s="370"/>
      <c r="BG123" s="370"/>
      <c r="BH123" s="370"/>
      <c r="BI123" s="370"/>
      <c r="BJ123" s="370"/>
      <c r="BK123" s="370"/>
      <c r="BL123" s="370"/>
      <c r="BM123" s="370"/>
      <c r="BN123" s="370"/>
      <c r="BO123" s="370"/>
      <c r="BP123" s="370"/>
      <c r="BQ123" s="370"/>
      <c r="BR123" s="370"/>
      <c r="BS123" s="370"/>
      <c r="BV123" s="508"/>
      <c r="BW123" s="369"/>
      <c r="BX123" s="370"/>
      <c r="BY123" s="370"/>
      <c r="BZ123" s="370"/>
      <c r="CA123" s="370"/>
      <c r="CB123" s="370"/>
      <c r="CC123" s="505"/>
      <c r="CD123" s="505"/>
      <c r="CE123" s="505"/>
      <c r="CF123" s="505"/>
      <c r="CG123" s="505"/>
      <c r="CH123" s="505"/>
      <c r="CI123" s="505"/>
      <c r="CJ123" s="505"/>
      <c r="CK123" s="505"/>
      <c r="CL123" s="505"/>
      <c r="CM123" s="505"/>
    </row>
    <row r="124" customFormat="false" ht="12.75" hidden="false" customHeight="false" outlineLevel="0" collapsed="false">
      <c r="A124" s="500"/>
      <c r="B124" s="500"/>
      <c r="K124" s="363"/>
      <c r="L124" s="501"/>
      <c r="N124" s="502"/>
      <c r="O124" s="502"/>
      <c r="P124" s="371"/>
      <c r="Q124" s="501"/>
      <c r="R124" s="501"/>
      <c r="U124" s="501"/>
      <c r="V124" s="503"/>
      <c r="W124" s="503"/>
      <c r="X124" s="504"/>
      <c r="Y124" s="504"/>
      <c r="Z124" s="504"/>
      <c r="AA124" s="504"/>
      <c r="AB124" s="504"/>
      <c r="AC124" s="504"/>
      <c r="AF124" s="378"/>
      <c r="AG124" s="378"/>
      <c r="AH124" s="378"/>
      <c r="AI124" s="378"/>
      <c r="AJ124" s="378"/>
      <c r="AM124" s="505"/>
      <c r="AN124" s="505"/>
      <c r="AO124" s="505"/>
      <c r="AP124" s="505"/>
      <c r="AR124" s="370"/>
      <c r="AT124" s="370"/>
      <c r="AV124" s="506"/>
      <c r="AW124" s="370"/>
      <c r="AX124" s="370"/>
      <c r="AY124" s="370"/>
      <c r="AZ124" s="370"/>
      <c r="BA124" s="507"/>
      <c r="BB124" s="505"/>
      <c r="BC124" s="505"/>
      <c r="BD124" s="370"/>
      <c r="BE124" s="370"/>
      <c r="BF124" s="370"/>
      <c r="BG124" s="370"/>
      <c r="BH124" s="370"/>
      <c r="BI124" s="370"/>
      <c r="BJ124" s="370"/>
      <c r="BK124" s="370"/>
      <c r="BL124" s="370"/>
      <c r="BM124" s="370"/>
      <c r="BN124" s="370"/>
      <c r="BO124" s="370"/>
      <c r="BP124" s="370"/>
      <c r="BQ124" s="370"/>
      <c r="BR124" s="370"/>
      <c r="BS124" s="370"/>
      <c r="BV124" s="508"/>
      <c r="BW124" s="369"/>
      <c r="BX124" s="370"/>
      <c r="BY124" s="370"/>
      <c r="BZ124" s="370"/>
      <c r="CA124" s="370"/>
      <c r="CB124" s="370"/>
      <c r="CC124" s="505"/>
      <c r="CD124" s="505"/>
      <c r="CE124" s="505"/>
      <c r="CF124" s="505"/>
      <c r="CG124" s="505"/>
      <c r="CH124" s="505"/>
      <c r="CI124" s="505"/>
      <c r="CJ124" s="505"/>
      <c r="CK124" s="505"/>
      <c r="CL124" s="505"/>
      <c r="CM124" s="505"/>
    </row>
    <row r="125" customFormat="false" ht="12.75" hidden="false" customHeight="false" outlineLevel="0" collapsed="false">
      <c r="A125" s="500"/>
      <c r="B125" s="500"/>
      <c r="K125" s="363"/>
      <c r="L125" s="501"/>
      <c r="N125" s="502"/>
      <c r="O125" s="502"/>
      <c r="P125" s="371"/>
      <c r="Q125" s="501"/>
      <c r="R125" s="501"/>
      <c r="U125" s="501"/>
      <c r="V125" s="503"/>
      <c r="W125" s="503"/>
      <c r="X125" s="504"/>
      <c r="Y125" s="504"/>
      <c r="Z125" s="504"/>
      <c r="AA125" s="504"/>
      <c r="AB125" s="504"/>
      <c r="AC125" s="504"/>
      <c r="AF125" s="378"/>
      <c r="AG125" s="378"/>
      <c r="AH125" s="378"/>
      <c r="AI125" s="378"/>
      <c r="AJ125" s="378"/>
      <c r="AM125" s="505"/>
      <c r="AN125" s="505"/>
      <c r="AO125" s="505"/>
      <c r="AP125" s="505"/>
      <c r="AR125" s="370"/>
      <c r="AT125" s="370"/>
      <c r="AV125" s="506"/>
      <c r="AW125" s="370"/>
      <c r="AX125" s="370"/>
      <c r="AY125" s="370"/>
      <c r="AZ125" s="370"/>
      <c r="BA125" s="507"/>
      <c r="BB125" s="505"/>
      <c r="BC125" s="505"/>
      <c r="BD125" s="370"/>
      <c r="BE125" s="370"/>
      <c r="BF125" s="370"/>
      <c r="BG125" s="370"/>
      <c r="BH125" s="370"/>
      <c r="BI125" s="370"/>
      <c r="BJ125" s="370"/>
      <c r="BK125" s="370"/>
      <c r="BL125" s="370"/>
      <c r="BM125" s="370"/>
      <c r="BN125" s="370"/>
      <c r="BO125" s="370"/>
      <c r="BP125" s="370"/>
      <c r="BQ125" s="370"/>
      <c r="BR125" s="370"/>
      <c r="BS125" s="370"/>
      <c r="BV125" s="508"/>
      <c r="BW125" s="369"/>
      <c r="BX125" s="370"/>
      <c r="BY125" s="370"/>
      <c r="BZ125" s="370"/>
      <c r="CA125" s="370"/>
      <c r="CB125" s="370"/>
      <c r="CC125" s="505"/>
      <c r="CD125" s="505"/>
      <c r="CE125" s="505"/>
      <c r="CF125" s="505"/>
      <c r="CG125" s="505"/>
      <c r="CH125" s="505"/>
      <c r="CI125" s="505"/>
      <c r="CJ125" s="505"/>
      <c r="CK125" s="505"/>
      <c r="CL125" s="505"/>
      <c r="CM125" s="505"/>
    </row>
    <row r="126" customFormat="false" ht="12.75" hidden="false" customHeight="false" outlineLevel="0" collapsed="false">
      <c r="A126" s="500"/>
      <c r="B126" s="500"/>
      <c r="K126" s="363"/>
      <c r="L126" s="501"/>
      <c r="N126" s="502"/>
      <c r="O126" s="502"/>
      <c r="P126" s="371"/>
      <c r="Q126" s="501"/>
      <c r="R126" s="501"/>
      <c r="U126" s="501"/>
      <c r="V126" s="503"/>
      <c r="W126" s="503"/>
      <c r="X126" s="504"/>
      <c r="Y126" s="504"/>
      <c r="Z126" s="504"/>
      <c r="AA126" s="504"/>
      <c r="AB126" s="504"/>
      <c r="AC126" s="504"/>
      <c r="AF126" s="378"/>
      <c r="AG126" s="378"/>
      <c r="AH126" s="378"/>
      <c r="AI126" s="378"/>
      <c r="AJ126" s="378"/>
      <c r="AM126" s="505"/>
      <c r="AN126" s="505"/>
      <c r="AO126" s="505"/>
      <c r="AP126" s="505"/>
      <c r="AR126" s="370"/>
      <c r="AT126" s="370"/>
      <c r="AV126" s="506"/>
      <c r="AW126" s="370"/>
      <c r="AX126" s="370"/>
      <c r="AY126" s="370"/>
      <c r="AZ126" s="370"/>
      <c r="BA126" s="507"/>
      <c r="BB126" s="505"/>
      <c r="BC126" s="505"/>
      <c r="BD126" s="370"/>
      <c r="BE126" s="370"/>
      <c r="BF126" s="370"/>
      <c r="BG126" s="370"/>
      <c r="BH126" s="370"/>
      <c r="BI126" s="370"/>
      <c r="BJ126" s="370"/>
      <c r="BK126" s="370"/>
      <c r="BL126" s="370"/>
      <c r="BM126" s="370"/>
      <c r="BN126" s="370"/>
      <c r="BO126" s="370"/>
      <c r="BP126" s="370"/>
      <c r="BQ126" s="370"/>
      <c r="BR126" s="370"/>
      <c r="BS126" s="370"/>
      <c r="BV126" s="508"/>
      <c r="BW126" s="369"/>
      <c r="BX126" s="370"/>
      <c r="BY126" s="370"/>
      <c r="BZ126" s="370"/>
      <c r="CA126" s="370"/>
      <c r="CB126" s="370"/>
      <c r="CC126" s="505"/>
      <c r="CD126" s="505"/>
      <c r="CE126" s="505"/>
      <c r="CF126" s="505"/>
      <c r="CG126" s="505"/>
      <c r="CH126" s="505"/>
      <c r="CI126" s="505"/>
      <c r="CJ126" s="505"/>
      <c r="CK126" s="505"/>
      <c r="CL126" s="505"/>
      <c r="CM126" s="505"/>
    </row>
    <row r="127" customFormat="false" ht="12.75" hidden="false" customHeight="false" outlineLevel="0" collapsed="false">
      <c r="A127" s="500"/>
      <c r="B127" s="500"/>
      <c r="K127" s="363"/>
      <c r="L127" s="501"/>
      <c r="N127" s="502"/>
      <c r="O127" s="502"/>
      <c r="P127" s="371"/>
      <c r="Q127" s="501"/>
      <c r="R127" s="501"/>
      <c r="U127" s="501"/>
      <c r="V127" s="503"/>
      <c r="W127" s="503"/>
      <c r="X127" s="504"/>
      <c r="Y127" s="504"/>
      <c r="Z127" s="504"/>
      <c r="AA127" s="504"/>
      <c r="AB127" s="504"/>
      <c r="AC127" s="504"/>
      <c r="AF127" s="378"/>
      <c r="AG127" s="378"/>
      <c r="AH127" s="378"/>
      <c r="AI127" s="378"/>
      <c r="AJ127" s="378"/>
      <c r="AM127" s="505"/>
      <c r="AN127" s="505"/>
      <c r="AO127" s="505"/>
      <c r="AP127" s="505"/>
      <c r="AR127" s="370"/>
      <c r="AT127" s="370"/>
      <c r="AV127" s="506"/>
      <c r="AW127" s="370"/>
      <c r="AX127" s="370"/>
      <c r="AY127" s="370"/>
      <c r="AZ127" s="370"/>
      <c r="BA127" s="507"/>
      <c r="BB127" s="505"/>
      <c r="BC127" s="505"/>
      <c r="BD127" s="370"/>
      <c r="BE127" s="370"/>
      <c r="BF127" s="370"/>
      <c r="BG127" s="370"/>
      <c r="BH127" s="370"/>
      <c r="BI127" s="370"/>
      <c r="BJ127" s="370"/>
      <c r="BK127" s="370"/>
      <c r="BL127" s="370"/>
      <c r="BM127" s="370"/>
      <c r="BN127" s="370"/>
      <c r="BO127" s="370"/>
      <c r="BP127" s="370"/>
      <c r="BQ127" s="370"/>
      <c r="BR127" s="370"/>
      <c r="BS127" s="370"/>
      <c r="BV127" s="508"/>
      <c r="BW127" s="369"/>
      <c r="BX127" s="370"/>
      <c r="BY127" s="370"/>
      <c r="BZ127" s="370"/>
      <c r="CA127" s="370"/>
      <c r="CB127" s="370"/>
      <c r="CC127" s="505"/>
      <c r="CD127" s="505"/>
      <c r="CE127" s="505"/>
      <c r="CF127" s="505"/>
      <c r="CG127" s="505"/>
      <c r="CH127" s="505"/>
      <c r="CI127" s="505"/>
      <c r="CJ127" s="505"/>
      <c r="CK127" s="505"/>
      <c r="CL127" s="505"/>
      <c r="CM127" s="505"/>
    </row>
    <row r="128" customFormat="false" ht="12.75" hidden="false" customHeight="false" outlineLevel="0" collapsed="false">
      <c r="A128" s="500"/>
      <c r="B128" s="500"/>
      <c r="K128" s="363"/>
      <c r="L128" s="501"/>
      <c r="N128" s="502"/>
      <c r="O128" s="502"/>
      <c r="P128" s="371"/>
      <c r="Q128" s="501"/>
      <c r="R128" s="501"/>
      <c r="U128" s="501"/>
      <c r="V128" s="503"/>
      <c r="W128" s="503"/>
      <c r="X128" s="504"/>
      <c r="Y128" s="504"/>
      <c r="Z128" s="504"/>
      <c r="AA128" s="504"/>
      <c r="AB128" s="504"/>
      <c r="AC128" s="504"/>
      <c r="AF128" s="378"/>
      <c r="AG128" s="378"/>
      <c r="AH128" s="378"/>
      <c r="AI128" s="378"/>
      <c r="AJ128" s="378"/>
      <c r="AM128" s="505"/>
      <c r="AN128" s="505"/>
      <c r="AO128" s="505"/>
      <c r="AP128" s="505"/>
      <c r="AR128" s="370"/>
      <c r="AT128" s="370"/>
      <c r="AV128" s="506"/>
      <c r="AW128" s="370"/>
      <c r="AX128" s="370"/>
      <c r="AY128" s="370"/>
      <c r="AZ128" s="370"/>
      <c r="BA128" s="507"/>
      <c r="BB128" s="505"/>
      <c r="BC128" s="505"/>
      <c r="BD128" s="370"/>
      <c r="BE128" s="370"/>
      <c r="BF128" s="370"/>
      <c r="BG128" s="370"/>
      <c r="BH128" s="370"/>
      <c r="BI128" s="370"/>
      <c r="BJ128" s="370"/>
      <c r="BK128" s="370"/>
      <c r="BL128" s="370"/>
      <c r="BM128" s="370"/>
      <c r="BN128" s="370"/>
      <c r="BO128" s="370"/>
      <c r="BP128" s="370"/>
      <c r="BQ128" s="370"/>
      <c r="BR128" s="370"/>
      <c r="BS128" s="370"/>
      <c r="BV128" s="508"/>
      <c r="BW128" s="369"/>
      <c r="BX128" s="370"/>
      <c r="BY128" s="370"/>
      <c r="BZ128" s="370"/>
      <c r="CA128" s="370"/>
      <c r="CB128" s="370"/>
      <c r="CC128" s="505"/>
      <c r="CD128" s="505"/>
      <c r="CE128" s="505"/>
      <c r="CF128" s="505"/>
      <c r="CG128" s="505"/>
      <c r="CH128" s="505"/>
      <c r="CI128" s="505"/>
      <c r="CJ128" s="505"/>
      <c r="CK128" s="505"/>
      <c r="CL128" s="505"/>
      <c r="CM128" s="505"/>
    </row>
    <row r="129" customFormat="false" ht="12.75" hidden="false" customHeight="false" outlineLevel="0" collapsed="false">
      <c r="A129" s="500"/>
      <c r="B129" s="500"/>
      <c r="K129" s="363"/>
      <c r="L129" s="501"/>
      <c r="N129" s="502"/>
      <c r="O129" s="502"/>
      <c r="P129" s="371"/>
      <c r="Q129" s="501"/>
      <c r="R129" s="501"/>
      <c r="U129" s="501"/>
      <c r="V129" s="503"/>
      <c r="W129" s="503"/>
      <c r="X129" s="504"/>
      <c r="Y129" s="504"/>
      <c r="Z129" s="504"/>
      <c r="AA129" s="504"/>
      <c r="AB129" s="504"/>
      <c r="AC129" s="504"/>
      <c r="AF129" s="378"/>
      <c r="AG129" s="378"/>
      <c r="AH129" s="378"/>
      <c r="AI129" s="378"/>
      <c r="AJ129" s="378"/>
      <c r="AM129" s="505"/>
      <c r="AN129" s="505"/>
      <c r="AO129" s="505"/>
      <c r="AP129" s="505"/>
      <c r="AR129" s="370"/>
      <c r="AT129" s="370"/>
      <c r="AV129" s="506"/>
      <c r="AW129" s="370"/>
      <c r="AX129" s="370"/>
      <c r="AY129" s="370"/>
      <c r="AZ129" s="370"/>
      <c r="BA129" s="507"/>
      <c r="BB129" s="505"/>
      <c r="BC129" s="505"/>
      <c r="BD129" s="370"/>
      <c r="BE129" s="370"/>
      <c r="BF129" s="370"/>
      <c r="BG129" s="370"/>
      <c r="BH129" s="370"/>
      <c r="BI129" s="370"/>
      <c r="BJ129" s="370"/>
      <c r="BK129" s="370"/>
      <c r="BL129" s="370"/>
      <c r="BM129" s="370"/>
      <c r="BN129" s="370"/>
      <c r="BO129" s="370"/>
      <c r="BP129" s="370"/>
      <c r="BQ129" s="370"/>
      <c r="BR129" s="370"/>
      <c r="BS129" s="370"/>
      <c r="BV129" s="508"/>
      <c r="BW129" s="369"/>
      <c r="BX129" s="370"/>
      <c r="BY129" s="370"/>
      <c r="BZ129" s="370"/>
      <c r="CA129" s="370"/>
      <c r="CB129" s="370"/>
      <c r="CC129" s="505"/>
      <c r="CD129" s="505"/>
      <c r="CE129" s="505"/>
      <c r="CF129" s="505"/>
      <c r="CG129" s="505"/>
      <c r="CH129" s="505"/>
      <c r="CI129" s="505"/>
      <c r="CJ129" s="505"/>
      <c r="CK129" s="505"/>
      <c r="CL129" s="505"/>
      <c r="CM129" s="505"/>
    </row>
    <row r="130" customFormat="false" ht="12.75" hidden="false" customHeight="false" outlineLevel="0" collapsed="false">
      <c r="A130" s="500"/>
      <c r="B130" s="500"/>
      <c r="K130" s="363"/>
      <c r="L130" s="501"/>
      <c r="N130" s="502"/>
      <c r="O130" s="502"/>
      <c r="P130" s="371"/>
      <c r="Q130" s="501"/>
      <c r="R130" s="501"/>
      <c r="U130" s="501"/>
      <c r="V130" s="503"/>
      <c r="W130" s="503"/>
      <c r="X130" s="504"/>
      <c r="Y130" s="504"/>
      <c r="Z130" s="504"/>
      <c r="AA130" s="504"/>
      <c r="AB130" s="504"/>
      <c r="AC130" s="504"/>
      <c r="AF130" s="378"/>
      <c r="AG130" s="378"/>
      <c r="AH130" s="378"/>
      <c r="AI130" s="378"/>
      <c r="AJ130" s="378"/>
      <c r="AM130" s="505"/>
      <c r="AN130" s="505"/>
      <c r="AO130" s="505"/>
      <c r="AP130" s="505"/>
      <c r="AR130" s="370"/>
      <c r="AT130" s="370"/>
      <c r="AV130" s="506"/>
      <c r="AW130" s="370"/>
      <c r="AX130" s="370"/>
      <c r="AY130" s="370"/>
      <c r="AZ130" s="370"/>
      <c r="BA130" s="507"/>
      <c r="BB130" s="505"/>
      <c r="BC130" s="505"/>
      <c r="BD130" s="370"/>
      <c r="BE130" s="370"/>
      <c r="BF130" s="370"/>
      <c r="BG130" s="370"/>
      <c r="BH130" s="370"/>
      <c r="BI130" s="370"/>
      <c r="BJ130" s="370"/>
      <c r="BK130" s="370"/>
      <c r="BL130" s="370"/>
      <c r="BM130" s="370"/>
      <c r="BN130" s="370"/>
      <c r="BO130" s="370"/>
      <c r="BP130" s="370"/>
      <c r="BQ130" s="370"/>
      <c r="BR130" s="370"/>
      <c r="BS130" s="370"/>
      <c r="BV130" s="508"/>
      <c r="BW130" s="369"/>
      <c r="BX130" s="370"/>
      <c r="BY130" s="370"/>
      <c r="BZ130" s="370"/>
      <c r="CA130" s="370"/>
      <c r="CB130" s="370"/>
      <c r="CC130" s="505"/>
      <c r="CD130" s="505"/>
      <c r="CE130" s="505"/>
      <c r="CF130" s="505"/>
      <c r="CG130" s="505"/>
      <c r="CH130" s="505"/>
      <c r="CI130" s="505"/>
      <c r="CJ130" s="505"/>
      <c r="CK130" s="505"/>
      <c r="CL130" s="505"/>
      <c r="CM130" s="505"/>
    </row>
    <row r="131" customFormat="false" ht="12.75" hidden="false" customHeight="false" outlineLevel="0" collapsed="false">
      <c r="A131" s="500"/>
      <c r="B131" s="500"/>
      <c r="K131" s="363"/>
      <c r="L131" s="501"/>
      <c r="N131" s="502"/>
      <c r="O131" s="502"/>
      <c r="P131" s="371"/>
      <c r="Q131" s="501"/>
      <c r="R131" s="501"/>
      <c r="U131" s="501"/>
      <c r="V131" s="503"/>
      <c r="W131" s="503"/>
      <c r="X131" s="504"/>
      <c r="Y131" s="504"/>
      <c r="Z131" s="504"/>
      <c r="AA131" s="504"/>
      <c r="AB131" s="504"/>
      <c r="AC131" s="504"/>
      <c r="AF131" s="378"/>
      <c r="AG131" s="378"/>
      <c r="AH131" s="378"/>
      <c r="AI131" s="378"/>
      <c r="AJ131" s="378"/>
      <c r="AM131" s="505"/>
      <c r="AN131" s="505"/>
      <c r="AO131" s="505"/>
      <c r="AP131" s="505"/>
      <c r="AR131" s="370"/>
      <c r="AT131" s="370"/>
      <c r="AV131" s="506"/>
      <c r="AW131" s="370"/>
      <c r="AX131" s="370"/>
      <c r="AY131" s="370"/>
      <c r="AZ131" s="370"/>
      <c r="BA131" s="507"/>
      <c r="BB131" s="505"/>
      <c r="BC131" s="505"/>
      <c r="BD131" s="370"/>
      <c r="BE131" s="370"/>
      <c r="BF131" s="370"/>
      <c r="BG131" s="370"/>
      <c r="BH131" s="370"/>
      <c r="BI131" s="370"/>
      <c r="BJ131" s="370"/>
      <c r="BK131" s="370"/>
      <c r="BL131" s="370"/>
      <c r="BM131" s="370"/>
      <c r="BN131" s="370"/>
      <c r="BO131" s="370"/>
      <c r="BP131" s="370"/>
      <c r="BQ131" s="370"/>
      <c r="BR131" s="370"/>
      <c r="BS131" s="370"/>
      <c r="BV131" s="508"/>
      <c r="BW131" s="369"/>
      <c r="BX131" s="370"/>
      <c r="BY131" s="370"/>
      <c r="BZ131" s="370"/>
      <c r="CA131" s="370"/>
      <c r="CB131" s="370"/>
      <c r="CC131" s="505"/>
      <c r="CD131" s="505"/>
      <c r="CE131" s="505"/>
      <c r="CF131" s="505"/>
      <c r="CG131" s="505"/>
      <c r="CH131" s="505"/>
      <c r="CI131" s="505"/>
      <c r="CJ131" s="505"/>
      <c r="CK131" s="505"/>
      <c r="CL131" s="505"/>
      <c r="CM131" s="505"/>
    </row>
    <row r="132" customFormat="false" ht="12.75" hidden="false" customHeight="false" outlineLevel="0" collapsed="false">
      <c r="A132" s="500"/>
      <c r="B132" s="500"/>
      <c r="K132" s="363"/>
      <c r="L132" s="501"/>
      <c r="N132" s="502"/>
      <c r="O132" s="502"/>
      <c r="P132" s="371"/>
      <c r="Q132" s="501"/>
      <c r="R132" s="501"/>
      <c r="U132" s="501"/>
      <c r="V132" s="503"/>
      <c r="W132" s="503"/>
      <c r="X132" s="504"/>
      <c r="Y132" s="504"/>
      <c r="Z132" s="504"/>
      <c r="AA132" s="504"/>
      <c r="AB132" s="504"/>
      <c r="AC132" s="504"/>
      <c r="AF132" s="378"/>
      <c r="AG132" s="378"/>
      <c r="AH132" s="378"/>
      <c r="AI132" s="378"/>
      <c r="AJ132" s="378"/>
      <c r="AM132" s="505"/>
      <c r="AN132" s="505"/>
      <c r="AO132" s="505"/>
      <c r="AP132" s="505"/>
      <c r="AR132" s="370"/>
      <c r="AT132" s="370"/>
      <c r="AV132" s="506"/>
      <c r="AW132" s="370"/>
      <c r="AX132" s="370"/>
      <c r="AY132" s="370"/>
      <c r="AZ132" s="370"/>
      <c r="BA132" s="507"/>
      <c r="BB132" s="505"/>
      <c r="BC132" s="505"/>
      <c r="BD132" s="370"/>
      <c r="BE132" s="370"/>
      <c r="BF132" s="370"/>
      <c r="BG132" s="370"/>
      <c r="BH132" s="370"/>
      <c r="BI132" s="370"/>
      <c r="BJ132" s="370"/>
      <c r="BK132" s="370"/>
      <c r="BL132" s="370"/>
      <c r="BM132" s="370"/>
      <c r="BN132" s="370"/>
      <c r="BO132" s="370"/>
      <c r="BP132" s="370"/>
      <c r="BQ132" s="370"/>
      <c r="BR132" s="370"/>
      <c r="BS132" s="370"/>
      <c r="BV132" s="508"/>
      <c r="BW132" s="369"/>
      <c r="BX132" s="370"/>
      <c r="BY132" s="370"/>
      <c r="BZ132" s="370"/>
      <c r="CA132" s="370"/>
      <c r="CB132" s="370"/>
      <c r="CC132" s="505"/>
      <c r="CD132" s="505"/>
      <c r="CE132" s="505"/>
      <c r="CF132" s="505"/>
      <c r="CG132" s="505"/>
      <c r="CH132" s="505"/>
      <c r="CI132" s="505"/>
      <c r="CJ132" s="505"/>
      <c r="CK132" s="505"/>
      <c r="CL132" s="505"/>
      <c r="CM132" s="505"/>
    </row>
    <row r="133" customFormat="false" ht="12.75" hidden="false" customHeight="false" outlineLevel="0" collapsed="false">
      <c r="A133" s="500"/>
      <c r="B133" s="500"/>
      <c r="K133" s="363"/>
      <c r="L133" s="501"/>
      <c r="N133" s="502"/>
      <c r="O133" s="502"/>
      <c r="P133" s="371"/>
      <c r="Q133" s="501"/>
      <c r="R133" s="501"/>
      <c r="U133" s="501"/>
      <c r="V133" s="503"/>
      <c r="W133" s="503"/>
      <c r="X133" s="504"/>
      <c r="Y133" s="504"/>
      <c r="Z133" s="504"/>
      <c r="AA133" s="504"/>
      <c r="AB133" s="504"/>
      <c r="AC133" s="504"/>
      <c r="AF133" s="378"/>
      <c r="AG133" s="378"/>
      <c r="AH133" s="378"/>
      <c r="AI133" s="378"/>
      <c r="AJ133" s="378"/>
      <c r="AM133" s="505"/>
      <c r="AN133" s="505"/>
      <c r="AO133" s="505"/>
      <c r="AP133" s="505"/>
      <c r="AR133" s="370"/>
      <c r="AT133" s="370"/>
      <c r="AV133" s="506"/>
      <c r="AW133" s="370"/>
      <c r="AX133" s="370"/>
      <c r="AY133" s="370"/>
      <c r="AZ133" s="370"/>
      <c r="BA133" s="507"/>
      <c r="BB133" s="505"/>
      <c r="BC133" s="505"/>
      <c r="BD133" s="370"/>
      <c r="BE133" s="370"/>
      <c r="BF133" s="370"/>
      <c r="BG133" s="370"/>
      <c r="BH133" s="370"/>
      <c r="BI133" s="370"/>
      <c r="BJ133" s="370"/>
      <c r="BK133" s="370"/>
      <c r="BL133" s="370"/>
      <c r="BM133" s="370"/>
      <c r="BN133" s="370"/>
      <c r="BO133" s="370"/>
      <c r="BP133" s="370"/>
      <c r="BQ133" s="370"/>
      <c r="BR133" s="370"/>
      <c r="BS133" s="370"/>
      <c r="BV133" s="508"/>
      <c r="BW133" s="369"/>
      <c r="BX133" s="370"/>
      <c r="BY133" s="370"/>
      <c r="BZ133" s="370"/>
      <c r="CA133" s="370"/>
      <c r="CB133" s="370"/>
      <c r="CC133" s="505"/>
      <c r="CD133" s="505"/>
      <c r="CE133" s="505"/>
      <c r="CF133" s="505"/>
      <c r="CG133" s="505"/>
      <c r="CH133" s="505"/>
      <c r="CI133" s="505"/>
      <c r="CJ133" s="505"/>
      <c r="CK133" s="505"/>
      <c r="CL133" s="505"/>
      <c r="CM133" s="505"/>
    </row>
    <row r="134" customFormat="false" ht="12.75" hidden="false" customHeight="false" outlineLevel="0" collapsed="false">
      <c r="A134" s="500"/>
      <c r="B134" s="500"/>
      <c r="K134" s="363"/>
      <c r="L134" s="501"/>
      <c r="N134" s="502"/>
      <c r="O134" s="502"/>
      <c r="P134" s="371"/>
      <c r="Q134" s="501"/>
      <c r="R134" s="501"/>
      <c r="U134" s="501"/>
      <c r="V134" s="503"/>
      <c r="W134" s="503"/>
      <c r="X134" s="504"/>
      <c r="Y134" s="504"/>
      <c r="Z134" s="504"/>
      <c r="AA134" s="504"/>
      <c r="AB134" s="504"/>
      <c r="AC134" s="504"/>
      <c r="AF134" s="378"/>
      <c r="AG134" s="378"/>
      <c r="AH134" s="378"/>
      <c r="AI134" s="378"/>
      <c r="AJ134" s="378"/>
      <c r="AM134" s="505"/>
      <c r="AN134" s="505"/>
      <c r="AO134" s="505"/>
      <c r="AP134" s="505"/>
      <c r="AR134" s="370"/>
      <c r="AT134" s="370"/>
      <c r="AV134" s="506"/>
      <c r="AW134" s="370"/>
      <c r="AX134" s="370"/>
      <c r="AY134" s="370"/>
      <c r="AZ134" s="370"/>
      <c r="BA134" s="507"/>
      <c r="BB134" s="505"/>
      <c r="BC134" s="505"/>
      <c r="BD134" s="370"/>
      <c r="BE134" s="370"/>
      <c r="BF134" s="370"/>
      <c r="BG134" s="370"/>
      <c r="BH134" s="370"/>
      <c r="BI134" s="370"/>
      <c r="BJ134" s="370"/>
      <c r="BK134" s="370"/>
      <c r="BL134" s="370"/>
      <c r="BM134" s="370"/>
      <c r="BN134" s="370"/>
      <c r="BO134" s="370"/>
      <c r="BP134" s="370"/>
      <c r="BQ134" s="370"/>
      <c r="BR134" s="370"/>
      <c r="BS134" s="370"/>
      <c r="BV134" s="508"/>
      <c r="BW134" s="369"/>
      <c r="BX134" s="370"/>
      <c r="BY134" s="370"/>
      <c r="BZ134" s="370"/>
      <c r="CA134" s="370"/>
      <c r="CB134" s="370"/>
      <c r="CC134" s="505"/>
      <c r="CD134" s="505"/>
      <c r="CE134" s="505"/>
      <c r="CF134" s="505"/>
      <c r="CG134" s="505"/>
      <c r="CH134" s="505"/>
      <c r="CI134" s="505"/>
      <c r="CJ134" s="505"/>
      <c r="CK134" s="505"/>
      <c r="CL134" s="505"/>
      <c r="CM134" s="505"/>
    </row>
    <row r="135" customFormat="false" ht="12.75" hidden="false" customHeight="false" outlineLevel="0" collapsed="false">
      <c r="A135" s="500"/>
      <c r="B135" s="500"/>
      <c r="K135" s="363"/>
      <c r="L135" s="501"/>
      <c r="N135" s="502"/>
      <c r="O135" s="502"/>
      <c r="P135" s="371"/>
      <c r="Q135" s="501"/>
      <c r="R135" s="501"/>
      <c r="U135" s="501"/>
      <c r="V135" s="503"/>
      <c r="W135" s="503"/>
      <c r="X135" s="504"/>
      <c r="Y135" s="504"/>
      <c r="Z135" s="504"/>
      <c r="AA135" s="504"/>
      <c r="AB135" s="504"/>
      <c r="AC135" s="504"/>
      <c r="AF135" s="378"/>
      <c r="AG135" s="378"/>
      <c r="AH135" s="378"/>
      <c r="AI135" s="378"/>
      <c r="AJ135" s="378"/>
      <c r="AM135" s="505"/>
      <c r="AN135" s="505"/>
      <c r="AO135" s="505"/>
      <c r="AP135" s="505"/>
      <c r="AR135" s="370"/>
      <c r="AT135" s="370"/>
      <c r="AV135" s="506"/>
      <c r="AW135" s="370"/>
      <c r="AX135" s="370"/>
      <c r="AY135" s="370"/>
      <c r="AZ135" s="370"/>
      <c r="BA135" s="507"/>
      <c r="BB135" s="505"/>
      <c r="BC135" s="505"/>
      <c r="BD135" s="370"/>
      <c r="BE135" s="370"/>
      <c r="BF135" s="370"/>
      <c r="BG135" s="370"/>
      <c r="BH135" s="370"/>
      <c r="BI135" s="370"/>
      <c r="BJ135" s="370"/>
      <c r="BK135" s="370"/>
      <c r="BL135" s="370"/>
      <c r="BM135" s="370"/>
      <c r="BN135" s="370"/>
      <c r="BO135" s="370"/>
      <c r="BP135" s="370"/>
      <c r="BQ135" s="370"/>
      <c r="BR135" s="370"/>
      <c r="BS135" s="370"/>
      <c r="BV135" s="508"/>
      <c r="BW135" s="369"/>
      <c r="BX135" s="370"/>
      <c r="BY135" s="370"/>
      <c r="BZ135" s="370"/>
      <c r="CA135" s="370"/>
      <c r="CB135" s="370"/>
      <c r="CC135" s="505"/>
      <c r="CD135" s="505"/>
      <c r="CE135" s="505"/>
      <c r="CF135" s="505"/>
      <c r="CG135" s="505"/>
      <c r="CH135" s="505"/>
      <c r="CI135" s="505"/>
      <c r="CJ135" s="505"/>
      <c r="CK135" s="505"/>
      <c r="CL135" s="505"/>
      <c r="CM135" s="505"/>
    </row>
    <row r="136" customFormat="false" ht="12.75" hidden="false" customHeight="false" outlineLevel="0" collapsed="false">
      <c r="A136" s="500"/>
      <c r="B136" s="500"/>
      <c r="K136" s="363"/>
      <c r="L136" s="501"/>
      <c r="N136" s="502"/>
      <c r="O136" s="502"/>
      <c r="P136" s="371"/>
      <c r="Q136" s="501"/>
      <c r="R136" s="501"/>
      <c r="U136" s="501"/>
      <c r="V136" s="503"/>
      <c r="W136" s="503"/>
      <c r="X136" s="504"/>
      <c r="Y136" s="504"/>
      <c r="Z136" s="504"/>
      <c r="AA136" s="504"/>
      <c r="AB136" s="504"/>
      <c r="AC136" s="504"/>
      <c r="AF136" s="378"/>
      <c r="AG136" s="378"/>
      <c r="AH136" s="378"/>
      <c r="AI136" s="378"/>
      <c r="AJ136" s="378"/>
      <c r="AM136" s="505"/>
      <c r="AN136" s="505"/>
      <c r="AO136" s="505"/>
      <c r="AP136" s="505"/>
      <c r="AR136" s="370"/>
      <c r="AT136" s="370"/>
      <c r="AV136" s="506"/>
      <c r="AW136" s="370"/>
      <c r="AX136" s="370"/>
      <c r="AY136" s="370"/>
      <c r="AZ136" s="370"/>
      <c r="BA136" s="507"/>
      <c r="BB136" s="505"/>
      <c r="BC136" s="505"/>
      <c r="BD136" s="370"/>
      <c r="BE136" s="370"/>
      <c r="BF136" s="370"/>
      <c r="BG136" s="370"/>
      <c r="BH136" s="370"/>
      <c r="BI136" s="370"/>
      <c r="BJ136" s="370"/>
      <c r="BK136" s="370"/>
      <c r="BL136" s="370"/>
      <c r="BM136" s="370"/>
      <c r="BN136" s="370"/>
      <c r="BO136" s="370"/>
      <c r="BP136" s="370"/>
      <c r="BQ136" s="370"/>
      <c r="BR136" s="370"/>
      <c r="BS136" s="370"/>
      <c r="BV136" s="508"/>
      <c r="BW136" s="369"/>
      <c r="BX136" s="370"/>
      <c r="BY136" s="370"/>
      <c r="BZ136" s="370"/>
      <c r="CA136" s="370"/>
      <c r="CB136" s="370"/>
      <c r="CC136" s="505"/>
      <c r="CD136" s="505"/>
      <c r="CE136" s="505"/>
      <c r="CF136" s="505"/>
      <c r="CG136" s="505"/>
      <c r="CH136" s="505"/>
      <c r="CI136" s="505"/>
      <c r="CJ136" s="505"/>
      <c r="CK136" s="505"/>
      <c r="CL136" s="505"/>
      <c r="CM136" s="505"/>
    </row>
    <row r="137" customFormat="false" ht="12.75" hidden="false" customHeight="false" outlineLevel="0" collapsed="false">
      <c r="A137" s="500"/>
      <c r="B137" s="500"/>
      <c r="K137" s="363"/>
      <c r="L137" s="501"/>
      <c r="N137" s="502"/>
      <c r="O137" s="502"/>
      <c r="P137" s="371"/>
      <c r="Q137" s="501"/>
      <c r="R137" s="501"/>
      <c r="U137" s="501"/>
      <c r="V137" s="503"/>
      <c r="W137" s="503"/>
      <c r="X137" s="504"/>
      <c r="Y137" s="504"/>
      <c r="Z137" s="504"/>
      <c r="AA137" s="504"/>
      <c r="AB137" s="504"/>
      <c r="AC137" s="504"/>
      <c r="AF137" s="378"/>
      <c r="AG137" s="378"/>
      <c r="AH137" s="378"/>
      <c r="AI137" s="378"/>
      <c r="AJ137" s="378"/>
      <c r="AM137" s="505"/>
      <c r="AN137" s="505"/>
      <c r="AO137" s="505"/>
      <c r="AP137" s="505"/>
      <c r="AR137" s="370"/>
      <c r="AT137" s="370"/>
      <c r="AV137" s="506"/>
      <c r="AW137" s="370"/>
      <c r="AX137" s="370"/>
      <c r="AY137" s="370"/>
      <c r="AZ137" s="370"/>
      <c r="BA137" s="507"/>
      <c r="BB137" s="505"/>
      <c r="BC137" s="505"/>
      <c r="BD137" s="370"/>
      <c r="BE137" s="370"/>
      <c r="BF137" s="370"/>
      <c r="BG137" s="370"/>
      <c r="BH137" s="370"/>
      <c r="BI137" s="370"/>
      <c r="BJ137" s="370"/>
      <c r="BK137" s="370"/>
      <c r="BL137" s="370"/>
      <c r="BM137" s="370"/>
      <c r="BN137" s="370"/>
      <c r="BO137" s="370"/>
      <c r="BP137" s="370"/>
      <c r="BQ137" s="370"/>
      <c r="BR137" s="370"/>
      <c r="BS137" s="370"/>
      <c r="BV137" s="508"/>
      <c r="BW137" s="369"/>
      <c r="BX137" s="370"/>
      <c r="BY137" s="370"/>
      <c r="BZ137" s="370"/>
      <c r="CA137" s="370"/>
      <c r="CB137" s="370"/>
      <c r="CC137" s="505"/>
      <c r="CD137" s="505"/>
      <c r="CE137" s="505"/>
      <c r="CF137" s="505"/>
      <c r="CG137" s="505"/>
      <c r="CH137" s="505"/>
      <c r="CI137" s="505"/>
      <c r="CJ137" s="505"/>
      <c r="CK137" s="505"/>
      <c r="CL137" s="505"/>
      <c r="CM137" s="505"/>
    </row>
    <row r="138" customFormat="false" ht="12.75" hidden="false" customHeight="false" outlineLevel="0" collapsed="false">
      <c r="A138" s="500"/>
      <c r="B138" s="500"/>
      <c r="K138" s="363"/>
      <c r="L138" s="501"/>
      <c r="N138" s="502"/>
      <c r="O138" s="502"/>
      <c r="P138" s="371"/>
      <c r="Q138" s="501"/>
      <c r="R138" s="501"/>
      <c r="U138" s="501"/>
      <c r="V138" s="503"/>
      <c r="W138" s="503"/>
      <c r="X138" s="504"/>
      <c r="Y138" s="504"/>
      <c r="Z138" s="504"/>
      <c r="AA138" s="504"/>
      <c r="AB138" s="504"/>
      <c r="AC138" s="504"/>
      <c r="AF138" s="378"/>
      <c r="AG138" s="378"/>
      <c r="AH138" s="378"/>
      <c r="AI138" s="378"/>
      <c r="AJ138" s="378"/>
      <c r="AM138" s="505"/>
      <c r="AN138" s="505"/>
      <c r="AO138" s="505"/>
      <c r="AP138" s="505"/>
      <c r="AR138" s="370"/>
      <c r="AT138" s="370"/>
      <c r="AV138" s="506"/>
      <c r="AW138" s="370"/>
      <c r="AX138" s="370"/>
      <c r="AY138" s="370"/>
      <c r="AZ138" s="370"/>
      <c r="BA138" s="507"/>
      <c r="BB138" s="505"/>
      <c r="BC138" s="505"/>
      <c r="BD138" s="370"/>
      <c r="BE138" s="370"/>
      <c r="BF138" s="370"/>
      <c r="BG138" s="370"/>
      <c r="BH138" s="370"/>
      <c r="BI138" s="370"/>
      <c r="BJ138" s="370"/>
      <c r="BK138" s="370"/>
      <c r="BL138" s="370"/>
      <c r="BM138" s="370"/>
      <c r="BN138" s="370"/>
      <c r="BO138" s="370"/>
      <c r="BP138" s="370"/>
      <c r="BQ138" s="370"/>
      <c r="BR138" s="370"/>
      <c r="BS138" s="370"/>
      <c r="BV138" s="508"/>
      <c r="BW138" s="369"/>
      <c r="BX138" s="370"/>
      <c r="BY138" s="370"/>
      <c r="BZ138" s="370"/>
      <c r="CA138" s="370"/>
      <c r="CB138" s="370"/>
      <c r="CC138" s="505"/>
      <c r="CD138" s="505"/>
      <c r="CE138" s="505"/>
      <c r="CF138" s="505"/>
      <c r="CG138" s="505"/>
      <c r="CH138" s="505"/>
      <c r="CI138" s="505"/>
      <c r="CJ138" s="505"/>
      <c r="CK138" s="505"/>
      <c r="CL138" s="505"/>
      <c r="CM138" s="505"/>
    </row>
    <row r="139" customFormat="false" ht="12.75" hidden="false" customHeight="false" outlineLevel="0" collapsed="false">
      <c r="A139" s="500"/>
      <c r="B139" s="500"/>
      <c r="K139" s="363"/>
      <c r="L139" s="501"/>
      <c r="N139" s="502"/>
      <c r="O139" s="502"/>
      <c r="P139" s="371"/>
      <c r="Q139" s="501"/>
      <c r="R139" s="501"/>
      <c r="U139" s="501"/>
      <c r="V139" s="503"/>
      <c r="W139" s="503"/>
      <c r="X139" s="504"/>
      <c r="Y139" s="504"/>
      <c r="Z139" s="504"/>
      <c r="AA139" s="504"/>
      <c r="AB139" s="504"/>
      <c r="AC139" s="504"/>
      <c r="AF139" s="378"/>
      <c r="AG139" s="378"/>
      <c r="AH139" s="378"/>
      <c r="AI139" s="378"/>
      <c r="AJ139" s="378"/>
      <c r="AM139" s="505"/>
      <c r="AN139" s="505"/>
      <c r="AO139" s="505"/>
      <c r="AP139" s="505"/>
      <c r="AR139" s="370"/>
      <c r="AT139" s="370"/>
      <c r="AV139" s="506"/>
      <c r="AW139" s="370"/>
      <c r="AX139" s="370"/>
      <c r="AY139" s="370"/>
      <c r="AZ139" s="370"/>
      <c r="BA139" s="507"/>
      <c r="BB139" s="505"/>
      <c r="BC139" s="505"/>
      <c r="BD139" s="370"/>
      <c r="BE139" s="370"/>
      <c r="BF139" s="370"/>
      <c r="BG139" s="370"/>
      <c r="BH139" s="370"/>
      <c r="BI139" s="370"/>
      <c r="BJ139" s="370"/>
      <c r="BK139" s="370"/>
      <c r="BL139" s="370"/>
      <c r="BM139" s="370"/>
      <c r="BN139" s="370"/>
      <c r="BO139" s="370"/>
      <c r="BP139" s="370"/>
      <c r="BQ139" s="370"/>
      <c r="BR139" s="370"/>
      <c r="BS139" s="370"/>
      <c r="BV139" s="508"/>
      <c r="BW139" s="369"/>
      <c r="BX139" s="370"/>
      <c r="BY139" s="370"/>
      <c r="BZ139" s="370"/>
      <c r="CA139" s="370"/>
      <c r="CB139" s="370"/>
      <c r="CC139" s="505"/>
      <c r="CD139" s="505"/>
      <c r="CE139" s="505"/>
      <c r="CF139" s="505"/>
      <c r="CG139" s="505"/>
      <c r="CH139" s="505"/>
      <c r="CI139" s="505"/>
      <c r="CJ139" s="505"/>
      <c r="CK139" s="505"/>
      <c r="CL139" s="505"/>
      <c r="CM139" s="505"/>
    </row>
    <row r="140" customFormat="false" ht="12.75" hidden="false" customHeight="false" outlineLevel="0" collapsed="false">
      <c r="A140" s="500"/>
      <c r="B140" s="500"/>
      <c r="K140" s="363"/>
      <c r="L140" s="501"/>
      <c r="N140" s="502"/>
      <c r="O140" s="502"/>
      <c r="P140" s="371"/>
      <c r="Q140" s="501"/>
      <c r="R140" s="501"/>
      <c r="U140" s="501"/>
      <c r="V140" s="503"/>
      <c r="W140" s="503"/>
      <c r="X140" s="504"/>
      <c r="Y140" s="504"/>
      <c r="Z140" s="504"/>
      <c r="AA140" s="504"/>
      <c r="AB140" s="504"/>
      <c r="AC140" s="504"/>
      <c r="AF140" s="378"/>
      <c r="AG140" s="378"/>
      <c r="AH140" s="378"/>
      <c r="AI140" s="378"/>
      <c r="AJ140" s="378"/>
      <c r="AM140" s="505"/>
      <c r="AN140" s="505"/>
      <c r="AO140" s="505"/>
      <c r="AP140" s="505"/>
      <c r="AR140" s="370"/>
      <c r="AT140" s="370"/>
      <c r="AV140" s="506"/>
      <c r="AW140" s="370"/>
      <c r="AX140" s="370"/>
      <c r="AY140" s="370"/>
      <c r="AZ140" s="370"/>
      <c r="BA140" s="507"/>
      <c r="BB140" s="505"/>
      <c r="BC140" s="505"/>
      <c r="BD140" s="370"/>
      <c r="BE140" s="370"/>
      <c r="BF140" s="370"/>
      <c r="BG140" s="370"/>
      <c r="BH140" s="370"/>
      <c r="BI140" s="370"/>
      <c r="BJ140" s="370"/>
      <c r="BK140" s="370"/>
      <c r="BL140" s="370"/>
      <c r="BM140" s="370"/>
      <c r="BN140" s="370"/>
      <c r="BO140" s="370"/>
      <c r="BP140" s="370"/>
      <c r="BQ140" s="370"/>
      <c r="BR140" s="370"/>
      <c r="BS140" s="370"/>
      <c r="BV140" s="508"/>
      <c r="BW140" s="369"/>
      <c r="BX140" s="370"/>
      <c r="BY140" s="370"/>
      <c r="BZ140" s="370"/>
      <c r="CA140" s="370"/>
      <c r="CB140" s="370"/>
      <c r="CC140" s="505"/>
      <c r="CD140" s="505"/>
      <c r="CE140" s="505"/>
      <c r="CF140" s="505"/>
      <c r="CG140" s="505"/>
      <c r="CH140" s="505"/>
      <c r="CI140" s="505"/>
      <c r="CJ140" s="505"/>
      <c r="CK140" s="505"/>
      <c r="CL140" s="505"/>
      <c r="CM140" s="505"/>
    </row>
    <row r="141" customFormat="false" ht="12.75" hidden="false" customHeight="false" outlineLevel="0" collapsed="false">
      <c r="A141" s="500"/>
      <c r="B141" s="500"/>
      <c r="K141" s="363"/>
      <c r="L141" s="501"/>
      <c r="N141" s="502"/>
      <c r="O141" s="502"/>
      <c r="P141" s="371"/>
      <c r="Q141" s="501"/>
      <c r="R141" s="501"/>
      <c r="U141" s="501"/>
      <c r="V141" s="503"/>
      <c r="W141" s="503"/>
      <c r="X141" s="504"/>
      <c r="Y141" s="504"/>
      <c r="Z141" s="504"/>
      <c r="AA141" s="504"/>
      <c r="AB141" s="504"/>
      <c r="AC141" s="504"/>
      <c r="AF141" s="378"/>
      <c r="AG141" s="378"/>
      <c r="AH141" s="378"/>
      <c r="AI141" s="378"/>
      <c r="AJ141" s="378"/>
      <c r="AM141" s="505"/>
      <c r="AN141" s="505"/>
      <c r="AO141" s="505"/>
      <c r="AP141" s="505"/>
      <c r="AR141" s="370"/>
      <c r="AT141" s="370"/>
      <c r="AV141" s="506"/>
      <c r="AW141" s="370"/>
      <c r="AX141" s="370"/>
      <c r="AY141" s="370"/>
      <c r="AZ141" s="370"/>
      <c r="BA141" s="507"/>
      <c r="BB141" s="505"/>
      <c r="BC141" s="505"/>
      <c r="BD141" s="370"/>
      <c r="BE141" s="370"/>
      <c r="BF141" s="370"/>
      <c r="BG141" s="370"/>
      <c r="BH141" s="370"/>
      <c r="BI141" s="370"/>
      <c r="BJ141" s="370"/>
      <c r="BK141" s="370"/>
      <c r="BL141" s="370"/>
      <c r="BM141" s="370"/>
      <c r="BN141" s="370"/>
      <c r="BO141" s="370"/>
      <c r="BP141" s="370"/>
      <c r="BQ141" s="370"/>
      <c r="BR141" s="370"/>
      <c r="BS141" s="370"/>
      <c r="BV141" s="508"/>
      <c r="BW141" s="369"/>
      <c r="BX141" s="370"/>
      <c r="BY141" s="370"/>
      <c r="BZ141" s="370"/>
      <c r="CA141" s="370"/>
      <c r="CB141" s="370"/>
      <c r="CC141" s="505"/>
      <c r="CD141" s="505"/>
      <c r="CE141" s="505"/>
      <c r="CF141" s="505"/>
      <c r="CG141" s="505"/>
      <c r="CH141" s="505"/>
      <c r="CI141" s="505"/>
      <c r="CJ141" s="505"/>
      <c r="CK141" s="505"/>
      <c r="CL141" s="505"/>
      <c r="CM141" s="505"/>
    </row>
    <row r="142" customFormat="false" ht="12.75" hidden="false" customHeight="false" outlineLevel="0" collapsed="false">
      <c r="A142" s="500"/>
      <c r="B142" s="500"/>
      <c r="K142" s="363"/>
      <c r="L142" s="501"/>
      <c r="N142" s="502"/>
      <c r="O142" s="502"/>
      <c r="P142" s="371"/>
      <c r="Q142" s="501"/>
      <c r="R142" s="501"/>
      <c r="U142" s="501"/>
      <c r="V142" s="503"/>
      <c r="W142" s="503"/>
      <c r="X142" s="504"/>
      <c r="Y142" s="504"/>
      <c r="Z142" s="504"/>
      <c r="AA142" s="504"/>
      <c r="AB142" s="504"/>
      <c r="AC142" s="504"/>
      <c r="AF142" s="378"/>
      <c r="AG142" s="378"/>
      <c r="AH142" s="378"/>
      <c r="AI142" s="378"/>
      <c r="AJ142" s="378"/>
      <c r="AM142" s="505"/>
      <c r="AN142" s="505"/>
      <c r="AO142" s="505"/>
      <c r="AP142" s="505"/>
      <c r="AR142" s="370"/>
      <c r="AT142" s="370"/>
      <c r="AV142" s="506"/>
      <c r="AW142" s="370"/>
      <c r="AX142" s="370"/>
      <c r="AY142" s="370"/>
      <c r="AZ142" s="370"/>
      <c r="BA142" s="507"/>
      <c r="BB142" s="505"/>
      <c r="BC142" s="505"/>
      <c r="BD142" s="370"/>
      <c r="BE142" s="370"/>
      <c r="BF142" s="370"/>
      <c r="BG142" s="370"/>
      <c r="BH142" s="370"/>
      <c r="BI142" s="370"/>
      <c r="BJ142" s="370"/>
      <c r="BK142" s="370"/>
      <c r="BL142" s="370"/>
      <c r="BM142" s="370"/>
      <c r="BN142" s="370"/>
      <c r="BO142" s="370"/>
      <c r="BP142" s="370"/>
      <c r="BQ142" s="370"/>
      <c r="BR142" s="370"/>
      <c r="BS142" s="370"/>
      <c r="BV142" s="508"/>
      <c r="BW142" s="369"/>
      <c r="BX142" s="370"/>
      <c r="BY142" s="370"/>
      <c r="BZ142" s="370"/>
      <c r="CA142" s="370"/>
      <c r="CB142" s="370"/>
      <c r="CC142" s="505"/>
      <c r="CD142" s="505"/>
      <c r="CE142" s="505"/>
      <c r="CF142" s="505"/>
      <c r="CG142" s="505"/>
      <c r="CH142" s="505"/>
      <c r="CI142" s="505"/>
      <c r="CJ142" s="505"/>
      <c r="CK142" s="505"/>
      <c r="CL142" s="505"/>
      <c r="CM142" s="505"/>
    </row>
    <row r="143" customFormat="false" ht="12.75" hidden="false" customHeight="false" outlineLevel="0" collapsed="false">
      <c r="A143" s="500"/>
      <c r="B143" s="500"/>
      <c r="K143" s="363"/>
      <c r="L143" s="501"/>
      <c r="N143" s="502"/>
      <c r="O143" s="502"/>
      <c r="P143" s="371"/>
      <c r="Q143" s="501"/>
      <c r="R143" s="501"/>
      <c r="U143" s="501"/>
      <c r="V143" s="503"/>
      <c r="W143" s="503"/>
      <c r="X143" s="504"/>
      <c r="Y143" s="504"/>
      <c r="Z143" s="504"/>
      <c r="AA143" s="504"/>
      <c r="AB143" s="504"/>
      <c r="AC143" s="504"/>
      <c r="AF143" s="378"/>
      <c r="AG143" s="378"/>
      <c r="AH143" s="378"/>
      <c r="AI143" s="378"/>
      <c r="AJ143" s="378"/>
      <c r="AM143" s="505"/>
      <c r="AN143" s="505"/>
      <c r="AO143" s="505"/>
      <c r="AP143" s="505"/>
      <c r="AR143" s="370"/>
      <c r="AT143" s="370"/>
      <c r="AV143" s="506"/>
      <c r="AW143" s="370"/>
      <c r="AX143" s="370"/>
      <c r="AY143" s="370"/>
      <c r="AZ143" s="370"/>
      <c r="BA143" s="507"/>
      <c r="BB143" s="505"/>
      <c r="BC143" s="505"/>
      <c r="BD143" s="370"/>
      <c r="BE143" s="370"/>
      <c r="BF143" s="370"/>
      <c r="BG143" s="370"/>
      <c r="BH143" s="370"/>
      <c r="BI143" s="370"/>
      <c r="BJ143" s="370"/>
      <c r="BK143" s="370"/>
      <c r="BL143" s="370"/>
      <c r="BM143" s="370"/>
      <c r="BN143" s="370"/>
      <c r="BO143" s="370"/>
      <c r="BP143" s="370"/>
      <c r="BQ143" s="370"/>
      <c r="BR143" s="370"/>
      <c r="BS143" s="370"/>
      <c r="BV143" s="508"/>
      <c r="BW143" s="369"/>
      <c r="BX143" s="370"/>
      <c r="BY143" s="370"/>
      <c r="BZ143" s="370"/>
      <c r="CA143" s="370"/>
      <c r="CB143" s="370"/>
      <c r="CC143" s="505"/>
      <c r="CD143" s="505"/>
      <c r="CE143" s="505"/>
      <c r="CF143" s="505"/>
      <c r="CG143" s="505"/>
      <c r="CH143" s="505"/>
      <c r="CI143" s="505"/>
      <c r="CJ143" s="505"/>
      <c r="CK143" s="505"/>
      <c r="CL143" s="505"/>
      <c r="CM143" s="505"/>
    </row>
    <row r="144" customFormat="false" ht="12.75" hidden="false" customHeight="false" outlineLevel="0" collapsed="false">
      <c r="A144" s="500"/>
      <c r="B144" s="500"/>
      <c r="K144" s="363"/>
      <c r="L144" s="501"/>
      <c r="N144" s="502"/>
      <c r="O144" s="502"/>
      <c r="P144" s="371"/>
      <c r="Q144" s="501"/>
      <c r="R144" s="501"/>
      <c r="U144" s="501"/>
      <c r="V144" s="503"/>
      <c r="W144" s="503"/>
      <c r="X144" s="504"/>
      <c r="Y144" s="504"/>
      <c r="Z144" s="504"/>
      <c r="AA144" s="504"/>
      <c r="AB144" s="504"/>
      <c r="AC144" s="504"/>
      <c r="AF144" s="378"/>
      <c r="AG144" s="378"/>
      <c r="AH144" s="378"/>
      <c r="AI144" s="378"/>
      <c r="AJ144" s="378"/>
      <c r="AM144" s="505"/>
      <c r="AN144" s="505"/>
      <c r="AO144" s="505"/>
      <c r="AP144" s="505"/>
      <c r="AR144" s="370"/>
      <c r="AT144" s="370"/>
      <c r="AV144" s="506"/>
      <c r="AW144" s="370"/>
      <c r="AX144" s="370"/>
      <c r="AY144" s="370"/>
      <c r="AZ144" s="370"/>
      <c r="BA144" s="507"/>
      <c r="BB144" s="505"/>
      <c r="BC144" s="505"/>
      <c r="BD144" s="370"/>
      <c r="BE144" s="370"/>
      <c r="BF144" s="370"/>
      <c r="BG144" s="370"/>
      <c r="BH144" s="370"/>
      <c r="BI144" s="370"/>
      <c r="BJ144" s="370"/>
      <c r="BK144" s="370"/>
      <c r="BL144" s="370"/>
      <c r="BM144" s="370"/>
      <c r="BN144" s="370"/>
      <c r="BO144" s="370"/>
      <c r="BP144" s="370"/>
      <c r="BQ144" s="370"/>
      <c r="BR144" s="370"/>
      <c r="BS144" s="370"/>
      <c r="BV144" s="508"/>
      <c r="BW144" s="369"/>
      <c r="BX144" s="370"/>
      <c r="BY144" s="370"/>
      <c r="BZ144" s="370"/>
      <c r="CA144" s="370"/>
      <c r="CB144" s="370"/>
      <c r="CC144" s="505"/>
      <c r="CD144" s="505"/>
      <c r="CE144" s="505"/>
      <c r="CF144" s="505"/>
      <c r="CG144" s="505"/>
      <c r="CH144" s="505"/>
      <c r="CI144" s="505"/>
      <c r="CJ144" s="505"/>
      <c r="CK144" s="505"/>
      <c r="CL144" s="505"/>
      <c r="CM144" s="505"/>
    </row>
    <row r="145" customFormat="false" ht="12.75" hidden="false" customHeight="false" outlineLevel="0" collapsed="false">
      <c r="A145" s="500"/>
      <c r="B145" s="500"/>
      <c r="K145" s="363"/>
      <c r="L145" s="501"/>
      <c r="N145" s="502"/>
      <c r="O145" s="502"/>
      <c r="P145" s="371"/>
      <c r="Q145" s="501"/>
      <c r="R145" s="501"/>
      <c r="U145" s="501"/>
      <c r="V145" s="503"/>
      <c r="W145" s="503"/>
      <c r="X145" s="504"/>
      <c r="Y145" s="504"/>
      <c r="Z145" s="504"/>
      <c r="AA145" s="504"/>
      <c r="AB145" s="504"/>
      <c r="AC145" s="504"/>
      <c r="AF145" s="378"/>
      <c r="AG145" s="378"/>
      <c r="AH145" s="378"/>
      <c r="AI145" s="378"/>
      <c r="AJ145" s="378"/>
      <c r="AM145" s="505"/>
      <c r="AN145" s="505"/>
      <c r="AO145" s="505"/>
      <c r="AP145" s="505"/>
      <c r="AR145" s="370"/>
      <c r="AT145" s="370"/>
      <c r="AV145" s="506"/>
      <c r="AW145" s="370"/>
      <c r="AX145" s="370"/>
      <c r="AY145" s="370"/>
      <c r="AZ145" s="370"/>
      <c r="BA145" s="507"/>
      <c r="BB145" s="505"/>
      <c r="BC145" s="505"/>
      <c r="BD145" s="370"/>
      <c r="BE145" s="370"/>
      <c r="BF145" s="370"/>
      <c r="BG145" s="370"/>
      <c r="BH145" s="370"/>
      <c r="BI145" s="370"/>
      <c r="BJ145" s="370"/>
      <c r="BK145" s="370"/>
      <c r="BL145" s="370"/>
      <c r="BM145" s="370"/>
      <c r="BN145" s="370"/>
      <c r="BO145" s="370"/>
      <c r="BP145" s="370"/>
      <c r="BQ145" s="370"/>
      <c r="BR145" s="370"/>
      <c r="BS145" s="370"/>
      <c r="BV145" s="508"/>
      <c r="BW145" s="369"/>
      <c r="BX145" s="370"/>
      <c r="BY145" s="370"/>
      <c r="BZ145" s="370"/>
      <c r="CA145" s="370"/>
      <c r="CB145" s="370"/>
      <c r="CC145" s="505"/>
      <c r="CD145" s="505"/>
      <c r="CE145" s="505"/>
      <c r="CF145" s="505"/>
      <c r="CG145" s="505"/>
      <c r="CH145" s="505"/>
      <c r="CI145" s="505"/>
      <c r="CJ145" s="505"/>
      <c r="CK145" s="505"/>
      <c r="CL145" s="505"/>
      <c r="CM145" s="505"/>
    </row>
    <row r="146" customFormat="false" ht="12.75" hidden="false" customHeight="false" outlineLevel="0" collapsed="false">
      <c r="A146" s="500"/>
      <c r="B146" s="500"/>
      <c r="K146" s="363"/>
      <c r="L146" s="501"/>
      <c r="N146" s="502"/>
      <c r="O146" s="502"/>
      <c r="P146" s="371"/>
      <c r="Q146" s="501"/>
      <c r="R146" s="501"/>
      <c r="U146" s="501"/>
      <c r="V146" s="503"/>
      <c r="W146" s="503"/>
      <c r="X146" s="504"/>
      <c r="Y146" s="504"/>
      <c r="Z146" s="504"/>
      <c r="AA146" s="504"/>
      <c r="AB146" s="504"/>
      <c r="AC146" s="504"/>
      <c r="AF146" s="378"/>
      <c r="AG146" s="378"/>
      <c r="AH146" s="378"/>
      <c r="AI146" s="378"/>
      <c r="AJ146" s="378"/>
      <c r="AM146" s="505"/>
      <c r="AN146" s="505"/>
      <c r="AO146" s="505"/>
      <c r="AP146" s="505"/>
      <c r="AR146" s="370"/>
      <c r="AT146" s="370"/>
      <c r="AV146" s="506"/>
      <c r="AW146" s="370"/>
      <c r="AX146" s="370"/>
      <c r="AY146" s="370"/>
      <c r="AZ146" s="370"/>
      <c r="BA146" s="507"/>
      <c r="BB146" s="505"/>
      <c r="BC146" s="505"/>
      <c r="BD146" s="370"/>
      <c r="BE146" s="370"/>
      <c r="BF146" s="370"/>
      <c r="BG146" s="370"/>
      <c r="BH146" s="370"/>
      <c r="BI146" s="370"/>
      <c r="BJ146" s="370"/>
      <c r="BK146" s="370"/>
      <c r="BL146" s="370"/>
      <c r="BM146" s="370"/>
      <c r="BN146" s="370"/>
      <c r="BO146" s="370"/>
      <c r="BP146" s="370"/>
      <c r="BQ146" s="370"/>
      <c r="BR146" s="370"/>
      <c r="BS146" s="370"/>
      <c r="BV146" s="508"/>
      <c r="BW146" s="369"/>
      <c r="BX146" s="370"/>
      <c r="BY146" s="370"/>
      <c r="BZ146" s="370"/>
      <c r="CA146" s="370"/>
      <c r="CB146" s="370"/>
      <c r="CC146" s="505"/>
      <c r="CD146" s="505"/>
      <c r="CE146" s="505"/>
      <c r="CF146" s="505"/>
      <c r="CG146" s="505"/>
      <c r="CH146" s="505"/>
      <c r="CI146" s="505"/>
      <c r="CJ146" s="505"/>
      <c r="CK146" s="505"/>
      <c r="CL146" s="505"/>
      <c r="CM146" s="505"/>
    </row>
    <row r="147" customFormat="false" ht="12.75" hidden="false" customHeight="false" outlineLevel="0" collapsed="false">
      <c r="A147" s="500"/>
      <c r="B147" s="500"/>
      <c r="K147" s="363"/>
      <c r="L147" s="501"/>
      <c r="N147" s="502"/>
      <c r="O147" s="502"/>
      <c r="P147" s="371"/>
      <c r="Q147" s="501"/>
      <c r="R147" s="501"/>
      <c r="U147" s="501"/>
      <c r="V147" s="503"/>
      <c r="W147" s="503"/>
      <c r="X147" s="504"/>
      <c r="Y147" s="504"/>
      <c r="Z147" s="504"/>
      <c r="AA147" s="504"/>
      <c r="AB147" s="504"/>
      <c r="AC147" s="504"/>
      <c r="AF147" s="378"/>
      <c r="AG147" s="378"/>
      <c r="AH147" s="378"/>
      <c r="AI147" s="378"/>
      <c r="AJ147" s="378"/>
      <c r="AM147" s="505"/>
      <c r="AN147" s="505"/>
      <c r="AO147" s="505"/>
      <c r="AP147" s="505"/>
      <c r="AR147" s="370"/>
      <c r="AT147" s="370"/>
      <c r="AV147" s="506"/>
      <c r="AW147" s="370"/>
      <c r="AX147" s="370"/>
      <c r="AY147" s="370"/>
      <c r="AZ147" s="370"/>
      <c r="BA147" s="507"/>
      <c r="BB147" s="505"/>
      <c r="BC147" s="505"/>
      <c r="BD147" s="370"/>
      <c r="BE147" s="370"/>
      <c r="BF147" s="370"/>
      <c r="BG147" s="370"/>
      <c r="BH147" s="370"/>
      <c r="BI147" s="370"/>
      <c r="BJ147" s="370"/>
      <c r="BK147" s="370"/>
      <c r="BL147" s="370"/>
      <c r="BM147" s="370"/>
      <c r="BN147" s="370"/>
      <c r="BO147" s="370"/>
      <c r="BP147" s="370"/>
      <c r="BQ147" s="370"/>
      <c r="BR147" s="370"/>
      <c r="BS147" s="370"/>
      <c r="BV147" s="508"/>
      <c r="BW147" s="369"/>
      <c r="BX147" s="370"/>
      <c r="BY147" s="370"/>
      <c r="BZ147" s="370"/>
      <c r="CA147" s="370"/>
      <c r="CB147" s="370"/>
      <c r="CC147" s="505"/>
      <c r="CD147" s="505"/>
      <c r="CE147" s="505"/>
      <c r="CF147" s="505"/>
      <c r="CG147" s="505"/>
      <c r="CH147" s="505"/>
      <c r="CI147" s="505"/>
      <c r="CJ147" s="505"/>
      <c r="CK147" s="505"/>
      <c r="CL147" s="505"/>
      <c r="CM147" s="505"/>
    </row>
    <row r="148" customFormat="false" ht="12.75" hidden="false" customHeight="false" outlineLevel="0" collapsed="false">
      <c r="A148" s="500"/>
      <c r="B148" s="500"/>
      <c r="K148" s="363"/>
      <c r="L148" s="501"/>
      <c r="N148" s="502"/>
      <c r="O148" s="502"/>
      <c r="P148" s="371"/>
      <c r="Q148" s="501"/>
      <c r="R148" s="501"/>
      <c r="U148" s="501"/>
      <c r="V148" s="503"/>
      <c r="W148" s="503"/>
      <c r="X148" s="504"/>
      <c r="Y148" s="504"/>
      <c r="Z148" s="504"/>
      <c r="AA148" s="504"/>
      <c r="AB148" s="504"/>
      <c r="AC148" s="504"/>
      <c r="AF148" s="378"/>
      <c r="AG148" s="378"/>
      <c r="AH148" s="378"/>
      <c r="AI148" s="378"/>
      <c r="AJ148" s="378"/>
      <c r="AM148" s="505"/>
      <c r="AN148" s="505"/>
      <c r="AO148" s="505"/>
      <c r="AP148" s="505"/>
      <c r="AR148" s="370"/>
      <c r="AT148" s="370"/>
      <c r="AV148" s="506"/>
      <c r="AW148" s="370"/>
      <c r="AX148" s="370"/>
      <c r="AY148" s="370"/>
      <c r="AZ148" s="370"/>
      <c r="BA148" s="507"/>
      <c r="BB148" s="505"/>
      <c r="BC148" s="505"/>
      <c r="BD148" s="370"/>
      <c r="BE148" s="370"/>
      <c r="BF148" s="370"/>
      <c r="BG148" s="370"/>
      <c r="BH148" s="370"/>
      <c r="BI148" s="370"/>
      <c r="BJ148" s="370"/>
      <c r="BK148" s="370"/>
      <c r="BL148" s="370"/>
      <c r="BM148" s="370"/>
      <c r="BN148" s="370"/>
      <c r="BO148" s="370"/>
      <c r="BP148" s="370"/>
      <c r="BQ148" s="370"/>
      <c r="BR148" s="370"/>
      <c r="BS148" s="370"/>
      <c r="BV148" s="508"/>
      <c r="BW148" s="369"/>
      <c r="BX148" s="370"/>
      <c r="BY148" s="370"/>
      <c r="BZ148" s="370"/>
      <c r="CA148" s="370"/>
      <c r="CB148" s="370"/>
      <c r="CC148" s="505"/>
      <c r="CD148" s="505"/>
      <c r="CE148" s="505"/>
      <c r="CF148" s="505"/>
      <c r="CG148" s="505"/>
      <c r="CH148" s="505"/>
      <c r="CI148" s="505"/>
      <c r="CJ148" s="505"/>
      <c r="CK148" s="505"/>
      <c r="CL148" s="505"/>
      <c r="CM148" s="505"/>
    </row>
    <row r="149" customFormat="false" ht="12.75" hidden="false" customHeight="false" outlineLevel="0" collapsed="false">
      <c r="A149" s="500"/>
      <c r="B149" s="500"/>
      <c r="K149" s="363"/>
      <c r="L149" s="501"/>
      <c r="N149" s="502"/>
      <c r="O149" s="502"/>
      <c r="P149" s="371"/>
      <c r="Q149" s="501"/>
      <c r="R149" s="501"/>
      <c r="U149" s="501"/>
      <c r="V149" s="503"/>
      <c r="W149" s="503"/>
      <c r="X149" s="504"/>
      <c r="Y149" s="504"/>
      <c r="Z149" s="504"/>
      <c r="AA149" s="504"/>
      <c r="AB149" s="504"/>
      <c r="AC149" s="504"/>
      <c r="AF149" s="378"/>
      <c r="AG149" s="378"/>
      <c r="AH149" s="378"/>
      <c r="AI149" s="378"/>
      <c r="AJ149" s="378"/>
      <c r="AM149" s="505"/>
      <c r="AN149" s="505"/>
      <c r="AO149" s="505"/>
      <c r="AP149" s="505"/>
      <c r="AR149" s="370"/>
      <c r="AT149" s="370"/>
      <c r="AV149" s="506"/>
      <c r="AW149" s="370"/>
      <c r="AX149" s="370"/>
      <c r="AY149" s="370"/>
      <c r="AZ149" s="370"/>
      <c r="BA149" s="507"/>
      <c r="BB149" s="505"/>
      <c r="BC149" s="505"/>
      <c r="BD149" s="370"/>
      <c r="BE149" s="370"/>
      <c r="BF149" s="370"/>
      <c r="BG149" s="370"/>
      <c r="BH149" s="370"/>
      <c r="BI149" s="370"/>
      <c r="BJ149" s="370"/>
      <c r="BK149" s="370"/>
      <c r="BL149" s="370"/>
      <c r="BM149" s="370"/>
      <c r="BN149" s="370"/>
      <c r="BO149" s="370"/>
      <c r="BP149" s="370"/>
      <c r="BQ149" s="370"/>
      <c r="BR149" s="370"/>
      <c r="BS149" s="370"/>
      <c r="BV149" s="508"/>
      <c r="BW149" s="369"/>
      <c r="BX149" s="370"/>
      <c r="BY149" s="370"/>
      <c r="BZ149" s="370"/>
      <c r="CA149" s="370"/>
      <c r="CB149" s="370"/>
      <c r="CC149" s="505"/>
      <c r="CD149" s="505"/>
      <c r="CE149" s="505"/>
      <c r="CF149" s="505"/>
      <c r="CG149" s="505"/>
      <c r="CH149" s="505"/>
      <c r="CI149" s="505"/>
      <c r="CJ149" s="505"/>
      <c r="CK149" s="505"/>
      <c r="CL149" s="505"/>
      <c r="CM149" s="505"/>
    </row>
    <row r="150" customFormat="false" ht="12.75" hidden="false" customHeight="false" outlineLevel="0" collapsed="false">
      <c r="A150" s="500"/>
      <c r="B150" s="500"/>
      <c r="K150" s="363"/>
      <c r="L150" s="501"/>
      <c r="N150" s="502"/>
      <c r="O150" s="502"/>
      <c r="P150" s="371"/>
      <c r="Q150" s="501"/>
      <c r="R150" s="501"/>
      <c r="U150" s="501"/>
      <c r="V150" s="503"/>
      <c r="W150" s="503"/>
      <c r="X150" s="504"/>
      <c r="Y150" s="504"/>
      <c r="Z150" s="504"/>
      <c r="AA150" s="504"/>
      <c r="AB150" s="504"/>
      <c r="AC150" s="504"/>
      <c r="AF150" s="378"/>
      <c r="AG150" s="378"/>
      <c r="AH150" s="378"/>
      <c r="AI150" s="378"/>
      <c r="AJ150" s="378"/>
      <c r="AM150" s="505"/>
      <c r="AN150" s="505"/>
      <c r="AO150" s="505"/>
      <c r="AP150" s="505"/>
      <c r="AR150" s="370"/>
      <c r="AT150" s="370"/>
      <c r="AV150" s="506"/>
      <c r="AW150" s="370"/>
      <c r="AX150" s="370"/>
      <c r="AY150" s="370"/>
      <c r="AZ150" s="370"/>
      <c r="BA150" s="507"/>
      <c r="BB150" s="505"/>
      <c r="BC150" s="505"/>
      <c r="BD150" s="370"/>
      <c r="BE150" s="370"/>
      <c r="BF150" s="370"/>
      <c r="BG150" s="370"/>
      <c r="BH150" s="370"/>
      <c r="BI150" s="370"/>
      <c r="BJ150" s="370"/>
      <c r="BK150" s="370"/>
      <c r="BL150" s="370"/>
      <c r="BM150" s="370"/>
      <c r="BN150" s="370"/>
      <c r="BO150" s="370"/>
      <c r="BP150" s="370"/>
      <c r="BQ150" s="370"/>
      <c r="BR150" s="370"/>
      <c r="BS150" s="370"/>
      <c r="BV150" s="508"/>
      <c r="BW150" s="369"/>
      <c r="BX150" s="370"/>
      <c r="BY150" s="370"/>
      <c r="BZ150" s="370"/>
      <c r="CA150" s="370"/>
      <c r="CB150" s="370"/>
      <c r="CC150" s="505"/>
      <c r="CD150" s="505"/>
      <c r="CE150" s="505"/>
      <c r="CF150" s="505"/>
      <c r="CG150" s="505"/>
      <c r="CH150" s="505"/>
      <c r="CI150" s="505"/>
      <c r="CJ150" s="505"/>
      <c r="CK150" s="505"/>
      <c r="CL150" s="505"/>
      <c r="CM150" s="505"/>
    </row>
    <row r="151" customFormat="false" ht="12.75" hidden="false" customHeight="false" outlineLevel="0" collapsed="false">
      <c r="A151" s="500"/>
      <c r="B151" s="500"/>
      <c r="K151" s="363"/>
      <c r="L151" s="501"/>
      <c r="N151" s="502"/>
      <c r="O151" s="502"/>
      <c r="P151" s="371"/>
      <c r="Q151" s="501"/>
      <c r="R151" s="501"/>
      <c r="U151" s="501"/>
      <c r="V151" s="503"/>
      <c r="W151" s="503"/>
      <c r="X151" s="504"/>
      <c r="Y151" s="504"/>
      <c r="Z151" s="504"/>
      <c r="AA151" s="504"/>
      <c r="AB151" s="504"/>
      <c r="AC151" s="504"/>
      <c r="AF151" s="378"/>
      <c r="AG151" s="378"/>
      <c r="AH151" s="378"/>
      <c r="AI151" s="378"/>
      <c r="AJ151" s="378"/>
      <c r="AM151" s="505"/>
      <c r="AN151" s="505"/>
      <c r="AO151" s="505"/>
      <c r="AP151" s="505"/>
      <c r="AR151" s="370"/>
      <c r="AT151" s="370"/>
      <c r="AV151" s="506"/>
      <c r="AW151" s="370"/>
      <c r="AX151" s="370"/>
      <c r="AY151" s="370"/>
      <c r="AZ151" s="370"/>
      <c r="BA151" s="507"/>
      <c r="BB151" s="505"/>
      <c r="BC151" s="505"/>
      <c r="BD151" s="370"/>
      <c r="BE151" s="370"/>
      <c r="BF151" s="370"/>
      <c r="BG151" s="370"/>
      <c r="BH151" s="370"/>
      <c r="BI151" s="370"/>
      <c r="BJ151" s="370"/>
      <c r="BK151" s="370"/>
      <c r="BL151" s="370"/>
      <c r="BM151" s="370"/>
      <c r="BN151" s="370"/>
      <c r="BO151" s="370"/>
      <c r="BP151" s="370"/>
      <c r="BQ151" s="370"/>
      <c r="BR151" s="370"/>
      <c r="BS151" s="370"/>
      <c r="BV151" s="508"/>
      <c r="BW151" s="369"/>
      <c r="BX151" s="370"/>
      <c r="BY151" s="370"/>
      <c r="BZ151" s="370"/>
      <c r="CA151" s="370"/>
      <c r="CB151" s="370"/>
      <c r="CC151" s="505"/>
      <c r="CD151" s="505"/>
      <c r="CE151" s="505"/>
      <c r="CF151" s="505"/>
      <c r="CG151" s="505"/>
      <c r="CH151" s="505"/>
      <c r="CI151" s="505"/>
      <c r="CJ151" s="505"/>
      <c r="CK151" s="505"/>
      <c r="CL151" s="505"/>
      <c r="CM151" s="505"/>
    </row>
    <row r="152" customFormat="false" ht="12.75" hidden="false" customHeight="false" outlineLevel="0" collapsed="false">
      <c r="A152" s="500"/>
      <c r="B152" s="500"/>
      <c r="K152" s="363"/>
      <c r="L152" s="501"/>
      <c r="N152" s="502"/>
      <c r="O152" s="502"/>
      <c r="P152" s="371"/>
      <c r="Q152" s="501"/>
      <c r="R152" s="501"/>
      <c r="U152" s="501"/>
      <c r="V152" s="503"/>
      <c r="W152" s="503"/>
      <c r="X152" s="504"/>
      <c r="Y152" s="504"/>
      <c r="Z152" s="504"/>
      <c r="AA152" s="504"/>
      <c r="AB152" s="504"/>
      <c r="AC152" s="504"/>
      <c r="AF152" s="378"/>
      <c r="AG152" s="378"/>
      <c r="AH152" s="378"/>
      <c r="AI152" s="378"/>
      <c r="AJ152" s="378"/>
      <c r="AM152" s="505"/>
      <c r="AN152" s="505"/>
      <c r="AO152" s="505"/>
      <c r="AP152" s="505"/>
      <c r="AR152" s="370"/>
      <c r="AT152" s="370"/>
      <c r="AV152" s="506"/>
      <c r="AW152" s="370"/>
      <c r="AX152" s="370"/>
      <c r="AY152" s="370"/>
      <c r="AZ152" s="370"/>
      <c r="BA152" s="507"/>
      <c r="BB152" s="505"/>
      <c r="BC152" s="505"/>
      <c r="BD152" s="370"/>
      <c r="BE152" s="370"/>
      <c r="BF152" s="370"/>
      <c r="BG152" s="370"/>
      <c r="BH152" s="370"/>
      <c r="BI152" s="370"/>
      <c r="BJ152" s="370"/>
      <c r="BK152" s="370"/>
      <c r="BL152" s="370"/>
      <c r="BM152" s="370"/>
      <c r="BN152" s="370"/>
      <c r="BO152" s="370"/>
      <c r="BP152" s="370"/>
      <c r="BQ152" s="370"/>
      <c r="BR152" s="370"/>
      <c r="BS152" s="370"/>
      <c r="BV152" s="508"/>
      <c r="BW152" s="369"/>
      <c r="BX152" s="370"/>
      <c r="BY152" s="370"/>
      <c r="BZ152" s="370"/>
      <c r="CA152" s="370"/>
      <c r="CB152" s="370"/>
      <c r="CC152" s="505"/>
      <c r="CD152" s="505"/>
      <c r="CE152" s="505"/>
      <c r="CF152" s="505"/>
      <c r="CG152" s="505"/>
      <c r="CH152" s="505"/>
      <c r="CI152" s="505"/>
      <c r="CJ152" s="505"/>
      <c r="CK152" s="505"/>
      <c r="CL152" s="505"/>
      <c r="CM152" s="505"/>
    </row>
    <row r="153" customFormat="false" ht="12.75" hidden="false" customHeight="false" outlineLevel="0" collapsed="false">
      <c r="A153" s="500"/>
      <c r="B153" s="500"/>
      <c r="K153" s="363"/>
      <c r="L153" s="501"/>
      <c r="N153" s="502"/>
      <c r="O153" s="502"/>
      <c r="P153" s="371"/>
      <c r="Q153" s="501"/>
      <c r="R153" s="501"/>
      <c r="U153" s="501"/>
      <c r="V153" s="503"/>
      <c r="W153" s="503"/>
      <c r="X153" s="504"/>
      <c r="Y153" s="504"/>
      <c r="Z153" s="504"/>
      <c r="AA153" s="504"/>
      <c r="AB153" s="504"/>
      <c r="AC153" s="504"/>
      <c r="AF153" s="378"/>
      <c r="AG153" s="378"/>
      <c r="AH153" s="378"/>
      <c r="AI153" s="378"/>
      <c r="AJ153" s="378"/>
      <c r="AM153" s="505"/>
      <c r="AN153" s="505"/>
      <c r="AO153" s="505"/>
      <c r="AP153" s="505"/>
      <c r="AR153" s="370"/>
      <c r="AT153" s="370"/>
      <c r="AV153" s="506"/>
      <c r="AW153" s="370"/>
      <c r="AX153" s="370"/>
      <c r="AY153" s="370"/>
      <c r="AZ153" s="370"/>
      <c r="BA153" s="507"/>
      <c r="BB153" s="505"/>
      <c r="BC153" s="505"/>
      <c r="BD153" s="370"/>
      <c r="BE153" s="370"/>
      <c r="BF153" s="370"/>
      <c r="BG153" s="370"/>
      <c r="BH153" s="370"/>
      <c r="BI153" s="370"/>
      <c r="BJ153" s="370"/>
      <c r="BK153" s="370"/>
      <c r="BL153" s="370"/>
      <c r="BM153" s="370"/>
      <c r="BN153" s="370"/>
      <c r="BO153" s="370"/>
      <c r="BP153" s="370"/>
      <c r="BQ153" s="370"/>
      <c r="BR153" s="370"/>
      <c r="BS153" s="370"/>
      <c r="BV153" s="508"/>
      <c r="BW153" s="369"/>
      <c r="BX153" s="370"/>
      <c r="BY153" s="370"/>
      <c r="BZ153" s="370"/>
      <c r="CA153" s="370"/>
      <c r="CB153" s="370"/>
      <c r="CC153" s="505"/>
      <c r="CD153" s="505"/>
      <c r="CE153" s="505"/>
      <c r="CF153" s="505"/>
      <c r="CG153" s="505"/>
      <c r="CH153" s="505"/>
      <c r="CI153" s="505"/>
      <c r="CJ153" s="505"/>
      <c r="CK153" s="505"/>
      <c r="CL153" s="505"/>
      <c r="CM153" s="505"/>
    </row>
    <row r="154" customFormat="false" ht="12.75" hidden="false" customHeight="false" outlineLevel="0" collapsed="false">
      <c r="A154" s="500"/>
      <c r="B154" s="500"/>
      <c r="K154" s="363"/>
      <c r="L154" s="501"/>
      <c r="N154" s="502"/>
      <c r="O154" s="502"/>
      <c r="P154" s="371"/>
      <c r="Q154" s="501"/>
      <c r="R154" s="501"/>
      <c r="U154" s="501"/>
      <c r="V154" s="503"/>
      <c r="W154" s="503"/>
      <c r="X154" s="504"/>
      <c r="Y154" s="504"/>
      <c r="Z154" s="504"/>
      <c r="AA154" s="504"/>
      <c r="AB154" s="504"/>
      <c r="AC154" s="504"/>
      <c r="AF154" s="378"/>
      <c r="AG154" s="378"/>
      <c r="AH154" s="378"/>
      <c r="AI154" s="378"/>
      <c r="AJ154" s="378"/>
      <c r="AM154" s="505"/>
      <c r="AN154" s="505"/>
      <c r="AO154" s="505"/>
      <c r="AP154" s="505"/>
      <c r="AR154" s="370"/>
      <c r="AT154" s="370"/>
      <c r="AV154" s="506"/>
      <c r="AW154" s="370"/>
      <c r="AX154" s="370"/>
      <c r="AY154" s="370"/>
      <c r="AZ154" s="370"/>
      <c r="BA154" s="507"/>
      <c r="BB154" s="505"/>
      <c r="BC154" s="505"/>
      <c r="BD154" s="370"/>
      <c r="BE154" s="370"/>
      <c r="BF154" s="370"/>
      <c r="BG154" s="370"/>
      <c r="BH154" s="370"/>
      <c r="BI154" s="370"/>
      <c r="BJ154" s="370"/>
      <c r="BK154" s="370"/>
      <c r="BL154" s="370"/>
      <c r="BM154" s="370"/>
      <c r="BN154" s="370"/>
      <c r="BO154" s="370"/>
      <c r="BP154" s="370"/>
      <c r="BQ154" s="370"/>
      <c r="BR154" s="370"/>
      <c r="BS154" s="370"/>
      <c r="BV154" s="508"/>
      <c r="BW154" s="369"/>
      <c r="BX154" s="370"/>
      <c r="BY154" s="370"/>
      <c r="BZ154" s="370"/>
      <c r="CA154" s="370"/>
      <c r="CB154" s="370"/>
      <c r="CC154" s="505"/>
      <c r="CD154" s="505"/>
      <c r="CE154" s="505"/>
      <c r="CF154" s="505"/>
      <c r="CG154" s="505"/>
      <c r="CH154" s="505"/>
      <c r="CI154" s="505"/>
      <c r="CJ154" s="505"/>
      <c r="CK154" s="505"/>
      <c r="CL154" s="505"/>
      <c r="CM154" s="505"/>
    </row>
    <row r="155" customFormat="false" ht="12.75" hidden="false" customHeight="false" outlineLevel="0" collapsed="false">
      <c r="A155" s="500"/>
      <c r="B155" s="500"/>
      <c r="K155" s="363"/>
      <c r="L155" s="501"/>
      <c r="N155" s="502"/>
      <c r="O155" s="502"/>
      <c r="P155" s="371"/>
      <c r="Q155" s="501"/>
      <c r="R155" s="501"/>
      <c r="U155" s="501"/>
      <c r="V155" s="503"/>
      <c r="W155" s="503"/>
      <c r="X155" s="504"/>
      <c r="Y155" s="504"/>
      <c r="Z155" s="504"/>
      <c r="AA155" s="504"/>
      <c r="AB155" s="504"/>
      <c r="AC155" s="504"/>
      <c r="AF155" s="378"/>
      <c r="AG155" s="378"/>
      <c r="AH155" s="378"/>
      <c r="AI155" s="378"/>
      <c r="AJ155" s="378"/>
      <c r="AM155" s="505"/>
      <c r="AN155" s="505"/>
      <c r="AO155" s="505"/>
      <c r="AP155" s="505"/>
      <c r="AR155" s="370"/>
      <c r="AT155" s="370"/>
      <c r="AV155" s="506"/>
      <c r="AW155" s="370"/>
      <c r="AX155" s="370"/>
      <c r="AY155" s="370"/>
      <c r="AZ155" s="370"/>
      <c r="BA155" s="507"/>
      <c r="BB155" s="505"/>
      <c r="BC155" s="505"/>
      <c r="BD155" s="370"/>
      <c r="BE155" s="370"/>
      <c r="BF155" s="370"/>
      <c r="BG155" s="370"/>
      <c r="BH155" s="370"/>
      <c r="BI155" s="370"/>
      <c r="BJ155" s="370"/>
      <c r="BK155" s="370"/>
      <c r="BL155" s="370"/>
      <c r="BM155" s="370"/>
      <c r="BN155" s="370"/>
      <c r="BO155" s="370"/>
      <c r="BP155" s="370"/>
      <c r="BQ155" s="370"/>
      <c r="BR155" s="370"/>
      <c r="BS155" s="370"/>
      <c r="BV155" s="508"/>
      <c r="BW155" s="369"/>
      <c r="BX155" s="370"/>
      <c r="BY155" s="370"/>
      <c r="BZ155" s="370"/>
      <c r="CA155" s="370"/>
      <c r="CB155" s="370"/>
      <c r="CC155" s="505"/>
      <c r="CD155" s="505"/>
      <c r="CE155" s="505"/>
      <c r="CF155" s="505"/>
      <c r="CG155" s="505"/>
      <c r="CH155" s="505"/>
      <c r="CI155" s="505"/>
      <c r="CJ155" s="505"/>
      <c r="CK155" s="505"/>
      <c r="CL155" s="505"/>
      <c r="CM155" s="505"/>
    </row>
    <row r="156" customFormat="false" ht="12.75" hidden="false" customHeight="false" outlineLevel="0" collapsed="false">
      <c r="A156" s="500"/>
      <c r="B156" s="500"/>
      <c r="K156" s="363"/>
      <c r="L156" s="501"/>
      <c r="N156" s="502"/>
      <c r="O156" s="502"/>
      <c r="P156" s="371"/>
      <c r="Q156" s="501"/>
      <c r="R156" s="501"/>
      <c r="U156" s="501"/>
      <c r="V156" s="503"/>
      <c r="W156" s="503"/>
      <c r="X156" s="504"/>
      <c r="Y156" s="504"/>
      <c r="Z156" s="504"/>
      <c r="AA156" s="504"/>
      <c r="AB156" s="504"/>
      <c r="AC156" s="504"/>
      <c r="AF156" s="378"/>
      <c r="AG156" s="378"/>
      <c r="AH156" s="378"/>
      <c r="AI156" s="378"/>
      <c r="AJ156" s="378"/>
      <c r="AM156" s="505"/>
      <c r="AN156" s="505"/>
      <c r="AO156" s="505"/>
      <c r="AP156" s="505"/>
      <c r="AR156" s="370"/>
      <c r="AT156" s="370"/>
      <c r="AV156" s="506"/>
      <c r="AW156" s="370"/>
      <c r="AX156" s="370"/>
      <c r="AY156" s="370"/>
      <c r="AZ156" s="370"/>
      <c r="BA156" s="507"/>
      <c r="BB156" s="505"/>
      <c r="BC156" s="505"/>
      <c r="BD156" s="370"/>
      <c r="BE156" s="370"/>
      <c r="BF156" s="370"/>
      <c r="BG156" s="370"/>
      <c r="BH156" s="370"/>
      <c r="BI156" s="370"/>
      <c r="BJ156" s="370"/>
      <c r="BK156" s="370"/>
      <c r="BL156" s="370"/>
      <c r="BM156" s="370"/>
      <c r="BN156" s="370"/>
      <c r="BO156" s="370"/>
      <c r="BP156" s="370"/>
      <c r="BQ156" s="370"/>
      <c r="BR156" s="370"/>
      <c r="BS156" s="370"/>
      <c r="BV156" s="508"/>
      <c r="BW156" s="369"/>
      <c r="BX156" s="370"/>
      <c r="BY156" s="370"/>
      <c r="BZ156" s="370"/>
      <c r="CA156" s="370"/>
      <c r="CB156" s="370"/>
      <c r="CC156" s="505"/>
      <c r="CD156" s="505"/>
      <c r="CE156" s="505"/>
      <c r="CF156" s="505"/>
      <c r="CG156" s="505"/>
      <c r="CH156" s="505"/>
      <c r="CI156" s="505"/>
      <c r="CJ156" s="505"/>
      <c r="CK156" s="505"/>
      <c r="CL156" s="505"/>
      <c r="CM156" s="505"/>
    </row>
    <row r="157" customFormat="false" ht="12.75" hidden="false" customHeight="false" outlineLevel="0" collapsed="false">
      <c r="A157" s="500"/>
      <c r="B157" s="500"/>
      <c r="K157" s="363"/>
      <c r="L157" s="501"/>
      <c r="N157" s="502"/>
      <c r="O157" s="502"/>
      <c r="P157" s="371"/>
      <c r="Q157" s="501"/>
      <c r="R157" s="501"/>
      <c r="U157" s="501"/>
      <c r="V157" s="503"/>
      <c r="W157" s="503"/>
      <c r="X157" s="504"/>
      <c r="Y157" s="504"/>
      <c r="Z157" s="504"/>
      <c r="AA157" s="504"/>
      <c r="AB157" s="504"/>
      <c r="AC157" s="504"/>
      <c r="AF157" s="378"/>
      <c r="AG157" s="378"/>
      <c r="AH157" s="378"/>
      <c r="AI157" s="378"/>
      <c r="AJ157" s="378"/>
      <c r="AM157" s="505"/>
      <c r="AN157" s="505"/>
      <c r="AO157" s="505"/>
      <c r="AP157" s="505"/>
      <c r="AR157" s="370"/>
      <c r="AT157" s="370"/>
      <c r="AV157" s="506"/>
      <c r="AW157" s="370"/>
      <c r="AX157" s="370"/>
      <c r="AY157" s="370"/>
      <c r="AZ157" s="370"/>
      <c r="BA157" s="507"/>
      <c r="BB157" s="505"/>
      <c r="BC157" s="505"/>
      <c r="BD157" s="370"/>
      <c r="BE157" s="370"/>
      <c r="BF157" s="370"/>
      <c r="BG157" s="370"/>
      <c r="BH157" s="370"/>
      <c r="BI157" s="370"/>
      <c r="BJ157" s="370"/>
      <c r="BK157" s="370"/>
      <c r="BL157" s="370"/>
      <c r="BM157" s="370"/>
      <c r="BN157" s="370"/>
      <c r="BO157" s="370"/>
      <c r="BP157" s="370"/>
      <c r="BQ157" s="370"/>
      <c r="BR157" s="370"/>
      <c r="BS157" s="370"/>
      <c r="BV157" s="508"/>
      <c r="BW157" s="369"/>
      <c r="BX157" s="370"/>
      <c r="BY157" s="370"/>
      <c r="BZ157" s="370"/>
      <c r="CA157" s="370"/>
      <c r="CB157" s="370"/>
      <c r="CC157" s="505"/>
      <c r="CD157" s="505"/>
      <c r="CE157" s="505"/>
      <c r="CF157" s="505"/>
      <c r="CG157" s="505"/>
      <c r="CH157" s="505"/>
      <c r="CI157" s="505"/>
      <c r="CJ157" s="505"/>
      <c r="CK157" s="505"/>
      <c r="CL157" s="505"/>
      <c r="CM157" s="505"/>
    </row>
    <row r="158" customFormat="false" ht="12.75" hidden="false" customHeight="false" outlineLevel="0" collapsed="false">
      <c r="A158" s="500"/>
      <c r="B158" s="500"/>
      <c r="K158" s="363"/>
      <c r="L158" s="501"/>
      <c r="N158" s="502"/>
      <c r="O158" s="502"/>
      <c r="P158" s="371"/>
      <c r="Q158" s="501"/>
      <c r="R158" s="501"/>
      <c r="U158" s="501"/>
      <c r="V158" s="503"/>
      <c r="W158" s="503"/>
      <c r="X158" s="504"/>
      <c r="Y158" s="504"/>
      <c r="Z158" s="504"/>
      <c r="AA158" s="504"/>
      <c r="AB158" s="504"/>
      <c r="AC158" s="504"/>
      <c r="AF158" s="378"/>
      <c r="AG158" s="378"/>
      <c r="AH158" s="378"/>
      <c r="AI158" s="378"/>
      <c r="AJ158" s="378"/>
      <c r="AM158" s="505"/>
      <c r="AN158" s="505"/>
      <c r="AO158" s="505"/>
      <c r="AP158" s="505"/>
      <c r="AR158" s="370"/>
      <c r="AT158" s="370"/>
      <c r="AV158" s="506"/>
      <c r="AW158" s="370"/>
      <c r="AX158" s="370"/>
      <c r="AY158" s="370"/>
      <c r="AZ158" s="370"/>
      <c r="BA158" s="507"/>
      <c r="BB158" s="505"/>
      <c r="BC158" s="505"/>
      <c r="BD158" s="370"/>
      <c r="BE158" s="370"/>
      <c r="BF158" s="370"/>
      <c r="BG158" s="370"/>
      <c r="BH158" s="370"/>
      <c r="BI158" s="370"/>
      <c r="BJ158" s="370"/>
      <c r="BK158" s="370"/>
      <c r="BL158" s="370"/>
      <c r="BM158" s="370"/>
      <c r="BN158" s="370"/>
      <c r="BO158" s="370"/>
      <c r="BP158" s="370"/>
      <c r="BQ158" s="370"/>
      <c r="BR158" s="370"/>
      <c r="BS158" s="370"/>
      <c r="BV158" s="508"/>
      <c r="BW158" s="369"/>
      <c r="BX158" s="370"/>
      <c r="BY158" s="370"/>
      <c r="BZ158" s="370"/>
      <c r="CA158" s="370"/>
      <c r="CB158" s="370"/>
      <c r="CC158" s="505"/>
      <c r="CD158" s="505"/>
      <c r="CE158" s="505"/>
      <c r="CF158" s="505"/>
      <c r="CG158" s="505"/>
      <c r="CH158" s="505"/>
      <c r="CI158" s="505"/>
      <c r="CJ158" s="505"/>
      <c r="CK158" s="505"/>
      <c r="CL158" s="505"/>
      <c r="CM158" s="505"/>
    </row>
    <row r="159" customFormat="false" ht="12.75" hidden="false" customHeight="false" outlineLevel="0" collapsed="false">
      <c r="A159" s="500"/>
      <c r="B159" s="500"/>
      <c r="K159" s="363"/>
      <c r="L159" s="501"/>
      <c r="N159" s="502"/>
      <c r="O159" s="502"/>
      <c r="P159" s="371"/>
      <c r="Q159" s="501"/>
      <c r="R159" s="501"/>
      <c r="U159" s="501"/>
      <c r="V159" s="503"/>
      <c r="W159" s="503"/>
      <c r="X159" s="504"/>
      <c r="Y159" s="504"/>
      <c r="Z159" s="504"/>
      <c r="AA159" s="504"/>
      <c r="AB159" s="504"/>
      <c r="AC159" s="504"/>
      <c r="AF159" s="378"/>
      <c r="AG159" s="378"/>
      <c r="AH159" s="378"/>
      <c r="AI159" s="378"/>
      <c r="AJ159" s="378"/>
      <c r="AM159" s="505"/>
      <c r="AN159" s="505"/>
      <c r="AO159" s="505"/>
      <c r="AP159" s="505"/>
      <c r="AR159" s="370"/>
      <c r="AT159" s="370"/>
      <c r="AV159" s="506"/>
      <c r="AW159" s="370"/>
      <c r="AX159" s="370"/>
      <c r="AY159" s="370"/>
      <c r="AZ159" s="370"/>
      <c r="BA159" s="507"/>
      <c r="BB159" s="505"/>
      <c r="BC159" s="505"/>
      <c r="BD159" s="370"/>
      <c r="BE159" s="370"/>
      <c r="BF159" s="370"/>
      <c r="BG159" s="370"/>
      <c r="BH159" s="370"/>
      <c r="BI159" s="370"/>
      <c r="BJ159" s="370"/>
      <c r="BK159" s="370"/>
      <c r="BL159" s="370"/>
      <c r="BM159" s="370"/>
      <c r="BN159" s="370"/>
      <c r="BO159" s="370"/>
      <c r="BP159" s="370"/>
      <c r="BQ159" s="370"/>
      <c r="BR159" s="370"/>
      <c r="BS159" s="370"/>
      <c r="BV159" s="508"/>
      <c r="BW159" s="369"/>
      <c r="BX159" s="370"/>
      <c r="BY159" s="370"/>
      <c r="BZ159" s="370"/>
      <c r="CA159" s="370"/>
      <c r="CB159" s="370"/>
      <c r="CC159" s="505"/>
      <c r="CD159" s="505"/>
      <c r="CE159" s="505"/>
      <c r="CF159" s="505"/>
      <c r="CG159" s="505"/>
      <c r="CH159" s="505"/>
      <c r="CI159" s="505"/>
      <c r="CJ159" s="505"/>
      <c r="CK159" s="505"/>
      <c r="CL159" s="505"/>
      <c r="CM159" s="505"/>
    </row>
    <row r="160" customFormat="false" ht="12.75" hidden="false" customHeight="false" outlineLevel="0" collapsed="false">
      <c r="A160" s="500"/>
      <c r="B160" s="500"/>
      <c r="K160" s="363"/>
      <c r="L160" s="501"/>
      <c r="N160" s="502"/>
      <c r="O160" s="502"/>
      <c r="P160" s="371"/>
      <c r="Q160" s="501"/>
      <c r="R160" s="501"/>
      <c r="U160" s="501"/>
      <c r="V160" s="503"/>
      <c r="W160" s="503"/>
      <c r="X160" s="504"/>
      <c r="Y160" s="504"/>
      <c r="Z160" s="504"/>
      <c r="AA160" s="504"/>
      <c r="AB160" s="504"/>
      <c r="AC160" s="504"/>
      <c r="AF160" s="378"/>
      <c r="AG160" s="378"/>
      <c r="AH160" s="378"/>
      <c r="AI160" s="378"/>
      <c r="AJ160" s="378"/>
      <c r="AM160" s="505"/>
      <c r="AN160" s="505"/>
      <c r="AO160" s="505"/>
      <c r="AP160" s="505"/>
      <c r="AR160" s="370"/>
      <c r="AT160" s="370"/>
      <c r="AV160" s="506"/>
      <c r="AW160" s="370"/>
      <c r="AX160" s="370"/>
      <c r="AY160" s="370"/>
      <c r="AZ160" s="370"/>
      <c r="BA160" s="507"/>
      <c r="BB160" s="505"/>
      <c r="BC160" s="505"/>
      <c r="BD160" s="370"/>
      <c r="BE160" s="370"/>
      <c r="BF160" s="370"/>
      <c r="BG160" s="370"/>
      <c r="BH160" s="370"/>
      <c r="BI160" s="370"/>
      <c r="BJ160" s="370"/>
      <c r="BK160" s="370"/>
      <c r="BL160" s="370"/>
      <c r="BM160" s="370"/>
      <c r="BN160" s="370"/>
      <c r="BO160" s="370"/>
      <c r="BP160" s="370"/>
      <c r="BQ160" s="370"/>
      <c r="BR160" s="370"/>
      <c r="BS160" s="370"/>
      <c r="BV160" s="508"/>
      <c r="BW160" s="369"/>
      <c r="BX160" s="370"/>
      <c r="BY160" s="370"/>
      <c r="BZ160" s="370"/>
      <c r="CA160" s="370"/>
      <c r="CB160" s="370"/>
      <c r="CC160" s="505"/>
      <c r="CD160" s="505"/>
      <c r="CE160" s="505"/>
      <c r="CF160" s="505"/>
      <c r="CG160" s="505"/>
      <c r="CH160" s="505"/>
      <c r="CI160" s="505"/>
      <c r="CJ160" s="505"/>
      <c r="CK160" s="505"/>
      <c r="CL160" s="505"/>
      <c r="CM160" s="505"/>
    </row>
    <row r="161" customFormat="false" ht="12.75" hidden="false" customHeight="false" outlineLevel="0" collapsed="false">
      <c r="A161" s="500"/>
      <c r="B161" s="500"/>
      <c r="K161" s="363"/>
      <c r="L161" s="501"/>
      <c r="N161" s="502"/>
      <c r="O161" s="502"/>
      <c r="P161" s="371"/>
      <c r="Q161" s="501"/>
      <c r="R161" s="501"/>
      <c r="U161" s="501"/>
      <c r="V161" s="503"/>
      <c r="W161" s="503"/>
      <c r="X161" s="504"/>
      <c r="Y161" s="504"/>
      <c r="Z161" s="504"/>
      <c r="AA161" s="504"/>
      <c r="AB161" s="504"/>
      <c r="AC161" s="504"/>
      <c r="AF161" s="378"/>
      <c r="AG161" s="378"/>
      <c r="AH161" s="378"/>
      <c r="AI161" s="378"/>
      <c r="AJ161" s="378"/>
      <c r="AM161" s="505"/>
      <c r="AN161" s="505"/>
      <c r="AO161" s="505"/>
      <c r="AP161" s="505"/>
      <c r="AR161" s="370"/>
      <c r="AT161" s="370"/>
      <c r="AV161" s="506"/>
      <c r="AW161" s="370"/>
      <c r="AX161" s="370"/>
      <c r="AY161" s="370"/>
      <c r="AZ161" s="370"/>
      <c r="BA161" s="507"/>
      <c r="BB161" s="505"/>
      <c r="BC161" s="505"/>
      <c r="BD161" s="370"/>
      <c r="BE161" s="370"/>
      <c r="BF161" s="370"/>
      <c r="BG161" s="370"/>
      <c r="BH161" s="370"/>
      <c r="BI161" s="370"/>
      <c r="BJ161" s="370"/>
      <c r="BK161" s="370"/>
      <c r="BL161" s="370"/>
      <c r="BM161" s="370"/>
      <c r="BN161" s="370"/>
      <c r="BO161" s="370"/>
      <c r="BP161" s="370"/>
      <c r="BQ161" s="370"/>
      <c r="BR161" s="370"/>
      <c r="BS161" s="370"/>
      <c r="BV161" s="508"/>
      <c r="BW161" s="369"/>
      <c r="BX161" s="370"/>
      <c r="BY161" s="370"/>
      <c r="BZ161" s="370"/>
      <c r="CA161" s="370"/>
      <c r="CB161" s="370"/>
      <c r="CC161" s="505"/>
      <c r="CD161" s="505"/>
      <c r="CE161" s="505"/>
      <c r="CF161" s="505"/>
      <c r="CG161" s="505"/>
      <c r="CH161" s="505"/>
      <c r="CI161" s="505"/>
      <c r="CJ161" s="505"/>
      <c r="CK161" s="505"/>
      <c r="CL161" s="505"/>
      <c r="CM161" s="505"/>
    </row>
    <row r="162" customFormat="false" ht="12.75" hidden="false" customHeight="false" outlineLevel="0" collapsed="false">
      <c r="A162" s="500"/>
      <c r="B162" s="500"/>
      <c r="K162" s="363"/>
      <c r="L162" s="501"/>
      <c r="N162" s="502"/>
      <c r="O162" s="502"/>
      <c r="P162" s="371"/>
      <c r="Q162" s="501"/>
      <c r="R162" s="501"/>
      <c r="U162" s="501"/>
      <c r="V162" s="503"/>
      <c r="W162" s="503"/>
      <c r="X162" s="504"/>
      <c r="Y162" s="504"/>
      <c r="Z162" s="504"/>
      <c r="AA162" s="504"/>
      <c r="AB162" s="504"/>
      <c r="AC162" s="504"/>
      <c r="AF162" s="378"/>
      <c r="AG162" s="378"/>
      <c r="AH162" s="378"/>
      <c r="AI162" s="378"/>
      <c r="AJ162" s="378"/>
      <c r="AM162" s="505"/>
      <c r="AN162" s="505"/>
      <c r="AO162" s="505"/>
      <c r="AP162" s="505"/>
      <c r="AR162" s="370"/>
      <c r="AT162" s="370"/>
      <c r="AV162" s="506"/>
      <c r="AW162" s="370"/>
      <c r="AX162" s="370"/>
      <c r="AY162" s="370"/>
      <c r="AZ162" s="370"/>
      <c r="BA162" s="507"/>
      <c r="BB162" s="505"/>
      <c r="BC162" s="505"/>
      <c r="BD162" s="370"/>
      <c r="BE162" s="370"/>
      <c r="BF162" s="370"/>
      <c r="BG162" s="370"/>
      <c r="BH162" s="370"/>
      <c r="BI162" s="370"/>
      <c r="BJ162" s="370"/>
      <c r="BK162" s="370"/>
      <c r="BL162" s="370"/>
      <c r="BM162" s="370"/>
      <c r="BN162" s="370"/>
      <c r="BO162" s="370"/>
      <c r="BP162" s="370"/>
      <c r="BQ162" s="370"/>
      <c r="BR162" s="370"/>
      <c r="BS162" s="370"/>
      <c r="BV162" s="508"/>
      <c r="BW162" s="369"/>
      <c r="BX162" s="370"/>
      <c r="BY162" s="370"/>
      <c r="BZ162" s="370"/>
      <c r="CA162" s="370"/>
      <c r="CB162" s="370"/>
      <c r="CC162" s="505"/>
      <c r="CD162" s="505"/>
      <c r="CE162" s="505"/>
      <c r="CF162" s="505"/>
      <c r="CG162" s="505"/>
      <c r="CH162" s="505"/>
      <c r="CI162" s="505"/>
      <c r="CJ162" s="505"/>
      <c r="CK162" s="505"/>
      <c r="CL162" s="505"/>
      <c r="CM162" s="505"/>
    </row>
    <row r="163" customFormat="false" ht="12.75" hidden="false" customHeight="false" outlineLevel="0" collapsed="false">
      <c r="A163" s="500"/>
      <c r="B163" s="500"/>
      <c r="K163" s="363"/>
      <c r="L163" s="501"/>
      <c r="N163" s="502"/>
      <c r="O163" s="502"/>
      <c r="P163" s="371"/>
      <c r="Q163" s="501"/>
      <c r="R163" s="501"/>
      <c r="U163" s="501"/>
      <c r="V163" s="503"/>
      <c r="W163" s="503"/>
      <c r="X163" s="504"/>
      <c r="Y163" s="504"/>
      <c r="Z163" s="504"/>
      <c r="AA163" s="504"/>
      <c r="AB163" s="504"/>
      <c r="AC163" s="504"/>
      <c r="AF163" s="378"/>
      <c r="AG163" s="378"/>
      <c r="AH163" s="378"/>
      <c r="AI163" s="378"/>
      <c r="AJ163" s="378"/>
      <c r="AM163" s="505"/>
      <c r="AN163" s="505"/>
      <c r="AO163" s="505"/>
      <c r="AP163" s="505"/>
      <c r="AR163" s="370"/>
      <c r="AT163" s="370"/>
      <c r="AV163" s="506"/>
      <c r="AW163" s="370"/>
      <c r="AX163" s="370"/>
      <c r="AY163" s="370"/>
      <c r="AZ163" s="370"/>
      <c r="BA163" s="507"/>
      <c r="BB163" s="505"/>
      <c r="BC163" s="505"/>
      <c r="BD163" s="370"/>
      <c r="BE163" s="370"/>
      <c r="BF163" s="370"/>
      <c r="BG163" s="370"/>
      <c r="BH163" s="370"/>
      <c r="BI163" s="370"/>
      <c r="BJ163" s="370"/>
      <c r="BK163" s="370"/>
      <c r="BL163" s="370"/>
      <c r="BM163" s="370"/>
      <c r="BN163" s="370"/>
      <c r="BO163" s="370"/>
      <c r="BP163" s="370"/>
      <c r="BQ163" s="370"/>
      <c r="BR163" s="370"/>
      <c r="BS163" s="370"/>
      <c r="BV163" s="508"/>
      <c r="BW163" s="369"/>
      <c r="BX163" s="370"/>
      <c r="BY163" s="370"/>
      <c r="BZ163" s="370"/>
      <c r="CA163" s="370"/>
      <c r="CB163" s="370"/>
      <c r="CC163" s="505"/>
      <c r="CD163" s="505"/>
      <c r="CE163" s="505"/>
      <c r="CF163" s="505"/>
      <c r="CG163" s="505"/>
      <c r="CH163" s="505"/>
      <c r="CI163" s="505"/>
      <c r="CJ163" s="505"/>
      <c r="CK163" s="505"/>
      <c r="CL163" s="505"/>
      <c r="CM163" s="505"/>
    </row>
    <row r="164" customFormat="false" ht="12.75" hidden="false" customHeight="false" outlineLevel="0" collapsed="false">
      <c r="A164" s="500"/>
      <c r="B164" s="500"/>
      <c r="K164" s="363"/>
      <c r="L164" s="501"/>
      <c r="N164" s="502"/>
      <c r="O164" s="502"/>
      <c r="P164" s="371"/>
      <c r="Q164" s="501"/>
      <c r="R164" s="501"/>
      <c r="U164" s="501"/>
      <c r="V164" s="503"/>
      <c r="W164" s="503"/>
      <c r="X164" s="504"/>
      <c r="Y164" s="504"/>
      <c r="Z164" s="504"/>
      <c r="AA164" s="504"/>
      <c r="AB164" s="504"/>
      <c r="AC164" s="504"/>
      <c r="AF164" s="378"/>
      <c r="AG164" s="378"/>
      <c r="AH164" s="378"/>
      <c r="AI164" s="378"/>
      <c r="AJ164" s="378"/>
      <c r="AM164" s="505"/>
      <c r="AN164" s="505"/>
      <c r="AO164" s="505"/>
      <c r="AP164" s="505"/>
      <c r="AR164" s="370"/>
      <c r="AT164" s="370"/>
      <c r="AV164" s="506"/>
      <c r="AW164" s="370"/>
      <c r="AX164" s="370"/>
      <c r="AY164" s="370"/>
      <c r="AZ164" s="370"/>
      <c r="BA164" s="507"/>
      <c r="BB164" s="505"/>
      <c r="BC164" s="505"/>
      <c r="BD164" s="370"/>
      <c r="BE164" s="370"/>
      <c r="BF164" s="370"/>
      <c r="BG164" s="370"/>
      <c r="BH164" s="370"/>
      <c r="BI164" s="370"/>
      <c r="BJ164" s="370"/>
      <c r="BK164" s="370"/>
      <c r="BL164" s="370"/>
      <c r="BM164" s="370"/>
      <c r="BN164" s="370"/>
      <c r="BO164" s="370"/>
      <c r="BP164" s="370"/>
      <c r="BQ164" s="370"/>
      <c r="BR164" s="370"/>
      <c r="BS164" s="370"/>
      <c r="BV164" s="508"/>
      <c r="BW164" s="369"/>
      <c r="BX164" s="370"/>
      <c r="BY164" s="370"/>
      <c r="BZ164" s="370"/>
      <c r="CA164" s="370"/>
      <c r="CB164" s="370"/>
      <c r="CC164" s="505"/>
      <c r="CD164" s="505"/>
      <c r="CE164" s="505"/>
      <c r="CF164" s="505"/>
      <c r="CG164" s="505"/>
      <c r="CH164" s="505"/>
      <c r="CI164" s="505"/>
      <c r="CJ164" s="505"/>
      <c r="CK164" s="505"/>
      <c r="CL164" s="505"/>
      <c r="CM164" s="505"/>
    </row>
    <row r="165" customFormat="false" ht="12.75" hidden="false" customHeight="false" outlineLevel="0" collapsed="false">
      <c r="A165" s="500"/>
      <c r="B165" s="500"/>
      <c r="K165" s="363"/>
      <c r="L165" s="501"/>
      <c r="N165" s="502"/>
      <c r="O165" s="502"/>
      <c r="P165" s="371"/>
      <c r="Q165" s="501"/>
      <c r="R165" s="501"/>
      <c r="U165" s="501"/>
      <c r="V165" s="503"/>
      <c r="W165" s="503"/>
      <c r="X165" s="504"/>
      <c r="Y165" s="504"/>
      <c r="Z165" s="504"/>
      <c r="AA165" s="504"/>
      <c r="AB165" s="504"/>
      <c r="AC165" s="504"/>
      <c r="AF165" s="378"/>
      <c r="AG165" s="378"/>
      <c r="AH165" s="378"/>
      <c r="AI165" s="378"/>
      <c r="AJ165" s="378"/>
      <c r="AM165" s="505"/>
      <c r="AN165" s="505"/>
      <c r="AO165" s="505"/>
      <c r="AP165" s="505"/>
      <c r="AR165" s="370"/>
      <c r="AT165" s="370"/>
      <c r="AV165" s="506"/>
      <c r="AW165" s="370"/>
      <c r="AX165" s="370"/>
      <c r="AY165" s="370"/>
      <c r="AZ165" s="370"/>
      <c r="BA165" s="507"/>
      <c r="BB165" s="505"/>
      <c r="BC165" s="505"/>
      <c r="BD165" s="370"/>
      <c r="BE165" s="370"/>
      <c r="BF165" s="370"/>
      <c r="BG165" s="370"/>
      <c r="BH165" s="370"/>
      <c r="BI165" s="370"/>
      <c r="BJ165" s="370"/>
      <c r="BK165" s="370"/>
      <c r="BL165" s="370"/>
      <c r="BM165" s="370"/>
      <c r="BN165" s="370"/>
      <c r="BO165" s="370"/>
      <c r="BP165" s="370"/>
      <c r="BQ165" s="370"/>
      <c r="BR165" s="370"/>
      <c r="BS165" s="370"/>
      <c r="BV165" s="508"/>
      <c r="BW165" s="369"/>
      <c r="BX165" s="370"/>
      <c r="BY165" s="370"/>
      <c r="BZ165" s="370"/>
      <c r="CA165" s="370"/>
      <c r="CB165" s="370"/>
      <c r="CC165" s="505"/>
      <c r="CD165" s="505"/>
      <c r="CE165" s="505"/>
      <c r="CF165" s="505"/>
      <c r="CG165" s="505"/>
      <c r="CH165" s="505"/>
      <c r="CI165" s="505"/>
      <c r="CJ165" s="505"/>
      <c r="CK165" s="505"/>
      <c r="CL165" s="505"/>
      <c r="CM165" s="505"/>
    </row>
    <row r="166" customFormat="false" ht="12.75" hidden="false" customHeight="false" outlineLevel="0" collapsed="false">
      <c r="A166" s="500"/>
      <c r="B166" s="500"/>
      <c r="K166" s="363"/>
      <c r="L166" s="501"/>
      <c r="N166" s="502"/>
      <c r="O166" s="502"/>
      <c r="P166" s="371"/>
      <c r="Q166" s="501"/>
      <c r="R166" s="501"/>
      <c r="U166" s="501"/>
      <c r="V166" s="503"/>
      <c r="W166" s="503"/>
      <c r="X166" s="504"/>
      <c r="Y166" s="504"/>
      <c r="Z166" s="504"/>
      <c r="AA166" s="504"/>
      <c r="AB166" s="504"/>
      <c r="AC166" s="504"/>
      <c r="AF166" s="378"/>
      <c r="AG166" s="378"/>
      <c r="AH166" s="378"/>
      <c r="AI166" s="378"/>
      <c r="AJ166" s="378"/>
      <c r="AM166" s="505"/>
      <c r="AN166" s="505"/>
      <c r="AO166" s="505"/>
      <c r="AP166" s="505"/>
      <c r="AR166" s="370"/>
      <c r="AT166" s="370"/>
      <c r="AV166" s="506"/>
      <c r="AW166" s="370"/>
      <c r="AX166" s="370"/>
      <c r="AY166" s="370"/>
      <c r="AZ166" s="370"/>
      <c r="BA166" s="507"/>
      <c r="BB166" s="505"/>
      <c r="BC166" s="505"/>
      <c r="BD166" s="370"/>
      <c r="BE166" s="370"/>
      <c r="BF166" s="370"/>
      <c r="BG166" s="370"/>
      <c r="BH166" s="370"/>
      <c r="BI166" s="370"/>
      <c r="BJ166" s="370"/>
      <c r="BK166" s="370"/>
      <c r="BL166" s="370"/>
      <c r="BM166" s="370"/>
      <c r="BN166" s="370"/>
      <c r="BO166" s="370"/>
      <c r="BP166" s="370"/>
      <c r="BQ166" s="370"/>
      <c r="BR166" s="370"/>
      <c r="BS166" s="370"/>
      <c r="BV166" s="508"/>
      <c r="BW166" s="369"/>
      <c r="BX166" s="370"/>
      <c r="BY166" s="370"/>
      <c r="BZ166" s="370"/>
      <c r="CA166" s="370"/>
      <c r="CB166" s="370"/>
      <c r="CC166" s="505"/>
      <c r="CD166" s="505"/>
      <c r="CE166" s="505"/>
      <c r="CF166" s="505"/>
      <c r="CG166" s="505"/>
      <c r="CH166" s="505"/>
      <c r="CI166" s="505"/>
      <c r="CJ166" s="505"/>
      <c r="CK166" s="505"/>
      <c r="CL166" s="505"/>
      <c r="CM166" s="505"/>
    </row>
    <row r="167" customFormat="false" ht="12.75" hidden="false" customHeight="false" outlineLevel="0" collapsed="false">
      <c r="A167" s="500"/>
      <c r="B167" s="500"/>
      <c r="K167" s="363"/>
      <c r="L167" s="501"/>
      <c r="N167" s="502"/>
      <c r="O167" s="502"/>
      <c r="P167" s="371"/>
      <c r="Q167" s="501"/>
      <c r="R167" s="501"/>
      <c r="U167" s="501"/>
      <c r="V167" s="503"/>
      <c r="W167" s="503"/>
      <c r="X167" s="504"/>
      <c r="Y167" s="504"/>
      <c r="Z167" s="504"/>
      <c r="AA167" s="504"/>
      <c r="AB167" s="504"/>
      <c r="AC167" s="504"/>
      <c r="AF167" s="378"/>
      <c r="AG167" s="378"/>
      <c r="AH167" s="378"/>
      <c r="AI167" s="378"/>
      <c r="AJ167" s="378"/>
      <c r="AM167" s="505"/>
      <c r="AN167" s="505"/>
      <c r="AO167" s="505"/>
      <c r="AP167" s="505"/>
      <c r="AR167" s="370"/>
      <c r="AT167" s="370"/>
      <c r="AV167" s="506"/>
      <c r="AW167" s="370"/>
      <c r="AX167" s="370"/>
      <c r="AY167" s="370"/>
      <c r="AZ167" s="370"/>
      <c r="BA167" s="507"/>
      <c r="BB167" s="505"/>
      <c r="BC167" s="505"/>
      <c r="BD167" s="370"/>
      <c r="BE167" s="370"/>
      <c r="BF167" s="370"/>
      <c r="BG167" s="370"/>
      <c r="BH167" s="370"/>
      <c r="BI167" s="370"/>
      <c r="BJ167" s="370"/>
      <c r="BK167" s="370"/>
      <c r="BL167" s="370"/>
      <c r="BM167" s="370"/>
      <c r="BN167" s="370"/>
      <c r="BO167" s="370"/>
      <c r="BP167" s="370"/>
      <c r="BQ167" s="370"/>
      <c r="BR167" s="370"/>
      <c r="BS167" s="370"/>
      <c r="BV167" s="508"/>
      <c r="BW167" s="369"/>
      <c r="BX167" s="370"/>
      <c r="BY167" s="370"/>
      <c r="BZ167" s="370"/>
      <c r="CA167" s="370"/>
      <c r="CB167" s="370"/>
      <c r="CC167" s="505"/>
      <c r="CD167" s="505"/>
      <c r="CE167" s="505"/>
      <c r="CF167" s="505"/>
      <c r="CG167" s="505"/>
      <c r="CH167" s="505"/>
      <c r="CI167" s="505"/>
      <c r="CJ167" s="505"/>
      <c r="CK167" s="505"/>
      <c r="CL167" s="505"/>
      <c r="CM167" s="505"/>
    </row>
    <row r="168" customFormat="false" ht="12.75" hidden="false" customHeight="false" outlineLevel="0" collapsed="false">
      <c r="A168" s="500"/>
      <c r="B168" s="500"/>
      <c r="K168" s="363"/>
      <c r="L168" s="501"/>
      <c r="N168" s="502"/>
      <c r="O168" s="502"/>
      <c r="P168" s="371"/>
      <c r="Q168" s="501"/>
      <c r="R168" s="501"/>
      <c r="U168" s="501"/>
      <c r="V168" s="503"/>
      <c r="W168" s="503"/>
      <c r="X168" s="504"/>
      <c r="Y168" s="504"/>
      <c r="Z168" s="504"/>
      <c r="AA168" s="504"/>
      <c r="AB168" s="504"/>
      <c r="AC168" s="504"/>
      <c r="AF168" s="378"/>
      <c r="AG168" s="378"/>
      <c r="AH168" s="378"/>
      <c r="AI168" s="378"/>
      <c r="AJ168" s="378"/>
      <c r="AM168" s="505"/>
      <c r="AN168" s="505"/>
      <c r="AO168" s="505"/>
      <c r="AP168" s="505"/>
      <c r="AR168" s="370"/>
      <c r="AT168" s="370"/>
      <c r="AV168" s="506"/>
      <c r="AW168" s="370"/>
      <c r="AX168" s="370"/>
      <c r="AY168" s="370"/>
      <c r="AZ168" s="370"/>
      <c r="BA168" s="507"/>
      <c r="BB168" s="505"/>
      <c r="BC168" s="505"/>
      <c r="BD168" s="370"/>
      <c r="BE168" s="370"/>
      <c r="BF168" s="370"/>
      <c r="BG168" s="370"/>
      <c r="BH168" s="370"/>
      <c r="BI168" s="370"/>
      <c r="BJ168" s="370"/>
      <c r="BK168" s="370"/>
      <c r="BL168" s="370"/>
      <c r="BM168" s="370"/>
      <c r="BN168" s="370"/>
      <c r="BO168" s="370"/>
      <c r="BP168" s="370"/>
      <c r="BQ168" s="370"/>
      <c r="BR168" s="370"/>
      <c r="BS168" s="370"/>
      <c r="BV168" s="508"/>
      <c r="BW168" s="369"/>
      <c r="BX168" s="370"/>
      <c r="BY168" s="370"/>
      <c r="BZ168" s="370"/>
      <c r="CA168" s="370"/>
      <c r="CB168" s="370"/>
      <c r="CC168" s="505"/>
      <c r="CD168" s="505"/>
      <c r="CE168" s="505"/>
      <c r="CF168" s="505"/>
      <c r="CG168" s="505"/>
      <c r="CH168" s="505"/>
      <c r="CI168" s="505"/>
      <c r="CJ168" s="505"/>
      <c r="CK168" s="505"/>
      <c r="CL168" s="505"/>
      <c r="CM168" s="505"/>
    </row>
    <row r="169" customFormat="false" ht="12.75" hidden="false" customHeight="false" outlineLevel="0" collapsed="false">
      <c r="A169" s="500"/>
      <c r="B169" s="500"/>
      <c r="K169" s="363"/>
      <c r="L169" s="501"/>
      <c r="N169" s="502"/>
      <c r="O169" s="502"/>
      <c r="P169" s="371"/>
      <c r="Q169" s="501"/>
      <c r="R169" s="501"/>
      <c r="U169" s="501"/>
      <c r="V169" s="503"/>
      <c r="W169" s="503"/>
      <c r="X169" s="504"/>
      <c r="Y169" s="504"/>
      <c r="Z169" s="504"/>
      <c r="AA169" s="504"/>
      <c r="AB169" s="504"/>
      <c r="AC169" s="504"/>
      <c r="AF169" s="378"/>
      <c r="AG169" s="378"/>
      <c r="AH169" s="378"/>
      <c r="AI169" s="378"/>
      <c r="AJ169" s="378"/>
      <c r="AM169" s="505"/>
      <c r="AN169" s="505"/>
      <c r="AO169" s="505"/>
      <c r="AP169" s="505"/>
      <c r="AR169" s="370"/>
      <c r="AT169" s="370"/>
      <c r="AV169" s="506"/>
      <c r="AW169" s="370"/>
      <c r="AX169" s="370"/>
      <c r="AY169" s="370"/>
      <c r="AZ169" s="370"/>
      <c r="BA169" s="507"/>
      <c r="BB169" s="505"/>
      <c r="BC169" s="505"/>
      <c r="BD169" s="370"/>
      <c r="BE169" s="370"/>
      <c r="BF169" s="370"/>
      <c r="BG169" s="370"/>
      <c r="BH169" s="370"/>
      <c r="BI169" s="370"/>
      <c r="BJ169" s="370"/>
      <c r="BK169" s="370"/>
      <c r="BL169" s="370"/>
      <c r="BM169" s="370"/>
      <c r="BN169" s="370"/>
      <c r="BO169" s="370"/>
      <c r="BP169" s="370"/>
      <c r="BQ169" s="370"/>
      <c r="BR169" s="370"/>
      <c r="BS169" s="370"/>
      <c r="BV169" s="508"/>
      <c r="BW169" s="369"/>
      <c r="BX169" s="370"/>
      <c r="BY169" s="370"/>
      <c r="BZ169" s="370"/>
      <c r="CA169" s="370"/>
      <c r="CB169" s="370"/>
      <c r="CC169" s="505"/>
      <c r="CD169" s="505"/>
      <c r="CE169" s="505"/>
      <c r="CF169" s="505"/>
      <c r="CG169" s="505"/>
      <c r="CH169" s="505"/>
      <c r="CI169" s="505"/>
      <c r="CJ169" s="505"/>
      <c r="CK169" s="505"/>
      <c r="CL169" s="505"/>
      <c r="CM169" s="505"/>
    </row>
    <row r="170" customFormat="false" ht="12.75" hidden="false" customHeight="false" outlineLevel="0" collapsed="false">
      <c r="A170" s="500"/>
      <c r="B170" s="500"/>
      <c r="K170" s="363"/>
      <c r="L170" s="501"/>
      <c r="N170" s="502"/>
      <c r="O170" s="502"/>
      <c r="P170" s="371"/>
      <c r="Q170" s="501"/>
      <c r="R170" s="501"/>
      <c r="U170" s="501"/>
      <c r="V170" s="503"/>
      <c r="W170" s="503"/>
      <c r="X170" s="504"/>
      <c r="Y170" s="504"/>
      <c r="Z170" s="504"/>
      <c r="AA170" s="504"/>
      <c r="AB170" s="504"/>
      <c r="AC170" s="504"/>
      <c r="AF170" s="378"/>
      <c r="AG170" s="378"/>
      <c r="AH170" s="378"/>
      <c r="AI170" s="378"/>
      <c r="AJ170" s="378"/>
      <c r="AM170" s="505"/>
      <c r="AN170" s="505"/>
      <c r="AO170" s="505"/>
      <c r="AP170" s="505"/>
      <c r="AR170" s="370"/>
      <c r="AT170" s="370"/>
      <c r="AV170" s="506"/>
      <c r="AW170" s="370"/>
      <c r="AX170" s="370"/>
      <c r="AY170" s="370"/>
      <c r="AZ170" s="370"/>
      <c r="BA170" s="507"/>
      <c r="BB170" s="505"/>
      <c r="BC170" s="505"/>
      <c r="BD170" s="370"/>
      <c r="BE170" s="370"/>
      <c r="BF170" s="370"/>
      <c r="BG170" s="370"/>
      <c r="BH170" s="370"/>
      <c r="BI170" s="370"/>
      <c r="BJ170" s="370"/>
      <c r="BK170" s="370"/>
      <c r="BL170" s="370"/>
      <c r="BM170" s="370"/>
      <c r="BN170" s="370"/>
      <c r="BO170" s="370"/>
      <c r="BP170" s="370"/>
      <c r="BQ170" s="370"/>
      <c r="BR170" s="370"/>
      <c r="BS170" s="370"/>
      <c r="BV170" s="508"/>
      <c r="BW170" s="369"/>
      <c r="BX170" s="370"/>
      <c r="BY170" s="370"/>
      <c r="BZ170" s="370"/>
      <c r="CA170" s="370"/>
      <c r="CB170" s="370"/>
      <c r="CC170" s="505"/>
      <c r="CD170" s="505"/>
      <c r="CE170" s="505"/>
      <c r="CF170" s="505"/>
      <c r="CG170" s="505"/>
      <c r="CH170" s="505"/>
      <c r="CI170" s="505"/>
      <c r="CJ170" s="505"/>
      <c r="CK170" s="505"/>
      <c r="CL170" s="505"/>
      <c r="CM170" s="505"/>
    </row>
    <row r="171" customFormat="false" ht="12.75" hidden="false" customHeight="false" outlineLevel="0" collapsed="false">
      <c r="A171" s="500"/>
      <c r="B171" s="500"/>
      <c r="K171" s="363"/>
      <c r="L171" s="501"/>
      <c r="N171" s="502"/>
      <c r="O171" s="502"/>
      <c r="P171" s="371"/>
      <c r="Q171" s="501"/>
      <c r="R171" s="501"/>
      <c r="U171" s="501"/>
      <c r="V171" s="503"/>
      <c r="W171" s="503"/>
      <c r="X171" s="504"/>
      <c r="Y171" s="504"/>
      <c r="Z171" s="504"/>
      <c r="AA171" s="504"/>
      <c r="AB171" s="504"/>
      <c r="AC171" s="504"/>
      <c r="AF171" s="378"/>
      <c r="AG171" s="378"/>
      <c r="AH171" s="378"/>
      <c r="AI171" s="378"/>
      <c r="AJ171" s="378"/>
      <c r="AM171" s="505"/>
      <c r="AN171" s="505"/>
      <c r="AO171" s="505"/>
      <c r="AP171" s="505"/>
      <c r="AR171" s="370"/>
      <c r="AT171" s="370"/>
      <c r="AV171" s="506"/>
      <c r="AW171" s="370"/>
      <c r="AX171" s="370"/>
      <c r="AY171" s="370"/>
      <c r="AZ171" s="370"/>
      <c r="BA171" s="507"/>
      <c r="BB171" s="505"/>
      <c r="BC171" s="505"/>
      <c r="BD171" s="370"/>
      <c r="BE171" s="370"/>
      <c r="BF171" s="370"/>
      <c r="BG171" s="370"/>
      <c r="BH171" s="370"/>
      <c r="BI171" s="370"/>
      <c r="BJ171" s="370"/>
      <c r="BK171" s="370"/>
      <c r="BL171" s="370"/>
      <c r="BM171" s="370"/>
      <c r="BN171" s="370"/>
      <c r="BO171" s="370"/>
      <c r="BP171" s="370"/>
      <c r="BQ171" s="370"/>
      <c r="BR171" s="370"/>
      <c r="BS171" s="370"/>
      <c r="BV171" s="508"/>
      <c r="BW171" s="369"/>
      <c r="BX171" s="370"/>
      <c r="BY171" s="370"/>
      <c r="BZ171" s="370"/>
      <c r="CA171" s="370"/>
      <c r="CB171" s="370"/>
      <c r="CC171" s="505"/>
      <c r="CD171" s="505"/>
      <c r="CE171" s="505"/>
      <c r="CF171" s="505"/>
      <c r="CG171" s="505"/>
      <c r="CH171" s="505"/>
      <c r="CI171" s="505"/>
      <c r="CJ171" s="505"/>
      <c r="CK171" s="505"/>
      <c r="CL171" s="505"/>
      <c r="CM171" s="505"/>
    </row>
    <row r="172" customFormat="false" ht="12.75" hidden="false" customHeight="false" outlineLevel="0" collapsed="false">
      <c r="A172" s="500"/>
      <c r="B172" s="500"/>
      <c r="K172" s="363"/>
      <c r="L172" s="501"/>
      <c r="N172" s="502"/>
      <c r="O172" s="502"/>
      <c r="P172" s="371"/>
      <c r="Q172" s="501"/>
      <c r="R172" s="501"/>
      <c r="U172" s="501"/>
      <c r="V172" s="503"/>
      <c r="W172" s="503"/>
      <c r="X172" s="504"/>
      <c r="Y172" s="504"/>
      <c r="Z172" s="504"/>
      <c r="AA172" s="504"/>
      <c r="AB172" s="504"/>
      <c r="AC172" s="504"/>
      <c r="AF172" s="378"/>
      <c r="AG172" s="378"/>
      <c r="AH172" s="378"/>
      <c r="AI172" s="378"/>
      <c r="AJ172" s="378"/>
      <c r="AM172" s="505"/>
      <c r="AN172" s="505"/>
      <c r="AO172" s="505"/>
      <c r="AP172" s="505"/>
      <c r="AR172" s="370"/>
      <c r="AT172" s="370"/>
      <c r="AV172" s="506"/>
      <c r="AW172" s="370"/>
      <c r="AX172" s="370"/>
      <c r="AY172" s="370"/>
      <c r="AZ172" s="370"/>
      <c r="BA172" s="507"/>
      <c r="BB172" s="505"/>
      <c r="BC172" s="505"/>
      <c r="BD172" s="370"/>
      <c r="BE172" s="370"/>
      <c r="BF172" s="370"/>
      <c r="BG172" s="370"/>
      <c r="BH172" s="370"/>
      <c r="BI172" s="370"/>
      <c r="BJ172" s="370"/>
      <c r="BK172" s="370"/>
      <c r="BL172" s="370"/>
      <c r="BM172" s="370"/>
      <c r="BN172" s="370"/>
      <c r="BO172" s="370"/>
      <c r="BP172" s="370"/>
      <c r="BQ172" s="370"/>
      <c r="BR172" s="370"/>
      <c r="BS172" s="370"/>
      <c r="BV172" s="508"/>
      <c r="BW172" s="369"/>
      <c r="BX172" s="370"/>
      <c r="BY172" s="370"/>
      <c r="BZ172" s="370"/>
      <c r="CA172" s="370"/>
      <c r="CB172" s="370"/>
      <c r="CC172" s="505"/>
      <c r="CD172" s="505"/>
      <c r="CE172" s="505"/>
      <c r="CF172" s="505"/>
      <c r="CG172" s="505"/>
      <c r="CH172" s="505"/>
      <c r="CI172" s="505"/>
      <c r="CJ172" s="505"/>
      <c r="CK172" s="505"/>
      <c r="CL172" s="505"/>
      <c r="CM172" s="505"/>
    </row>
    <row r="173" customFormat="false" ht="12.75" hidden="false" customHeight="false" outlineLevel="0" collapsed="false">
      <c r="A173" s="500"/>
      <c r="B173" s="500"/>
      <c r="K173" s="363"/>
      <c r="L173" s="501"/>
      <c r="N173" s="502"/>
      <c r="O173" s="502"/>
      <c r="P173" s="371"/>
      <c r="Q173" s="501"/>
      <c r="R173" s="501"/>
      <c r="U173" s="501"/>
      <c r="V173" s="503"/>
      <c r="W173" s="503"/>
      <c r="X173" s="504"/>
      <c r="Y173" s="504"/>
      <c r="Z173" s="504"/>
      <c r="AA173" s="504"/>
      <c r="AB173" s="504"/>
      <c r="AC173" s="504"/>
      <c r="AF173" s="378"/>
      <c r="AG173" s="378"/>
      <c r="AH173" s="378"/>
      <c r="AI173" s="378"/>
      <c r="AJ173" s="378"/>
      <c r="AM173" s="505"/>
      <c r="AN173" s="505"/>
      <c r="AO173" s="505"/>
      <c r="AP173" s="505"/>
      <c r="AR173" s="370"/>
      <c r="AT173" s="370"/>
      <c r="AV173" s="506"/>
      <c r="AW173" s="370"/>
      <c r="AX173" s="370"/>
      <c r="AY173" s="370"/>
      <c r="AZ173" s="370"/>
      <c r="BA173" s="507"/>
      <c r="BB173" s="505"/>
      <c r="BC173" s="505"/>
      <c r="BD173" s="370"/>
      <c r="BE173" s="370"/>
      <c r="BF173" s="370"/>
      <c r="BG173" s="370"/>
      <c r="BH173" s="370"/>
      <c r="BI173" s="370"/>
      <c r="BJ173" s="370"/>
      <c r="BK173" s="370"/>
      <c r="BL173" s="370"/>
      <c r="BM173" s="370"/>
      <c r="BN173" s="370"/>
      <c r="BO173" s="370"/>
      <c r="BP173" s="370"/>
      <c r="BQ173" s="370"/>
      <c r="BR173" s="370"/>
      <c r="BS173" s="370"/>
      <c r="BV173" s="508"/>
      <c r="BW173" s="369"/>
      <c r="BX173" s="370"/>
      <c r="BY173" s="370"/>
      <c r="BZ173" s="370"/>
      <c r="CA173" s="370"/>
      <c r="CB173" s="370"/>
      <c r="CC173" s="505"/>
      <c r="CD173" s="505"/>
      <c r="CE173" s="505"/>
      <c r="CF173" s="505"/>
      <c r="CG173" s="505"/>
      <c r="CH173" s="505"/>
      <c r="CI173" s="505"/>
      <c r="CJ173" s="505"/>
      <c r="CK173" s="505"/>
      <c r="CL173" s="505"/>
      <c r="CM173" s="505"/>
    </row>
    <row r="174" customFormat="false" ht="12.75" hidden="false" customHeight="false" outlineLevel="0" collapsed="false">
      <c r="A174" s="500"/>
      <c r="B174" s="500"/>
      <c r="K174" s="363"/>
      <c r="L174" s="501"/>
      <c r="N174" s="502"/>
      <c r="O174" s="502"/>
      <c r="P174" s="371"/>
      <c r="Q174" s="501"/>
      <c r="R174" s="501"/>
      <c r="U174" s="501"/>
      <c r="V174" s="503"/>
      <c r="W174" s="503"/>
      <c r="X174" s="504"/>
      <c r="Y174" s="504"/>
      <c r="Z174" s="504"/>
      <c r="AA174" s="504"/>
      <c r="AB174" s="504"/>
      <c r="AC174" s="504"/>
      <c r="AF174" s="378"/>
      <c r="AG174" s="378"/>
      <c r="AH174" s="378"/>
      <c r="AI174" s="378"/>
      <c r="AJ174" s="378"/>
      <c r="AM174" s="505"/>
      <c r="AN174" s="505"/>
      <c r="AO174" s="505"/>
      <c r="AP174" s="505"/>
      <c r="AR174" s="370"/>
      <c r="AT174" s="370"/>
      <c r="AV174" s="506"/>
      <c r="AW174" s="370"/>
      <c r="AX174" s="370"/>
      <c r="AY174" s="370"/>
      <c r="AZ174" s="370"/>
      <c r="BA174" s="507"/>
      <c r="BB174" s="505"/>
      <c r="BC174" s="505"/>
      <c r="BD174" s="370"/>
      <c r="BE174" s="370"/>
      <c r="BF174" s="370"/>
      <c r="BG174" s="370"/>
      <c r="BH174" s="370"/>
      <c r="BI174" s="370"/>
      <c r="BJ174" s="370"/>
      <c r="BK174" s="370"/>
      <c r="BL174" s="370"/>
      <c r="BM174" s="370"/>
      <c r="BN174" s="370"/>
      <c r="BO174" s="370"/>
      <c r="BP174" s="370"/>
      <c r="BQ174" s="370"/>
      <c r="BR174" s="370"/>
      <c r="BS174" s="370"/>
      <c r="BV174" s="508"/>
      <c r="BW174" s="369"/>
      <c r="BX174" s="370"/>
      <c r="BY174" s="370"/>
      <c r="BZ174" s="370"/>
      <c r="CA174" s="370"/>
      <c r="CB174" s="370"/>
      <c r="CC174" s="505"/>
      <c r="CD174" s="505"/>
      <c r="CE174" s="505"/>
      <c r="CF174" s="505"/>
      <c r="CG174" s="505"/>
      <c r="CH174" s="505"/>
      <c r="CI174" s="505"/>
      <c r="CJ174" s="505"/>
      <c r="CK174" s="505"/>
      <c r="CL174" s="505"/>
      <c r="CM174" s="505"/>
    </row>
    <row r="175" customFormat="false" ht="12.75" hidden="false" customHeight="false" outlineLevel="0" collapsed="false">
      <c r="A175" s="500"/>
      <c r="B175" s="500"/>
      <c r="K175" s="363"/>
      <c r="L175" s="501"/>
      <c r="N175" s="502"/>
      <c r="O175" s="502"/>
      <c r="P175" s="371"/>
      <c r="Q175" s="501"/>
      <c r="R175" s="501"/>
      <c r="U175" s="501"/>
      <c r="V175" s="503"/>
      <c r="W175" s="503"/>
      <c r="X175" s="504"/>
      <c r="Y175" s="504"/>
      <c r="Z175" s="504"/>
      <c r="AA175" s="504"/>
      <c r="AB175" s="504"/>
      <c r="AC175" s="504"/>
      <c r="AF175" s="378"/>
      <c r="AG175" s="378"/>
      <c r="AH175" s="378"/>
      <c r="AI175" s="378"/>
      <c r="AJ175" s="378"/>
      <c r="AM175" s="505"/>
      <c r="AN175" s="505"/>
      <c r="AO175" s="505"/>
      <c r="AP175" s="505"/>
      <c r="AR175" s="370"/>
      <c r="AT175" s="370"/>
      <c r="AV175" s="506"/>
      <c r="AW175" s="370"/>
      <c r="AX175" s="370"/>
      <c r="AY175" s="370"/>
      <c r="AZ175" s="370"/>
      <c r="BA175" s="507"/>
      <c r="BB175" s="505"/>
      <c r="BC175" s="505"/>
      <c r="BD175" s="370"/>
      <c r="BE175" s="370"/>
      <c r="BF175" s="370"/>
      <c r="BG175" s="370"/>
      <c r="BH175" s="370"/>
      <c r="BI175" s="370"/>
      <c r="BJ175" s="370"/>
      <c r="BK175" s="370"/>
      <c r="BL175" s="370"/>
      <c r="BM175" s="370"/>
      <c r="BN175" s="370"/>
      <c r="BO175" s="370"/>
      <c r="BP175" s="370"/>
      <c r="BQ175" s="370"/>
      <c r="BR175" s="370"/>
      <c r="BS175" s="370"/>
      <c r="BV175" s="508"/>
      <c r="BW175" s="369"/>
      <c r="BX175" s="370"/>
      <c r="BY175" s="370"/>
      <c r="BZ175" s="370"/>
      <c r="CA175" s="370"/>
      <c r="CB175" s="370"/>
      <c r="CC175" s="505"/>
      <c r="CD175" s="505"/>
      <c r="CE175" s="505"/>
      <c r="CF175" s="505"/>
      <c r="CG175" s="505"/>
      <c r="CH175" s="505"/>
      <c r="CI175" s="505"/>
      <c r="CJ175" s="505"/>
      <c r="CK175" s="505"/>
      <c r="CL175" s="505"/>
      <c r="CM175" s="505"/>
    </row>
    <row r="176" customFormat="false" ht="12.75" hidden="false" customHeight="false" outlineLevel="0" collapsed="false">
      <c r="A176" s="500"/>
      <c r="B176" s="500"/>
      <c r="K176" s="363"/>
      <c r="L176" s="501"/>
      <c r="N176" s="502"/>
      <c r="O176" s="502"/>
      <c r="P176" s="371"/>
      <c r="Q176" s="501"/>
      <c r="R176" s="501"/>
      <c r="U176" s="501"/>
      <c r="V176" s="503"/>
      <c r="W176" s="503"/>
      <c r="X176" s="504"/>
      <c r="Y176" s="504"/>
      <c r="Z176" s="504"/>
      <c r="AA176" s="504"/>
      <c r="AB176" s="504"/>
      <c r="AC176" s="504"/>
      <c r="AF176" s="378"/>
      <c r="AG176" s="378"/>
      <c r="AH176" s="378"/>
      <c r="AI176" s="378"/>
      <c r="AJ176" s="378"/>
      <c r="AM176" s="505"/>
      <c r="AN176" s="505"/>
      <c r="AO176" s="505"/>
      <c r="AP176" s="505"/>
      <c r="AR176" s="370"/>
      <c r="AT176" s="370"/>
      <c r="AV176" s="506"/>
      <c r="AW176" s="370"/>
      <c r="AX176" s="370"/>
      <c r="AY176" s="370"/>
      <c r="AZ176" s="370"/>
      <c r="BA176" s="507"/>
      <c r="BB176" s="505"/>
      <c r="BC176" s="505"/>
      <c r="BD176" s="370"/>
      <c r="BE176" s="370"/>
      <c r="BF176" s="370"/>
      <c r="BG176" s="370"/>
      <c r="BH176" s="370"/>
      <c r="BI176" s="370"/>
      <c r="BJ176" s="370"/>
      <c r="BK176" s="370"/>
      <c r="BL176" s="370"/>
      <c r="BM176" s="370"/>
      <c r="BN176" s="370"/>
      <c r="BO176" s="370"/>
      <c r="BP176" s="370"/>
      <c r="BQ176" s="370"/>
      <c r="BR176" s="370"/>
      <c r="BS176" s="370"/>
      <c r="BV176" s="508"/>
      <c r="BW176" s="369"/>
      <c r="BX176" s="370"/>
      <c r="BY176" s="370"/>
      <c r="BZ176" s="370"/>
      <c r="CA176" s="370"/>
      <c r="CB176" s="370"/>
      <c r="CC176" s="505"/>
      <c r="CD176" s="505"/>
      <c r="CE176" s="505"/>
      <c r="CF176" s="505"/>
      <c r="CG176" s="505"/>
      <c r="CH176" s="505"/>
      <c r="CI176" s="505"/>
      <c r="CJ176" s="505"/>
      <c r="CK176" s="505"/>
      <c r="CL176" s="505"/>
      <c r="CM176" s="505"/>
    </row>
    <row r="177" customFormat="false" ht="12.75" hidden="false" customHeight="false" outlineLevel="0" collapsed="false">
      <c r="A177" s="500"/>
      <c r="B177" s="500"/>
      <c r="K177" s="363"/>
      <c r="L177" s="501"/>
      <c r="N177" s="502"/>
      <c r="O177" s="502"/>
      <c r="P177" s="371"/>
      <c r="Q177" s="501"/>
      <c r="R177" s="501"/>
      <c r="U177" s="501"/>
      <c r="V177" s="503"/>
      <c r="W177" s="503"/>
      <c r="X177" s="504"/>
      <c r="Y177" s="504"/>
      <c r="Z177" s="504"/>
      <c r="AA177" s="504"/>
      <c r="AB177" s="504"/>
      <c r="AC177" s="504"/>
      <c r="AF177" s="378"/>
      <c r="AG177" s="378"/>
      <c r="AH177" s="378"/>
      <c r="AI177" s="378"/>
      <c r="AJ177" s="378"/>
      <c r="AM177" s="505"/>
      <c r="AN177" s="505"/>
      <c r="AO177" s="505"/>
      <c r="AP177" s="505"/>
      <c r="AR177" s="370"/>
      <c r="AT177" s="370"/>
      <c r="AV177" s="506"/>
      <c r="AW177" s="370"/>
      <c r="AX177" s="370"/>
      <c r="AY177" s="370"/>
      <c r="AZ177" s="370"/>
      <c r="BA177" s="507"/>
      <c r="BB177" s="505"/>
      <c r="BC177" s="505"/>
      <c r="BD177" s="370"/>
      <c r="BE177" s="370"/>
      <c r="BF177" s="370"/>
      <c r="BG177" s="370"/>
      <c r="BH177" s="370"/>
      <c r="BI177" s="370"/>
      <c r="BJ177" s="370"/>
      <c r="BK177" s="370"/>
      <c r="BL177" s="370"/>
      <c r="BM177" s="370"/>
      <c r="BN177" s="370"/>
      <c r="BO177" s="370"/>
      <c r="BP177" s="370"/>
      <c r="BQ177" s="370"/>
      <c r="BR177" s="370"/>
      <c r="BS177" s="370"/>
      <c r="BV177" s="508"/>
      <c r="BW177" s="369"/>
      <c r="BX177" s="370"/>
      <c r="BY177" s="370"/>
      <c r="BZ177" s="370"/>
      <c r="CA177" s="370"/>
      <c r="CB177" s="370"/>
      <c r="CC177" s="505"/>
      <c r="CD177" s="505"/>
      <c r="CE177" s="505"/>
      <c r="CF177" s="505"/>
      <c r="CG177" s="505"/>
      <c r="CH177" s="505"/>
      <c r="CI177" s="505"/>
      <c r="CJ177" s="505"/>
      <c r="CK177" s="505"/>
      <c r="CL177" s="505"/>
      <c r="CM177" s="505"/>
    </row>
    <row r="178" customFormat="false" ht="12.75" hidden="false" customHeight="false" outlineLevel="0" collapsed="false">
      <c r="A178" s="500"/>
      <c r="B178" s="500"/>
      <c r="K178" s="363"/>
      <c r="L178" s="501"/>
      <c r="N178" s="502"/>
      <c r="O178" s="502"/>
      <c r="P178" s="371"/>
      <c r="Q178" s="501"/>
      <c r="R178" s="501"/>
      <c r="U178" s="501"/>
      <c r="V178" s="503"/>
      <c r="W178" s="503"/>
      <c r="X178" s="504"/>
      <c r="Y178" s="504"/>
      <c r="Z178" s="504"/>
      <c r="AA178" s="504"/>
      <c r="AB178" s="504"/>
      <c r="AC178" s="504"/>
      <c r="AF178" s="378"/>
      <c r="AG178" s="378"/>
      <c r="AH178" s="378"/>
      <c r="AI178" s="378"/>
      <c r="AJ178" s="378"/>
      <c r="AM178" s="505"/>
      <c r="AN178" s="505"/>
      <c r="AO178" s="505"/>
      <c r="AP178" s="505"/>
      <c r="AR178" s="370"/>
      <c r="AT178" s="370"/>
      <c r="AV178" s="506"/>
      <c r="AW178" s="370"/>
      <c r="AX178" s="370"/>
      <c r="AY178" s="370"/>
      <c r="AZ178" s="370"/>
      <c r="BA178" s="507"/>
      <c r="BB178" s="505"/>
      <c r="BC178" s="505"/>
      <c r="BD178" s="370"/>
      <c r="BE178" s="370"/>
      <c r="BF178" s="370"/>
      <c r="BG178" s="370"/>
      <c r="BH178" s="370"/>
      <c r="BI178" s="370"/>
      <c r="BJ178" s="370"/>
      <c r="BK178" s="370"/>
      <c r="BL178" s="370"/>
      <c r="BM178" s="370"/>
      <c r="BN178" s="370"/>
      <c r="BO178" s="370"/>
      <c r="BP178" s="370"/>
      <c r="BQ178" s="370"/>
      <c r="BR178" s="370"/>
      <c r="BS178" s="370"/>
      <c r="BV178" s="508"/>
      <c r="BW178" s="369"/>
      <c r="BX178" s="370"/>
      <c r="BY178" s="370"/>
      <c r="BZ178" s="370"/>
      <c r="CA178" s="370"/>
      <c r="CB178" s="370"/>
      <c r="CC178" s="505"/>
      <c r="CD178" s="505"/>
      <c r="CE178" s="505"/>
      <c r="CF178" s="505"/>
      <c r="CG178" s="505"/>
      <c r="CH178" s="505"/>
      <c r="CI178" s="505"/>
      <c r="CJ178" s="505"/>
      <c r="CK178" s="505"/>
      <c r="CL178" s="505"/>
      <c r="CM178" s="505"/>
    </row>
    <row r="179" customFormat="false" ht="12.75" hidden="false" customHeight="false" outlineLevel="0" collapsed="false">
      <c r="A179" s="500"/>
      <c r="B179" s="500"/>
      <c r="K179" s="363"/>
      <c r="L179" s="501"/>
      <c r="N179" s="502"/>
      <c r="O179" s="502"/>
      <c r="P179" s="371"/>
      <c r="Q179" s="501"/>
      <c r="R179" s="501"/>
      <c r="U179" s="501"/>
      <c r="V179" s="503"/>
      <c r="W179" s="503"/>
      <c r="X179" s="504"/>
      <c r="Y179" s="504"/>
      <c r="Z179" s="504"/>
      <c r="AA179" s="504"/>
      <c r="AB179" s="504"/>
      <c r="AC179" s="504"/>
      <c r="AF179" s="378"/>
      <c r="AG179" s="378"/>
      <c r="AH179" s="378"/>
      <c r="AI179" s="378"/>
      <c r="AJ179" s="378"/>
      <c r="AM179" s="505"/>
      <c r="AN179" s="505"/>
      <c r="AO179" s="505"/>
      <c r="AP179" s="505"/>
      <c r="AR179" s="370"/>
      <c r="AT179" s="370"/>
      <c r="AV179" s="506"/>
      <c r="AW179" s="370"/>
      <c r="AX179" s="370"/>
      <c r="AY179" s="370"/>
      <c r="AZ179" s="370"/>
      <c r="BA179" s="507"/>
      <c r="BB179" s="505"/>
      <c r="BC179" s="505"/>
      <c r="BD179" s="370"/>
      <c r="BE179" s="370"/>
      <c r="BF179" s="370"/>
      <c r="BG179" s="370"/>
      <c r="BH179" s="370"/>
      <c r="BI179" s="370"/>
      <c r="BJ179" s="370"/>
      <c r="BK179" s="370"/>
      <c r="BL179" s="370"/>
      <c r="BM179" s="370"/>
      <c r="BN179" s="370"/>
      <c r="BO179" s="370"/>
      <c r="BP179" s="370"/>
      <c r="BQ179" s="370"/>
      <c r="BR179" s="370"/>
      <c r="BS179" s="370"/>
      <c r="BV179" s="508"/>
      <c r="BW179" s="369"/>
      <c r="BX179" s="370"/>
      <c r="BY179" s="370"/>
      <c r="BZ179" s="370"/>
      <c r="CA179" s="370"/>
      <c r="CB179" s="370"/>
      <c r="CC179" s="505"/>
      <c r="CD179" s="505"/>
      <c r="CE179" s="505"/>
      <c r="CF179" s="505"/>
      <c r="CG179" s="505"/>
      <c r="CH179" s="505"/>
      <c r="CI179" s="505"/>
      <c r="CJ179" s="505"/>
      <c r="CK179" s="505"/>
      <c r="CL179" s="505"/>
      <c r="CM179" s="505"/>
    </row>
    <row r="180" customFormat="false" ht="12.75" hidden="false" customHeight="false" outlineLevel="0" collapsed="false">
      <c r="A180" s="500"/>
      <c r="B180" s="500"/>
      <c r="K180" s="363"/>
      <c r="L180" s="501"/>
      <c r="N180" s="502"/>
      <c r="O180" s="502"/>
      <c r="P180" s="371"/>
      <c r="Q180" s="501"/>
      <c r="R180" s="501"/>
      <c r="U180" s="501"/>
      <c r="V180" s="503"/>
      <c r="W180" s="503"/>
      <c r="X180" s="504"/>
      <c r="Y180" s="504"/>
      <c r="Z180" s="504"/>
      <c r="AA180" s="504"/>
      <c r="AB180" s="504"/>
      <c r="AC180" s="504"/>
      <c r="AF180" s="378"/>
      <c r="AG180" s="378"/>
      <c r="AH180" s="378"/>
      <c r="AI180" s="378"/>
      <c r="AJ180" s="378"/>
      <c r="AM180" s="505"/>
      <c r="AN180" s="505"/>
      <c r="AO180" s="505"/>
      <c r="AP180" s="505"/>
      <c r="AR180" s="370"/>
      <c r="AT180" s="370"/>
      <c r="AV180" s="506"/>
      <c r="AW180" s="370"/>
      <c r="AX180" s="370"/>
      <c r="AY180" s="370"/>
      <c r="AZ180" s="370"/>
      <c r="BA180" s="507"/>
      <c r="BB180" s="505"/>
      <c r="BC180" s="505"/>
      <c r="BD180" s="370"/>
      <c r="BE180" s="370"/>
      <c r="BF180" s="370"/>
      <c r="BG180" s="370"/>
      <c r="BH180" s="370"/>
      <c r="BI180" s="370"/>
      <c r="BJ180" s="370"/>
      <c r="BK180" s="370"/>
      <c r="BL180" s="370"/>
      <c r="BM180" s="370"/>
      <c r="BN180" s="370"/>
      <c r="BO180" s="370"/>
      <c r="BP180" s="370"/>
      <c r="BQ180" s="370"/>
      <c r="BR180" s="370"/>
      <c r="BS180" s="370"/>
      <c r="BV180" s="508"/>
      <c r="BW180" s="369"/>
      <c r="BX180" s="370"/>
      <c r="BY180" s="370"/>
      <c r="BZ180" s="370"/>
      <c r="CA180" s="370"/>
      <c r="CB180" s="370"/>
      <c r="CC180" s="505"/>
      <c r="CD180" s="505"/>
      <c r="CE180" s="505"/>
      <c r="CF180" s="505"/>
      <c r="CG180" s="505"/>
      <c r="CH180" s="505"/>
      <c r="CI180" s="505"/>
      <c r="CJ180" s="505"/>
      <c r="CK180" s="505"/>
      <c r="CL180" s="505"/>
      <c r="CM180" s="505"/>
    </row>
    <row r="181" customFormat="false" ht="12.75" hidden="false" customHeight="false" outlineLevel="0" collapsed="false">
      <c r="A181" s="500"/>
      <c r="B181" s="500"/>
      <c r="K181" s="363"/>
      <c r="L181" s="501"/>
      <c r="N181" s="502"/>
      <c r="O181" s="502"/>
      <c r="P181" s="371"/>
      <c r="Q181" s="501"/>
      <c r="R181" s="501"/>
      <c r="U181" s="501"/>
      <c r="V181" s="503"/>
      <c r="W181" s="503"/>
      <c r="X181" s="504"/>
      <c r="Y181" s="504"/>
      <c r="Z181" s="504"/>
      <c r="AA181" s="504"/>
      <c r="AB181" s="504"/>
      <c r="AC181" s="504"/>
      <c r="AF181" s="378"/>
      <c r="AG181" s="378"/>
      <c r="AH181" s="378"/>
      <c r="AI181" s="378"/>
      <c r="AJ181" s="378"/>
      <c r="AM181" s="505"/>
      <c r="AN181" s="505"/>
      <c r="AO181" s="505"/>
      <c r="AP181" s="505"/>
      <c r="AR181" s="370"/>
      <c r="AT181" s="370"/>
      <c r="AV181" s="506"/>
      <c r="AW181" s="370"/>
      <c r="AX181" s="370"/>
      <c r="AY181" s="370"/>
      <c r="AZ181" s="370"/>
      <c r="BA181" s="507"/>
      <c r="BB181" s="505"/>
      <c r="BC181" s="505"/>
      <c r="BD181" s="370"/>
      <c r="BE181" s="370"/>
      <c r="BF181" s="370"/>
      <c r="BG181" s="370"/>
      <c r="BH181" s="370"/>
      <c r="BI181" s="370"/>
      <c r="BJ181" s="370"/>
      <c r="BK181" s="370"/>
      <c r="BL181" s="370"/>
      <c r="BM181" s="370"/>
      <c r="BN181" s="370"/>
      <c r="BO181" s="370"/>
      <c r="BP181" s="370"/>
      <c r="BQ181" s="370"/>
      <c r="BR181" s="370"/>
      <c r="BS181" s="370"/>
      <c r="BV181" s="508"/>
      <c r="BW181" s="369"/>
      <c r="BX181" s="370"/>
      <c r="BY181" s="370"/>
      <c r="BZ181" s="370"/>
      <c r="CA181" s="370"/>
      <c r="CB181" s="370"/>
      <c r="CC181" s="505"/>
      <c r="CD181" s="505"/>
      <c r="CE181" s="505"/>
      <c r="CF181" s="505"/>
      <c r="CG181" s="505"/>
      <c r="CH181" s="505"/>
      <c r="CI181" s="505"/>
      <c r="CJ181" s="505"/>
      <c r="CK181" s="505"/>
      <c r="CL181" s="505"/>
      <c r="CM181" s="505"/>
    </row>
    <row r="182" customFormat="false" ht="12.75" hidden="false" customHeight="false" outlineLevel="0" collapsed="false">
      <c r="A182" s="500"/>
      <c r="B182" s="500"/>
      <c r="K182" s="363"/>
      <c r="L182" s="501"/>
      <c r="N182" s="502"/>
      <c r="O182" s="502"/>
      <c r="P182" s="371"/>
      <c r="Q182" s="501"/>
      <c r="R182" s="501"/>
      <c r="U182" s="501"/>
      <c r="V182" s="503"/>
      <c r="W182" s="503"/>
      <c r="X182" s="504"/>
      <c r="Y182" s="504"/>
      <c r="Z182" s="504"/>
      <c r="AA182" s="504"/>
      <c r="AB182" s="504"/>
      <c r="AC182" s="504"/>
      <c r="AF182" s="378"/>
      <c r="AG182" s="378"/>
      <c r="AH182" s="378"/>
      <c r="AI182" s="378"/>
      <c r="AJ182" s="378"/>
      <c r="AM182" s="505"/>
      <c r="AN182" s="505"/>
      <c r="AO182" s="505"/>
      <c r="AP182" s="505"/>
      <c r="AR182" s="370"/>
      <c r="AT182" s="370"/>
      <c r="AV182" s="506"/>
      <c r="AW182" s="370"/>
      <c r="AX182" s="370"/>
      <c r="AY182" s="370"/>
      <c r="AZ182" s="370"/>
      <c r="BA182" s="507"/>
      <c r="BB182" s="505"/>
      <c r="BC182" s="505"/>
      <c r="BD182" s="370"/>
      <c r="BE182" s="370"/>
      <c r="BF182" s="370"/>
      <c r="BG182" s="370"/>
      <c r="BH182" s="370"/>
      <c r="BI182" s="370"/>
      <c r="BJ182" s="370"/>
      <c r="BK182" s="370"/>
      <c r="BL182" s="370"/>
      <c r="BM182" s="370"/>
      <c r="BN182" s="370"/>
      <c r="BO182" s="370"/>
      <c r="BP182" s="370"/>
      <c r="BQ182" s="370"/>
      <c r="BR182" s="370"/>
      <c r="BS182" s="370"/>
      <c r="BV182" s="508"/>
      <c r="BW182" s="369"/>
      <c r="BX182" s="370"/>
      <c r="BY182" s="370"/>
      <c r="BZ182" s="370"/>
      <c r="CA182" s="370"/>
      <c r="CB182" s="370"/>
      <c r="CC182" s="505"/>
      <c r="CD182" s="505"/>
      <c r="CE182" s="505"/>
      <c r="CF182" s="505"/>
      <c r="CG182" s="505"/>
      <c r="CH182" s="505"/>
      <c r="CI182" s="505"/>
      <c r="CJ182" s="505"/>
      <c r="CK182" s="505"/>
      <c r="CL182" s="505"/>
      <c r="CM182" s="505"/>
    </row>
    <row r="183" customFormat="false" ht="12.75" hidden="false" customHeight="false" outlineLevel="0" collapsed="false">
      <c r="A183" s="500"/>
      <c r="B183" s="500"/>
      <c r="K183" s="363"/>
      <c r="L183" s="501"/>
      <c r="N183" s="502"/>
      <c r="O183" s="502"/>
      <c r="P183" s="371"/>
      <c r="Q183" s="501"/>
      <c r="R183" s="501"/>
      <c r="U183" s="501"/>
      <c r="V183" s="503"/>
      <c r="W183" s="503"/>
      <c r="X183" s="504"/>
      <c r="Y183" s="504"/>
      <c r="Z183" s="504"/>
      <c r="AA183" s="504"/>
      <c r="AB183" s="504"/>
      <c r="AC183" s="504"/>
      <c r="AF183" s="378"/>
      <c r="AG183" s="378"/>
      <c r="AH183" s="378"/>
      <c r="AI183" s="378"/>
      <c r="AJ183" s="378"/>
      <c r="AM183" s="505"/>
      <c r="AN183" s="505"/>
      <c r="AO183" s="505"/>
      <c r="AP183" s="505"/>
      <c r="AR183" s="370"/>
      <c r="AT183" s="370"/>
      <c r="AV183" s="506"/>
      <c r="AW183" s="370"/>
      <c r="AX183" s="370"/>
      <c r="AY183" s="370"/>
      <c r="AZ183" s="370"/>
      <c r="BA183" s="507"/>
      <c r="BB183" s="505"/>
      <c r="BC183" s="505"/>
      <c r="BD183" s="370"/>
      <c r="BE183" s="370"/>
      <c r="BF183" s="370"/>
      <c r="BG183" s="370"/>
      <c r="BH183" s="370"/>
      <c r="BI183" s="370"/>
      <c r="BJ183" s="370"/>
      <c r="BK183" s="370"/>
      <c r="BL183" s="370"/>
      <c r="BM183" s="370"/>
      <c r="BN183" s="370"/>
      <c r="BO183" s="370"/>
      <c r="BP183" s="370"/>
      <c r="BQ183" s="370"/>
      <c r="BR183" s="370"/>
      <c r="BS183" s="370"/>
      <c r="BV183" s="508"/>
      <c r="BW183" s="369"/>
      <c r="BX183" s="370"/>
      <c r="BY183" s="370"/>
      <c r="BZ183" s="370"/>
      <c r="CA183" s="370"/>
      <c r="CB183" s="370"/>
      <c r="CC183" s="505"/>
      <c r="CD183" s="505"/>
      <c r="CE183" s="505"/>
      <c r="CF183" s="505"/>
      <c r="CG183" s="505"/>
      <c r="CH183" s="505"/>
      <c r="CI183" s="505"/>
      <c r="CJ183" s="505"/>
      <c r="CK183" s="505"/>
      <c r="CL183" s="505"/>
      <c r="CM183" s="505"/>
    </row>
    <row r="184" customFormat="false" ht="12.75" hidden="false" customHeight="false" outlineLevel="0" collapsed="false">
      <c r="A184" s="500"/>
      <c r="B184" s="500"/>
      <c r="K184" s="363"/>
      <c r="L184" s="501"/>
      <c r="N184" s="502"/>
      <c r="O184" s="502"/>
      <c r="P184" s="371"/>
      <c r="Q184" s="501"/>
      <c r="R184" s="501"/>
      <c r="U184" s="501"/>
      <c r="V184" s="503"/>
      <c r="W184" s="503"/>
      <c r="X184" s="504"/>
      <c r="Y184" s="504"/>
      <c r="Z184" s="504"/>
      <c r="AA184" s="504"/>
      <c r="AB184" s="504"/>
      <c r="AC184" s="504"/>
      <c r="AF184" s="378"/>
      <c r="AG184" s="378"/>
      <c r="AH184" s="378"/>
      <c r="AI184" s="378"/>
      <c r="AJ184" s="378"/>
      <c r="AM184" s="505"/>
      <c r="AN184" s="505"/>
      <c r="AO184" s="505"/>
      <c r="AP184" s="505"/>
      <c r="AR184" s="370"/>
      <c r="AT184" s="370"/>
      <c r="AV184" s="506"/>
      <c r="AW184" s="370"/>
      <c r="AX184" s="370"/>
      <c r="AY184" s="370"/>
      <c r="AZ184" s="370"/>
      <c r="BA184" s="507"/>
      <c r="BB184" s="505"/>
      <c r="BC184" s="505"/>
      <c r="BD184" s="370"/>
      <c r="BE184" s="370"/>
      <c r="BF184" s="370"/>
      <c r="BG184" s="370"/>
      <c r="BH184" s="370"/>
      <c r="BI184" s="370"/>
      <c r="BJ184" s="370"/>
      <c r="BK184" s="370"/>
      <c r="BL184" s="370"/>
      <c r="BM184" s="370"/>
      <c r="BN184" s="370"/>
      <c r="BO184" s="370"/>
      <c r="BP184" s="370"/>
      <c r="BQ184" s="370"/>
      <c r="BR184" s="370"/>
      <c r="BS184" s="370"/>
      <c r="BV184" s="508"/>
      <c r="BW184" s="369"/>
      <c r="BX184" s="370"/>
      <c r="BY184" s="370"/>
      <c r="BZ184" s="370"/>
      <c r="CA184" s="370"/>
      <c r="CB184" s="370"/>
      <c r="CC184" s="505"/>
      <c r="CD184" s="505"/>
      <c r="CE184" s="505"/>
      <c r="CF184" s="505"/>
      <c r="CG184" s="505"/>
      <c r="CH184" s="505"/>
      <c r="CI184" s="505"/>
      <c r="CJ184" s="505"/>
      <c r="CK184" s="505"/>
      <c r="CL184" s="505"/>
      <c r="CM184" s="505"/>
    </row>
    <row r="185" customFormat="false" ht="12.75" hidden="false" customHeight="false" outlineLevel="0" collapsed="false">
      <c r="A185" s="500"/>
      <c r="B185" s="500"/>
      <c r="K185" s="363"/>
      <c r="L185" s="501"/>
      <c r="N185" s="502"/>
      <c r="O185" s="502"/>
      <c r="P185" s="371"/>
      <c r="Q185" s="501"/>
      <c r="R185" s="501"/>
      <c r="U185" s="501"/>
      <c r="V185" s="503"/>
      <c r="W185" s="503"/>
      <c r="X185" s="504"/>
      <c r="Y185" s="504"/>
      <c r="Z185" s="504"/>
      <c r="AA185" s="504"/>
      <c r="AB185" s="504"/>
      <c r="AC185" s="504"/>
      <c r="AF185" s="378"/>
      <c r="AG185" s="378"/>
      <c r="AH185" s="378"/>
      <c r="AI185" s="378"/>
      <c r="AJ185" s="378"/>
      <c r="AM185" s="505"/>
      <c r="AN185" s="505"/>
      <c r="AO185" s="505"/>
      <c r="AP185" s="505"/>
      <c r="AR185" s="370"/>
      <c r="AT185" s="370"/>
      <c r="AV185" s="506"/>
      <c r="AW185" s="370"/>
      <c r="AX185" s="370"/>
      <c r="AY185" s="370"/>
      <c r="AZ185" s="370"/>
      <c r="BA185" s="507"/>
      <c r="BB185" s="505"/>
      <c r="BC185" s="505"/>
      <c r="BD185" s="370"/>
      <c r="BE185" s="370"/>
      <c r="BF185" s="370"/>
      <c r="BG185" s="370"/>
      <c r="BH185" s="370"/>
      <c r="BI185" s="370"/>
      <c r="BJ185" s="370"/>
      <c r="BK185" s="370"/>
      <c r="BL185" s="370"/>
      <c r="BM185" s="370"/>
      <c r="BN185" s="370"/>
      <c r="BO185" s="370"/>
      <c r="BP185" s="370"/>
      <c r="BQ185" s="370"/>
      <c r="BR185" s="370"/>
      <c r="BS185" s="370"/>
      <c r="BV185" s="508"/>
      <c r="BW185" s="369"/>
      <c r="BX185" s="370"/>
      <c r="BY185" s="370"/>
      <c r="BZ185" s="370"/>
      <c r="CA185" s="370"/>
      <c r="CB185" s="370"/>
      <c r="CC185" s="505"/>
      <c r="CD185" s="505"/>
      <c r="CE185" s="505"/>
      <c r="CF185" s="505"/>
      <c r="CG185" s="505"/>
      <c r="CH185" s="505"/>
      <c r="CI185" s="505"/>
      <c r="CJ185" s="505"/>
      <c r="CK185" s="505"/>
      <c r="CL185" s="505"/>
      <c r="CM185" s="505"/>
    </row>
    <row r="186" customFormat="false" ht="12.75" hidden="false" customHeight="false" outlineLevel="0" collapsed="false">
      <c r="A186" s="500"/>
      <c r="B186" s="500"/>
      <c r="K186" s="363"/>
      <c r="L186" s="501"/>
      <c r="N186" s="502"/>
      <c r="O186" s="502"/>
      <c r="P186" s="371"/>
      <c r="Q186" s="501"/>
      <c r="R186" s="501"/>
      <c r="U186" s="501"/>
      <c r="V186" s="503"/>
      <c r="W186" s="503"/>
      <c r="X186" s="504"/>
      <c r="Y186" s="504"/>
      <c r="Z186" s="504"/>
      <c r="AA186" s="504"/>
      <c r="AB186" s="504"/>
      <c r="AC186" s="504"/>
      <c r="AF186" s="378"/>
      <c r="AG186" s="378"/>
      <c r="AH186" s="378"/>
      <c r="AI186" s="378"/>
      <c r="AJ186" s="378"/>
      <c r="AM186" s="505"/>
      <c r="AN186" s="505"/>
      <c r="AO186" s="505"/>
      <c r="AP186" s="505"/>
      <c r="AR186" s="370"/>
      <c r="AT186" s="370"/>
      <c r="AV186" s="506"/>
      <c r="AW186" s="370"/>
      <c r="AX186" s="370"/>
      <c r="AY186" s="370"/>
      <c r="AZ186" s="370"/>
      <c r="BA186" s="507"/>
      <c r="BB186" s="505"/>
      <c r="BC186" s="505"/>
      <c r="BD186" s="370"/>
      <c r="BE186" s="370"/>
      <c r="BF186" s="370"/>
      <c r="BG186" s="370"/>
      <c r="BH186" s="370"/>
      <c r="BI186" s="370"/>
      <c r="BJ186" s="370"/>
      <c r="BK186" s="370"/>
      <c r="BL186" s="370"/>
      <c r="BM186" s="370"/>
      <c r="BN186" s="370"/>
      <c r="BO186" s="370"/>
      <c r="BP186" s="370"/>
      <c r="BQ186" s="370"/>
      <c r="BR186" s="370"/>
      <c r="BS186" s="370"/>
      <c r="BV186" s="508"/>
      <c r="BW186" s="369"/>
      <c r="BX186" s="370"/>
      <c r="BY186" s="370"/>
      <c r="BZ186" s="370"/>
      <c r="CA186" s="370"/>
      <c r="CB186" s="370"/>
      <c r="CC186" s="505"/>
      <c r="CD186" s="505"/>
      <c r="CE186" s="505"/>
      <c r="CF186" s="505"/>
      <c r="CG186" s="505"/>
      <c r="CH186" s="505"/>
      <c r="CI186" s="505"/>
      <c r="CJ186" s="505"/>
      <c r="CK186" s="505"/>
      <c r="CL186" s="505"/>
      <c r="CM186" s="505"/>
    </row>
    <row r="187" customFormat="false" ht="12.75" hidden="false" customHeight="false" outlineLevel="0" collapsed="false">
      <c r="A187" s="500"/>
      <c r="B187" s="500"/>
      <c r="K187" s="363"/>
      <c r="L187" s="501"/>
      <c r="N187" s="502"/>
      <c r="O187" s="502"/>
      <c r="P187" s="371"/>
      <c r="Q187" s="501"/>
      <c r="R187" s="501"/>
      <c r="U187" s="501"/>
      <c r="V187" s="503"/>
      <c r="W187" s="503"/>
      <c r="X187" s="504"/>
      <c r="Y187" s="504"/>
      <c r="Z187" s="504"/>
      <c r="AA187" s="504"/>
      <c r="AB187" s="504"/>
      <c r="AC187" s="504"/>
      <c r="AF187" s="378"/>
      <c r="AG187" s="378"/>
      <c r="AH187" s="378"/>
      <c r="AI187" s="378"/>
      <c r="AJ187" s="378"/>
      <c r="AM187" s="505"/>
      <c r="AN187" s="505"/>
      <c r="AO187" s="505"/>
      <c r="AP187" s="505"/>
      <c r="AR187" s="370"/>
      <c r="AT187" s="370"/>
      <c r="AV187" s="506"/>
      <c r="AW187" s="370"/>
      <c r="AX187" s="370"/>
      <c r="AY187" s="370"/>
      <c r="AZ187" s="370"/>
      <c r="BA187" s="507"/>
      <c r="BB187" s="505"/>
      <c r="BC187" s="505"/>
      <c r="BD187" s="370"/>
      <c r="BE187" s="370"/>
      <c r="BF187" s="370"/>
      <c r="BG187" s="370"/>
      <c r="BH187" s="370"/>
      <c r="BI187" s="370"/>
      <c r="BJ187" s="370"/>
      <c r="BK187" s="370"/>
      <c r="BL187" s="370"/>
      <c r="BM187" s="370"/>
      <c r="BN187" s="370"/>
      <c r="BO187" s="370"/>
      <c r="BP187" s="370"/>
      <c r="BQ187" s="370"/>
      <c r="BR187" s="370"/>
      <c r="BS187" s="370"/>
      <c r="BV187" s="508"/>
      <c r="BW187" s="369"/>
      <c r="BX187" s="370"/>
      <c r="BY187" s="370"/>
      <c r="BZ187" s="370"/>
      <c r="CA187" s="370"/>
      <c r="CB187" s="370"/>
      <c r="CC187" s="505"/>
      <c r="CD187" s="505"/>
      <c r="CE187" s="505"/>
      <c r="CF187" s="505"/>
      <c r="CG187" s="505"/>
      <c r="CH187" s="505"/>
      <c r="CI187" s="505"/>
      <c r="CJ187" s="505"/>
      <c r="CK187" s="505"/>
      <c r="CL187" s="505"/>
      <c r="CM187" s="505"/>
    </row>
    <row r="188" customFormat="false" ht="12.75" hidden="false" customHeight="false" outlineLevel="0" collapsed="false">
      <c r="A188" s="500"/>
      <c r="B188" s="500"/>
      <c r="K188" s="363"/>
      <c r="L188" s="501"/>
      <c r="N188" s="502"/>
      <c r="O188" s="502"/>
      <c r="P188" s="371"/>
      <c r="Q188" s="501"/>
      <c r="R188" s="501"/>
      <c r="U188" s="501"/>
      <c r="V188" s="503"/>
      <c r="W188" s="503"/>
      <c r="X188" s="504"/>
      <c r="Y188" s="504"/>
      <c r="Z188" s="504"/>
      <c r="AA188" s="504"/>
      <c r="AB188" s="504"/>
      <c r="AC188" s="504"/>
      <c r="AF188" s="378"/>
      <c r="AG188" s="378"/>
      <c r="AH188" s="378"/>
      <c r="AI188" s="378"/>
      <c r="AJ188" s="378"/>
      <c r="AM188" s="505"/>
      <c r="AN188" s="505"/>
      <c r="AO188" s="505"/>
      <c r="AP188" s="505"/>
      <c r="AR188" s="370"/>
      <c r="AT188" s="370"/>
      <c r="AV188" s="506"/>
      <c r="AW188" s="370"/>
      <c r="AX188" s="370"/>
      <c r="AY188" s="370"/>
      <c r="AZ188" s="370"/>
      <c r="BA188" s="507"/>
      <c r="BB188" s="505"/>
      <c r="BC188" s="505"/>
      <c r="BD188" s="370"/>
      <c r="BE188" s="370"/>
      <c r="BF188" s="370"/>
      <c r="BG188" s="370"/>
      <c r="BH188" s="370"/>
      <c r="BI188" s="370"/>
      <c r="BJ188" s="370"/>
      <c r="BK188" s="370"/>
      <c r="BL188" s="370"/>
      <c r="BM188" s="370"/>
      <c r="BN188" s="370"/>
      <c r="BO188" s="370"/>
      <c r="BP188" s="370"/>
      <c r="BQ188" s="370"/>
      <c r="BR188" s="370"/>
      <c r="BS188" s="370"/>
      <c r="BV188" s="508"/>
      <c r="BW188" s="369"/>
      <c r="BX188" s="370"/>
      <c r="BY188" s="370"/>
      <c r="BZ188" s="370"/>
      <c r="CA188" s="370"/>
      <c r="CB188" s="370"/>
      <c r="CC188" s="505"/>
      <c r="CD188" s="505"/>
      <c r="CE188" s="505"/>
      <c r="CF188" s="505"/>
      <c r="CG188" s="505"/>
      <c r="CH188" s="505"/>
      <c r="CI188" s="505"/>
      <c r="CJ188" s="505"/>
      <c r="CK188" s="505"/>
      <c r="CL188" s="505"/>
      <c r="CM188" s="505"/>
    </row>
    <row r="189" customFormat="false" ht="12.75" hidden="false" customHeight="false" outlineLevel="0" collapsed="false">
      <c r="A189" s="500"/>
      <c r="B189" s="500"/>
      <c r="K189" s="363"/>
      <c r="L189" s="501"/>
      <c r="N189" s="502"/>
      <c r="O189" s="502"/>
      <c r="P189" s="371"/>
      <c r="Q189" s="501"/>
      <c r="R189" s="501"/>
      <c r="U189" s="501"/>
      <c r="V189" s="503"/>
      <c r="W189" s="503"/>
      <c r="X189" s="504"/>
      <c r="Y189" s="504"/>
      <c r="Z189" s="504"/>
      <c r="AA189" s="504"/>
      <c r="AB189" s="504"/>
      <c r="AC189" s="504"/>
      <c r="AF189" s="378"/>
      <c r="AG189" s="378"/>
      <c r="AH189" s="378"/>
      <c r="AI189" s="378"/>
      <c r="AJ189" s="378"/>
      <c r="AM189" s="505"/>
      <c r="AN189" s="505"/>
      <c r="AO189" s="505"/>
      <c r="AP189" s="505"/>
      <c r="AR189" s="370"/>
      <c r="AT189" s="370"/>
      <c r="AV189" s="506"/>
      <c r="AW189" s="370"/>
      <c r="AX189" s="370"/>
      <c r="AY189" s="370"/>
      <c r="AZ189" s="370"/>
      <c r="BA189" s="507"/>
      <c r="BB189" s="505"/>
      <c r="BC189" s="505"/>
      <c r="BD189" s="370"/>
      <c r="BE189" s="370"/>
      <c r="BF189" s="370"/>
      <c r="BG189" s="370"/>
      <c r="BH189" s="370"/>
      <c r="BI189" s="370"/>
      <c r="BJ189" s="370"/>
      <c r="BK189" s="370"/>
      <c r="BL189" s="370"/>
      <c r="BM189" s="370"/>
      <c r="BN189" s="370"/>
      <c r="BO189" s="370"/>
      <c r="BP189" s="370"/>
      <c r="BQ189" s="370"/>
      <c r="BR189" s="370"/>
      <c r="BS189" s="370"/>
      <c r="BV189" s="508"/>
      <c r="BW189" s="369"/>
      <c r="BX189" s="370"/>
      <c r="BY189" s="370"/>
      <c r="BZ189" s="370"/>
      <c r="CA189" s="370"/>
      <c r="CB189" s="370"/>
      <c r="CC189" s="505"/>
      <c r="CD189" s="505"/>
      <c r="CE189" s="505"/>
      <c r="CF189" s="505"/>
      <c r="CG189" s="505"/>
      <c r="CH189" s="505"/>
      <c r="CI189" s="505"/>
      <c r="CJ189" s="505"/>
      <c r="CK189" s="505"/>
      <c r="CL189" s="505"/>
      <c r="CM189" s="505"/>
    </row>
    <row r="190" customFormat="false" ht="12.75" hidden="false" customHeight="false" outlineLevel="0" collapsed="false">
      <c r="A190" s="500"/>
      <c r="B190" s="500"/>
      <c r="K190" s="363"/>
      <c r="L190" s="501"/>
      <c r="N190" s="502"/>
      <c r="O190" s="502"/>
      <c r="P190" s="371"/>
      <c r="Q190" s="501"/>
      <c r="R190" s="501"/>
      <c r="U190" s="501"/>
      <c r="V190" s="503"/>
      <c r="W190" s="503"/>
      <c r="X190" s="504"/>
      <c r="Y190" s="504"/>
      <c r="Z190" s="504"/>
      <c r="AA190" s="504"/>
      <c r="AB190" s="504"/>
      <c r="AC190" s="504"/>
      <c r="AF190" s="378"/>
      <c r="AG190" s="378"/>
      <c r="AH190" s="378"/>
      <c r="AI190" s="378"/>
      <c r="AJ190" s="378"/>
      <c r="AM190" s="505"/>
      <c r="AN190" s="505"/>
      <c r="AO190" s="505"/>
      <c r="AP190" s="505"/>
      <c r="AR190" s="370"/>
      <c r="AT190" s="370"/>
      <c r="AV190" s="506"/>
      <c r="AW190" s="370"/>
      <c r="AX190" s="370"/>
      <c r="AY190" s="370"/>
      <c r="AZ190" s="370"/>
      <c r="BA190" s="507"/>
      <c r="BB190" s="505"/>
      <c r="BC190" s="505"/>
      <c r="BD190" s="370"/>
      <c r="BE190" s="370"/>
      <c r="BF190" s="370"/>
      <c r="BG190" s="370"/>
      <c r="BH190" s="370"/>
      <c r="BI190" s="370"/>
      <c r="BJ190" s="370"/>
      <c r="BK190" s="370"/>
      <c r="BL190" s="370"/>
      <c r="BM190" s="370"/>
      <c r="BN190" s="370"/>
      <c r="BO190" s="370"/>
      <c r="BP190" s="370"/>
      <c r="BQ190" s="370"/>
      <c r="BR190" s="370"/>
      <c r="BS190" s="370"/>
      <c r="BV190" s="508"/>
      <c r="BW190" s="369"/>
      <c r="BX190" s="370"/>
      <c r="BY190" s="370"/>
      <c r="BZ190" s="370"/>
      <c r="CA190" s="370"/>
      <c r="CB190" s="370"/>
      <c r="CC190" s="505"/>
      <c r="CD190" s="505"/>
      <c r="CE190" s="505"/>
      <c r="CF190" s="505"/>
      <c r="CG190" s="505"/>
      <c r="CH190" s="505"/>
      <c r="CI190" s="505"/>
      <c r="CJ190" s="505"/>
      <c r="CK190" s="505"/>
      <c r="CL190" s="505"/>
      <c r="CM190" s="505"/>
    </row>
    <row r="191" customFormat="false" ht="12.75" hidden="false" customHeight="false" outlineLevel="0" collapsed="false">
      <c r="A191" s="500"/>
      <c r="B191" s="500"/>
      <c r="K191" s="363"/>
      <c r="L191" s="501"/>
      <c r="N191" s="502"/>
      <c r="O191" s="502"/>
      <c r="P191" s="371"/>
      <c r="Q191" s="501"/>
      <c r="R191" s="501"/>
      <c r="U191" s="501"/>
      <c r="V191" s="503"/>
      <c r="W191" s="503"/>
      <c r="X191" s="504"/>
      <c r="Y191" s="504"/>
      <c r="Z191" s="504"/>
      <c r="AA191" s="504"/>
      <c r="AB191" s="504"/>
      <c r="AC191" s="504"/>
      <c r="AF191" s="378"/>
      <c r="AG191" s="378"/>
      <c r="AH191" s="378"/>
      <c r="AI191" s="378"/>
      <c r="AJ191" s="378"/>
      <c r="AM191" s="505"/>
      <c r="AN191" s="505"/>
      <c r="AO191" s="505"/>
      <c r="AP191" s="505"/>
      <c r="AR191" s="370"/>
      <c r="AT191" s="370"/>
      <c r="AV191" s="506"/>
      <c r="AW191" s="370"/>
      <c r="AX191" s="370"/>
      <c r="AY191" s="370"/>
      <c r="AZ191" s="370"/>
      <c r="BA191" s="507"/>
      <c r="BB191" s="505"/>
      <c r="BC191" s="505"/>
      <c r="BD191" s="370"/>
      <c r="BE191" s="370"/>
      <c r="BF191" s="370"/>
      <c r="BG191" s="370"/>
      <c r="BH191" s="370"/>
      <c r="BI191" s="370"/>
      <c r="BJ191" s="370"/>
      <c r="BK191" s="370"/>
      <c r="BL191" s="370"/>
      <c r="BM191" s="370"/>
      <c r="BN191" s="370"/>
      <c r="BO191" s="370"/>
      <c r="BP191" s="370"/>
      <c r="BQ191" s="370"/>
      <c r="BR191" s="370"/>
      <c r="BS191" s="370"/>
      <c r="BV191" s="508"/>
      <c r="BW191" s="369"/>
      <c r="BX191" s="370"/>
      <c r="BY191" s="370"/>
      <c r="BZ191" s="370"/>
      <c r="CA191" s="370"/>
      <c r="CB191" s="370"/>
      <c r="CC191" s="505"/>
      <c r="CD191" s="505"/>
      <c r="CE191" s="505"/>
      <c r="CF191" s="505"/>
      <c r="CG191" s="505"/>
      <c r="CH191" s="505"/>
      <c r="CI191" s="505"/>
      <c r="CJ191" s="505"/>
      <c r="CK191" s="505"/>
      <c r="CL191" s="505"/>
      <c r="CM191" s="505"/>
    </row>
    <row r="192" customFormat="false" ht="12.75" hidden="false" customHeight="false" outlineLevel="0" collapsed="false">
      <c r="A192" s="500"/>
      <c r="B192" s="500"/>
      <c r="K192" s="363"/>
      <c r="L192" s="501"/>
      <c r="N192" s="502"/>
      <c r="O192" s="502"/>
      <c r="P192" s="371"/>
      <c r="Q192" s="501"/>
      <c r="R192" s="501"/>
      <c r="U192" s="501"/>
      <c r="V192" s="503"/>
      <c r="W192" s="503"/>
      <c r="X192" s="504"/>
      <c r="Y192" s="504"/>
      <c r="Z192" s="504"/>
      <c r="AA192" s="504"/>
      <c r="AB192" s="504"/>
      <c r="AC192" s="504"/>
      <c r="AF192" s="378"/>
      <c r="AG192" s="378"/>
      <c r="AH192" s="378"/>
      <c r="AI192" s="378"/>
      <c r="AJ192" s="378"/>
      <c r="AM192" s="505"/>
      <c r="AN192" s="505"/>
      <c r="AO192" s="505"/>
      <c r="AP192" s="505"/>
      <c r="AR192" s="370"/>
      <c r="AT192" s="370"/>
      <c r="AV192" s="506"/>
      <c r="AW192" s="370"/>
      <c r="AX192" s="370"/>
      <c r="AY192" s="370"/>
      <c r="AZ192" s="370"/>
      <c r="BA192" s="507"/>
      <c r="BB192" s="505"/>
      <c r="BC192" s="505"/>
      <c r="BD192" s="370"/>
      <c r="BE192" s="370"/>
      <c r="BF192" s="370"/>
      <c r="BG192" s="370"/>
      <c r="BH192" s="370"/>
      <c r="BI192" s="370"/>
      <c r="BJ192" s="370"/>
      <c r="BK192" s="370"/>
      <c r="BL192" s="370"/>
      <c r="BM192" s="370"/>
      <c r="BN192" s="370"/>
      <c r="BO192" s="370"/>
      <c r="BP192" s="370"/>
      <c r="BQ192" s="370"/>
      <c r="BR192" s="370"/>
      <c r="BS192" s="370"/>
      <c r="BV192" s="508"/>
      <c r="BW192" s="369"/>
      <c r="BX192" s="370"/>
      <c r="BY192" s="370"/>
      <c r="BZ192" s="370"/>
      <c r="CA192" s="370"/>
      <c r="CB192" s="370"/>
      <c r="CC192" s="505"/>
      <c r="CD192" s="505"/>
      <c r="CE192" s="505"/>
      <c r="CF192" s="505"/>
      <c r="CG192" s="505"/>
      <c r="CH192" s="505"/>
      <c r="CI192" s="505"/>
      <c r="CJ192" s="505"/>
      <c r="CK192" s="505"/>
      <c r="CL192" s="505"/>
      <c r="CM192" s="505"/>
    </row>
    <row r="193" customFormat="false" ht="12.75" hidden="false" customHeight="false" outlineLevel="0" collapsed="false">
      <c r="A193" s="500"/>
      <c r="B193" s="500"/>
      <c r="K193" s="363"/>
      <c r="L193" s="501"/>
      <c r="N193" s="502"/>
      <c r="O193" s="502"/>
      <c r="P193" s="371"/>
      <c r="Q193" s="501"/>
      <c r="R193" s="501"/>
      <c r="U193" s="501"/>
      <c r="V193" s="503"/>
      <c r="W193" s="503"/>
      <c r="X193" s="504"/>
      <c r="Y193" s="504"/>
      <c r="Z193" s="504"/>
      <c r="AA193" s="504"/>
      <c r="AB193" s="504"/>
      <c r="AC193" s="504"/>
      <c r="AF193" s="378"/>
      <c r="AG193" s="378"/>
      <c r="AH193" s="378"/>
      <c r="AI193" s="378"/>
      <c r="AJ193" s="378"/>
      <c r="AM193" s="505"/>
      <c r="AN193" s="505"/>
      <c r="AO193" s="505"/>
      <c r="AP193" s="505"/>
      <c r="AR193" s="370"/>
      <c r="AT193" s="370"/>
      <c r="AV193" s="506"/>
      <c r="AW193" s="370"/>
      <c r="AX193" s="370"/>
      <c r="AY193" s="370"/>
      <c r="AZ193" s="370"/>
      <c r="BA193" s="507"/>
      <c r="BB193" s="505"/>
      <c r="BC193" s="505"/>
      <c r="BD193" s="370"/>
      <c r="BE193" s="370"/>
      <c r="BF193" s="370"/>
      <c r="BG193" s="370"/>
      <c r="BH193" s="370"/>
      <c r="BI193" s="370"/>
      <c r="BJ193" s="370"/>
      <c r="BK193" s="370"/>
      <c r="BL193" s="370"/>
      <c r="BM193" s="370"/>
      <c r="BN193" s="370"/>
      <c r="BO193" s="370"/>
      <c r="BP193" s="370"/>
      <c r="BQ193" s="370"/>
      <c r="BR193" s="370"/>
      <c r="BS193" s="370"/>
      <c r="BV193" s="508"/>
      <c r="BW193" s="369"/>
      <c r="BX193" s="370"/>
      <c r="BY193" s="370"/>
      <c r="BZ193" s="370"/>
      <c r="CA193" s="370"/>
      <c r="CB193" s="370"/>
      <c r="CC193" s="505"/>
      <c r="CD193" s="505"/>
      <c r="CE193" s="505"/>
      <c r="CF193" s="505"/>
      <c r="CG193" s="505"/>
      <c r="CH193" s="505"/>
      <c r="CI193" s="505"/>
      <c r="CJ193" s="505"/>
      <c r="CK193" s="505"/>
      <c r="CL193" s="505"/>
      <c r="CM193" s="505"/>
    </row>
    <row r="194" customFormat="false" ht="12.75" hidden="false" customHeight="false" outlineLevel="0" collapsed="false">
      <c r="A194" s="500"/>
      <c r="B194" s="500"/>
      <c r="K194" s="363"/>
      <c r="L194" s="501"/>
      <c r="N194" s="502"/>
      <c r="O194" s="502"/>
      <c r="P194" s="371"/>
      <c r="Q194" s="501"/>
      <c r="R194" s="501"/>
      <c r="U194" s="501"/>
      <c r="V194" s="503"/>
      <c r="W194" s="503"/>
      <c r="X194" s="504"/>
      <c r="Y194" s="504"/>
      <c r="Z194" s="504"/>
      <c r="AA194" s="504"/>
      <c r="AB194" s="504"/>
      <c r="AC194" s="504"/>
      <c r="AF194" s="378"/>
      <c r="AG194" s="378"/>
      <c r="AH194" s="378"/>
      <c r="AI194" s="378"/>
      <c r="AJ194" s="378"/>
      <c r="AM194" s="505"/>
      <c r="AN194" s="505"/>
      <c r="AO194" s="505"/>
      <c r="AP194" s="505"/>
      <c r="AR194" s="370"/>
      <c r="AT194" s="370"/>
      <c r="AV194" s="506"/>
      <c r="AW194" s="370"/>
      <c r="AX194" s="370"/>
      <c r="AY194" s="370"/>
      <c r="AZ194" s="370"/>
      <c r="BA194" s="507"/>
      <c r="BB194" s="505"/>
      <c r="BC194" s="505"/>
      <c r="BD194" s="370"/>
      <c r="BE194" s="370"/>
      <c r="BF194" s="370"/>
      <c r="BG194" s="370"/>
      <c r="BH194" s="370"/>
      <c r="BI194" s="370"/>
      <c r="BJ194" s="370"/>
      <c r="BK194" s="370"/>
      <c r="BL194" s="370"/>
      <c r="BM194" s="370"/>
      <c r="BN194" s="370"/>
      <c r="BO194" s="370"/>
      <c r="BP194" s="370"/>
      <c r="BQ194" s="370"/>
      <c r="BR194" s="370"/>
      <c r="BS194" s="370"/>
      <c r="BV194" s="508"/>
      <c r="BW194" s="369"/>
      <c r="BX194" s="370"/>
      <c r="BY194" s="370"/>
      <c r="BZ194" s="370"/>
      <c r="CA194" s="370"/>
      <c r="CB194" s="370"/>
      <c r="CC194" s="505"/>
      <c r="CD194" s="505"/>
      <c r="CE194" s="505"/>
      <c r="CF194" s="505"/>
      <c r="CG194" s="505"/>
      <c r="CH194" s="505"/>
      <c r="CI194" s="505"/>
      <c r="CJ194" s="505"/>
      <c r="CK194" s="505"/>
      <c r="CL194" s="505"/>
      <c r="CM194" s="505"/>
    </row>
    <row r="195" customFormat="false" ht="12.75" hidden="false" customHeight="false" outlineLevel="0" collapsed="false">
      <c r="A195" s="500"/>
      <c r="B195" s="500"/>
      <c r="K195" s="363"/>
      <c r="L195" s="501"/>
      <c r="N195" s="502"/>
      <c r="O195" s="502"/>
      <c r="P195" s="371"/>
      <c r="Q195" s="501"/>
      <c r="R195" s="501"/>
      <c r="U195" s="501"/>
      <c r="V195" s="503"/>
      <c r="W195" s="503"/>
      <c r="X195" s="504"/>
      <c r="Y195" s="504"/>
      <c r="Z195" s="504"/>
      <c r="AA195" s="504"/>
      <c r="AB195" s="504"/>
      <c r="AC195" s="504"/>
      <c r="AF195" s="378"/>
      <c r="AG195" s="378"/>
      <c r="AH195" s="378"/>
      <c r="AI195" s="378"/>
      <c r="AJ195" s="378"/>
      <c r="AM195" s="505"/>
      <c r="AN195" s="505"/>
      <c r="AO195" s="505"/>
      <c r="AP195" s="505"/>
      <c r="AR195" s="370"/>
      <c r="AT195" s="370"/>
      <c r="AV195" s="506"/>
      <c r="AW195" s="370"/>
      <c r="AX195" s="370"/>
      <c r="AY195" s="370"/>
      <c r="AZ195" s="370"/>
      <c r="BA195" s="507"/>
      <c r="BB195" s="505"/>
      <c r="BC195" s="505"/>
      <c r="BD195" s="370"/>
      <c r="BE195" s="370"/>
      <c r="BF195" s="370"/>
      <c r="BG195" s="370"/>
      <c r="BH195" s="370"/>
      <c r="BI195" s="370"/>
      <c r="BJ195" s="370"/>
      <c r="BK195" s="370"/>
      <c r="BL195" s="370"/>
      <c r="BM195" s="370"/>
      <c r="BN195" s="370"/>
      <c r="BO195" s="370"/>
      <c r="BP195" s="370"/>
      <c r="BQ195" s="370"/>
      <c r="BR195" s="370"/>
      <c r="BS195" s="370"/>
      <c r="BV195" s="508"/>
      <c r="BW195" s="369"/>
      <c r="BX195" s="370"/>
      <c r="BY195" s="370"/>
      <c r="BZ195" s="370"/>
      <c r="CA195" s="370"/>
      <c r="CB195" s="370"/>
      <c r="CC195" s="505"/>
      <c r="CD195" s="505"/>
      <c r="CE195" s="505"/>
      <c r="CF195" s="505"/>
      <c r="CG195" s="505"/>
      <c r="CH195" s="505"/>
      <c r="CI195" s="505"/>
      <c r="CJ195" s="505"/>
      <c r="CK195" s="505"/>
      <c r="CL195" s="505"/>
      <c r="CM195" s="505"/>
    </row>
    <row r="196" customFormat="false" ht="12.75" hidden="false" customHeight="false" outlineLevel="0" collapsed="false">
      <c r="A196" s="500"/>
      <c r="B196" s="500"/>
      <c r="K196" s="363"/>
      <c r="L196" s="501"/>
      <c r="N196" s="502"/>
      <c r="O196" s="502"/>
      <c r="P196" s="371"/>
      <c r="Q196" s="501"/>
      <c r="R196" s="501"/>
      <c r="U196" s="501"/>
      <c r="V196" s="503"/>
      <c r="W196" s="503"/>
      <c r="X196" s="504"/>
      <c r="Y196" s="504"/>
      <c r="Z196" s="504"/>
      <c r="AA196" s="504"/>
      <c r="AB196" s="504"/>
      <c r="AC196" s="504"/>
      <c r="AF196" s="378"/>
      <c r="AG196" s="378"/>
      <c r="AH196" s="378"/>
      <c r="AI196" s="378"/>
      <c r="AJ196" s="378"/>
      <c r="AM196" s="505"/>
      <c r="AN196" s="505"/>
      <c r="AO196" s="505"/>
      <c r="AP196" s="505"/>
      <c r="AR196" s="370"/>
      <c r="AT196" s="370"/>
      <c r="AV196" s="506"/>
      <c r="AW196" s="370"/>
      <c r="AX196" s="370"/>
      <c r="AY196" s="370"/>
      <c r="AZ196" s="370"/>
      <c r="BA196" s="507"/>
      <c r="BB196" s="505"/>
      <c r="BC196" s="505"/>
      <c r="BD196" s="370"/>
      <c r="BE196" s="370"/>
      <c r="BF196" s="370"/>
      <c r="BG196" s="370"/>
      <c r="BH196" s="370"/>
      <c r="BI196" s="370"/>
      <c r="BJ196" s="370"/>
      <c r="BK196" s="370"/>
      <c r="BL196" s="370"/>
      <c r="BM196" s="370"/>
      <c r="BN196" s="370"/>
      <c r="BO196" s="370"/>
      <c r="BP196" s="370"/>
      <c r="BQ196" s="370"/>
      <c r="BR196" s="370"/>
      <c r="BS196" s="370"/>
      <c r="BV196" s="508"/>
      <c r="BW196" s="369"/>
      <c r="BX196" s="370"/>
      <c r="BY196" s="370"/>
      <c r="BZ196" s="370"/>
      <c r="CA196" s="370"/>
      <c r="CB196" s="370"/>
      <c r="CC196" s="505"/>
      <c r="CD196" s="505"/>
      <c r="CE196" s="505"/>
      <c r="CF196" s="505"/>
      <c r="CG196" s="505"/>
      <c r="CH196" s="505"/>
      <c r="CI196" s="505"/>
      <c r="CJ196" s="505"/>
      <c r="CK196" s="505"/>
      <c r="CL196" s="505"/>
      <c r="CM196" s="505"/>
    </row>
    <row r="197" customFormat="false" ht="12.75" hidden="false" customHeight="false" outlineLevel="0" collapsed="false">
      <c r="A197" s="500"/>
      <c r="B197" s="500"/>
      <c r="K197" s="363"/>
      <c r="L197" s="501"/>
      <c r="N197" s="502"/>
      <c r="O197" s="502"/>
      <c r="P197" s="371"/>
      <c r="Q197" s="501"/>
      <c r="R197" s="501"/>
      <c r="U197" s="501"/>
      <c r="V197" s="503"/>
      <c r="W197" s="503"/>
      <c r="X197" s="504"/>
      <c r="Y197" s="504"/>
      <c r="Z197" s="504"/>
      <c r="AA197" s="504"/>
      <c r="AB197" s="504"/>
      <c r="AC197" s="504"/>
      <c r="AF197" s="378"/>
      <c r="AG197" s="378"/>
      <c r="AH197" s="378"/>
      <c r="AI197" s="378"/>
      <c r="AJ197" s="378"/>
      <c r="AM197" s="505"/>
      <c r="AN197" s="505"/>
      <c r="AO197" s="505"/>
      <c r="AP197" s="505"/>
      <c r="AR197" s="370"/>
      <c r="AT197" s="370"/>
      <c r="AV197" s="506"/>
      <c r="AW197" s="370"/>
      <c r="AX197" s="370"/>
      <c r="AY197" s="370"/>
      <c r="AZ197" s="370"/>
      <c r="BA197" s="507"/>
      <c r="BB197" s="505"/>
      <c r="BC197" s="505"/>
      <c r="BD197" s="370"/>
      <c r="BE197" s="370"/>
      <c r="BF197" s="370"/>
      <c r="BG197" s="370"/>
      <c r="BH197" s="370"/>
      <c r="BI197" s="370"/>
      <c r="BJ197" s="370"/>
      <c r="BK197" s="370"/>
      <c r="BL197" s="370"/>
      <c r="BM197" s="370"/>
      <c r="BN197" s="370"/>
      <c r="BO197" s="370"/>
      <c r="BP197" s="370"/>
      <c r="BQ197" s="370"/>
      <c r="BR197" s="370"/>
      <c r="BS197" s="370"/>
      <c r="BV197" s="508"/>
      <c r="BW197" s="369"/>
      <c r="BX197" s="370"/>
      <c r="BY197" s="370"/>
      <c r="BZ197" s="370"/>
      <c r="CA197" s="370"/>
      <c r="CB197" s="370"/>
      <c r="CC197" s="505"/>
      <c r="CD197" s="505"/>
      <c r="CE197" s="505"/>
      <c r="CF197" s="505"/>
      <c r="CG197" s="505"/>
      <c r="CH197" s="505"/>
      <c r="CI197" s="505"/>
      <c r="CJ197" s="505"/>
      <c r="CK197" s="505"/>
      <c r="CL197" s="505"/>
      <c r="CM197" s="505"/>
    </row>
    <row r="198" customFormat="false" ht="12.75" hidden="false" customHeight="false" outlineLevel="0" collapsed="false">
      <c r="A198" s="500"/>
      <c r="B198" s="500"/>
      <c r="K198" s="363"/>
      <c r="L198" s="501"/>
      <c r="N198" s="502"/>
      <c r="O198" s="502"/>
      <c r="P198" s="371"/>
      <c r="Q198" s="501"/>
      <c r="R198" s="501"/>
      <c r="U198" s="501"/>
      <c r="V198" s="503"/>
      <c r="W198" s="503"/>
      <c r="X198" s="504"/>
      <c r="Y198" s="504"/>
      <c r="Z198" s="504"/>
      <c r="AA198" s="504"/>
      <c r="AB198" s="504"/>
      <c r="AC198" s="504"/>
      <c r="AF198" s="378"/>
      <c r="AG198" s="378"/>
      <c r="AH198" s="378"/>
      <c r="AI198" s="378"/>
      <c r="AJ198" s="378"/>
      <c r="AM198" s="505"/>
      <c r="AN198" s="505"/>
      <c r="AO198" s="505"/>
      <c r="AP198" s="505"/>
      <c r="AR198" s="370"/>
      <c r="AT198" s="370"/>
      <c r="AV198" s="506"/>
      <c r="AW198" s="370"/>
      <c r="AX198" s="370"/>
      <c r="AY198" s="370"/>
      <c r="AZ198" s="370"/>
      <c r="BA198" s="507"/>
      <c r="BB198" s="505"/>
      <c r="BC198" s="505"/>
      <c r="BD198" s="370"/>
      <c r="BE198" s="370"/>
      <c r="BF198" s="370"/>
      <c r="BG198" s="370"/>
      <c r="BH198" s="370"/>
      <c r="BI198" s="370"/>
      <c r="BJ198" s="370"/>
      <c r="BK198" s="370"/>
      <c r="BL198" s="370"/>
      <c r="BM198" s="370"/>
      <c r="BN198" s="370"/>
      <c r="BO198" s="370"/>
      <c r="BP198" s="370"/>
      <c r="BQ198" s="370"/>
      <c r="BR198" s="370"/>
      <c r="BS198" s="370"/>
      <c r="BV198" s="508"/>
      <c r="BW198" s="369"/>
      <c r="BX198" s="370"/>
      <c r="BY198" s="370"/>
      <c r="BZ198" s="370"/>
      <c r="CA198" s="370"/>
      <c r="CB198" s="370"/>
      <c r="CC198" s="505"/>
      <c r="CD198" s="505"/>
      <c r="CE198" s="505"/>
      <c r="CF198" s="505"/>
      <c r="CG198" s="505"/>
      <c r="CH198" s="505"/>
      <c r="CI198" s="505"/>
      <c r="CJ198" s="505"/>
      <c r="CK198" s="505"/>
      <c r="CL198" s="505"/>
      <c r="CM198" s="505"/>
    </row>
    <row r="199" customFormat="false" ht="12.75" hidden="false" customHeight="false" outlineLevel="0" collapsed="false">
      <c r="A199" s="500"/>
      <c r="B199" s="500"/>
      <c r="K199" s="363"/>
      <c r="L199" s="501"/>
      <c r="N199" s="502"/>
      <c r="O199" s="502"/>
      <c r="P199" s="371"/>
      <c r="Q199" s="501"/>
      <c r="R199" s="501"/>
      <c r="U199" s="501"/>
      <c r="V199" s="503"/>
      <c r="W199" s="503"/>
      <c r="X199" s="504"/>
      <c r="Y199" s="504"/>
      <c r="Z199" s="504"/>
      <c r="AA199" s="504"/>
      <c r="AB199" s="504"/>
      <c r="AC199" s="504"/>
      <c r="AF199" s="378"/>
      <c r="AG199" s="378"/>
      <c r="AH199" s="378"/>
      <c r="AI199" s="378"/>
      <c r="AJ199" s="378"/>
      <c r="AM199" s="505"/>
      <c r="AN199" s="505"/>
      <c r="AO199" s="505"/>
      <c r="AP199" s="505"/>
      <c r="AR199" s="370"/>
      <c r="AT199" s="370"/>
      <c r="AV199" s="506"/>
      <c r="AW199" s="370"/>
      <c r="AX199" s="370"/>
      <c r="AY199" s="370"/>
      <c r="AZ199" s="370"/>
      <c r="BA199" s="507"/>
      <c r="BB199" s="505"/>
      <c r="BC199" s="505"/>
      <c r="BD199" s="370"/>
      <c r="BE199" s="370"/>
      <c r="BF199" s="370"/>
      <c r="BG199" s="370"/>
      <c r="BH199" s="370"/>
      <c r="BI199" s="370"/>
      <c r="BJ199" s="370"/>
      <c r="BK199" s="370"/>
      <c r="BL199" s="370"/>
      <c r="BM199" s="370"/>
      <c r="BN199" s="370"/>
      <c r="BO199" s="370"/>
      <c r="BP199" s="370"/>
      <c r="BQ199" s="370"/>
      <c r="BR199" s="370"/>
      <c r="BS199" s="370"/>
      <c r="BV199" s="508"/>
      <c r="BW199" s="369"/>
      <c r="BX199" s="370"/>
      <c r="BY199" s="370"/>
      <c r="BZ199" s="370"/>
      <c r="CA199" s="370"/>
      <c r="CB199" s="370"/>
      <c r="CC199" s="505"/>
      <c r="CD199" s="505"/>
      <c r="CE199" s="505"/>
      <c r="CF199" s="505"/>
      <c r="CG199" s="505"/>
      <c r="CH199" s="505"/>
      <c r="CI199" s="505"/>
      <c r="CJ199" s="505"/>
      <c r="CK199" s="505"/>
      <c r="CL199" s="505"/>
      <c r="CM199" s="505"/>
    </row>
    <row r="200" customFormat="false" ht="12.75" hidden="false" customHeight="false" outlineLevel="0" collapsed="false">
      <c r="A200" s="500"/>
      <c r="B200" s="500"/>
      <c r="K200" s="363"/>
      <c r="L200" s="501"/>
      <c r="N200" s="502"/>
      <c r="O200" s="502"/>
      <c r="P200" s="371"/>
      <c r="Q200" s="501"/>
      <c r="R200" s="501"/>
      <c r="U200" s="501"/>
      <c r="V200" s="503"/>
      <c r="W200" s="503"/>
      <c r="X200" s="504"/>
      <c r="Y200" s="504"/>
      <c r="Z200" s="504"/>
      <c r="AA200" s="504"/>
      <c r="AB200" s="504"/>
      <c r="AC200" s="504"/>
      <c r="AF200" s="378"/>
      <c r="AG200" s="378"/>
      <c r="AH200" s="378"/>
      <c r="AI200" s="378"/>
      <c r="AJ200" s="378"/>
      <c r="AM200" s="505"/>
      <c r="AN200" s="505"/>
      <c r="AO200" s="505"/>
      <c r="AP200" s="505"/>
      <c r="AR200" s="370"/>
      <c r="AT200" s="370"/>
      <c r="AV200" s="506"/>
      <c r="AW200" s="370"/>
      <c r="AX200" s="370"/>
      <c r="AY200" s="370"/>
      <c r="AZ200" s="370"/>
      <c r="BA200" s="507"/>
      <c r="BB200" s="505"/>
      <c r="BC200" s="505"/>
      <c r="BD200" s="370"/>
      <c r="BE200" s="370"/>
      <c r="BF200" s="370"/>
      <c r="BG200" s="370"/>
      <c r="BH200" s="370"/>
      <c r="BI200" s="370"/>
      <c r="BJ200" s="370"/>
      <c r="BK200" s="370"/>
      <c r="BL200" s="370"/>
      <c r="BM200" s="370"/>
      <c r="BN200" s="370"/>
      <c r="BO200" s="370"/>
      <c r="BP200" s="370"/>
      <c r="BQ200" s="370"/>
      <c r="BR200" s="370"/>
      <c r="BS200" s="370"/>
      <c r="BV200" s="508"/>
      <c r="BW200" s="369"/>
      <c r="BX200" s="370"/>
      <c r="BY200" s="370"/>
      <c r="BZ200" s="370"/>
      <c r="CA200" s="370"/>
      <c r="CB200" s="370"/>
      <c r="CC200" s="505"/>
      <c r="CD200" s="505"/>
      <c r="CE200" s="505"/>
      <c r="CF200" s="505"/>
      <c r="CG200" s="505"/>
      <c r="CH200" s="505"/>
      <c r="CI200" s="505"/>
      <c r="CJ200" s="505"/>
      <c r="CK200" s="505"/>
      <c r="CL200" s="505"/>
      <c r="CM200" s="505"/>
    </row>
    <row r="201" customFormat="false" ht="12.75" hidden="false" customHeight="false" outlineLevel="0" collapsed="false">
      <c r="A201" s="500"/>
      <c r="B201" s="500"/>
      <c r="K201" s="363"/>
      <c r="L201" s="501"/>
      <c r="N201" s="502"/>
      <c r="O201" s="502"/>
      <c r="P201" s="371"/>
      <c r="Q201" s="501"/>
      <c r="R201" s="501"/>
      <c r="U201" s="501"/>
      <c r="V201" s="503"/>
      <c r="W201" s="503"/>
      <c r="X201" s="504"/>
      <c r="Y201" s="504"/>
      <c r="Z201" s="504"/>
      <c r="AA201" s="504"/>
      <c r="AB201" s="504"/>
      <c r="AC201" s="504"/>
      <c r="AF201" s="378"/>
      <c r="AG201" s="378"/>
      <c r="AH201" s="378"/>
      <c r="AI201" s="378"/>
      <c r="AJ201" s="378"/>
      <c r="AM201" s="505"/>
      <c r="AN201" s="505"/>
      <c r="AO201" s="505"/>
      <c r="AP201" s="505"/>
      <c r="AR201" s="370"/>
      <c r="AT201" s="370"/>
      <c r="AV201" s="506"/>
      <c r="AW201" s="370"/>
      <c r="AX201" s="370"/>
      <c r="AY201" s="370"/>
      <c r="AZ201" s="370"/>
      <c r="BA201" s="507"/>
      <c r="BB201" s="505"/>
      <c r="BC201" s="505"/>
      <c r="BD201" s="370"/>
      <c r="BE201" s="370"/>
      <c r="BF201" s="370"/>
      <c r="BG201" s="370"/>
      <c r="BH201" s="370"/>
      <c r="BI201" s="370"/>
      <c r="BJ201" s="370"/>
      <c r="BK201" s="370"/>
      <c r="BL201" s="370"/>
      <c r="BM201" s="370"/>
      <c r="BN201" s="370"/>
      <c r="BO201" s="370"/>
      <c r="BP201" s="370"/>
      <c r="BQ201" s="370"/>
      <c r="BR201" s="370"/>
      <c r="BS201" s="370"/>
      <c r="BV201" s="508"/>
      <c r="BW201" s="369"/>
      <c r="BX201" s="370"/>
      <c r="BY201" s="370"/>
      <c r="BZ201" s="370"/>
      <c r="CA201" s="370"/>
      <c r="CB201" s="370"/>
      <c r="CC201" s="505"/>
      <c r="CD201" s="505"/>
      <c r="CE201" s="505"/>
      <c r="CF201" s="505"/>
      <c r="CG201" s="505"/>
      <c r="CH201" s="505"/>
      <c r="CI201" s="505"/>
      <c r="CJ201" s="505"/>
      <c r="CK201" s="505"/>
      <c r="CL201" s="505"/>
      <c r="CM201" s="505"/>
    </row>
    <row r="202" customFormat="false" ht="12.75" hidden="false" customHeight="false" outlineLevel="0" collapsed="false">
      <c r="A202" s="500"/>
      <c r="B202" s="500"/>
      <c r="K202" s="363"/>
      <c r="L202" s="501"/>
      <c r="N202" s="502"/>
      <c r="O202" s="502"/>
      <c r="P202" s="371"/>
      <c r="Q202" s="501"/>
      <c r="R202" s="501"/>
      <c r="U202" s="501"/>
      <c r="V202" s="503"/>
      <c r="W202" s="503"/>
      <c r="X202" s="504"/>
      <c r="Y202" s="504"/>
      <c r="Z202" s="504"/>
      <c r="AA202" s="504"/>
      <c r="AB202" s="504"/>
      <c r="AC202" s="504"/>
      <c r="AF202" s="378"/>
      <c r="AG202" s="378"/>
      <c r="AH202" s="378"/>
      <c r="AI202" s="378"/>
      <c r="AJ202" s="378"/>
      <c r="AM202" s="505"/>
      <c r="AN202" s="505"/>
      <c r="AO202" s="505"/>
      <c r="AP202" s="505"/>
      <c r="AR202" s="370"/>
      <c r="AT202" s="370"/>
      <c r="AV202" s="506"/>
      <c r="AW202" s="370"/>
      <c r="AX202" s="370"/>
      <c r="AY202" s="370"/>
      <c r="AZ202" s="370"/>
      <c r="BA202" s="507"/>
      <c r="BB202" s="505"/>
      <c r="BC202" s="505"/>
      <c r="BD202" s="370"/>
      <c r="BE202" s="370"/>
      <c r="BF202" s="370"/>
      <c r="BG202" s="370"/>
      <c r="BH202" s="370"/>
      <c r="BI202" s="370"/>
      <c r="BJ202" s="370"/>
      <c r="BK202" s="370"/>
      <c r="BL202" s="370"/>
      <c r="BM202" s="370"/>
      <c r="BN202" s="370"/>
      <c r="BO202" s="370"/>
      <c r="BP202" s="370"/>
      <c r="BQ202" s="370"/>
      <c r="BR202" s="370"/>
      <c r="BS202" s="370"/>
      <c r="BV202" s="508"/>
      <c r="BW202" s="369"/>
      <c r="BX202" s="370"/>
      <c r="BY202" s="370"/>
      <c r="BZ202" s="370"/>
      <c r="CA202" s="370"/>
      <c r="CB202" s="370"/>
      <c r="CC202" s="505"/>
      <c r="CD202" s="505"/>
      <c r="CE202" s="505"/>
      <c r="CF202" s="505"/>
      <c r="CG202" s="505"/>
      <c r="CH202" s="505"/>
      <c r="CI202" s="505"/>
      <c r="CJ202" s="505"/>
      <c r="CK202" s="505"/>
      <c r="CL202" s="505"/>
      <c r="CM202" s="505"/>
    </row>
    <row r="203" customFormat="false" ht="12.75" hidden="false" customHeight="false" outlineLevel="0" collapsed="false">
      <c r="A203" s="500"/>
      <c r="B203" s="500"/>
      <c r="K203" s="363"/>
      <c r="L203" s="501"/>
      <c r="N203" s="502"/>
      <c r="O203" s="502"/>
      <c r="P203" s="371"/>
      <c r="Q203" s="501"/>
      <c r="R203" s="501"/>
      <c r="U203" s="501"/>
      <c r="V203" s="503"/>
      <c r="W203" s="503"/>
      <c r="X203" s="504"/>
      <c r="Y203" s="504"/>
      <c r="Z203" s="504"/>
      <c r="AA203" s="504"/>
      <c r="AB203" s="504"/>
      <c r="AC203" s="504"/>
      <c r="AF203" s="378"/>
      <c r="AG203" s="378"/>
      <c r="AH203" s="378"/>
      <c r="AI203" s="378"/>
      <c r="AJ203" s="378"/>
      <c r="AM203" s="505"/>
      <c r="AN203" s="505"/>
      <c r="AO203" s="505"/>
      <c r="AP203" s="505"/>
      <c r="AR203" s="370"/>
      <c r="AT203" s="370"/>
      <c r="AV203" s="506"/>
      <c r="AW203" s="370"/>
      <c r="AX203" s="370"/>
      <c r="AY203" s="370"/>
      <c r="AZ203" s="370"/>
      <c r="BA203" s="507"/>
      <c r="BB203" s="505"/>
      <c r="BC203" s="505"/>
      <c r="BD203" s="370"/>
      <c r="BE203" s="370"/>
      <c r="BF203" s="370"/>
      <c r="BG203" s="370"/>
      <c r="BH203" s="370"/>
      <c r="BI203" s="370"/>
      <c r="BJ203" s="370"/>
      <c r="BK203" s="370"/>
      <c r="BL203" s="370"/>
      <c r="BM203" s="370"/>
      <c r="BN203" s="370"/>
      <c r="BO203" s="370"/>
      <c r="BP203" s="370"/>
      <c r="BQ203" s="370"/>
      <c r="BR203" s="370"/>
      <c r="BS203" s="370"/>
      <c r="BV203" s="508"/>
      <c r="BW203" s="369"/>
      <c r="BX203" s="370"/>
      <c r="BY203" s="370"/>
      <c r="BZ203" s="370"/>
      <c r="CA203" s="370"/>
      <c r="CB203" s="370"/>
      <c r="CC203" s="505"/>
      <c r="CD203" s="505"/>
      <c r="CE203" s="505"/>
      <c r="CF203" s="505"/>
      <c r="CG203" s="505"/>
      <c r="CH203" s="505"/>
      <c r="CI203" s="505"/>
      <c r="CJ203" s="505"/>
      <c r="CK203" s="505"/>
      <c r="CL203" s="505"/>
      <c r="CM203" s="505"/>
    </row>
    <row r="204" customFormat="false" ht="12.75" hidden="false" customHeight="false" outlineLevel="0" collapsed="false">
      <c r="A204" s="500"/>
      <c r="B204" s="500"/>
      <c r="K204" s="363"/>
      <c r="L204" s="501"/>
      <c r="N204" s="502"/>
      <c r="O204" s="502"/>
      <c r="P204" s="371"/>
      <c r="Q204" s="501"/>
      <c r="R204" s="501"/>
      <c r="U204" s="501"/>
      <c r="V204" s="503"/>
      <c r="W204" s="503"/>
      <c r="X204" s="504"/>
      <c r="Y204" s="504"/>
      <c r="Z204" s="504"/>
      <c r="AA204" s="504"/>
      <c r="AB204" s="504"/>
      <c r="AC204" s="504"/>
      <c r="AF204" s="378"/>
      <c r="AG204" s="378"/>
      <c r="AH204" s="378"/>
      <c r="AI204" s="378"/>
      <c r="AJ204" s="378"/>
      <c r="AM204" s="505"/>
      <c r="AN204" s="505"/>
      <c r="AO204" s="505"/>
      <c r="AP204" s="505"/>
      <c r="AR204" s="370"/>
      <c r="AT204" s="370"/>
      <c r="AV204" s="506"/>
      <c r="AW204" s="370"/>
      <c r="AX204" s="370"/>
      <c r="AY204" s="370"/>
      <c r="AZ204" s="370"/>
      <c r="BA204" s="507"/>
      <c r="BB204" s="505"/>
      <c r="BC204" s="505"/>
      <c r="BD204" s="370"/>
      <c r="BE204" s="370"/>
      <c r="BF204" s="370"/>
      <c r="BG204" s="370"/>
      <c r="BH204" s="370"/>
      <c r="BI204" s="370"/>
      <c r="BJ204" s="370"/>
      <c r="BK204" s="370"/>
      <c r="BL204" s="370"/>
      <c r="BM204" s="370"/>
      <c r="BN204" s="370"/>
      <c r="BO204" s="370"/>
      <c r="BP204" s="370"/>
      <c r="BQ204" s="370"/>
      <c r="BR204" s="370"/>
      <c r="BS204" s="370"/>
      <c r="BV204" s="508"/>
      <c r="BW204" s="369"/>
      <c r="BX204" s="370"/>
      <c r="BY204" s="370"/>
      <c r="BZ204" s="370"/>
      <c r="CA204" s="370"/>
      <c r="CB204" s="370"/>
      <c r="CC204" s="505"/>
      <c r="CD204" s="505"/>
      <c r="CE204" s="505"/>
      <c r="CF204" s="505"/>
      <c r="CG204" s="505"/>
      <c r="CH204" s="505"/>
      <c r="CI204" s="505"/>
      <c r="CJ204" s="505"/>
      <c r="CK204" s="505"/>
      <c r="CL204" s="505"/>
      <c r="CM204" s="505"/>
    </row>
    <row r="205" customFormat="false" ht="12.75" hidden="false" customHeight="false" outlineLevel="0" collapsed="false">
      <c r="A205" s="500"/>
      <c r="B205" s="500"/>
      <c r="K205" s="363"/>
      <c r="L205" s="501"/>
      <c r="N205" s="502"/>
      <c r="O205" s="502"/>
      <c r="P205" s="371"/>
      <c r="Q205" s="501"/>
      <c r="R205" s="501"/>
      <c r="U205" s="501"/>
      <c r="V205" s="503"/>
      <c r="W205" s="503"/>
      <c r="X205" s="504"/>
      <c r="Y205" s="504"/>
      <c r="Z205" s="504"/>
      <c r="AA205" s="504"/>
      <c r="AB205" s="504"/>
      <c r="AC205" s="504"/>
      <c r="AF205" s="378"/>
      <c r="AG205" s="378"/>
      <c r="AH205" s="378"/>
      <c r="AI205" s="378"/>
      <c r="AJ205" s="378"/>
      <c r="AM205" s="505"/>
      <c r="AN205" s="505"/>
      <c r="AO205" s="505"/>
      <c r="AP205" s="505"/>
      <c r="AR205" s="370"/>
      <c r="AT205" s="370"/>
      <c r="AV205" s="506"/>
      <c r="AW205" s="370"/>
      <c r="AX205" s="370"/>
      <c r="AY205" s="370"/>
      <c r="AZ205" s="370"/>
      <c r="BA205" s="507"/>
      <c r="BB205" s="505"/>
      <c r="BC205" s="505"/>
      <c r="BD205" s="370"/>
      <c r="BE205" s="370"/>
      <c r="BF205" s="370"/>
      <c r="BG205" s="370"/>
      <c r="BH205" s="370"/>
      <c r="BI205" s="370"/>
      <c r="BJ205" s="370"/>
      <c r="BK205" s="370"/>
      <c r="BL205" s="370"/>
      <c r="BM205" s="370"/>
      <c r="BN205" s="370"/>
      <c r="BO205" s="370"/>
      <c r="BP205" s="370"/>
      <c r="BQ205" s="370"/>
      <c r="BR205" s="370"/>
      <c r="BS205" s="370"/>
      <c r="BV205" s="508"/>
      <c r="BW205" s="369"/>
      <c r="BX205" s="370"/>
      <c r="BY205" s="370"/>
      <c r="BZ205" s="370"/>
      <c r="CA205" s="370"/>
      <c r="CB205" s="370"/>
      <c r="CC205" s="505"/>
      <c r="CD205" s="505"/>
      <c r="CE205" s="505"/>
      <c r="CF205" s="505"/>
      <c r="CG205" s="505"/>
      <c r="CH205" s="505"/>
      <c r="CI205" s="505"/>
      <c r="CJ205" s="505"/>
      <c r="CK205" s="505"/>
      <c r="CL205" s="505"/>
      <c r="CM205" s="505"/>
    </row>
    <row r="206" customFormat="false" ht="12.75" hidden="false" customHeight="false" outlineLevel="0" collapsed="false">
      <c r="A206" s="500"/>
      <c r="B206" s="500"/>
      <c r="K206" s="363"/>
      <c r="L206" s="501"/>
      <c r="N206" s="502"/>
      <c r="O206" s="502"/>
      <c r="P206" s="371"/>
      <c r="Q206" s="501"/>
      <c r="R206" s="501"/>
      <c r="U206" s="501"/>
      <c r="V206" s="503"/>
      <c r="W206" s="503"/>
      <c r="X206" s="504"/>
      <c r="Y206" s="504"/>
      <c r="Z206" s="504"/>
      <c r="AA206" s="504"/>
      <c r="AB206" s="504"/>
      <c r="AC206" s="504"/>
      <c r="AF206" s="378"/>
      <c r="AG206" s="378"/>
      <c r="AH206" s="378"/>
      <c r="AI206" s="378"/>
      <c r="AJ206" s="378"/>
      <c r="AM206" s="505"/>
      <c r="AN206" s="505"/>
      <c r="AO206" s="505"/>
      <c r="AP206" s="505"/>
      <c r="AR206" s="370"/>
      <c r="AT206" s="370"/>
      <c r="AV206" s="506"/>
      <c r="AW206" s="370"/>
      <c r="AX206" s="370"/>
      <c r="AY206" s="370"/>
      <c r="AZ206" s="370"/>
      <c r="BA206" s="507"/>
      <c r="BB206" s="505"/>
      <c r="BC206" s="505"/>
      <c r="BD206" s="370"/>
      <c r="BE206" s="370"/>
      <c r="BF206" s="370"/>
      <c r="BG206" s="370"/>
      <c r="BH206" s="370"/>
      <c r="BI206" s="370"/>
      <c r="BJ206" s="370"/>
      <c r="BK206" s="370"/>
      <c r="BL206" s="370"/>
      <c r="BM206" s="370"/>
      <c r="BN206" s="370"/>
      <c r="BO206" s="370"/>
      <c r="BP206" s="370"/>
      <c r="BQ206" s="370"/>
      <c r="BR206" s="370"/>
      <c r="BS206" s="370"/>
      <c r="BV206" s="508"/>
      <c r="BW206" s="369"/>
      <c r="BX206" s="370"/>
      <c r="BY206" s="370"/>
      <c r="BZ206" s="370"/>
      <c r="CA206" s="370"/>
      <c r="CB206" s="370"/>
      <c r="CC206" s="505"/>
      <c r="CD206" s="505"/>
      <c r="CE206" s="505"/>
      <c r="CF206" s="505"/>
      <c r="CG206" s="505"/>
      <c r="CH206" s="505"/>
      <c r="CI206" s="505"/>
      <c r="CJ206" s="505"/>
      <c r="CK206" s="505"/>
      <c r="CL206" s="505"/>
      <c r="CM206" s="505"/>
    </row>
    <row r="207" customFormat="false" ht="12.75" hidden="false" customHeight="false" outlineLevel="0" collapsed="false">
      <c r="A207" s="500"/>
      <c r="B207" s="500"/>
      <c r="K207" s="363"/>
      <c r="L207" s="501"/>
      <c r="N207" s="502"/>
      <c r="O207" s="502"/>
      <c r="P207" s="371"/>
      <c r="Q207" s="501"/>
      <c r="R207" s="501"/>
      <c r="U207" s="501"/>
      <c r="V207" s="503"/>
      <c r="W207" s="503"/>
      <c r="X207" s="504"/>
      <c r="Y207" s="504"/>
      <c r="Z207" s="504"/>
      <c r="AA207" s="504"/>
      <c r="AB207" s="504"/>
      <c r="AC207" s="504"/>
      <c r="AF207" s="378"/>
      <c r="AG207" s="378"/>
      <c r="AH207" s="378"/>
      <c r="AI207" s="378"/>
      <c r="AJ207" s="378"/>
      <c r="AM207" s="505"/>
      <c r="AN207" s="505"/>
      <c r="AO207" s="505"/>
      <c r="AP207" s="505"/>
      <c r="AR207" s="370"/>
      <c r="AT207" s="370"/>
      <c r="AV207" s="506"/>
      <c r="AW207" s="370"/>
      <c r="AX207" s="370"/>
      <c r="AY207" s="370"/>
      <c r="AZ207" s="370"/>
      <c r="BA207" s="507"/>
      <c r="BB207" s="505"/>
      <c r="BC207" s="505"/>
      <c r="BD207" s="370"/>
      <c r="BE207" s="370"/>
      <c r="BF207" s="370"/>
      <c r="BG207" s="370"/>
      <c r="BH207" s="370"/>
      <c r="BI207" s="370"/>
      <c r="BJ207" s="370"/>
      <c r="BK207" s="370"/>
      <c r="BL207" s="370"/>
      <c r="BM207" s="370"/>
      <c r="BN207" s="370"/>
      <c r="BO207" s="370"/>
      <c r="BP207" s="370"/>
      <c r="BQ207" s="370"/>
      <c r="BR207" s="370"/>
      <c r="BS207" s="370"/>
      <c r="BV207" s="508"/>
      <c r="BW207" s="369"/>
      <c r="BX207" s="370"/>
      <c r="BY207" s="370"/>
      <c r="BZ207" s="370"/>
      <c r="CA207" s="370"/>
      <c r="CB207" s="370"/>
      <c r="CC207" s="505"/>
      <c r="CD207" s="505"/>
      <c r="CE207" s="505"/>
      <c r="CF207" s="505"/>
      <c r="CG207" s="505"/>
      <c r="CH207" s="505"/>
      <c r="CI207" s="505"/>
      <c r="CJ207" s="505"/>
      <c r="CK207" s="505"/>
      <c r="CL207" s="505"/>
      <c r="CM207" s="505"/>
    </row>
    <row r="208" customFormat="false" ht="12.75" hidden="false" customHeight="false" outlineLevel="0" collapsed="false">
      <c r="A208" s="500"/>
      <c r="B208" s="500"/>
      <c r="K208" s="363"/>
      <c r="L208" s="501"/>
      <c r="N208" s="502"/>
      <c r="O208" s="502"/>
      <c r="P208" s="371"/>
      <c r="Q208" s="501"/>
      <c r="R208" s="501"/>
      <c r="U208" s="501"/>
      <c r="V208" s="503"/>
      <c r="W208" s="503"/>
      <c r="X208" s="504"/>
      <c r="Y208" s="504"/>
      <c r="Z208" s="504"/>
      <c r="AA208" s="504"/>
      <c r="AB208" s="504"/>
      <c r="AC208" s="504"/>
      <c r="AF208" s="378"/>
      <c r="AG208" s="378"/>
      <c r="AH208" s="378"/>
      <c r="AI208" s="378"/>
      <c r="AJ208" s="378"/>
      <c r="AM208" s="505"/>
      <c r="AN208" s="505"/>
      <c r="AO208" s="505"/>
      <c r="AP208" s="505"/>
      <c r="AR208" s="370"/>
      <c r="AT208" s="370"/>
      <c r="AV208" s="506"/>
      <c r="AW208" s="370"/>
      <c r="AX208" s="370"/>
      <c r="AY208" s="370"/>
      <c r="AZ208" s="370"/>
      <c r="BA208" s="507"/>
      <c r="BB208" s="505"/>
      <c r="BC208" s="505"/>
      <c r="BD208" s="370"/>
      <c r="BE208" s="370"/>
      <c r="BF208" s="370"/>
      <c r="BG208" s="370"/>
      <c r="BH208" s="370"/>
      <c r="BI208" s="370"/>
      <c r="BJ208" s="370"/>
      <c r="BK208" s="370"/>
      <c r="BL208" s="370"/>
      <c r="BM208" s="370"/>
      <c r="BN208" s="370"/>
      <c r="BO208" s="370"/>
      <c r="BP208" s="370"/>
      <c r="BQ208" s="370"/>
      <c r="BR208" s="370"/>
      <c r="BS208" s="370"/>
      <c r="BV208" s="508"/>
      <c r="BW208" s="369"/>
      <c r="BX208" s="370"/>
      <c r="BY208" s="370"/>
      <c r="BZ208" s="370"/>
      <c r="CA208" s="370"/>
      <c r="CB208" s="370"/>
      <c r="CC208" s="505"/>
      <c r="CD208" s="505"/>
      <c r="CE208" s="505"/>
      <c r="CF208" s="505"/>
      <c r="CG208" s="505"/>
      <c r="CH208" s="505"/>
      <c r="CI208" s="505"/>
      <c r="CJ208" s="505"/>
      <c r="CK208" s="505"/>
      <c r="CL208" s="505"/>
      <c r="CM208" s="505"/>
    </row>
    <row r="209" customFormat="false" ht="12.75" hidden="false" customHeight="false" outlineLevel="0" collapsed="false">
      <c r="A209" s="500"/>
      <c r="B209" s="500"/>
      <c r="K209" s="363"/>
      <c r="L209" s="501"/>
      <c r="N209" s="502"/>
      <c r="O209" s="502"/>
      <c r="P209" s="371"/>
      <c r="Q209" s="501"/>
      <c r="R209" s="501"/>
      <c r="U209" s="501"/>
      <c r="V209" s="503"/>
      <c r="W209" s="503"/>
      <c r="X209" s="504"/>
      <c r="Y209" s="504"/>
      <c r="Z209" s="504"/>
      <c r="AA209" s="504"/>
      <c r="AB209" s="504"/>
      <c r="AC209" s="504"/>
      <c r="AF209" s="378"/>
      <c r="AG209" s="378"/>
      <c r="AH209" s="378"/>
      <c r="AI209" s="378"/>
      <c r="AJ209" s="378"/>
      <c r="AM209" s="505"/>
      <c r="AN209" s="505"/>
      <c r="AO209" s="505"/>
      <c r="AP209" s="505"/>
      <c r="AR209" s="370"/>
      <c r="AT209" s="370"/>
      <c r="AV209" s="506"/>
      <c r="AW209" s="370"/>
      <c r="AX209" s="370"/>
      <c r="AY209" s="370"/>
      <c r="AZ209" s="370"/>
      <c r="BA209" s="507"/>
      <c r="BB209" s="505"/>
      <c r="BC209" s="505"/>
      <c r="BD209" s="370"/>
      <c r="BE209" s="370"/>
      <c r="BF209" s="370"/>
      <c r="BG209" s="370"/>
      <c r="BH209" s="370"/>
      <c r="BI209" s="370"/>
      <c r="BJ209" s="370"/>
      <c r="BK209" s="370"/>
      <c r="BL209" s="370"/>
      <c r="BM209" s="370"/>
      <c r="BN209" s="370"/>
      <c r="BO209" s="370"/>
      <c r="BP209" s="370"/>
      <c r="BQ209" s="370"/>
      <c r="BR209" s="370"/>
      <c r="BS209" s="370"/>
      <c r="BV209" s="508"/>
      <c r="BW209" s="369"/>
      <c r="BX209" s="370"/>
      <c r="BY209" s="370"/>
      <c r="BZ209" s="370"/>
      <c r="CA209" s="370"/>
      <c r="CB209" s="370"/>
      <c r="CC209" s="505"/>
      <c r="CD209" s="505"/>
      <c r="CE209" s="505"/>
      <c r="CF209" s="505"/>
      <c r="CG209" s="505"/>
      <c r="CH209" s="505"/>
      <c r="CI209" s="505"/>
      <c r="CJ209" s="505"/>
      <c r="CK209" s="505"/>
      <c r="CL209" s="505"/>
      <c r="CM209" s="505"/>
    </row>
    <row r="210" customFormat="false" ht="12.75" hidden="false" customHeight="false" outlineLevel="0" collapsed="false">
      <c r="A210" s="500"/>
      <c r="B210" s="500"/>
      <c r="K210" s="363"/>
      <c r="L210" s="501"/>
      <c r="N210" s="502"/>
      <c r="O210" s="502"/>
      <c r="P210" s="371"/>
      <c r="Q210" s="501"/>
      <c r="R210" s="501"/>
      <c r="U210" s="501"/>
      <c r="V210" s="503"/>
      <c r="W210" s="503"/>
      <c r="X210" s="504"/>
      <c r="Y210" s="504"/>
      <c r="Z210" s="504"/>
      <c r="AA210" s="504"/>
      <c r="AB210" s="504"/>
      <c r="AC210" s="504"/>
      <c r="AF210" s="378"/>
      <c r="AG210" s="378"/>
      <c r="AH210" s="378"/>
      <c r="AI210" s="378"/>
      <c r="AJ210" s="378"/>
      <c r="AM210" s="505"/>
      <c r="AN210" s="505"/>
      <c r="AO210" s="505"/>
      <c r="AP210" s="505"/>
      <c r="AR210" s="370"/>
      <c r="AT210" s="370"/>
      <c r="AV210" s="506"/>
      <c r="AW210" s="370"/>
      <c r="AX210" s="370"/>
      <c r="AY210" s="370"/>
      <c r="AZ210" s="370"/>
      <c r="BA210" s="507"/>
      <c r="BB210" s="505"/>
      <c r="BC210" s="505"/>
      <c r="BD210" s="370"/>
      <c r="BE210" s="370"/>
      <c r="BF210" s="370"/>
      <c r="BG210" s="370"/>
      <c r="BH210" s="370"/>
      <c r="BI210" s="370"/>
      <c r="BJ210" s="370"/>
      <c r="BK210" s="370"/>
      <c r="BL210" s="370"/>
      <c r="BM210" s="370"/>
      <c r="BN210" s="370"/>
      <c r="BO210" s="370"/>
      <c r="BP210" s="370"/>
      <c r="BQ210" s="370"/>
      <c r="BR210" s="370"/>
      <c r="BS210" s="370"/>
      <c r="BV210" s="508"/>
      <c r="BW210" s="369"/>
      <c r="BX210" s="370"/>
      <c r="BY210" s="370"/>
      <c r="BZ210" s="370"/>
      <c r="CA210" s="370"/>
      <c r="CB210" s="370"/>
      <c r="CC210" s="505"/>
      <c r="CD210" s="505"/>
      <c r="CE210" s="505"/>
      <c r="CF210" s="505"/>
      <c r="CG210" s="505"/>
      <c r="CH210" s="505"/>
      <c r="CI210" s="505"/>
      <c r="CJ210" s="505"/>
      <c r="CK210" s="505"/>
      <c r="CL210" s="505"/>
      <c r="CM210" s="505"/>
    </row>
    <row r="211" customFormat="false" ht="12.75" hidden="false" customHeight="false" outlineLevel="0" collapsed="false">
      <c r="A211" s="500"/>
      <c r="B211" s="500"/>
      <c r="K211" s="363"/>
      <c r="L211" s="501"/>
      <c r="N211" s="502"/>
      <c r="O211" s="502"/>
      <c r="P211" s="371"/>
      <c r="Q211" s="501"/>
      <c r="R211" s="501"/>
      <c r="U211" s="501"/>
      <c r="V211" s="503"/>
      <c r="W211" s="503"/>
      <c r="X211" s="504"/>
      <c r="Y211" s="504"/>
      <c r="Z211" s="504"/>
      <c r="AA211" s="504"/>
      <c r="AB211" s="504"/>
      <c r="AC211" s="504"/>
      <c r="AF211" s="378"/>
      <c r="AG211" s="378"/>
      <c r="AH211" s="378"/>
      <c r="AI211" s="378"/>
      <c r="AJ211" s="378"/>
      <c r="AM211" s="505"/>
      <c r="AN211" s="505"/>
      <c r="AO211" s="505"/>
      <c r="AP211" s="505"/>
      <c r="AR211" s="370"/>
      <c r="AT211" s="370"/>
      <c r="AV211" s="506"/>
      <c r="AW211" s="370"/>
      <c r="AX211" s="370"/>
      <c r="AY211" s="370"/>
      <c r="AZ211" s="370"/>
      <c r="BA211" s="507"/>
      <c r="BB211" s="505"/>
      <c r="BC211" s="505"/>
      <c r="BD211" s="370"/>
      <c r="BE211" s="370"/>
      <c r="BF211" s="370"/>
      <c r="BG211" s="370"/>
      <c r="BH211" s="370"/>
      <c r="BI211" s="370"/>
      <c r="BJ211" s="370"/>
      <c r="BK211" s="370"/>
      <c r="BL211" s="370"/>
      <c r="BM211" s="370"/>
      <c r="BN211" s="370"/>
      <c r="BO211" s="370"/>
      <c r="BP211" s="370"/>
      <c r="BQ211" s="370"/>
      <c r="BR211" s="370"/>
      <c r="BS211" s="370"/>
      <c r="BV211" s="508"/>
      <c r="BW211" s="369"/>
      <c r="BX211" s="370"/>
      <c r="BY211" s="370"/>
      <c r="BZ211" s="370"/>
      <c r="CA211" s="370"/>
      <c r="CB211" s="370"/>
      <c r="CC211" s="505"/>
      <c r="CD211" s="505"/>
      <c r="CE211" s="505"/>
      <c r="CF211" s="505"/>
      <c r="CG211" s="505"/>
      <c r="CH211" s="505"/>
      <c r="CI211" s="505"/>
      <c r="CJ211" s="505"/>
      <c r="CK211" s="505"/>
      <c r="CL211" s="505"/>
      <c r="CM211" s="505"/>
    </row>
    <row r="212" customFormat="false" ht="12.75" hidden="false" customHeight="false" outlineLevel="0" collapsed="false">
      <c r="A212" s="500"/>
      <c r="B212" s="500"/>
      <c r="K212" s="363"/>
      <c r="L212" s="501"/>
      <c r="N212" s="502"/>
      <c r="O212" s="502"/>
      <c r="P212" s="371"/>
      <c r="Q212" s="501"/>
      <c r="R212" s="501"/>
      <c r="U212" s="501"/>
      <c r="V212" s="503"/>
      <c r="W212" s="503"/>
      <c r="X212" s="504"/>
      <c r="Y212" s="504"/>
      <c r="Z212" s="504"/>
      <c r="AA212" s="504"/>
      <c r="AB212" s="504"/>
      <c r="AC212" s="504"/>
      <c r="AF212" s="378"/>
      <c r="AG212" s="378"/>
      <c r="AH212" s="378"/>
      <c r="AI212" s="378"/>
      <c r="AJ212" s="378"/>
      <c r="AM212" s="505"/>
      <c r="AN212" s="505"/>
      <c r="AO212" s="505"/>
      <c r="AP212" s="505"/>
      <c r="AR212" s="370"/>
      <c r="AT212" s="370"/>
      <c r="AV212" s="506"/>
      <c r="AW212" s="370"/>
      <c r="AX212" s="370"/>
      <c r="AY212" s="370"/>
      <c r="AZ212" s="370"/>
      <c r="BA212" s="507"/>
      <c r="BB212" s="505"/>
      <c r="BC212" s="505"/>
      <c r="BD212" s="370"/>
      <c r="BE212" s="370"/>
      <c r="BF212" s="370"/>
      <c r="BG212" s="370"/>
      <c r="BH212" s="370"/>
      <c r="BI212" s="370"/>
      <c r="BJ212" s="370"/>
      <c r="BK212" s="370"/>
      <c r="BL212" s="370"/>
      <c r="BM212" s="370"/>
      <c r="BN212" s="370"/>
      <c r="BO212" s="370"/>
      <c r="BP212" s="370"/>
      <c r="BQ212" s="370"/>
      <c r="BR212" s="370"/>
      <c r="BS212" s="370"/>
      <c r="BV212" s="508"/>
      <c r="BW212" s="369"/>
      <c r="BX212" s="370"/>
      <c r="BY212" s="370"/>
      <c r="BZ212" s="370"/>
      <c r="CA212" s="370"/>
      <c r="CB212" s="370"/>
      <c r="CC212" s="505"/>
      <c r="CD212" s="505"/>
      <c r="CE212" s="505"/>
      <c r="CF212" s="505"/>
      <c r="CG212" s="505"/>
      <c r="CH212" s="505"/>
      <c r="CI212" s="505"/>
      <c r="CJ212" s="505"/>
      <c r="CK212" s="505"/>
      <c r="CL212" s="505"/>
      <c r="CM212" s="505"/>
    </row>
    <row r="213" customFormat="false" ht="12.75" hidden="false" customHeight="false" outlineLevel="0" collapsed="false">
      <c r="A213" s="500"/>
      <c r="B213" s="500"/>
      <c r="K213" s="363"/>
      <c r="L213" s="501"/>
      <c r="N213" s="502"/>
      <c r="O213" s="502"/>
      <c r="P213" s="371"/>
      <c r="Q213" s="501"/>
      <c r="R213" s="501"/>
      <c r="U213" s="501"/>
      <c r="V213" s="503"/>
      <c r="W213" s="503"/>
      <c r="X213" s="504"/>
      <c r="Y213" s="504"/>
      <c r="Z213" s="504"/>
      <c r="AA213" s="504"/>
      <c r="AB213" s="504"/>
      <c r="AC213" s="504"/>
      <c r="AF213" s="378"/>
      <c r="AG213" s="378"/>
      <c r="AH213" s="378"/>
      <c r="AI213" s="378"/>
      <c r="AJ213" s="378"/>
      <c r="AM213" s="505"/>
      <c r="AN213" s="505"/>
      <c r="AO213" s="505"/>
      <c r="AP213" s="505"/>
      <c r="AR213" s="370"/>
      <c r="AT213" s="370"/>
      <c r="AV213" s="506"/>
      <c r="AW213" s="370"/>
      <c r="AX213" s="370"/>
      <c r="AY213" s="370"/>
      <c r="AZ213" s="370"/>
      <c r="BA213" s="507"/>
      <c r="BB213" s="505"/>
      <c r="BC213" s="505"/>
      <c r="BD213" s="370"/>
      <c r="BE213" s="370"/>
      <c r="BF213" s="370"/>
      <c r="BG213" s="370"/>
      <c r="BH213" s="370"/>
      <c r="BI213" s="370"/>
      <c r="BJ213" s="370"/>
      <c r="BK213" s="370"/>
      <c r="BL213" s="370"/>
      <c r="BM213" s="370"/>
      <c r="BN213" s="370"/>
      <c r="BO213" s="370"/>
      <c r="BP213" s="370"/>
      <c r="BQ213" s="370"/>
      <c r="BR213" s="370"/>
      <c r="BS213" s="370"/>
      <c r="BV213" s="508"/>
      <c r="BW213" s="369"/>
      <c r="BX213" s="370"/>
      <c r="BY213" s="370"/>
      <c r="BZ213" s="370"/>
      <c r="CA213" s="370"/>
      <c r="CB213" s="370"/>
      <c r="CC213" s="505"/>
      <c r="CD213" s="505"/>
      <c r="CE213" s="505"/>
      <c r="CF213" s="505"/>
      <c r="CG213" s="505"/>
      <c r="CH213" s="505"/>
      <c r="CI213" s="505"/>
      <c r="CJ213" s="505"/>
      <c r="CK213" s="505"/>
      <c r="CL213" s="505"/>
      <c r="CM213" s="505"/>
    </row>
    <row r="214" customFormat="false" ht="12.75" hidden="false" customHeight="false" outlineLevel="0" collapsed="false">
      <c r="A214" s="500"/>
      <c r="B214" s="500"/>
      <c r="K214" s="363"/>
      <c r="L214" s="501"/>
      <c r="N214" s="502"/>
      <c r="O214" s="502"/>
      <c r="P214" s="371"/>
      <c r="Q214" s="501"/>
      <c r="R214" s="501"/>
      <c r="U214" s="501"/>
      <c r="V214" s="503"/>
      <c r="W214" s="503"/>
      <c r="X214" s="504"/>
      <c r="Y214" s="504"/>
      <c r="Z214" s="504"/>
      <c r="AA214" s="504"/>
      <c r="AB214" s="504"/>
      <c r="AC214" s="504"/>
      <c r="AF214" s="378"/>
      <c r="AG214" s="378"/>
      <c r="AH214" s="378"/>
      <c r="AI214" s="378"/>
      <c r="AJ214" s="378"/>
      <c r="AM214" s="505"/>
      <c r="AN214" s="505"/>
      <c r="AO214" s="505"/>
      <c r="AP214" s="505"/>
      <c r="AR214" s="370"/>
      <c r="AT214" s="370"/>
      <c r="AV214" s="506"/>
      <c r="AW214" s="370"/>
      <c r="AX214" s="370"/>
      <c r="AY214" s="370"/>
      <c r="AZ214" s="370"/>
      <c r="BA214" s="507"/>
      <c r="BB214" s="505"/>
      <c r="BC214" s="505"/>
      <c r="BD214" s="370"/>
      <c r="BE214" s="370"/>
      <c r="BF214" s="370"/>
      <c r="BG214" s="370"/>
      <c r="BH214" s="370"/>
      <c r="BI214" s="370"/>
      <c r="BJ214" s="370"/>
      <c r="BK214" s="370"/>
      <c r="BL214" s="370"/>
      <c r="BM214" s="370"/>
      <c r="BN214" s="370"/>
      <c r="BO214" s="370"/>
      <c r="BP214" s="370"/>
      <c r="BQ214" s="370"/>
      <c r="BR214" s="370"/>
      <c r="BS214" s="370"/>
      <c r="BV214" s="508"/>
      <c r="BW214" s="369"/>
      <c r="BX214" s="370"/>
      <c r="BY214" s="370"/>
      <c r="BZ214" s="370"/>
      <c r="CA214" s="370"/>
      <c r="CB214" s="370"/>
      <c r="CC214" s="505"/>
      <c r="CD214" s="505"/>
      <c r="CE214" s="505"/>
      <c r="CF214" s="505"/>
      <c r="CG214" s="505"/>
      <c r="CH214" s="505"/>
      <c r="CI214" s="505"/>
      <c r="CJ214" s="505"/>
      <c r="CK214" s="505"/>
      <c r="CL214" s="505"/>
      <c r="CM214" s="505"/>
    </row>
    <row r="215" customFormat="false" ht="12.75" hidden="false" customHeight="false" outlineLevel="0" collapsed="false">
      <c r="A215" s="500"/>
      <c r="B215" s="500"/>
      <c r="K215" s="363"/>
      <c r="L215" s="501"/>
      <c r="N215" s="502"/>
      <c r="O215" s="502"/>
      <c r="P215" s="371"/>
      <c r="Q215" s="501"/>
      <c r="R215" s="501"/>
      <c r="U215" s="501"/>
      <c r="V215" s="503"/>
      <c r="W215" s="503"/>
      <c r="X215" s="504"/>
      <c r="Y215" s="504"/>
      <c r="Z215" s="504"/>
      <c r="AA215" s="504"/>
      <c r="AB215" s="504"/>
      <c r="AC215" s="504"/>
      <c r="AF215" s="378"/>
      <c r="AG215" s="378"/>
      <c r="AH215" s="378"/>
      <c r="AI215" s="378"/>
      <c r="AJ215" s="378"/>
      <c r="AM215" s="505"/>
      <c r="AN215" s="505"/>
      <c r="AO215" s="505"/>
      <c r="AP215" s="505"/>
      <c r="AR215" s="370"/>
      <c r="AT215" s="370"/>
      <c r="AV215" s="506"/>
      <c r="AW215" s="370"/>
      <c r="AX215" s="370"/>
      <c r="AY215" s="370"/>
      <c r="AZ215" s="370"/>
      <c r="BA215" s="507"/>
      <c r="BB215" s="505"/>
      <c r="BC215" s="505"/>
      <c r="BD215" s="370"/>
      <c r="BE215" s="370"/>
      <c r="BF215" s="370"/>
      <c r="BG215" s="370"/>
      <c r="BH215" s="370"/>
      <c r="BI215" s="370"/>
      <c r="BJ215" s="370"/>
      <c r="BK215" s="370"/>
      <c r="BL215" s="370"/>
      <c r="BM215" s="370"/>
      <c r="BN215" s="370"/>
      <c r="BO215" s="370"/>
      <c r="BP215" s="370"/>
      <c r="BQ215" s="370"/>
      <c r="BR215" s="370"/>
      <c r="BS215" s="370"/>
      <c r="BV215" s="508"/>
      <c r="BW215" s="369"/>
      <c r="BX215" s="370"/>
      <c r="BY215" s="370"/>
      <c r="BZ215" s="370"/>
      <c r="CA215" s="370"/>
      <c r="CB215" s="370"/>
      <c r="CC215" s="505"/>
      <c r="CD215" s="505"/>
      <c r="CE215" s="505"/>
      <c r="CF215" s="505"/>
      <c r="CG215" s="505"/>
      <c r="CH215" s="505"/>
      <c r="CI215" s="505"/>
      <c r="CJ215" s="505"/>
      <c r="CK215" s="505"/>
      <c r="CL215" s="505"/>
      <c r="CM215" s="505"/>
    </row>
    <row r="216" customFormat="false" ht="12.75" hidden="false" customHeight="false" outlineLevel="0" collapsed="false">
      <c r="A216" s="500"/>
      <c r="B216" s="500"/>
      <c r="K216" s="363"/>
      <c r="L216" s="501"/>
      <c r="N216" s="502"/>
      <c r="O216" s="502"/>
      <c r="P216" s="371"/>
      <c r="Q216" s="501"/>
      <c r="R216" s="501"/>
      <c r="U216" s="501"/>
      <c r="V216" s="503"/>
      <c r="W216" s="503"/>
      <c r="X216" s="504"/>
      <c r="Y216" s="504"/>
      <c r="Z216" s="504"/>
      <c r="AA216" s="504"/>
      <c r="AB216" s="504"/>
      <c r="AC216" s="504"/>
      <c r="AF216" s="378"/>
      <c r="AG216" s="378"/>
      <c r="AH216" s="378"/>
      <c r="AI216" s="378"/>
      <c r="AJ216" s="378"/>
      <c r="AM216" s="505"/>
      <c r="AN216" s="505"/>
      <c r="AO216" s="505"/>
      <c r="AP216" s="505"/>
      <c r="AR216" s="370"/>
      <c r="AT216" s="370"/>
      <c r="AV216" s="506"/>
      <c r="AW216" s="370"/>
      <c r="AX216" s="370"/>
      <c r="AY216" s="370"/>
      <c r="AZ216" s="370"/>
      <c r="BA216" s="507"/>
      <c r="BB216" s="505"/>
      <c r="BC216" s="505"/>
      <c r="BD216" s="370"/>
      <c r="BE216" s="370"/>
      <c r="BF216" s="370"/>
      <c r="BG216" s="370"/>
      <c r="BH216" s="370"/>
      <c r="BI216" s="370"/>
      <c r="BJ216" s="370"/>
      <c r="BK216" s="370"/>
      <c r="BL216" s="370"/>
      <c r="BM216" s="370"/>
      <c r="BN216" s="370"/>
      <c r="BO216" s="370"/>
      <c r="BP216" s="370"/>
      <c r="BQ216" s="370"/>
      <c r="BR216" s="370"/>
      <c r="BS216" s="370"/>
      <c r="BV216" s="508"/>
      <c r="BW216" s="369"/>
      <c r="BX216" s="370"/>
      <c r="BY216" s="370"/>
      <c r="BZ216" s="370"/>
      <c r="CA216" s="370"/>
      <c r="CB216" s="370"/>
      <c r="CC216" s="505"/>
      <c r="CD216" s="505"/>
      <c r="CE216" s="505"/>
      <c r="CF216" s="505"/>
      <c r="CG216" s="505"/>
      <c r="CH216" s="505"/>
      <c r="CI216" s="505"/>
      <c r="CJ216" s="505"/>
      <c r="CK216" s="505"/>
      <c r="CL216" s="505"/>
      <c r="CM216" s="505"/>
    </row>
    <row r="217" customFormat="false" ht="12.75" hidden="false" customHeight="false" outlineLevel="0" collapsed="false">
      <c r="A217" s="500"/>
      <c r="B217" s="500"/>
      <c r="K217" s="363"/>
      <c r="L217" s="501"/>
      <c r="N217" s="502"/>
      <c r="O217" s="502"/>
      <c r="P217" s="371"/>
      <c r="Q217" s="501"/>
      <c r="R217" s="501"/>
      <c r="U217" s="501"/>
      <c r="V217" s="503"/>
      <c r="W217" s="503"/>
      <c r="X217" s="504"/>
      <c r="Y217" s="504"/>
      <c r="Z217" s="504"/>
      <c r="AA217" s="504"/>
      <c r="AB217" s="504"/>
      <c r="AC217" s="504"/>
      <c r="AF217" s="378"/>
      <c r="AG217" s="378"/>
      <c r="AH217" s="378"/>
      <c r="AI217" s="378"/>
      <c r="AJ217" s="378"/>
      <c r="AM217" s="505"/>
      <c r="AN217" s="505"/>
      <c r="AO217" s="505"/>
      <c r="AP217" s="505"/>
      <c r="AR217" s="370"/>
      <c r="AT217" s="370"/>
      <c r="AV217" s="506"/>
      <c r="AW217" s="370"/>
      <c r="AX217" s="370"/>
      <c r="AY217" s="370"/>
      <c r="AZ217" s="370"/>
      <c r="BA217" s="507"/>
      <c r="BB217" s="505"/>
      <c r="BC217" s="505"/>
      <c r="BD217" s="370"/>
      <c r="BE217" s="370"/>
      <c r="BF217" s="370"/>
      <c r="BG217" s="370"/>
      <c r="BH217" s="370"/>
      <c r="BI217" s="370"/>
      <c r="BJ217" s="370"/>
      <c r="BK217" s="370"/>
      <c r="BL217" s="370"/>
      <c r="BM217" s="370"/>
      <c r="BN217" s="370"/>
      <c r="BO217" s="370"/>
      <c r="BP217" s="370"/>
      <c r="BQ217" s="370"/>
      <c r="BR217" s="370"/>
      <c r="BS217" s="370"/>
      <c r="BV217" s="508"/>
      <c r="BW217" s="369"/>
      <c r="BX217" s="370"/>
      <c r="BY217" s="370"/>
      <c r="BZ217" s="370"/>
      <c r="CA217" s="370"/>
      <c r="CB217" s="370"/>
      <c r="CC217" s="505"/>
      <c r="CD217" s="505"/>
      <c r="CE217" s="505"/>
      <c r="CF217" s="505"/>
      <c r="CG217" s="505"/>
      <c r="CH217" s="505"/>
      <c r="CI217" s="505"/>
      <c r="CJ217" s="505"/>
      <c r="CK217" s="505"/>
      <c r="CL217" s="505"/>
      <c r="CM217" s="505"/>
    </row>
    <row r="218" customFormat="false" ht="12.75" hidden="false" customHeight="false" outlineLevel="0" collapsed="false">
      <c r="A218" s="500"/>
      <c r="B218" s="500"/>
      <c r="K218" s="363"/>
      <c r="L218" s="501"/>
      <c r="N218" s="502"/>
      <c r="O218" s="502"/>
      <c r="P218" s="371"/>
      <c r="Q218" s="501"/>
      <c r="R218" s="501"/>
      <c r="U218" s="501"/>
      <c r="V218" s="503"/>
      <c r="W218" s="503"/>
      <c r="X218" s="504"/>
      <c r="Y218" s="504"/>
      <c r="Z218" s="504"/>
      <c r="AA218" s="504"/>
      <c r="AB218" s="504"/>
      <c r="AC218" s="504"/>
      <c r="AF218" s="378"/>
      <c r="AG218" s="378"/>
      <c r="AH218" s="378"/>
      <c r="AI218" s="378"/>
      <c r="AJ218" s="378"/>
      <c r="AM218" s="505"/>
      <c r="AN218" s="505"/>
      <c r="AO218" s="505"/>
      <c r="AP218" s="505"/>
      <c r="AR218" s="370"/>
      <c r="AT218" s="370"/>
      <c r="AV218" s="506"/>
      <c r="AW218" s="370"/>
      <c r="AX218" s="370"/>
      <c r="AY218" s="370"/>
      <c r="AZ218" s="370"/>
      <c r="BA218" s="507"/>
      <c r="BB218" s="505"/>
      <c r="BC218" s="505"/>
      <c r="BD218" s="370"/>
      <c r="BE218" s="370"/>
      <c r="BF218" s="370"/>
      <c r="BG218" s="370"/>
      <c r="BH218" s="370"/>
      <c r="BI218" s="370"/>
      <c r="BJ218" s="370"/>
      <c r="BK218" s="370"/>
      <c r="BL218" s="370"/>
      <c r="BM218" s="370"/>
      <c r="BN218" s="370"/>
      <c r="BO218" s="370"/>
      <c r="BP218" s="370"/>
      <c r="BQ218" s="370"/>
      <c r="BR218" s="370"/>
      <c r="BS218" s="370"/>
      <c r="BV218" s="508"/>
      <c r="BW218" s="369"/>
      <c r="BX218" s="370"/>
      <c r="BY218" s="370"/>
      <c r="BZ218" s="370"/>
      <c r="CA218" s="370"/>
      <c r="CB218" s="370"/>
      <c r="CC218" s="505"/>
      <c r="CD218" s="505"/>
      <c r="CE218" s="505"/>
      <c r="CF218" s="505"/>
      <c r="CG218" s="505"/>
      <c r="CH218" s="505"/>
      <c r="CI218" s="505"/>
      <c r="CJ218" s="505"/>
      <c r="CK218" s="505"/>
      <c r="CL218" s="505"/>
      <c r="CM218" s="505"/>
    </row>
    <row r="219" customFormat="false" ht="12.75" hidden="false" customHeight="false" outlineLevel="0" collapsed="false">
      <c r="A219" s="500"/>
      <c r="B219" s="500"/>
      <c r="K219" s="363"/>
      <c r="L219" s="501"/>
      <c r="N219" s="502"/>
      <c r="O219" s="502"/>
      <c r="P219" s="371"/>
      <c r="Q219" s="501"/>
      <c r="R219" s="501"/>
      <c r="U219" s="501"/>
      <c r="V219" s="503"/>
      <c r="W219" s="503"/>
      <c r="X219" s="504"/>
      <c r="Y219" s="504"/>
      <c r="Z219" s="504"/>
      <c r="AA219" s="504"/>
      <c r="AB219" s="504"/>
      <c r="AC219" s="504"/>
      <c r="AF219" s="378"/>
      <c r="AG219" s="378"/>
      <c r="AH219" s="378"/>
      <c r="AI219" s="378"/>
      <c r="AJ219" s="378"/>
      <c r="AM219" s="505"/>
      <c r="AN219" s="505"/>
      <c r="AO219" s="505"/>
      <c r="AP219" s="505"/>
      <c r="AR219" s="370"/>
      <c r="AT219" s="370"/>
      <c r="AV219" s="506"/>
      <c r="AW219" s="370"/>
      <c r="AX219" s="370"/>
      <c r="AY219" s="370"/>
      <c r="AZ219" s="370"/>
      <c r="BA219" s="507"/>
      <c r="BB219" s="505"/>
      <c r="BC219" s="505"/>
      <c r="BD219" s="370"/>
      <c r="BE219" s="370"/>
      <c r="BF219" s="370"/>
      <c r="BG219" s="370"/>
      <c r="BH219" s="370"/>
      <c r="BI219" s="370"/>
      <c r="BJ219" s="370"/>
      <c r="BK219" s="370"/>
      <c r="BL219" s="370"/>
      <c r="BM219" s="370"/>
      <c r="BN219" s="370"/>
      <c r="BO219" s="370"/>
      <c r="BP219" s="370"/>
      <c r="BQ219" s="370"/>
      <c r="BR219" s="370"/>
      <c r="BS219" s="370"/>
      <c r="BV219" s="508"/>
      <c r="BW219" s="369"/>
      <c r="BX219" s="370"/>
      <c r="BY219" s="370"/>
      <c r="BZ219" s="370"/>
      <c r="CA219" s="370"/>
      <c r="CB219" s="370"/>
      <c r="CC219" s="505"/>
      <c r="CD219" s="505"/>
      <c r="CE219" s="505"/>
      <c r="CF219" s="505"/>
      <c r="CG219" s="505"/>
      <c r="CH219" s="505"/>
      <c r="CI219" s="505"/>
      <c r="CJ219" s="505"/>
      <c r="CK219" s="505"/>
      <c r="CL219" s="505"/>
      <c r="CM219" s="505"/>
    </row>
    <row r="220" customFormat="false" ht="12.75" hidden="false" customHeight="false" outlineLevel="0" collapsed="false">
      <c r="A220" s="500"/>
      <c r="B220" s="500"/>
      <c r="K220" s="363"/>
      <c r="L220" s="501"/>
      <c r="N220" s="502"/>
      <c r="O220" s="502"/>
      <c r="P220" s="371"/>
      <c r="Q220" s="501"/>
      <c r="R220" s="501"/>
      <c r="U220" s="501"/>
      <c r="V220" s="503"/>
      <c r="W220" s="503"/>
      <c r="X220" s="504"/>
      <c r="Y220" s="504"/>
      <c r="Z220" s="504"/>
      <c r="AA220" s="504"/>
      <c r="AB220" s="504"/>
      <c r="AC220" s="504"/>
      <c r="AF220" s="378"/>
      <c r="AG220" s="378"/>
      <c r="AH220" s="378"/>
      <c r="AI220" s="378"/>
      <c r="AJ220" s="378"/>
      <c r="AM220" s="505"/>
      <c r="AN220" s="505"/>
      <c r="AO220" s="505"/>
      <c r="AP220" s="505"/>
      <c r="AR220" s="370"/>
      <c r="AT220" s="370"/>
      <c r="AV220" s="506"/>
      <c r="AW220" s="370"/>
      <c r="AX220" s="370"/>
      <c r="AY220" s="370"/>
      <c r="AZ220" s="370"/>
      <c r="BA220" s="507"/>
      <c r="BB220" s="505"/>
      <c r="BC220" s="505"/>
      <c r="BD220" s="370"/>
      <c r="BE220" s="370"/>
      <c r="BF220" s="370"/>
      <c r="BG220" s="370"/>
      <c r="BH220" s="370"/>
      <c r="BI220" s="370"/>
      <c r="BJ220" s="370"/>
      <c r="BK220" s="370"/>
      <c r="BL220" s="370"/>
      <c r="BM220" s="370"/>
      <c r="BN220" s="370"/>
      <c r="BO220" s="370"/>
      <c r="BP220" s="370"/>
      <c r="BQ220" s="370"/>
      <c r="BR220" s="370"/>
      <c r="BS220" s="370"/>
      <c r="BV220" s="508"/>
      <c r="BW220" s="369"/>
      <c r="BX220" s="370"/>
      <c r="BY220" s="370"/>
      <c r="BZ220" s="370"/>
      <c r="CA220" s="370"/>
      <c r="CB220" s="370"/>
      <c r="CC220" s="505"/>
      <c r="CD220" s="505"/>
      <c r="CE220" s="505"/>
      <c r="CF220" s="505"/>
      <c r="CG220" s="505"/>
      <c r="CH220" s="505"/>
      <c r="CI220" s="505"/>
      <c r="CJ220" s="505"/>
      <c r="CK220" s="505"/>
      <c r="CL220" s="505"/>
      <c r="CM220" s="505"/>
    </row>
    <row r="221" customFormat="false" ht="12.75" hidden="false" customHeight="false" outlineLevel="0" collapsed="false">
      <c r="A221" s="500"/>
      <c r="B221" s="500"/>
      <c r="K221" s="363"/>
      <c r="L221" s="501"/>
      <c r="N221" s="502"/>
      <c r="O221" s="502"/>
      <c r="P221" s="371"/>
      <c r="Q221" s="501"/>
      <c r="R221" s="501"/>
      <c r="U221" s="501"/>
      <c r="V221" s="503"/>
      <c r="W221" s="503"/>
      <c r="X221" s="504"/>
      <c r="Y221" s="504"/>
      <c r="Z221" s="504"/>
      <c r="AA221" s="504"/>
      <c r="AB221" s="504"/>
      <c r="AC221" s="504"/>
      <c r="AF221" s="378"/>
      <c r="AG221" s="378"/>
      <c r="AH221" s="378"/>
      <c r="AI221" s="378"/>
      <c r="AJ221" s="378"/>
      <c r="AM221" s="505"/>
      <c r="AN221" s="505"/>
      <c r="AO221" s="505"/>
      <c r="AP221" s="505"/>
      <c r="AR221" s="370"/>
      <c r="AT221" s="370"/>
      <c r="AV221" s="506"/>
      <c r="AW221" s="370"/>
      <c r="AX221" s="370"/>
      <c r="AY221" s="370"/>
      <c r="AZ221" s="370"/>
      <c r="BA221" s="507"/>
      <c r="BB221" s="505"/>
      <c r="BC221" s="505"/>
      <c r="BD221" s="370"/>
      <c r="BE221" s="370"/>
      <c r="BF221" s="370"/>
      <c r="BG221" s="370"/>
      <c r="BH221" s="370"/>
      <c r="BI221" s="370"/>
      <c r="BJ221" s="370"/>
      <c r="BK221" s="370"/>
      <c r="BL221" s="370"/>
      <c r="BM221" s="370"/>
      <c r="BN221" s="370"/>
      <c r="BO221" s="370"/>
      <c r="BP221" s="370"/>
      <c r="BQ221" s="370"/>
      <c r="BR221" s="370"/>
      <c r="BS221" s="370"/>
      <c r="BV221" s="508"/>
      <c r="BW221" s="369"/>
      <c r="BX221" s="370"/>
      <c r="BY221" s="370"/>
      <c r="BZ221" s="370"/>
      <c r="CA221" s="370"/>
      <c r="CB221" s="370"/>
      <c r="CC221" s="505"/>
      <c r="CD221" s="505"/>
      <c r="CE221" s="505"/>
      <c r="CF221" s="505"/>
      <c r="CG221" s="505"/>
      <c r="CH221" s="505"/>
      <c r="CI221" s="505"/>
      <c r="CJ221" s="505"/>
      <c r="CK221" s="505"/>
      <c r="CL221" s="505"/>
      <c r="CM221" s="505"/>
    </row>
    <row r="222" customFormat="false" ht="12.75" hidden="false" customHeight="false" outlineLevel="0" collapsed="false">
      <c r="A222" s="500"/>
      <c r="B222" s="500"/>
      <c r="K222" s="363"/>
      <c r="L222" s="501"/>
      <c r="N222" s="502"/>
      <c r="O222" s="502"/>
      <c r="P222" s="371"/>
      <c r="Q222" s="501"/>
      <c r="R222" s="501"/>
      <c r="U222" s="501"/>
      <c r="V222" s="503"/>
      <c r="W222" s="503"/>
      <c r="X222" s="504"/>
      <c r="Y222" s="504"/>
      <c r="Z222" s="504"/>
      <c r="AA222" s="504"/>
      <c r="AB222" s="504"/>
      <c r="AC222" s="504"/>
      <c r="AF222" s="378"/>
      <c r="AG222" s="378"/>
      <c r="AH222" s="378"/>
      <c r="AI222" s="378"/>
      <c r="AJ222" s="378"/>
      <c r="AM222" s="505"/>
      <c r="AN222" s="505"/>
      <c r="AO222" s="505"/>
      <c r="AP222" s="505"/>
      <c r="AR222" s="370"/>
      <c r="AT222" s="370"/>
      <c r="AV222" s="506"/>
      <c r="AW222" s="370"/>
      <c r="AX222" s="370"/>
      <c r="AY222" s="370"/>
      <c r="AZ222" s="370"/>
      <c r="BA222" s="507"/>
      <c r="BB222" s="505"/>
      <c r="BC222" s="505"/>
      <c r="BD222" s="370"/>
      <c r="BE222" s="370"/>
      <c r="BF222" s="370"/>
      <c r="BG222" s="370"/>
      <c r="BH222" s="370"/>
      <c r="BI222" s="370"/>
      <c r="BJ222" s="370"/>
      <c r="BK222" s="370"/>
      <c r="BL222" s="370"/>
      <c r="BM222" s="370"/>
      <c r="BN222" s="370"/>
      <c r="BO222" s="370"/>
      <c r="BP222" s="370"/>
      <c r="BQ222" s="370"/>
      <c r="BR222" s="370"/>
      <c r="BS222" s="370"/>
      <c r="BV222" s="508"/>
      <c r="BW222" s="369"/>
      <c r="BX222" s="370"/>
      <c r="BY222" s="370"/>
      <c r="BZ222" s="370"/>
      <c r="CA222" s="370"/>
      <c r="CB222" s="370"/>
      <c r="CC222" s="505"/>
      <c r="CD222" s="505"/>
      <c r="CE222" s="505"/>
      <c r="CF222" s="505"/>
      <c r="CG222" s="505"/>
      <c r="CH222" s="505"/>
      <c r="CI222" s="505"/>
      <c r="CJ222" s="505"/>
      <c r="CK222" s="505"/>
      <c r="CL222" s="505"/>
      <c r="CM222" s="505"/>
    </row>
    <row r="223" customFormat="false" ht="12.75" hidden="false" customHeight="false" outlineLevel="0" collapsed="false">
      <c r="A223" s="500"/>
      <c r="B223" s="500"/>
      <c r="K223" s="363"/>
      <c r="L223" s="501"/>
      <c r="N223" s="502"/>
      <c r="O223" s="502"/>
      <c r="P223" s="371"/>
      <c r="Q223" s="501"/>
      <c r="R223" s="501"/>
      <c r="U223" s="501"/>
      <c r="V223" s="503"/>
      <c r="W223" s="503"/>
      <c r="X223" s="504"/>
      <c r="Y223" s="504"/>
      <c r="Z223" s="504"/>
      <c r="AA223" s="504"/>
      <c r="AB223" s="504"/>
      <c r="AC223" s="504"/>
      <c r="AF223" s="378"/>
      <c r="AG223" s="378"/>
      <c r="AH223" s="378"/>
      <c r="AI223" s="378"/>
      <c r="AJ223" s="378"/>
      <c r="AM223" s="505"/>
      <c r="AN223" s="505"/>
      <c r="AO223" s="505"/>
      <c r="AP223" s="505"/>
      <c r="AR223" s="370"/>
      <c r="AT223" s="370"/>
      <c r="AV223" s="506"/>
      <c r="AW223" s="370"/>
      <c r="AX223" s="370"/>
      <c r="AY223" s="370"/>
      <c r="AZ223" s="370"/>
      <c r="BA223" s="507"/>
      <c r="BB223" s="505"/>
      <c r="BC223" s="505"/>
      <c r="BD223" s="370"/>
      <c r="BE223" s="370"/>
      <c r="BF223" s="370"/>
      <c r="BG223" s="370"/>
      <c r="BH223" s="370"/>
      <c r="BI223" s="370"/>
      <c r="BJ223" s="370"/>
      <c r="BK223" s="370"/>
      <c r="BL223" s="370"/>
      <c r="BM223" s="370"/>
      <c r="BN223" s="370"/>
      <c r="BO223" s="370"/>
      <c r="BP223" s="370"/>
      <c r="BQ223" s="370"/>
      <c r="BR223" s="370"/>
      <c r="BS223" s="370"/>
      <c r="BV223" s="508"/>
      <c r="BW223" s="369"/>
      <c r="BX223" s="370"/>
      <c r="BY223" s="370"/>
      <c r="BZ223" s="370"/>
      <c r="CA223" s="370"/>
      <c r="CB223" s="370"/>
      <c r="CC223" s="505"/>
      <c r="CD223" s="505"/>
      <c r="CE223" s="505"/>
      <c r="CF223" s="505"/>
      <c r="CG223" s="505"/>
      <c r="CH223" s="505"/>
      <c r="CI223" s="505"/>
      <c r="CJ223" s="505"/>
      <c r="CK223" s="505"/>
      <c r="CL223" s="505"/>
      <c r="CM223" s="505"/>
    </row>
    <row r="224" customFormat="false" ht="12.75" hidden="false" customHeight="false" outlineLevel="0" collapsed="false">
      <c r="A224" s="500"/>
      <c r="B224" s="500"/>
      <c r="K224" s="363"/>
      <c r="L224" s="501"/>
      <c r="N224" s="502"/>
      <c r="O224" s="502"/>
      <c r="P224" s="371"/>
      <c r="Q224" s="501"/>
      <c r="R224" s="501"/>
      <c r="U224" s="501"/>
      <c r="V224" s="503"/>
      <c r="W224" s="503"/>
      <c r="X224" s="504"/>
      <c r="Y224" s="504"/>
      <c r="Z224" s="504"/>
      <c r="AA224" s="504"/>
      <c r="AB224" s="504"/>
      <c r="AC224" s="504"/>
      <c r="AF224" s="378"/>
      <c r="AG224" s="378"/>
      <c r="AH224" s="378"/>
      <c r="AI224" s="378"/>
      <c r="AJ224" s="378"/>
      <c r="AM224" s="505"/>
      <c r="AN224" s="505"/>
      <c r="AO224" s="505"/>
      <c r="AP224" s="505"/>
      <c r="AR224" s="370"/>
      <c r="AT224" s="370"/>
      <c r="AV224" s="506"/>
      <c r="AW224" s="370"/>
      <c r="AX224" s="370"/>
      <c r="AY224" s="370"/>
      <c r="AZ224" s="370"/>
      <c r="BA224" s="507"/>
      <c r="BB224" s="505"/>
      <c r="BC224" s="505"/>
      <c r="BD224" s="370"/>
      <c r="BE224" s="370"/>
      <c r="BF224" s="370"/>
      <c r="BG224" s="370"/>
      <c r="BH224" s="370"/>
      <c r="BI224" s="370"/>
      <c r="BJ224" s="370"/>
      <c r="BK224" s="370"/>
      <c r="BL224" s="370"/>
      <c r="BM224" s="370"/>
      <c r="BN224" s="370"/>
      <c r="BO224" s="370"/>
      <c r="BP224" s="370"/>
      <c r="BQ224" s="370"/>
      <c r="BR224" s="370"/>
      <c r="BS224" s="370"/>
      <c r="BV224" s="508"/>
      <c r="BW224" s="369"/>
      <c r="BX224" s="370"/>
      <c r="BY224" s="370"/>
      <c r="BZ224" s="370"/>
      <c r="CA224" s="370"/>
      <c r="CB224" s="370"/>
      <c r="CC224" s="505"/>
      <c r="CD224" s="505"/>
      <c r="CE224" s="505"/>
      <c r="CF224" s="505"/>
      <c r="CG224" s="505"/>
      <c r="CH224" s="505"/>
      <c r="CI224" s="505"/>
      <c r="CJ224" s="505"/>
      <c r="CK224" s="505"/>
      <c r="CL224" s="505"/>
      <c r="CM224" s="505"/>
    </row>
    <row r="225" customFormat="false" ht="12.75" hidden="false" customHeight="false" outlineLevel="0" collapsed="false">
      <c r="A225" s="500"/>
      <c r="B225" s="500"/>
      <c r="K225" s="363"/>
      <c r="L225" s="501"/>
      <c r="N225" s="502"/>
      <c r="O225" s="502"/>
      <c r="P225" s="371"/>
      <c r="Q225" s="501"/>
      <c r="R225" s="501"/>
      <c r="U225" s="501"/>
      <c r="V225" s="503"/>
      <c r="W225" s="503"/>
      <c r="X225" s="504"/>
      <c r="Y225" s="504"/>
      <c r="Z225" s="504"/>
      <c r="AA225" s="504"/>
      <c r="AB225" s="504"/>
      <c r="AC225" s="504"/>
      <c r="AF225" s="378"/>
      <c r="AG225" s="378"/>
      <c r="AH225" s="378"/>
      <c r="AI225" s="378"/>
      <c r="AJ225" s="378"/>
      <c r="AM225" s="505"/>
      <c r="AN225" s="505"/>
      <c r="AO225" s="505"/>
      <c r="AP225" s="505"/>
      <c r="AR225" s="370"/>
      <c r="AT225" s="370"/>
      <c r="AV225" s="506"/>
      <c r="AW225" s="370"/>
      <c r="AX225" s="370"/>
      <c r="AY225" s="370"/>
      <c r="AZ225" s="370"/>
      <c r="BA225" s="507"/>
      <c r="BB225" s="505"/>
      <c r="BC225" s="505"/>
      <c r="BD225" s="370"/>
      <c r="BE225" s="370"/>
      <c r="BF225" s="370"/>
      <c r="BG225" s="370"/>
      <c r="BH225" s="370"/>
      <c r="BI225" s="370"/>
      <c r="BJ225" s="370"/>
      <c r="BK225" s="370"/>
      <c r="BL225" s="370"/>
      <c r="BM225" s="370"/>
      <c r="BN225" s="370"/>
      <c r="BO225" s="370"/>
      <c r="BP225" s="370"/>
      <c r="BQ225" s="370"/>
      <c r="BR225" s="370"/>
      <c r="BS225" s="370"/>
      <c r="BV225" s="508"/>
      <c r="BW225" s="369"/>
      <c r="BX225" s="370"/>
      <c r="BY225" s="370"/>
      <c r="BZ225" s="370"/>
      <c r="CA225" s="370"/>
      <c r="CB225" s="370"/>
      <c r="CC225" s="505"/>
      <c r="CD225" s="505"/>
      <c r="CE225" s="505"/>
      <c r="CF225" s="505"/>
      <c r="CG225" s="505"/>
      <c r="CH225" s="505"/>
      <c r="CI225" s="505"/>
      <c r="CJ225" s="505"/>
      <c r="CK225" s="505"/>
      <c r="CL225" s="505"/>
      <c r="CM225" s="505"/>
    </row>
    <row r="226" customFormat="false" ht="12.75" hidden="false" customHeight="false" outlineLevel="0" collapsed="false">
      <c r="A226" s="500"/>
      <c r="B226" s="500"/>
      <c r="K226" s="363"/>
      <c r="L226" s="501"/>
      <c r="N226" s="502"/>
      <c r="O226" s="502"/>
      <c r="P226" s="371"/>
      <c r="Q226" s="501"/>
      <c r="R226" s="501"/>
      <c r="U226" s="501"/>
      <c r="V226" s="503"/>
      <c r="W226" s="503"/>
      <c r="X226" s="504"/>
      <c r="Y226" s="504"/>
      <c r="Z226" s="504"/>
      <c r="AA226" s="504"/>
      <c r="AB226" s="504"/>
      <c r="AC226" s="504"/>
      <c r="AF226" s="378"/>
      <c r="AG226" s="378"/>
      <c r="AH226" s="378"/>
      <c r="AI226" s="378"/>
      <c r="AJ226" s="378"/>
      <c r="AM226" s="505"/>
      <c r="AN226" s="505"/>
      <c r="AO226" s="505"/>
      <c r="AP226" s="505"/>
      <c r="AR226" s="370"/>
      <c r="AT226" s="370"/>
      <c r="AV226" s="506"/>
      <c r="AW226" s="370"/>
      <c r="AX226" s="370"/>
      <c r="AY226" s="370"/>
      <c r="AZ226" s="370"/>
      <c r="BA226" s="507"/>
      <c r="BB226" s="505"/>
      <c r="BC226" s="505"/>
      <c r="BD226" s="370"/>
      <c r="BE226" s="370"/>
      <c r="BF226" s="370"/>
      <c r="BG226" s="370"/>
      <c r="BH226" s="370"/>
      <c r="BI226" s="370"/>
      <c r="BJ226" s="370"/>
      <c r="BK226" s="370"/>
      <c r="BL226" s="370"/>
      <c r="BM226" s="370"/>
      <c r="BN226" s="370"/>
      <c r="BO226" s="370"/>
      <c r="BP226" s="370"/>
      <c r="BQ226" s="370"/>
      <c r="BR226" s="370"/>
      <c r="BS226" s="370"/>
      <c r="BV226" s="508"/>
      <c r="BW226" s="369"/>
      <c r="BX226" s="370"/>
      <c r="BY226" s="370"/>
      <c r="BZ226" s="370"/>
      <c r="CA226" s="370"/>
      <c r="CB226" s="370"/>
      <c r="CC226" s="505"/>
      <c r="CD226" s="505"/>
      <c r="CE226" s="505"/>
      <c r="CF226" s="505"/>
      <c r="CG226" s="505"/>
      <c r="CH226" s="505"/>
      <c r="CI226" s="505"/>
      <c r="CJ226" s="505"/>
      <c r="CK226" s="505"/>
      <c r="CL226" s="505"/>
      <c r="CM226" s="505"/>
    </row>
    <row r="227" customFormat="false" ht="12.75" hidden="false" customHeight="false" outlineLevel="0" collapsed="false">
      <c r="A227" s="500"/>
      <c r="B227" s="500"/>
      <c r="K227" s="363"/>
      <c r="L227" s="501"/>
      <c r="N227" s="502"/>
      <c r="O227" s="502"/>
      <c r="P227" s="371"/>
      <c r="Q227" s="501"/>
      <c r="R227" s="501"/>
      <c r="U227" s="501"/>
      <c r="V227" s="503"/>
      <c r="W227" s="503"/>
      <c r="X227" s="504"/>
      <c r="Y227" s="504"/>
      <c r="Z227" s="504"/>
      <c r="AA227" s="504"/>
      <c r="AB227" s="504"/>
      <c r="AC227" s="504"/>
      <c r="AF227" s="378"/>
      <c r="AG227" s="378"/>
      <c r="AH227" s="378"/>
      <c r="AI227" s="378"/>
      <c r="AJ227" s="378"/>
      <c r="AM227" s="505"/>
      <c r="AN227" s="505"/>
      <c r="AO227" s="505"/>
      <c r="AP227" s="505"/>
      <c r="AR227" s="370"/>
      <c r="AT227" s="370"/>
      <c r="AV227" s="506"/>
      <c r="AW227" s="370"/>
      <c r="AX227" s="370"/>
      <c r="AY227" s="370"/>
      <c r="AZ227" s="370"/>
      <c r="BA227" s="507"/>
      <c r="BB227" s="505"/>
      <c r="BC227" s="505"/>
      <c r="BD227" s="370"/>
      <c r="BE227" s="370"/>
      <c r="BF227" s="370"/>
      <c r="BG227" s="370"/>
      <c r="BH227" s="370"/>
      <c r="BI227" s="370"/>
      <c r="BJ227" s="370"/>
      <c r="BK227" s="370"/>
      <c r="BL227" s="370"/>
      <c r="BM227" s="370"/>
      <c r="BN227" s="370"/>
      <c r="BO227" s="370"/>
      <c r="BP227" s="370"/>
      <c r="BQ227" s="370"/>
      <c r="BR227" s="370"/>
      <c r="BS227" s="370"/>
      <c r="BV227" s="508"/>
      <c r="BW227" s="369"/>
      <c r="BX227" s="370"/>
      <c r="BY227" s="370"/>
      <c r="BZ227" s="370"/>
      <c r="CA227" s="370"/>
      <c r="CB227" s="370"/>
      <c r="CC227" s="505"/>
      <c r="CD227" s="505"/>
      <c r="CE227" s="505"/>
      <c r="CF227" s="505"/>
      <c r="CG227" s="505"/>
      <c r="CH227" s="505"/>
      <c r="CI227" s="505"/>
      <c r="CJ227" s="505"/>
      <c r="CK227" s="505"/>
      <c r="CL227" s="505"/>
      <c r="CM227" s="505"/>
    </row>
    <row r="228" customFormat="false" ht="12.75" hidden="false" customHeight="false" outlineLevel="0" collapsed="false">
      <c r="A228" s="500"/>
      <c r="B228" s="500"/>
      <c r="K228" s="363"/>
      <c r="L228" s="501"/>
      <c r="N228" s="502"/>
      <c r="O228" s="502"/>
      <c r="P228" s="371"/>
      <c r="Q228" s="501"/>
      <c r="R228" s="501"/>
      <c r="U228" s="501"/>
      <c r="V228" s="503"/>
      <c r="W228" s="503"/>
      <c r="X228" s="504"/>
      <c r="Y228" s="504"/>
      <c r="Z228" s="504"/>
      <c r="AA228" s="504"/>
      <c r="AB228" s="504"/>
      <c r="AC228" s="504"/>
      <c r="AF228" s="378"/>
      <c r="AG228" s="378"/>
      <c r="AH228" s="378"/>
      <c r="AI228" s="378"/>
      <c r="AJ228" s="378"/>
      <c r="AM228" s="505"/>
      <c r="AN228" s="505"/>
      <c r="AO228" s="505"/>
      <c r="AP228" s="505"/>
      <c r="AR228" s="370"/>
      <c r="AT228" s="370"/>
      <c r="AV228" s="506"/>
      <c r="AW228" s="370"/>
      <c r="AX228" s="370"/>
      <c r="AY228" s="370"/>
      <c r="AZ228" s="370"/>
      <c r="BA228" s="507"/>
      <c r="BB228" s="505"/>
      <c r="BC228" s="505"/>
      <c r="BD228" s="370"/>
      <c r="BE228" s="370"/>
      <c r="BF228" s="370"/>
      <c r="BG228" s="370"/>
      <c r="BH228" s="370"/>
      <c r="BI228" s="370"/>
      <c r="BJ228" s="370"/>
      <c r="BK228" s="370"/>
      <c r="BL228" s="370"/>
      <c r="BM228" s="370"/>
      <c r="BN228" s="370"/>
      <c r="BO228" s="370"/>
      <c r="BP228" s="370"/>
      <c r="BQ228" s="370"/>
      <c r="BR228" s="370"/>
      <c r="BS228" s="370"/>
      <c r="BV228" s="508"/>
      <c r="BW228" s="369"/>
      <c r="BX228" s="370"/>
      <c r="BY228" s="370"/>
      <c r="BZ228" s="370"/>
      <c r="CA228" s="370"/>
      <c r="CB228" s="370"/>
      <c r="CC228" s="505"/>
      <c r="CD228" s="505"/>
      <c r="CE228" s="505"/>
      <c r="CF228" s="505"/>
      <c r="CG228" s="505"/>
      <c r="CH228" s="505"/>
      <c r="CI228" s="505"/>
      <c r="CJ228" s="505"/>
      <c r="CK228" s="505"/>
      <c r="CL228" s="505"/>
      <c r="CM228" s="505"/>
    </row>
    <row r="229" customFormat="false" ht="12.75" hidden="false" customHeight="false" outlineLevel="0" collapsed="false">
      <c r="A229" s="500"/>
      <c r="B229" s="500"/>
      <c r="K229" s="363"/>
      <c r="L229" s="501"/>
      <c r="N229" s="502"/>
      <c r="O229" s="502"/>
      <c r="P229" s="371"/>
      <c r="Q229" s="501"/>
      <c r="R229" s="501"/>
      <c r="U229" s="501"/>
      <c r="V229" s="503"/>
      <c r="W229" s="503"/>
      <c r="X229" s="504"/>
      <c r="Y229" s="504"/>
      <c r="Z229" s="504"/>
      <c r="AA229" s="504"/>
      <c r="AB229" s="504"/>
      <c r="AC229" s="504"/>
      <c r="AF229" s="378"/>
      <c r="AG229" s="378"/>
      <c r="AH229" s="378"/>
      <c r="AI229" s="378"/>
      <c r="AJ229" s="378"/>
      <c r="AM229" s="505"/>
      <c r="AN229" s="505"/>
      <c r="AO229" s="505"/>
      <c r="AP229" s="505"/>
      <c r="AR229" s="370"/>
      <c r="AT229" s="370"/>
      <c r="AV229" s="506"/>
      <c r="AW229" s="370"/>
      <c r="AX229" s="370"/>
      <c r="AY229" s="370"/>
      <c r="AZ229" s="370"/>
      <c r="BA229" s="507"/>
      <c r="BB229" s="505"/>
      <c r="BC229" s="505"/>
      <c r="BD229" s="370"/>
      <c r="BE229" s="370"/>
      <c r="BF229" s="370"/>
      <c r="BG229" s="370"/>
      <c r="BH229" s="370"/>
      <c r="BI229" s="370"/>
      <c r="BJ229" s="370"/>
      <c r="BK229" s="370"/>
      <c r="BL229" s="370"/>
      <c r="BM229" s="370"/>
      <c r="BN229" s="370"/>
      <c r="BO229" s="370"/>
      <c r="BP229" s="370"/>
      <c r="BQ229" s="370"/>
      <c r="BR229" s="370"/>
      <c r="BS229" s="370"/>
      <c r="BV229" s="508"/>
      <c r="BW229" s="369"/>
      <c r="BX229" s="370"/>
      <c r="BY229" s="370"/>
      <c r="BZ229" s="370"/>
      <c r="CA229" s="370"/>
      <c r="CB229" s="370"/>
      <c r="CC229" s="505"/>
      <c r="CD229" s="505"/>
      <c r="CE229" s="505"/>
      <c r="CF229" s="505"/>
      <c r="CG229" s="505"/>
      <c r="CH229" s="505"/>
      <c r="CI229" s="505"/>
      <c r="CJ229" s="505"/>
      <c r="CK229" s="505"/>
      <c r="CL229" s="505"/>
      <c r="CM229" s="505"/>
    </row>
    <row r="230" customFormat="false" ht="12.75" hidden="false" customHeight="false" outlineLevel="0" collapsed="false">
      <c r="A230" s="500"/>
      <c r="B230" s="500"/>
      <c r="K230" s="363"/>
      <c r="L230" s="501"/>
      <c r="N230" s="502"/>
      <c r="O230" s="502"/>
      <c r="P230" s="371"/>
      <c r="Q230" s="501"/>
      <c r="R230" s="501"/>
      <c r="U230" s="501"/>
      <c r="V230" s="503"/>
      <c r="W230" s="503"/>
      <c r="X230" s="504"/>
      <c r="Y230" s="504"/>
      <c r="Z230" s="504"/>
      <c r="AA230" s="504"/>
      <c r="AB230" s="504"/>
      <c r="AC230" s="504"/>
      <c r="AF230" s="378"/>
      <c r="AG230" s="378"/>
      <c r="AH230" s="378"/>
      <c r="AI230" s="378"/>
      <c r="AJ230" s="378"/>
      <c r="AM230" s="505"/>
      <c r="AN230" s="505"/>
      <c r="AO230" s="505"/>
      <c r="AP230" s="505"/>
      <c r="AR230" s="370"/>
      <c r="AT230" s="370"/>
      <c r="AV230" s="506"/>
      <c r="AW230" s="370"/>
      <c r="AX230" s="370"/>
      <c r="AY230" s="370"/>
      <c r="AZ230" s="370"/>
      <c r="BA230" s="507"/>
      <c r="BB230" s="505"/>
      <c r="BC230" s="505"/>
      <c r="BD230" s="370"/>
      <c r="BE230" s="370"/>
      <c r="BF230" s="370"/>
      <c r="BG230" s="370"/>
      <c r="BH230" s="370"/>
      <c r="BI230" s="370"/>
      <c r="BJ230" s="370"/>
      <c r="BK230" s="370"/>
      <c r="BL230" s="370"/>
      <c r="BM230" s="370"/>
      <c r="BN230" s="370"/>
      <c r="BO230" s="370"/>
      <c r="BP230" s="370"/>
      <c r="BQ230" s="370"/>
      <c r="BR230" s="370"/>
      <c r="BS230" s="370"/>
      <c r="BV230" s="508"/>
      <c r="BW230" s="369"/>
      <c r="BX230" s="370"/>
      <c r="BY230" s="370"/>
      <c r="BZ230" s="370"/>
      <c r="CA230" s="370"/>
      <c r="CB230" s="370"/>
      <c r="CC230" s="505"/>
      <c r="CD230" s="505"/>
      <c r="CE230" s="505"/>
      <c r="CF230" s="505"/>
      <c r="CG230" s="505"/>
      <c r="CH230" s="505"/>
      <c r="CI230" s="505"/>
      <c r="CJ230" s="505"/>
      <c r="CK230" s="505"/>
      <c r="CL230" s="505"/>
      <c r="CM230" s="505"/>
    </row>
    <row r="231" customFormat="false" ht="12.75" hidden="false" customHeight="false" outlineLevel="0" collapsed="false">
      <c r="A231" s="500"/>
      <c r="B231" s="500"/>
      <c r="K231" s="363"/>
      <c r="L231" s="501"/>
      <c r="N231" s="502"/>
      <c r="O231" s="502"/>
      <c r="P231" s="371"/>
      <c r="Q231" s="501"/>
      <c r="R231" s="501"/>
      <c r="U231" s="501"/>
      <c r="V231" s="503"/>
      <c r="W231" s="503"/>
      <c r="X231" s="504"/>
      <c r="Y231" s="504"/>
      <c r="Z231" s="504"/>
      <c r="AA231" s="504"/>
      <c r="AB231" s="504"/>
      <c r="AC231" s="504"/>
      <c r="AF231" s="378"/>
      <c r="AG231" s="378"/>
      <c r="AH231" s="378"/>
      <c r="AI231" s="378"/>
      <c r="AJ231" s="378"/>
      <c r="AM231" s="505"/>
      <c r="AN231" s="505"/>
      <c r="AO231" s="505"/>
      <c r="AP231" s="505"/>
      <c r="AR231" s="370"/>
      <c r="AT231" s="370"/>
      <c r="AV231" s="506"/>
      <c r="AW231" s="370"/>
      <c r="AX231" s="370"/>
      <c r="AY231" s="370"/>
      <c r="AZ231" s="370"/>
      <c r="BA231" s="507"/>
      <c r="BB231" s="505"/>
      <c r="BC231" s="505"/>
      <c r="BD231" s="370"/>
      <c r="BE231" s="370"/>
      <c r="BF231" s="370"/>
      <c r="BG231" s="370"/>
      <c r="BH231" s="370"/>
      <c r="BI231" s="370"/>
      <c r="BJ231" s="370"/>
      <c r="BK231" s="370"/>
      <c r="BL231" s="370"/>
      <c r="BM231" s="370"/>
      <c r="BN231" s="370"/>
      <c r="BO231" s="370"/>
      <c r="BP231" s="370"/>
      <c r="BQ231" s="370"/>
      <c r="BR231" s="370"/>
      <c r="BS231" s="370"/>
      <c r="BV231" s="508"/>
      <c r="BW231" s="369"/>
      <c r="BX231" s="370"/>
      <c r="BY231" s="370"/>
      <c r="BZ231" s="370"/>
      <c r="CA231" s="370"/>
      <c r="CB231" s="370"/>
      <c r="CC231" s="505"/>
      <c r="CD231" s="505"/>
      <c r="CE231" s="505"/>
      <c r="CF231" s="505"/>
      <c r="CG231" s="505"/>
      <c r="CH231" s="505"/>
      <c r="CI231" s="505"/>
      <c r="CJ231" s="505"/>
      <c r="CK231" s="505"/>
      <c r="CL231" s="505"/>
      <c r="CM231" s="505"/>
    </row>
    <row r="232" customFormat="false" ht="12.75" hidden="false" customHeight="false" outlineLevel="0" collapsed="false">
      <c r="A232" s="500"/>
      <c r="B232" s="500"/>
      <c r="K232" s="363"/>
      <c r="L232" s="501"/>
      <c r="N232" s="502"/>
      <c r="O232" s="502"/>
      <c r="P232" s="371"/>
      <c r="Q232" s="501"/>
      <c r="R232" s="501"/>
      <c r="U232" s="501"/>
      <c r="V232" s="503"/>
      <c r="W232" s="503"/>
      <c r="X232" s="504"/>
      <c r="Y232" s="504"/>
      <c r="Z232" s="504"/>
      <c r="AA232" s="504"/>
      <c r="AB232" s="504"/>
      <c r="AC232" s="504"/>
      <c r="AF232" s="378"/>
      <c r="AG232" s="378"/>
      <c r="AH232" s="378"/>
      <c r="AI232" s="378"/>
      <c r="AJ232" s="378"/>
      <c r="AM232" s="505"/>
      <c r="AN232" s="505"/>
      <c r="AO232" s="505"/>
      <c r="AP232" s="505"/>
      <c r="AR232" s="370"/>
      <c r="AT232" s="370"/>
      <c r="AV232" s="506"/>
      <c r="AW232" s="370"/>
      <c r="AX232" s="370"/>
      <c r="AY232" s="370"/>
      <c r="AZ232" s="370"/>
      <c r="BA232" s="507"/>
      <c r="BB232" s="505"/>
      <c r="BC232" s="505"/>
      <c r="BD232" s="370"/>
      <c r="BE232" s="370"/>
      <c r="BF232" s="370"/>
      <c r="BG232" s="370"/>
      <c r="BH232" s="370"/>
      <c r="BI232" s="370"/>
      <c r="BJ232" s="370"/>
      <c r="BK232" s="370"/>
      <c r="BL232" s="370"/>
      <c r="BM232" s="370"/>
      <c r="BN232" s="370"/>
      <c r="BO232" s="370"/>
      <c r="BP232" s="370"/>
      <c r="BQ232" s="370"/>
      <c r="BR232" s="370"/>
      <c r="BS232" s="370"/>
      <c r="BV232" s="508"/>
      <c r="BW232" s="369"/>
      <c r="BX232" s="370"/>
      <c r="BY232" s="370"/>
      <c r="BZ232" s="370"/>
      <c r="CA232" s="370"/>
      <c r="CB232" s="370"/>
      <c r="CC232" s="505"/>
      <c r="CD232" s="505"/>
      <c r="CE232" s="505"/>
      <c r="CF232" s="505"/>
      <c r="CG232" s="505"/>
      <c r="CH232" s="505"/>
      <c r="CI232" s="505"/>
      <c r="CJ232" s="505"/>
      <c r="CK232" s="505"/>
      <c r="CL232" s="505"/>
      <c r="CM232" s="505"/>
    </row>
    <row r="233" customFormat="false" ht="12.75" hidden="false" customHeight="false" outlineLevel="0" collapsed="false">
      <c r="A233" s="500"/>
      <c r="B233" s="500"/>
      <c r="K233" s="363"/>
      <c r="L233" s="501"/>
      <c r="N233" s="502"/>
      <c r="O233" s="502"/>
      <c r="P233" s="371"/>
      <c r="Q233" s="501"/>
      <c r="R233" s="501"/>
      <c r="U233" s="501"/>
      <c r="V233" s="503"/>
      <c r="W233" s="503"/>
      <c r="X233" s="504"/>
      <c r="Y233" s="504"/>
      <c r="Z233" s="504"/>
      <c r="AA233" s="504"/>
      <c r="AB233" s="504"/>
      <c r="AC233" s="504"/>
      <c r="AF233" s="378"/>
      <c r="AG233" s="378"/>
      <c r="AH233" s="378"/>
      <c r="AI233" s="378"/>
      <c r="AJ233" s="378"/>
      <c r="AM233" s="505"/>
      <c r="AN233" s="505"/>
      <c r="AO233" s="505"/>
      <c r="AP233" s="505"/>
      <c r="AR233" s="370"/>
      <c r="AT233" s="370"/>
      <c r="AV233" s="506"/>
      <c r="AW233" s="370"/>
      <c r="AX233" s="370"/>
      <c r="AY233" s="370"/>
      <c r="AZ233" s="370"/>
      <c r="BA233" s="507"/>
      <c r="BB233" s="505"/>
      <c r="BC233" s="505"/>
      <c r="BD233" s="370"/>
      <c r="BE233" s="370"/>
      <c r="BF233" s="370"/>
      <c r="BG233" s="370"/>
      <c r="BH233" s="370"/>
      <c r="BI233" s="370"/>
      <c r="BJ233" s="370"/>
      <c r="BK233" s="370"/>
      <c r="BL233" s="370"/>
      <c r="BM233" s="370"/>
      <c r="BN233" s="370"/>
      <c r="BO233" s="370"/>
      <c r="BP233" s="370"/>
      <c r="BQ233" s="370"/>
      <c r="BR233" s="370"/>
      <c r="BS233" s="370"/>
      <c r="BV233" s="508"/>
      <c r="BW233" s="369"/>
      <c r="BX233" s="370"/>
      <c r="BY233" s="370"/>
      <c r="BZ233" s="370"/>
      <c r="CA233" s="370"/>
      <c r="CB233" s="370"/>
      <c r="CC233" s="505"/>
      <c r="CD233" s="505"/>
      <c r="CE233" s="505"/>
      <c r="CF233" s="505"/>
      <c r="CG233" s="505"/>
      <c r="CH233" s="505"/>
      <c r="CI233" s="505"/>
      <c r="CJ233" s="505"/>
      <c r="CK233" s="505"/>
      <c r="CL233" s="505"/>
      <c r="CM233" s="505"/>
    </row>
    <row r="234" customFormat="false" ht="12.75" hidden="false" customHeight="false" outlineLevel="0" collapsed="false">
      <c r="A234" s="500"/>
      <c r="B234" s="500"/>
      <c r="K234" s="363"/>
      <c r="L234" s="501"/>
      <c r="N234" s="502"/>
      <c r="O234" s="502"/>
      <c r="P234" s="371"/>
      <c r="Q234" s="501"/>
      <c r="R234" s="501"/>
      <c r="U234" s="501"/>
      <c r="V234" s="503"/>
      <c r="W234" s="503"/>
      <c r="X234" s="504"/>
      <c r="Y234" s="504"/>
      <c r="Z234" s="504"/>
      <c r="AA234" s="504"/>
      <c r="AB234" s="504"/>
      <c r="AC234" s="504"/>
      <c r="AF234" s="378"/>
      <c r="AG234" s="378"/>
      <c r="AH234" s="378"/>
      <c r="AI234" s="378"/>
      <c r="AJ234" s="378"/>
      <c r="AM234" s="505"/>
      <c r="AN234" s="505"/>
      <c r="AO234" s="505"/>
      <c r="AP234" s="505"/>
      <c r="AR234" s="370"/>
      <c r="AT234" s="370"/>
      <c r="AV234" s="506"/>
      <c r="AW234" s="370"/>
      <c r="AX234" s="370"/>
      <c r="AY234" s="370"/>
      <c r="AZ234" s="370"/>
      <c r="BA234" s="507"/>
      <c r="BB234" s="505"/>
      <c r="BC234" s="505"/>
      <c r="BD234" s="370"/>
      <c r="BE234" s="370"/>
      <c r="BF234" s="370"/>
      <c r="BG234" s="370"/>
      <c r="BH234" s="370"/>
      <c r="BI234" s="370"/>
      <c r="BJ234" s="370"/>
      <c r="BK234" s="370"/>
      <c r="BL234" s="370"/>
      <c r="BM234" s="370"/>
      <c r="BN234" s="370"/>
      <c r="BO234" s="370"/>
      <c r="BP234" s="370"/>
      <c r="BQ234" s="370"/>
      <c r="BR234" s="370"/>
      <c r="BS234" s="370"/>
      <c r="BV234" s="508"/>
      <c r="BW234" s="369"/>
      <c r="BX234" s="370"/>
      <c r="BY234" s="370"/>
      <c r="BZ234" s="370"/>
      <c r="CA234" s="370"/>
      <c r="CB234" s="370"/>
      <c r="CC234" s="505"/>
      <c r="CD234" s="505"/>
      <c r="CE234" s="505"/>
      <c r="CF234" s="505"/>
      <c r="CG234" s="505"/>
      <c r="CH234" s="505"/>
      <c r="CI234" s="505"/>
      <c r="CJ234" s="505"/>
      <c r="CK234" s="505"/>
      <c r="CL234" s="505"/>
      <c r="CM234" s="505"/>
    </row>
    <row r="235" customFormat="false" ht="12.75" hidden="false" customHeight="false" outlineLevel="0" collapsed="false">
      <c r="A235" s="500"/>
      <c r="B235" s="500"/>
      <c r="K235" s="363"/>
      <c r="L235" s="501"/>
      <c r="N235" s="502"/>
      <c r="O235" s="502"/>
      <c r="P235" s="371"/>
      <c r="Q235" s="501"/>
      <c r="R235" s="501"/>
      <c r="U235" s="501"/>
      <c r="V235" s="503"/>
      <c r="W235" s="503"/>
      <c r="X235" s="504"/>
      <c r="Y235" s="504"/>
      <c r="Z235" s="504"/>
      <c r="AA235" s="504"/>
      <c r="AB235" s="504"/>
      <c r="AC235" s="504"/>
      <c r="AF235" s="378"/>
      <c r="AG235" s="378"/>
      <c r="AH235" s="378"/>
      <c r="AI235" s="378"/>
      <c r="AJ235" s="378"/>
      <c r="AM235" s="505"/>
      <c r="AN235" s="505"/>
      <c r="AO235" s="505"/>
      <c r="AP235" s="505"/>
      <c r="AR235" s="370"/>
      <c r="AT235" s="370"/>
      <c r="AV235" s="506"/>
      <c r="AW235" s="370"/>
      <c r="AX235" s="370"/>
      <c r="AY235" s="370"/>
      <c r="AZ235" s="370"/>
      <c r="BA235" s="507"/>
      <c r="BB235" s="505"/>
      <c r="BC235" s="505"/>
      <c r="BD235" s="370"/>
      <c r="BE235" s="370"/>
      <c r="BF235" s="370"/>
      <c r="BG235" s="370"/>
      <c r="BH235" s="370"/>
      <c r="BI235" s="370"/>
      <c r="BJ235" s="370"/>
      <c r="BK235" s="370"/>
      <c r="BL235" s="370"/>
      <c r="BM235" s="370"/>
      <c r="BN235" s="370"/>
      <c r="BO235" s="370"/>
      <c r="BP235" s="370"/>
      <c r="BQ235" s="370"/>
      <c r="BR235" s="370"/>
      <c r="BS235" s="370"/>
      <c r="BV235" s="508"/>
      <c r="BW235" s="369"/>
      <c r="BX235" s="370"/>
      <c r="BY235" s="370"/>
      <c r="BZ235" s="370"/>
      <c r="CA235" s="370"/>
      <c r="CB235" s="370"/>
      <c r="CC235" s="505"/>
      <c r="CD235" s="505"/>
      <c r="CE235" s="505"/>
      <c r="CF235" s="505"/>
      <c r="CG235" s="505"/>
      <c r="CH235" s="505"/>
      <c r="CI235" s="505"/>
      <c r="CJ235" s="505"/>
      <c r="CK235" s="505"/>
      <c r="CL235" s="505"/>
      <c r="CM235" s="505"/>
    </row>
    <row r="236" customFormat="false" ht="12.75" hidden="false" customHeight="false" outlineLevel="0" collapsed="false">
      <c r="A236" s="500"/>
      <c r="B236" s="500"/>
      <c r="K236" s="363"/>
      <c r="L236" s="501"/>
      <c r="N236" s="502"/>
      <c r="O236" s="502"/>
      <c r="P236" s="371"/>
      <c r="Q236" s="501"/>
      <c r="R236" s="501"/>
      <c r="U236" s="501"/>
      <c r="V236" s="503"/>
      <c r="W236" s="503"/>
      <c r="X236" s="504"/>
      <c r="Y236" s="504"/>
      <c r="Z236" s="504"/>
      <c r="AA236" s="504"/>
      <c r="AB236" s="504"/>
      <c r="AC236" s="504"/>
      <c r="AF236" s="378"/>
      <c r="AG236" s="378"/>
      <c r="AH236" s="378"/>
      <c r="AI236" s="378"/>
      <c r="AJ236" s="378"/>
      <c r="AM236" s="505"/>
      <c r="AN236" s="505"/>
      <c r="AO236" s="505"/>
      <c r="AP236" s="505"/>
      <c r="AR236" s="370"/>
      <c r="AT236" s="370"/>
      <c r="AV236" s="506"/>
      <c r="AW236" s="370"/>
      <c r="AX236" s="370"/>
      <c r="AY236" s="370"/>
      <c r="AZ236" s="370"/>
      <c r="BA236" s="507"/>
      <c r="BB236" s="505"/>
      <c r="BC236" s="505"/>
      <c r="BD236" s="370"/>
      <c r="BE236" s="370"/>
      <c r="BF236" s="370"/>
      <c r="BG236" s="370"/>
      <c r="BH236" s="370"/>
      <c r="BI236" s="370"/>
      <c r="BJ236" s="370"/>
      <c r="BK236" s="370"/>
      <c r="BL236" s="370"/>
      <c r="BM236" s="370"/>
      <c r="BN236" s="370"/>
      <c r="BO236" s="370"/>
      <c r="BP236" s="370"/>
      <c r="BQ236" s="370"/>
      <c r="BR236" s="370"/>
      <c r="BS236" s="370"/>
      <c r="BV236" s="508"/>
      <c r="BW236" s="369"/>
      <c r="BX236" s="370"/>
      <c r="BY236" s="370"/>
      <c r="BZ236" s="370"/>
      <c r="CA236" s="370"/>
      <c r="CB236" s="370"/>
      <c r="CC236" s="505"/>
      <c r="CD236" s="505"/>
      <c r="CE236" s="505"/>
      <c r="CF236" s="505"/>
      <c r="CG236" s="505"/>
      <c r="CH236" s="505"/>
      <c r="CI236" s="505"/>
      <c r="CJ236" s="505"/>
      <c r="CK236" s="505"/>
      <c r="CL236" s="505"/>
      <c r="CM236" s="505"/>
    </row>
    <row r="237" customFormat="false" ht="12.75" hidden="false" customHeight="false" outlineLevel="0" collapsed="false">
      <c r="A237" s="500"/>
      <c r="B237" s="500"/>
      <c r="K237" s="363"/>
      <c r="L237" s="501"/>
      <c r="N237" s="502"/>
      <c r="O237" s="502"/>
      <c r="P237" s="371"/>
      <c r="Q237" s="501"/>
      <c r="R237" s="501"/>
      <c r="U237" s="501"/>
      <c r="V237" s="503"/>
      <c r="W237" s="503"/>
      <c r="X237" s="504"/>
      <c r="Y237" s="504"/>
      <c r="Z237" s="504"/>
      <c r="AA237" s="504"/>
      <c r="AB237" s="504"/>
      <c r="AC237" s="504"/>
      <c r="AF237" s="378"/>
      <c r="AG237" s="378"/>
      <c r="AH237" s="378"/>
      <c r="AI237" s="378"/>
      <c r="AJ237" s="378"/>
      <c r="AM237" s="505"/>
      <c r="AN237" s="505"/>
      <c r="AO237" s="505"/>
      <c r="AP237" s="505"/>
      <c r="AR237" s="370"/>
      <c r="AT237" s="370"/>
      <c r="AV237" s="506"/>
      <c r="AW237" s="370"/>
      <c r="AX237" s="370"/>
      <c r="AY237" s="370"/>
      <c r="AZ237" s="370"/>
      <c r="BA237" s="507"/>
      <c r="BB237" s="505"/>
      <c r="BC237" s="505"/>
      <c r="BD237" s="370"/>
      <c r="BE237" s="370"/>
      <c r="BF237" s="370"/>
      <c r="BG237" s="370"/>
      <c r="BH237" s="370"/>
      <c r="BI237" s="370"/>
      <c r="BJ237" s="370"/>
      <c r="BK237" s="370"/>
      <c r="BL237" s="370"/>
      <c r="BM237" s="370"/>
      <c r="BN237" s="370"/>
      <c r="BO237" s="370"/>
      <c r="BP237" s="370"/>
      <c r="BQ237" s="370"/>
      <c r="BR237" s="370"/>
      <c r="BS237" s="370"/>
      <c r="BV237" s="508"/>
      <c r="BW237" s="369"/>
      <c r="BX237" s="370"/>
      <c r="BY237" s="370"/>
      <c r="BZ237" s="370"/>
      <c r="CA237" s="370"/>
      <c r="CB237" s="370"/>
      <c r="CC237" s="505"/>
      <c r="CD237" s="505"/>
      <c r="CE237" s="505"/>
      <c r="CF237" s="505"/>
      <c r="CG237" s="505"/>
      <c r="CH237" s="505"/>
      <c r="CI237" s="505"/>
      <c r="CJ237" s="505"/>
      <c r="CK237" s="505"/>
      <c r="CL237" s="505"/>
      <c r="CM237" s="505"/>
    </row>
    <row r="238" customFormat="false" ht="12.75" hidden="false" customHeight="false" outlineLevel="0" collapsed="false">
      <c r="A238" s="500"/>
      <c r="B238" s="500"/>
      <c r="K238" s="363"/>
      <c r="L238" s="501"/>
      <c r="N238" s="502"/>
      <c r="O238" s="502"/>
      <c r="P238" s="371"/>
      <c r="Q238" s="501"/>
      <c r="R238" s="501"/>
      <c r="U238" s="501"/>
      <c r="V238" s="503"/>
      <c r="W238" s="503"/>
      <c r="X238" s="504"/>
      <c r="Y238" s="504"/>
      <c r="Z238" s="504"/>
      <c r="AA238" s="504"/>
      <c r="AB238" s="504"/>
      <c r="AC238" s="504"/>
      <c r="AF238" s="378"/>
      <c r="AG238" s="378"/>
      <c r="AH238" s="378"/>
      <c r="AI238" s="378"/>
      <c r="AJ238" s="378"/>
      <c r="AM238" s="505"/>
      <c r="AN238" s="505"/>
      <c r="AO238" s="505"/>
      <c r="AP238" s="505"/>
      <c r="AR238" s="370"/>
      <c r="AT238" s="370"/>
      <c r="AV238" s="506"/>
      <c r="AW238" s="370"/>
      <c r="AX238" s="370"/>
      <c r="AY238" s="370"/>
      <c r="AZ238" s="370"/>
      <c r="BA238" s="507"/>
      <c r="BB238" s="505"/>
      <c r="BC238" s="505"/>
      <c r="BD238" s="370"/>
      <c r="BE238" s="370"/>
      <c r="BF238" s="370"/>
      <c r="BG238" s="370"/>
      <c r="BH238" s="370"/>
      <c r="BI238" s="370"/>
      <c r="BJ238" s="370"/>
      <c r="BK238" s="370"/>
      <c r="BL238" s="370"/>
      <c r="BM238" s="370"/>
      <c r="BN238" s="370"/>
      <c r="BO238" s="370"/>
      <c r="BP238" s="370"/>
      <c r="BQ238" s="370"/>
      <c r="BR238" s="370"/>
      <c r="BS238" s="370"/>
      <c r="BV238" s="508"/>
      <c r="BW238" s="369"/>
      <c r="BX238" s="370"/>
      <c r="BY238" s="370"/>
      <c r="BZ238" s="370"/>
      <c r="CA238" s="370"/>
      <c r="CB238" s="370"/>
      <c r="CC238" s="505"/>
      <c r="CD238" s="505"/>
      <c r="CE238" s="505"/>
      <c r="CF238" s="505"/>
      <c r="CG238" s="505"/>
      <c r="CH238" s="505"/>
      <c r="CI238" s="505"/>
      <c r="CJ238" s="505"/>
      <c r="CK238" s="505"/>
      <c r="CL238" s="505"/>
      <c r="CM238" s="505"/>
    </row>
    <row r="239" customFormat="false" ht="12.75" hidden="false" customHeight="false" outlineLevel="0" collapsed="false">
      <c r="A239" s="500"/>
      <c r="B239" s="500"/>
      <c r="K239" s="363"/>
      <c r="L239" s="501"/>
      <c r="N239" s="502"/>
      <c r="O239" s="502"/>
      <c r="P239" s="371"/>
      <c r="Q239" s="501"/>
      <c r="R239" s="501"/>
      <c r="U239" s="501"/>
      <c r="V239" s="503"/>
      <c r="W239" s="503"/>
      <c r="X239" s="504"/>
      <c r="Y239" s="504"/>
      <c r="Z239" s="504"/>
      <c r="AA239" s="504"/>
      <c r="AB239" s="504"/>
      <c r="AC239" s="504"/>
      <c r="AF239" s="378"/>
      <c r="AG239" s="378"/>
      <c r="AH239" s="378"/>
      <c r="AI239" s="378"/>
      <c r="AJ239" s="378"/>
      <c r="AM239" s="505"/>
      <c r="AN239" s="505"/>
      <c r="AO239" s="505"/>
      <c r="AP239" s="505"/>
      <c r="AR239" s="370"/>
      <c r="AT239" s="370"/>
      <c r="AV239" s="506"/>
      <c r="AW239" s="370"/>
      <c r="AX239" s="370"/>
      <c r="AY239" s="370"/>
      <c r="AZ239" s="370"/>
      <c r="BA239" s="507"/>
      <c r="BB239" s="505"/>
      <c r="BC239" s="505"/>
      <c r="BD239" s="370"/>
      <c r="BE239" s="370"/>
      <c r="BF239" s="370"/>
      <c r="BG239" s="370"/>
      <c r="BH239" s="370"/>
      <c r="BI239" s="370"/>
      <c r="BJ239" s="370"/>
      <c r="BK239" s="370"/>
      <c r="BL239" s="370"/>
      <c r="BM239" s="370"/>
      <c r="BN239" s="370"/>
      <c r="BO239" s="370"/>
      <c r="BP239" s="370"/>
      <c r="BQ239" s="370"/>
      <c r="BR239" s="370"/>
      <c r="BS239" s="370"/>
      <c r="BV239" s="508"/>
      <c r="BW239" s="369"/>
      <c r="BX239" s="370"/>
      <c r="BY239" s="370"/>
      <c r="BZ239" s="370"/>
      <c r="CA239" s="370"/>
      <c r="CB239" s="370"/>
      <c r="CC239" s="505"/>
      <c r="CD239" s="505"/>
      <c r="CE239" s="505"/>
      <c r="CF239" s="505"/>
      <c r="CG239" s="505"/>
      <c r="CH239" s="505"/>
      <c r="CI239" s="505"/>
      <c r="CJ239" s="505"/>
      <c r="CK239" s="505"/>
      <c r="CL239" s="505"/>
      <c r="CM239" s="505"/>
    </row>
    <row r="240" customFormat="false" ht="12.75" hidden="false" customHeight="false" outlineLevel="0" collapsed="false">
      <c r="A240" s="500"/>
      <c r="B240" s="500"/>
      <c r="K240" s="363"/>
      <c r="L240" s="501"/>
      <c r="N240" s="502"/>
      <c r="O240" s="502"/>
      <c r="P240" s="371"/>
      <c r="Q240" s="501"/>
      <c r="R240" s="501"/>
      <c r="U240" s="501"/>
      <c r="V240" s="503"/>
      <c r="W240" s="503"/>
      <c r="X240" s="504"/>
      <c r="Y240" s="504"/>
      <c r="Z240" s="504"/>
      <c r="AA240" s="504"/>
      <c r="AB240" s="504"/>
      <c r="AC240" s="504"/>
      <c r="AF240" s="378"/>
      <c r="AG240" s="378"/>
      <c r="AH240" s="378"/>
      <c r="AI240" s="378"/>
      <c r="AJ240" s="378"/>
      <c r="AM240" s="505"/>
      <c r="AN240" s="505"/>
      <c r="AO240" s="505"/>
      <c r="AP240" s="505"/>
      <c r="AR240" s="370"/>
      <c r="AT240" s="370"/>
      <c r="AV240" s="506"/>
      <c r="AW240" s="370"/>
      <c r="AX240" s="370"/>
      <c r="AY240" s="370"/>
      <c r="AZ240" s="370"/>
      <c r="BA240" s="507"/>
      <c r="BB240" s="505"/>
      <c r="BC240" s="505"/>
      <c r="BD240" s="370"/>
      <c r="BE240" s="370"/>
      <c r="BF240" s="370"/>
      <c r="BG240" s="370"/>
      <c r="BH240" s="370"/>
      <c r="BI240" s="370"/>
      <c r="BJ240" s="370"/>
      <c r="BK240" s="370"/>
      <c r="BL240" s="370"/>
      <c r="BM240" s="370"/>
      <c r="BN240" s="370"/>
      <c r="BO240" s="370"/>
      <c r="BP240" s="370"/>
      <c r="BQ240" s="370"/>
      <c r="BR240" s="370"/>
      <c r="BS240" s="370"/>
      <c r="BV240" s="508"/>
      <c r="BW240" s="369"/>
      <c r="BX240" s="370"/>
      <c r="BY240" s="370"/>
      <c r="BZ240" s="370"/>
      <c r="CA240" s="370"/>
      <c r="CB240" s="370"/>
      <c r="CC240" s="505"/>
      <c r="CD240" s="505"/>
      <c r="CE240" s="505"/>
      <c r="CF240" s="505"/>
      <c r="CG240" s="505"/>
      <c r="CH240" s="505"/>
      <c r="CI240" s="505"/>
      <c r="CJ240" s="505"/>
      <c r="CK240" s="505"/>
      <c r="CL240" s="505"/>
      <c r="CM240" s="505"/>
    </row>
    <row r="241" customFormat="false" ht="12.75" hidden="false" customHeight="false" outlineLevel="0" collapsed="false">
      <c r="A241" s="500"/>
      <c r="B241" s="500"/>
      <c r="K241" s="363"/>
      <c r="L241" s="501"/>
      <c r="N241" s="502"/>
      <c r="O241" s="502"/>
      <c r="P241" s="371"/>
      <c r="Q241" s="501"/>
      <c r="R241" s="501"/>
      <c r="U241" s="501"/>
      <c r="V241" s="503"/>
      <c r="W241" s="503"/>
      <c r="X241" s="504"/>
      <c r="Y241" s="504"/>
      <c r="Z241" s="504"/>
      <c r="AA241" s="504"/>
      <c r="AB241" s="504"/>
      <c r="AC241" s="504"/>
      <c r="AF241" s="378"/>
      <c r="AG241" s="378"/>
      <c r="AH241" s="378"/>
      <c r="AI241" s="378"/>
      <c r="AJ241" s="378"/>
      <c r="AM241" s="505"/>
      <c r="AN241" s="505"/>
      <c r="AO241" s="505"/>
      <c r="AP241" s="505"/>
      <c r="AR241" s="370"/>
      <c r="AT241" s="370"/>
      <c r="AV241" s="506"/>
      <c r="AW241" s="370"/>
      <c r="AX241" s="370"/>
      <c r="AY241" s="370"/>
      <c r="AZ241" s="370"/>
      <c r="BA241" s="507"/>
      <c r="BB241" s="505"/>
      <c r="BC241" s="505"/>
      <c r="BD241" s="370"/>
      <c r="BE241" s="370"/>
      <c r="BF241" s="370"/>
      <c r="BG241" s="370"/>
      <c r="BH241" s="370"/>
      <c r="BI241" s="370"/>
      <c r="BJ241" s="370"/>
      <c r="BK241" s="370"/>
      <c r="BL241" s="370"/>
      <c r="BM241" s="370"/>
      <c r="BN241" s="370"/>
      <c r="BO241" s="370"/>
      <c r="BP241" s="370"/>
      <c r="BQ241" s="370"/>
      <c r="BR241" s="370"/>
      <c r="BS241" s="370"/>
      <c r="BV241" s="508"/>
      <c r="BW241" s="369"/>
      <c r="BX241" s="370"/>
      <c r="BY241" s="370"/>
      <c r="BZ241" s="370"/>
      <c r="CA241" s="370"/>
      <c r="CB241" s="370"/>
      <c r="CC241" s="505"/>
      <c r="CD241" s="505"/>
      <c r="CE241" s="505"/>
      <c r="CF241" s="505"/>
      <c r="CG241" s="505"/>
      <c r="CH241" s="505"/>
      <c r="CI241" s="505"/>
      <c r="CJ241" s="505"/>
      <c r="CK241" s="505"/>
      <c r="CL241" s="505"/>
      <c r="CM241" s="505"/>
    </row>
    <row r="242" customFormat="false" ht="12.75" hidden="false" customHeight="false" outlineLevel="0" collapsed="false">
      <c r="A242" s="500"/>
      <c r="B242" s="500"/>
      <c r="K242" s="363"/>
      <c r="L242" s="501"/>
      <c r="N242" s="502"/>
      <c r="O242" s="502"/>
      <c r="P242" s="371"/>
      <c r="Q242" s="501"/>
      <c r="R242" s="501"/>
      <c r="U242" s="501"/>
      <c r="V242" s="503"/>
      <c r="W242" s="503"/>
      <c r="X242" s="504"/>
      <c r="Y242" s="504"/>
      <c r="Z242" s="504"/>
      <c r="AA242" s="504"/>
      <c r="AB242" s="504"/>
      <c r="AC242" s="504"/>
      <c r="AF242" s="378"/>
      <c r="AG242" s="378"/>
      <c r="AH242" s="378"/>
      <c r="AI242" s="378"/>
      <c r="AJ242" s="378"/>
      <c r="AM242" s="505"/>
      <c r="AN242" s="505"/>
      <c r="AO242" s="505"/>
      <c r="AP242" s="505"/>
      <c r="AR242" s="370"/>
      <c r="AT242" s="370"/>
      <c r="AV242" s="506"/>
      <c r="AW242" s="370"/>
      <c r="AX242" s="370"/>
      <c r="AY242" s="370"/>
      <c r="AZ242" s="370"/>
      <c r="BA242" s="507"/>
      <c r="BB242" s="505"/>
      <c r="BC242" s="505"/>
      <c r="BD242" s="370"/>
      <c r="BE242" s="370"/>
      <c r="BF242" s="370"/>
      <c r="BG242" s="370"/>
      <c r="BH242" s="370"/>
      <c r="BI242" s="370"/>
      <c r="BJ242" s="370"/>
      <c r="BK242" s="370"/>
      <c r="BL242" s="370"/>
      <c r="BM242" s="370"/>
      <c r="BN242" s="370"/>
      <c r="BO242" s="370"/>
      <c r="BP242" s="370"/>
      <c r="BQ242" s="370"/>
      <c r="BR242" s="370"/>
      <c r="BS242" s="370"/>
      <c r="BV242" s="508"/>
      <c r="BW242" s="369"/>
      <c r="BX242" s="370"/>
      <c r="BY242" s="370"/>
      <c r="BZ242" s="370"/>
      <c r="CA242" s="370"/>
      <c r="CB242" s="370"/>
      <c r="CC242" s="505"/>
      <c r="CD242" s="505"/>
      <c r="CE242" s="505"/>
      <c r="CF242" s="505"/>
      <c r="CG242" s="505"/>
      <c r="CH242" s="505"/>
      <c r="CI242" s="505"/>
      <c r="CJ242" s="505"/>
      <c r="CK242" s="505"/>
      <c r="CL242" s="505"/>
      <c r="CM242" s="505"/>
    </row>
    <row r="243" customFormat="false" ht="12.75" hidden="false" customHeight="false" outlineLevel="0" collapsed="false">
      <c r="A243" s="500"/>
      <c r="B243" s="500"/>
      <c r="K243" s="363"/>
      <c r="L243" s="501"/>
      <c r="N243" s="502"/>
      <c r="O243" s="502"/>
      <c r="P243" s="371"/>
      <c r="Q243" s="501"/>
      <c r="R243" s="501"/>
      <c r="U243" s="501"/>
      <c r="V243" s="503"/>
      <c r="W243" s="503"/>
      <c r="X243" s="504"/>
      <c r="Y243" s="504"/>
      <c r="Z243" s="504"/>
      <c r="AA243" s="504"/>
      <c r="AB243" s="504"/>
      <c r="AC243" s="504"/>
      <c r="AF243" s="378"/>
      <c r="AG243" s="378"/>
      <c r="AH243" s="378"/>
      <c r="AI243" s="378"/>
      <c r="AJ243" s="378"/>
      <c r="AM243" s="505"/>
      <c r="AN243" s="505"/>
      <c r="AO243" s="505"/>
      <c r="AP243" s="505"/>
      <c r="AR243" s="370"/>
      <c r="AT243" s="370"/>
      <c r="AV243" s="506"/>
      <c r="AW243" s="370"/>
      <c r="AX243" s="370"/>
      <c r="AY243" s="370"/>
      <c r="AZ243" s="370"/>
      <c r="BA243" s="507"/>
      <c r="BB243" s="505"/>
      <c r="BC243" s="505"/>
      <c r="BD243" s="370"/>
      <c r="BE243" s="370"/>
      <c r="BF243" s="370"/>
      <c r="BG243" s="370"/>
      <c r="BH243" s="370"/>
      <c r="BI243" s="370"/>
      <c r="BJ243" s="370"/>
      <c r="BK243" s="370"/>
      <c r="BL243" s="370"/>
      <c r="BM243" s="370"/>
      <c r="BN243" s="370"/>
      <c r="BO243" s="370"/>
      <c r="BP243" s="370"/>
      <c r="BQ243" s="370"/>
      <c r="BR243" s="370"/>
      <c r="BS243" s="370"/>
      <c r="BV243" s="508"/>
      <c r="BW243" s="369"/>
      <c r="BX243" s="370"/>
      <c r="BY243" s="370"/>
      <c r="BZ243" s="370"/>
      <c r="CA243" s="370"/>
      <c r="CB243" s="370"/>
      <c r="CC243" s="505"/>
      <c r="CD243" s="505"/>
      <c r="CE243" s="505"/>
      <c r="CF243" s="505"/>
      <c r="CG243" s="505"/>
      <c r="CH243" s="505"/>
      <c r="CI243" s="505"/>
      <c r="CJ243" s="505"/>
      <c r="CK243" s="505"/>
      <c r="CL243" s="505"/>
      <c r="CM243" s="505"/>
    </row>
    <row r="244" customFormat="false" ht="12.75" hidden="false" customHeight="false" outlineLevel="0" collapsed="false">
      <c r="A244" s="500"/>
      <c r="B244" s="500"/>
      <c r="K244" s="363"/>
      <c r="L244" s="501"/>
      <c r="N244" s="502"/>
      <c r="O244" s="502"/>
      <c r="P244" s="371"/>
      <c r="Q244" s="501"/>
      <c r="R244" s="501"/>
      <c r="U244" s="501"/>
      <c r="V244" s="503"/>
      <c r="W244" s="503"/>
      <c r="X244" s="504"/>
      <c r="Y244" s="504"/>
      <c r="Z244" s="504"/>
      <c r="AA244" s="504"/>
      <c r="AB244" s="504"/>
      <c r="AC244" s="504"/>
      <c r="AF244" s="378"/>
      <c r="AG244" s="378"/>
      <c r="AH244" s="378"/>
      <c r="AI244" s="378"/>
      <c r="AJ244" s="378"/>
      <c r="AM244" s="505"/>
      <c r="AN244" s="505"/>
      <c r="AO244" s="505"/>
      <c r="AP244" s="505"/>
      <c r="AR244" s="370"/>
      <c r="AT244" s="370"/>
      <c r="AV244" s="506"/>
      <c r="AW244" s="370"/>
      <c r="AX244" s="370"/>
      <c r="AY244" s="370"/>
      <c r="AZ244" s="370"/>
      <c r="BA244" s="507"/>
      <c r="BB244" s="505"/>
      <c r="BC244" s="505"/>
      <c r="BD244" s="370"/>
      <c r="BE244" s="370"/>
      <c r="BF244" s="370"/>
      <c r="BG244" s="370"/>
      <c r="BH244" s="370"/>
      <c r="BI244" s="370"/>
      <c r="BJ244" s="370"/>
      <c r="BK244" s="370"/>
      <c r="BL244" s="370"/>
      <c r="BM244" s="370"/>
      <c r="BN244" s="370"/>
      <c r="BO244" s="370"/>
      <c r="BP244" s="370"/>
      <c r="BQ244" s="370"/>
      <c r="BR244" s="370"/>
      <c r="BS244" s="370"/>
      <c r="BV244" s="508"/>
      <c r="BW244" s="369"/>
      <c r="BX244" s="370"/>
      <c r="BY244" s="370"/>
      <c r="BZ244" s="370"/>
      <c r="CA244" s="370"/>
      <c r="CB244" s="370"/>
      <c r="CC244" s="505"/>
      <c r="CD244" s="505"/>
      <c r="CE244" s="505"/>
      <c r="CF244" s="505"/>
      <c r="CG244" s="505"/>
      <c r="CH244" s="505"/>
      <c r="CI244" s="505"/>
      <c r="CJ244" s="505"/>
      <c r="CK244" s="505"/>
      <c r="CL244" s="505"/>
      <c r="CM244" s="505"/>
    </row>
    <row r="245" customFormat="false" ht="12.75" hidden="false" customHeight="false" outlineLevel="0" collapsed="false">
      <c r="A245" s="500"/>
      <c r="B245" s="500"/>
      <c r="K245" s="363"/>
      <c r="L245" s="501"/>
      <c r="N245" s="502"/>
      <c r="O245" s="502"/>
      <c r="P245" s="371"/>
      <c r="Q245" s="501"/>
      <c r="R245" s="501"/>
      <c r="U245" s="501"/>
      <c r="V245" s="503"/>
      <c r="W245" s="503"/>
      <c r="X245" s="504"/>
      <c r="Y245" s="504"/>
      <c r="Z245" s="504"/>
      <c r="AA245" s="504"/>
      <c r="AB245" s="504"/>
      <c r="AC245" s="504"/>
      <c r="AF245" s="378"/>
      <c r="AG245" s="378"/>
      <c r="AH245" s="378"/>
      <c r="AI245" s="378"/>
      <c r="AJ245" s="378"/>
      <c r="AM245" s="505"/>
      <c r="AN245" s="505"/>
      <c r="AO245" s="505"/>
      <c r="AP245" s="505"/>
      <c r="AR245" s="370"/>
      <c r="AT245" s="370"/>
      <c r="AV245" s="506"/>
      <c r="AW245" s="370"/>
      <c r="AX245" s="370"/>
      <c r="AY245" s="370"/>
      <c r="AZ245" s="370"/>
      <c r="BA245" s="507"/>
      <c r="BB245" s="505"/>
      <c r="BC245" s="505"/>
      <c r="BD245" s="370"/>
      <c r="BE245" s="370"/>
      <c r="BF245" s="370"/>
      <c r="BG245" s="370"/>
      <c r="BH245" s="370"/>
      <c r="BI245" s="370"/>
      <c r="BJ245" s="370"/>
      <c r="BK245" s="370"/>
      <c r="BL245" s="370"/>
      <c r="BM245" s="370"/>
      <c r="BN245" s="370"/>
      <c r="BO245" s="370"/>
      <c r="BP245" s="370"/>
      <c r="BQ245" s="370"/>
      <c r="BR245" s="370"/>
      <c r="BS245" s="370"/>
      <c r="BV245" s="508"/>
      <c r="BW245" s="369"/>
      <c r="BX245" s="370"/>
      <c r="BY245" s="370"/>
      <c r="BZ245" s="370"/>
      <c r="CA245" s="370"/>
      <c r="CB245" s="370"/>
      <c r="CC245" s="505"/>
      <c r="CD245" s="505"/>
      <c r="CE245" s="505"/>
      <c r="CF245" s="505"/>
      <c r="CG245" s="505"/>
      <c r="CH245" s="505"/>
      <c r="CI245" s="505"/>
      <c r="CJ245" s="505"/>
      <c r="CK245" s="505"/>
      <c r="CL245" s="505"/>
      <c r="CM245" s="505"/>
    </row>
    <row r="246" customFormat="false" ht="12.75" hidden="false" customHeight="false" outlineLevel="0" collapsed="false">
      <c r="A246" s="500"/>
      <c r="B246" s="500"/>
      <c r="K246" s="363"/>
      <c r="L246" s="501"/>
      <c r="N246" s="502"/>
      <c r="O246" s="502"/>
      <c r="P246" s="371"/>
      <c r="Q246" s="501"/>
      <c r="R246" s="501"/>
      <c r="U246" s="501"/>
      <c r="V246" s="503"/>
      <c r="W246" s="503"/>
      <c r="X246" s="504"/>
      <c r="Y246" s="504"/>
      <c r="Z246" s="504"/>
      <c r="AA246" s="504"/>
      <c r="AB246" s="504"/>
      <c r="AC246" s="504"/>
      <c r="AF246" s="378"/>
      <c r="AG246" s="378"/>
      <c r="AH246" s="378"/>
      <c r="AI246" s="378"/>
      <c r="AJ246" s="378"/>
      <c r="AM246" s="505"/>
      <c r="AN246" s="505"/>
      <c r="AO246" s="505"/>
      <c r="AP246" s="505"/>
      <c r="AR246" s="370"/>
      <c r="AT246" s="370"/>
      <c r="AV246" s="506"/>
      <c r="AW246" s="370"/>
      <c r="AX246" s="370"/>
      <c r="AY246" s="370"/>
      <c r="AZ246" s="370"/>
      <c r="BA246" s="507"/>
      <c r="BB246" s="505"/>
      <c r="BC246" s="505"/>
      <c r="BD246" s="370"/>
      <c r="BE246" s="370"/>
      <c r="BF246" s="370"/>
      <c r="BG246" s="370"/>
      <c r="BH246" s="370"/>
      <c r="BI246" s="370"/>
      <c r="BJ246" s="370"/>
      <c r="BK246" s="370"/>
      <c r="BL246" s="370"/>
      <c r="BM246" s="370"/>
      <c r="BN246" s="370"/>
      <c r="BO246" s="370"/>
      <c r="BP246" s="370"/>
      <c r="BQ246" s="370"/>
      <c r="BR246" s="370"/>
      <c r="BS246" s="370"/>
      <c r="BV246" s="508"/>
      <c r="BW246" s="369"/>
      <c r="BX246" s="370"/>
      <c r="BY246" s="370"/>
      <c r="BZ246" s="370"/>
      <c r="CA246" s="370"/>
      <c r="CB246" s="370"/>
      <c r="CC246" s="505"/>
      <c r="CD246" s="505"/>
      <c r="CE246" s="505"/>
      <c r="CF246" s="505"/>
      <c r="CG246" s="505"/>
      <c r="CH246" s="505"/>
      <c r="CI246" s="505"/>
      <c r="CJ246" s="505"/>
      <c r="CK246" s="505"/>
      <c r="CL246" s="505"/>
      <c r="CM246" s="505"/>
    </row>
    <row r="247" customFormat="false" ht="12.75" hidden="false" customHeight="false" outlineLevel="0" collapsed="false">
      <c r="A247" s="500"/>
      <c r="B247" s="500"/>
      <c r="K247" s="363"/>
      <c r="L247" s="501"/>
      <c r="N247" s="502"/>
      <c r="O247" s="502"/>
      <c r="P247" s="371"/>
      <c r="Q247" s="501"/>
      <c r="R247" s="501"/>
      <c r="U247" s="501"/>
      <c r="V247" s="503"/>
      <c r="W247" s="503"/>
      <c r="X247" s="504"/>
      <c r="Y247" s="504"/>
      <c r="Z247" s="504"/>
      <c r="AA247" s="504"/>
      <c r="AB247" s="504"/>
      <c r="AC247" s="504"/>
      <c r="AF247" s="378"/>
      <c r="AG247" s="378"/>
      <c r="AH247" s="378"/>
      <c r="AI247" s="378"/>
      <c r="AJ247" s="378"/>
      <c r="AM247" s="505"/>
      <c r="AN247" s="505"/>
      <c r="AO247" s="505"/>
      <c r="AP247" s="505"/>
      <c r="AR247" s="370"/>
      <c r="AT247" s="370"/>
      <c r="AV247" s="506"/>
      <c r="AW247" s="370"/>
      <c r="AX247" s="370"/>
      <c r="AY247" s="370"/>
      <c r="AZ247" s="370"/>
      <c r="BA247" s="507"/>
      <c r="BB247" s="505"/>
      <c r="BC247" s="505"/>
      <c r="BD247" s="370"/>
      <c r="BE247" s="370"/>
      <c r="BF247" s="370"/>
      <c r="BG247" s="370"/>
      <c r="BH247" s="370"/>
      <c r="BI247" s="370"/>
      <c r="BJ247" s="370"/>
      <c r="BK247" s="370"/>
      <c r="BL247" s="370"/>
      <c r="BM247" s="370"/>
      <c r="BN247" s="370"/>
      <c r="BO247" s="370"/>
      <c r="BP247" s="370"/>
      <c r="BQ247" s="370"/>
      <c r="BR247" s="370"/>
      <c r="BS247" s="370"/>
      <c r="BV247" s="508"/>
      <c r="BW247" s="369"/>
      <c r="BX247" s="370"/>
      <c r="BY247" s="370"/>
      <c r="BZ247" s="370"/>
      <c r="CA247" s="370"/>
      <c r="CB247" s="370"/>
      <c r="CC247" s="505"/>
      <c r="CD247" s="505"/>
      <c r="CE247" s="505"/>
      <c r="CF247" s="505"/>
      <c r="CG247" s="505"/>
      <c r="CH247" s="505"/>
      <c r="CI247" s="505"/>
      <c r="CJ247" s="505"/>
      <c r="CK247" s="505"/>
      <c r="CL247" s="505"/>
      <c r="CM247" s="505"/>
    </row>
    <row r="248" customFormat="false" ht="12.75" hidden="false" customHeight="false" outlineLevel="0" collapsed="false">
      <c r="A248" s="500"/>
      <c r="B248" s="500"/>
      <c r="K248" s="363"/>
      <c r="L248" s="501"/>
      <c r="N248" s="502"/>
      <c r="O248" s="502"/>
      <c r="P248" s="371"/>
      <c r="Q248" s="501"/>
      <c r="R248" s="501"/>
      <c r="U248" s="501"/>
      <c r="V248" s="503"/>
      <c r="W248" s="503"/>
      <c r="X248" s="504"/>
      <c r="Y248" s="504"/>
      <c r="Z248" s="504"/>
      <c r="AA248" s="504"/>
      <c r="AB248" s="504"/>
      <c r="AC248" s="504"/>
      <c r="AF248" s="378"/>
      <c r="AG248" s="378"/>
      <c r="AH248" s="378"/>
      <c r="AI248" s="378"/>
      <c r="AJ248" s="378"/>
      <c r="AM248" s="505"/>
      <c r="AN248" s="505"/>
      <c r="AO248" s="505"/>
      <c r="AP248" s="505"/>
      <c r="AR248" s="370"/>
      <c r="AT248" s="370"/>
      <c r="AV248" s="506"/>
      <c r="AW248" s="370"/>
      <c r="AX248" s="370"/>
      <c r="AY248" s="370"/>
      <c r="AZ248" s="370"/>
      <c r="BA248" s="507"/>
      <c r="BB248" s="505"/>
      <c r="BC248" s="505"/>
      <c r="BD248" s="370"/>
      <c r="BE248" s="370"/>
      <c r="BF248" s="370"/>
      <c r="BG248" s="370"/>
      <c r="BH248" s="370"/>
      <c r="BI248" s="370"/>
      <c r="BJ248" s="370"/>
      <c r="BK248" s="370"/>
      <c r="BL248" s="370"/>
      <c r="BM248" s="370"/>
      <c r="BN248" s="370"/>
      <c r="BO248" s="370"/>
      <c r="BP248" s="370"/>
      <c r="BQ248" s="370"/>
      <c r="BR248" s="370"/>
      <c r="BS248" s="370"/>
      <c r="BV248" s="508"/>
      <c r="BW248" s="369"/>
      <c r="BX248" s="370"/>
      <c r="BY248" s="370"/>
      <c r="BZ248" s="370"/>
      <c r="CA248" s="370"/>
      <c r="CB248" s="370"/>
      <c r="CC248" s="505"/>
      <c r="CD248" s="505"/>
      <c r="CE248" s="505"/>
      <c r="CF248" s="505"/>
      <c r="CG248" s="505"/>
      <c r="CH248" s="505"/>
      <c r="CI248" s="505"/>
      <c r="CJ248" s="505"/>
      <c r="CK248" s="505"/>
      <c r="CL248" s="505"/>
      <c r="CM248" s="505"/>
    </row>
    <row r="249" customFormat="false" ht="12.75" hidden="false" customHeight="false" outlineLevel="0" collapsed="false">
      <c r="A249" s="500"/>
      <c r="B249" s="500"/>
      <c r="K249" s="363"/>
      <c r="L249" s="501"/>
      <c r="N249" s="502"/>
      <c r="O249" s="502"/>
      <c r="P249" s="371"/>
      <c r="Q249" s="501"/>
      <c r="R249" s="501"/>
      <c r="U249" s="501"/>
      <c r="V249" s="503"/>
      <c r="W249" s="503"/>
      <c r="X249" s="504"/>
      <c r="Y249" s="504"/>
      <c r="Z249" s="504"/>
      <c r="AA249" s="504"/>
      <c r="AB249" s="504"/>
      <c r="AC249" s="504"/>
      <c r="AF249" s="378"/>
      <c r="AG249" s="378"/>
      <c r="AH249" s="378"/>
      <c r="AI249" s="378"/>
      <c r="AJ249" s="378"/>
      <c r="AM249" s="505"/>
      <c r="AN249" s="505"/>
      <c r="AO249" s="505"/>
      <c r="AP249" s="505"/>
      <c r="AR249" s="370"/>
      <c r="AT249" s="370"/>
      <c r="AV249" s="506"/>
      <c r="AW249" s="370"/>
      <c r="AX249" s="370"/>
      <c r="AY249" s="370"/>
      <c r="AZ249" s="370"/>
      <c r="BA249" s="507"/>
      <c r="BB249" s="505"/>
      <c r="BC249" s="505"/>
      <c r="BD249" s="370"/>
      <c r="BE249" s="370"/>
      <c r="BF249" s="370"/>
      <c r="BG249" s="370"/>
      <c r="BH249" s="370"/>
      <c r="BI249" s="370"/>
      <c r="BJ249" s="370"/>
      <c r="BK249" s="370"/>
      <c r="BL249" s="370"/>
      <c r="BM249" s="370"/>
      <c r="BN249" s="370"/>
      <c r="BO249" s="370"/>
      <c r="BP249" s="370"/>
      <c r="BQ249" s="370"/>
      <c r="BR249" s="370"/>
      <c r="BS249" s="370"/>
      <c r="BV249" s="508"/>
      <c r="BW249" s="369"/>
      <c r="BX249" s="370"/>
      <c r="BY249" s="370"/>
      <c r="BZ249" s="370"/>
      <c r="CA249" s="370"/>
      <c r="CB249" s="370"/>
      <c r="CC249" s="505"/>
      <c r="CD249" s="505"/>
      <c r="CE249" s="505"/>
      <c r="CF249" s="505"/>
      <c r="CG249" s="505"/>
      <c r="CH249" s="505"/>
      <c r="CI249" s="505"/>
      <c r="CJ249" s="505"/>
      <c r="CK249" s="505"/>
      <c r="CL249" s="505"/>
      <c r="CM249" s="505"/>
    </row>
    <row r="250" customFormat="false" ht="12.75" hidden="false" customHeight="false" outlineLevel="0" collapsed="false">
      <c r="A250" s="500"/>
      <c r="B250" s="500"/>
      <c r="K250" s="363"/>
      <c r="L250" s="501"/>
      <c r="N250" s="502"/>
      <c r="O250" s="502"/>
      <c r="P250" s="371"/>
      <c r="Q250" s="501"/>
      <c r="R250" s="501"/>
      <c r="U250" s="501"/>
      <c r="V250" s="503"/>
      <c r="W250" s="503"/>
      <c r="X250" s="504"/>
      <c r="Y250" s="504"/>
      <c r="Z250" s="504"/>
      <c r="AA250" s="504"/>
      <c r="AB250" s="504"/>
      <c r="AC250" s="504"/>
      <c r="AF250" s="378"/>
      <c r="AG250" s="378"/>
      <c r="AH250" s="378"/>
      <c r="AI250" s="378"/>
      <c r="AJ250" s="378"/>
      <c r="AM250" s="505"/>
      <c r="AN250" s="505"/>
      <c r="AO250" s="505"/>
      <c r="AP250" s="505"/>
      <c r="AR250" s="370"/>
      <c r="AT250" s="370"/>
      <c r="AV250" s="506"/>
      <c r="AW250" s="370"/>
      <c r="AX250" s="370"/>
      <c r="AY250" s="370"/>
      <c r="AZ250" s="370"/>
      <c r="BA250" s="507"/>
      <c r="BB250" s="505"/>
      <c r="BC250" s="505"/>
      <c r="BD250" s="370"/>
      <c r="BE250" s="370"/>
      <c r="BF250" s="370"/>
      <c r="BG250" s="370"/>
      <c r="BH250" s="370"/>
      <c r="BI250" s="370"/>
      <c r="BJ250" s="370"/>
      <c r="BK250" s="370"/>
      <c r="BL250" s="370"/>
      <c r="BM250" s="370"/>
      <c r="BN250" s="370"/>
      <c r="BO250" s="370"/>
      <c r="BP250" s="370"/>
      <c r="BQ250" s="370"/>
      <c r="BR250" s="370"/>
      <c r="BS250" s="370"/>
      <c r="BV250" s="508"/>
      <c r="BW250" s="369"/>
      <c r="BX250" s="370"/>
      <c r="BY250" s="370"/>
      <c r="BZ250" s="370"/>
      <c r="CA250" s="370"/>
      <c r="CB250" s="370"/>
      <c r="CC250" s="505"/>
      <c r="CD250" s="505"/>
      <c r="CE250" s="505"/>
      <c r="CF250" s="505"/>
      <c r="CG250" s="505"/>
      <c r="CH250" s="505"/>
      <c r="CI250" s="505"/>
      <c r="CJ250" s="505"/>
      <c r="CK250" s="505"/>
      <c r="CL250" s="505"/>
      <c r="CM250" s="505"/>
    </row>
    <row r="251" customFormat="false" ht="12.75" hidden="false" customHeight="false" outlineLevel="0" collapsed="false">
      <c r="A251" s="500"/>
      <c r="B251" s="500"/>
      <c r="K251" s="363"/>
      <c r="L251" s="501"/>
      <c r="N251" s="502"/>
      <c r="O251" s="502"/>
      <c r="P251" s="371"/>
      <c r="Q251" s="501"/>
      <c r="R251" s="501"/>
      <c r="U251" s="501"/>
      <c r="V251" s="503"/>
      <c r="W251" s="503"/>
      <c r="X251" s="504"/>
      <c r="Y251" s="504"/>
      <c r="Z251" s="504"/>
      <c r="AA251" s="504"/>
      <c r="AB251" s="504"/>
      <c r="AC251" s="504"/>
      <c r="AF251" s="378"/>
      <c r="AG251" s="378"/>
      <c r="AH251" s="378"/>
      <c r="AI251" s="378"/>
      <c r="AJ251" s="378"/>
      <c r="AM251" s="505"/>
      <c r="AN251" s="505"/>
      <c r="AO251" s="505"/>
      <c r="AP251" s="505"/>
      <c r="AR251" s="370"/>
      <c r="AT251" s="370"/>
      <c r="AV251" s="506"/>
      <c r="AW251" s="370"/>
      <c r="AX251" s="370"/>
      <c r="AY251" s="370"/>
      <c r="AZ251" s="370"/>
      <c r="BA251" s="507"/>
      <c r="BB251" s="505"/>
      <c r="BC251" s="505"/>
      <c r="BD251" s="370"/>
      <c r="BE251" s="370"/>
      <c r="BF251" s="370"/>
      <c r="BG251" s="370"/>
      <c r="BH251" s="370"/>
      <c r="BI251" s="370"/>
      <c r="BJ251" s="370"/>
      <c r="BK251" s="370"/>
      <c r="BL251" s="370"/>
      <c r="BM251" s="370"/>
      <c r="BN251" s="370"/>
      <c r="BO251" s="370"/>
      <c r="BP251" s="370"/>
      <c r="BQ251" s="370"/>
      <c r="BR251" s="370"/>
      <c r="BS251" s="370"/>
      <c r="BV251" s="508"/>
      <c r="BW251" s="369"/>
      <c r="BX251" s="370"/>
      <c r="BY251" s="370"/>
      <c r="BZ251" s="370"/>
      <c r="CA251" s="370"/>
      <c r="CB251" s="370"/>
      <c r="CC251" s="505"/>
      <c r="CD251" s="505"/>
      <c r="CE251" s="505"/>
      <c r="CF251" s="505"/>
      <c r="CG251" s="505"/>
      <c r="CH251" s="505"/>
      <c r="CI251" s="505"/>
      <c r="CJ251" s="505"/>
      <c r="CK251" s="505"/>
      <c r="CL251" s="505"/>
      <c r="CM251" s="505"/>
    </row>
    <row r="252" customFormat="false" ht="12.75" hidden="false" customHeight="false" outlineLevel="0" collapsed="false">
      <c r="A252" s="500"/>
      <c r="B252" s="500"/>
      <c r="K252" s="363"/>
      <c r="L252" s="501"/>
      <c r="N252" s="502"/>
      <c r="O252" s="502"/>
      <c r="P252" s="371"/>
      <c r="Q252" s="501"/>
      <c r="R252" s="501"/>
      <c r="U252" s="501"/>
      <c r="V252" s="503"/>
      <c r="W252" s="503"/>
      <c r="X252" s="504"/>
      <c r="Y252" s="504"/>
      <c r="Z252" s="504"/>
      <c r="AA252" s="504"/>
      <c r="AB252" s="504"/>
      <c r="AC252" s="504"/>
      <c r="AF252" s="378"/>
      <c r="AG252" s="378"/>
      <c r="AH252" s="378"/>
      <c r="AI252" s="378"/>
      <c r="AJ252" s="378"/>
      <c r="AM252" s="505"/>
      <c r="AN252" s="505"/>
      <c r="AO252" s="505"/>
      <c r="AP252" s="505"/>
      <c r="AR252" s="370"/>
      <c r="AT252" s="370"/>
      <c r="AV252" s="506"/>
      <c r="AW252" s="370"/>
      <c r="AX252" s="370"/>
      <c r="AY252" s="370"/>
      <c r="AZ252" s="370"/>
      <c r="BA252" s="507"/>
      <c r="BB252" s="505"/>
      <c r="BC252" s="505"/>
      <c r="BD252" s="370"/>
      <c r="BE252" s="370"/>
      <c r="BF252" s="370"/>
      <c r="BG252" s="370"/>
      <c r="BH252" s="370"/>
      <c r="BI252" s="370"/>
      <c r="BJ252" s="370"/>
      <c r="BK252" s="370"/>
      <c r="BL252" s="370"/>
      <c r="BM252" s="370"/>
      <c r="BN252" s="370"/>
      <c r="BO252" s="370"/>
      <c r="BP252" s="370"/>
      <c r="BQ252" s="370"/>
      <c r="BR252" s="370"/>
      <c r="BS252" s="370"/>
      <c r="BV252" s="508"/>
      <c r="BW252" s="369"/>
      <c r="BX252" s="370"/>
      <c r="BY252" s="370"/>
      <c r="BZ252" s="370"/>
      <c r="CA252" s="370"/>
      <c r="CB252" s="370"/>
      <c r="CC252" s="505"/>
      <c r="CD252" s="505"/>
      <c r="CE252" s="505"/>
      <c r="CF252" s="505"/>
      <c r="CG252" s="505"/>
      <c r="CH252" s="505"/>
      <c r="CI252" s="505"/>
      <c r="CJ252" s="505"/>
      <c r="CK252" s="505"/>
      <c r="CL252" s="505"/>
      <c r="CM252" s="505"/>
    </row>
    <row r="253" customFormat="false" ht="12.75" hidden="false" customHeight="false" outlineLevel="0" collapsed="false">
      <c r="A253" s="500"/>
      <c r="B253" s="500"/>
      <c r="K253" s="363"/>
      <c r="L253" s="501"/>
      <c r="N253" s="502"/>
      <c r="O253" s="502"/>
      <c r="P253" s="371"/>
      <c r="Q253" s="501"/>
      <c r="R253" s="501"/>
      <c r="U253" s="501"/>
      <c r="V253" s="503"/>
      <c r="W253" s="503"/>
      <c r="X253" s="504"/>
      <c r="Y253" s="504"/>
      <c r="Z253" s="504"/>
      <c r="AA253" s="504"/>
      <c r="AB253" s="504"/>
      <c r="AC253" s="504"/>
      <c r="AF253" s="378"/>
      <c r="AG253" s="378"/>
      <c r="AH253" s="378"/>
      <c r="AI253" s="378"/>
      <c r="AJ253" s="378"/>
      <c r="AM253" s="505"/>
      <c r="AN253" s="505"/>
      <c r="AO253" s="505"/>
      <c r="AP253" s="505"/>
      <c r="AR253" s="370"/>
      <c r="AT253" s="370"/>
      <c r="AV253" s="506"/>
      <c r="AW253" s="370"/>
      <c r="AX253" s="370"/>
      <c r="AY253" s="370"/>
      <c r="AZ253" s="370"/>
      <c r="BA253" s="507"/>
      <c r="BB253" s="505"/>
      <c r="BC253" s="505"/>
      <c r="BD253" s="370"/>
      <c r="BE253" s="370"/>
      <c r="BF253" s="370"/>
      <c r="BG253" s="370"/>
      <c r="BH253" s="370"/>
      <c r="BI253" s="370"/>
      <c r="BJ253" s="370"/>
      <c r="BK253" s="370"/>
      <c r="BL253" s="370"/>
      <c r="BM253" s="370"/>
      <c r="BN253" s="370"/>
      <c r="BO253" s="370"/>
      <c r="BP253" s="370"/>
      <c r="BQ253" s="370"/>
      <c r="BR253" s="370"/>
      <c r="BS253" s="370"/>
      <c r="BV253" s="508"/>
      <c r="BW253" s="369"/>
      <c r="BX253" s="370"/>
      <c r="BY253" s="370"/>
      <c r="BZ253" s="370"/>
      <c r="CA253" s="370"/>
      <c r="CB253" s="370"/>
      <c r="CC253" s="505"/>
      <c r="CD253" s="505"/>
      <c r="CE253" s="505"/>
      <c r="CF253" s="505"/>
      <c r="CG253" s="505"/>
      <c r="CH253" s="505"/>
      <c r="CI253" s="505"/>
      <c r="CJ253" s="505"/>
      <c r="CK253" s="505"/>
      <c r="CL253" s="505"/>
      <c r="CM253" s="505"/>
    </row>
    <row r="254" customFormat="false" ht="12.75" hidden="false" customHeight="false" outlineLevel="0" collapsed="false">
      <c r="A254" s="500"/>
      <c r="B254" s="500"/>
      <c r="K254" s="363"/>
      <c r="L254" s="501"/>
      <c r="N254" s="502"/>
      <c r="O254" s="502"/>
      <c r="P254" s="371"/>
      <c r="Q254" s="501"/>
      <c r="R254" s="501"/>
      <c r="U254" s="501"/>
      <c r="V254" s="503"/>
      <c r="W254" s="503"/>
      <c r="X254" s="504"/>
      <c r="Y254" s="504"/>
      <c r="Z254" s="504"/>
      <c r="AA254" s="504"/>
      <c r="AB254" s="504"/>
      <c r="AC254" s="504"/>
      <c r="AF254" s="378"/>
      <c r="AG254" s="378"/>
      <c r="AH254" s="378"/>
      <c r="AI254" s="378"/>
      <c r="AJ254" s="378"/>
      <c r="AM254" s="505"/>
      <c r="AN254" s="505"/>
      <c r="AO254" s="505"/>
      <c r="AP254" s="505"/>
      <c r="AR254" s="370"/>
      <c r="AT254" s="370"/>
      <c r="AV254" s="506"/>
      <c r="AW254" s="370"/>
      <c r="AX254" s="370"/>
      <c r="AY254" s="370"/>
      <c r="AZ254" s="370"/>
      <c r="BA254" s="507"/>
      <c r="BB254" s="505"/>
      <c r="BC254" s="505"/>
      <c r="BD254" s="370"/>
      <c r="BE254" s="370"/>
      <c r="BF254" s="370"/>
      <c r="BG254" s="370"/>
      <c r="BH254" s="370"/>
      <c r="BI254" s="370"/>
      <c r="BJ254" s="370"/>
      <c r="BK254" s="370"/>
      <c r="BL254" s="370"/>
      <c r="BM254" s="370"/>
      <c r="BN254" s="370"/>
      <c r="BO254" s="370"/>
      <c r="BP254" s="370"/>
      <c r="BQ254" s="370"/>
      <c r="BR254" s="370"/>
      <c r="BS254" s="370"/>
      <c r="BV254" s="508"/>
      <c r="BW254" s="369"/>
      <c r="BX254" s="370"/>
      <c r="BY254" s="370"/>
      <c r="BZ254" s="370"/>
      <c r="CA254" s="370"/>
      <c r="CB254" s="370"/>
      <c r="CC254" s="505"/>
      <c r="CD254" s="505"/>
      <c r="CE254" s="505"/>
      <c r="CF254" s="505"/>
      <c r="CG254" s="505"/>
      <c r="CH254" s="505"/>
      <c r="CI254" s="505"/>
      <c r="CJ254" s="505"/>
      <c r="CK254" s="505"/>
      <c r="CL254" s="505"/>
      <c r="CM254" s="505"/>
    </row>
    <row r="255" customFormat="false" ht="12.75" hidden="false" customHeight="false" outlineLevel="0" collapsed="false">
      <c r="A255" s="500"/>
      <c r="B255" s="500"/>
      <c r="K255" s="363"/>
      <c r="L255" s="501"/>
      <c r="N255" s="502"/>
      <c r="O255" s="502"/>
      <c r="P255" s="371"/>
      <c r="Q255" s="501"/>
      <c r="R255" s="501"/>
      <c r="U255" s="501"/>
      <c r="V255" s="503"/>
      <c r="W255" s="503"/>
      <c r="X255" s="504"/>
      <c r="Y255" s="504"/>
      <c r="Z255" s="504"/>
      <c r="AA255" s="504"/>
      <c r="AB255" s="504"/>
      <c r="AC255" s="504"/>
      <c r="AF255" s="378"/>
      <c r="AG255" s="378"/>
      <c r="AH255" s="378"/>
      <c r="AI255" s="378"/>
      <c r="AJ255" s="378"/>
      <c r="AM255" s="505"/>
      <c r="AN255" s="505"/>
      <c r="AO255" s="505"/>
      <c r="AP255" s="505"/>
      <c r="AR255" s="370"/>
      <c r="AT255" s="370"/>
      <c r="AV255" s="506"/>
      <c r="AW255" s="370"/>
      <c r="AX255" s="370"/>
      <c r="AY255" s="370"/>
      <c r="AZ255" s="370"/>
      <c r="BA255" s="507"/>
      <c r="BB255" s="505"/>
      <c r="BC255" s="505"/>
      <c r="BD255" s="370"/>
      <c r="BE255" s="370"/>
      <c r="BF255" s="370"/>
      <c r="BG255" s="370"/>
      <c r="BH255" s="370"/>
      <c r="BI255" s="370"/>
      <c r="BJ255" s="370"/>
      <c r="BK255" s="370"/>
      <c r="BL255" s="370"/>
      <c r="BM255" s="370"/>
      <c r="BN255" s="370"/>
      <c r="BO255" s="370"/>
      <c r="BP255" s="370"/>
      <c r="BQ255" s="370"/>
      <c r="BR255" s="370"/>
      <c r="BS255" s="370"/>
      <c r="BV255" s="508"/>
      <c r="BW255" s="369"/>
      <c r="BX255" s="370"/>
      <c r="BY255" s="370"/>
      <c r="BZ255" s="370"/>
      <c r="CA255" s="370"/>
      <c r="CB255" s="370"/>
      <c r="CC255" s="505"/>
      <c r="CD255" s="505"/>
      <c r="CE255" s="505"/>
      <c r="CF255" s="505"/>
      <c r="CG255" s="505"/>
      <c r="CH255" s="505"/>
      <c r="CI255" s="505"/>
      <c r="CJ255" s="505"/>
      <c r="CK255" s="505"/>
      <c r="CL255" s="505"/>
      <c r="CM255" s="505"/>
    </row>
    <row r="256" customFormat="false" ht="12.75" hidden="false" customHeight="false" outlineLevel="0" collapsed="false">
      <c r="A256" s="500"/>
      <c r="B256" s="500"/>
      <c r="K256" s="363"/>
      <c r="L256" s="501"/>
      <c r="N256" s="502"/>
      <c r="O256" s="502"/>
      <c r="P256" s="371"/>
      <c r="Q256" s="501"/>
      <c r="R256" s="501"/>
      <c r="U256" s="501"/>
      <c r="V256" s="503"/>
      <c r="W256" s="503"/>
      <c r="X256" s="504"/>
      <c r="Y256" s="504"/>
      <c r="Z256" s="504"/>
      <c r="AA256" s="504"/>
      <c r="AB256" s="504"/>
      <c r="AC256" s="504"/>
      <c r="AF256" s="378"/>
      <c r="AG256" s="378"/>
      <c r="AH256" s="378"/>
      <c r="AI256" s="378"/>
      <c r="AJ256" s="378"/>
      <c r="AM256" s="505"/>
      <c r="AN256" s="505"/>
      <c r="AO256" s="505"/>
      <c r="AP256" s="505"/>
      <c r="AR256" s="370"/>
      <c r="AT256" s="370"/>
      <c r="AV256" s="506"/>
      <c r="AW256" s="370"/>
      <c r="AX256" s="370"/>
      <c r="AY256" s="370"/>
      <c r="AZ256" s="370"/>
      <c r="BA256" s="507"/>
      <c r="BB256" s="505"/>
      <c r="BC256" s="505"/>
      <c r="BD256" s="370"/>
      <c r="BE256" s="370"/>
      <c r="BF256" s="370"/>
      <c r="BG256" s="370"/>
      <c r="BH256" s="370"/>
      <c r="BI256" s="370"/>
      <c r="BJ256" s="370"/>
      <c r="BK256" s="370"/>
      <c r="BL256" s="370"/>
      <c r="BM256" s="370"/>
      <c r="BN256" s="370"/>
      <c r="BO256" s="370"/>
      <c r="BP256" s="370"/>
      <c r="BQ256" s="370"/>
      <c r="BR256" s="370"/>
      <c r="BS256" s="370"/>
      <c r="BV256" s="508"/>
      <c r="BW256" s="369"/>
      <c r="BX256" s="370"/>
      <c r="BY256" s="370"/>
      <c r="BZ256" s="370"/>
      <c r="CA256" s="370"/>
      <c r="CB256" s="370"/>
      <c r="CC256" s="505"/>
      <c r="CD256" s="505"/>
      <c r="CE256" s="505"/>
      <c r="CF256" s="505"/>
      <c r="CG256" s="505"/>
      <c r="CH256" s="505"/>
      <c r="CI256" s="505"/>
      <c r="CJ256" s="505"/>
      <c r="CK256" s="505"/>
      <c r="CL256" s="505"/>
      <c r="CM256" s="505"/>
    </row>
    <row r="257" customFormat="false" ht="12.75" hidden="false" customHeight="false" outlineLevel="0" collapsed="false">
      <c r="A257" s="500"/>
      <c r="B257" s="500"/>
      <c r="K257" s="363"/>
      <c r="L257" s="501"/>
      <c r="N257" s="502"/>
      <c r="O257" s="502"/>
      <c r="P257" s="371"/>
      <c r="Q257" s="501"/>
      <c r="R257" s="501"/>
      <c r="U257" s="501"/>
      <c r="V257" s="503"/>
      <c r="W257" s="503"/>
      <c r="X257" s="504"/>
      <c r="Y257" s="504"/>
      <c r="Z257" s="504"/>
      <c r="AA257" s="504"/>
      <c r="AB257" s="504"/>
      <c r="AC257" s="504"/>
      <c r="AF257" s="378"/>
      <c r="AG257" s="378"/>
      <c r="AH257" s="378"/>
      <c r="AI257" s="378"/>
      <c r="AJ257" s="378"/>
      <c r="AM257" s="505"/>
      <c r="AN257" s="505"/>
      <c r="AO257" s="505"/>
      <c r="AP257" s="505"/>
      <c r="AR257" s="370"/>
      <c r="AT257" s="370"/>
      <c r="AV257" s="506"/>
      <c r="AW257" s="370"/>
      <c r="AX257" s="370"/>
      <c r="AY257" s="370"/>
      <c r="AZ257" s="370"/>
      <c r="BA257" s="507"/>
      <c r="BB257" s="505"/>
      <c r="BC257" s="505"/>
      <c r="BD257" s="370"/>
      <c r="BE257" s="370"/>
      <c r="BF257" s="370"/>
      <c r="BG257" s="370"/>
      <c r="BH257" s="370"/>
      <c r="BI257" s="370"/>
      <c r="BJ257" s="370"/>
      <c r="BK257" s="370"/>
      <c r="BL257" s="370"/>
      <c r="BM257" s="370"/>
      <c r="BN257" s="370"/>
      <c r="BO257" s="370"/>
      <c r="BP257" s="370"/>
      <c r="BQ257" s="370"/>
      <c r="BR257" s="370"/>
      <c r="BS257" s="370"/>
      <c r="BV257" s="508"/>
      <c r="BW257" s="369"/>
      <c r="BX257" s="370"/>
      <c r="BY257" s="370"/>
      <c r="BZ257" s="370"/>
      <c r="CA257" s="370"/>
      <c r="CB257" s="370"/>
      <c r="CC257" s="505"/>
      <c r="CD257" s="505"/>
      <c r="CE257" s="505"/>
      <c r="CF257" s="505"/>
      <c r="CG257" s="505"/>
      <c r="CH257" s="505"/>
      <c r="CI257" s="505"/>
      <c r="CJ257" s="505"/>
      <c r="CK257" s="505"/>
      <c r="CL257" s="505"/>
      <c r="CM257" s="505"/>
    </row>
    <row r="258" customFormat="false" ht="12.75" hidden="false" customHeight="false" outlineLevel="0" collapsed="false">
      <c r="A258" s="500"/>
      <c r="B258" s="500"/>
      <c r="K258" s="363"/>
      <c r="L258" s="501"/>
      <c r="N258" s="502"/>
      <c r="O258" s="502"/>
      <c r="P258" s="371"/>
      <c r="Q258" s="501"/>
      <c r="R258" s="501"/>
      <c r="U258" s="501"/>
      <c r="V258" s="503"/>
      <c r="W258" s="503"/>
      <c r="X258" s="504"/>
      <c r="Y258" s="504"/>
      <c r="Z258" s="504"/>
      <c r="AA258" s="504"/>
      <c r="AB258" s="504"/>
      <c r="AC258" s="504"/>
      <c r="AF258" s="378"/>
      <c r="AG258" s="378"/>
      <c r="AH258" s="378"/>
      <c r="AI258" s="378"/>
      <c r="AJ258" s="378"/>
      <c r="AM258" s="505"/>
      <c r="AN258" s="505"/>
      <c r="AO258" s="505"/>
      <c r="AP258" s="505"/>
      <c r="AR258" s="370"/>
      <c r="AT258" s="370"/>
      <c r="AV258" s="506"/>
      <c r="AW258" s="370"/>
      <c r="AX258" s="370"/>
      <c r="AY258" s="370"/>
      <c r="AZ258" s="370"/>
      <c r="BA258" s="507"/>
      <c r="BB258" s="505"/>
      <c r="BC258" s="505"/>
      <c r="BD258" s="370"/>
      <c r="BE258" s="370"/>
      <c r="BF258" s="370"/>
      <c r="BG258" s="370"/>
      <c r="BH258" s="370"/>
      <c r="BI258" s="370"/>
      <c r="BJ258" s="370"/>
      <c r="BK258" s="370"/>
      <c r="BL258" s="370"/>
      <c r="BM258" s="370"/>
      <c r="BN258" s="370"/>
      <c r="BO258" s="370"/>
      <c r="BP258" s="370"/>
      <c r="BQ258" s="370"/>
      <c r="BR258" s="370"/>
      <c r="BS258" s="370"/>
      <c r="BV258" s="508"/>
      <c r="BW258" s="369"/>
      <c r="BX258" s="370"/>
      <c r="BY258" s="370"/>
      <c r="BZ258" s="370"/>
      <c r="CA258" s="370"/>
      <c r="CB258" s="370"/>
      <c r="CC258" s="505"/>
      <c r="CD258" s="505"/>
      <c r="CE258" s="505"/>
      <c r="CF258" s="505"/>
      <c r="CG258" s="505"/>
      <c r="CH258" s="505"/>
      <c r="CI258" s="505"/>
      <c r="CJ258" s="505"/>
      <c r="CK258" s="505"/>
      <c r="CL258" s="505"/>
      <c r="CM258" s="505"/>
    </row>
    <row r="259" customFormat="false" ht="12.75" hidden="false" customHeight="false" outlineLevel="0" collapsed="false">
      <c r="A259" s="500"/>
      <c r="B259" s="500"/>
      <c r="K259" s="363"/>
      <c r="L259" s="501"/>
      <c r="N259" s="502"/>
      <c r="O259" s="502"/>
      <c r="P259" s="371"/>
      <c r="Q259" s="501"/>
      <c r="R259" s="501"/>
      <c r="U259" s="501"/>
      <c r="V259" s="503"/>
      <c r="W259" s="503"/>
      <c r="X259" s="504"/>
      <c r="Y259" s="504"/>
      <c r="Z259" s="504"/>
      <c r="AA259" s="504"/>
      <c r="AB259" s="504"/>
      <c r="AC259" s="504"/>
      <c r="AF259" s="378"/>
      <c r="AG259" s="378"/>
      <c r="AH259" s="378"/>
      <c r="AI259" s="378"/>
      <c r="AJ259" s="378"/>
      <c r="AM259" s="505"/>
      <c r="AN259" s="505"/>
      <c r="AO259" s="505"/>
      <c r="AP259" s="505"/>
      <c r="AR259" s="370"/>
      <c r="AT259" s="370"/>
      <c r="AV259" s="506"/>
      <c r="AW259" s="370"/>
      <c r="AX259" s="370"/>
      <c r="AY259" s="370"/>
      <c r="AZ259" s="370"/>
      <c r="BA259" s="507"/>
      <c r="BB259" s="505"/>
      <c r="BC259" s="505"/>
      <c r="BD259" s="370"/>
      <c r="BE259" s="370"/>
      <c r="BF259" s="370"/>
      <c r="BG259" s="370"/>
      <c r="BH259" s="370"/>
      <c r="BI259" s="370"/>
      <c r="BJ259" s="370"/>
      <c r="BK259" s="370"/>
      <c r="BL259" s="370"/>
      <c r="BM259" s="370"/>
      <c r="BN259" s="370"/>
      <c r="BO259" s="370"/>
      <c r="BP259" s="370"/>
      <c r="BQ259" s="370"/>
      <c r="BR259" s="370"/>
      <c r="BS259" s="370"/>
      <c r="BV259" s="508"/>
      <c r="BW259" s="369"/>
      <c r="BX259" s="370"/>
      <c r="BY259" s="370"/>
      <c r="BZ259" s="370"/>
      <c r="CA259" s="370"/>
      <c r="CB259" s="370"/>
      <c r="CC259" s="505"/>
      <c r="CD259" s="505"/>
      <c r="CE259" s="505"/>
      <c r="CF259" s="505"/>
      <c r="CG259" s="505"/>
      <c r="CH259" s="505"/>
      <c r="CI259" s="505"/>
      <c r="CJ259" s="505"/>
      <c r="CK259" s="505"/>
      <c r="CL259" s="505"/>
      <c r="CM259" s="505"/>
    </row>
    <row r="260" customFormat="false" ht="12.75" hidden="false" customHeight="false" outlineLevel="0" collapsed="false">
      <c r="A260" s="500"/>
      <c r="B260" s="500"/>
      <c r="K260" s="363"/>
      <c r="L260" s="501"/>
      <c r="N260" s="502"/>
      <c r="O260" s="502"/>
      <c r="P260" s="371"/>
      <c r="Q260" s="501"/>
      <c r="R260" s="501"/>
      <c r="U260" s="501"/>
      <c r="V260" s="503"/>
      <c r="W260" s="503"/>
      <c r="X260" s="504"/>
      <c r="Y260" s="504"/>
      <c r="Z260" s="504"/>
      <c r="AA260" s="504"/>
      <c r="AB260" s="504"/>
      <c r="AC260" s="504"/>
      <c r="AF260" s="378"/>
      <c r="AG260" s="378"/>
      <c r="AH260" s="378"/>
      <c r="AI260" s="378"/>
      <c r="AJ260" s="378"/>
      <c r="AM260" s="505"/>
      <c r="AN260" s="505"/>
      <c r="AO260" s="505"/>
      <c r="AP260" s="505"/>
      <c r="AR260" s="370"/>
      <c r="AT260" s="370"/>
      <c r="AV260" s="506"/>
      <c r="AW260" s="370"/>
      <c r="AX260" s="370"/>
      <c r="AY260" s="370"/>
      <c r="AZ260" s="370"/>
      <c r="BA260" s="507"/>
      <c r="BB260" s="505"/>
      <c r="BC260" s="505"/>
      <c r="BD260" s="370"/>
      <c r="BE260" s="370"/>
      <c r="BF260" s="370"/>
      <c r="BG260" s="370"/>
      <c r="BH260" s="370"/>
      <c r="BI260" s="370"/>
      <c r="BJ260" s="370"/>
      <c r="BK260" s="370"/>
      <c r="BL260" s="370"/>
      <c r="BM260" s="370"/>
      <c r="BN260" s="370"/>
      <c r="BO260" s="370"/>
      <c r="BP260" s="370"/>
      <c r="BQ260" s="370"/>
      <c r="BR260" s="370"/>
      <c r="BS260" s="370"/>
      <c r="BV260" s="508"/>
      <c r="BW260" s="369"/>
      <c r="BX260" s="370"/>
      <c r="BY260" s="370"/>
      <c r="BZ260" s="370"/>
      <c r="CA260" s="370"/>
      <c r="CB260" s="370"/>
      <c r="CC260" s="505"/>
      <c r="CD260" s="505"/>
      <c r="CE260" s="505"/>
      <c r="CF260" s="505"/>
      <c r="CG260" s="505"/>
      <c r="CH260" s="505"/>
      <c r="CI260" s="505"/>
      <c r="CJ260" s="505"/>
      <c r="CK260" s="505"/>
      <c r="CL260" s="505"/>
      <c r="CM260" s="505"/>
    </row>
    <row r="261" customFormat="false" ht="12.75" hidden="false" customHeight="false" outlineLevel="0" collapsed="false">
      <c r="A261" s="500"/>
      <c r="B261" s="500"/>
      <c r="K261" s="363"/>
      <c r="L261" s="501"/>
      <c r="N261" s="502"/>
      <c r="O261" s="502"/>
      <c r="P261" s="371"/>
      <c r="Q261" s="501"/>
      <c r="R261" s="501"/>
      <c r="U261" s="501"/>
      <c r="V261" s="503"/>
      <c r="W261" s="503"/>
      <c r="X261" s="504"/>
      <c r="Y261" s="504"/>
      <c r="Z261" s="504"/>
      <c r="AA261" s="504"/>
      <c r="AB261" s="504"/>
      <c r="AC261" s="504"/>
      <c r="AF261" s="378"/>
      <c r="AG261" s="378"/>
      <c r="AH261" s="378"/>
      <c r="AI261" s="378"/>
      <c r="AJ261" s="378"/>
      <c r="AM261" s="505"/>
      <c r="AN261" s="505"/>
      <c r="AO261" s="505"/>
      <c r="AP261" s="505"/>
      <c r="AR261" s="370"/>
      <c r="AT261" s="370"/>
      <c r="AV261" s="506"/>
      <c r="AW261" s="370"/>
      <c r="AX261" s="370"/>
      <c r="AY261" s="370"/>
      <c r="AZ261" s="370"/>
      <c r="BA261" s="507"/>
      <c r="BB261" s="505"/>
      <c r="BC261" s="505"/>
      <c r="BD261" s="370"/>
      <c r="BE261" s="370"/>
      <c r="BF261" s="370"/>
      <c r="BG261" s="370"/>
      <c r="BH261" s="370"/>
      <c r="BI261" s="370"/>
      <c r="BJ261" s="370"/>
      <c r="BK261" s="370"/>
      <c r="BL261" s="370"/>
      <c r="BM261" s="370"/>
      <c r="BN261" s="370"/>
      <c r="BO261" s="370"/>
      <c r="BP261" s="370"/>
      <c r="BQ261" s="370"/>
      <c r="BR261" s="370"/>
      <c r="BS261" s="370"/>
      <c r="BV261" s="508"/>
      <c r="BW261" s="369"/>
      <c r="BX261" s="370"/>
      <c r="BY261" s="370"/>
      <c r="BZ261" s="370"/>
      <c r="CA261" s="370"/>
      <c r="CB261" s="370"/>
      <c r="CC261" s="505"/>
      <c r="CD261" s="505"/>
      <c r="CE261" s="505"/>
      <c r="CF261" s="505"/>
      <c r="CG261" s="505"/>
      <c r="CH261" s="505"/>
      <c r="CI261" s="505"/>
      <c r="CJ261" s="505"/>
      <c r="CK261" s="505"/>
      <c r="CL261" s="505"/>
      <c r="CM261" s="505"/>
    </row>
    <row r="262" customFormat="false" ht="12.75" hidden="false" customHeight="false" outlineLevel="0" collapsed="false">
      <c r="A262" s="500"/>
      <c r="B262" s="500"/>
    </row>
    <row r="263" customFormat="false" ht="12.75" hidden="false" customHeight="false" outlineLevel="0" collapsed="false">
      <c r="A263" s="500"/>
      <c r="B263" s="500"/>
    </row>
    <row r="264" customFormat="false" ht="12.75" hidden="false" customHeight="false" outlineLevel="0" collapsed="false">
      <c r="A264" s="500"/>
      <c r="B264" s="500"/>
    </row>
    <row r="265" customFormat="false" ht="12.75" hidden="false" customHeight="false" outlineLevel="0" collapsed="false">
      <c r="A265" s="500"/>
      <c r="B265" s="500"/>
    </row>
    <row r="266" customFormat="false" ht="12.75" hidden="false" customHeight="false" outlineLevel="0" collapsed="false">
      <c r="A266" s="500"/>
      <c r="B266" s="500"/>
    </row>
    <row r="267" customFormat="false" ht="12.75" hidden="false" customHeight="false" outlineLevel="0" collapsed="false">
      <c r="A267" s="500"/>
      <c r="B267" s="500"/>
    </row>
    <row r="268" customFormat="false" ht="12.75" hidden="false" customHeight="false" outlineLevel="0" collapsed="false">
      <c r="A268" s="500"/>
      <c r="B268" s="500"/>
    </row>
    <row r="269" customFormat="false" ht="12.75" hidden="false" customHeight="false" outlineLevel="0" collapsed="false">
      <c r="A269" s="500"/>
      <c r="B269" s="500"/>
    </row>
    <row r="270" customFormat="false" ht="12.75" hidden="false" customHeight="false" outlineLevel="0" collapsed="false">
      <c r="A270" s="500"/>
      <c r="B270" s="500"/>
    </row>
  </sheetData>
  <mergeCells count="274">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96"/>
  <sheetViews>
    <sheetView showFormulas="false" showGridLines="true" showRowColHeaders="true" showZeros="true" rightToLeft="false" tabSelected="false" showOutlineSymbols="true" defaultGridColor="true" view="normal" topLeftCell="K1" colorId="64" zoomScale="80" zoomScaleNormal="80" zoomScalePageLayoutView="100" workbookViewId="0">
      <selection pane="topLeft" activeCell="CI21" activeCellId="0" sqref="CI21:CI89"/>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54</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284972.8</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250721.61</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34251.18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709.58</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-449.22</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SUMPRODUCT(L22:L33,F22:F33)</f>
        <v>#VALUE!</v>
      </c>
      <c r="L10" s="414" t="s">
        <v>478</v>
      </c>
      <c r="M10" s="414"/>
      <c r="N10" s="400" t="e">
        <f aca="true">-SUMPRODUCT(INDIRECT(CONCATENATE(AV10,":",AW10)),INDIRECT(CONCATENATE($AX$7,":",$AY$7)),INDIRECT(CONCATENATE($AV$3,":",$AW$3)))</f>
        <v>#VALUE!</v>
      </c>
      <c r="O10" s="400" t="n">
        <v>-60877.11</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SUMPRODUCT(K22:K33,F22:F33)</f>
        <v>#VALUE!</v>
      </c>
      <c r="L11" s="425" t="s">
        <v>481</v>
      </c>
      <c r="M11" s="425"/>
      <c r="N11" s="426" t="e">
        <f aca="true">-SUMPRODUCT(INDIRECT(CONCATENATE(AV11,":",AW11)),INDIRECT(CONCATENATE($AV$2,":",$AW$2)),INDIRECT(CONCATENATE($AV$3,":",$AW$3)),INDIRECT(CONCATENATE(AX3,":",AY3)))</f>
        <v>#VALUE!</v>
      </c>
      <c r="O11" s="427" t="n">
        <v>-26270.9</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-1200.71</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0.15</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28.23</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0.1</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-76.89</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28.79</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284967.66</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5.13</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2.91362467866324</v>
      </c>
      <c r="BW22" s="369" t="n">
        <v>3.196</v>
      </c>
      <c r="BX22" s="370" t="n">
        <v>0.952435996987834</v>
      </c>
      <c r="BY22" s="370" t="n">
        <v>0.952435996987834</v>
      </c>
      <c r="BZ22" s="370" t="n">
        <v>0.995516733028398</v>
      </c>
      <c r="CA22" s="370" t="n">
        <v>0.0187659081571607</v>
      </c>
      <c r="CB22" s="370" t="n">
        <v>0.998364899395796</v>
      </c>
      <c r="CC22" s="505" t="n">
        <v>-0.01</v>
      </c>
      <c r="CD22" s="505" t="n">
        <v>-0.0025</v>
      </c>
      <c r="CE22" s="505" t="n">
        <v>0.35</v>
      </c>
      <c r="CF22" s="505" t="n">
        <v>0</v>
      </c>
      <c r="CG22" s="505" t="n">
        <v>0.0384</v>
      </c>
      <c r="CH22" s="505" t="n">
        <v>11.6152767490405</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2.97737789203085</v>
      </c>
      <c r="BW23" s="369" t="n">
        <v>3.258</v>
      </c>
      <c r="BX23" s="370" t="n">
        <v>0.906812181950228</v>
      </c>
      <c r="BY23" s="370" t="n">
        <v>0.906812181950228</v>
      </c>
      <c r="BZ23" s="370" t="n">
        <v>0.996461468562414</v>
      </c>
      <c r="CA23" s="370" t="n">
        <v>0.0193261872820063</v>
      </c>
      <c r="CB23" s="370" t="n">
        <v>0.996688029844541</v>
      </c>
      <c r="CC23" s="505" t="n">
        <v>-0.01</v>
      </c>
      <c r="CD23" s="505" t="n">
        <v>-0.0025</v>
      </c>
      <c r="CE23" s="505" t="n">
        <v>0.35</v>
      </c>
      <c r="CF23" s="505" t="n">
        <v>0</v>
      </c>
      <c r="CG23" s="505" t="n">
        <v>0.0384</v>
      </c>
      <c r="CH23" s="505" t="n">
        <v>10.4735964928184</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2.97120822622108</v>
      </c>
      <c r="BW24" s="369" t="n">
        <v>3.302</v>
      </c>
      <c r="BX24" s="370" t="n">
        <v>0.79</v>
      </c>
      <c r="BY24" s="370" t="n">
        <v>0.79</v>
      </c>
      <c r="BZ24" s="370" t="n">
        <v>0.997918918918919</v>
      </c>
      <c r="CA24" s="370" t="n">
        <v>0.0192731753639035</v>
      </c>
      <c r="CB24" s="370" t="n">
        <v>0.99523258517239</v>
      </c>
      <c r="CC24" s="505" t="n">
        <v>-0.01</v>
      </c>
      <c r="CD24" s="505" t="n">
        <v>-0.0025</v>
      </c>
      <c r="CE24" s="505" t="n">
        <v>0.4</v>
      </c>
      <c r="CF24" s="505" t="n">
        <v>0</v>
      </c>
      <c r="CG24" s="505" t="n">
        <v>0.0384</v>
      </c>
      <c r="CH24" s="505" t="n">
        <v>11.5788344656711</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2.9439588688946</v>
      </c>
      <c r="BW25" s="369" t="n">
        <v>3.448</v>
      </c>
      <c r="BX25" s="370" t="n">
        <v>0.600814487825059</v>
      </c>
      <c r="BY25" s="370" t="n">
        <v>0.600814487825059</v>
      </c>
      <c r="BZ25" s="370" t="n">
        <v>1</v>
      </c>
      <c r="CA25" s="370" t="n">
        <v>0.0194226401196236</v>
      </c>
      <c r="CB25" s="370" t="n">
        <v>0.993564587749983</v>
      </c>
      <c r="CC25" s="505" t="n">
        <v>0.01</v>
      </c>
      <c r="CD25" s="505" t="n">
        <v>0.005</v>
      </c>
      <c r="CE25" s="505" t="n">
        <v>0.6</v>
      </c>
      <c r="CF25" s="505" t="n">
        <v>0</v>
      </c>
      <c r="CG25" s="505" t="n">
        <v>0.0384</v>
      </c>
      <c r="CH25" s="505" t="n">
        <v>11.1865436934771</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2.99331619537275</v>
      </c>
      <c r="BW26" s="369" t="n">
        <v>3.646</v>
      </c>
      <c r="BX26" s="370" t="n">
        <v>0.57775293402001</v>
      </c>
      <c r="BY26" s="370" t="n">
        <v>0.57775293402001</v>
      </c>
      <c r="BZ26" s="370" t="n">
        <v>1</v>
      </c>
      <c r="CA26" s="370" t="n">
        <v>0.019712159578257</v>
      </c>
      <c r="CB26" s="370" t="n">
        <v>0.991870109542169</v>
      </c>
      <c r="CC26" s="505" t="n">
        <v>0.01</v>
      </c>
      <c r="CD26" s="505" t="n">
        <v>0.005</v>
      </c>
      <c r="CE26" s="505" t="n">
        <v>0.75</v>
      </c>
      <c r="CF26" s="505" t="n">
        <v>0</v>
      </c>
      <c r="CG26" s="505" t="n">
        <v>0.0384</v>
      </c>
      <c r="CH26" s="505" t="n">
        <v>11.5397144154465</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3.04730077120823</v>
      </c>
      <c r="BW27" s="369" t="n">
        <v>3.796</v>
      </c>
      <c r="BX27" s="370" t="n">
        <v>0.550221330219268</v>
      </c>
      <c r="BY27" s="370" t="n">
        <v>0.550221330219268</v>
      </c>
      <c r="BZ27" s="370" t="n">
        <v>1</v>
      </c>
      <c r="CA27" s="370" t="n">
        <v>0.0200113297153544</v>
      </c>
      <c r="CB27" s="370" t="n">
        <v>0.990073216017117</v>
      </c>
      <c r="CC27" s="505" t="n">
        <v>0.0125</v>
      </c>
      <c r="CD27" s="505" t="n">
        <v>0.005</v>
      </c>
      <c r="CE27" s="505" t="n">
        <v>0.85</v>
      </c>
      <c r="CF27" s="505" t="n">
        <v>0</v>
      </c>
      <c r="CG27" s="505" t="n">
        <v>0.0384</v>
      </c>
      <c r="CH27" s="505" t="n">
        <v>11.1472343391367</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3.08637532133676</v>
      </c>
      <c r="BW28" s="369" t="n">
        <v>4.034</v>
      </c>
      <c r="BX28" s="370" t="n">
        <v>0.549290255131369</v>
      </c>
      <c r="BY28" s="370" t="n">
        <v>0.549290255131369</v>
      </c>
      <c r="BZ28" s="370" t="n">
        <v>1</v>
      </c>
      <c r="CA28" s="370" t="n">
        <v>0.0204286298094831</v>
      </c>
      <c r="CB28" s="370" t="n">
        <v>0.988217193800728</v>
      </c>
      <c r="CC28" s="505" t="n">
        <v>0.0125</v>
      </c>
      <c r="CD28" s="505" t="n">
        <v>0.005</v>
      </c>
      <c r="CE28" s="505" t="n">
        <v>1.05</v>
      </c>
      <c r="CF28" s="505" t="n">
        <v>0</v>
      </c>
      <c r="CG28" s="505" t="n">
        <v>0.0384</v>
      </c>
      <c r="CH28" s="505" t="n">
        <v>11.4972152978358</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3.12956298200514</v>
      </c>
      <c r="BW29" s="369" t="n">
        <v>4.076</v>
      </c>
      <c r="BX29" s="370" t="n">
        <v>0.549894268674422</v>
      </c>
      <c r="BY29" s="370" t="n">
        <v>0.549894268674422</v>
      </c>
      <c r="BZ29" s="370" t="n">
        <v>1</v>
      </c>
      <c r="CA29" s="370" t="n">
        <v>0.021065008234304</v>
      </c>
      <c r="CB29" s="370" t="n">
        <v>0.986098940667972</v>
      </c>
      <c r="CC29" s="505" t="n">
        <v>0.0125</v>
      </c>
      <c r="CD29" s="505" t="n">
        <v>0.005</v>
      </c>
      <c r="CE29" s="505" t="n">
        <v>1.05</v>
      </c>
      <c r="CF29" s="505" t="n">
        <v>0</v>
      </c>
      <c r="CG29" s="505" t="n">
        <v>0.0384</v>
      </c>
      <c r="CH29" s="505" t="n">
        <v>11.4725709054134</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3.11619537275064</v>
      </c>
      <c r="BW30" s="369" t="n">
        <v>3.768</v>
      </c>
      <c r="BX30" s="370" t="n">
        <v>0.548527673591454</v>
      </c>
      <c r="BY30" s="370" t="n">
        <v>0.548527673591454</v>
      </c>
      <c r="BZ30" s="370" t="n">
        <v>1</v>
      </c>
      <c r="CA30" s="370" t="n">
        <v>0.0217013867962765</v>
      </c>
      <c r="CB30" s="370" t="n">
        <v>0.983880178541275</v>
      </c>
      <c r="CC30" s="505" t="n">
        <v>0.0075</v>
      </c>
      <c r="CD30" s="505" t="n">
        <v>0.005</v>
      </c>
      <c r="CE30" s="505" t="n">
        <v>0.75</v>
      </c>
      <c r="CF30" s="505" t="n">
        <v>0</v>
      </c>
      <c r="CG30" s="505" t="n">
        <v>0.0384</v>
      </c>
      <c r="CH30" s="505" t="n">
        <v>11.0775069301962</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3.12956298200514</v>
      </c>
      <c r="BW31" s="369" t="n">
        <v>3.481</v>
      </c>
      <c r="BX31" s="370" t="n">
        <v>0.5511830669082</v>
      </c>
      <c r="BY31" s="370" t="n">
        <v>0.5511830669082</v>
      </c>
      <c r="BZ31" s="370" t="n">
        <v>1</v>
      </c>
      <c r="CA31" s="370" t="n">
        <v>0.022410164045374</v>
      </c>
      <c r="CB31" s="370" t="n">
        <v>0.981562668478235</v>
      </c>
      <c r="CC31" s="505" t="n">
        <v>0.0075</v>
      </c>
      <c r="CD31" s="505" t="n">
        <v>0.005</v>
      </c>
      <c r="CE31" s="505" t="n">
        <v>0.45</v>
      </c>
      <c r="CF31" s="505" t="n">
        <v>0</v>
      </c>
      <c r="CG31" s="505" t="n">
        <v>0.0384</v>
      </c>
      <c r="CH31" s="505" t="n">
        <v>11.4197945538763</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3.3120822622108</v>
      </c>
      <c r="BW32" s="369" t="n">
        <v>3.661</v>
      </c>
      <c r="BX32" s="370" t="n">
        <v>0.557476031074478</v>
      </c>
      <c r="BY32" s="370" t="n">
        <v>0.557476031074478</v>
      </c>
      <c r="BZ32" s="370" t="n">
        <v>1</v>
      </c>
      <c r="CA32" s="370" t="n">
        <v>0.0232740649677528</v>
      </c>
      <c r="CB32" s="370" t="n">
        <v>0.97893835036076</v>
      </c>
      <c r="CC32" s="505" t="n">
        <v>0.005</v>
      </c>
      <c r="CD32" s="505" t="n">
        <v>0.005</v>
      </c>
      <c r="CE32" s="505" t="n">
        <v>0.45</v>
      </c>
      <c r="CF32" s="505" t="n">
        <v>0</v>
      </c>
      <c r="CG32" s="505" t="n">
        <v>0.0384</v>
      </c>
      <c r="CH32" s="505" t="n">
        <v>11.0218668867118</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3.47660668380463</v>
      </c>
      <c r="BW33" s="369" t="n">
        <v>3.771</v>
      </c>
      <c r="BX33" s="370" t="n">
        <v>0.570790000341453</v>
      </c>
      <c r="BY33" s="370" t="n">
        <v>0.570790000341453</v>
      </c>
      <c r="BZ33" s="370" t="n">
        <v>1</v>
      </c>
      <c r="CA33" s="370" t="n">
        <v>0.024110098358836</v>
      </c>
      <c r="CB33" s="370" t="n">
        <v>0.976270925999808</v>
      </c>
      <c r="CC33" s="505" t="n">
        <v>0.005</v>
      </c>
      <c r="CD33" s="505" t="n">
        <v>0.005</v>
      </c>
      <c r="CE33" s="505" t="n">
        <v>0.4</v>
      </c>
      <c r="CF33" s="505" t="n">
        <v>0</v>
      </c>
      <c r="CG33" s="505" t="n">
        <v>0.0384</v>
      </c>
      <c r="CH33" s="505" t="n">
        <v>11.3582288343596</v>
      </c>
      <c r="CI33" s="505" t="n">
        <v>3.371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3.55372750642674</v>
      </c>
      <c r="BW34" s="369" t="n">
        <v>3.796</v>
      </c>
      <c r="BX34" s="370" t="n">
        <v>0.56836354878586</v>
      </c>
      <c r="BY34" s="370" t="n">
        <v>0.56836354878586</v>
      </c>
      <c r="BZ34" s="370" t="n">
        <v>1</v>
      </c>
      <c r="CA34" s="370" t="n">
        <v>0.0250384261928196</v>
      </c>
      <c r="CB34" s="370" t="n">
        <v>0.97331647833328</v>
      </c>
      <c r="CC34" s="505" t="n">
        <v>0.005</v>
      </c>
      <c r="CD34" s="505" t="n">
        <v>0.005</v>
      </c>
      <c r="CE34" s="505" t="n">
        <v>0.35</v>
      </c>
      <c r="CF34" s="505" t="n">
        <v>0</v>
      </c>
      <c r="CG34" s="505" t="n">
        <v>0.0374</v>
      </c>
      <c r="CH34" s="505" t="n">
        <v>11.3238559038729</v>
      </c>
      <c r="CI34" s="505" t="n">
        <v>3.446</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3.47660668380463</v>
      </c>
      <c r="BW35" s="369" t="n">
        <v>3.721</v>
      </c>
      <c r="BX35" s="370" t="n">
        <v>0.554353390063384</v>
      </c>
      <c r="BY35" s="370" t="n">
        <v>0.554353390063384</v>
      </c>
      <c r="BZ35" s="370" t="n">
        <v>1</v>
      </c>
      <c r="CA35" s="370" t="n">
        <v>0.0260449864197474</v>
      </c>
      <c r="CB35" s="370" t="n">
        <v>0.970132608451962</v>
      </c>
      <c r="CC35" s="505" t="n">
        <v>0.005</v>
      </c>
      <c r="CD35" s="505" t="n">
        <v>0.005</v>
      </c>
      <c r="CE35" s="505" t="n">
        <v>0.35</v>
      </c>
      <c r="CF35" s="505" t="n">
        <v>0</v>
      </c>
      <c r="CG35" s="505" t="n">
        <v>0.0374</v>
      </c>
      <c r="CH35" s="505" t="n">
        <v>10.1945415026566</v>
      </c>
      <c r="CI35" s="505" t="n">
        <v>3.371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3.3840616966581</v>
      </c>
      <c r="BW36" s="369" t="n">
        <v>3.681</v>
      </c>
      <c r="BX36" s="370" t="n">
        <v>0.50293567145062</v>
      </c>
      <c r="BY36" s="370" t="n">
        <v>0.50293567145062</v>
      </c>
      <c r="BZ36" s="370" t="n">
        <v>1</v>
      </c>
      <c r="CA36" s="370" t="n">
        <v>0.0269541378866576</v>
      </c>
      <c r="CB36" s="370" t="n">
        <v>0.967126070368611</v>
      </c>
      <c r="CC36" s="505" t="n">
        <v>0.005</v>
      </c>
      <c r="CD36" s="505" t="n">
        <v>0.005</v>
      </c>
      <c r="CE36" s="505" t="n">
        <v>0.4</v>
      </c>
      <c r="CF36" s="505" t="n">
        <v>0</v>
      </c>
      <c r="CG36" s="505" t="n">
        <v>0.0374</v>
      </c>
      <c r="CH36" s="505" t="n">
        <v>11.2518348404895</v>
      </c>
      <c r="CI36" s="505" t="n">
        <v>3.281</v>
      </c>
      <c r="CJ36" s="505"/>
      <c r="CK36" s="505"/>
      <c r="CL36" s="505"/>
      <c r="CM36" s="505"/>
    </row>
    <row r="37" customFormat="false" ht="12.75" hidden="false" customHeight="false" outlineLevel="0" collapsed="false">
      <c r="A37" s="500"/>
      <c r="B37" s="500"/>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3.22982005141388</v>
      </c>
      <c r="BW37" s="369" t="n">
        <v>3.726</v>
      </c>
      <c r="BX37" s="370" t="n">
        <v>0.388875549675273</v>
      </c>
      <c r="BY37" s="370" t="n">
        <v>0.388875549675273</v>
      </c>
      <c r="BZ37" s="370" t="n">
        <v>1</v>
      </c>
      <c r="CA37" s="370" t="n">
        <v>0.0279745964320606</v>
      </c>
      <c r="CB37" s="370" t="n">
        <v>0.963636615990319</v>
      </c>
      <c r="CC37" s="505" t="n">
        <v>0.01</v>
      </c>
      <c r="CD37" s="505" t="n">
        <v>0.005</v>
      </c>
      <c r="CE37" s="505" t="n">
        <v>0.6</v>
      </c>
      <c r="CF37" s="505" t="n">
        <v>0</v>
      </c>
      <c r="CG37" s="505" t="n">
        <v>0.0374</v>
      </c>
      <c r="CH37" s="505" t="n">
        <v>10.849584659435</v>
      </c>
      <c r="CI37" s="505" t="n">
        <v>3.126</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3.23084832904884</v>
      </c>
      <c r="BW38" s="369" t="n">
        <v>3.877</v>
      </c>
      <c r="BX38" s="370" t="n">
        <v>0.376159329765107</v>
      </c>
      <c r="BY38" s="370" t="n">
        <v>0.376159329765107</v>
      </c>
      <c r="BZ38" s="370" t="n">
        <v>1</v>
      </c>
      <c r="CA38" s="370" t="n">
        <v>0.0289631800763801</v>
      </c>
      <c r="CB38" s="370" t="n">
        <v>0.960114752892753</v>
      </c>
      <c r="CC38" s="505" t="n">
        <v>0.01</v>
      </c>
      <c r="CD38" s="505" t="n">
        <v>0.005</v>
      </c>
      <c r="CE38" s="505" t="n">
        <v>0.75</v>
      </c>
      <c r="CF38" s="505" t="n">
        <v>0</v>
      </c>
      <c r="CG38" s="505" t="n">
        <v>0.0374</v>
      </c>
      <c r="CH38" s="505" t="n">
        <v>11.1702630695802</v>
      </c>
      <c r="CI38" s="505" t="n">
        <v>3.127</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3.2694087403599</v>
      </c>
      <c r="BW39" s="369" t="n">
        <v>4.012</v>
      </c>
      <c r="BX39" s="370" t="n">
        <v>0.375845949287242</v>
      </c>
      <c r="BY39" s="370" t="n">
        <v>0.375845949287242</v>
      </c>
      <c r="BZ39" s="370" t="n">
        <v>1</v>
      </c>
      <c r="CA39" s="370" t="n">
        <v>0.0299847168551968</v>
      </c>
      <c r="CB39" s="370" t="n">
        <v>0.956328852591432</v>
      </c>
      <c r="CC39" s="505" t="n">
        <v>0.0125</v>
      </c>
      <c r="CD39" s="505" t="n">
        <v>0.005</v>
      </c>
      <c r="CE39" s="505" t="n">
        <v>0.85</v>
      </c>
      <c r="CF39" s="505" t="n">
        <v>0</v>
      </c>
      <c r="CG39" s="505" t="n">
        <v>0.0374</v>
      </c>
      <c r="CH39" s="505" t="n">
        <v>10.7673065513269</v>
      </c>
      <c r="CI39" s="505" t="n">
        <v>3.162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3.31259640102828</v>
      </c>
      <c r="BW40" s="369" t="n">
        <v>4.254</v>
      </c>
      <c r="BX40" s="370" t="n">
        <v>0.377568797335415</v>
      </c>
      <c r="BY40" s="370" t="n">
        <v>0.377568797335415</v>
      </c>
      <c r="BZ40" s="370" t="n">
        <v>1</v>
      </c>
      <c r="CA40" s="370" t="n">
        <v>0.0309652793004798</v>
      </c>
      <c r="CB40" s="370" t="n">
        <v>0.95253693379797</v>
      </c>
      <c r="CC40" s="505" t="n">
        <v>0.0125</v>
      </c>
      <c r="CD40" s="505" t="n">
        <v>0.005</v>
      </c>
      <c r="CE40" s="505" t="n">
        <v>1.05</v>
      </c>
      <c r="CF40" s="505" t="n">
        <v>0</v>
      </c>
      <c r="CG40" s="505" t="n">
        <v>0.0374</v>
      </c>
      <c r="CH40" s="505" t="n">
        <v>11.0821004488857</v>
      </c>
      <c r="CI40" s="505" t="n">
        <v>3.204</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3.35578406169666</v>
      </c>
      <c r="BW41" s="369" t="n">
        <v>4.296</v>
      </c>
      <c r="BX41" s="370" t="n">
        <v>0.37917572731747</v>
      </c>
      <c r="BY41" s="370" t="n">
        <v>0.37917572731747</v>
      </c>
      <c r="BZ41" s="370" t="n">
        <v>1</v>
      </c>
      <c r="CA41" s="370" t="n">
        <v>0.0319670833322725</v>
      </c>
      <c r="CB41" s="370" t="n">
        <v>0.948494893378275</v>
      </c>
      <c r="CC41" s="505" t="n">
        <v>0.0125</v>
      </c>
      <c r="CD41" s="505" t="n">
        <v>0.005</v>
      </c>
      <c r="CE41" s="505" t="n">
        <v>1.05</v>
      </c>
      <c r="CF41" s="505" t="n">
        <v>0</v>
      </c>
      <c r="CG41" s="505" t="n">
        <v>0.0374</v>
      </c>
      <c r="CH41" s="505" t="n">
        <v>11.0350741380309</v>
      </c>
      <c r="CI41" s="505" t="n">
        <v>3.246</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3.34550128534704</v>
      </c>
      <c r="BW42" s="369" t="n">
        <v>3.991</v>
      </c>
      <c r="BX42" s="370" t="n">
        <v>0.376255879342064</v>
      </c>
      <c r="BY42" s="370" t="n">
        <v>0.376255879342064</v>
      </c>
      <c r="BZ42" s="370" t="n">
        <v>1</v>
      </c>
      <c r="CA42" s="370" t="n">
        <v>0.032968887702129</v>
      </c>
      <c r="CB42" s="370" t="n">
        <v>0.944312700032904</v>
      </c>
      <c r="CC42" s="505" t="n">
        <v>0.0075</v>
      </c>
      <c r="CD42" s="505" t="n">
        <v>0.005</v>
      </c>
      <c r="CE42" s="505" t="n">
        <v>0.75</v>
      </c>
      <c r="CF42" s="505" t="n">
        <v>0</v>
      </c>
      <c r="CG42" s="505" t="n">
        <v>0.0374</v>
      </c>
      <c r="CH42" s="505" t="n">
        <v>10.6320166896705</v>
      </c>
      <c r="CI42" s="505" t="n">
        <v>3.241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3.37223650385604</v>
      </c>
      <c r="BW43" s="369" t="n">
        <v>3.717</v>
      </c>
      <c r="BX43" s="370" t="n">
        <v>0.38041410598552</v>
      </c>
      <c r="BY43" s="370" t="n">
        <v>0.38041410598552</v>
      </c>
      <c r="BZ43" s="370" t="n">
        <v>1</v>
      </c>
      <c r="CA43" s="370" t="n">
        <v>0.0339067018220711</v>
      </c>
      <c r="CB43" s="370" t="n">
        <v>0.940187685777986</v>
      </c>
      <c r="CC43" s="505" t="n">
        <v>0.0075</v>
      </c>
      <c r="CD43" s="505" t="n">
        <v>0.005</v>
      </c>
      <c r="CE43" s="505" t="n">
        <v>0.45</v>
      </c>
      <c r="CF43" s="505" t="n">
        <v>0</v>
      </c>
      <c r="CG43" s="505" t="n">
        <v>0.0374</v>
      </c>
      <c r="CH43" s="505" t="n">
        <v>10.9384255926468</v>
      </c>
      <c r="CI43" s="505" t="n">
        <v>3.267</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3.51105398457584</v>
      </c>
      <c r="BW44" s="369" t="n">
        <v>3.852</v>
      </c>
      <c r="BX44" s="370" t="n">
        <v>0.385609740274895</v>
      </c>
      <c r="BY44" s="370" t="n">
        <v>0.385609740274895</v>
      </c>
      <c r="BZ44" s="370" t="n">
        <v>1</v>
      </c>
      <c r="CA44" s="370" t="n">
        <v>0.0348361539671314</v>
      </c>
      <c r="CB44" s="370" t="n">
        <v>0.93586587426758</v>
      </c>
      <c r="CC44" s="505" t="n">
        <v>0.005</v>
      </c>
      <c r="CD44" s="505" t="n">
        <v>0.0075</v>
      </c>
      <c r="CE44" s="505" t="n">
        <v>0.45</v>
      </c>
      <c r="CF44" s="505" t="n">
        <v>0</v>
      </c>
      <c r="CG44" s="505" t="n">
        <v>0.0374</v>
      </c>
      <c r="CH44" s="505" t="n">
        <v>10.5369138783787</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3.64987146529563</v>
      </c>
      <c r="BW45" s="369" t="n">
        <v>3.937</v>
      </c>
      <c r="BX45" s="370" t="n">
        <v>0.395540413143884</v>
      </c>
      <c r="BY45" s="370" t="n">
        <v>0.395540413143884</v>
      </c>
      <c r="BZ45" s="370" t="n">
        <v>1</v>
      </c>
      <c r="CA45" s="370" t="n">
        <v>0.0357356240616102</v>
      </c>
      <c r="CB45" s="370" t="n">
        <v>0.931565547567078</v>
      </c>
      <c r="CC45" s="505" t="n">
        <v>0.005</v>
      </c>
      <c r="CD45" s="505" t="n">
        <v>0.0075</v>
      </c>
      <c r="CE45" s="505" t="n">
        <v>0.4</v>
      </c>
      <c r="CF45" s="505" t="n">
        <v>0</v>
      </c>
      <c r="CG45" s="505" t="n">
        <v>0.0374</v>
      </c>
      <c r="CH45" s="505" t="n">
        <v>10.8381130500597</v>
      </c>
      <c r="CI45" s="505" t="n">
        <v>3.537</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3.71156812339332</v>
      </c>
      <c r="BW46" s="369" t="n">
        <v>3.947</v>
      </c>
      <c r="BX46" s="370" t="n">
        <v>0.392965652353069</v>
      </c>
      <c r="BY46" s="370" t="n">
        <v>0.392965652353069</v>
      </c>
      <c r="BZ46" s="370" t="n">
        <v>1</v>
      </c>
      <c r="CA46" s="370" t="n">
        <v>0.0366293995889575</v>
      </c>
      <c r="CB46" s="370" t="n">
        <v>0.927069774742957</v>
      </c>
      <c r="CC46" s="505" t="n">
        <v>0.005</v>
      </c>
      <c r="CD46" s="505" t="n">
        <v>0.0075</v>
      </c>
      <c r="CE46" s="505" t="n">
        <v>0.35</v>
      </c>
      <c r="CF46" s="505" t="n">
        <v>0</v>
      </c>
      <c r="CG46" s="505" t="n">
        <v>0.0334</v>
      </c>
      <c r="CH46" s="505" t="n">
        <v>10.785807880292</v>
      </c>
      <c r="CI46" s="505" t="n">
        <v>3.597</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3.62416452442159</v>
      </c>
      <c r="BW47" s="369" t="n">
        <v>3.862</v>
      </c>
      <c r="BX47" s="370" t="n">
        <v>0.390732432296569</v>
      </c>
      <c r="BY47" s="370" t="n">
        <v>0.390732432296569</v>
      </c>
      <c r="BZ47" s="370" t="n">
        <v>1</v>
      </c>
      <c r="CA47" s="370" t="n">
        <v>0.0374851197051385</v>
      </c>
      <c r="CB47" s="370" t="n">
        <v>0.922533811762705</v>
      </c>
      <c r="CC47" s="505" t="n">
        <v>0.005</v>
      </c>
      <c r="CD47" s="505" t="n">
        <v>0.0075</v>
      </c>
      <c r="CE47" s="505" t="n">
        <v>0.35</v>
      </c>
      <c r="CF47" s="505" t="n">
        <v>0</v>
      </c>
      <c r="CG47" s="505" t="n">
        <v>0.0334</v>
      </c>
      <c r="CH47" s="505" t="n">
        <v>10.0405812470818</v>
      </c>
      <c r="CI47" s="505" t="n">
        <v>3.512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3.49048843187661</v>
      </c>
      <c r="BW48" s="369" t="n">
        <v>3.782</v>
      </c>
      <c r="BX48" s="370" t="n">
        <v>0.366388286442151</v>
      </c>
      <c r="BY48" s="370" t="n">
        <v>0.366388286442151</v>
      </c>
      <c r="BZ48" s="370" t="n">
        <v>1</v>
      </c>
      <c r="CA48" s="370" t="n">
        <v>0.0382856322945879</v>
      </c>
      <c r="CB48" s="370" t="n">
        <v>0.918192690834127</v>
      </c>
      <c r="CC48" s="505" t="n">
        <v>0.005</v>
      </c>
      <c r="CD48" s="505" t="n">
        <v>0.0075</v>
      </c>
      <c r="CE48" s="505" t="n">
        <v>0.4</v>
      </c>
      <c r="CF48" s="505" t="n">
        <v>0</v>
      </c>
      <c r="CG48" s="505" t="n">
        <v>0.0334</v>
      </c>
      <c r="CH48" s="505" t="n">
        <v>10.6825292229715</v>
      </c>
      <c r="CI48" s="505" t="n">
        <v>3.382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3.30282776349614</v>
      </c>
      <c r="BW49" s="369" t="n">
        <v>3.797</v>
      </c>
      <c r="BX49" s="370" t="n">
        <v>0.331357120013448</v>
      </c>
      <c r="BY49" s="370" t="n">
        <v>0.331357120013448</v>
      </c>
      <c r="BZ49" s="370" t="n">
        <v>1</v>
      </c>
      <c r="CA49" s="370" t="n">
        <v>0.0390847146165725</v>
      </c>
      <c r="CB49" s="370" t="n">
        <v>0.913567985593808</v>
      </c>
      <c r="CC49" s="505" t="n">
        <v>0.01</v>
      </c>
      <c r="CD49" s="505" t="n">
        <v>0.005</v>
      </c>
      <c r="CE49" s="505" t="n">
        <v>0.6</v>
      </c>
      <c r="CF49" s="505" t="n">
        <v>0</v>
      </c>
      <c r="CG49" s="505" t="n">
        <v>0.0334</v>
      </c>
      <c r="CH49" s="505" t="n">
        <v>10.2858619498007</v>
      </c>
      <c r="CI49" s="505" t="n">
        <v>3.197</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3.29768637532134</v>
      </c>
      <c r="BW50" s="369" t="n">
        <v>3.942</v>
      </c>
      <c r="BX50" s="370" t="n">
        <v>0.327601342960546</v>
      </c>
      <c r="BY50" s="370" t="n">
        <v>0.327601342960546</v>
      </c>
      <c r="BZ50" s="370" t="n">
        <v>1</v>
      </c>
      <c r="CA50" s="370" t="n">
        <v>0.0397995549683068</v>
      </c>
      <c r="CB50" s="370" t="n">
        <v>0.909126089677525</v>
      </c>
      <c r="CC50" s="505" t="n">
        <v>0.01</v>
      </c>
      <c r="CD50" s="505" t="n">
        <v>0.005</v>
      </c>
      <c r="CE50" s="505" t="n">
        <v>0.75</v>
      </c>
      <c r="CF50" s="505" t="n">
        <v>0</v>
      </c>
      <c r="CG50" s="505" t="n">
        <v>0.0334</v>
      </c>
      <c r="CH50" s="505" t="n">
        <v>10.5770456651352</v>
      </c>
      <c r="CI50" s="505" t="n">
        <v>3.192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3.33624678663239</v>
      </c>
      <c r="BW51" s="369" t="n">
        <v>4.077</v>
      </c>
      <c r="BX51" s="370" t="n">
        <v>0.322553846057612</v>
      </c>
      <c r="BY51" s="370" t="n">
        <v>0.322553846057612</v>
      </c>
      <c r="BZ51" s="370" t="n">
        <v>1</v>
      </c>
      <c r="CA51" s="370" t="n">
        <v>0.0405382235118998</v>
      </c>
      <c r="CB51" s="370" t="n">
        <v>0.904449976505324</v>
      </c>
      <c r="CC51" s="505" t="n">
        <v>0.0125</v>
      </c>
      <c r="CD51" s="505" t="n">
        <v>0.005</v>
      </c>
      <c r="CE51" s="505" t="n">
        <v>0.85</v>
      </c>
      <c r="CF51" s="505" t="n">
        <v>0</v>
      </c>
      <c r="CG51" s="505" t="n">
        <v>0.0334</v>
      </c>
      <c r="CH51" s="505" t="n">
        <v>10.1832022854734</v>
      </c>
      <c r="CI51" s="505" t="n">
        <v>3.227</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3.37737789203085</v>
      </c>
      <c r="BW52" s="369" t="n">
        <v>4.317</v>
      </c>
      <c r="BX52" s="370" t="n">
        <v>0.323758663407093</v>
      </c>
      <c r="BY52" s="370" t="n">
        <v>0.323758663407093</v>
      </c>
      <c r="BZ52" s="370" t="n">
        <v>1</v>
      </c>
      <c r="CA52" s="370" t="n">
        <v>0.0412152492802473</v>
      </c>
      <c r="CB52" s="370" t="n">
        <v>0.899929041596613</v>
      </c>
      <c r="CC52" s="505" t="n">
        <v>0.0125</v>
      </c>
      <c r="CD52" s="505" t="n">
        <v>0.005</v>
      </c>
      <c r="CE52" s="505" t="n">
        <v>1.05</v>
      </c>
      <c r="CF52" s="505" t="n">
        <v>0</v>
      </c>
      <c r="CG52" s="505" t="n">
        <v>0.0334</v>
      </c>
      <c r="CH52" s="505" t="n">
        <v>10.4700444486475</v>
      </c>
      <c r="CI52" s="505" t="n">
        <v>3.267</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3.41850899742931</v>
      </c>
      <c r="BW53" s="369" t="n">
        <v>4.357</v>
      </c>
      <c r="BX53" s="370" t="n">
        <v>0.324924899747912</v>
      </c>
      <c r="BY53" s="370" t="n">
        <v>0.324924899747912</v>
      </c>
      <c r="BZ53" s="370" t="n">
        <v>1</v>
      </c>
      <c r="CA53" s="370" t="n">
        <v>0.0418733656308259</v>
      </c>
      <c r="CB53" s="370" t="n">
        <v>0.895276283112479</v>
      </c>
      <c r="CC53" s="505" t="n">
        <v>0.0125</v>
      </c>
      <c r="CD53" s="505" t="n">
        <v>0.005</v>
      </c>
      <c r="CE53" s="505" t="n">
        <v>1.05</v>
      </c>
      <c r="CF53" s="505" t="n">
        <v>0</v>
      </c>
      <c r="CG53" s="505" t="n">
        <v>0.0334</v>
      </c>
      <c r="CH53" s="505" t="n">
        <v>10.4159128606155</v>
      </c>
      <c r="CI53" s="505" t="n">
        <v>3.307</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3.40822622107969</v>
      </c>
      <c r="BW54" s="369" t="n">
        <v>4.052</v>
      </c>
      <c r="BX54" s="370" t="n">
        <v>0.324623837003911</v>
      </c>
      <c r="BY54" s="370" t="n">
        <v>0.324623837003911</v>
      </c>
      <c r="BZ54" s="370" t="n">
        <v>1</v>
      </c>
      <c r="CA54" s="370" t="n">
        <v>0.0425314821265914</v>
      </c>
      <c r="CB54" s="370" t="n">
        <v>0.890550622336601</v>
      </c>
      <c r="CC54" s="505" t="n">
        <v>0.0075</v>
      </c>
      <c r="CD54" s="505" t="n">
        <v>0.005</v>
      </c>
      <c r="CE54" s="505" t="n">
        <v>0.75</v>
      </c>
      <c r="CF54" s="505" t="n">
        <v>0</v>
      </c>
      <c r="CG54" s="505" t="n">
        <v>0.0334</v>
      </c>
      <c r="CH54" s="505" t="n">
        <v>10.0267094568878</v>
      </c>
      <c r="CI54" s="505" t="n">
        <v>3.302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3.43393316195373</v>
      </c>
      <c r="BW55" s="369" t="n">
        <v>3.777</v>
      </c>
      <c r="BX55" s="370" t="n">
        <v>0.325957791635222</v>
      </c>
      <c r="BY55" s="370" t="n">
        <v>0.325957791635222</v>
      </c>
      <c r="BZ55" s="370" t="n">
        <v>1</v>
      </c>
      <c r="CA55" s="370" t="n">
        <v>0.0431331290786572</v>
      </c>
      <c r="CB55" s="370" t="n">
        <v>0.885996047822783</v>
      </c>
      <c r="CC55" s="505" t="n">
        <v>0.0075</v>
      </c>
      <c r="CD55" s="505" t="n">
        <v>0.005</v>
      </c>
      <c r="CE55" s="505" t="n">
        <v>0.45</v>
      </c>
      <c r="CF55" s="505" t="n">
        <v>0</v>
      </c>
      <c r="CG55" s="505" t="n">
        <v>0.0334</v>
      </c>
      <c r="CH55" s="505" t="n">
        <v>10.3079438191846</v>
      </c>
      <c r="CI55" s="505" t="n">
        <v>3.327</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3.59023136246787</v>
      </c>
      <c r="BW56" s="369" t="n">
        <v>3.929</v>
      </c>
      <c r="BX56" s="370" t="n">
        <v>0.331587939765235</v>
      </c>
      <c r="BY56" s="370" t="n">
        <v>0.331587939765235</v>
      </c>
      <c r="BZ56" s="370" t="n">
        <v>1</v>
      </c>
      <c r="CA56" s="370" t="n">
        <v>0.0437209690349563</v>
      </c>
      <c r="CB56" s="370" t="n">
        <v>0.881310319234489</v>
      </c>
      <c r="CC56" s="505" t="n">
        <v>0.005</v>
      </c>
      <c r="CD56" s="505" t="n">
        <v>0.0075</v>
      </c>
      <c r="CE56" s="505" t="n">
        <v>0.45</v>
      </c>
      <c r="CF56" s="505" t="n">
        <v>0</v>
      </c>
      <c r="CG56" s="505" t="n">
        <v>0.0334</v>
      </c>
      <c r="CH56" s="505" t="n">
        <v>9.92267288426111</v>
      </c>
      <c r="CI56" s="505" t="n">
        <v>3.479</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3.73727506426735</v>
      </c>
      <c r="BW57" s="369" t="n">
        <v>4.022</v>
      </c>
      <c r="BX57" s="370" t="n">
        <v>0.339212722084315</v>
      </c>
      <c r="BY57" s="370" t="n">
        <v>0.339212722084315</v>
      </c>
      <c r="BZ57" s="370" t="n">
        <v>1</v>
      </c>
      <c r="CA57" s="370" t="n">
        <v>0.044289846522211</v>
      </c>
      <c r="CB57" s="370" t="n">
        <v>0.876718225648428</v>
      </c>
      <c r="CC57" s="505" t="n">
        <v>0.005</v>
      </c>
      <c r="CD57" s="505" t="n">
        <v>0.0075</v>
      </c>
      <c r="CE57" s="505" t="n">
        <v>0.4</v>
      </c>
      <c r="CF57" s="505" t="n">
        <v>0</v>
      </c>
      <c r="CG57" s="505" t="n">
        <v>0.0334</v>
      </c>
      <c r="CH57" s="505" t="n">
        <v>10.2000028526615</v>
      </c>
      <c r="CI57" s="505" t="n">
        <v>3.622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3.79897172236504</v>
      </c>
      <c r="BW58" s="369" t="n">
        <v>4.032</v>
      </c>
      <c r="BX58" s="370" t="n">
        <v>0.338699959673164</v>
      </c>
      <c r="BY58" s="370" t="n">
        <v>0.338699959673164</v>
      </c>
      <c r="BZ58" s="370" t="n">
        <v>1</v>
      </c>
      <c r="CA58" s="370" t="n">
        <v>0.0448548874957364</v>
      </c>
      <c r="CB58" s="370" t="n">
        <v>0.871974921810256</v>
      </c>
      <c r="CC58" s="505" t="n">
        <v>0.005</v>
      </c>
      <c r="CD58" s="505" t="n">
        <v>0.0075</v>
      </c>
      <c r="CE58" s="505" t="n">
        <v>0.35</v>
      </c>
      <c r="CF58" s="505" t="n">
        <v>0</v>
      </c>
      <c r="CG58" s="505" t="n">
        <v>0.0334</v>
      </c>
      <c r="CH58" s="505" t="n">
        <v>10.1448178328171</v>
      </c>
      <c r="CI58" s="505" t="n">
        <v>3.682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3.71156812339332</v>
      </c>
      <c r="BW59" s="369" t="n">
        <v>3.947</v>
      </c>
      <c r="BX59" s="370" t="n">
        <v>0.334167550636186</v>
      </c>
      <c r="BY59" s="370" t="n">
        <v>0.334167550636186</v>
      </c>
      <c r="BZ59" s="370" t="n">
        <v>1</v>
      </c>
      <c r="CA59" s="370" t="n">
        <v>0.0454011527523237</v>
      </c>
      <c r="CB59" s="370" t="n">
        <v>0.867226855595254</v>
      </c>
      <c r="CC59" s="505" t="n">
        <v>0.005</v>
      </c>
      <c r="CD59" s="505" t="n">
        <v>0.0075</v>
      </c>
      <c r="CE59" s="505" t="n">
        <v>0.35</v>
      </c>
      <c r="CF59" s="505" t="n">
        <v>0</v>
      </c>
      <c r="CG59" s="505" t="n">
        <v>0.0334</v>
      </c>
      <c r="CH59" s="505" t="n">
        <v>9.11316668933717</v>
      </c>
      <c r="CI59" s="505" t="n">
        <v>3.597</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3.57789203084833</v>
      </c>
      <c r="BW60" s="369" t="n">
        <v>3.867</v>
      </c>
      <c r="BX60" s="370" t="n">
        <v>0.317268038421172</v>
      </c>
      <c r="BY60" s="370" t="n">
        <v>0.317268038421172</v>
      </c>
      <c r="BZ60" s="370" t="n">
        <v>1</v>
      </c>
      <c r="CA60" s="370" t="n">
        <v>0.0458945537150708</v>
      </c>
      <c r="CB60" s="370" t="n">
        <v>0.862893591140207</v>
      </c>
      <c r="CC60" s="505" t="n">
        <v>0.005</v>
      </c>
      <c r="CD60" s="505" t="n">
        <v>0.0075</v>
      </c>
      <c r="CE60" s="505" t="n">
        <v>0.4</v>
      </c>
      <c r="CF60" s="505" t="n">
        <v>0</v>
      </c>
      <c r="CG60" s="505" t="n">
        <v>0.0334</v>
      </c>
      <c r="CH60" s="505" t="n">
        <v>10.0391629074025</v>
      </c>
      <c r="CI60" s="505" t="n">
        <v>3.467</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3.39280205655527</v>
      </c>
      <c r="BW61" s="369" t="n">
        <v>3.882</v>
      </c>
      <c r="BX61" s="370" t="n">
        <v>0.29897490298836</v>
      </c>
      <c r="BY61" s="370" t="n">
        <v>0.29897490298836</v>
      </c>
      <c r="BZ61" s="370" t="n">
        <v>1</v>
      </c>
      <c r="CA61" s="370" t="n">
        <v>0.0464010564150716</v>
      </c>
      <c r="CB61" s="370" t="n">
        <v>0.85815886093194</v>
      </c>
      <c r="CC61" s="505" t="n">
        <v>0.01</v>
      </c>
      <c r="CD61" s="505" t="n">
        <v>0.0075</v>
      </c>
      <c r="CE61" s="505" t="n">
        <v>0.6</v>
      </c>
      <c r="CF61" s="505" t="n">
        <v>0</v>
      </c>
      <c r="CG61" s="505" t="n">
        <v>0.0334</v>
      </c>
      <c r="CH61" s="505" t="n">
        <v>9.66201061523271</v>
      </c>
      <c r="CI61" s="505" t="n">
        <v>3.282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3.38766066838046</v>
      </c>
      <c r="BW62" s="369" t="n">
        <v>4.027</v>
      </c>
      <c r="BX62" s="370" t="n">
        <v>0.292521362466059</v>
      </c>
      <c r="BY62" s="370" t="n">
        <v>0.292521362466059</v>
      </c>
      <c r="BZ62" s="370" t="n">
        <v>1</v>
      </c>
      <c r="CA62" s="370" t="n">
        <v>0.0468566770502532</v>
      </c>
      <c r="CB62" s="370" t="n">
        <v>0.853632083295416</v>
      </c>
      <c r="CC62" s="505" t="n">
        <v>0.01</v>
      </c>
      <c r="CD62" s="505" t="n">
        <v>0.0075</v>
      </c>
      <c r="CE62" s="505" t="n">
        <v>0.75</v>
      </c>
      <c r="CF62" s="505" t="n">
        <v>0</v>
      </c>
      <c r="CG62" s="505" t="n">
        <v>0.0334</v>
      </c>
      <c r="CH62" s="505" t="n">
        <v>9.93141174668386</v>
      </c>
      <c r="CI62" s="505" t="n">
        <v>3.277</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3.42622107969152</v>
      </c>
      <c r="BW63" s="369" t="n">
        <v>4.162</v>
      </c>
      <c r="BX63" s="370" t="n">
        <v>0.292382455013977</v>
      </c>
      <c r="BY63" s="370" t="n">
        <v>0.292382455013977</v>
      </c>
      <c r="BZ63" s="370" t="n">
        <v>1</v>
      </c>
      <c r="CA63" s="370" t="n">
        <v>0.0473274851128664</v>
      </c>
      <c r="CB63" s="370" t="n">
        <v>0.848914575635623</v>
      </c>
      <c r="CC63" s="505" t="n">
        <v>0.0125</v>
      </c>
      <c r="CD63" s="505" t="n">
        <v>0.0075</v>
      </c>
      <c r="CE63" s="505" t="n">
        <v>0.85</v>
      </c>
      <c r="CF63" s="505" t="n">
        <v>0</v>
      </c>
      <c r="CG63" s="505" t="n">
        <v>0.0334</v>
      </c>
      <c r="CH63" s="505" t="n">
        <v>9.55792920708148</v>
      </c>
      <c r="CI63" s="505" t="n">
        <v>3.312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3.46735218508997</v>
      </c>
      <c r="BW64" s="369" t="n">
        <v>4.402</v>
      </c>
      <c r="BX64" s="370" t="n">
        <v>0.288480838532972</v>
      </c>
      <c r="BY64" s="370" t="n">
        <v>0.288480838532972</v>
      </c>
      <c r="BZ64" s="370" t="n">
        <v>1</v>
      </c>
      <c r="CA64" s="370" t="n">
        <v>0.047760481058801</v>
      </c>
      <c r="CB64" s="370" t="n">
        <v>0.844378469838596</v>
      </c>
      <c r="CC64" s="505" t="n">
        <v>0.0125</v>
      </c>
      <c r="CD64" s="505" t="n">
        <v>0.0075</v>
      </c>
      <c r="CE64" s="505" t="n">
        <v>1.05</v>
      </c>
      <c r="CF64" s="505" t="n">
        <v>0</v>
      </c>
      <c r="CG64" s="505" t="n">
        <v>0.0334</v>
      </c>
      <c r="CH64" s="505" t="n">
        <v>9.82375243164318</v>
      </c>
      <c r="CI64" s="505" t="n">
        <v>3.352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3.50848329048843</v>
      </c>
      <c r="BW65" s="369" t="n">
        <v>4.442</v>
      </c>
      <c r="BX65" s="370" t="n">
        <v>0.289450621554524</v>
      </c>
      <c r="BY65" s="370" t="n">
        <v>0.289450621554524</v>
      </c>
      <c r="BZ65" s="370" t="n">
        <v>1</v>
      </c>
      <c r="CA65" s="370" t="n">
        <v>0.0481861434694211</v>
      </c>
      <c r="CB65" s="370" t="n">
        <v>0.839721100096823</v>
      </c>
      <c r="CC65" s="505" t="n">
        <v>0.0125</v>
      </c>
      <c r="CD65" s="505" t="n">
        <v>0.0075</v>
      </c>
      <c r="CE65" s="505" t="n">
        <v>1.05</v>
      </c>
      <c r="CF65" s="505" t="n">
        <v>0</v>
      </c>
      <c r="CG65" s="505" t="n">
        <v>0.0334</v>
      </c>
      <c r="CH65" s="505" t="n">
        <v>9.76956719485647</v>
      </c>
      <c r="CI65" s="505" t="n">
        <v>3.392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3.49820051413882</v>
      </c>
      <c r="BW66" s="369" t="n">
        <v>4.137</v>
      </c>
      <c r="BX66" s="370" t="n">
        <v>0.289213048318682</v>
      </c>
      <c r="BY66" s="370" t="n">
        <v>0.289213048318682</v>
      </c>
      <c r="BZ66" s="370" t="n">
        <v>1</v>
      </c>
      <c r="CA66" s="370" t="n">
        <v>0.0486118059405909</v>
      </c>
      <c r="CB66" s="370" t="n">
        <v>0.835030766033085</v>
      </c>
      <c r="CC66" s="505" t="n">
        <v>0.0075</v>
      </c>
      <c r="CD66" s="505" t="n">
        <v>0.0075</v>
      </c>
      <c r="CE66" s="505" t="n">
        <v>0.75</v>
      </c>
      <c r="CF66" s="505" t="n">
        <v>0</v>
      </c>
      <c r="CG66" s="505" t="n">
        <v>0.0334</v>
      </c>
      <c r="CH66" s="505" t="n">
        <v>9.4016113947665</v>
      </c>
      <c r="CI66" s="505" t="n">
        <v>3.387</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3.52390745501285</v>
      </c>
      <c r="BW67" s="369" t="n">
        <v>3.862</v>
      </c>
      <c r="BX67" s="370" t="n">
        <v>0.290354844679535</v>
      </c>
      <c r="BY67" s="370" t="n">
        <v>0.290354844679535</v>
      </c>
      <c r="BZ67" s="370" t="n">
        <v>1</v>
      </c>
      <c r="CA67" s="370" t="n">
        <v>0.0490091513549218</v>
      </c>
      <c r="CB67" s="370" t="n">
        <v>0.830506508545646</v>
      </c>
      <c r="CC67" s="505" t="n">
        <v>0.0075</v>
      </c>
      <c r="CD67" s="505" t="n">
        <v>0.0075</v>
      </c>
      <c r="CE67" s="505" t="n">
        <v>0.45</v>
      </c>
      <c r="CF67" s="505" t="n">
        <v>0</v>
      </c>
      <c r="CG67" s="505" t="n">
        <v>0.0334</v>
      </c>
      <c r="CH67" s="505" t="n">
        <v>9.66236187237261</v>
      </c>
      <c r="CI67" s="505" t="n">
        <v>3.412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3.67763496143959</v>
      </c>
      <c r="BW68" s="369" t="n">
        <v>4.014</v>
      </c>
      <c r="BX68" s="370" t="n">
        <v>0.295083048619696</v>
      </c>
      <c r="BY68" s="370" t="n">
        <v>0.295083048619696</v>
      </c>
      <c r="BZ68" s="370" t="n">
        <v>1</v>
      </c>
      <c r="CA68" s="370" t="n">
        <v>0.0493920179871608</v>
      </c>
      <c r="CB68" s="370" t="n">
        <v>0.825889768863549</v>
      </c>
      <c r="CC68" s="505" t="n">
        <v>0.005</v>
      </c>
      <c r="CD68" s="505" t="n">
        <v>0.0075</v>
      </c>
      <c r="CE68" s="505" t="n">
        <v>0.45</v>
      </c>
      <c r="CF68" s="505" t="n">
        <v>0</v>
      </c>
      <c r="CG68" s="505" t="n">
        <v>0.0334</v>
      </c>
      <c r="CH68" s="505" t="n">
        <v>9.2986929076347</v>
      </c>
      <c r="CI68" s="505" t="n">
        <v>3.564</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3.82467866323907</v>
      </c>
      <c r="BW69" s="369" t="n">
        <v>4.107</v>
      </c>
      <c r="BX69" s="370" t="n">
        <v>0.30158877782868</v>
      </c>
      <c r="BY69" s="370" t="n">
        <v>0.30158877782868</v>
      </c>
      <c r="BZ69" s="370" t="n">
        <v>1</v>
      </c>
      <c r="CA69" s="370" t="n">
        <v>0.0497625341294907</v>
      </c>
      <c r="CB69" s="370" t="n">
        <v>0.821397003079716</v>
      </c>
      <c r="CC69" s="505" t="n">
        <v>0.005</v>
      </c>
      <c r="CD69" s="505" t="n">
        <v>0.0075</v>
      </c>
      <c r="CE69" s="505" t="n">
        <v>0.4</v>
      </c>
      <c r="CF69" s="505" t="n">
        <v>0</v>
      </c>
      <c r="CG69" s="505" t="n">
        <v>0.0334</v>
      </c>
      <c r="CH69" s="505" t="n">
        <v>9.55637915293034</v>
      </c>
      <c r="CI69" s="505" t="n">
        <v>3.707</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3.88123393316195</v>
      </c>
      <c r="BW70" s="369" t="n">
        <v>4.112</v>
      </c>
      <c r="BX70" s="370" t="n">
        <v>0.301253958992461</v>
      </c>
      <c r="BY70" s="370" t="n">
        <v>0.301253958992461</v>
      </c>
      <c r="BZ70" s="370" t="n">
        <v>1</v>
      </c>
      <c r="CA70" s="370" t="n">
        <v>0.0501238670100874</v>
      </c>
      <c r="CB70" s="370" t="n">
        <v>0.816799555121222</v>
      </c>
      <c r="CC70" s="505" t="n">
        <v>0.005</v>
      </c>
      <c r="CD70" s="505" t="n">
        <v>0.0075</v>
      </c>
      <c r="CE70" s="505" t="n">
        <v>0.35</v>
      </c>
      <c r="CF70" s="505" t="n">
        <v>0</v>
      </c>
      <c r="CG70" s="505" t="n">
        <v>0.0334</v>
      </c>
      <c r="CH70" s="505" t="n">
        <v>9.50289106414684</v>
      </c>
      <c r="CI70" s="505" t="n">
        <v>3.762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3.79383033419023</v>
      </c>
      <c r="BW71" s="369" t="n">
        <v>4.027</v>
      </c>
      <c r="BX71" s="370" t="n">
        <v>0.294730625711485</v>
      </c>
      <c r="BY71" s="370" t="n">
        <v>0.294730625711485</v>
      </c>
      <c r="BZ71" s="370" t="n">
        <v>1</v>
      </c>
      <c r="CA71" s="370" t="n">
        <v>0.0504460474790935</v>
      </c>
      <c r="CB71" s="370" t="n">
        <v>0.812308871993658</v>
      </c>
      <c r="CC71" s="505" t="n">
        <v>0.005</v>
      </c>
      <c r="CD71" s="505" t="n">
        <v>0.0075</v>
      </c>
      <c r="CE71" s="505" t="n">
        <v>0.35</v>
      </c>
      <c r="CF71" s="505" t="n">
        <v>0</v>
      </c>
      <c r="CG71" s="505" t="n">
        <v>0.0334</v>
      </c>
      <c r="CH71" s="505" t="n">
        <v>8.53606655045815</v>
      </c>
      <c r="CI71" s="505" t="n">
        <v>3.677</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3.66529562982005</v>
      </c>
      <c r="BW72" s="369" t="n">
        <v>3.947</v>
      </c>
      <c r="BX72" s="370" t="n">
        <v>0.278899568705084</v>
      </c>
      <c r="BY72" s="370" t="n">
        <v>0.278899568705084</v>
      </c>
      <c r="BZ72" s="370" t="n">
        <v>1</v>
      </c>
      <c r="CA72" s="370" t="n">
        <v>0.0507370492228172</v>
      </c>
      <c r="CB72" s="370" t="n">
        <v>0.808237080144648</v>
      </c>
      <c r="CC72" s="505" t="n">
        <v>0.01</v>
      </c>
      <c r="CD72" s="505" t="n">
        <v>0.0075</v>
      </c>
      <c r="CE72" s="505" t="n">
        <v>0.4</v>
      </c>
      <c r="CF72" s="505" t="n">
        <v>0</v>
      </c>
      <c r="CG72" s="505" t="n">
        <v>0.0334</v>
      </c>
      <c r="CH72" s="505" t="n">
        <v>9.40327266152688</v>
      </c>
      <c r="CI72" s="505" t="n">
        <v>3.547</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3.47763496143959</v>
      </c>
      <c r="BW73" s="369" t="n">
        <v>3.962</v>
      </c>
      <c r="BX73" s="370" t="n">
        <v>0.251839821026274</v>
      </c>
      <c r="BY73" s="370" t="n">
        <v>0.251839821026274</v>
      </c>
      <c r="BZ73" s="370" t="n">
        <v>1</v>
      </c>
      <c r="CA73" s="370" t="n">
        <v>0.0510592297577648</v>
      </c>
      <c r="CB73" s="370" t="n">
        <v>0.803712195296429</v>
      </c>
      <c r="CC73" s="505" t="n">
        <v>0.01</v>
      </c>
      <c r="CD73" s="505" t="n">
        <v>0.01</v>
      </c>
      <c r="CE73" s="505" t="n">
        <v>0.6</v>
      </c>
      <c r="CF73" s="505" t="n">
        <v>0</v>
      </c>
      <c r="CG73" s="505" t="n">
        <v>0.0334</v>
      </c>
      <c r="CH73" s="505" t="n">
        <v>9.0489956068425</v>
      </c>
      <c r="CI73" s="505" t="n">
        <v>3.362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3.47506426735219</v>
      </c>
      <c r="BW74" s="369" t="n">
        <v>4.107</v>
      </c>
      <c r="BX74" s="370" t="n">
        <v>0.24777576676848</v>
      </c>
      <c r="BY74" s="370" t="n">
        <v>0.24777576676848</v>
      </c>
      <c r="BZ74" s="370" t="n">
        <v>1</v>
      </c>
      <c r="CA74" s="370" t="n">
        <v>0.051371017405212</v>
      </c>
      <c r="CB74" s="370" t="n">
        <v>0.799316971929618</v>
      </c>
      <c r="CC74" s="505" t="n">
        <v>0.0125</v>
      </c>
      <c r="CD74" s="505" t="n">
        <v>0.01</v>
      </c>
      <c r="CE74" s="505" t="n">
        <v>0.75</v>
      </c>
      <c r="CF74" s="505" t="n">
        <v>0</v>
      </c>
      <c r="CG74" s="505" t="n">
        <v>0.0334</v>
      </c>
      <c r="CH74" s="505" t="n">
        <v>9.29949344652076</v>
      </c>
      <c r="CI74" s="505" t="n">
        <v>3.357</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3.51105398457584</v>
      </c>
      <c r="BW75" s="369" t="n">
        <v>4.242</v>
      </c>
      <c r="BX75" s="370" t="n">
        <v>0.250088358245823</v>
      </c>
      <c r="BY75" s="370" t="n">
        <v>0.250088358245823</v>
      </c>
      <c r="BZ75" s="370" t="n">
        <v>1</v>
      </c>
      <c r="CA75" s="370" t="n">
        <v>0.0516931980083157</v>
      </c>
      <c r="CB75" s="370" t="n">
        <v>0.794758967227619</v>
      </c>
      <c r="CC75" s="505" t="n">
        <v>0.0125</v>
      </c>
      <c r="CD75" s="505" t="n">
        <v>0.01</v>
      </c>
      <c r="CE75" s="505" t="n">
        <v>0.85</v>
      </c>
      <c r="CF75" s="505" t="n">
        <v>0</v>
      </c>
      <c r="CG75" s="505" t="n">
        <v>0.0334</v>
      </c>
      <c r="CH75" s="505" t="n">
        <v>8.94819121201577</v>
      </c>
      <c r="CI75" s="505" t="n">
        <v>3.392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3.55218508997429</v>
      </c>
      <c r="BW76" s="369" t="n">
        <v>4.482</v>
      </c>
      <c r="BX76" s="370" t="n">
        <v>0.251002615011208</v>
      </c>
      <c r="BY76" s="370" t="n">
        <v>0.251002615011208</v>
      </c>
      <c r="BZ76" s="370" t="n">
        <v>1</v>
      </c>
      <c r="CA76" s="370" t="n">
        <v>0.0520049857217106</v>
      </c>
      <c r="CB76" s="370" t="n">
        <v>0.790332792803782</v>
      </c>
      <c r="CC76" s="505" t="n">
        <v>0.0125</v>
      </c>
      <c r="CD76" s="505" t="n">
        <v>0.01</v>
      </c>
      <c r="CE76" s="505" t="n">
        <v>1.05</v>
      </c>
      <c r="CF76" s="505" t="n">
        <v>0</v>
      </c>
      <c r="CG76" s="505" t="n">
        <v>0.0334</v>
      </c>
      <c r="CH76" s="505" t="n">
        <v>9.19496881131705</v>
      </c>
      <c r="CI76" s="505" t="n">
        <v>3.432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3.58817480719794</v>
      </c>
      <c r="BW77" s="369" t="n">
        <v>4.522</v>
      </c>
      <c r="BX77" s="370" t="n">
        <v>0.251887767191014</v>
      </c>
      <c r="BY77" s="370" t="n">
        <v>0.251887767191014</v>
      </c>
      <c r="BZ77" s="370" t="n">
        <v>1</v>
      </c>
      <c r="CA77" s="370" t="n">
        <v>0.0523271663929492</v>
      </c>
      <c r="CB77" s="370" t="n">
        <v>0.785743940633574</v>
      </c>
      <c r="CC77" s="505" t="n">
        <v>0.0075</v>
      </c>
      <c r="CD77" s="505" t="n">
        <v>0.01</v>
      </c>
      <c r="CE77" s="505" t="n">
        <v>1.05</v>
      </c>
      <c r="CF77" s="505" t="n">
        <v>0</v>
      </c>
      <c r="CG77" s="505" t="n">
        <v>0.0334</v>
      </c>
      <c r="CH77" s="505" t="n">
        <v>9.1415807285132</v>
      </c>
      <c r="CI77" s="505" t="n">
        <v>3.472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3.58303341902314</v>
      </c>
      <c r="BW78" s="369" t="n">
        <v>4.217</v>
      </c>
      <c r="BX78" s="370" t="n">
        <v>0.251673457799918</v>
      </c>
      <c r="BY78" s="370" t="n">
        <v>0.251673457799918</v>
      </c>
      <c r="BZ78" s="370" t="n">
        <v>1</v>
      </c>
      <c r="CA78" s="370" t="n">
        <v>0.0526493470988063</v>
      </c>
      <c r="CB78" s="370" t="n">
        <v>0.781140280211496</v>
      </c>
      <c r="CC78" s="505" t="n">
        <v>0.0075</v>
      </c>
      <c r="CD78" s="505" t="n">
        <v>0.01</v>
      </c>
      <c r="CE78" s="505" t="n">
        <v>0.75</v>
      </c>
      <c r="CF78" s="505" t="n">
        <v>0</v>
      </c>
      <c r="CG78" s="505" t="n">
        <v>0.0334</v>
      </c>
      <c r="CH78" s="505" t="n">
        <v>8.79485841490123</v>
      </c>
      <c r="CI78" s="505" t="n">
        <v>3.467</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3.60616966580977</v>
      </c>
      <c r="BW79" s="369" t="n">
        <v>3.942</v>
      </c>
      <c r="BX79" s="370" t="n">
        <v>0.252737151785216</v>
      </c>
      <c r="BY79" s="370" t="n">
        <v>0.252737151785216</v>
      </c>
      <c r="BZ79" s="370" t="n">
        <v>1</v>
      </c>
      <c r="CA79" s="370" t="n">
        <v>0.0529611349116244</v>
      </c>
      <c r="CB79" s="370" t="n">
        <v>0.776671575219578</v>
      </c>
      <c r="CC79" s="505" t="n">
        <v>0.005</v>
      </c>
      <c r="CD79" s="505" t="n">
        <v>0.01</v>
      </c>
      <c r="CE79" s="505" t="n">
        <v>0.45</v>
      </c>
      <c r="CF79" s="505" t="n">
        <v>0</v>
      </c>
      <c r="CG79" s="505" t="n">
        <v>0.0334</v>
      </c>
      <c r="CH79" s="505" t="n">
        <v>9.03603010757713</v>
      </c>
      <c r="CI79" s="505" t="n">
        <v>3.492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3.76092544987147</v>
      </c>
      <c r="BW80" s="369" t="n">
        <v>4.094</v>
      </c>
      <c r="BX80" s="370" t="n">
        <v>0.257069016574414</v>
      </c>
      <c r="BY80" s="370" t="n">
        <v>0.257069016574414</v>
      </c>
      <c r="BZ80" s="370" t="n">
        <v>1</v>
      </c>
      <c r="CA80" s="370" t="n">
        <v>0.0532833156855848</v>
      </c>
      <c r="CB80" s="370" t="n">
        <v>0.772040478692847</v>
      </c>
      <c r="CC80" s="505" t="n">
        <v>0.006</v>
      </c>
      <c r="CD80" s="505" t="n">
        <v>0.0075</v>
      </c>
      <c r="CE80" s="505" t="n">
        <v>0.45</v>
      </c>
      <c r="CF80" s="505" t="n">
        <v>0</v>
      </c>
      <c r="CG80" s="505" t="n">
        <v>0.0334</v>
      </c>
      <c r="CH80" s="505" t="n">
        <v>8.69240374960276</v>
      </c>
      <c r="CI80" s="505" t="n">
        <v>3.644</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3.90796915167095</v>
      </c>
      <c r="BW81" s="369" t="n">
        <v>4.187</v>
      </c>
      <c r="BX81" s="370" t="n">
        <v>0.263085311093791</v>
      </c>
      <c r="BY81" s="370" t="n">
        <v>0.263085311093791</v>
      </c>
      <c r="BZ81" s="370" t="n">
        <v>1</v>
      </c>
      <c r="CA81" s="370" t="n">
        <v>0.0535951035642985</v>
      </c>
      <c r="CB81" s="370" t="n">
        <v>0.767546312167612</v>
      </c>
      <c r="CC81" s="505" t="n">
        <v>0.006</v>
      </c>
      <c r="CD81" s="505" t="n">
        <v>0.0075</v>
      </c>
      <c r="CE81" s="505" t="n">
        <v>0.4</v>
      </c>
      <c r="CF81" s="505" t="n">
        <v>0</v>
      </c>
      <c r="CG81" s="505" t="n">
        <v>0.0334</v>
      </c>
      <c r="CH81" s="505" t="n">
        <v>8.92986405965166</v>
      </c>
      <c r="CI81" s="505" t="n">
        <v>3.787</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3.96195372750643</v>
      </c>
      <c r="BW82" s="369" t="n">
        <v>4.1895</v>
      </c>
      <c r="BX82" s="370" t="n">
        <v>0.262833061218283</v>
      </c>
      <c r="BY82" s="370" t="n">
        <v>0.262833061218283</v>
      </c>
      <c r="BZ82" s="370" t="n">
        <v>1</v>
      </c>
      <c r="CA82" s="370" t="n">
        <v>0.0538548873933569</v>
      </c>
      <c r="CB82" s="370" t="n">
        <v>0.76312585991901</v>
      </c>
      <c r="CC82" s="505" t="n">
        <v>0.006</v>
      </c>
      <c r="CD82" s="505" t="n">
        <v>0.0075</v>
      </c>
      <c r="CE82" s="505" t="n">
        <v>0.35</v>
      </c>
      <c r="CF82" s="505" t="n">
        <v>0</v>
      </c>
      <c r="CG82" s="505" t="n">
        <v>0.0334</v>
      </c>
      <c r="CH82" s="505" t="n">
        <v>8.87843519205574</v>
      </c>
      <c r="CI82" s="505" t="n">
        <v>3.8395</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3.8745501285347</v>
      </c>
      <c r="BW83" s="369" t="n">
        <v>4.1045</v>
      </c>
      <c r="BX83" s="370" t="n">
        <v>0.2425</v>
      </c>
      <c r="BY83" s="370" t="n">
        <v>0.2425</v>
      </c>
      <c r="BZ83" s="370" t="n">
        <v>0</v>
      </c>
      <c r="CA83" s="370" t="n">
        <v>0.0540389034386073</v>
      </c>
      <c r="CB83" s="370" t="n">
        <v>0</v>
      </c>
      <c r="CC83" s="505" t="n">
        <v>0.006</v>
      </c>
      <c r="CD83" s="505" t="n">
        <v>0.0075</v>
      </c>
      <c r="CE83" s="505" t="n">
        <v>0.35</v>
      </c>
      <c r="CF83" s="505" t="n">
        <v>0</v>
      </c>
      <c r="CG83" s="505" t="n">
        <v>0.0334</v>
      </c>
      <c r="CH83" s="505" t="n">
        <v>0</v>
      </c>
      <c r="CI83" s="505" t="n">
        <v>3.7545</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3.8745501285347</v>
      </c>
      <c r="BW84" s="369" t="n">
        <v>4.1045</v>
      </c>
      <c r="BX84" s="370" t="n">
        <v>0.2425</v>
      </c>
      <c r="BY84" s="370" t="n">
        <v>0.2425</v>
      </c>
      <c r="BZ84" s="370" t="n">
        <v>0</v>
      </c>
      <c r="CA84" s="370" t="n">
        <v>0.0540389034386073</v>
      </c>
      <c r="CB84" s="370" t="n">
        <v>0</v>
      </c>
      <c r="CC84" s="505" t="n">
        <v>0.006</v>
      </c>
      <c r="CD84" s="505" t="n">
        <v>0.0075</v>
      </c>
      <c r="CE84" s="505" t="n">
        <v>0.35</v>
      </c>
      <c r="CF84" s="505" t="n">
        <v>0</v>
      </c>
      <c r="CG84" s="505" t="n">
        <v>0.0334</v>
      </c>
      <c r="CH84" s="505" t="n">
        <v>0</v>
      </c>
      <c r="CI84" s="505" t="n">
        <v>3.7545</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3.8745501285347</v>
      </c>
      <c r="BW85" s="369" t="n">
        <v>4.1045</v>
      </c>
      <c r="BX85" s="370" t="n">
        <v>0.2425</v>
      </c>
      <c r="BY85" s="370" t="n">
        <v>0.2425</v>
      </c>
      <c r="BZ85" s="370" t="n">
        <v>0</v>
      </c>
      <c r="CA85" s="370" t="n">
        <v>0.0540389034386073</v>
      </c>
      <c r="CB85" s="370" t="n">
        <v>0</v>
      </c>
      <c r="CC85" s="505" t="n">
        <v>0.006</v>
      </c>
      <c r="CD85" s="505" t="n">
        <v>0.0075</v>
      </c>
      <c r="CE85" s="505" t="n">
        <v>0.35</v>
      </c>
      <c r="CF85" s="505" t="n">
        <v>0</v>
      </c>
      <c r="CG85" s="505" t="n">
        <v>0.0334</v>
      </c>
      <c r="CH85" s="505" t="n">
        <v>0</v>
      </c>
      <c r="CI85" s="505" t="n">
        <v>3.7545</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3.8745501285347</v>
      </c>
      <c r="BW86" s="369" t="n">
        <v>4.1045</v>
      </c>
      <c r="BX86" s="370" t="n">
        <v>0.2425</v>
      </c>
      <c r="BY86" s="370" t="n">
        <v>0.2425</v>
      </c>
      <c r="BZ86" s="370" t="n">
        <v>0</v>
      </c>
      <c r="CA86" s="370" t="n">
        <v>0.0540389034386073</v>
      </c>
      <c r="CB86" s="370" t="n">
        <v>0</v>
      </c>
      <c r="CC86" s="505" t="n">
        <v>0.006</v>
      </c>
      <c r="CD86" s="505" t="n">
        <v>0.0075</v>
      </c>
      <c r="CE86" s="505" t="n">
        <v>0.35</v>
      </c>
      <c r="CF86" s="505" t="n">
        <v>0</v>
      </c>
      <c r="CG86" s="505" t="n">
        <v>0.0334</v>
      </c>
      <c r="CH86" s="505" t="n">
        <v>0</v>
      </c>
      <c r="CI86" s="505" t="n">
        <v>3.7545</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3.8745501285347</v>
      </c>
      <c r="BW87" s="369" t="n">
        <v>4.1045</v>
      </c>
      <c r="BX87" s="370" t="n">
        <v>0.2425</v>
      </c>
      <c r="BY87" s="370" t="n">
        <v>0.2425</v>
      </c>
      <c r="BZ87" s="370" t="n">
        <v>0</v>
      </c>
      <c r="CA87" s="370" t="n">
        <v>0.0540389034386073</v>
      </c>
      <c r="CB87" s="370" t="n">
        <v>0</v>
      </c>
      <c r="CC87" s="505" t="n">
        <v>0.006</v>
      </c>
      <c r="CD87" s="505" t="n">
        <v>0.0075</v>
      </c>
      <c r="CE87" s="505" t="n">
        <v>0.35</v>
      </c>
      <c r="CF87" s="505" t="n">
        <v>0</v>
      </c>
      <c r="CG87" s="505" t="n">
        <v>0.0334</v>
      </c>
      <c r="CH87" s="505" t="n">
        <v>0</v>
      </c>
      <c r="CI87" s="505" t="n">
        <v>3.7545</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3.8745501285347</v>
      </c>
      <c r="BW88" s="369" t="n">
        <v>4.1045</v>
      </c>
      <c r="BX88" s="370" t="n">
        <v>0.2425</v>
      </c>
      <c r="BY88" s="370" t="n">
        <v>0.2425</v>
      </c>
      <c r="BZ88" s="370" t="n">
        <v>0</v>
      </c>
      <c r="CA88" s="370" t="n">
        <v>0.0540389034386073</v>
      </c>
      <c r="CB88" s="370" t="n">
        <v>0</v>
      </c>
      <c r="CC88" s="505" t="n">
        <v>0.006</v>
      </c>
      <c r="CD88" s="505" t="n">
        <v>0.0075</v>
      </c>
      <c r="CE88" s="505" t="n">
        <v>0.35</v>
      </c>
      <c r="CF88" s="505" t="n">
        <v>0</v>
      </c>
      <c r="CG88" s="505" t="n">
        <v>0.0334</v>
      </c>
      <c r="CH88" s="505" t="n">
        <v>0</v>
      </c>
      <c r="CI88" s="505" t="n">
        <v>3.7545</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3.8745501285347</v>
      </c>
      <c r="BW89" s="369" t="n">
        <v>4.1045</v>
      </c>
      <c r="BX89" s="370" t="n">
        <v>0.2425</v>
      </c>
      <c r="BY89" s="370" t="n">
        <v>0.2425</v>
      </c>
      <c r="BZ89" s="370" t="n">
        <v>0</v>
      </c>
      <c r="CA89" s="370" t="n">
        <v>0.0540389034386073</v>
      </c>
      <c r="CB89" s="370" t="n">
        <v>0</v>
      </c>
      <c r="CC89" s="505" t="n">
        <v>0.006</v>
      </c>
      <c r="CD89" s="505" t="n">
        <v>0.0075</v>
      </c>
      <c r="CE89" s="505" t="n">
        <v>0.35</v>
      </c>
      <c r="CF89" s="505" t="n">
        <v>0</v>
      </c>
      <c r="CG89" s="505" t="n">
        <v>0.0334</v>
      </c>
      <c r="CH89" s="505" t="n">
        <v>0</v>
      </c>
      <c r="CI89" s="505" t="n">
        <v>3.7545</v>
      </c>
      <c r="CJ89" s="505"/>
      <c r="CK89" s="505"/>
      <c r="CL89" s="505"/>
      <c r="CM89" s="505"/>
    </row>
    <row r="90" customFormat="false" ht="12.75" hidden="false" customHeight="false" outlineLevel="0" collapsed="false">
      <c r="A90" s="500"/>
      <c r="B90" s="500"/>
      <c r="D90" s="95"/>
      <c r="E90" s="95"/>
      <c r="F90" s="95"/>
      <c r="G90" s="95"/>
      <c r="H90" s="95"/>
      <c r="I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U90" s="95"/>
      <c r="BV90" s="95"/>
    </row>
    <row r="91" customFormat="false" ht="12.75" hidden="false" customHeight="false" outlineLevel="0" collapsed="false">
      <c r="A91" s="500"/>
      <c r="B91" s="500"/>
      <c r="D91" s="95"/>
      <c r="E91" s="95"/>
      <c r="F91" s="95"/>
      <c r="G91" s="95"/>
      <c r="H91" s="95"/>
      <c r="I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U91" s="95"/>
      <c r="BV91" s="95"/>
    </row>
    <row r="92" customFormat="false" ht="12.75" hidden="false" customHeight="false" outlineLevel="0" collapsed="false">
      <c r="A92" s="500"/>
      <c r="B92" s="500"/>
      <c r="D92" s="95"/>
      <c r="E92" s="95"/>
      <c r="F92" s="95"/>
      <c r="G92" s="95"/>
      <c r="H92" s="95"/>
      <c r="I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U92" s="95"/>
      <c r="BV92" s="95"/>
    </row>
    <row r="93" customFormat="false" ht="12.75" hidden="false" customHeight="false" outlineLevel="0" collapsed="false">
      <c r="A93" s="500"/>
      <c r="B93" s="500"/>
      <c r="D93" s="95"/>
      <c r="E93" s="95"/>
      <c r="F93" s="95"/>
      <c r="G93" s="95"/>
      <c r="H93" s="95"/>
      <c r="I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U93" s="95"/>
      <c r="BV93" s="95"/>
    </row>
    <row r="94" customFormat="false" ht="12.75" hidden="false" customHeight="false" outlineLevel="0" collapsed="false">
      <c r="A94" s="500"/>
      <c r="B94" s="500"/>
      <c r="D94" s="95"/>
      <c r="E94" s="95"/>
      <c r="F94" s="95"/>
      <c r="G94" s="95"/>
      <c r="H94" s="95"/>
      <c r="I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U94" s="95"/>
      <c r="BV94" s="95"/>
    </row>
    <row r="95" customFormat="false" ht="12.75" hidden="false" customHeight="false" outlineLevel="0" collapsed="false">
      <c r="A95" s="500"/>
      <c r="B95" s="500"/>
      <c r="D95" s="95"/>
      <c r="E95" s="95"/>
      <c r="F95" s="95"/>
      <c r="G95" s="95"/>
      <c r="H95" s="95"/>
      <c r="I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U95" s="95"/>
      <c r="BV95" s="95"/>
    </row>
    <row r="96" customFormat="false" ht="12.75" hidden="false" customHeight="false" outlineLevel="0" collapsed="false">
      <c r="D96" s="95"/>
      <c r="E96" s="95"/>
      <c r="F96" s="95"/>
      <c r="G96" s="95"/>
      <c r="H96" s="95"/>
      <c r="I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U96" s="95"/>
      <c r="BV96" s="95"/>
    </row>
  </sheetData>
  <mergeCells count="99">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99"/>
  <sheetViews>
    <sheetView showFormulas="false" showGridLines="true" showRowColHeaders="true" showZeros="true" rightToLeft="false" tabSelected="false" showOutlineSymbols="true" defaultGridColor="true" view="normal" topLeftCell="K11" colorId="64" zoomScale="80" zoomScaleNormal="80" zoomScalePageLayoutView="100" workbookViewId="0">
      <selection pane="topLeft" activeCell="CI21" activeCellId="0" sqref="CI21:CI89"/>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55</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149434.92</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122282.67</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27152.25</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374.18</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603.53</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SUMPRODUCT(L22:L33,F22:F33)</f>
        <v>#VALUE!</v>
      </c>
      <c r="L10" s="414" t="s">
        <v>478</v>
      </c>
      <c r="M10" s="414"/>
      <c r="N10" s="400" t="e">
        <f aca="true">-SUMPRODUCT(INDIRECT(CONCATENATE(AV10,":",AW10)),INDIRECT(CONCATENATE($AX$7,":",$AY$7)),INDIRECT(CONCATENATE($AV$3,":",$AW$3)))</f>
        <v>#VALUE!</v>
      </c>
      <c r="O10" s="400" t="n">
        <v>-31813.2</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SUMPRODUCT(K22:K33,F22:F33)</f>
        <v>#VALUE!</v>
      </c>
      <c r="L11" s="425" t="s">
        <v>481</v>
      </c>
      <c r="M11" s="425"/>
      <c r="N11" s="426" t="e">
        <f aca="true">-SUMPRODUCT(INDIRECT(CONCATENATE(AV11,":",AW11)),INDIRECT(CONCATENATE($AV$2,":",$AW$2)),INDIRECT(CONCATENATE($AV$3,":",$AW$3)),INDIRECT(CONCATENATE(AX3,":",AY3)))</f>
        <v>#VALUE!</v>
      </c>
      <c r="O11" s="427" t="n">
        <v>-12812.93</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261.58</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0.04</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14.79</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0.03</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-60.76</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14.99</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149433.85</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1.07</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2.8879177377892</v>
      </c>
      <c r="BW22" s="369" t="n">
        <v>3.196</v>
      </c>
      <c r="BX22" s="370" t="n">
        <v>0.952435996987834</v>
      </c>
      <c r="BY22" s="370" t="n">
        <v>0.952435996987834</v>
      </c>
      <c r="BZ22" s="370" t="n">
        <v>0.995516733028398</v>
      </c>
      <c r="CA22" s="370" t="n">
        <v>0.0187659081571607</v>
      </c>
      <c r="CB22" s="370" t="n">
        <v>0.998364899395796</v>
      </c>
      <c r="CC22" s="505" t="n">
        <v>-0.035</v>
      </c>
      <c r="CD22" s="505" t="n">
        <v>-0.0025</v>
      </c>
      <c r="CE22" s="505" t="n">
        <v>0.35</v>
      </c>
      <c r="CF22" s="505" t="n">
        <v>0</v>
      </c>
      <c r="CG22" s="505" t="n">
        <v>0.0384</v>
      </c>
      <c r="CH22" s="505" t="n">
        <v>11.6152767490405</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2.95167095115681</v>
      </c>
      <c r="BW23" s="369" t="n">
        <v>3.258</v>
      </c>
      <c r="BX23" s="370" t="n">
        <v>0.906812181950228</v>
      </c>
      <c r="BY23" s="370" t="n">
        <v>0.906812181950228</v>
      </c>
      <c r="BZ23" s="370" t="n">
        <v>0.996461468562414</v>
      </c>
      <c r="CA23" s="370" t="n">
        <v>0.0193261872820063</v>
      </c>
      <c r="CB23" s="370" t="n">
        <v>0.996688029844541</v>
      </c>
      <c r="CC23" s="505" t="n">
        <v>-0.035</v>
      </c>
      <c r="CD23" s="505" t="n">
        <v>-0.0025</v>
      </c>
      <c r="CE23" s="505" t="n">
        <v>0.35</v>
      </c>
      <c r="CF23" s="505" t="n">
        <v>0</v>
      </c>
      <c r="CG23" s="505" t="n">
        <v>0.0384</v>
      </c>
      <c r="CH23" s="505" t="n">
        <v>10.4735964928184</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2.94550128534704</v>
      </c>
      <c r="BW24" s="369" t="n">
        <v>3.302</v>
      </c>
      <c r="BX24" s="370" t="n">
        <v>0.79</v>
      </c>
      <c r="BY24" s="370" t="n">
        <v>0.79</v>
      </c>
      <c r="BZ24" s="370" t="n">
        <v>0.997918918918919</v>
      </c>
      <c r="CA24" s="370" t="n">
        <v>0.0192731753639035</v>
      </c>
      <c r="CB24" s="370" t="n">
        <v>0.99523258517239</v>
      </c>
      <c r="CC24" s="505" t="n">
        <v>-0.035</v>
      </c>
      <c r="CD24" s="505" t="n">
        <v>-0.0025</v>
      </c>
      <c r="CE24" s="505" t="n">
        <v>0.4</v>
      </c>
      <c r="CF24" s="505" t="n">
        <v>0</v>
      </c>
      <c r="CG24" s="505" t="n">
        <v>0.0384</v>
      </c>
      <c r="CH24" s="505" t="n">
        <v>11.5788344656711</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2.90796915167095</v>
      </c>
      <c r="BW25" s="369" t="n">
        <v>3.448</v>
      </c>
      <c r="BX25" s="370" t="n">
        <v>0.600814487825059</v>
      </c>
      <c r="BY25" s="370" t="n">
        <v>0.600814487825059</v>
      </c>
      <c r="BZ25" s="370" t="n">
        <v>1</v>
      </c>
      <c r="CA25" s="370" t="n">
        <v>0.0194226401196236</v>
      </c>
      <c r="CB25" s="370" t="n">
        <v>0.993564587749983</v>
      </c>
      <c r="CC25" s="505" t="n">
        <v>-0.025</v>
      </c>
      <c r="CD25" s="505" t="n">
        <v>0.005</v>
      </c>
      <c r="CE25" s="505" t="n">
        <v>0.6</v>
      </c>
      <c r="CF25" s="505" t="n">
        <v>0</v>
      </c>
      <c r="CG25" s="505" t="n">
        <v>0.0384</v>
      </c>
      <c r="CH25" s="505" t="n">
        <v>11.1865436934771</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2.9573264781491</v>
      </c>
      <c r="BW26" s="369" t="n">
        <v>3.646</v>
      </c>
      <c r="BX26" s="370" t="n">
        <v>0.57775293402001</v>
      </c>
      <c r="BY26" s="370" t="n">
        <v>0.57775293402001</v>
      </c>
      <c r="BZ26" s="370" t="n">
        <v>1</v>
      </c>
      <c r="CA26" s="370" t="n">
        <v>0.019712159578257</v>
      </c>
      <c r="CB26" s="370" t="n">
        <v>0.991870109542169</v>
      </c>
      <c r="CC26" s="505" t="n">
        <v>-0.025</v>
      </c>
      <c r="CD26" s="505" t="n">
        <v>0.005</v>
      </c>
      <c r="CE26" s="505" t="n">
        <v>0.75</v>
      </c>
      <c r="CF26" s="505" t="n">
        <v>0</v>
      </c>
      <c r="CG26" s="505" t="n">
        <v>0.0384</v>
      </c>
      <c r="CH26" s="505" t="n">
        <v>11.5397144154465</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3.01131105398458</v>
      </c>
      <c r="BW27" s="369" t="n">
        <v>3.796</v>
      </c>
      <c r="BX27" s="370" t="n">
        <v>0.550221330219268</v>
      </c>
      <c r="BY27" s="370" t="n">
        <v>0.550221330219268</v>
      </c>
      <c r="BZ27" s="370" t="n">
        <v>1</v>
      </c>
      <c r="CA27" s="370" t="n">
        <v>0.0200113297153544</v>
      </c>
      <c r="CB27" s="370" t="n">
        <v>0.990073216017117</v>
      </c>
      <c r="CC27" s="505" t="n">
        <v>-0.0225</v>
      </c>
      <c r="CD27" s="505" t="n">
        <v>0.005</v>
      </c>
      <c r="CE27" s="505" t="n">
        <v>0.85</v>
      </c>
      <c r="CF27" s="505" t="n">
        <v>0</v>
      </c>
      <c r="CG27" s="505" t="n">
        <v>0.0384</v>
      </c>
      <c r="CH27" s="505" t="n">
        <v>11.1472343391367</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3.05038560411311</v>
      </c>
      <c r="BW28" s="369" t="n">
        <v>4.034</v>
      </c>
      <c r="BX28" s="370" t="n">
        <v>0.549290255131369</v>
      </c>
      <c r="BY28" s="370" t="n">
        <v>0.549290255131369</v>
      </c>
      <c r="BZ28" s="370" t="n">
        <v>1</v>
      </c>
      <c r="CA28" s="370" t="n">
        <v>0.0204286298094831</v>
      </c>
      <c r="CB28" s="370" t="n">
        <v>0.988217193800728</v>
      </c>
      <c r="CC28" s="505" t="n">
        <v>-0.0225</v>
      </c>
      <c r="CD28" s="505" t="n">
        <v>0.005</v>
      </c>
      <c r="CE28" s="505" t="n">
        <v>1.05</v>
      </c>
      <c r="CF28" s="505" t="n">
        <v>0</v>
      </c>
      <c r="CG28" s="505" t="n">
        <v>0.0384</v>
      </c>
      <c r="CH28" s="505" t="n">
        <v>11.4972152978358</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3.09357326478149</v>
      </c>
      <c r="BW29" s="369" t="n">
        <v>4.076</v>
      </c>
      <c r="BX29" s="370" t="n">
        <v>0.549894268674422</v>
      </c>
      <c r="BY29" s="370" t="n">
        <v>0.549894268674422</v>
      </c>
      <c r="BZ29" s="370" t="n">
        <v>1</v>
      </c>
      <c r="CA29" s="370" t="n">
        <v>0.021065008234304</v>
      </c>
      <c r="CB29" s="370" t="n">
        <v>0.986098940667972</v>
      </c>
      <c r="CC29" s="505" t="n">
        <v>-0.0225</v>
      </c>
      <c r="CD29" s="505" t="n">
        <v>0.005</v>
      </c>
      <c r="CE29" s="505" t="n">
        <v>1.05</v>
      </c>
      <c r="CF29" s="505" t="n">
        <v>0</v>
      </c>
      <c r="CG29" s="505" t="n">
        <v>0.0384</v>
      </c>
      <c r="CH29" s="505" t="n">
        <v>11.4725709054134</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3.08020565552699</v>
      </c>
      <c r="BW30" s="369" t="n">
        <v>3.768</v>
      </c>
      <c r="BX30" s="370" t="n">
        <v>0.548527673591454</v>
      </c>
      <c r="BY30" s="370" t="n">
        <v>0.548527673591454</v>
      </c>
      <c r="BZ30" s="370" t="n">
        <v>1</v>
      </c>
      <c r="CA30" s="370" t="n">
        <v>0.0217013867962765</v>
      </c>
      <c r="CB30" s="370" t="n">
        <v>0.983880178541275</v>
      </c>
      <c r="CC30" s="505" t="n">
        <v>-0.0275</v>
      </c>
      <c r="CD30" s="505" t="n">
        <v>0.005</v>
      </c>
      <c r="CE30" s="505" t="n">
        <v>0.75</v>
      </c>
      <c r="CF30" s="505" t="n">
        <v>0</v>
      </c>
      <c r="CG30" s="505" t="n">
        <v>0.0384</v>
      </c>
      <c r="CH30" s="505" t="n">
        <v>11.0775069301962</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3.09357326478149</v>
      </c>
      <c r="BW31" s="369" t="n">
        <v>3.481</v>
      </c>
      <c r="BX31" s="370" t="n">
        <v>0.5511830669082</v>
      </c>
      <c r="BY31" s="370" t="n">
        <v>0.5511830669082</v>
      </c>
      <c r="BZ31" s="370" t="n">
        <v>1</v>
      </c>
      <c r="CA31" s="370" t="n">
        <v>0.022410164045374</v>
      </c>
      <c r="CB31" s="370" t="n">
        <v>0.981562668478235</v>
      </c>
      <c r="CC31" s="505" t="n">
        <v>-0.0275</v>
      </c>
      <c r="CD31" s="505" t="n">
        <v>0.005</v>
      </c>
      <c r="CE31" s="505" t="n">
        <v>0.45</v>
      </c>
      <c r="CF31" s="505" t="n">
        <v>0</v>
      </c>
      <c r="CG31" s="505" t="n">
        <v>0.0384</v>
      </c>
      <c r="CH31" s="505" t="n">
        <v>11.4197945538763</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3.27866323907455</v>
      </c>
      <c r="BW32" s="369" t="n">
        <v>3.661</v>
      </c>
      <c r="BX32" s="370" t="n">
        <v>0.557476031074478</v>
      </c>
      <c r="BY32" s="370" t="n">
        <v>0.557476031074478</v>
      </c>
      <c r="BZ32" s="370" t="n">
        <v>1</v>
      </c>
      <c r="CA32" s="370" t="n">
        <v>0.0232740649677528</v>
      </c>
      <c r="CB32" s="370" t="n">
        <v>0.97893835036076</v>
      </c>
      <c r="CC32" s="505" t="n">
        <v>-0.025</v>
      </c>
      <c r="CD32" s="505" t="n">
        <v>0.0025</v>
      </c>
      <c r="CE32" s="505" t="n">
        <v>0.45</v>
      </c>
      <c r="CF32" s="505" t="n">
        <v>0</v>
      </c>
      <c r="CG32" s="505" t="n">
        <v>0.0384</v>
      </c>
      <c r="CH32" s="505" t="n">
        <v>11.0218668867118</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3.44318766066838</v>
      </c>
      <c r="BW33" s="369" t="n">
        <v>3.771</v>
      </c>
      <c r="BX33" s="370" t="n">
        <v>0.570790000341453</v>
      </c>
      <c r="BY33" s="370" t="n">
        <v>0.570790000341453</v>
      </c>
      <c r="BZ33" s="370" t="n">
        <v>1</v>
      </c>
      <c r="CA33" s="370" t="n">
        <v>0.024110098358836</v>
      </c>
      <c r="CB33" s="370" t="n">
        <v>0.976270925999808</v>
      </c>
      <c r="CC33" s="505" t="n">
        <v>-0.025</v>
      </c>
      <c r="CD33" s="505" t="n">
        <v>0.0025</v>
      </c>
      <c r="CE33" s="505" t="n">
        <v>0.4</v>
      </c>
      <c r="CF33" s="505" t="n">
        <v>0</v>
      </c>
      <c r="CG33" s="505" t="n">
        <v>0.0384</v>
      </c>
      <c r="CH33" s="505" t="n">
        <v>11.3582288343596</v>
      </c>
      <c r="CI33" s="505" t="n">
        <v>3.371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3.52030848329049</v>
      </c>
      <c r="BW34" s="369" t="n">
        <v>3.796</v>
      </c>
      <c r="BX34" s="370" t="n">
        <v>0.56836354878586</v>
      </c>
      <c r="BY34" s="370" t="n">
        <v>0.56836354878586</v>
      </c>
      <c r="BZ34" s="370" t="n">
        <v>1</v>
      </c>
      <c r="CA34" s="370" t="n">
        <v>0.0250384261928196</v>
      </c>
      <c r="CB34" s="370" t="n">
        <v>0.97331647833328</v>
      </c>
      <c r="CC34" s="505" t="n">
        <v>-0.025</v>
      </c>
      <c r="CD34" s="505" t="n">
        <v>0.0025</v>
      </c>
      <c r="CE34" s="505" t="n">
        <v>0.35</v>
      </c>
      <c r="CF34" s="505" t="n">
        <v>0</v>
      </c>
      <c r="CG34" s="505" t="n">
        <v>0.0374</v>
      </c>
      <c r="CH34" s="505" t="n">
        <v>11.3238559038729</v>
      </c>
      <c r="CI34" s="505" t="n">
        <v>3.446</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3.44318766066838</v>
      </c>
      <c r="BW35" s="369" t="n">
        <v>3.721</v>
      </c>
      <c r="BX35" s="370" t="n">
        <v>0.554353390063384</v>
      </c>
      <c r="BY35" s="370" t="n">
        <v>0.554353390063384</v>
      </c>
      <c r="BZ35" s="370" t="n">
        <v>1</v>
      </c>
      <c r="CA35" s="370" t="n">
        <v>0.0260449864197474</v>
      </c>
      <c r="CB35" s="370" t="n">
        <v>0.970132608451962</v>
      </c>
      <c r="CC35" s="505" t="n">
        <v>-0.025</v>
      </c>
      <c r="CD35" s="505" t="n">
        <v>0.0025</v>
      </c>
      <c r="CE35" s="505" t="n">
        <v>0.35</v>
      </c>
      <c r="CF35" s="505" t="n">
        <v>0</v>
      </c>
      <c r="CG35" s="505" t="n">
        <v>0.0374</v>
      </c>
      <c r="CH35" s="505" t="n">
        <v>10.1945415026566</v>
      </c>
      <c r="CI35" s="505" t="n">
        <v>3.371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3.35064267352185</v>
      </c>
      <c r="BW36" s="369" t="n">
        <v>3.681</v>
      </c>
      <c r="BX36" s="370" t="n">
        <v>0.50293567145062</v>
      </c>
      <c r="BY36" s="370" t="n">
        <v>0.50293567145062</v>
      </c>
      <c r="BZ36" s="370" t="n">
        <v>1</v>
      </c>
      <c r="CA36" s="370" t="n">
        <v>0.0269541378866576</v>
      </c>
      <c r="CB36" s="370" t="n">
        <v>0.967126070368611</v>
      </c>
      <c r="CC36" s="505" t="n">
        <v>-0.025</v>
      </c>
      <c r="CD36" s="505" t="n">
        <v>0.0025</v>
      </c>
      <c r="CE36" s="505" t="n">
        <v>0.4</v>
      </c>
      <c r="CF36" s="505" t="n">
        <v>0</v>
      </c>
      <c r="CG36" s="505" t="n">
        <v>0.0374</v>
      </c>
      <c r="CH36" s="505" t="n">
        <v>11.2518348404895</v>
      </c>
      <c r="CI36" s="505" t="n">
        <v>3.281</v>
      </c>
      <c r="CJ36" s="505"/>
      <c r="CK36" s="505"/>
      <c r="CL36" s="505"/>
      <c r="CM36" s="505"/>
    </row>
    <row r="37" customFormat="false" ht="12.75" hidden="false" customHeight="false" outlineLevel="0" collapsed="false">
      <c r="A37" s="500"/>
      <c r="B37" s="500"/>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3.19640102827763</v>
      </c>
      <c r="BW37" s="369" t="n">
        <v>3.726</v>
      </c>
      <c r="BX37" s="370" t="n">
        <v>0.388875549675273</v>
      </c>
      <c r="BY37" s="370" t="n">
        <v>0.388875549675273</v>
      </c>
      <c r="BZ37" s="370" t="n">
        <v>1</v>
      </c>
      <c r="CA37" s="370" t="n">
        <v>0.0279745964320606</v>
      </c>
      <c r="CB37" s="370" t="n">
        <v>0.963636615990319</v>
      </c>
      <c r="CC37" s="505" t="n">
        <v>-0.0225</v>
      </c>
      <c r="CD37" s="505" t="n">
        <v>0.005</v>
      </c>
      <c r="CE37" s="505" t="n">
        <v>0.6</v>
      </c>
      <c r="CF37" s="505" t="n">
        <v>0</v>
      </c>
      <c r="CG37" s="505" t="n">
        <v>0.0374</v>
      </c>
      <c r="CH37" s="505" t="n">
        <v>10.849584659435</v>
      </c>
      <c r="CI37" s="505" t="n">
        <v>3.126</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3.1974293059126</v>
      </c>
      <c r="BW38" s="369" t="n">
        <v>3.877</v>
      </c>
      <c r="BX38" s="370" t="n">
        <v>0.376159329765107</v>
      </c>
      <c r="BY38" s="370" t="n">
        <v>0.376159329765107</v>
      </c>
      <c r="BZ38" s="370" t="n">
        <v>1</v>
      </c>
      <c r="CA38" s="370" t="n">
        <v>0.0289631800763801</v>
      </c>
      <c r="CB38" s="370" t="n">
        <v>0.960114752892753</v>
      </c>
      <c r="CC38" s="505" t="n">
        <v>-0.0225</v>
      </c>
      <c r="CD38" s="505" t="n">
        <v>0.005</v>
      </c>
      <c r="CE38" s="505" t="n">
        <v>0.75</v>
      </c>
      <c r="CF38" s="505" t="n">
        <v>0</v>
      </c>
      <c r="CG38" s="505" t="n">
        <v>0.0374</v>
      </c>
      <c r="CH38" s="505" t="n">
        <v>11.1702630695802</v>
      </c>
      <c r="CI38" s="505" t="n">
        <v>3.127</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3.23598971722365</v>
      </c>
      <c r="BW39" s="369" t="n">
        <v>4.012</v>
      </c>
      <c r="BX39" s="370" t="n">
        <v>0.375845949287242</v>
      </c>
      <c r="BY39" s="370" t="n">
        <v>0.375845949287242</v>
      </c>
      <c r="BZ39" s="370" t="n">
        <v>1</v>
      </c>
      <c r="CA39" s="370" t="n">
        <v>0.0299847168551968</v>
      </c>
      <c r="CB39" s="370" t="n">
        <v>0.956328852591432</v>
      </c>
      <c r="CC39" s="505" t="n">
        <v>-0.02</v>
      </c>
      <c r="CD39" s="505" t="n">
        <v>0.005</v>
      </c>
      <c r="CE39" s="505" t="n">
        <v>0.85</v>
      </c>
      <c r="CF39" s="505" t="n">
        <v>0</v>
      </c>
      <c r="CG39" s="505" t="n">
        <v>0.0374</v>
      </c>
      <c r="CH39" s="505" t="n">
        <v>10.7673065513269</v>
      </c>
      <c r="CI39" s="505" t="n">
        <v>3.162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3.27917737789203</v>
      </c>
      <c r="BW40" s="369" t="n">
        <v>4.254</v>
      </c>
      <c r="BX40" s="370" t="n">
        <v>0.377568797335415</v>
      </c>
      <c r="BY40" s="370" t="n">
        <v>0.377568797335415</v>
      </c>
      <c r="BZ40" s="370" t="n">
        <v>1</v>
      </c>
      <c r="CA40" s="370" t="n">
        <v>0.0309652793004798</v>
      </c>
      <c r="CB40" s="370" t="n">
        <v>0.95253693379797</v>
      </c>
      <c r="CC40" s="505" t="n">
        <v>-0.02</v>
      </c>
      <c r="CD40" s="505" t="n">
        <v>0.005</v>
      </c>
      <c r="CE40" s="505" t="n">
        <v>1.05</v>
      </c>
      <c r="CF40" s="505" t="n">
        <v>0</v>
      </c>
      <c r="CG40" s="505" t="n">
        <v>0.0374</v>
      </c>
      <c r="CH40" s="505" t="n">
        <v>11.0821004488857</v>
      </c>
      <c r="CI40" s="505" t="n">
        <v>3.204</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3.32236503856041</v>
      </c>
      <c r="BW41" s="369" t="n">
        <v>4.296</v>
      </c>
      <c r="BX41" s="370" t="n">
        <v>0.37917572731747</v>
      </c>
      <c r="BY41" s="370" t="n">
        <v>0.37917572731747</v>
      </c>
      <c r="BZ41" s="370" t="n">
        <v>1</v>
      </c>
      <c r="CA41" s="370" t="n">
        <v>0.0319670833322725</v>
      </c>
      <c r="CB41" s="370" t="n">
        <v>0.948494893378275</v>
      </c>
      <c r="CC41" s="505" t="n">
        <v>-0.02</v>
      </c>
      <c r="CD41" s="505" t="n">
        <v>0.005</v>
      </c>
      <c r="CE41" s="505" t="n">
        <v>1.05</v>
      </c>
      <c r="CF41" s="505" t="n">
        <v>0</v>
      </c>
      <c r="CG41" s="505" t="n">
        <v>0.0374</v>
      </c>
      <c r="CH41" s="505" t="n">
        <v>11.0350741380309</v>
      </c>
      <c r="CI41" s="505" t="n">
        <v>3.246</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3.3120822622108</v>
      </c>
      <c r="BW42" s="369" t="n">
        <v>3.991</v>
      </c>
      <c r="BX42" s="370" t="n">
        <v>0.376255879342064</v>
      </c>
      <c r="BY42" s="370" t="n">
        <v>0.376255879342064</v>
      </c>
      <c r="BZ42" s="370" t="n">
        <v>1</v>
      </c>
      <c r="CA42" s="370" t="n">
        <v>0.032968887702129</v>
      </c>
      <c r="CB42" s="370" t="n">
        <v>0.944312700032904</v>
      </c>
      <c r="CC42" s="505" t="n">
        <v>-0.025</v>
      </c>
      <c r="CD42" s="505" t="n">
        <v>0.005</v>
      </c>
      <c r="CE42" s="505" t="n">
        <v>0.75</v>
      </c>
      <c r="CF42" s="505" t="n">
        <v>0</v>
      </c>
      <c r="CG42" s="505" t="n">
        <v>0.0374</v>
      </c>
      <c r="CH42" s="505" t="n">
        <v>10.6320166896705</v>
      </c>
      <c r="CI42" s="505" t="n">
        <v>3.241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3.33881748071979</v>
      </c>
      <c r="BW43" s="369" t="n">
        <v>3.717</v>
      </c>
      <c r="BX43" s="370" t="n">
        <v>0.38041410598552</v>
      </c>
      <c r="BY43" s="370" t="n">
        <v>0.38041410598552</v>
      </c>
      <c r="BZ43" s="370" t="n">
        <v>1</v>
      </c>
      <c r="CA43" s="370" t="n">
        <v>0.0339067018220711</v>
      </c>
      <c r="CB43" s="370" t="n">
        <v>0.940187685777986</v>
      </c>
      <c r="CC43" s="505" t="n">
        <v>-0.025</v>
      </c>
      <c r="CD43" s="505" t="n">
        <v>0.005</v>
      </c>
      <c r="CE43" s="505" t="n">
        <v>0.45</v>
      </c>
      <c r="CF43" s="505" t="n">
        <v>0</v>
      </c>
      <c r="CG43" s="505" t="n">
        <v>0.0374</v>
      </c>
      <c r="CH43" s="505" t="n">
        <v>10.9384255926468</v>
      </c>
      <c r="CI43" s="505" t="n">
        <v>3.267</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3.48020565552699</v>
      </c>
      <c r="BW44" s="369" t="n">
        <v>3.852</v>
      </c>
      <c r="BX44" s="370" t="n">
        <v>0.385609740274895</v>
      </c>
      <c r="BY44" s="370" t="n">
        <v>0.385609740274895</v>
      </c>
      <c r="BZ44" s="370" t="n">
        <v>1</v>
      </c>
      <c r="CA44" s="370" t="n">
        <v>0.0348361539671314</v>
      </c>
      <c r="CB44" s="370" t="n">
        <v>0.93586587426758</v>
      </c>
      <c r="CC44" s="505" t="n">
        <v>-0.02</v>
      </c>
      <c r="CD44" s="505" t="n">
        <v>0.0025</v>
      </c>
      <c r="CE44" s="505" t="n">
        <v>0.45</v>
      </c>
      <c r="CF44" s="505" t="n">
        <v>0</v>
      </c>
      <c r="CG44" s="505" t="n">
        <v>0.0374</v>
      </c>
      <c r="CH44" s="505" t="n">
        <v>10.5369138783787</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3.61902313624679</v>
      </c>
      <c r="BW45" s="369" t="n">
        <v>3.937</v>
      </c>
      <c r="BX45" s="370" t="n">
        <v>0.395540413143884</v>
      </c>
      <c r="BY45" s="370" t="n">
        <v>0.395540413143884</v>
      </c>
      <c r="BZ45" s="370" t="n">
        <v>1</v>
      </c>
      <c r="CA45" s="370" t="n">
        <v>0.0357356240616102</v>
      </c>
      <c r="CB45" s="370" t="n">
        <v>0.931565547567078</v>
      </c>
      <c r="CC45" s="505" t="n">
        <v>-0.02</v>
      </c>
      <c r="CD45" s="505" t="n">
        <v>0.0025</v>
      </c>
      <c r="CE45" s="505" t="n">
        <v>0.4</v>
      </c>
      <c r="CF45" s="505" t="n">
        <v>0</v>
      </c>
      <c r="CG45" s="505" t="n">
        <v>0.0374</v>
      </c>
      <c r="CH45" s="505" t="n">
        <v>10.8381130500597</v>
      </c>
      <c r="CI45" s="505" t="n">
        <v>3.537</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3.68071979434447</v>
      </c>
      <c r="BW46" s="369" t="n">
        <v>3.947</v>
      </c>
      <c r="BX46" s="370" t="n">
        <v>0.392965652353069</v>
      </c>
      <c r="BY46" s="370" t="n">
        <v>0.392965652353069</v>
      </c>
      <c r="BZ46" s="370" t="n">
        <v>1</v>
      </c>
      <c r="CA46" s="370" t="n">
        <v>0.0366293995889575</v>
      </c>
      <c r="CB46" s="370" t="n">
        <v>0.927069774742957</v>
      </c>
      <c r="CC46" s="505" t="n">
        <v>-0.02</v>
      </c>
      <c r="CD46" s="505" t="n">
        <v>0.0025</v>
      </c>
      <c r="CE46" s="505" t="n">
        <v>0.35</v>
      </c>
      <c r="CF46" s="505" t="n">
        <v>0</v>
      </c>
      <c r="CG46" s="505" t="n">
        <v>0.0334</v>
      </c>
      <c r="CH46" s="505" t="n">
        <v>10.785807880292</v>
      </c>
      <c r="CI46" s="505" t="n">
        <v>3.597</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3.59331619537275</v>
      </c>
      <c r="BW47" s="369" t="n">
        <v>3.862</v>
      </c>
      <c r="BX47" s="370" t="n">
        <v>0.390732432296569</v>
      </c>
      <c r="BY47" s="370" t="n">
        <v>0.390732432296569</v>
      </c>
      <c r="BZ47" s="370" t="n">
        <v>1</v>
      </c>
      <c r="CA47" s="370" t="n">
        <v>0.0374851197051385</v>
      </c>
      <c r="CB47" s="370" t="n">
        <v>0.922533811762705</v>
      </c>
      <c r="CC47" s="505" t="n">
        <v>-0.02</v>
      </c>
      <c r="CD47" s="505" t="n">
        <v>0.0025</v>
      </c>
      <c r="CE47" s="505" t="n">
        <v>0.35</v>
      </c>
      <c r="CF47" s="505" t="n">
        <v>0</v>
      </c>
      <c r="CG47" s="505" t="n">
        <v>0.0334</v>
      </c>
      <c r="CH47" s="505" t="n">
        <v>10.0405812470818</v>
      </c>
      <c r="CI47" s="505" t="n">
        <v>3.512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3.45964010282776</v>
      </c>
      <c r="BW48" s="369" t="n">
        <v>3.782</v>
      </c>
      <c r="BX48" s="370" t="n">
        <v>0.366388286442151</v>
      </c>
      <c r="BY48" s="370" t="n">
        <v>0.366388286442151</v>
      </c>
      <c r="BZ48" s="370" t="n">
        <v>1</v>
      </c>
      <c r="CA48" s="370" t="n">
        <v>0.0382856322945879</v>
      </c>
      <c r="CB48" s="370" t="n">
        <v>0.918192690834127</v>
      </c>
      <c r="CC48" s="505" t="n">
        <v>-0.02</v>
      </c>
      <c r="CD48" s="505" t="n">
        <v>0.0025</v>
      </c>
      <c r="CE48" s="505" t="n">
        <v>0.4</v>
      </c>
      <c r="CF48" s="505" t="n">
        <v>0</v>
      </c>
      <c r="CG48" s="505" t="n">
        <v>0.0334</v>
      </c>
      <c r="CH48" s="505" t="n">
        <v>10.6825292229715</v>
      </c>
      <c r="CI48" s="505" t="n">
        <v>3.382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3.2745501285347</v>
      </c>
      <c r="BW49" s="369" t="n">
        <v>3.797</v>
      </c>
      <c r="BX49" s="370" t="n">
        <v>0.331357120013448</v>
      </c>
      <c r="BY49" s="370" t="n">
        <v>0.331357120013448</v>
      </c>
      <c r="BZ49" s="370" t="n">
        <v>1</v>
      </c>
      <c r="CA49" s="370" t="n">
        <v>0.0390847146165725</v>
      </c>
      <c r="CB49" s="370" t="n">
        <v>0.913567985593808</v>
      </c>
      <c r="CC49" s="505" t="n">
        <v>-0.02</v>
      </c>
      <c r="CD49" s="505" t="n">
        <v>0.0075</v>
      </c>
      <c r="CE49" s="505" t="n">
        <v>0.6</v>
      </c>
      <c r="CF49" s="505" t="n">
        <v>0</v>
      </c>
      <c r="CG49" s="505" t="n">
        <v>0.0334</v>
      </c>
      <c r="CH49" s="505" t="n">
        <v>10.2858619498007</v>
      </c>
      <c r="CI49" s="505" t="n">
        <v>3.197</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3.2694087403599</v>
      </c>
      <c r="BW50" s="369" t="n">
        <v>3.942</v>
      </c>
      <c r="BX50" s="370" t="n">
        <v>0.327601342960546</v>
      </c>
      <c r="BY50" s="370" t="n">
        <v>0.327601342960546</v>
      </c>
      <c r="BZ50" s="370" t="n">
        <v>1</v>
      </c>
      <c r="CA50" s="370" t="n">
        <v>0.0397995549683068</v>
      </c>
      <c r="CB50" s="370" t="n">
        <v>0.909126089677525</v>
      </c>
      <c r="CC50" s="505" t="n">
        <v>-0.02</v>
      </c>
      <c r="CD50" s="505" t="n">
        <v>0.0075</v>
      </c>
      <c r="CE50" s="505" t="n">
        <v>0.75</v>
      </c>
      <c r="CF50" s="505" t="n">
        <v>0</v>
      </c>
      <c r="CG50" s="505" t="n">
        <v>0.0334</v>
      </c>
      <c r="CH50" s="505" t="n">
        <v>10.5770456651352</v>
      </c>
      <c r="CI50" s="505" t="n">
        <v>3.192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3.30796915167095</v>
      </c>
      <c r="BW51" s="369" t="n">
        <v>4.077</v>
      </c>
      <c r="BX51" s="370" t="n">
        <v>0.322553846057612</v>
      </c>
      <c r="BY51" s="370" t="n">
        <v>0.322553846057612</v>
      </c>
      <c r="BZ51" s="370" t="n">
        <v>1</v>
      </c>
      <c r="CA51" s="370" t="n">
        <v>0.0405382235118998</v>
      </c>
      <c r="CB51" s="370" t="n">
        <v>0.904449976505324</v>
      </c>
      <c r="CC51" s="505" t="n">
        <v>-0.0175</v>
      </c>
      <c r="CD51" s="505" t="n">
        <v>0.0075</v>
      </c>
      <c r="CE51" s="505" t="n">
        <v>0.85</v>
      </c>
      <c r="CF51" s="505" t="n">
        <v>0</v>
      </c>
      <c r="CG51" s="505" t="n">
        <v>0.0334</v>
      </c>
      <c r="CH51" s="505" t="n">
        <v>10.1832022854734</v>
      </c>
      <c r="CI51" s="505" t="n">
        <v>3.227</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3.34910025706941</v>
      </c>
      <c r="BW52" s="369" t="n">
        <v>4.317</v>
      </c>
      <c r="BX52" s="370" t="n">
        <v>0.323758663407093</v>
      </c>
      <c r="BY52" s="370" t="n">
        <v>0.323758663407093</v>
      </c>
      <c r="BZ52" s="370" t="n">
        <v>1</v>
      </c>
      <c r="CA52" s="370" t="n">
        <v>0.0412152492802473</v>
      </c>
      <c r="CB52" s="370" t="n">
        <v>0.899929041596613</v>
      </c>
      <c r="CC52" s="505" t="n">
        <v>-0.0175</v>
      </c>
      <c r="CD52" s="505" t="n">
        <v>0.0075</v>
      </c>
      <c r="CE52" s="505" t="n">
        <v>1.05</v>
      </c>
      <c r="CF52" s="505" t="n">
        <v>0</v>
      </c>
      <c r="CG52" s="505" t="n">
        <v>0.0334</v>
      </c>
      <c r="CH52" s="505" t="n">
        <v>10.4700444486475</v>
      </c>
      <c r="CI52" s="505" t="n">
        <v>3.267</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3.39023136246787</v>
      </c>
      <c r="BW53" s="369" t="n">
        <v>4.357</v>
      </c>
      <c r="BX53" s="370" t="n">
        <v>0.324924899747912</v>
      </c>
      <c r="BY53" s="370" t="n">
        <v>0.324924899747912</v>
      </c>
      <c r="BZ53" s="370" t="n">
        <v>1</v>
      </c>
      <c r="CA53" s="370" t="n">
        <v>0.0418733656308259</v>
      </c>
      <c r="CB53" s="370" t="n">
        <v>0.895276283112479</v>
      </c>
      <c r="CC53" s="505" t="n">
        <v>-0.0175</v>
      </c>
      <c r="CD53" s="505" t="n">
        <v>0.0075</v>
      </c>
      <c r="CE53" s="505" t="n">
        <v>1.05</v>
      </c>
      <c r="CF53" s="505" t="n">
        <v>0</v>
      </c>
      <c r="CG53" s="505" t="n">
        <v>0.0334</v>
      </c>
      <c r="CH53" s="505" t="n">
        <v>10.4159128606155</v>
      </c>
      <c r="CI53" s="505" t="n">
        <v>3.307</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3.37994858611825</v>
      </c>
      <c r="BW54" s="369" t="n">
        <v>4.052</v>
      </c>
      <c r="BX54" s="370" t="n">
        <v>0.324623837003911</v>
      </c>
      <c r="BY54" s="370" t="n">
        <v>0.324623837003911</v>
      </c>
      <c r="BZ54" s="370" t="n">
        <v>1</v>
      </c>
      <c r="CA54" s="370" t="n">
        <v>0.0425314821265914</v>
      </c>
      <c r="CB54" s="370" t="n">
        <v>0.890550622336601</v>
      </c>
      <c r="CC54" s="505" t="n">
        <v>-0.0225</v>
      </c>
      <c r="CD54" s="505" t="n">
        <v>0.0075</v>
      </c>
      <c r="CE54" s="505" t="n">
        <v>0.75</v>
      </c>
      <c r="CF54" s="505" t="n">
        <v>0</v>
      </c>
      <c r="CG54" s="505" t="n">
        <v>0.0334</v>
      </c>
      <c r="CH54" s="505" t="n">
        <v>10.0267094568878</v>
      </c>
      <c r="CI54" s="505" t="n">
        <v>3.302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3.40565552699229</v>
      </c>
      <c r="BW55" s="369" t="n">
        <v>3.777</v>
      </c>
      <c r="BX55" s="370" t="n">
        <v>0.325957791635222</v>
      </c>
      <c r="BY55" s="370" t="n">
        <v>0.325957791635222</v>
      </c>
      <c r="BZ55" s="370" t="n">
        <v>1</v>
      </c>
      <c r="CA55" s="370" t="n">
        <v>0.0431331290786572</v>
      </c>
      <c r="CB55" s="370" t="n">
        <v>0.885996047822783</v>
      </c>
      <c r="CC55" s="505" t="n">
        <v>-0.0225</v>
      </c>
      <c r="CD55" s="505" t="n">
        <v>0.0075</v>
      </c>
      <c r="CE55" s="505" t="n">
        <v>0.45</v>
      </c>
      <c r="CF55" s="505" t="n">
        <v>0</v>
      </c>
      <c r="CG55" s="505" t="n">
        <v>0.0334</v>
      </c>
      <c r="CH55" s="505" t="n">
        <v>10.3079438191846</v>
      </c>
      <c r="CI55" s="505" t="n">
        <v>3.327</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3.55681233933162</v>
      </c>
      <c r="BW56" s="369" t="n">
        <v>3.929</v>
      </c>
      <c r="BX56" s="370" t="n">
        <v>0.331587939765235</v>
      </c>
      <c r="BY56" s="370" t="n">
        <v>0.331587939765235</v>
      </c>
      <c r="BZ56" s="370" t="n">
        <v>1</v>
      </c>
      <c r="CA56" s="370" t="n">
        <v>0.0437209690349563</v>
      </c>
      <c r="CB56" s="370" t="n">
        <v>0.881310319234489</v>
      </c>
      <c r="CC56" s="505" t="n">
        <v>-0.0225</v>
      </c>
      <c r="CD56" s="505" t="n">
        <v>0.0025</v>
      </c>
      <c r="CE56" s="505" t="n">
        <v>0.45</v>
      </c>
      <c r="CF56" s="505" t="n">
        <v>0</v>
      </c>
      <c r="CG56" s="505" t="n">
        <v>0.0334</v>
      </c>
      <c r="CH56" s="505" t="n">
        <v>9.92267288426111</v>
      </c>
      <c r="CI56" s="505" t="n">
        <v>3.479</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3.70385604113111</v>
      </c>
      <c r="BW57" s="369" t="n">
        <v>4.022</v>
      </c>
      <c r="BX57" s="370" t="n">
        <v>0.339212722084315</v>
      </c>
      <c r="BY57" s="370" t="n">
        <v>0.339212722084315</v>
      </c>
      <c r="BZ57" s="370" t="n">
        <v>1</v>
      </c>
      <c r="CA57" s="370" t="n">
        <v>0.044289846522211</v>
      </c>
      <c r="CB57" s="370" t="n">
        <v>0.876718225648428</v>
      </c>
      <c r="CC57" s="505" t="n">
        <v>-0.0225</v>
      </c>
      <c r="CD57" s="505" t="n">
        <v>0.0025</v>
      </c>
      <c r="CE57" s="505" t="n">
        <v>0.4</v>
      </c>
      <c r="CF57" s="505" t="n">
        <v>0</v>
      </c>
      <c r="CG57" s="505" t="n">
        <v>0.0334</v>
      </c>
      <c r="CH57" s="505" t="n">
        <v>10.2000028526615</v>
      </c>
      <c r="CI57" s="505" t="n">
        <v>3.622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3.76555269922879</v>
      </c>
      <c r="BW58" s="369" t="n">
        <v>4.032</v>
      </c>
      <c r="BX58" s="370" t="n">
        <v>0.338699959673164</v>
      </c>
      <c r="BY58" s="370" t="n">
        <v>0.338699959673164</v>
      </c>
      <c r="BZ58" s="370" t="n">
        <v>1</v>
      </c>
      <c r="CA58" s="370" t="n">
        <v>0.0448548874957364</v>
      </c>
      <c r="CB58" s="370" t="n">
        <v>0.871974921810256</v>
      </c>
      <c r="CC58" s="505" t="n">
        <v>-0.0225</v>
      </c>
      <c r="CD58" s="505" t="n">
        <v>0.0025</v>
      </c>
      <c r="CE58" s="505" t="n">
        <v>0.35</v>
      </c>
      <c r="CF58" s="505" t="n">
        <v>0</v>
      </c>
      <c r="CG58" s="505" t="n">
        <v>0.0334</v>
      </c>
      <c r="CH58" s="505" t="n">
        <v>10.1448178328171</v>
      </c>
      <c r="CI58" s="505" t="n">
        <v>3.682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3.67814910025707</v>
      </c>
      <c r="BW59" s="369" t="n">
        <v>3.947</v>
      </c>
      <c r="BX59" s="370" t="n">
        <v>0.334167550636186</v>
      </c>
      <c r="BY59" s="370" t="n">
        <v>0.334167550636186</v>
      </c>
      <c r="BZ59" s="370" t="n">
        <v>1</v>
      </c>
      <c r="CA59" s="370" t="n">
        <v>0.0454011527523237</v>
      </c>
      <c r="CB59" s="370" t="n">
        <v>0.867226855595254</v>
      </c>
      <c r="CC59" s="505" t="n">
        <v>-0.0225</v>
      </c>
      <c r="CD59" s="505" t="n">
        <v>0.0025</v>
      </c>
      <c r="CE59" s="505" t="n">
        <v>0.35</v>
      </c>
      <c r="CF59" s="505" t="n">
        <v>0</v>
      </c>
      <c r="CG59" s="505" t="n">
        <v>0.0334</v>
      </c>
      <c r="CH59" s="505" t="n">
        <v>9.11316668933717</v>
      </c>
      <c r="CI59" s="505" t="n">
        <v>3.597</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3.54447300771208</v>
      </c>
      <c r="BW60" s="369" t="n">
        <v>3.867</v>
      </c>
      <c r="BX60" s="370" t="n">
        <v>0.317268038421172</v>
      </c>
      <c r="BY60" s="370" t="n">
        <v>0.317268038421172</v>
      </c>
      <c r="BZ60" s="370" t="n">
        <v>1</v>
      </c>
      <c r="CA60" s="370" t="n">
        <v>0.0458945537150708</v>
      </c>
      <c r="CB60" s="370" t="n">
        <v>0.862893591140207</v>
      </c>
      <c r="CC60" s="505" t="n">
        <v>-0.0225</v>
      </c>
      <c r="CD60" s="505" t="n">
        <v>0.0025</v>
      </c>
      <c r="CE60" s="505" t="n">
        <v>0.4</v>
      </c>
      <c r="CF60" s="505" t="n">
        <v>0</v>
      </c>
      <c r="CG60" s="505" t="n">
        <v>0.0334</v>
      </c>
      <c r="CH60" s="505" t="n">
        <v>10.0391629074025</v>
      </c>
      <c r="CI60" s="505" t="n">
        <v>3.467</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3.36452442159383</v>
      </c>
      <c r="BW61" s="369" t="n">
        <v>3.882</v>
      </c>
      <c r="BX61" s="370" t="n">
        <v>0.29897490298836</v>
      </c>
      <c r="BY61" s="370" t="n">
        <v>0.29897490298836</v>
      </c>
      <c r="BZ61" s="370" t="n">
        <v>1</v>
      </c>
      <c r="CA61" s="370" t="n">
        <v>0.0464010564150716</v>
      </c>
      <c r="CB61" s="370" t="n">
        <v>0.85815886093194</v>
      </c>
      <c r="CC61" s="505" t="n">
        <v>-0.0175</v>
      </c>
      <c r="CD61" s="505" t="n">
        <v>0.0075</v>
      </c>
      <c r="CE61" s="505" t="n">
        <v>0.6</v>
      </c>
      <c r="CF61" s="505" t="n">
        <v>0</v>
      </c>
      <c r="CG61" s="505" t="n">
        <v>0.0334</v>
      </c>
      <c r="CH61" s="505" t="n">
        <v>9.66201061523271</v>
      </c>
      <c r="CI61" s="505" t="n">
        <v>3.282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3.35938303341902</v>
      </c>
      <c r="BW62" s="369" t="n">
        <v>4.027</v>
      </c>
      <c r="BX62" s="370" t="n">
        <v>0.292521362466059</v>
      </c>
      <c r="BY62" s="370" t="n">
        <v>0.292521362466059</v>
      </c>
      <c r="BZ62" s="370" t="n">
        <v>1</v>
      </c>
      <c r="CA62" s="370" t="n">
        <v>0.0468566770502532</v>
      </c>
      <c r="CB62" s="370" t="n">
        <v>0.853632083295416</v>
      </c>
      <c r="CC62" s="505" t="n">
        <v>-0.0175</v>
      </c>
      <c r="CD62" s="505" t="n">
        <v>0.0075</v>
      </c>
      <c r="CE62" s="505" t="n">
        <v>0.75</v>
      </c>
      <c r="CF62" s="505" t="n">
        <v>0</v>
      </c>
      <c r="CG62" s="505" t="n">
        <v>0.0334</v>
      </c>
      <c r="CH62" s="505" t="n">
        <v>9.93141174668386</v>
      </c>
      <c r="CI62" s="505" t="n">
        <v>3.277</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3.39794344473008</v>
      </c>
      <c r="BW63" s="369" t="n">
        <v>4.162</v>
      </c>
      <c r="BX63" s="370" t="n">
        <v>0.292382455013977</v>
      </c>
      <c r="BY63" s="370" t="n">
        <v>0.292382455013977</v>
      </c>
      <c r="BZ63" s="370" t="n">
        <v>1</v>
      </c>
      <c r="CA63" s="370" t="n">
        <v>0.0473274851128664</v>
      </c>
      <c r="CB63" s="370" t="n">
        <v>0.848914575635623</v>
      </c>
      <c r="CC63" s="505" t="n">
        <v>-0.015</v>
      </c>
      <c r="CD63" s="505" t="n">
        <v>0.0075</v>
      </c>
      <c r="CE63" s="505" t="n">
        <v>0.85</v>
      </c>
      <c r="CF63" s="505" t="n">
        <v>0</v>
      </c>
      <c r="CG63" s="505" t="n">
        <v>0.0334</v>
      </c>
      <c r="CH63" s="505" t="n">
        <v>9.55792920708148</v>
      </c>
      <c r="CI63" s="505" t="n">
        <v>3.312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3.43907455012853</v>
      </c>
      <c r="BW64" s="369" t="n">
        <v>4.402</v>
      </c>
      <c r="BX64" s="370" t="n">
        <v>0.288480838532972</v>
      </c>
      <c r="BY64" s="370" t="n">
        <v>0.288480838532972</v>
      </c>
      <c r="BZ64" s="370" t="n">
        <v>1</v>
      </c>
      <c r="CA64" s="370" t="n">
        <v>0.047760481058801</v>
      </c>
      <c r="CB64" s="370" t="n">
        <v>0.844378469838596</v>
      </c>
      <c r="CC64" s="505" t="n">
        <v>-0.015</v>
      </c>
      <c r="CD64" s="505" t="n">
        <v>0.0075</v>
      </c>
      <c r="CE64" s="505" t="n">
        <v>1.05</v>
      </c>
      <c r="CF64" s="505" t="n">
        <v>0</v>
      </c>
      <c r="CG64" s="505" t="n">
        <v>0.0334</v>
      </c>
      <c r="CH64" s="505" t="n">
        <v>9.82375243164318</v>
      </c>
      <c r="CI64" s="505" t="n">
        <v>3.352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3.48020565552699</v>
      </c>
      <c r="BW65" s="369" t="n">
        <v>4.442</v>
      </c>
      <c r="BX65" s="370" t="n">
        <v>0.289450621554524</v>
      </c>
      <c r="BY65" s="370" t="n">
        <v>0.289450621554524</v>
      </c>
      <c r="BZ65" s="370" t="n">
        <v>1</v>
      </c>
      <c r="CA65" s="370" t="n">
        <v>0.0481861434694211</v>
      </c>
      <c r="CB65" s="370" t="n">
        <v>0.839721100096823</v>
      </c>
      <c r="CC65" s="505" t="n">
        <v>-0.015</v>
      </c>
      <c r="CD65" s="505" t="n">
        <v>0.0075</v>
      </c>
      <c r="CE65" s="505" t="n">
        <v>1.05</v>
      </c>
      <c r="CF65" s="505" t="n">
        <v>0</v>
      </c>
      <c r="CG65" s="505" t="n">
        <v>0.0334</v>
      </c>
      <c r="CH65" s="505" t="n">
        <v>9.76956719485647</v>
      </c>
      <c r="CI65" s="505" t="n">
        <v>3.392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3.46992287917738</v>
      </c>
      <c r="BW66" s="369" t="n">
        <v>4.137</v>
      </c>
      <c r="BX66" s="370" t="n">
        <v>0.289213048318682</v>
      </c>
      <c r="BY66" s="370" t="n">
        <v>0.289213048318682</v>
      </c>
      <c r="BZ66" s="370" t="n">
        <v>1</v>
      </c>
      <c r="CA66" s="370" t="n">
        <v>0.0486118059405909</v>
      </c>
      <c r="CB66" s="370" t="n">
        <v>0.835030766033085</v>
      </c>
      <c r="CC66" s="505" t="n">
        <v>-0.02</v>
      </c>
      <c r="CD66" s="505" t="n">
        <v>0.0075</v>
      </c>
      <c r="CE66" s="505" t="n">
        <v>0.75</v>
      </c>
      <c r="CF66" s="505" t="n">
        <v>0</v>
      </c>
      <c r="CG66" s="505" t="n">
        <v>0.0334</v>
      </c>
      <c r="CH66" s="505" t="n">
        <v>9.4016113947665</v>
      </c>
      <c r="CI66" s="505" t="n">
        <v>3.387</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3.49562982005141</v>
      </c>
      <c r="BW67" s="369" t="n">
        <v>3.862</v>
      </c>
      <c r="BX67" s="370" t="n">
        <v>0.290354844679535</v>
      </c>
      <c r="BY67" s="370" t="n">
        <v>0.290354844679535</v>
      </c>
      <c r="BZ67" s="370" t="n">
        <v>1</v>
      </c>
      <c r="CA67" s="370" t="n">
        <v>0.0490091513549218</v>
      </c>
      <c r="CB67" s="370" t="n">
        <v>0.830506508545646</v>
      </c>
      <c r="CC67" s="505" t="n">
        <v>-0.02</v>
      </c>
      <c r="CD67" s="505" t="n">
        <v>0.0075</v>
      </c>
      <c r="CE67" s="505" t="n">
        <v>0.45</v>
      </c>
      <c r="CF67" s="505" t="n">
        <v>0</v>
      </c>
      <c r="CG67" s="505" t="n">
        <v>0.0334</v>
      </c>
      <c r="CH67" s="505" t="n">
        <v>9.66236187237261</v>
      </c>
      <c r="CI67" s="505" t="n">
        <v>3.412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3.64935732647815</v>
      </c>
      <c r="BW68" s="369" t="n">
        <v>4.014</v>
      </c>
      <c r="BX68" s="370" t="n">
        <v>0.295083048619696</v>
      </c>
      <c r="BY68" s="370" t="n">
        <v>0.295083048619696</v>
      </c>
      <c r="BZ68" s="370" t="n">
        <v>1</v>
      </c>
      <c r="CA68" s="370" t="n">
        <v>0.0493920179871608</v>
      </c>
      <c r="CB68" s="370" t="n">
        <v>0.825889768863549</v>
      </c>
      <c r="CC68" s="505" t="n">
        <v>-0.0175</v>
      </c>
      <c r="CD68" s="505" t="n">
        <v>0.0025</v>
      </c>
      <c r="CE68" s="505" t="n">
        <v>0.45</v>
      </c>
      <c r="CF68" s="505" t="n">
        <v>0</v>
      </c>
      <c r="CG68" s="505" t="n">
        <v>0.0334</v>
      </c>
      <c r="CH68" s="505" t="n">
        <v>9.2986929076347</v>
      </c>
      <c r="CI68" s="505" t="n">
        <v>3.564</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3.79640102827763</v>
      </c>
      <c r="BW69" s="369" t="n">
        <v>4.107</v>
      </c>
      <c r="BX69" s="370" t="n">
        <v>0.30158877782868</v>
      </c>
      <c r="BY69" s="370" t="n">
        <v>0.30158877782868</v>
      </c>
      <c r="BZ69" s="370" t="n">
        <v>1</v>
      </c>
      <c r="CA69" s="370" t="n">
        <v>0.0497625341294907</v>
      </c>
      <c r="CB69" s="370" t="n">
        <v>0.821397003079716</v>
      </c>
      <c r="CC69" s="505" t="n">
        <v>-0.0175</v>
      </c>
      <c r="CD69" s="505" t="n">
        <v>0.0025</v>
      </c>
      <c r="CE69" s="505" t="n">
        <v>0.4</v>
      </c>
      <c r="CF69" s="505" t="n">
        <v>0</v>
      </c>
      <c r="CG69" s="505" t="n">
        <v>0.0334</v>
      </c>
      <c r="CH69" s="505" t="n">
        <v>9.55637915293034</v>
      </c>
      <c r="CI69" s="505" t="n">
        <v>3.707</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3.85295629820051</v>
      </c>
      <c r="BW70" s="369" t="n">
        <v>4.112</v>
      </c>
      <c r="BX70" s="370" t="n">
        <v>0.301253958992461</v>
      </c>
      <c r="BY70" s="370" t="n">
        <v>0.301253958992461</v>
      </c>
      <c r="BZ70" s="370" t="n">
        <v>1</v>
      </c>
      <c r="CA70" s="370" t="n">
        <v>0.0501238670100874</v>
      </c>
      <c r="CB70" s="370" t="n">
        <v>0.816799555121222</v>
      </c>
      <c r="CC70" s="505" t="n">
        <v>-0.0175</v>
      </c>
      <c r="CD70" s="505" t="n">
        <v>0.0025</v>
      </c>
      <c r="CE70" s="505" t="n">
        <v>0.35</v>
      </c>
      <c r="CF70" s="505" t="n">
        <v>0</v>
      </c>
      <c r="CG70" s="505" t="n">
        <v>0.0334</v>
      </c>
      <c r="CH70" s="505" t="n">
        <v>9.50289106414684</v>
      </c>
      <c r="CI70" s="505" t="n">
        <v>3.762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3.76555269922879</v>
      </c>
      <c r="BW71" s="369" t="n">
        <v>4.027</v>
      </c>
      <c r="BX71" s="370" t="n">
        <v>0.294730625711485</v>
      </c>
      <c r="BY71" s="370" t="n">
        <v>0.294730625711485</v>
      </c>
      <c r="BZ71" s="370" t="n">
        <v>1</v>
      </c>
      <c r="CA71" s="370" t="n">
        <v>0.0504460474790935</v>
      </c>
      <c r="CB71" s="370" t="n">
        <v>0.812308871993658</v>
      </c>
      <c r="CC71" s="505" t="n">
        <v>-0.0175</v>
      </c>
      <c r="CD71" s="505" t="n">
        <v>0.0025</v>
      </c>
      <c r="CE71" s="505" t="n">
        <v>0.35</v>
      </c>
      <c r="CF71" s="505" t="n">
        <v>0</v>
      </c>
      <c r="CG71" s="505" t="n">
        <v>0.0334</v>
      </c>
      <c r="CH71" s="505" t="n">
        <v>8.53606655045815</v>
      </c>
      <c r="CI71" s="505" t="n">
        <v>3.677</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3.63701799485861</v>
      </c>
      <c r="BW72" s="369" t="n">
        <v>3.947</v>
      </c>
      <c r="BX72" s="370" t="n">
        <v>0.278899568705084</v>
      </c>
      <c r="BY72" s="370" t="n">
        <v>0.278899568705084</v>
      </c>
      <c r="BZ72" s="370" t="n">
        <v>1</v>
      </c>
      <c r="CA72" s="370" t="n">
        <v>0.0507370492228172</v>
      </c>
      <c r="CB72" s="370" t="n">
        <v>0.808237080144648</v>
      </c>
      <c r="CC72" s="505" t="n">
        <v>-0.0125</v>
      </c>
      <c r="CD72" s="505" t="n">
        <v>0.0025</v>
      </c>
      <c r="CE72" s="505" t="n">
        <v>0.4</v>
      </c>
      <c r="CF72" s="505" t="n">
        <v>0</v>
      </c>
      <c r="CG72" s="505" t="n">
        <v>0.0334</v>
      </c>
      <c r="CH72" s="505" t="n">
        <v>9.40327266152688</v>
      </c>
      <c r="CI72" s="505" t="n">
        <v>3.547</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3.45192802056555</v>
      </c>
      <c r="BW73" s="369" t="n">
        <v>3.962</v>
      </c>
      <c r="BX73" s="370" t="n">
        <v>0.251839821026274</v>
      </c>
      <c r="BY73" s="370" t="n">
        <v>0.251839821026274</v>
      </c>
      <c r="BZ73" s="370" t="n">
        <v>1</v>
      </c>
      <c r="CA73" s="370" t="n">
        <v>0.0510592297577648</v>
      </c>
      <c r="CB73" s="370" t="n">
        <v>0.803712195296429</v>
      </c>
      <c r="CC73" s="505" t="n">
        <v>-0.0125</v>
      </c>
      <c r="CD73" s="505" t="n">
        <v>0.0075</v>
      </c>
      <c r="CE73" s="505" t="n">
        <v>0.6</v>
      </c>
      <c r="CF73" s="505" t="n">
        <v>0</v>
      </c>
      <c r="CG73" s="505" t="n">
        <v>0.0334</v>
      </c>
      <c r="CH73" s="505" t="n">
        <v>9.0489956068425</v>
      </c>
      <c r="CI73" s="505" t="n">
        <v>3.362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3.44935732647815</v>
      </c>
      <c r="BW74" s="369" t="n">
        <v>4.107</v>
      </c>
      <c r="BX74" s="370" t="n">
        <v>0.24777576676848</v>
      </c>
      <c r="BY74" s="370" t="n">
        <v>0.24777576676848</v>
      </c>
      <c r="BZ74" s="370" t="n">
        <v>1</v>
      </c>
      <c r="CA74" s="370" t="n">
        <v>0.051371017405212</v>
      </c>
      <c r="CB74" s="370" t="n">
        <v>0.799316971929618</v>
      </c>
      <c r="CC74" s="505" t="n">
        <v>-0.01</v>
      </c>
      <c r="CD74" s="505" t="n">
        <v>0.0075</v>
      </c>
      <c r="CE74" s="505" t="n">
        <v>0.75</v>
      </c>
      <c r="CF74" s="505" t="n">
        <v>0</v>
      </c>
      <c r="CG74" s="505" t="n">
        <v>0.0334</v>
      </c>
      <c r="CH74" s="505" t="n">
        <v>9.29949344652076</v>
      </c>
      <c r="CI74" s="505" t="n">
        <v>3.357</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3.4853470437018</v>
      </c>
      <c r="BW75" s="369" t="n">
        <v>4.242</v>
      </c>
      <c r="BX75" s="370" t="n">
        <v>0.250088358245823</v>
      </c>
      <c r="BY75" s="370" t="n">
        <v>0.250088358245823</v>
      </c>
      <c r="BZ75" s="370" t="n">
        <v>1</v>
      </c>
      <c r="CA75" s="370" t="n">
        <v>0.0516931980083157</v>
      </c>
      <c r="CB75" s="370" t="n">
        <v>0.794758967227619</v>
      </c>
      <c r="CC75" s="505" t="n">
        <v>-0.01</v>
      </c>
      <c r="CD75" s="505" t="n">
        <v>0.0075</v>
      </c>
      <c r="CE75" s="505" t="n">
        <v>0.85</v>
      </c>
      <c r="CF75" s="505" t="n">
        <v>0</v>
      </c>
      <c r="CG75" s="505" t="n">
        <v>0.0334</v>
      </c>
      <c r="CH75" s="505" t="n">
        <v>8.94819121201577</v>
      </c>
      <c r="CI75" s="505" t="n">
        <v>3.392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3.52647814910026</v>
      </c>
      <c r="BW76" s="369" t="n">
        <v>4.482</v>
      </c>
      <c r="BX76" s="370" t="n">
        <v>0.251002615011208</v>
      </c>
      <c r="BY76" s="370" t="n">
        <v>0.251002615011208</v>
      </c>
      <c r="BZ76" s="370" t="n">
        <v>1</v>
      </c>
      <c r="CA76" s="370" t="n">
        <v>0.0520049857217106</v>
      </c>
      <c r="CB76" s="370" t="n">
        <v>0.790332792803782</v>
      </c>
      <c r="CC76" s="505" t="n">
        <v>-0.01</v>
      </c>
      <c r="CD76" s="505" t="n">
        <v>0.0075</v>
      </c>
      <c r="CE76" s="505" t="n">
        <v>1.05</v>
      </c>
      <c r="CF76" s="505" t="n">
        <v>0</v>
      </c>
      <c r="CG76" s="505" t="n">
        <v>0.0334</v>
      </c>
      <c r="CH76" s="505" t="n">
        <v>9.19496881131705</v>
      </c>
      <c r="CI76" s="505" t="n">
        <v>3.432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3.56246786632391</v>
      </c>
      <c r="BW77" s="369" t="n">
        <v>4.522</v>
      </c>
      <c r="BX77" s="370" t="n">
        <v>0.251887767191014</v>
      </c>
      <c r="BY77" s="370" t="n">
        <v>0.251887767191014</v>
      </c>
      <c r="BZ77" s="370" t="n">
        <v>1</v>
      </c>
      <c r="CA77" s="370" t="n">
        <v>0.0523271663929492</v>
      </c>
      <c r="CB77" s="370" t="n">
        <v>0.785743940633574</v>
      </c>
      <c r="CC77" s="505" t="n">
        <v>-0.015</v>
      </c>
      <c r="CD77" s="505" t="n">
        <v>0.0075</v>
      </c>
      <c r="CE77" s="505" t="n">
        <v>1.05</v>
      </c>
      <c r="CF77" s="505" t="n">
        <v>0</v>
      </c>
      <c r="CG77" s="505" t="n">
        <v>0.0334</v>
      </c>
      <c r="CH77" s="505" t="n">
        <v>9.1415807285132</v>
      </c>
      <c r="CI77" s="505" t="n">
        <v>3.472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3.5573264781491</v>
      </c>
      <c r="BW78" s="369" t="n">
        <v>4.217</v>
      </c>
      <c r="BX78" s="370" t="n">
        <v>0.251673457799918</v>
      </c>
      <c r="BY78" s="370" t="n">
        <v>0.251673457799918</v>
      </c>
      <c r="BZ78" s="370" t="n">
        <v>1</v>
      </c>
      <c r="CA78" s="370" t="n">
        <v>0.0526493470988063</v>
      </c>
      <c r="CB78" s="370" t="n">
        <v>0.781140280211496</v>
      </c>
      <c r="CC78" s="505" t="n">
        <v>-0.015</v>
      </c>
      <c r="CD78" s="505" t="n">
        <v>0.0075</v>
      </c>
      <c r="CE78" s="505" t="n">
        <v>0.75</v>
      </c>
      <c r="CF78" s="505" t="n">
        <v>0</v>
      </c>
      <c r="CG78" s="505" t="n">
        <v>0.0334</v>
      </c>
      <c r="CH78" s="505" t="n">
        <v>8.79485841490123</v>
      </c>
      <c r="CI78" s="505" t="n">
        <v>3.467</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3.58046272493573</v>
      </c>
      <c r="BW79" s="369" t="n">
        <v>3.942</v>
      </c>
      <c r="BX79" s="370" t="n">
        <v>0.252737151785216</v>
      </c>
      <c r="BY79" s="370" t="n">
        <v>0.252737151785216</v>
      </c>
      <c r="BZ79" s="370" t="n">
        <v>1</v>
      </c>
      <c r="CA79" s="370" t="n">
        <v>0.0529611349116244</v>
      </c>
      <c r="CB79" s="370" t="n">
        <v>0.776671575219578</v>
      </c>
      <c r="CC79" s="505" t="n">
        <v>-0.0175</v>
      </c>
      <c r="CD79" s="505" t="n">
        <v>0.0075</v>
      </c>
      <c r="CE79" s="505" t="n">
        <v>0.45</v>
      </c>
      <c r="CF79" s="505" t="n">
        <v>0</v>
      </c>
      <c r="CG79" s="505" t="n">
        <v>0.0334</v>
      </c>
      <c r="CH79" s="505" t="n">
        <v>9.03603010757713</v>
      </c>
      <c r="CI79" s="505" t="n">
        <v>3.492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3.73521850899743</v>
      </c>
      <c r="BW80" s="369" t="n">
        <v>4.094</v>
      </c>
      <c r="BX80" s="370" t="n">
        <v>0.257069016574414</v>
      </c>
      <c r="BY80" s="370" t="n">
        <v>0.257069016574414</v>
      </c>
      <c r="BZ80" s="370" t="n">
        <v>1</v>
      </c>
      <c r="CA80" s="370" t="n">
        <v>0.0532833156855848</v>
      </c>
      <c r="CB80" s="370" t="n">
        <v>0.772040478692847</v>
      </c>
      <c r="CC80" s="505" t="n">
        <v>-0.014</v>
      </c>
      <c r="CD80" s="505" t="n">
        <v>0.0025</v>
      </c>
      <c r="CE80" s="505" t="n">
        <v>0.45</v>
      </c>
      <c r="CF80" s="505" t="n">
        <v>0</v>
      </c>
      <c r="CG80" s="505" t="n">
        <v>0.0334</v>
      </c>
      <c r="CH80" s="505" t="n">
        <v>8.69240374960276</v>
      </c>
      <c r="CI80" s="505" t="n">
        <v>3.644</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3.88226221079692</v>
      </c>
      <c r="BW81" s="369" t="n">
        <v>4.187</v>
      </c>
      <c r="BX81" s="370" t="n">
        <v>0.263085311093791</v>
      </c>
      <c r="BY81" s="370" t="n">
        <v>0.263085311093791</v>
      </c>
      <c r="BZ81" s="370" t="n">
        <v>1</v>
      </c>
      <c r="CA81" s="370" t="n">
        <v>0.0535951035642985</v>
      </c>
      <c r="CB81" s="370" t="n">
        <v>0.767546312167612</v>
      </c>
      <c r="CC81" s="505" t="n">
        <v>-0.014</v>
      </c>
      <c r="CD81" s="505" t="n">
        <v>0.0025</v>
      </c>
      <c r="CE81" s="505" t="n">
        <v>0.4</v>
      </c>
      <c r="CF81" s="505" t="n">
        <v>0</v>
      </c>
      <c r="CG81" s="505" t="n">
        <v>0.0334</v>
      </c>
      <c r="CH81" s="505" t="n">
        <v>8.92986405965166</v>
      </c>
      <c r="CI81" s="505" t="n">
        <v>3.787</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3.93624678663239</v>
      </c>
      <c r="BW82" s="369" t="n">
        <v>4.1895</v>
      </c>
      <c r="BX82" s="370" t="n">
        <v>0.262833061218283</v>
      </c>
      <c r="BY82" s="370" t="n">
        <v>0.262833061218283</v>
      </c>
      <c r="BZ82" s="370" t="n">
        <v>1</v>
      </c>
      <c r="CA82" s="370" t="n">
        <v>0.0538548873933569</v>
      </c>
      <c r="CB82" s="370" t="n">
        <v>0.76312585991901</v>
      </c>
      <c r="CC82" s="505" t="n">
        <v>-0.014</v>
      </c>
      <c r="CD82" s="505" t="n">
        <v>0.0025</v>
      </c>
      <c r="CE82" s="505" t="n">
        <v>0.35</v>
      </c>
      <c r="CF82" s="505" t="n">
        <v>0</v>
      </c>
      <c r="CG82" s="505" t="n">
        <v>0.0334</v>
      </c>
      <c r="CH82" s="505" t="n">
        <v>8.87843519205574</v>
      </c>
      <c r="CI82" s="505" t="n">
        <v>3.8395</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3.84884318766067</v>
      </c>
      <c r="BW83" s="369" t="n">
        <v>4.1045</v>
      </c>
      <c r="BX83" s="370" t="n">
        <v>0.2425</v>
      </c>
      <c r="BY83" s="370" t="n">
        <v>0.2425</v>
      </c>
      <c r="BZ83" s="370" t="n">
        <v>0</v>
      </c>
      <c r="CA83" s="370" t="n">
        <v>0.0540389034386073</v>
      </c>
      <c r="CB83" s="370" t="n">
        <v>0</v>
      </c>
      <c r="CC83" s="505" t="n">
        <v>-0.014</v>
      </c>
      <c r="CD83" s="505" t="n">
        <v>0.0025</v>
      </c>
      <c r="CE83" s="505" t="n">
        <v>0.35</v>
      </c>
      <c r="CF83" s="505" t="n">
        <v>0</v>
      </c>
      <c r="CG83" s="505" t="n">
        <v>0.0334</v>
      </c>
      <c r="CH83" s="505" t="n">
        <v>0</v>
      </c>
      <c r="CI83" s="505" t="n">
        <v>3.7545</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3.84884318766067</v>
      </c>
      <c r="BW84" s="369" t="n">
        <v>4.1045</v>
      </c>
      <c r="BX84" s="370" t="n">
        <v>0.2425</v>
      </c>
      <c r="BY84" s="370" t="n">
        <v>0.2425</v>
      </c>
      <c r="BZ84" s="370" t="n">
        <v>0</v>
      </c>
      <c r="CA84" s="370" t="n">
        <v>0.0540389034386073</v>
      </c>
      <c r="CB84" s="370" t="n">
        <v>0</v>
      </c>
      <c r="CC84" s="505" t="n">
        <v>-0.014</v>
      </c>
      <c r="CD84" s="505" t="n">
        <v>0.0025</v>
      </c>
      <c r="CE84" s="505" t="n">
        <v>0.35</v>
      </c>
      <c r="CF84" s="505" t="n">
        <v>0</v>
      </c>
      <c r="CG84" s="505" t="n">
        <v>0.0334</v>
      </c>
      <c r="CH84" s="505" t="n">
        <v>0</v>
      </c>
      <c r="CI84" s="505" t="n">
        <v>3.7545</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3.84884318766067</v>
      </c>
      <c r="BW85" s="369" t="n">
        <v>4.1045</v>
      </c>
      <c r="BX85" s="370" t="n">
        <v>0.2425</v>
      </c>
      <c r="BY85" s="370" t="n">
        <v>0.2425</v>
      </c>
      <c r="BZ85" s="370" t="n">
        <v>0</v>
      </c>
      <c r="CA85" s="370" t="n">
        <v>0.0540389034386073</v>
      </c>
      <c r="CB85" s="370" t="n">
        <v>0</v>
      </c>
      <c r="CC85" s="505" t="n">
        <v>-0.014</v>
      </c>
      <c r="CD85" s="505" t="n">
        <v>0.0025</v>
      </c>
      <c r="CE85" s="505" t="n">
        <v>0.35</v>
      </c>
      <c r="CF85" s="505" t="n">
        <v>0</v>
      </c>
      <c r="CG85" s="505" t="n">
        <v>0.0334</v>
      </c>
      <c r="CH85" s="505" t="n">
        <v>0</v>
      </c>
      <c r="CI85" s="505" t="n">
        <v>3.7545</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3.84884318766067</v>
      </c>
      <c r="BW86" s="369" t="n">
        <v>4.1045</v>
      </c>
      <c r="BX86" s="370" t="n">
        <v>0.2425</v>
      </c>
      <c r="BY86" s="370" t="n">
        <v>0.2425</v>
      </c>
      <c r="BZ86" s="370" t="n">
        <v>0</v>
      </c>
      <c r="CA86" s="370" t="n">
        <v>0.0540389034386073</v>
      </c>
      <c r="CB86" s="370" t="n">
        <v>0</v>
      </c>
      <c r="CC86" s="505" t="n">
        <v>-0.014</v>
      </c>
      <c r="CD86" s="505" t="n">
        <v>0.0025</v>
      </c>
      <c r="CE86" s="505" t="n">
        <v>0.35</v>
      </c>
      <c r="CF86" s="505" t="n">
        <v>0</v>
      </c>
      <c r="CG86" s="505" t="n">
        <v>0.0334</v>
      </c>
      <c r="CH86" s="505" t="n">
        <v>0</v>
      </c>
      <c r="CI86" s="505" t="n">
        <v>3.7545</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3.84884318766067</v>
      </c>
      <c r="BW87" s="369" t="n">
        <v>4.1045</v>
      </c>
      <c r="BX87" s="370" t="n">
        <v>0.2425</v>
      </c>
      <c r="BY87" s="370" t="n">
        <v>0.2425</v>
      </c>
      <c r="BZ87" s="370" t="n">
        <v>0</v>
      </c>
      <c r="CA87" s="370" t="n">
        <v>0.0540389034386073</v>
      </c>
      <c r="CB87" s="370" t="n">
        <v>0</v>
      </c>
      <c r="CC87" s="505" t="n">
        <v>-0.014</v>
      </c>
      <c r="CD87" s="505" t="n">
        <v>0.0025</v>
      </c>
      <c r="CE87" s="505" t="n">
        <v>0.35</v>
      </c>
      <c r="CF87" s="505" t="n">
        <v>0</v>
      </c>
      <c r="CG87" s="505" t="n">
        <v>0.0334</v>
      </c>
      <c r="CH87" s="505" t="n">
        <v>0</v>
      </c>
      <c r="CI87" s="505" t="n">
        <v>3.7545</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3.84884318766067</v>
      </c>
      <c r="BW88" s="369" t="n">
        <v>4.1045</v>
      </c>
      <c r="BX88" s="370" t="n">
        <v>0.2425</v>
      </c>
      <c r="BY88" s="370" t="n">
        <v>0.2425</v>
      </c>
      <c r="BZ88" s="370" t="n">
        <v>0</v>
      </c>
      <c r="CA88" s="370" t="n">
        <v>0.0540389034386073</v>
      </c>
      <c r="CB88" s="370" t="n">
        <v>0</v>
      </c>
      <c r="CC88" s="505" t="n">
        <v>-0.014</v>
      </c>
      <c r="CD88" s="505" t="n">
        <v>0.0025</v>
      </c>
      <c r="CE88" s="505" t="n">
        <v>0.35</v>
      </c>
      <c r="CF88" s="505" t="n">
        <v>0</v>
      </c>
      <c r="CG88" s="505" t="n">
        <v>0.0334</v>
      </c>
      <c r="CH88" s="505" t="n">
        <v>0</v>
      </c>
      <c r="CI88" s="505" t="n">
        <v>3.7545</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3.84884318766067</v>
      </c>
      <c r="BW89" s="369" t="n">
        <v>4.1045</v>
      </c>
      <c r="BX89" s="370" t="n">
        <v>0.2425</v>
      </c>
      <c r="BY89" s="370" t="n">
        <v>0.2425</v>
      </c>
      <c r="BZ89" s="370" t="n">
        <v>0</v>
      </c>
      <c r="CA89" s="370" t="n">
        <v>0.0540389034386073</v>
      </c>
      <c r="CB89" s="370" t="n">
        <v>0</v>
      </c>
      <c r="CC89" s="505" t="n">
        <v>-0.014</v>
      </c>
      <c r="CD89" s="505" t="n">
        <v>0.0025</v>
      </c>
      <c r="CE89" s="505" t="n">
        <v>0.35</v>
      </c>
      <c r="CF89" s="505" t="n">
        <v>0</v>
      </c>
      <c r="CG89" s="505" t="n">
        <v>0.0334</v>
      </c>
      <c r="CH89" s="505" t="n">
        <v>0</v>
      </c>
      <c r="CI89" s="505" t="n">
        <v>3.7545</v>
      </c>
      <c r="CJ89" s="505"/>
      <c r="CK89" s="505"/>
      <c r="CL89" s="505"/>
      <c r="CM89" s="505"/>
    </row>
    <row r="90" customFormat="false" ht="12.75" hidden="false" customHeight="false" outlineLevel="0" collapsed="false">
      <c r="A90" s="500"/>
      <c r="B90" s="500"/>
      <c r="D90" s="95"/>
      <c r="E90" s="95"/>
      <c r="F90" s="95"/>
      <c r="G90" s="95"/>
      <c r="H90" s="95"/>
      <c r="I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U90" s="95"/>
      <c r="BV90" s="95"/>
    </row>
    <row r="91" customFormat="false" ht="12.75" hidden="false" customHeight="false" outlineLevel="0" collapsed="false">
      <c r="A91" s="500"/>
      <c r="B91" s="500"/>
      <c r="D91" s="95"/>
      <c r="E91" s="95"/>
      <c r="F91" s="95"/>
      <c r="G91" s="95"/>
      <c r="H91" s="95"/>
      <c r="I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U91" s="95"/>
      <c r="BV91" s="95"/>
    </row>
    <row r="92" customFormat="false" ht="12.75" hidden="false" customHeight="false" outlineLevel="0" collapsed="false">
      <c r="A92" s="500"/>
      <c r="B92" s="500"/>
      <c r="D92" s="95"/>
      <c r="E92" s="95"/>
      <c r="F92" s="95"/>
      <c r="G92" s="95"/>
      <c r="H92" s="95"/>
      <c r="I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U92" s="95"/>
      <c r="BV92" s="95"/>
    </row>
    <row r="93" customFormat="false" ht="12.75" hidden="false" customHeight="false" outlineLevel="0" collapsed="false">
      <c r="A93" s="500"/>
      <c r="B93" s="500"/>
      <c r="D93" s="95"/>
      <c r="E93" s="95"/>
      <c r="F93" s="95"/>
      <c r="G93" s="95"/>
      <c r="H93" s="95"/>
      <c r="I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U93" s="95"/>
      <c r="BV93" s="95"/>
    </row>
    <row r="94" customFormat="false" ht="12.75" hidden="false" customHeight="false" outlineLevel="0" collapsed="false">
      <c r="A94" s="500"/>
      <c r="B94" s="500"/>
      <c r="D94" s="95"/>
      <c r="E94" s="95"/>
      <c r="F94" s="95"/>
      <c r="G94" s="95"/>
      <c r="H94" s="95"/>
      <c r="I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U94" s="95"/>
      <c r="BV94" s="95"/>
    </row>
    <row r="95" customFormat="false" ht="12.75" hidden="false" customHeight="false" outlineLevel="0" collapsed="false">
      <c r="A95" s="500"/>
      <c r="B95" s="500"/>
      <c r="D95" s="95"/>
      <c r="E95" s="95"/>
      <c r="F95" s="95"/>
      <c r="G95" s="95"/>
      <c r="H95" s="95"/>
      <c r="I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U95" s="95"/>
      <c r="BV95" s="95"/>
    </row>
    <row r="96" customFormat="false" ht="12.75" hidden="false" customHeight="false" outlineLevel="0" collapsed="false">
      <c r="D96" s="95"/>
      <c r="E96" s="95"/>
      <c r="F96" s="95"/>
      <c r="G96" s="95"/>
      <c r="H96" s="95"/>
      <c r="I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U96" s="95"/>
      <c r="BV96" s="95"/>
    </row>
    <row r="97" customFormat="false" ht="12.75" hidden="false" customHeight="false" outlineLevel="0" collapsed="false">
      <c r="D97" s="95"/>
      <c r="E97" s="95"/>
      <c r="F97" s="95"/>
      <c r="G97" s="95"/>
      <c r="H97" s="95"/>
      <c r="I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U97" s="95"/>
      <c r="BV97" s="95"/>
    </row>
    <row r="98" customFormat="false" ht="12.75" hidden="false" customHeight="false" outlineLevel="0" collapsed="false">
      <c r="D98" s="95"/>
      <c r="E98" s="95"/>
      <c r="F98" s="95"/>
      <c r="G98" s="95"/>
      <c r="H98" s="95"/>
      <c r="I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U98" s="95"/>
      <c r="BV98" s="95"/>
    </row>
    <row r="99" customFormat="false" ht="12.75" hidden="false" customHeight="false" outlineLevel="0" collapsed="false">
      <c r="D99" s="95"/>
      <c r="E99" s="95"/>
      <c r="F99" s="95"/>
      <c r="G99" s="95"/>
      <c r="H99" s="95"/>
      <c r="I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U99" s="95"/>
      <c r="BV99" s="95"/>
    </row>
  </sheetData>
  <mergeCells count="99">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95"/>
  <sheetViews>
    <sheetView showFormulas="false" showGridLines="true" showRowColHeaders="true" showZeros="true" rightToLeft="false" tabSelected="false" showOutlineSymbols="true" defaultGridColor="true" view="normal" topLeftCell="K1" colorId="64" zoomScale="80" zoomScaleNormal="80" zoomScalePageLayoutView="100" workbookViewId="0">
      <selection pane="topLeft" activeCell="CI21" activeCellId="0" sqref="CI21:CI31"/>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56</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223831.11</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922924</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-699092.88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8503.19</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SUMPRODUCT(L22:L31,F22:F31)</f>
        <v>#VALUE!</v>
      </c>
      <c r="L10" s="414" t="s">
        <v>478</v>
      </c>
      <c r="M10" s="414"/>
      <c r="N10" s="400" t="e">
        <f aca="true">-SUMPRODUCT(INDIRECT(CONCATENATE(AV10,":",AW10)),INDIRECT(CONCATENATE($AX$7,":",$AY$7)),INDIRECT(CONCATENATE($AV$3,":",$AW$3)))</f>
        <v>#VALUE!</v>
      </c>
      <c r="O10" s="400" t="n">
        <v>-293888.3</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SUMPRODUCT(K22:K31,F22:F31)</f>
        <v>#VALUE!</v>
      </c>
      <c r="L11" s="425" t="s">
        <v>481</v>
      </c>
      <c r="M11" s="425"/>
      <c r="N11" s="426" t="e">
        <f aca="true">-SUMPRODUCT(INDIRECT(CONCATENATE(AV11,":",AW11)),INDIRECT(CONCATENATE($AV$2,":",$AW$2)),INDIRECT(CONCATENATE($AV$3,":",$AW$3)),INDIRECT(CONCATENATE(AX3,":",AY3)))</f>
        <v>#VALUE!</v>
      </c>
      <c r="O11" s="427" t="n">
        <v>-324000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2727.03</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23.09</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-2287.84</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824.22</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17.77</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11.67</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0</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223831.11</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3.01733752407989</v>
      </c>
      <c r="BW22" s="369" t="n">
        <v>3.056</v>
      </c>
      <c r="BX22" s="370" t="n">
        <v>1.01983536862794</v>
      </c>
      <c r="BY22" s="370" t="n">
        <v>1.01983536862794</v>
      </c>
      <c r="BZ22" s="370" t="n">
        <v>0.996089736138556</v>
      </c>
      <c r="CA22" s="370" t="n">
        <v>0.0187659081571607</v>
      </c>
      <c r="CB22" s="370" t="n">
        <v>0.998364899395796</v>
      </c>
      <c r="CC22" s="505" t="n">
        <v>0.13</v>
      </c>
      <c r="CD22" s="505" t="n">
        <v>0</v>
      </c>
      <c r="CE22" s="505" t="n">
        <v>0.2</v>
      </c>
      <c r="CF22" s="505" t="n">
        <v>0.01</v>
      </c>
      <c r="CG22" s="505" t="n">
        <v>0.045</v>
      </c>
      <c r="CH22" s="505" t="n">
        <v>3.98008150793128</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2.98894859576194</v>
      </c>
      <c r="BW23" s="369" t="n">
        <v>3.028</v>
      </c>
      <c r="BX23" s="370" t="n">
        <v>0.941356881197444</v>
      </c>
      <c r="BY23" s="370" t="n">
        <v>0.941356881197444</v>
      </c>
      <c r="BZ23" s="370" t="n">
        <v>0.996716408319358</v>
      </c>
      <c r="CA23" s="370" t="n">
        <v>0.0193261872820063</v>
      </c>
      <c r="CB23" s="370" t="n">
        <v>0.996688029844541</v>
      </c>
      <c r="CC23" s="505" t="n">
        <v>0.04</v>
      </c>
      <c r="CD23" s="505" t="n">
        <v>0</v>
      </c>
      <c r="CE23" s="505" t="n">
        <v>0.11</v>
      </c>
      <c r="CF23" s="505" t="n">
        <v>0.01</v>
      </c>
      <c r="CG23" s="505" t="n">
        <v>0.045</v>
      </c>
      <c r="CH23" s="505" t="n">
        <v>3.58887425786422</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2.96258744803812</v>
      </c>
      <c r="BW24" s="369" t="n">
        <v>3.002</v>
      </c>
      <c r="BX24" s="370" t="n">
        <v>0.813234449756201</v>
      </c>
      <c r="BY24" s="370" t="n">
        <v>0.813234449756201</v>
      </c>
      <c r="BZ24" s="370" t="n">
        <v>0.998036134918079</v>
      </c>
      <c r="CA24" s="370" t="n">
        <v>0.0192731753639035</v>
      </c>
      <c r="CB24" s="370" t="n">
        <v>0.99523258517239</v>
      </c>
      <c r="CC24" s="505" t="n">
        <v>0.02</v>
      </c>
      <c r="CD24" s="505" t="n">
        <v>0</v>
      </c>
      <c r="CE24" s="505" t="n">
        <v>0.09</v>
      </c>
      <c r="CF24" s="505" t="n">
        <v>0.01</v>
      </c>
      <c r="CG24" s="505" t="n">
        <v>0.045</v>
      </c>
      <c r="CH24" s="505" t="n">
        <v>3.96759422404825</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2.75575382743587</v>
      </c>
      <c r="BW25" s="369" t="n">
        <v>2.948</v>
      </c>
      <c r="BX25" s="370" t="n">
        <v>0.61</v>
      </c>
      <c r="BY25" s="370" t="n">
        <v>0.61</v>
      </c>
      <c r="BZ25" s="370" t="n">
        <v>0</v>
      </c>
      <c r="CA25" s="370" t="n">
        <v>0.0194226401196236</v>
      </c>
      <c r="CB25" s="370" t="n">
        <v>0</v>
      </c>
      <c r="CC25" s="505" t="n">
        <v>-0.13</v>
      </c>
      <c r="CD25" s="505" t="n">
        <v>0</v>
      </c>
      <c r="CE25" s="505" t="n">
        <v>0.07</v>
      </c>
      <c r="CF25" s="505" t="n">
        <v>0.03</v>
      </c>
      <c r="CG25" s="505" t="n">
        <v>0.045</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2.75575382743587</v>
      </c>
      <c r="BW26" s="369" t="n">
        <v>2.948</v>
      </c>
      <c r="BX26" s="370" t="n">
        <v>0.61</v>
      </c>
      <c r="BY26" s="370" t="n">
        <v>0.61</v>
      </c>
      <c r="BZ26" s="370" t="n">
        <v>0</v>
      </c>
      <c r="CA26" s="370" t="n">
        <v>0.0194226401196236</v>
      </c>
      <c r="CB26" s="370" t="n">
        <v>0</v>
      </c>
      <c r="CC26" s="505" t="n">
        <v>-0.13</v>
      </c>
      <c r="CD26" s="505" t="n">
        <v>0</v>
      </c>
      <c r="CE26" s="505" t="n">
        <v>0.07</v>
      </c>
      <c r="CF26" s="505" t="n">
        <v>0.03</v>
      </c>
      <c r="CG26" s="505" t="n">
        <v>0.045</v>
      </c>
      <c r="CH26" s="505" t="n">
        <v>0</v>
      </c>
      <c r="CI26" s="505" t="n">
        <v>2.848</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2.75575382743587</v>
      </c>
      <c r="BW27" s="369" t="n">
        <v>2.948</v>
      </c>
      <c r="BX27" s="370" t="n">
        <v>0.61</v>
      </c>
      <c r="BY27" s="370" t="n">
        <v>0.61</v>
      </c>
      <c r="BZ27" s="370" t="n">
        <v>0</v>
      </c>
      <c r="CA27" s="370" t="n">
        <v>0.0194226401196236</v>
      </c>
      <c r="CB27" s="370" t="n">
        <v>0</v>
      </c>
      <c r="CC27" s="505" t="n">
        <v>-0.13</v>
      </c>
      <c r="CD27" s="505" t="n">
        <v>0</v>
      </c>
      <c r="CE27" s="505" t="n">
        <v>0.07</v>
      </c>
      <c r="CF27" s="505" t="n">
        <v>0.03</v>
      </c>
      <c r="CG27" s="505" t="n">
        <v>0.045</v>
      </c>
      <c r="CH27" s="505" t="n">
        <v>0</v>
      </c>
      <c r="CI27" s="505" t="n">
        <v>2.848</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2.75575382743587</v>
      </c>
      <c r="BW28" s="369" t="n">
        <v>2.948</v>
      </c>
      <c r="BX28" s="370" t="n">
        <v>0.61</v>
      </c>
      <c r="BY28" s="370" t="n">
        <v>0.61</v>
      </c>
      <c r="BZ28" s="370" t="n">
        <v>0</v>
      </c>
      <c r="CA28" s="370" t="n">
        <v>0.0194226401196236</v>
      </c>
      <c r="CB28" s="370" t="n">
        <v>0</v>
      </c>
      <c r="CC28" s="505" t="n">
        <v>-0.13</v>
      </c>
      <c r="CD28" s="505" t="n">
        <v>0</v>
      </c>
      <c r="CE28" s="505" t="n">
        <v>0.07</v>
      </c>
      <c r="CF28" s="505" t="n">
        <v>0.03</v>
      </c>
      <c r="CG28" s="505" t="n">
        <v>0.045</v>
      </c>
      <c r="CH28" s="505" t="n">
        <v>0</v>
      </c>
      <c r="CI28" s="505" t="n">
        <v>2.848</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2.75575382743587</v>
      </c>
      <c r="BW29" s="369" t="n">
        <v>2.948</v>
      </c>
      <c r="BX29" s="370" t="n">
        <v>0.61</v>
      </c>
      <c r="BY29" s="370" t="n">
        <v>0.61</v>
      </c>
      <c r="BZ29" s="370" t="n">
        <v>0</v>
      </c>
      <c r="CA29" s="370" t="n">
        <v>0.0194226401196236</v>
      </c>
      <c r="CB29" s="370" t="n">
        <v>0</v>
      </c>
      <c r="CC29" s="505" t="n">
        <v>-0.13</v>
      </c>
      <c r="CD29" s="505" t="n">
        <v>0</v>
      </c>
      <c r="CE29" s="505" t="n">
        <v>0.07</v>
      </c>
      <c r="CF29" s="505" t="n">
        <v>0.03</v>
      </c>
      <c r="CG29" s="505" t="n">
        <v>0.045</v>
      </c>
      <c r="CH29" s="505" t="n">
        <v>0</v>
      </c>
      <c r="CI29" s="505" t="n">
        <v>2.848</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2.75575382743587</v>
      </c>
      <c r="BW30" s="369" t="n">
        <v>2.948</v>
      </c>
      <c r="BX30" s="370" t="n">
        <v>0.61</v>
      </c>
      <c r="BY30" s="370" t="n">
        <v>0.61</v>
      </c>
      <c r="BZ30" s="370" t="n">
        <v>0</v>
      </c>
      <c r="CA30" s="370" t="n">
        <v>0.0194226401196236</v>
      </c>
      <c r="CB30" s="370" t="n">
        <v>0</v>
      </c>
      <c r="CC30" s="505" t="n">
        <v>-0.13</v>
      </c>
      <c r="CD30" s="505" t="n">
        <v>0</v>
      </c>
      <c r="CE30" s="505" t="n">
        <v>0.07</v>
      </c>
      <c r="CF30" s="505" t="n">
        <v>0.03</v>
      </c>
      <c r="CG30" s="505" t="n">
        <v>0.045</v>
      </c>
      <c r="CH30" s="505" t="n">
        <v>0</v>
      </c>
      <c r="CI30" s="505" t="n">
        <v>2.848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2.75575382743587</v>
      </c>
      <c r="BW31" s="369" t="n">
        <v>2.948</v>
      </c>
      <c r="BX31" s="370" t="n">
        <v>0.61</v>
      </c>
      <c r="BY31" s="370" t="n">
        <v>0.61</v>
      </c>
      <c r="BZ31" s="370" t="n">
        <v>0</v>
      </c>
      <c r="CA31" s="370" t="n">
        <v>0.0194226401196236</v>
      </c>
      <c r="CB31" s="370" t="n">
        <v>0</v>
      </c>
      <c r="CC31" s="505" t="n">
        <v>-0.13</v>
      </c>
      <c r="CD31" s="505" t="n">
        <v>0</v>
      </c>
      <c r="CE31" s="505" t="n">
        <v>0.07</v>
      </c>
      <c r="CF31" s="505" t="n">
        <v>0.03</v>
      </c>
      <c r="CG31" s="505" t="n">
        <v>0.045</v>
      </c>
      <c r="CH31" s="505" t="n">
        <v>0</v>
      </c>
      <c r="CI31" s="505" t="n">
        <v>2.848</v>
      </c>
      <c r="CJ31" s="505"/>
      <c r="CK31" s="505"/>
      <c r="CL31" s="505"/>
      <c r="CM31" s="505"/>
    </row>
    <row r="32" customFormat="false" ht="12.75" hidden="false" customHeight="false" outlineLevel="0" collapsed="false">
      <c r="A32" s="500"/>
      <c r="B32" s="500"/>
      <c r="K32" s="363"/>
      <c r="L32" s="501"/>
      <c r="N32" s="502"/>
      <c r="O32" s="502"/>
      <c r="P32" s="371"/>
      <c r="Q32" s="501"/>
      <c r="R32" s="501"/>
      <c r="U32" s="501"/>
      <c r="V32" s="503"/>
      <c r="W32" s="503"/>
      <c r="X32" s="504"/>
      <c r="Y32" s="504"/>
      <c r="Z32" s="504"/>
      <c r="AA32" s="504"/>
      <c r="AB32" s="504"/>
      <c r="AC32" s="504"/>
      <c r="AF32" s="378"/>
      <c r="AG32" s="378"/>
      <c r="AH32" s="378"/>
      <c r="AI32" s="378"/>
      <c r="AJ32" s="378"/>
      <c r="AM32" s="505"/>
      <c r="AN32" s="505"/>
      <c r="AO32" s="505"/>
      <c r="AP32" s="505"/>
      <c r="AR32" s="370"/>
      <c r="AT32" s="370"/>
      <c r="AV32" s="506"/>
      <c r="AW32" s="370"/>
      <c r="AX32" s="370"/>
      <c r="AY32" s="370"/>
      <c r="AZ32" s="370"/>
      <c r="BA32" s="507"/>
      <c r="BB32" s="505"/>
      <c r="BC32" s="505"/>
      <c r="BD32" s="370"/>
      <c r="BE32" s="370"/>
      <c r="BF32" s="370"/>
      <c r="BG32" s="370"/>
      <c r="BH32" s="370"/>
      <c r="BI32" s="370"/>
      <c r="BJ32" s="370"/>
      <c r="BK32" s="370"/>
      <c r="BL32" s="370"/>
      <c r="BM32" s="370"/>
      <c r="BN32" s="370"/>
      <c r="BO32" s="370"/>
      <c r="BP32" s="370"/>
      <c r="BQ32" s="370"/>
      <c r="BR32" s="370"/>
      <c r="BS32" s="370"/>
      <c r="BV32" s="508"/>
      <c r="BW32" s="369"/>
      <c r="BX32" s="370"/>
      <c r="BY32" s="370"/>
      <c r="BZ32" s="370"/>
      <c r="CA32" s="370"/>
      <c r="CB32" s="370"/>
      <c r="CC32" s="505"/>
      <c r="CD32" s="505"/>
      <c r="CE32" s="505"/>
      <c r="CF32" s="505"/>
      <c r="CG32" s="505"/>
      <c r="CH32" s="505"/>
      <c r="CI32" s="505"/>
      <c r="CJ32" s="505"/>
      <c r="CK32" s="505"/>
      <c r="CL32" s="505"/>
      <c r="CM32" s="505"/>
    </row>
    <row r="33" customFormat="false" ht="12.75" hidden="false" customHeight="false" outlineLevel="0" collapsed="false">
      <c r="A33" s="500"/>
      <c r="B33" s="500"/>
      <c r="K33" s="363"/>
      <c r="L33" s="501"/>
      <c r="N33" s="502"/>
      <c r="O33" s="502"/>
      <c r="P33" s="371"/>
      <c r="Q33" s="501"/>
      <c r="R33" s="501"/>
      <c r="U33" s="501"/>
      <c r="V33" s="503"/>
      <c r="W33" s="503"/>
      <c r="X33" s="504"/>
      <c r="Y33" s="504"/>
      <c r="Z33" s="504"/>
      <c r="AA33" s="504"/>
      <c r="AB33" s="504"/>
      <c r="AC33" s="504"/>
      <c r="AF33" s="378"/>
      <c r="AG33" s="378"/>
      <c r="AH33" s="378"/>
      <c r="AI33" s="378"/>
      <c r="AJ33" s="378"/>
      <c r="AM33" s="505"/>
      <c r="AN33" s="505"/>
      <c r="AO33" s="505"/>
      <c r="AP33" s="505"/>
      <c r="AR33" s="370"/>
      <c r="AT33" s="370"/>
      <c r="AV33" s="506"/>
      <c r="AW33" s="370"/>
      <c r="AX33" s="370"/>
      <c r="AY33" s="370"/>
      <c r="AZ33" s="370"/>
      <c r="BA33" s="507"/>
      <c r="BB33" s="505"/>
      <c r="BC33" s="505"/>
      <c r="BD33" s="370"/>
      <c r="BE33" s="370"/>
      <c r="BF33" s="370"/>
      <c r="BG33" s="370"/>
      <c r="BH33" s="370"/>
      <c r="BI33" s="370"/>
      <c r="BJ33" s="370"/>
      <c r="BK33" s="370"/>
      <c r="BL33" s="370"/>
      <c r="BM33" s="370"/>
      <c r="BN33" s="370"/>
      <c r="BO33" s="370"/>
      <c r="BP33" s="370"/>
      <c r="BQ33" s="370"/>
      <c r="BR33" s="370"/>
      <c r="BS33" s="370"/>
      <c r="BV33" s="508"/>
      <c r="BW33" s="369"/>
      <c r="BX33" s="370"/>
      <c r="BY33" s="370"/>
      <c r="BZ33" s="370"/>
      <c r="CA33" s="370"/>
      <c r="CB33" s="370"/>
      <c r="CC33" s="505"/>
      <c r="CD33" s="505"/>
      <c r="CE33" s="505"/>
      <c r="CF33" s="505"/>
      <c r="CG33" s="505"/>
      <c r="CH33" s="505"/>
      <c r="CI33" s="505"/>
      <c r="CJ33" s="505"/>
      <c r="CK33" s="505"/>
      <c r="CL33" s="505"/>
      <c r="CM33" s="505"/>
    </row>
    <row r="34" customFormat="false" ht="12.75" hidden="false" customHeight="false" outlineLevel="0" collapsed="false">
      <c r="A34" s="500"/>
      <c r="B34" s="500"/>
      <c r="K34" s="363"/>
      <c r="L34" s="501"/>
      <c r="N34" s="502"/>
      <c r="O34" s="502"/>
      <c r="P34" s="371"/>
      <c r="Q34" s="501"/>
      <c r="R34" s="501"/>
      <c r="U34" s="501"/>
      <c r="V34" s="503"/>
      <c r="W34" s="503"/>
      <c r="X34" s="504"/>
      <c r="Y34" s="504"/>
      <c r="Z34" s="504"/>
      <c r="AA34" s="504"/>
      <c r="AB34" s="504"/>
      <c r="AC34" s="504"/>
      <c r="AF34" s="378"/>
      <c r="AG34" s="378"/>
      <c r="AH34" s="378"/>
      <c r="AI34" s="378"/>
      <c r="AJ34" s="378"/>
      <c r="AM34" s="505"/>
      <c r="AN34" s="505"/>
      <c r="AO34" s="505"/>
      <c r="AP34" s="505"/>
      <c r="AR34" s="370"/>
      <c r="AT34" s="370"/>
      <c r="AV34" s="506"/>
      <c r="AW34" s="370"/>
      <c r="AX34" s="370"/>
      <c r="AY34" s="370"/>
      <c r="AZ34" s="370"/>
      <c r="BA34" s="507"/>
      <c r="BB34" s="505"/>
      <c r="BC34" s="505"/>
      <c r="BD34" s="370"/>
      <c r="BE34" s="370"/>
      <c r="BF34" s="370"/>
      <c r="BG34" s="370"/>
      <c r="BH34" s="370"/>
      <c r="BI34" s="370"/>
      <c r="BJ34" s="370"/>
      <c r="BK34" s="370"/>
      <c r="BL34" s="370"/>
      <c r="BM34" s="370"/>
      <c r="BN34" s="370"/>
      <c r="BO34" s="370"/>
      <c r="BP34" s="370"/>
      <c r="BQ34" s="370"/>
      <c r="BR34" s="370"/>
      <c r="BS34" s="370"/>
      <c r="BV34" s="508"/>
      <c r="BW34" s="369"/>
      <c r="BX34" s="370"/>
      <c r="BY34" s="370"/>
      <c r="BZ34" s="370"/>
      <c r="CA34" s="370"/>
      <c r="CB34" s="370"/>
      <c r="CC34" s="505"/>
      <c r="CD34" s="505"/>
      <c r="CE34" s="505"/>
      <c r="CF34" s="505"/>
      <c r="CG34" s="505"/>
      <c r="CH34" s="505"/>
      <c r="CI34" s="505"/>
      <c r="CJ34" s="505"/>
      <c r="CK34" s="505"/>
      <c r="CL34" s="505"/>
      <c r="CM34" s="505"/>
    </row>
    <row r="35" customFormat="false" ht="12.75" hidden="false" customHeight="false" outlineLevel="0" collapsed="false">
      <c r="A35" s="500"/>
      <c r="B35" s="500"/>
      <c r="K35" s="363"/>
      <c r="L35" s="501"/>
      <c r="N35" s="502"/>
      <c r="O35" s="502"/>
      <c r="P35" s="371"/>
      <c r="Q35" s="501"/>
      <c r="R35" s="501"/>
      <c r="U35" s="501"/>
      <c r="V35" s="503"/>
      <c r="W35" s="503"/>
      <c r="X35" s="504"/>
      <c r="Y35" s="504"/>
      <c r="Z35" s="504"/>
      <c r="AA35" s="504"/>
      <c r="AB35" s="504"/>
      <c r="AC35" s="504"/>
      <c r="AF35" s="378"/>
      <c r="AG35" s="378"/>
      <c r="AH35" s="378"/>
      <c r="AI35" s="378"/>
      <c r="AJ35" s="378"/>
      <c r="AM35" s="505"/>
      <c r="AN35" s="505"/>
      <c r="AO35" s="505"/>
      <c r="AP35" s="505"/>
      <c r="AR35" s="370"/>
      <c r="AT35" s="370"/>
      <c r="AV35" s="506"/>
      <c r="AW35" s="370"/>
      <c r="AX35" s="370"/>
      <c r="AY35" s="370"/>
      <c r="AZ35" s="370"/>
      <c r="BA35" s="507"/>
      <c r="BB35" s="505"/>
      <c r="BC35" s="505"/>
      <c r="BD35" s="370"/>
      <c r="BE35" s="370"/>
      <c r="BF35" s="370"/>
      <c r="BG35" s="370"/>
      <c r="BH35" s="370"/>
      <c r="BI35" s="370"/>
      <c r="BJ35" s="370"/>
      <c r="BK35" s="370"/>
      <c r="BL35" s="370"/>
      <c r="BM35" s="370"/>
      <c r="BN35" s="370"/>
      <c r="BO35" s="370"/>
      <c r="BP35" s="370"/>
      <c r="BQ35" s="370"/>
      <c r="BR35" s="370"/>
      <c r="BS35" s="370"/>
      <c r="BV35" s="508"/>
      <c r="BW35" s="369"/>
      <c r="BX35" s="370"/>
      <c r="BY35" s="370"/>
      <c r="BZ35" s="370"/>
      <c r="CA35" s="370"/>
      <c r="CB35" s="370"/>
      <c r="CC35" s="505"/>
      <c r="CD35" s="505"/>
      <c r="CE35" s="505"/>
      <c r="CF35" s="505"/>
      <c r="CG35" s="505"/>
      <c r="CH35" s="505"/>
      <c r="CI35" s="505"/>
      <c r="CJ35" s="505"/>
      <c r="CK35" s="505"/>
      <c r="CL35" s="505"/>
      <c r="CM35" s="505"/>
    </row>
    <row r="36" customFormat="false" ht="12.75" hidden="false" customHeight="false" outlineLevel="0" collapsed="false">
      <c r="A36" s="500"/>
      <c r="B36" s="500"/>
      <c r="K36" s="363"/>
      <c r="L36" s="501"/>
      <c r="N36" s="502"/>
      <c r="O36" s="502"/>
      <c r="P36" s="371"/>
      <c r="Q36" s="501"/>
      <c r="R36" s="501"/>
      <c r="U36" s="501"/>
      <c r="V36" s="503"/>
      <c r="W36" s="503"/>
      <c r="X36" s="504"/>
      <c r="Y36" s="504"/>
      <c r="Z36" s="504"/>
      <c r="AA36" s="504"/>
      <c r="AB36" s="504"/>
      <c r="AC36" s="504"/>
      <c r="AF36" s="378"/>
      <c r="AG36" s="378"/>
      <c r="AH36" s="378"/>
      <c r="AI36" s="378"/>
      <c r="AJ36" s="378"/>
      <c r="AM36" s="505"/>
      <c r="AN36" s="505"/>
      <c r="AO36" s="505"/>
      <c r="AP36" s="505"/>
      <c r="AR36" s="370"/>
      <c r="AT36" s="370"/>
      <c r="AV36" s="506"/>
      <c r="AW36" s="370"/>
      <c r="AX36" s="370"/>
      <c r="AY36" s="370"/>
      <c r="AZ36" s="370"/>
      <c r="BA36" s="507"/>
      <c r="BB36" s="505"/>
      <c r="BC36" s="505"/>
      <c r="BD36" s="370"/>
      <c r="BE36" s="370"/>
      <c r="BF36" s="370"/>
      <c r="BG36" s="370"/>
      <c r="BH36" s="370"/>
      <c r="BI36" s="370"/>
      <c r="BJ36" s="370"/>
      <c r="BK36" s="370"/>
      <c r="BL36" s="370"/>
      <c r="BM36" s="370"/>
      <c r="BN36" s="370"/>
      <c r="BO36" s="370"/>
      <c r="BP36" s="370"/>
      <c r="BQ36" s="370"/>
      <c r="BR36" s="370"/>
      <c r="BS36" s="370"/>
      <c r="BV36" s="508"/>
      <c r="BW36" s="369"/>
      <c r="BX36" s="370"/>
      <c r="BY36" s="370"/>
      <c r="BZ36" s="370"/>
      <c r="CA36" s="370"/>
      <c r="CB36" s="370"/>
      <c r="CC36" s="505"/>
      <c r="CD36" s="505"/>
      <c r="CE36" s="505"/>
      <c r="CF36" s="505"/>
      <c r="CG36" s="505"/>
      <c r="CH36" s="505"/>
      <c r="CI36" s="505"/>
      <c r="CJ36" s="505"/>
      <c r="CK36" s="505"/>
      <c r="CL36" s="505"/>
      <c r="CM36" s="505"/>
    </row>
    <row r="37" customFormat="false" ht="12.75" hidden="false" customHeight="false" outlineLevel="0" collapsed="false">
      <c r="A37" s="500"/>
      <c r="B37" s="500"/>
      <c r="K37" s="363"/>
      <c r="L37" s="501"/>
      <c r="N37" s="502"/>
      <c r="O37" s="502"/>
      <c r="P37" s="371"/>
      <c r="Q37" s="501"/>
      <c r="R37" s="501"/>
      <c r="U37" s="501"/>
      <c r="V37" s="503"/>
      <c r="W37" s="503"/>
      <c r="X37" s="504"/>
      <c r="Y37" s="504"/>
      <c r="Z37" s="504"/>
      <c r="AA37" s="504"/>
      <c r="AB37" s="504"/>
      <c r="AC37" s="504"/>
      <c r="AF37" s="378"/>
      <c r="AG37" s="378"/>
      <c r="AH37" s="378"/>
      <c r="AI37" s="378"/>
      <c r="AJ37" s="378"/>
      <c r="AM37" s="505"/>
      <c r="AN37" s="505"/>
      <c r="AO37" s="505"/>
      <c r="AP37" s="505"/>
      <c r="AR37" s="370"/>
      <c r="AT37" s="370"/>
      <c r="AV37" s="506"/>
      <c r="AW37" s="370"/>
      <c r="AX37" s="370"/>
      <c r="AY37" s="370"/>
      <c r="AZ37" s="370"/>
      <c r="BA37" s="507"/>
      <c r="BB37" s="505"/>
      <c r="BC37" s="505"/>
      <c r="BD37" s="370"/>
      <c r="BE37" s="370"/>
      <c r="BF37" s="370"/>
      <c r="BG37" s="370"/>
      <c r="BH37" s="370"/>
      <c r="BI37" s="370"/>
      <c r="BJ37" s="370"/>
      <c r="BK37" s="370"/>
      <c r="BL37" s="370"/>
      <c r="BM37" s="370"/>
      <c r="BN37" s="370"/>
      <c r="BO37" s="370"/>
      <c r="BP37" s="370"/>
      <c r="BQ37" s="370"/>
      <c r="BR37" s="370"/>
      <c r="BS37" s="370"/>
      <c r="BV37" s="508"/>
      <c r="BW37" s="369"/>
      <c r="BX37" s="370"/>
      <c r="BY37" s="370"/>
      <c r="BZ37" s="370"/>
      <c r="CA37" s="370"/>
      <c r="CB37" s="370"/>
      <c r="CC37" s="505"/>
      <c r="CD37" s="505"/>
      <c r="CE37" s="505"/>
      <c r="CF37" s="505"/>
      <c r="CG37" s="505"/>
      <c r="CH37" s="505"/>
      <c r="CI37" s="505"/>
      <c r="CJ37" s="505"/>
      <c r="CK37" s="505"/>
      <c r="CL37" s="505"/>
      <c r="CM37" s="505"/>
    </row>
    <row r="38" customFormat="false" ht="12.75" hidden="false" customHeight="false" outlineLevel="0" collapsed="false">
      <c r="A38" s="500"/>
      <c r="B38" s="500"/>
      <c r="K38" s="363"/>
      <c r="L38" s="501"/>
      <c r="N38" s="502"/>
      <c r="O38" s="502"/>
      <c r="P38" s="371"/>
      <c r="Q38" s="501"/>
      <c r="R38" s="501"/>
      <c r="U38" s="501"/>
      <c r="V38" s="503"/>
      <c r="W38" s="503"/>
      <c r="X38" s="504"/>
      <c r="Y38" s="504"/>
      <c r="Z38" s="504"/>
      <c r="AA38" s="504"/>
      <c r="AB38" s="504"/>
      <c r="AC38" s="504"/>
      <c r="AF38" s="378"/>
      <c r="AG38" s="378"/>
      <c r="AH38" s="378"/>
      <c r="AI38" s="378"/>
      <c r="AJ38" s="378"/>
      <c r="AM38" s="505"/>
      <c r="AN38" s="505"/>
      <c r="AO38" s="505"/>
      <c r="AP38" s="505"/>
      <c r="AR38" s="370"/>
      <c r="AT38" s="370"/>
      <c r="AV38" s="506"/>
      <c r="AW38" s="370"/>
      <c r="AX38" s="370"/>
      <c r="AY38" s="370"/>
      <c r="AZ38" s="370"/>
      <c r="BA38" s="507"/>
      <c r="BB38" s="505"/>
      <c r="BC38" s="505"/>
      <c r="BD38" s="370"/>
      <c r="BE38" s="370"/>
      <c r="BF38" s="370"/>
      <c r="BG38" s="370"/>
      <c r="BH38" s="370"/>
      <c r="BI38" s="370"/>
      <c r="BJ38" s="370"/>
      <c r="BK38" s="370"/>
      <c r="BL38" s="370"/>
      <c r="BM38" s="370"/>
      <c r="BN38" s="370"/>
      <c r="BO38" s="370"/>
      <c r="BP38" s="370"/>
      <c r="BQ38" s="370"/>
      <c r="BR38" s="370"/>
      <c r="BS38" s="370"/>
      <c r="BV38" s="508"/>
      <c r="BW38" s="369"/>
      <c r="BX38" s="370"/>
      <c r="BY38" s="370"/>
      <c r="BZ38" s="370"/>
      <c r="CA38" s="370"/>
      <c r="CB38" s="370"/>
      <c r="CC38" s="505"/>
      <c r="CD38" s="505"/>
      <c r="CE38" s="505"/>
      <c r="CF38" s="505"/>
      <c r="CG38" s="505"/>
      <c r="CH38" s="505"/>
      <c r="CI38" s="505"/>
      <c r="CJ38" s="505"/>
      <c r="CK38" s="505"/>
      <c r="CL38" s="505"/>
      <c r="CM38" s="505"/>
    </row>
    <row r="39" customFormat="false" ht="12.75" hidden="false" customHeight="false" outlineLevel="0" collapsed="false">
      <c r="A39" s="500"/>
      <c r="B39" s="500"/>
      <c r="K39" s="363"/>
      <c r="L39" s="501"/>
      <c r="N39" s="502"/>
      <c r="O39" s="502"/>
      <c r="P39" s="371"/>
      <c r="Q39" s="501"/>
      <c r="R39" s="501"/>
      <c r="U39" s="501"/>
      <c r="V39" s="503"/>
      <c r="W39" s="503"/>
      <c r="X39" s="504"/>
      <c r="Y39" s="504"/>
      <c r="Z39" s="504"/>
      <c r="AA39" s="504"/>
      <c r="AB39" s="504"/>
      <c r="AC39" s="504"/>
      <c r="AF39" s="378"/>
      <c r="AG39" s="378"/>
      <c r="AH39" s="378"/>
      <c r="AI39" s="378"/>
      <c r="AJ39" s="378"/>
      <c r="AM39" s="505"/>
      <c r="AN39" s="505"/>
      <c r="AO39" s="505"/>
      <c r="AP39" s="505"/>
      <c r="AR39" s="370"/>
      <c r="AT39" s="370"/>
      <c r="AV39" s="506"/>
      <c r="AW39" s="370"/>
      <c r="AX39" s="370"/>
      <c r="AY39" s="370"/>
      <c r="AZ39" s="370"/>
      <c r="BA39" s="507"/>
      <c r="BB39" s="505"/>
      <c r="BC39" s="505"/>
      <c r="BD39" s="370"/>
      <c r="BE39" s="370"/>
      <c r="BF39" s="370"/>
      <c r="BG39" s="370"/>
      <c r="BH39" s="370"/>
      <c r="BI39" s="370"/>
      <c r="BJ39" s="370"/>
      <c r="BK39" s="370"/>
      <c r="BL39" s="370"/>
      <c r="BM39" s="370"/>
      <c r="BN39" s="370"/>
      <c r="BO39" s="370"/>
      <c r="BP39" s="370"/>
      <c r="BQ39" s="370"/>
      <c r="BR39" s="370"/>
      <c r="BS39" s="370"/>
      <c r="BV39" s="508"/>
      <c r="BW39" s="369"/>
      <c r="BX39" s="370"/>
      <c r="BY39" s="370"/>
      <c r="BZ39" s="370"/>
      <c r="CA39" s="370"/>
      <c r="CB39" s="370"/>
      <c r="CC39" s="505"/>
      <c r="CD39" s="505"/>
      <c r="CE39" s="505"/>
      <c r="CF39" s="505"/>
      <c r="CG39" s="505"/>
      <c r="CH39" s="505"/>
      <c r="CI39" s="505"/>
      <c r="CJ39" s="505"/>
      <c r="CK39" s="505"/>
      <c r="CL39" s="505"/>
      <c r="CM39" s="505"/>
    </row>
    <row r="40" customFormat="false" ht="12.75" hidden="false" customHeight="false" outlineLevel="0" collapsed="false">
      <c r="A40" s="500"/>
      <c r="B40" s="500"/>
      <c r="K40" s="363"/>
      <c r="L40" s="501"/>
      <c r="N40" s="502"/>
      <c r="O40" s="502"/>
      <c r="P40" s="371"/>
      <c r="Q40" s="501"/>
      <c r="R40" s="501"/>
      <c r="U40" s="501"/>
      <c r="V40" s="503"/>
      <c r="W40" s="503"/>
      <c r="X40" s="504"/>
      <c r="Y40" s="504"/>
      <c r="Z40" s="504"/>
      <c r="AA40" s="504"/>
      <c r="AB40" s="504"/>
      <c r="AC40" s="504"/>
      <c r="AF40" s="378"/>
      <c r="AG40" s="378"/>
      <c r="AH40" s="378"/>
      <c r="AI40" s="378"/>
      <c r="AJ40" s="378"/>
      <c r="AM40" s="505"/>
      <c r="AN40" s="505"/>
      <c r="AO40" s="505"/>
      <c r="AP40" s="505"/>
      <c r="AR40" s="370"/>
      <c r="AT40" s="370"/>
      <c r="AV40" s="506"/>
      <c r="AW40" s="370"/>
      <c r="AX40" s="370"/>
      <c r="AY40" s="370"/>
      <c r="AZ40" s="370"/>
      <c r="BA40" s="507"/>
      <c r="BB40" s="505"/>
      <c r="BC40" s="505"/>
      <c r="BD40" s="370"/>
      <c r="BE40" s="370"/>
      <c r="BF40" s="370"/>
      <c r="BG40" s="370"/>
      <c r="BH40" s="370"/>
      <c r="BI40" s="370"/>
      <c r="BJ40" s="370"/>
      <c r="BK40" s="370"/>
      <c r="BL40" s="370"/>
      <c r="BM40" s="370"/>
      <c r="BN40" s="370"/>
      <c r="BO40" s="370"/>
      <c r="BP40" s="370"/>
      <c r="BQ40" s="370"/>
      <c r="BR40" s="370"/>
      <c r="BS40" s="370"/>
      <c r="BV40" s="508"/>
      <c r="BW40" s="369"/>
      <c r="BX40" s="370"/>
      <c r="BY40" s="370"/>
      <c r="BZ40" s="370"/>
      <c r="CA40" s="370"/>
      <c r="CB40" s="370"/>
      <c r="CC40" s="505"/>
      <c r="CD40" s="505"/>
      <c r="CE40" s="505"/>
      <c r="CF40" s="505"/>
      <c r="CG40" s="505"/>
      <c r="CH40" s="505"/>
      <c r="CI40" s="505"/>
      <c r="CJ40" s="505"/>
      <c r="CK40" s="505"/>
      <c r="CL40" s="505"/>
      <c r="CM40" s="505"/>
    </row>
    <row r="41" customFormat="false" ht="12.75" hidden="false" customHeight="false" outlineLevel="0" collapsed="false">
      <c r="A41" s="500"/>
      <c r="B41" s="500"/>
      <c r="K41" s="363"/>
      <c r="L41" s="501"/>
      <c r="N41" s="502"/>
      <c r="O41" s="502"/>
      <c r="P41" s="371"/>
      <c r="Q41" s="501"/>
      <c r="R41" s="501"/>
      <c r="U41" s="501"/>
      <c r="V41" s="503"/>
      <c r="W41" s="503"/>
      <c r="X41" s="504"/>
      <c r="Y41" s="504"/>
      <c r="Z41" s="504"/>
      <c r="AA41" s="504"/>
      <c r="AB41" s="504"/>
      <c r="AC41" s="504"/>
      <c r="AF41" s="378"/>
      <c r="AG41" s="378"/>
      <c r="AH41" s="378"/>
      <c r="AI41" s="378"/>
      <c r="AJ41" s="378"/>
      <c r="AM41" s="505"/>
      <c r="AN41" s="505"/>
      <c r="AO41" s="505"/>
      <c r="AP41" s="505"/>
      <c r="AR41" s="370"/>
      <c r="AT41" s="370"/>
      <c r="AV41" s="506"/>
      <c r="AW41" s="370"/>
      <c r="AX41" s="370"/>
      <c r="AY41" s="370"/>
      <c r="AZ41" s="370"/>
      <c r="BA41" s="507"/>
      <c r="BB41" s="505"/>
      <c r="BC41" s="505"/>
      <c r="BD41" s="370"/>
      <c r="BE41" s="370"/>
      <c r="BF41" s="370"/>
      <c r="BG41" s="370"/>
      <c r="BH41" s="370"/>
      <c r="BI41" s="370"/>
      <c r="BJ41" s="370"/>
      <c r="BK41" s="370"/>
      <c r="BL41" s="370"/>
      <c r="BM41" s="370"/>
      <c r="BN41" s="370"/>
      <c r="BO41" s="370"/>
      <c r="BP41" s="370"/>
      <c r="BQ41" s="370"/>
      <c r="BR41" s="370"/>
      <c r="BS41" s="370"/>
      <c r="BV41" s="508"/>
      <c r="BW41" s="369"/>
      <c r="BX41" s="370"/>
      <c r="BY41" s="370"/>
      <c r="BZ41" s="370"/>
      <c r="CA41" s="370"/>
      <c r="CB41" s="370"/>
      <c r="CC41" s="505"/>
      <c r="CD41" s="505"/>
      <c r="CE41" s="505"/>
      <c r="CF41" s="505"/>
      <c r="CG41" s="505"/>
      <c r="CH41" s="505"/>
      <c r="CI41" s="505"/>
      <c r="CJ41" s="505"/>
      <c r="CK41" s="505"/>
      <c r="CL41" s="505"/>
      <c r="CM41" s="505"/>
    </row>
    <row r="42" customFormat="false" ht="12.75" hidden="false" customHeight="false" outlineLevel="0" collapsed="false">
      <c r="A42" s="500"/>
      <c r="B42" s="500"/>
      <c r="K42" s="363"/>
      <c r="L42" s="501"/>
      <c r="N42" s="502"/>
      <c r="O42" s="502"/>
      <c r="P42" s="371"/>
      <c r="Q42" s="501"/>
      <c r="R42" s="501"/>
      <c r="U42" s="501"/>
      <c r="V42" s="503"/>
      <c r="W42" s="503"/>
      <c r="X42" s="504"/>
      <c r="Y42" s="504"/>
      <c r="Z42" s="504"/>
      <c r="AA42" s="504"/>
      <c r="AB42" s="504"/>
      <c r="AC42" s="504"/>
      <c r="AF42" s="378"/>
      <c r="AG42" s="378"/>
      <c r="AH42" s="378"/>
      <c r="AI42" s="378"/>
      <c r="AJ42" s="378"/>
      <c r="AM42" s="505"/>
      <c r="AN42" s="505"/>
      <c r="AO42" s="505"/>
      <c r="AP42" s="505"/>
      <c r="AR42" s="370"/>
      <c r="AT42" s="370"/>
      <c r="AV42" s="506"/>
      <c r="AW42" s="370"/>
      <c r="AX42" s="370"/>
      <c r="AY42" s="370"/>
      <c r="AZ42" s="370"/>
      <c r="BA42" s="507"/>
      <c r="BB42" s="505"/>
      <c r="BC42" s="505"/>
      <c r="BD42" s="370"/>
      <c r="BE42" s="370"/>
      <c r="BF42" s="370"/>
      <c r="BG42" s="370"/>
      <c r="BH42" s="370"/>
      <c r="BI42" s="370"/>
      <c r="BJ42" s="370"/>
      <c r="BK42" s="370"/>
      <c r="BL42" s="370"/>
      <c r="BM42" s="370"/>
      <c r="BN42" s="370"/>
      <c r="BO42" s="370"/>
      <c r="BP42" s="370"/>
      <c r="BQ42" s="370"/>
      <c r="BR42" s="370"/>
      <c r="BS42" s="370"/>
      <c r="BV42" s="508"/>
      <c r="BW42" s="369"/>
      <c r="BX42" s="370"/>
      <c r="BY42" s="370"/>
      <c r="BZ42" s="370"/>
      <c r="CA42" s="370"/>
      <c r="CB42" s="370"/>
      <c r="CC42" s="505"/>
      <c r="CD42" s="505"/>
      <c r="CE42" s="505"/>
      <c r="CF42" s="505"/>
      <c r="CG42" s="505"/>
      <c r="CH42" s="505"/>
      <c r="CI42" s="505"/>
      <c r="CJ42" s="505"/>
      <c r="CK42" s="505"/>
      <c r="CL42" s="505"/>
      <c r="CM42" s="505"/>
    </row>
    <row r="43" customFormat="false" ht="12.75" hidden="false" customHeight="false" outlineLevel="0" collapsed="false">
      <c r="A43" s="500"/>
      <c r="B43" s="500"/>
      <c r="K43" s="363"/>
      <c r="L43" s="501"/>
      <c r="N43" s="502"/>
      <c r="O43" s="502"/>
      <c r="P43" s="371"/>
      <c r="Q43" s="501"/>
      <c r="R43" s="501"/>
      <c r="U43" s="501"/>
      <c r="V43" s="503"/>
      <c r="W43" s="503"/>
      <c r="X43" s="504"/>
      <c r="Y43" s="504"/>
      <c r="Z43" s="504"/>
      <c r="AA43" s="504"/>
      <c r="AB43" s="504"/>
      <c r="AC43" s="504"/>
      <c r="AF43" s="378"/>
      <c r="AG43" s="378"/>
      <c r="AH43" s="378"/>
      <c r="AI43" s="378"/>
      <c r="AJ43" s="378"/>
      <c r="AM43" s="505"/>
      <c r="AN43" s="505"/>
      <c r="AO43" s="505"/>
      <c r="AP43" s="505"/>
      <c r="AR43" s="370"/>
      <c r="AT43" s="370"/>
      <c r="AV43" s="506"/>
      <c r="AW43" s="370"/>
      <c r="AX43" s="370"/>
      <c r="AY43" s="370"/>
      <c r="AZ43" s="370"/>
      <c r="BA43" s="507"/>
      <c r="BB43" s="505"/>
      <c r="BC43" s="505"/>
      <c r="BD43" s="370"/>
      <c r="BE43" s="370"/>
      <c r="BF43" s="370"/>
      <c r="BG43" s="370"/>
      <c r="BH43" s="370"/>
      <c r="BI43" s="370"/>
      <c r="BJ43" s="370"/>
      <c r="BK43" s="370"/>
      <c r="BL43" s="370"/>
      <c r="BM43" s="370"/>
      <c r="BN43" s="370"/>
      <c r="BO43" s="370"/>
      <c r="BP43" s="370"/>
      <c r="BQ43" s="370"/>
      <c r="BR43" s="370"/>
      <c r="BS43" s="370"/>
      <c r="BV43" s="508"/>
      <c r="BW43" s="369"/>
      <c r="BX43" s="370"/>
      <c r="BY43" s="370"/>
      <c r="BZ43" s="370"/>
      <c r="CA43" s="370"/>
      <c r="CB43" s="370"/>
      <c r="CC43" s="505"/>
      <c r="CD43" s="505"/>
      <c r="CE43" s="505"/>
      <c r="CF43" s="505"/>
      <c r="CG43" s="505"/>
      <c r="CH43" s="505"/>
      <c r="CI43" s="505"/>
      <c r="CJ43" s="505"/>
      <c r="CK43" s="505"/>
      <c r="CL43" s="505"/>
      <c r="CM43" s="505"/>
    </row>
    <row r="44" customFormat="false" ht="12.75" hidden="false" customHeight="false" outlineLevel="0" collapsed="false">
      <c r="A44" s="500"/>
      <c r="B44" s="500"/>
      <c r="K44" s="363"/>
      <c r="L44" s="501"/>
      <c r="N44" s="502"/>
      <c r="O44" s="502"/>
      <c r="P44" s="371"/>
      <c r="Q44" s="501"/>
      <c r="R44" s="501"/>
      <c r="U44" s="501"/>
      <c r="V44" s="503"/>
      <c r="W44" s="503"/>
      <c r="X44" s="504"/>
      <c r="Y44" s="504"/>
      <c r="Z44" s="504"/>
      <c r="AA44" s="504"/>
      <c r="AB44" s="504"/>
      <c r="AC44" s="504"/>
      <c r="AF44" s="378"/>
      <c r="AG44" s="378"/>
      <c r="AH44" s="378"/>
      <c r="AI44" s="378"/>
      <c r="AJ44" s="378"/>
      <c r="AM44" s="505"/>
      <c r="AN44" s="505"/>
      <c r="AO44" s="505"/>
      <c r="AP44" s="505"/>
      <c r="AR44" s="370"/>
      <c r="AT44" s="370"/>
      <c r="AV44" s="506"/>
      <c r="AW44" s="370"/>
      <c r="AX44" s="370"/>
      <c r="AY44" s="370"/>
      <c r="AZ44" s="370"/>
      <c r="BA44" s="507"/>
      <c r="BB44" s="505"/>
      <c r="BC44" s="505"/>
      <c r="BD44" s="370"/>
      <c r="BE44" s="370"/>
      <c r="BF44" s="370"/>
      <c r="BG44" s="370"/>
      <c r="BH44" s="370"/>
      <c r="BI44" s="370"/>
      <c r="BJ44" s="370"/>
      <c r="BK44" s="370"/>
      <c r="BL44" s="370"/>
      <c r="BM44" s="370"/>
      <c r="BN44" s="370"/>
      <c r="BO44" s="370"/>
      <c r="BP44" s="370"/>
      <c r="BQ44" s="370"/>
      <c r="BR44" s="370"/>
      <c r="BS44" s="370"/>
      <c r="BV44" s="508"/>
      <c r="BW44" s="369"/>
      <c r="BX44" s="370"/>
      <c r="BY44" s="370"/>
      <c r="BZ44" s="370"/>
      <c r="CA44" s="370"/>
      <c r="CB44" s="370"/>
      <c r="CC44" s="505"/>
      <c r="CD44" s="505"/>
      <c r="CE44" s="505"/>
      <c r="CF44" s="505"/>
      <c r="CG44" s="505"/>
      <c r="CH44" s="505"/>
      <c r="CI44" s="505"/>
      <c r="CJ44" s="505"/>
      <c r="CK44" s="505"/>
      <c r="CL44" s="505"/>
      <c r="CM44" s="505"/>
    </row>
    <row r="45" customFormat="false" ht="12.75" hidden="false" customHeight="false" outlineLevel="0" collapsed="false">
      <c r="A45" s="500"/>
      <c r="B45" s="500"/>
      <c r="K45" s="363"/>
      <c r="L45" s="501"/>
      <c r="N45" s="502"/>
      <c r="O45" s="502"/>
      <c r="P45" s="371"/>
      <c r="Q45" s="501"/>
      <c r="R45" s="501"/>
      <c r="U45" s="501"/>
      <c r="V45" s="503"/>
      <c r="W45" s="503"/>
      <c r="X45" s="504"/>
      <c r="Y45" s="504"/>
      <c r="Z45" s="504"/>
      <c r="AA45" s="504"/>
      <c r="AB45" s="504"/>
      <c r="AC45" s="504"/>
      <c r="AF45" s="378"/>
      <c r="AG45" s="378"/>
      <c r="AH45" s="378"/>
      <c r="AI45" s="378"/>
      <c r="AJ45" s="378"/>
      <c r="AM45" s="505"/>
      <c r="AN45" s="505"/>
      <c r="AO45" s="505"/>
      <c r="AP45" s="505"/>
      <c r="AR45" s="370"/>
      <c r="AT45" s="370"/>
      <c r="AV45" s="506"/>
      <c r="AW45" s="370"/>
      <c r="AX45" s="370"/>
      <c r="AY45" s="370"/>
      <c r="AZ45" s="370"/>
      <c r="BA45" s="507"/>
      <c r="BB45" s="505"/>
      <c r="BC45" s="505"/>
      <c r="BD45" s="370"/>
      <c r="BE45" s="370"/>
      <c r="BF45" s="370"/>
      <c r="BG45" s="370"/>
      <c r="BH45" s="370"/>
      <c r="BI45" s="370"/>
      <c r="BJ45" s="370"/>
      <c r="BK45" s="370"/>
      <c r="BL45" s="370"/>
      <c r="BM45" s="370"/>
      <c r="BN45" s="370"/>
      <c r="BO45" s="370"/>
      <c r="BP45" s="370"/>
      <c r="BQ45" s="370"/>
      <c r="BR45" s="370"/>
      <c r="BS45" s="370"/>
      <c r="BV45" s="508"/>
      <c r="BW45" s="369"/>
      <c r="BX45" s="370"/>
      <c r="BY45" s="370"/>
      <c r="BZ45" s="370"/>
      <c r="CA45" s="370"/>
      <c r="CB45" s="370"/>
      <c r="CC45" s="505"/>
      <c r="CD45" s="505"/>
      <c r="CE45" s="505"/>
      <c r="CF45" s="505"/>
      <c r="CG45" s="505"/>
      <c r="CH45" s="505"/>
      <c r="CI45" s="505"/>
      <c r="CJ45" s="505"/>
      <c r="CK45" s="505"/>
      <c r="CL45" s="505"/>
      <c r="CM45" s="505"/>
    </row>
    <row r="46" customFormat="false" ht="12.75" hidden="false" customHeight="false" outlineLevel="0" collapsed="false">
      <c r="A46" s="500"/>
      <c r="B46" s="500"/>
      <c r="K46" s="363"/>
      <c r="L46" s="501"/>
      <c r="N46" s="502"/>
      <c r="O46" s="502"/>
      <c r="P46" s="371"/>
      <c r="Q46" s="501"/>
      <c r="R46" s="501"/>
      <c r="U46" s="501"/>
      <c r="V46" s="503"/>
      <c r="W46" s="503"/>
      <c r="X46" s="504"/>
      <c r="Y46" s="504"/>
      <c r="Z46" s="504"/>
      <c r="AA46" s="504"/>
      <c r="AB46" s="504"/>
      <c r="AC46" s="504"/>
      <c r="AF46" s="378"/>
      <c r="AG46" s="378"/>
      <c r="AH46" s="378"/>
      <c r="AI46" s="378"/>
      <c r="AJ46" s="378"/>
      <c r="AM46" s="505"/>
      <c r="AN46" s="505"/>
      <c r="AO46" s="505"/>
      <c r="AP46" s="505"/>
      <c r="AR46" s="370"/>
      <c r="AT46" s="370"/>
      <c r="AV46" s="506"/>
      <c r="AW46" s="370"/>
      <c r="AX46" s="370"/>
      <c r="AY46" s="370"/>
      <c r="AZ46" s="370"/>
      <c r="BA46" s="507"/>
      <c r="BB46" s="505"/>
      <c r="BC46" s="505"/>
      <c r="BD46" s="370"/>
      <c r="BE46" s="370"/>
      <c r="BF46" s="370"/>
      <c r="BG46" s="370"/>
      <c r="BH46" s="370"/>
      <c r="BI46" s="370"/>
      <c r="BJ46" s="370"/>
      <c r="BK46" s="370"/>
      <c r="BL46" s="370"/>
      <c r="BM46" s="370"/>
      <c r="BN46" s="370"/>
      <c r="BO46" s="370"/>
      <c r="BP46" s="370"/>
      <c r="BQ46" s="370"/>
      <c r="BR46" s="370"/>
      <c r="BS46" s="370"/>
      <c r="BV46" s="508"/>
      <c r="BW46" s="369"/>
      <c r="BX46" s="370"/>
      <c r="BY46" s="370"/>
      <c r="BZ46" s="370"/>
      <c r="CA46" s="370"/>
      <c r="CB46" s="370"/>
      <c r="CC46" s="505"/>
      <c r="CD46" s="505"/>
      <c r="CE46" s="505"/>
      <c r="CF46" s="505"/>
      <c r="CG46" s="505"/>
      <c r="CH46" s="505"/>
      <c r="CI46" s="505"/>
      <c r="CJ46" s="505"/>
      <c r="CK46" s="505"/>
      <c r="CL46" s="505"/>
      <c r="CM46" s="505"/>
    </row>
    <row r="47" customFormat="false" ht="12.75" hidden="false" customHeight="false" outlineLevel="0" collapsed="false">
      <c r="A47" s="500"/>
      <c r="B47" s="500"/>
      <c r="K47" s="363"/>
      <c r="L47" s="501"/>
      <c r="N47" s="502"/>
      <c r="O47" s="502"/>
      <c r="P47" s="371"/>
      <c r="Q47" s="501"/>
      <c r="R47" s="501"/>
      <c r="U47" s="501"/>
      <c r="V47" s="503"/>
      <c r="W47" s="503"/>
      <c r="X47" s="504"/>
      <c r="Y47" s="504"/>
      <c r="Z47" s="504"/>
      <c r="AA47" s="504"/>
      <c r="AB47" s="504"/>
      <c r="AC47" s="504"/>
      <c r="AF47" s="378"/>
      <c r="AG47" s="378"/>
      <c r="AH47" s="378"/>
      <c r="AI47" s="378"/>
      <c r="AJ47" s="378"/>
      <c r="AM47" s="505"/>
      <c r="AN47" s="505"/>
      <c r="AO47" s="505"/>
      <c r="AP47" s="505"/>
      <c r="AR47" s="370"/>
      <c r="AT47" s="370"/>
      <c r="AV47" s="506"/>
      <c r="AW47" s="370"/>
      <c r="AX47" s="370"/>
      <c r="AY47" s="370"/>
      <c r="AZ47" s="370"/>
      <c r="BA47" s="507"/>
      <c r="BB47" s="505"/>
      <c r="BC47" s="505"/>
      <c r="BD47" s="370"/>
      <c r="BE47" s="370"/>
      <c r="BF47" s="370"/>
      <c r="BG47" s="370"/>
      <c r="BH47" s="370"/>
      <c r="BI47" s="370"/>
      <c r="BJ47" s="370"/>
      <c r="BK47" s="370"/>
      <c r="BL47" s="370"/>
      <c r="BM47" s="370"/>
      <c r="BN47" s="370"/>
      <c r="BO47" s="370"/>
      <c r="BP47" s="370"/>
      <c r="BQ47" s="370"/>
      <c r="BR47" s="370"/>
      <c r="BS47" s="370"/>
      <c r="BV47" s="508"/>
      <c r="BW47" s="369"/>
      <c r="BX47" s="370"/>
      <c r="BY47" s="370"/>
      <c r="BZ47" s="370"/>
      <c r="CA47" s="370"/>
      <c r="CB47" s="370"/>
      <c r="CC47" s="505"/>
      <c r="CD47" s="505"/>
      <c r="CE47" s="505"/>
      <c r="CF47" s="505"/>
      <c r="CG47" s="505"/>
      <c r="CH47" s="505"/>
      <c r="CI47" s="505"/>
      <c r="CJ47" s="505"/>
      <c r="CK47" s="505"/>
      <c r="CL47" s="505"/>
      <c r="CM47" s="505"/>
    </row>
    <row r="48" customFormat="false" ht="12.75" hidden="false" customHeight="false" outlineLevel="0" collapsed="false">
      <c r="A48" s="500"/>
      <c r="B48" s="500"/>
      <c r="K48" s="363"/>
      <c r="L48" s="501"/>
      <c r="N48" s="502"/>
      <c r="O48" s="502"/>
      <c r="P48" s="371"/>
      <c r="Q48" s="501"/>
      <c r="R48" s="501"/>
      <c r="U48" s="501"/>
      <c r="V48" s="503"/>
      <c r="W48" s="503"/>
      <c r="X48" s="504"/>
      <c r="Y48" s="504"/>
      <c r="Z48" s="504"/>
      <c r="AA48" s="504"/>
      <c r="AB48" s="504"/>
      <c r="AC48" s="504"/>
      <c r="AF48" s="378"/>
      <c r="AG48" s="378"/>
      <c r="AH48" s="378"/>
      <c r="AI48" s="378"/>
      <c r="AJ48" s="378"/>
      <c r="AM48" s="505"/>
      <c r="AN48" s="505"/>
      <c r="AO48" s="505"/>
      <c r="AP48" s="505"/>
      <c r="AR48" s="370"/>
      <c r="AT48" s="370"/>
      <c r="AV48" s="506"/>
      <c r="AW48" s="370"/>
      <c r="AX48" s="370"/>
      <c r="AY48" s="370"/>
      <c r="AZ48" s="370"/>
      <c r="BA48" s="507"/>
      <c r="BB48" s="505"/>
      <c r="BC48" s="505"/>
      <c r="BD48" s="370"/>
      <c r="BE48" s="370"/>
      <c r="BF48" s="370"/>
      <c r="BG48" s="370"/>
      <c r="BH48" s="370"/>
      <c r="BI48" s="370"/>
      <c r="BJ48" s="370"/>
      <c r="BK48" s="370"/>
      <c r="BL48" s="370"/>
      <c r="BM48" s="370"/>
      <c r="BN48" s="370"/>
      <c r="BO48" s="370"/>
      <c r="BP48" s="370"/>
      <c r="BQ48" s="370"/>
      <c r="BR48" s="370"/>
      <c r="BS48" s="370"/>
      <c r="BV48" s="508"/>
      <c r="BW48" s="369"/>
      <c r="BX48" s="370"/>
      <c r="BY48" s="370"/>
      <c r="BZ48" s="370"/>
      <c r="CA48" s="370"/>
      <c r="CB48" s="370"/>
      <c r="CC48" s="505"/>
      <c r="CD48" s="505"/>
      <c r="CE48" s="505"/>
      <c r="CF48" s="505"/>
      <c r="CG48" s="505"/>
      <c r="CH48" s="505"/>
      <c r="CI48" s="505"/>
      <c r="CJ48" s="505"/>
      <c r="CK48" s="505"/>
      <c r="CL48" s="505"/>
      <c r="CM48" s="505"/>
    </row>
    <row r="49" customFormat="false" ht="12.75" hidden="false" customHeight="false" outlineLevel="0" collapsed="false">
      <c r="A49" s="500"/>
      <c r="B49" s="500"/>
      <c r="K49" s="363"/>
      <c r="L49" s="501"/>
      <c r="N49" s="502"/>
      <c r="O49" s="502"/>
      <c r="P49" s="371"/>
      <c r="Q49" s="501"/>
      <c r="R49" s="501"/>
      <c r="U49" s="501"/>
      <c r="V49" s="503"/>
      <c r="W49" s="503"/>
      <c r="X49" s="504"/>
      <c r="Y49" s="504"/>
      <c r="Z49" s="504"/>
      <c r="AA49" s="504"/>
      <c r="AB49" s="504"/>
      <c r="AC49" s="504"/>
      <c r="AF49" s="378"/>
      <c r="AG49" s="378"/>
      <c r="AH49" s="378"/>
      <c r="AI49" s="378"/>
      <c r="AJ49" s="378"/>
      <c r="AM49" s="505"/>
      <c r="AN49" s="505"/>
      <c r="AO49" s="505"/>
      <c r="AP49" s="505"/>
      <c r="AR49" s="370"/>
      <c r="AT49" s="370"/>
      <c r="AV49" s="506"/>
      <c r="AW49" s="370"/>
      <c r="AX49" s="370"/>
      <c r="AY49" s="370"/>
      <c r="AZ49" s="370"/>
      <c r="BA49" s="507"/>
      <c r="BB49" s="505"/>
      <c r="BC49" s="505"/>
      <c r="BD49" s="370"/>
      <c r="BE49" s="370"/>
      <c r="BF49" s="370"/>
      <c r="BG49" s="370"/>
      <c r="BH49" s="370"/>
      <c r="BI49" s="370"/>
      <c r="BJ49" s="370"/>
      <c r="BK49" s="370"/>
      <c r="BL49" s="370"/>
      <c r="BM49" s="370"/>
      <c r="BN49" s="370"/>
      <c r="BO49" s="370"/>
      <c r="BP49" s="370"/>
      <c r="BQ49" s="370"/>
      <c r="BR49" s="370"/>
      <c r="BS49" s="370"/>
      <c r="BV49" s="508"/>
      <c r="BW49" s="369"/>
      <c r="BX49" s="370"/>
      <c r="BY49" s="370"/>
      <c r="BZ49" s="370"/>
      <c r="CA49" s="370"/>
      <c r="CB49" s="370"/>
      <c r="CC49" s="505"/>
      <c r="CD49" s="505"/>
      <c r="CE49" s="505"/>
      <c r="CF49" s="505"/>
      <c r="CG49" s="505"/>
      <c r="CH49" s="505"/>
      <c r="CI49" s="505"/>
      <c r="CJ49" s="505"/>
      <c r="CK49" s="505"/>
      <c r="CL49" s="505"/>
      <c r="CM49" s="505"/>
    </row>
    <row r="50" customFormat="false" ht="12.75" hidden="false" customHeight="false" outlineLevel="0" collapsed="false">
      <c r="A50" s="500"/>
      <c r="B50" s="500"/>
      <c r="K50" s="363"/>
      <c r="L50" s="501"/>
      <c r="N50" s="502"/>
      <c r="O50" s="502"/>
      <c r="P50" s="371"/>
      <c r="Q50" s="501"/>
      <c r="R50" s="501"/>
      <c r="U50" s="501"/>
      <c r="V50" s="503"/>
      <c r="W50" s="503"/>
      <c r="X50" s="504"/>
      <c r="Y50" s="504"/>
      <c r="Z50" s="504"/>
      <c r="AA50" s="504"/>
      <c r="AB50" s="504"/>
      <c r="AC50" s="504"/>
      <c r="AF50" s="378"/>
      <c r="AG50" s="378"/>
      <c r="AH50" s="378"/>
      <c r="AI50" s="378"/>
      <c r="AJ50" s="378"/>
      <c r="AM50" s="505"/>
      <c r="AN50" s="505"/>
      <c r="AO50" s="505"/>
      <c r="AP50" s="505"/>
      <c r="AR50" s="370"/>
      <c r="AT50" s="370"/>
      <c r="AV50" s="506"/>
      <c r="AW50" s="370"/>
      <c r="AX50" s="370"/>
      <c r="AY50" s="370"/>
      <c r="AZ50" s="370"/>
      <c r="BA50" s="507"/>
      <c r="BB50" s="505"/>
      <c r="BC50" s="505"/>
      <c r="BD50" s="370"/>
      <c r="BE50" s="370"/>
      <c r="BF50" s="370"/>
      <c r="BG50" s="370"/>
      <c r="BH50" s="370"/>
      <c r="BI50" s="370"/>
      <c r="BJ50" s="370"/>
      <c r="BK50" s="370"/>
      <c r="BL50" s="370"/>
      <c r="BM50" s="370"/>
      <c r="BN50" s="370"/>
      <c r="BO50" s="370"/>
      <c r="BP50" s="370"/>
      <c r="BQ50" s="370"/>
      <c r="BR50" s="370"/>
      <c r="BS50" s="370"/>
      <c r="BV50" s="508"/>
      <c r="BW50" s="369"/>
      <c r="BX50" s="370"/>
      <c r="BY50" s="370"/>
      <c r="BZ50" s="370"/>
      <c r="CA50" s="370"/>
      <c r="CB50" s="370"/>
      <c r="CC50" s="505"/>
      <c r="CD50" s="505"/>
      <c r="CE50" s="505"/>
      <c r="CF50" s="505"/>
      <c r="CG50" s="505"/>
      <c r="CH50" s="505"/>
      <c r="CI50" s="505"/>
      <c r="CJ50" s="505"/>
      <c r="CK50" s="505"/>
      <c r="CL50" s="505"/>
      <c r="CM50" s="505"/>
    </row>
    <row r="51" customFormat="false" ht="12.75" hidden="false" customHeight="false" outlineLevel="0" collapsed="false">
      <c r="A51" s="500"/>
      <c r="B51" s="500"/>
      <c r="K51" s="363"/>
      <c r="L51" s="501"/>
      <c r="N51" s="502"/>
      <c r="O51" s="502"/>
      <c r="P51" s="371"/>
      <c r="Q51" s="501"/>
      <c r="R51" s="501"/>
      <c r="U51" s="501"/>
      <c r="V51" s="503"/>
      <c r="W51" s="503"/>
      <c r="X51" s="504"/>
      <c r="Y51" s="504"/>
      <c r="Z51" s="504"/>
      <c r="AA51" s="504"/>
      <c r="AB51" s="504"/>
      <c r="AC51" s="504"/>
      <c r="AF51" s="378"/>
      <c r="AG51" s="378"/>
      <c r="AH51" s="378"/>
      <c r="AI51" s="378"/>
      <c r="AJ51" s="378"/>
      <c r="AM51" s="505"/>
      <c r="AN51" s="505"/>
      <c r="AO51" s="505"/>
      <c r="AP51" s="505"/>
      <c r="AR51" s="370"/>
      <c r="AT51" s="370"/>
      <c r="AV51" s="506"/>
      <c r="AW51" s="370"/>
      <c r="AX51" s="370"/>
      <c r="AY51" s="370"/>
      <c r="AZ51" s="370"/>
      <c r="BA51" s="507"/>
      <c r="BB51" s="505"/>
      <c r="BC51" s="505"/>
      <c r="BD51" s="370"/>
      <c r="BE51" s="370"/>
      <c r="BF51" s="370"/>
      <c r="BG51" s="370"/>
      <c r="BH51" s="370"/>
      <c r="BI51" s="370"/>
      <c r="BJ51" s="370"/>
      <c r="BK51" s="370"/>
      <c r="BL51" s="370"/>
      <c r="BM51" s="370"/>
      <c r="BN51" s="370"/>
      <c r="BO51" s="370"/>
      <c r="BP51" s="370"/>
      <c r="BQ51" s="370"/>
      <c r="BR51" s="370"/>
      <c r="BS51" s="370"/>
      <c r="BV51" s="508"/>
      <c r="BW51" s="369"/>
      <c r="BX51" s="370"/>
      <c r="BY51" s="370"/>
      <c r="BZ51" s="370"/>
      <c r="CA51" s="370"/>
      <c r="CB51" s="370"/>
      <c r="CC51" s="505"/>
      <c r="CD51" s="505"/>
      <c r="CE51" s="505"/>
      <c r="CF51" s="505"/>
      <c r="CG51" s="505"/>
      <c r="CH51" s="505"/>
      <c r="CI51" s="505"/>
      <c r="CJ51" s="505"/>
      <c r="CK51" s="505"/>
      <c r="CL51" s="505"/>
      <c r="CM51" s="505"/>
    </row>
    <row r="52" customFormat="false" ht="12.75" hidden="false" customHeight="false" outlineLevel="0" collapsed="false">
      <c r="A52" s="500"/>
      <c r="B52" s="500"/>
      <c r="K52" s="363"/>
      <c r="L52" s="501"/>
      <c r="N52" s="502"/>
      <c r="O52" s="502"/>
      <c r="P52" s="371"/>
      <c r="Q52" s="501"/>
      <c r="R52" s="501"/>
      <c r="U52" s="501"/>
      <c r="V52" s="503"/>
      <c r="W52" s="503"/>
      <c r="X52" s="504"/>
      <c r="Y52" s="504"/>
      <c r="Z52" s="504"/>
      <c r="AA52" s="504"/>
      <c r="AB52" s="504"/>
      <c r="AC52" s="504"/>
      <c r="AF52" s="378"/>
      <c r="AG52" s="378"/>
      <c r="AH52" s="378"/>
      <c r="AI52" s="378"/>
      <c r="AJ52" s="378"/>
      <c r="AM52" s="505"/>
      <c r="AN52" s="505"/>
      <c r="AO52" s="505"/>
      <c r="AP52" s="505"/>
      <c r="AR52" s="370"/>
      <c r="AT52" s="370"/>
      <c r="AV52" s="506"/>
      <c r="AW52" s="370"/>
      <c r="AX52" s="370"/>
      <c r="AY52" s="370"/>
      <c r="AZ52" s="370"/>
      <c r="BA52" s="507"/>
      <c r="BB52" s="505"/>
      <c r="BC52" s="505"/>
      <c r="BD52" s="370"/>
      <c r="BE52" s="370"/>
      <c r="BF52" s="370"/>
      <c r="BG52" s="370"/>
      <c r="BH52" s="370"/>
      <c r="BI52" s="370"/>
      <c r="BJ52" s="370"/>
      <c r="BK52" s="370"/>
      <c r="BL52" s="370"/>
      <c r="BM52" s="370"/>
      <c r="BN52" s="370"/>
      <c r="BO52" s="370"/>
      <c r="BP52" s="370"/>
      <c r="BQ52" s="370"/>
      <c r="BR52" s="370"/>
      <c r="BS52" s="370"/>
      <c r="BV52" s="508"/>
      <c r="BW52" s="369"/>
      <c r="BX52" s="370"/>
      <c r="BY52" s="370"/>
      <c r="BZ52" s="370"/>
      <c r="CA52" s="370"/>
      <c r="CB52" s="370"/>
      <c r="CC52" s="505"/>
      <c r="CD52" s="505"/>
      <c r="CE52" s="505"/>
      <c r="CF52" s="505"/>
      <c r="CG52" s="505"/>
      <c r="CH52" s="505"/>
      <c r="CI52" s="505"/>
      <c r="CJ52" s="505"/>
      <c r="CK52" s="505"/>
      <c r="CL52" s="505"/>
      <c r="CM52" s="505"/>
    </row>
    <row r="53" customFormat="false" ht="12.75" hidden="false" customHeight="false" outlineLevel="0" collapsed="false">
      <c r="A53" s="500"/>
      <c r="B53" s="500"/>
      <c r="K53" s="363"/>
      <c r="L53" s="501"/>
      <c r="N53" s="502"/>
      <c r="O53" s="502"/>
      <c r="P53" s="371"/>
      <c r="Q53" s="501"/>
      <c r="R53" s="501"/>
      <c r="U53" s="501"/>
      <c r="V53" s="503"/>
      <c r="W53" s="503"/>
      <c r="X53" s="504"/>
      <c r="Y53" s="504"/>
      <c r="Z53" s="504"/>
      <c r="AA53" s="504"/>
      <c r="AB53" s="504"/>
      <c r="AC53" s="504"/>
      <c r="AF53" s="378"/>
      <c r="AG53" s="378"/>
      <c r="AH53" s="378"/>
      <c r="AI53" s="378"/>
      <c r="AJ53" s="378"/>
      <c r="AM53" s="505"/>
      <c r="AN53" s="505"/>
      <c r="AO53" s="505"/>
      <c r="AP53" s="505"/>
      <c r="AR53" s="370"/>
      <c r="AT53" s="370"/>
      <c r="AV53" s="506"/>
      <c r="AW53" s="370"/>
      <c r="AX53" s="370"/>
      <c r="AY53" s="370"/>
      <c r="AZ53" s="370"/>
      <c r="BA53" s="507"/>
      <c r="BB53" s="505"/>
      <c r="BC53" s="505"/>
      <c r="BD53" s="370"/>
      <c r="BE53" s="370"/>
      <c r="BF53" s="370"/>
      <c r="BG53" s="370"/>
      <c r="BH53" s="370"/>
      <c r="BI53" s="370"/>
      <c r="BJ53" s="370"/>
      <c r="BK53" s="370"/>
      <c r="BL53" s="370"/>
      <c r="BM53" s="370"/>
      <c r="BN53" s="370"/>
      <c r="BO53" s="370"/>
      <c r="BP53" s="370"/>
      <c r="BQ53" s="370"/>
      <c r="BR53" s="370"/>
      <c r="BS53" s="370"/>
      <c r="BV53" s="508"/>
      <c r="BW53" s="369"/>
      <c r="BX53" s="370"/>
      <c r="BY53" s="370"/>
      <c r="BZ53" s="370"/>
      <c r="CA53" s="370"/>
      <c r="CB53" s="370"/>
      <c r="CC53" s="505"/>
      <c r="CD53" s="505"/>
      <c r="CE53" s="505"/>
      <c r="CF53" s="505"/>
      <c r="CG53" s="505"/>
      <c r="CH53" s="505"/>
      <c r="CI53" s="505"/>
      <c r="CJ53" s="505"/>
      <c r="CK53" s="505"/>
      <c r="CL53" s="505"/>
      <c r="CM53" s="505"/>
    </row>
    <row r="54" customFormat="false" ht="12.75" hidden="false" customHeight="false" outlineLevel="0" collapsed="false">
      <c r="A54" s="500"/>
      <c r="B54" s="500"/>
      <c r="K54" s="363"/>
      <c r="L54" s="501"/>
      <c r="N54" s="502"/>
      <c r="O54" s="502"/>
      <c r="P54" s="371"/>
      <c r="Q54" s="501"/>
      <c r="R54" s="501"/>
      <c r="U54" s="501"/>
      <c r="V54" s="503"/>
      <c r="W54" s="503"/>
      <c r="X54" s="504"/>
      <c r="Y54" s="504"/>
      <c r="Z54" s="504"/>
      <c r="AA54" s="504"/>
      <c r="AB54" s="504"/>
      <c r="AC54" s="504"/>
      <c r="AF54" s="378"/>
      <c r="AG54" s="378"/>
      <c r="AH54" s="378"/>
      <c r="AI54" s="378"/>
      <c r="AJ54" s="378"/>
      <c r="AM54" s="505"/>
      <c r="AN54" s="505"/>
      <c r="AO54" s="505"/>
      <c r="AP54" s="505"/>
      <c r="AR54" s="370"/>
      <c r="AT54" s="370"/>
      <c r="AV54" s="506"/>
      <c r="AW54" s="370"/>
      <c r="AX54" s="370"/>
      <c r="AY54" s="370"/>
      <c r="AZ54" s="370"/>
      <c r="BA54" s="507"/>
      <c r="BB54" s="505"/>
      <c r="BC54" s="505"/>
      <c r="BD54" s="370"/>
      <c r="BE54" s="370"/>
      <c r="BF54" s="370"/>
      <c r="BG54" s="370"/>
      <c r="BH54" s="370"/>
      <c r="BI54" s="370"/>
      <c r="BJ54" s="370"/>
      <c r="BK54" s="370"/>
      <c r="BL54" s="370"/>
      <c r="BM54" s="370"/>
      <c r="BN54" s="370"/>
      <c r="BO54" s="370"/>
      <c r="BP54" s="370"/>
      <c r="BQ54" s="370"/>
      <c r="BR54" s="370"/>
      <c r="BS54" s="370"/>
      <c r="BV54" s="508"/>
      <c r="BW54" s="369"/>
      <c r="BX54" s="370"/>
      <c r="BY54" s="370"/>
      <c r="BZ54" s="370"/>
      <c r="CA54" s="370"/>
      <c r="CB54" s="370"/>
      <c r="CC54" s="505"/>
      <c r="CD54" s="505"/>
      <c r="CE54" s="505"/>
      <c r="CF54" s="505"/>
      <c r="CG54" s="505"/>
      <c r="CH54" s="505"/>
      <c r="CI54" s="505"/>
      <c r="CJ54" s="505"/>
      <c r="CK54" s="505"/>
      <c r="CL54" s="505"/>
      <c r="CM54" s="505"/>
    </row>
    <row r="55" customFormat="false" ht="12.75" hidden="false" customHeight="false" outlineLevel="0" collapsed="false">
      <c r="A55" s="500"/>
      <c r="B55" s="500"/>
      <c r="K55" s="363"/>
      <c r="L55" s="501"/>
      <c r="N55" s="502"/>
      <c r="O55" s="502"/>
      <c r="P55" s="371"/>
      <c r="Q55" s="501"/>
      <c r="R55" s="501"/>
      <c r="U55" s="501"/>
      <c r="V55" s="503"/>
      <c r="W55" s="503"/>
      <c r="X55" s="504"/>
      <c r="Y55" s="504"/>
      <c r="Z55" s="504"/>
      <c r="AA55" s="504"/>
      <c r="AB55" s="504"/>
      <c r="AC55" s="504"/>
      <c r="AF55" s="378"/>
      <c r="AG55" s="378"/>
      <c r="AH55" s="378"/>
      <c r="AI55" s="378"/>
      <c r="AJ55" s="378"/>
      <c r="AM55" s="505"/>
      <c r="AN55" s="505"/>
      <c r="AO55" s="505"/>
      <c r="AP55" s="505"/>
      <c r="AR55" s="370"/>
      <c r="AT55" s="370"/>
      <c r="AV55" s="506"/>
      <c r="AW55" s="370"/>
      <c r="AX55" s="370"/>
      <c r="AY55" s="370"/>
      <c r="AZ55" s="370"/>
      <c r="BA55" s="507"/>
      <c r="BB55" s="505"/>
      <c r="BC55" s="505"/>
      <c r="BD55" s="370"/>
      <c r="BE55" s="370"/>
      <c r="BF55" s="370"/>
      <c r="BG55" s="370"/>
      <c r="BH55" s="370"/>
      <c r="BI55" s="370"/>
      <c r="BJ55" s="370"/>
      <c r="BK55" s="370"/>
      <c r="BL55" s="370"/>
      <c r="BM55" s="370"/>
      <c r="BN55" s="370"/>
      <c r="BO55" s="370"/>
      <c r="BP55" s="370"/>
      <c r="BQ55" s="370"/>
      <c r="BR55" s="370"/>
      <c r="BS55" s="370"/>
      <c r="BV55" s="508"/>
      <c r="BW55" s="369"/>
      <c r="BX55" s="370"/>
      <c r="BY55" s="370"/>
      <c r="BZ55" s="370"/>
      <c r="CA55" s="370"/>
      <c r="CB55" s="370"/>
      <c r="CC55" s="505"/>
      <c r="CD55" s="505"/>
      <c r="CE55" s="505"/>
      <c r="CF55" s="505"/>
      <c r="CG55" s="505"/>
      <c r="CH55" s="505"/>
      <c r="CI55" s="505"/>
      <c r="CJ55" s="505"/>
      <c r="CK55" s="505"/>
      <c r="CL55" s="505"/>
      <c r="CM55" s="505"/>
    </row>
    <row r="56" customFormat="false" ht="12.75" hidden="false" customHeight="false" outlineLevel="0" collapsed="false">
      <c r="A56" s="500"/>
      <c r="B56" s="500"/>
      <c r="K56" s="363"/>
      <c r="L56" s="501"/>
      <c r="N56" s="502"/>
      <c r="O56" s="502"/>
      <c r="P56" s="371"/>
      <c r="Q56" s="501"/>
      <c r="R56" s="501"/>
      <c r="U56" s="501"/>
      <c r="V56" s="503"/>
      <c r="W56" s="503"/>
      <c r="X56" s="504"/>
      <c r="Y56" s="504"/>
      <c r="Z56" s="504"/>
      <c r="AA56" s="504"/>
      <c r="AB56" s="504"/>
      <c r="AC56" s="504"/>
      <c r="AF56" s="378"/>
      <c r="AG56" s="378"/>
      <c r="AH56" s="378"/>
      <c r="AI56" s="378"/>
      <c r="AJ56" s="378"/>
      <c r="AM56" s="505"/>
      <c r="AN56" s="505"/>
      <c r="AO56" s="505"/>
      <c r="AP56" s="505"/>
      <c r="AR56" s="370"/>
      <c r="AT56" s="370"/>
      <c r="AV56" s="506"/>
      <c r="AW56" s="370"/>
      <c r="AX56" s="370"/>
      <c r="AY56" s="370"/>
      <c r="AZ56" s="370"/>
      <c r="BA56" s="507"/>
      <c r="BB56" s="505"/>
      <c r="BC56" s="505"/>
      <c r="BD56" s="370"/>
      <c r="BE56" s="370"/>
      <c r="BF56" s="370"/>
      <c r="BG56" s="370"/>
      <c r="BH56" s="370"/>
      <c r="BI56" s="370"/>
      <c r="BJ56" s="370"/>
      <c r="BK56" s="370"/>
      <c r="BL56" s="370"/>
      <c r="BM56" s="370"/>
      <c r="BN56" s="370"/>
      <c r="BO56" s="370"/>
      <c r="BP56" s="370"/>
      <c r="BQ56" s="370"/>
      <c r="BR56" s="370"/>
      <c r="BS56" s="370"/>
      <c r="BV56" s="508"/>
      <c r="BW56" s="369"/>
      <c r="BX56" s="370"/>
      <c r="BY56" s="370"/>
      <c r="BZ56" s="370"/>
      <c r="CA56" s="370"/>
      <c r="CB56" s="370"/>
      <c r="CC56" s="505"/>
      <c r="CD56" s="505"/>
      <c r="CE56" s="505"/>
      <c r="CF56" s="505"/>
      <c r="CG56" s="505"/>
      <c r="CH56" s="505"/>
      <c r="CI56" s="505"/>
      <c r="CJ56" s="505"/>
      <c r="CK56" s="505"/>
      <c r="CL56" s="505"/>
      <c r="CM56" s="505"/>
    </row>
    <row r="57" customFormat="false" ht="12.75" hidden="false" customHeight="false" outlineLevel="0" collapsed="false">
      <c r="A57" s="500"/>
      <c r="B57" s="500"/>
      <c r="K57" s="363"/>
      <c r="L57" s="501"/>
      <c r="N57" s="502"/>
      <c r="O57" s="502"/>
      <c r="P57" s="371"/>
      <c r="Q57" s="501"/>
      <c r="R57" s="501"/>
      <c r="U57" s="501"/>
      <c r="V57" s="503"/>
      <c r="W57" s="503"/>
      <c r="X57" s="504"/>
      <c r="Y57" s="504"/>
      <c r="Z57" s="504"/>
      <c r="AA57" s="504"/>
      <c r="AB57" s="504"/>
      <c r="AC57" s="504"/>
      <c r="AF57" s="378"/>
      <c r="AG57" s="378"/>
      <c r="AH57" s="378"/>
      <c r="AI57" s="378"/>
      <c r="AJ57" s="378"/>
      <c r="AM57" s="505"/>
      <c r="AN57" s="505"/>
      <c r="AO57" s="505"/>
      <c r="AP57" s="505"/>
      <c r="AR57" s="370"/>
      <c r="AT57" s="370"/>
      <c r="AV57" s="506"/>
      <c r="AW57" s="370"/>
      <c r="AX57" s="370"/>
      <c r="AY57" s="370"/>
      <c r="AZ57" s="370"/>
      <c r="BA57" s="507"/>
      <c r="BB57" s="505"/>
      <c r="BC57" s="505"/>
      <c r="BD57" s="370"/>
      <c r="BE57" s="370"/>
      <c r="BF57" s="370"/>
      <c r="BG57" s="370"/>
      <c r="BH57" s="370"/>
      <c r="BI57" s="370"/>
      <c r="BJ57" s="370"/>
      <c r="BK57" s="370"/>
      <c r="BL57" s="370"/>
      <c r="BM57" s="370"/>
      <c r="BN57" s="370"/>
      <c r="BO57" s="370"/>
      <c r="BP57" s="370"/>
      <c r="BQ57" s="370"/>
      <c r="BR57" s="370"/>
      <c r="BS57" s="370"/>
      <c r="BV57" s="508"/>
      <c r="BW57" s="369"/>
      <c r="BX57" s="370"/>
      <c r="BY57" s="370"/>
      <c r="BZ57" s="370"/>
      <c r="CA57" s="370"/>
      <c r="CB57" s="370"/>
      <c r="CC57" s="505"/>
      <c r="CD57" s="505"/>
      <c r="CE57" s="505"/>
      <c r="CF57" s="505"/>
      <c r="CG57" s="505"/>
      <c r="CH57" s="505"/>
      <c r="CI57" s="505"/>
      <c r="CJ57" s="505"/>
      <c r="CK57" s="505"/>
      <c r="CL57" s="505"/>
      <c r="CM57" s="505"/>
    </row>
    <row r="58" customFormat="false" ht="12.75" hidden="false" customHeight="false" outlineLevel="0" collapsed="false">
      <c r="A58" s="500"/>
      <c r="B58" s="500"/>
      <c r="K58" s="363"/>
      <c r="L58" s="501"/>
      <c r="N58" s="502"/>
      <c r="O58" s="502"/>
      <c r="P58" s="371"/>
      <c r="Q58" s="501"/>
      <c r="R58" s="501"/>
      <c r="U58" s="501"/>
      <c r="V58" s="503"/>
      <c r="W58" s="503"/>
      <c r="X58" s="504"/>
      <c r="Y58" s="504"/>
      <c r="Z58" s="504"/>
      <c r="AA58" s="504"/>
      <c r="AB58" s="504"/>
      <c r="AC58" s="504"/>
      <c r="AF58" s="378"/>
      <c r="AG58" s="378"/>
      <c r="AH58" s="378"/>
      <c r="AI58" s="378"/>
      <c r="AJ58" s="378"/>
      <c r="AM58" s="505"/>
      <c r="AN58" s="505"/>
      <c r="AO58" s="505"/>
      <c r="AP58" s="505"/>
      <c r="AR58" s="370"/>
      <c r="AT58" s="370"/>
      <c r="AV58" s="506"/>
      <c r="AW58" s="370"/>
      <c r="AX58" s="370"/>
      <c r="AY58" s="370"/>
      <c r="AZ58" s="370"/>
      <c r="BA58" s="507"/>
      <c r="BB58" s="505"/>
      <c r="BC58" s="505"/>
      <c r="BD58" s="370"/>
      <c r="BE58" s="370"/>
      <c r="BF58" s="370"/>
      <c r="BG58" s="370"/>
      <c r="BH58" s="370"/>
      <c r="BI58" s="370"/>
      <c r="BJ58" s="370"/>
      <c r="BK58" s="370"/>
      <c r="BL58" s="370"/>
      <c r="BM58" s="370"/>
      <c r="BN58" s="370"/>
      <c r="BO58" s="370"/>
      <c r="BP58" s="370"/>
      <c r="BQ58" s="370"/>
      <c r="BR58" s="370"/>
      <c r="BS58" s="370"/>
      <c r="BV58" s="508"/>
      <c r="BW58" s="369"/>
      <c r="BX58" s="370"/>
      <c r="BY58" s="370"/>
      <c r="BZ58" s="370"/>
      <c r="CA58" s="370"/>
      <c r="CB58" s="370"/>
      <c r="CC58" s="505"/>
      <c r="CD58" s="505"/>
      <c r="CE58" s="505"/>
      <c r="CF58" s="505"/>
      <c r="CG58" s="505"/>
      <c r="CH58" s="505"/>
      <c r="CI58" s="505"/>
      <c r="CJ58" s="505"/>
      <c r="CK58" s="505"/>
      <c r="CL58" s="505"/>
      <c r="CM58" s="505"/>
    </row>
    <row r="59" customFormat="false" ht="12.75" hidden="false" customHeight="false" outlineLevel="0" collapsed="false">
      <c r="A59" s="500"/>
      <c r="B59" s="500"/>
      <c r="K59" s="363"/>
      <c r="L59" s="501"/>
      <c r="N59" s="502"/>
      <c r="O59" s="502"/>
      <c r="P59" s="371"/>
      <c r="Q59" s="501"/>
      <c r="R59" s="501"/>
      <c r="U59" s="501"/>
      <c r="V59" s="503"/>
      <c r="W59" s="503"/>
      <c r="X59" s="504"/>
      <c r="Y59" s="504"/>
      <c r="Z59" s="504"/>
      <c r="AA59" s="504"/>
      <c r="AB59" s="504"/>
      <c r="AC59" s="504"/>
      <c r="AF59" s="378"/>
      <c r="AG59" s="378"/>
      <c r="AH59" s="378"/>
      <c r="AI59" s="378"/>
      <c r="AJ59" s="378"/>
      <c r="AM59" s="505"/>
      <c r="AN59" s="505"/>
      <c r="AO59" s="505"/>
      <c r="AP59" s="505"/>
      <c r="AR59" s="370"/>
      <c r="AT59" s="370"/>
      <c r="AV59" s="506"/>
      <c r="AW59" s="370"/>
      <c r="AX59" s="370"/>
      <c r="AY59" s="370"/>
      <c r="AZ59" s="370"/>
      <c r="BA59" s="507"/>
      <c r="BB59" s="505"/>
      <c r="BC59" s="505"/>
      <c r="BD59" s="370"/>
      <c r="BE59" s="370"/>
      <c r="BF59" s="370"/>
      <c r="BG59" s="370"/>
      <c r="BH59" s="370"/>
      <c r="BI59" s="370"/>
      <c r="BJ59" s="370"/>
      <c r="BK59" s="370"/>
      <c r="BL59" s="370"/>
      <c r="BM59" s="370"/>
      <c r="BN59" s="370"/>
      <c r="BO59" s="370"/>
      <c r="BP59" s="370"/>
      <c r="BQ59" s="370"/>
      <c r="BR59" s="370"/>
      <c r="BS59" s="370"/>
      <c r="BV59" s="508"/>
      <c r="BW59" s="369"/>
      <c r="BX59" s="370"/>
      <c r="BY59" s="370"/>
      <c r="BZ59" s="370"/>
      <c r="CA59" s="370"/>
      <c r="CB59" s="370"/>
      <c r="CC59" s="505"/>
      <c r="CD59" s="505"/>
      <c r="CE59" s="505"/>
      <c r="CF59" s="505"/>
      <c r="CG59" s="505"/>
      <c r="CH59" s="505"/>
      <c r="CI59" s="505"/>
      <c r="CJ59" s="505"/>
      <c r="CK59" s="505"/>
      <c r="CL59" s="505"/>
      <c r="CM59" s="505"/>
    </row>
    <row r="60" customFormat="false" ht="12.75" hidden="false" customHeight="false" outlineLevel="0" collapsed="false">
      <c r="A60" s="500"/>
      <c r="B60" s="500"/>
      <c r="K60" s="363"/>
      <c r="L60" s="501"/>
      <c r="N60" s="502"/>
      <c r="O60" s="502"/>
      <c r="P60" s="371"/>
      <c r="Q60" s="501"/>
      <c r="R60" s="501"/>
      <c r="U60" s="501"/>
      <c r="V60" s="503"/>
      <c r="W60" s="503"/>
      <c r="X60" s="504"/>
      <c r="Y60" s="504"/>
      <c r="Z60" s="504"/>
      <c r="AA60" s="504"/>
      <c r="AB60" s="504"/>
      <c r="AC60" s="504"/>
      <c r="AF60" s="378"/>
      <c r="AG60" s="378"/>
      <c r="AH60" s="378"/>
      <c r="AI60" s="378"/>
      <c r="AJ60" s="378"/>
      <c r="AM60" s="505"/>
      <c r="AN60" s="505"/>
      <c r="AO60" s="505"/>
      <c r="AP60" s="505"/>
      <c r="AR60" s="370"/>
      <c r="AT60" s="370"/>
      <c r="AV60" s="506"/>
      <c r="AW60" s="370"/>
      <c r="AX60" s="370"/>
      <c r="AY60" s="370"/>
      <c r="AZ60" s="370"/>
      <c r="BA60" s="507"/>
      <c r="BB60" s="505"/>
      <c r="BC60" s="505"/>
      <c r="BD60" s="370"/>
      <c r="BE60" s="370"/>
      <c r="BF60" s="370"/>
      <c r="BG60" s="370"/>
      <c r="BH60" s="370"/>
      <c r="BI60" s="370"/>
      <c r="BJ60" s="370"/>
      <c r="BK60" s="370"/>
      <c r="BL60" s="370"/>
      <c r="BM60" s="370"/>
      <c r="BN60" s="370"/>
      <c r="BO60" s="370"/>
      <c r="BP60" s="370"/>
      <c r="BQ60" s="370"/>
      <c r="BR60" s="370"/>
      <c r="BS60" s="370"/>
      <c r="BV60" s="508"/>
      <c r="BW60" s="369"/>
      <c r="BX60" s="370"/>
      <c r="BY60" s="370"/>
      <c r="BZ60" s="370"/>
      <c r="CA60" s="370"/>
      <c r="CB60" s="370"/>
      <c r="CC60" s="505"/>
      <c r="CD60" s="505"/>
      <c r="CE60" s="505"/>
      <c r="CF60" s="505"/>
      <c r="CG60" s="505"/>
      <c r="CH60" s="505"/>
      <c r="CI60" s="505"/>
      <c r="CJ60" s="505"/>
      <c r="CK60" s="505"/>
      <c r="CL60" s="505"/>
      <c r="CM60" s="505"/>
    </row>
    <row r="61" customFormat="false" ht="12.75" hidden="false" customHeight="false" outlineLevel="0" collapsed="false">
      <c r="A61" s="500"/>
      <c r="B61" s="500"/>
      <c r="K61" s="363"/>
      <c r="L61" s="501"/>
      <c r="N61" s="502"/>
      <c r="O61" s="502"/>
      <c r="P61" s="371"/>
      <c r="Q61" s="501"/>
      <c r="R61" s="501"/>
      <c r="U61" s="501"/>
      <c r="V61" s="503"/>
      <c r="W61" s="503"/>
      <c r="X61" s="504"/>
      <c r="Y61" s="504"/>
      <c r="Z61" s="504"/>
      <c r="AA61" s="504"/>
      <c r="AB61" s="504"/>
      <c r="AC61" s="504"/>
      <c r="AF61" s="378"/>
      <c r="AG61" s="378"/>
      <c r="AH61" s="378"/>
      <c r="AI61" s="378"/>
      <c r="AJ61" s="378"/>
      <c r="AM61" s="505"/>
      <c r="AN61" s="505"/>
      <c r="AO61" s="505"/>
      <c r="AP61" s="505"/>
      <c r="AR61" s="370"/>
      <c r="AT61" s="370"/>
      <c r="AV61" s="506"/>
      <c r="AW61" s="370"/>
      <c r="AX61" s="370"/>
      <c r="AY61" s="370"/>
      <c r="AZ61" s="370"/>
      <c r="BA61" s="507"/>
      <c r="BB61" s="505"/>
      <c r="BC61" s="505"/>
      <c r="BD61" s="370"/>
      <c r="BE61" s="370"/>
      <c r="BF61" s="370"/>
      <c r="BG61" s="370"/>
      <c r="BH61" s="370"/>
      <c r="BI61" s="370"/>
      <c r="BJ61" s="370"/>
      <c r="BK61" s="370"/>
      <c r="BL61" s="370"/>
      <c r="BM61" s="370"/>
      <c r="BN61" s="370"/>
      <c r="BO61" s="370"/>
      <c r="BP61" s="370"/>
      <c r="BQ61" s="370"/>
      <c r="BR61" s="370"/>
      <c r="BS61" s="370"/>
      <c r="BV61" s="508"/>
      <c r="BW61" s="369"/>
      <c r="BX61" s="370"/>
      <c r="BY61" s="370"/>
      <c r="BZ61" s="370"/>
      <c r="CA61" s="370"/>
      <c r="CB61" s="370"/>
      <c r="CC61" s="505"/>
      <c r="CD61" s="505"/>
      <c r="CE61" s="505"/>
      <c r="CF61" s="505"/>
      <c r="CG61" s="505"/>
      <c r="CH61" s="505"/>
      <c r="CI61" s="505"/>
      <c r="CJ61" s="505"/>
      <c r="CK61" s="505"/>
      <c r="CL61" s="505"/>
      <c r="CM61" s="505"/>
    </row>
    <row r="62" customFormat="false" ht="12.75" hidden="false" customHeight="false" outlineLevel="0" collapsed="false">
      <c r="A62" s="500"/>
      <c r="B62" s="500"/>
      <c r="K62" s="363"/>
      <c r="L62" s="501"/>
      <c r="N62" s="502"/>
      <c r="O62" s="502"/>
      <c r="P62" s="371"/>
      <c r="Q62" s="501"/>
      <c r="R62" s="501"/>
      <c r="U62" s="501"/>
      <c r="V62" s="503"/>
      <c r="W62" s="503"/>
      <c r="X62" s="504"/>
      <c r="Y62" s="504"/>
      <c r="Z62" s="504"/>
      <c r="AA62" s="504"/>
      <c r="AB62" s="504"/>
      <c r="AC62" s="504"/>
      <c r="AF62" s="378"/>
      <c r="AG62" s="378"/>
      <c r="AH62" s="378"/>
      <c r="AI62" s="378"/>
      <c r="AJ62" s="378"/>
      <c r="AM62" s="505"/>
      <c r="AN62" s="505"/>
      <c r="AO62" s="505"/>
      <c r="AP62" s="505"/>
      <c r="AR62" s="370"/>
      <c r="AT62" s="370"/>
      <c r="AV62" s="506"/>
      <c r="AW62" s="370"/>
      <c r="AX62" s="370"/>
      <c r="AY62" s="370"/>
      <c r="AZ62" s="370"/>
      <c r="BA62" s="507"/>
      <c r="BB62" s="505"/>
      <c r="BC62" s="505"/>
      <c r="BD62" s="370"/>
      <c r="BE62" s="370"/>
      <c r="BF62" s="370"/>
      <c r="BG62" s="370"/>
      <c r="BH62" s="370"/>
      <c r="BI62" s="370"/>
      <c r="BJ62" s="370"/>
      <c r="BK62" s="370"/>
      <c r="BL62" s="370"/>
      <c r="BM62" s="370"/>
      <c r="BN62" s="370"/>
      <c r="BO62" s="370"/>
      <c r="BP62" s="370"/>
      <c r="BQ62" s="370"/>
      <c r="BR62" s="370"/>
      <c r="BS62" s="370"/>
      <c r="BV62" s="508"/>
      <c r="BW62" s="369"/>
      <c r="BX62" s="370"/>
      <c r="BY62" s="370"/>
      <c r="BZ62" s="370"/>
      <c r="CA62" s="370"/>
      <c r="CB62" s="370"/>
      <c r="CC62" s="505"/>
      <c r="CD62" s="505"/>
      <c r="CE62" s="505"/>
      <c r="CF62" s="505"/>
      <c r="CG62" s="505"/>
      <c r="CH62" s="505"/>
      <c r="CI62" s="505"/>
      <c r="CJ62" s="505"/>
      <c r="CK62" s="505"/>
      <c r="CL62" s="505"/>
      <c r="CM62" s="505"/>
    </row>
    <row r="63" customFormat="false" ht="12.75" hidden="false" customHeight="false" outlineLevel="0" collapsed="false">
      <c r="A63" s="500"/>
      <c r="B63" s="500"/>
      <c r="K63" s="363"/>
      <c r="L63" s="501"/>
      <c r="N63" s="502"/>
      <c r="O63" s="502"/>
      <c r="P63" s="371"/>
      <c r="Q63" s="501"/>
      <c r="R63" s="501"/>
      <c r="U63" s="501"/>
      <c r="V63" s="503"/>
      <c r="W63" s="503"/>
      <c r="X63" s="504"/>
      <c r="Y63" s="504"/>
      <c r="Z63" s="504"/>
      <c r="AA63" s="504"/>
      <c r="AB63" s="504"/>
      <c r="AC63" s="504"/>
      <c r="AF63" s="378"/>
      <c r="AG63" s="378"/>
      <c r="AH63" s="378"/>
      <c r="AI63" s="378"/>
      <c r="AJ63" s="378"/>
      <c r="AM63" s="505"/>
      <c r="AN63" s="505"/>
      <c r="AO63" s="505"/>
      <c r="AP63" s="505"/>
      <c r="AR63" s="370"/>
      <c r="AT63" s="370"/>
      <c r="AV63" s="506"/>
      <c r="AW63" s="370"/>
      <c r="AX63" s="370"/>
      <c r="AY63" s="370"/>
      <c r="AZ63" s="370"/>
      <c r="BA63" s="507"/>
      <c r="BB63" s="505"/>
      <c r="BC63" s="505"/>
      <c r="BD63" s="370"/>
      <c r="BE63" s="370"/>
      <c r="BF63" s="370"/>
      <c r="BG63" s="370"/>
      <c r="BH63" s="370"/>
      <c r="BI63" s="370"/>
      <c r="BJ63" s="370"/>
      <c r="BK63" s="370"/>
      <c r="BL63" s="370"/>
      <c r="BM63" s="370"/>
      <c r="BN63" s="370"/>
      <c r="BO63" s="370"/>
      <c r="BP63" s="370"/>
      <c r="BQ63" s="370"/>
      <c r="BR63" s="370"/>
      <c r="BS63" s="370"/>
      <c r="BV63" s="508"/>
      <c r="BW63" s="369"/>
      <c r="BX63" s="370"/>
      <c r="BY63" s="370"/>
      <c r="BZ63" s="370"/>
      <c r="CA63" s="370"/>
      <c r="CB63" s="370"/>
      <c r="CC63" s="505"/>
      <c r="CD63" s="505"/>
      <c r="CE63" s="505"/>
      <c r="CF63" s="505"/>
      <c r="CG63" s="505"/>
      <c r="CH63" s="505"/>
      <c r="CI63" s="505"/>
      <c r="CJ63" s="505"/>
      <c r="CK63" s="505"/>
      <c r="CL63" s="505"/>
      <c r="CM63" s="505"/>
    </row>
    <row r="64" customFormat="false" ht="12.75" hidden="false" customHeight="false" outlineLevel="0" collapsed="false">
      <c r="A64" s="500"/>
      <c r="B64" s="500"/>
      <c r="K64" s="363"/>
      <c r="L64" s="501"/>
      <c r="N64" s="502"/>
      <c r="O64" s="502"/>
      <c r="P64" s="371"/>
      <c r="Q64" s="501"/>
      <c r="R64" s="501"/>
      <c r="U64" s="501"/>
      <c r="V64" s="503"/>
      <c r="W64" s="503"/>
      <c r="X64" s="504"/>
      <c r="Y64" s="504"/>
      <c r="Z64" s="504"/>
      <c r="AA64" s="504"/>
      <c r="AB64" s="504"/>
      <c r="AC64" s="504"/>
      <c r="AF64" s="378"/>
      <c r="AG64" s="378"/>
      <c r="AH64" s="378"/>
      <c r="AI64" s="378"/>
      <c r="AJ64" s="378"/>
      <c r="AM64" s="505"/>
      <c r="AN64" s="505"/>
      <c r="AO64" s="505"/>
      <c r="AP64" s="505"/>
      <c r="AR64" s="370"/>
      <c r="AT64" s="370"/>
      <c r="AV64" s="506"/>
      <c r="AW64" s="370"/>
      <c r="AX64" s="370"/>
      <c r="AY64" s="370"/>
      <c r="AZ64" s="370"/>
      <c r="BA64" s="507"/>
      <c r="BB64" s="505"/>
      <c r="BC64" s="505"/>
      <c r="BD64" s="370"/>
      <c r="BE64" s="370"/>
      <c r="BF64" s="370"/>
      <c r="BG64" s="370"/>
      <c r="BH64" s="370"/>
      <c r="BI64" s="370"/>
      <c r="BJ64" s="370"/>
      <c r="BK64" s="370"/>
      <c r="BL64" s="370"/>
      <c r="BM64" s="370"/>
      <c r="BN64" s="370"/>
      <c r="BO64" s="370"/>
      <c r="BP64" s="370"/>
      <c r="BQ64" s="370"/>
      <c r="BR64" s="370"/>
      <c r="BS64" s="370"/>
      <c r="BV64" s="508"/>
      <c r="BW64" s="369"/>
      <c r="BX64" s="370"/>
      <c r="BY64" s="370"/>
      <c r="BZ64" s="370"/>
      <c r="CA64" s="370"/>
      <c r="CB64" s="370"/>
      <c r="CC64" s="505"/>
      <c r="CD64" s="505"/>
      <c r="CE64" s="505"/>
      <c r="CF64" s="505"/>
      <c r="CG64" s="505"/>
      <c r="CH64" s="505"/>
      <c r="CI64" s="505"/>
      <c r="CJ64" s="505"/>
      <c r="CK64" s="505"/>
      <c r="CL64" s="505"/>
      <c r="CM64" s="505"/>
    </row>
    <row r="65" customFormat="false" ht="12.75" hidden="false" customHeight="false" outlineLevel="0" collapsed="false">
      <c r="A65" s="500"/>
      <c r="B65" s="500"/>
      <c r="K65" s="363"/>
      <c r="L65" s="501"/>
      <c r="N65" s="502"/>
      <c r="O65" s="502"/>
      <c r="P65" s="371"/>
      <c r="Q65" s="501"/>
      <c r="R65" s="501"/>
      <c r="U65" s="501"/>
      <c r="V65" s="503"/>
      <c r="W65" s="503"/>
      <c r="X65" s="504"/>
      <c r="Y65" s="504"/>
      <c r="Z65" s="504"/>
      <c r="AA65" s="504"/>
      <c r="AB65" s="504"/>
      <c r="AC65" s="504"/>
      <c r="AF65" s="378"/>
      <c r="AG65" s="378"/>
      <c r="AH65" s="378"/>
      <c r="AI65" s="378"/>
      <c r="AJ65" s="378"/>
      <c r="AM65" s="505"/>
      <c r="AN65" s="505"/>
      <c r="AO65" s="505"/>
      <c r="AP65" s="505"/>
      <c r="AR65" s="370"/>
      <c r="AT65" s="370"/>
      <c r="AV65" s="506"/>
      <c r="AW65" s="370"/>
      <c r="AX65" s="370"/>
      <c r="AY65" s="370"/>
      <c r="AZ65" s="370"/>
      <c r="BA65" s="507"/>
      <c r="BB65" s="505"/>
      <c r="BC65" s="505"/>
      <c r="BD65" s="370"/>
      <c r="BE65" s="370"/>
      <c r="BF65" s="370"/>
      <c r="BG65" s="370"/>
      <c r="BH65" s="370"/>
      <c r="BI65" s="370"/>
      <c r="BJ65" s="370"/>
      <c r="BK65" s="370"/>
      <c r="BL65" s="370"/>
      <c r="BM65" s="370"/>
      <c r="BN65" s="370"/>
      <c r="BO65" s="370"/>
      <c r="BP65" s="370"/>
      <c r="BQ65" s="370"/>
      <c r="BR65" s="370"/>
      <c r="BS65" s="370"/>
      <c r="BV65" s="508"/>
      <c r="BW65" s="369"/>
      <c r="BX65" s="370"/>
      <c r="BY65" s="370"/>
      <c r="BZ65" s="370"/>
      <c r="CA65" s="370"/>
      <c r="CB65" s="370"/>
      <c r="CC65" s="505"/>
      <c r="CD65" s="505"/>
      <c r="CE65" s="505"/>
      <c r="CF65" s="505"/>
      <c r="CG65" s="505"/>
      <c r="CH65" s="505"/>
      <c r="CI65" s="505"/>
      <c r="CJ65" s="505"/>
      <c r="CK65" s="505"/>
      <c r="CL65" s="505"/>
      <c r="CM65" s="505"/>
    </row>
    <row r="66" customFormat="false" ht="12.75" hidden="false" customHeight="false" outlineLevel="0" collapsed="false">
      <c r="A66" s="500"/>
      <c r="B66" s="500"/>
      <c r="K66" s="363"/>
      <c r="L66" s="501"/>
      <c r="N66" s="502"/>
      <c r="O66" s="502"/>
      <c r="P66" s="371"/>
      <c r="Q66" s="501"/>
      <c r="R66" s="501"/>
      <c r="U66" s="501"/>
      <c r="V66" s="503"/>
      <c r="W66" s="503"/>
      <c r="X66" s="504"/>
      <c r="Y66" s="504"/>
      <c r="Z66" s="504"/>
      <c r="AA66" s="504"/>
      <c r="AB66" s="504"/>
      <c r="AC66" s="504"/>
      <c r="AF66" s="378"/>
      <c r="AG66" s="378"/>
      <c r="AH66" s="378"/>
      <c r="AI66" s="378"/>
      <c r="AJ66" s="378"/>
      <c r="AM66" s="505"/>
      <c r="AN66" s="505"/>
      <c r="AO66" s="505"/>
      <c r="AP66" s="505"/>
      <c r="AR66" s="370"/>
      <c r="AT66" s="370"/>
      <c r="AV66" s="506"/>
      <c r="AW66" s="370"/>
      <c r="AX66" s="370"/>
      <c r="AY66" s="370"/>
      <c r="AZ66" s="370"/>
      <c r="BA66" s="507"/>
      <c r="BB66" s="505"/>
      <c r="BC66" s="505"/>
      <c r="BD66" s="370"/>
      <c r="BE66" s="370"/>
      <c r="BF66" s="370"/>
      <c r="BG66" s="370"/>
      <c r="BH66" s="370"/>
      <c r="BI66" s="370"/>
      <c r="BJ66" s="370"/>
      <c r="BK66" s="370"/>
      <c r="BL66" s="370"/>
      <c r="BM66" s="370"/>
      <c r="BN66" s="370"/>
      <c r="BO66" s="370"/>
      <c r="BP66" s="370"/>
      <c r="BQ66" s="370"/>
      <c r="BR66" s="370"/>
      <c r="BS66" s="370"/>
      <c r="BV66" s="508"/>
      <c r="BW66" s="369"/>
      <c r="BX66" s="370"/>
      <c r="BY66" s="370"/>
      <c r="BZ66" s="370"/>
      <c r="CA66" s="370"/>
      <c r="CB66" s="370"/>
      <c r="CC66" s="505"/>
      <c r="CD66" s="505"/>
      <c r="CE66" s="505"/>
      <c r="CF66" s="505"/>
      <c r="CG66" s="505"/>
      <c r="CH66" s="505"/>
      <c r="CI66" s="505"/>
      <c r="CJ66" s="505"/>
      <c r="CK66" s="505"/>
      <c r="CL66" s="505"/>
      <c r="CM66" s="505"/>
    </row>
    <row r="67" customFormat="false" ht="12.75" hidden="false" customHeight="false" outlineLevel="0" collapsed="false">
      <c r="A67" s="500"/>
      <c r="B67" s="500"/>
      <c r="K67" s="363"/>
      <c r="L67" s="501"/>
      <c r="N67" s="502"/>
      <c r="O67" s="502"/>
      <c r="P67" s="371"/>
      <c r="Q67" s="501"/>
      <c r="R67" s="501"/>
      <c r="U67" s="501"/>
      <c r="V67" s="503"/>
      <c r="W67" s="503"/>
      <c r="X67" s="504"/>
      <c r="Y67" s="504"/>
      <c r="Z67" s="504"/>
      <c r="AA67" s="504"/>
      <c r="AB67" s="504"/>
      <c r="AC67" s="504"/>
      <c r="AF67" s="378"/>
      <c r="AG67" s="378"/>
      <c r="AH67" s="378"/>
      <c r="AI67" s="378"/>
      <c r="AJ67" s="378"/>
      <c r="AM67" s="505"/>
      <c r="AN67" s="505"/>
      <c r="AO67" s="505"/>
      <c r="AP67" s="505"/>
      <c r="AR67" s="370"/>
      <c r="AT67" s="370"/>
      <c r="AV67" s="506"/>
      <c r="AW67" s="370"/>
      <c r="AX67" s="370"/>
      <c r="AY67" s="370"/>
      <c r="AZ67" s="370"/>
      <c r="BA67" s="507"/>
      <c r="BB67" s="505"/>
      <c r="BC67" s="505"/>
      <c r="BD67" s="370"/>
      <c r="BE67" s="370"/>
      <c r="BF67" s="370"/>
      <c r="BG67" s="370"/>
      <c r="BH67" s="370"/>
      <c r="BI67" s="370"/>
      <c r="BJ67" s="370"/>
      <c r="BK67" s="370"/>
      <c r="BL67" s="370"/>
      <c r="BM67" s="370"/>
      <c r="BN67" s="370"/>
      <c r="BO67" s="370"/>
      <c r="BP67" s="370"/>
      <c r="BQ67" s="370"/>
      <c r="BR67" s="370"/>
      <c r="BS67" s="370"/>
      <c r="BV67" s="508"/>
      <c r="BW67" s="369"/>
      <c r="BX67" s="370"/>
      <c r="BY67" s="370"/>
      <c r="BZ67" s="370"/>
      <c r="CA67" s="370"/>
      <c r="CB67" s="370"/>
      <c r="CC67" s="505"/>
      <c r="CD67" s="505"/>
      <c r="CE67" s="505"/>
      <c r="CF67" s="505"/>
      <c r="CG67" s="505"/>
      <c r="CH67" s="505"/>
      <c r="CI67" s="505"/>
      <c r="CJ67" s="505"/>
      <c r="CK67" s="505"/>
      <c r="CL67" s="505"/>
      <c r="CM67" s="505"/>
    </row>
    <row r="68" customFormat="false" ht="12.75" hidden="false" customHeight="false" outlineLevel="0" collapsed="false">
      <c r="A68" s="500"/>
      <c r="B68" s="500"/>
      <c r="K68" s="363"/>
      <c r="L68" s="501"/>
      <c r="N68" s="502"/>
      <c r="O68" s="502"/>
      <c r="P68" s="371"/>
      <c r="Q68" s="501"/>
      <c r="R68" s="501"/>
      <c r="U68" s="501"/>
      <c r="V68" s="503"/>
      <c r="W68" s="503"/>
      <c r="X68" s="504"/>
      <c r="Y68" s="504"/>
      <c r="Z68" s="504"/>
      <c r="AA68" s="504"/>
      <c r="AB68" s="504"/>
      <c r="AC68" s="504"/>
      <c r="AF68" s="378"/>
      <c r="AG68" s="378"/>
      <c r="AH68" s="378"/>
      <c r="AI68" s="378"/>
      <c r="AJ68" s="378"/>
      <c r="AM68" s="505"/>
      <c r="AN68" s="505"/>
      <c r="AO68" s="505"/>
      <c r="AP68" s="505"/>
      <c r="AR68" s="370"/>
      <c r="AT68" s="370"/>
      <c r="AV68" s="506"/>
      <c r="AW68" s="370"/>
      <c r="AX68" s="370"/>
      <c r="AY68" s="370"/>
      <c r="AZ68" s="370"/>
      <c r="BA68" s="507"/>
      <c r="BB68" s="505"/>
      <c r="BC68" s="505"/>
      <c r="BD68" s="370"/>
      <c r="BE68" s="370"/>
      <c r="BF68" s="370"/>
      <c r="BG68" s="370"/>
      <c r="BH68" s="370"/>
      <c r="BI68" s="370"/>
      <c r="BJ68" s="370"/>
      <c r="BK68" s="370"/>
      <c r="BL68" s="370"/>
      <c r="BM68" s="370"/>
      <c r="BN68" s="370"/>
      <c r="BO68" s="370"/>
      <c r="BP68" s="370"/>
      <c r="BQ68" s="370"/>
      <c r="BR68" s="370"/>
      <c r="BS68" s="370"/>
      <c r="BV68" s="508"/>
      <c r="BW68" s="369"/>
      <c r="BX68" s="370"/>
      <c r="BY68" s="370"/>
      <c r="BZ68" s="370"/>
      <c r="CA68" s="370"/>
      <c r="CB68" s="370"/>
      <c r="CC68" s="505"/>
      <c r="CD68" s="505"/>
      <c r="CE68" s="505"/>
      <c r="CF68" s="505"/>
      <c r="CG68" s="505"/>
      <c r="CH68" s="505"/>
      <c r="CI68" s="505"/>
      <c r="CJ68" s="505"/>
      <c r="CK68" s="505"/>
      <c r="CL68" s="505"/>
      <c r="CM68" s="505"/>
    </row>
    <row r="69" customFormat="false" ht="12.75" hidden="false" customHeight="false" outlineLevel="0" collapsed="false">
      <c r="A69" s="500"/>
      <c r="B69" s="500"/>
      <c r="K69" s="363"/>
      <c r="L69" s="501"/>
      <c r="N69" s="502"/>
      <c r="O69" s="502"/>
      <c r="P69" s="371"/>
      <c r="Q69" s="501"/>
      <c r="R69" s="501"/>
      <c r="U69" s="501"/>
      <c r="V69" s="503"/>
      <c r="W69" s="503"/>
      <c r="X69" s="504"/>
      <c r="Y69" s="504"/>
      <c r="Z69" s="504"/>
      <c r="AA69" s="504"/>
      <c r="AB69" s="504"/>
      <c r="AC69" s="504"/>
      <c r="AF69" s="378"/>
      <c r="AG69" s="378"/>
      <c r="AH69" s="378"/>
      <c r="AI69" s="378"/>
      <c r="AJ69" s="378"/>
      <c r="AM69" s="505"/>
      <c r="AN69" s="505"/>
      <c r="AO69" s="505"/>
      <c r="AP69" s="505"/>
      <c r="AR69" s="370"/>
      <c r="AT69" s="370"/>
      <c r="AV69" s="506"/>
      <c r="AW69" s="370"/>
      <c r="AX69" s="370"/>
      <c r="AY69" s="370"/>
      <c r="AZ69" s="370"/>
      <c r="BA69" s="507"/>
      <c r="BB69" s="505"/>
      <c r="BC69" s="505"/>
      <c r="BD69" s="370"/>
      <c r="BE69" s="370"/>
      <c r="BF69" s="370"/>
      <c r="BG69" s="370"/>
      <c r="BH69" s="370"/>
      <c r="BI69" s="370"/>
      <c r="BJ69" s="370"/>
      <c r="BK69" s="370"/>
      <c r="BL69" s="370"/>
      <c r="BM69" s="370"/>
      <c r="BN69" s="370"/>
      <c r="BO69" s="370"/>
      <c r="BP69" s="370"/>
      <c r="BQ69" s="370"/>
      <c r="BR69" s="370"/>
      <c r="BS69" s="370"/>
      <c r="BV69" s="508"/>
      <c r="BW69" s="369"/>
      <c r="BX69" s="370"/>
      <c r="BY69" s="370"/>
      <c r="BZ69" s="370"/>
      <c r="CA69" s="370"/>
      <c r="CB69" s="370"/>
      <c r="CC69" s="505"/>
      <c r="CD69" s="505"/>
      <c r="CE69" s="505"/>
      <c r="CF69" s="505"/>
      <c r="CG69" s="505"/>
      <c r="CH69" s="505"/>
      <c r="CI69" s="505"/>
      <c r="CJ69" s="505"/>
      <c r="CK69" s="505"/>
      <c r="CL69" s="505"/>
      <c r="CM69" s="505"/>
    </row>
    <row r="70" customFormat="false" ht="12.75" hidden="false" customHeight="false" outlineLevel="0" collapsed="false">
      <c r="A70" s="500"/>
      <c r="B70" s="500"/>
      <c r="K70" s="363"/>
      <c r="L70" s="501"/>
      <c r="N70" s="502"/>
      <c r="O70" s="502"/>
      <c r="P70" s="371"/>
      <c r="Q70" s="501"/>
      <c r="R70" s="501"/>
      <c r="U70" s="501"/>
      <c r="V70" s="503"/>
      <c r="W70" s="503"/>
      <c r="X70" s="504"/>
      <c r="Y70" s="504"/>
      <c r="Z70" s="504"/>
      <c r="AA70" s="504"/>
      <c r="AB70" s="504"/>
      <c r="AC70" s="504"/>
      <c r="AF70" s="378"/>
      <c r="AG70" s="378"/>
      <c r="AH70" s="378"/>
      <c r="AI70" s="378"/>
      <c r="AJ70" s="378"/>
      <c r="AM70" s="505"/>
      <c r="AN70" s="505"/>
      <c r="AO70" s="505"/>
      <c r="AP70" s="505"/>
      <c r="AR70" s="370"/>
      <c r="AT70" s="370"/>
      <c r="AV70" s="506"/>
      <c r="AW70" s="370"/>
      <c r="AX70" s="370"/>
      <c r="AY70" s="370"/>
      <c r="AZ70" s="370"/>
      <c r="BA70" s="507"/>
      <c r="BB70" s="505"/>
      <c r="BC70" s="505"/>
      <c r="BD70" s="370"/>
      <c r="BE70" s="370"/>
      <c r="BF70" s="370"/>
      <c r="BG70" s="370"/>
      <c r="BH70" s="370"/>
      <c r="BI70" s="370"/>
      <c r="BJ70" s="370"/>
      <c r="BK70" s="370"/>
      <c r="BL70" s="370"/>
      <c r="BM70" s="370"/>
      <c r="BN70" s="370"/>
      <c r="BO70" s="370"/>
      <c r="BP70" s="370"/>
      <c r="BQ70" s="370"/>
      <c r="BR70" s="370"/>
      <c r="BS70" s="370"/>
      <c r="BV70" s="508"/>
      <c r="BW70" s="369"/>
      <c r="BX70" s="370"/>
      <c r="BY70" s="370"/>
      <c r="BZ70" s="370"/>
      <c r="CA70" s="370"/>
      <c r="CB70" s="370"/>
      <c r="CC70" s="505"/>
      <c r="CD70" s="505"/>
      <c r="CE70" s="505"/>
      <c r="CF70" s="505"/>
      <c r="CG70" s="505"/>
      <c r="CH70" s="505"/>
      <c r="CI70" s="505"/>
      <c r="CJ70" s="505"/>
      <c r="CK70" s="505"/>
      <c r="CL70" s="505"/>
      <c r="CM70" s="505"/>
    </row>
    <row r="71" customFormat="false" ht="12.75" hidden="false" customHeight="false" outlineLevel="0" collapsed="false">
      <c r="A71" s="500"/>
      <c r="B71" s="500"/>
      <c r="K71" s="363"/>
      <c r="L71" s="501"/>
      <c r="N71" s="502"/>
      <c r="O71" s="502"/>
      <c r="P71" s="371"/>
      <c r="Q71" s="501"/>
      <c r="R71" s="501"/>
      <c r="U71" s="501"/>
      <c r="V71" s="503"/>
      <c r="W71" s="503"/>
      <c r="X71" s="504"/>
      <c r="Y71" s="504"/>
      <c r="Z71" s="504"/>
      <c r="AA71" s="504"/>
      <c r="AB71" s="504"/>
      <c r="AC71" s="504"/>
      <c r="AF71" s="378"/>
      <c r="AG71" s="378"/>
      <c r="AH71" s="378"/>
      <c r="AI71" s="378"/>
      <c r="AJ71" s="378"/>
      <c r="AM71" s="505"/>
      <c r="AN71" s="505"/>
      <c r="AO71" s="505"/>
      <c r="AP71" s="505"/>
      <c r="AR71" s="370"/>
      <c r="AT71" s="370"/>
      <c r="AV71" s="506"/>
      <c r="AW71" s="370"/>
      <c r="AX71" s="370"/>
      <c r="AY71" s="370"/>
      <c r="AZ71" s="370"/>
      <c r="BA71" s="507"/>
      <c r="BB71" s="505"/>
      <c r="BC71" s="505"/>
      <c r="BD71" s="370"/>
      <c r="BE71" s="370"/>
      <c r="BF71" s="370"/>
      <c r="BG71" s="370"/>
      <c r="BH71" s="370"/>
      <c r="BI71" s="370"/>
      <c r="BJ71" s="370"/>
      <c r="BK71" s="370"/>
      <c r="BL71" s="370"/>
      <c r="BM71" s="370"/>
      <c r="BN71" s="370"/>
      <c r="BO71" s="370"/>
      <c r="BP71" s="370"/>
      <c r="BQ71" s="370"/>
      <c r="BR71" s="370"/>
      <c r="BS71" s="370"/>
      <c r="BV71" s="508"/>
      <c r="BW71" s="369"/>
      <c r="BX71" s="370"/>
      <c r="BY71" s="370"/>
      <c r="BZ71" s="370"/>
      <c r="CA71" s="370"/>
      <c r="CB71" s="370"/>
      <c r="CC71" s="505"/>
      <c r="CD71" s="505"/>
      <c r="CE71" s="505"/>
      <c r="CF71" s="505"/>
      <c r="CG71" s="505"/>
      <c r="CH71" s="505"/>
      <c r="CI71" s="505"/>
      <c r="CJ71" s="505"/>
      <c r="CK71" s="505"/>
      <c r="CL71" s="505"/>
      <c r="CM71" s="505"/>
    </row>
    <row r="72" customFormat="false" ht="12.75" hidden="false" customHeight="false" outlineLevel="0" collapsed="false">
      <c r="A72" s="500"/>
      <c r="B72" s="500"/>
      <c r="K72" s="363"/>
      <c r="L72" s="501"/>
      <c r="N72" s="502"/>
      <c r="O72" s="502"/>
      <c r="P72" s="371"/>
      <c r="Q72" s="501"/>
      <c r="R72" s="501"/>
      <c r="U72" s="501"/>
      <c r="V72" s="503"/>
      <c r="W72" s="503"/>
      <c r="X72" s="504"/>
      <c r="Y72" s="504"/>
      <c r="Z72" s="504"/>
      <c r="AA72" s="504"/>
      <c r="AB72" s="504"/>
      <c r="AC72" s="504"/>
      <c r="AF72" s="378"/>
      <c r="AG72" s="378"/>
      <c r="AH72" s="378"/>
      <c r="AI72" s="378"/>
      <c r="AJ72" s="378"/>
      <c r="AM72" s="505"/>
      <c r="AN72" s="505"/>
      <c r="AO72" s="505"/>
      <c r="AP72" s="505"/>
      <c r="AR72" s="370"/>
      <c r="AT72" s="370"/>
      <c r="AV72" s="506"/>
      <c r="AW72" s="370"/>
      <c r="AX72" s="370"/>
      <c r="AY72" s="370"/>
      <c r="AZ72" s="370"/>
      <c r="BA72" s="507"/>
      <c r="BB72" s="505"/>
      <c r="BC72" s="505"/>
      <c r="BD72" s="370"/>
      <c r="BE72" s="370"/>
      <c r="BF72" s="370"/>
      <c r="BG72" s="370"/>
      <c r="BH72" s="370"/>
      <c r="BI72" s="370"/>
      <c r="BJ72" s="370"/>
      <c r="BK72" s="370"/>
      <c r="BL72" s="370"/>
      <c r="BM72" s="370"/>
      <c r="BN72" s="370"/>
      <c r="BO72" s="370"/>
      <c r="BP72" s="370"/>
      <c r="BQ72" s="370"/>
      <c r="BR72" s="370"/>
      <c r="BS72" s="370"/>
      <c r="BV72" s="508"/>
      <c r="BW72" s="369"/>
      <c r="BX72" s="370"/>
      <c r="BY72" s="370"/>
      <c r="BZ72" s="370"/>
      <c r="CA72" s="370"/>
      <c r="CB72" s="370"/>
      <c r="CC72" s="505"/>
      <c r="CD72" s="505"/>
      <c r="CE72" s="505"/>
      <c r="CF72" s="505"/>
      <c r="CG72" s="505"/>
      <c r="CH72" s="505"/>
      <c r="CI72" s="505"/>
      <c r="CJ72" s="505"/>
      <c r="CK72" s="505"/>
      <c r="CL72" s="505"/>
      <c r="CM72" s="505"/>
    </row>
    <row r="73" customFormat="false" ht="12.75" hidden="false" customHeight="false" outlineLevel="0" collapsed="false">
      <c r="A73" s="500"/>
      <c r="B73" s="500"/>
      <c r="K73" s="363"/>
      <c r="L73" s="501"/>
      <c r="N73" s="502"/>
      <c r="O73" s="502"/>
      <c r="P73" s="371"/>
      <c r="Q73" s="501"/>
      <c r="R73" s="501"/>
      <c r="U73" s="501"/>
      <c r="V73" s="503"/>
      <c r="W73" s="503"/>
      <c r="X73" s="504"/>
      <c r="Y73" s="504"/>
      <c r="Z73" s="504"/>
      <c r="AA73" s="504"/>
      <c r="AB73" s="504"/>
      <c r="AC73" s="504"/>
      <c r="AF73" s="378"/>
      <c r="AG73" s="378"/>
      <c r="AH73" s="378"/>
      <c r="AI73" s="378"/>
      <c r="AJ73" s="378"/>
      <c r="AM73" s="505"/>
      <c r="AN73" s="505"/>
      <c r="AO73" s="505"/>
      <c r="AP73" s="505"/>
      <c r="AR73" s="370"/>
      <c r="AT73" s="370"/>
      <c r="AV73" s="506"/>
      <c r="AW73" s="370"/>
      <c r="AX73" s="370"/>
      <c r="AY73" s="370"/>
      <c r="AZ73" s="370"/>
      <c r="BA73" s="507"/>
      <c r="BB73" s="505"/>
      <c r="BC73" s="505"/>
      <c r="BD73" s="370"/>
      <c r="BE73" s="370"/>
      <c r="BF73" s="370"/>
      <c r="BG73" s="370"/>
      <c r="BH73" s="370"/>
      <c r="BI73" s="370"/>
      <c r="BJ73" s="370"/>
      <c r="BK73" s="370"/>
      <c r="BL73" s="370"/>
      <c r="BM73" s="370"/>
      <c r="BN73" s="370"/>
      <c r="BO73" s="370"/>
      <c r="BP73" s="370"/>
      <c r="BQ73" s="370"/>
      <c r="BR73" s="370"/>
      <c r="BS73" s="370"/>
      <c r="BV73" s="508"/>
      <c r="BW73" s="369"/>
      <c r="BX73" s="370"/>
      <c r="BY73" s="370"/>
      <c r="BZ73" s="370"/>
      <c r="CA73" s="370"/>
      <c r="CB73" s="370"/>
      <c r="CC73" s="505"/>
      <c r="CD73" s="505"/>
      <c r="CE73" s="505"/>
      <c r="CF73" s="505"/>
      <c r="CG73" s="505"/>
      <c r="CH73" s="505"/>
      <c r="CI73" s="505"/>
      <c r="CJ73" s="505"/>
      <c r="CK73" s="505"/>
      <c r="CL73" s="505"/>
      <c r="CM73" s="505"/>
    </row>
    <row r="74" customFormat="false" ht="12.75" hidden="false" customHeight="false" outlineLevel="0" collapsed="false">
      <c r="A74" s="500"/>
      <c r="B74" s="500"/>
      <c r="K74" s="363"/>
      <c r="L74" s="501"/>
      <c r="N74" s="502"/>
      <c r="O74" s="502"/>
      <c r="P74" s="371"/>
      <c r="Q74" s="501"/>
      <c r="R74" s="501"/>
      <c r="U74" s="501"/>
      <c r="V74" s="503"/>
      <c r="W74" s="503"/>
      <c r="X74" s="504"/>
      <c r="Y74" s="504"/>
      <c r="Z74" s="504"/>
      <c r="AA74" s="504"/>
      <c r="AB74" s="504"/>
      <c r="AC74" s="504"/>
      <c r="AF74" s="378"/>
      <c r="AG74" s="378"/>
      <c r="AH74" s="378"/>
      <c r="AI74" s="378"/>
      <c r="AJ74" s="378"/>
      <c r="AM74" s="505"/>
      <c r="AN74" s="505"/>
      <c r="AO74" s="505"/>
      <c r="AP74" s="505"/>
      <c r="AR74" s="370"/>
      <c r="AT74" s="370"/>
      <c r="AV74" s="506"/>
      <c r="AW74" s="370"/>
      <c r="AX74" s="370"/>
      <c r="AY74" s="370"/>
      <c r="AZ74" s="370"/>
      <c r="BA74" s="507"/>
      <c r="BB74" s="505"/>
      <c r="BC74" s="505"/>
      <c r="BD74" s="370"/>
      <c r="BE74" s="370"/>
      <c r="BF74" s="370"/>
      <c r="BG74" s="370"/>
      <c r="BH74" s="370"/>
      <c r="BI74" s="370"/>
      <c r="BJ74" s="370"/>
      <c r="BK74" s="370"/>
      <c r="BL74" s="370"/>
      <c r="BM74" s="370"/>
      <c r="BN74" s="370"/>
      <c r="BO74" s="370"/>
      <c r="BP74" s="370"/>
      <c r="BQ74" s="370"/>
      <c r="BR74" s="370"/>
      <c r="BS74" s="370"/>
      <c r="BV74" s="508"/>
      <c r="BW74" s="369"/>
      <c r="BX74" s="370"/>
      <c r="BY74" s="370"/>
      <c r="BZ74" s="370"/>
      <c r="CA74" s="370"/>
      <c r="CB74" s="370"/>
      <c r="CC74" s="505"/>
      <c r="CD74" s="505"/>
      <c r="CE74" s="505"/>
      <c r="CF74" s="505"/>
      <c r="CG74" s="505"/>
      <c r="CH74" s="505"/>
      <c r="CI74" s="505"/>
      <c r="CJ74" s="505"/>
      <c r="CK74" s="505"/>
      <c r="CL74" s="505"/>
      <c r="CM74" s="505"/>
    </row>
    <row r="75" customFormat="false" ht="12.75" hidden="false" customHeight="false" outlineLevel="0" collapsed="false">
      <c r="A75" s="500"/>
      <c r="B75" s="500"/>
      <c r="K75" s="363"/>
      <c r="L75" s="501"/>
      <c r="N75" s="502"/>
      <c r="O75" s="502"/>
      <c r="P75" s="371"/>
      <c r="Q75" s="501"/>
      <c r="R75" s="501"/>
      <c r="U75" s="501"/>
      <c r="V75" s="503"/>
      <c r="W75" s="503"/>
      <c r="X75" s="504"/>
      <c r="Y75" s="504"/>
      <c r="Z75" s="504"/>
      <c r="AA75" s="504"/>
      <c r="AB75" s="504"/>
      <c r="AC75" s="504"/>
      <c r="AF75" s="378"/>
      <c r="AG75" s="378"/>
      <c r="AH75" s="378"/>
      <c r="AI75" s="378"/>
      <c r="AJ75" s="378"/>
      <c r="AM75" s="505"/>
      <c r="AN75" s="505"/>
      <c r="AO75" s="505"/>
      <c r="AP75" s="505"/>
      <c r="AR75" s="370"/>
      <c r="AT75" s="370"/>
      <c r="AV75" s="506"/>
      <c r="AW75" s="370"/>
      <c r="AX75" s="370"/>
      <c r="AY75" s="370"/>
      <c r="AZ75" s="370"/>
      <c r="BA75" s="507"/>
      <c r="BB75" s="505"/>
      <c r="BC75" s="505"/>
      <c r="BD75" s="370"/>
      <c r="BE75" s="370"/>
      <c r="BF75" s="370"/>
      <c r="BG75" s="370"/>
      <c r="BH75" s="370"/>
      <c r="BI75" s="370"/>
      <c r="BJ75" s="370"/>
      <c r="BK75" s="370"/>
      <c r="BL75" s="370"/>
      <c r="BM75" s="370"/>
      <c r="BN75" s="370"/>
      <c r="BO75" s="370"/>
      <c r="BP75" s="370"/>
      <c r="BQ75" s="370"/>
      <c r="BR75" s="370"/>
      <c r="BS75" s="370"/>
      <c r="BV75" s="508"/>
      <c r="BW75" s="369"/>
      <c r="BX75" s="370"/>
      <c r="BY75" s="370"/>
      <c r="BZ75" s="370"/>
      <c r="CA75" s="370"/>
      <c r="CB75" s="370"/>
      <c r="CC75" s="505"/>
      <c r="CD75" s="505"/>
      <c r="CE75" s="505"/>
      <c r="CF75" s="505"/>
      <c r="CG75" s="505"/>
      <c r="CH75" s="505"/>
      <c r="CI75" s="505"/>
      <c r="CJ75" s="505"/>
      <c r="CK75" s="505"/>
      <c r="CL75" s="505"/>
      <c r="CM75" s="505"/>
    </row>
    <row r="76" customFormat="false" ht="12.75" hidden="false" customHeight="false" outlineLevel="0" collapsed="false">
      <c r="A76" s="500"/>
      <c r="B76" s="500"/>
      <c r="K76" s="363"/>
      <c r="L76" s="501"/>
      <c r="N76" s="502"/>
      <c r="O76" s="502"/>
      <c r="P76" s="371"/>
      <c r="Q76" s="501"/>
      <c r="R76" s="501"/>
      <c r="U76" s="501"/>
      <c r="V76" s="503"/>
      <c r="W76" s="503"/>
      <c r="X76" s="504"/>
      <c r="Y76" s="504"/>
      <c r="Z76" s="504"/>
      <c r="AA76" s="504"/>
      <c r="AB76" s="504"/>
      <c r="AC76" s="504"/>
      <c r="AF76" s="378"/>
      <c r="AG76" s="378"/>
      <c r="AH76" s="378"/>
      <c r="AI76" s="378"/>
      <c r="AJ76" s="378"/>
      <c r="AM76" s="505"/>
      <c r="AN76" s="505"/>
      <c r="AO76" s="505"/>
      <c r="AP76" s="505"/>
      <c r="AR76" s="370"/>
      <c r="AT76" s="370"/>
      <c r="AV76" s="506"/>
      <c r="AW76" s="370"/>
      <c r="AX76" s="370"/>
      <c r="AY76" s="370"/>
      <c r="AZ76" s="370"/>
      <c r="BA76" s="507"/>
      <c r="BB76" s="505"/>
      <c r="BC76" s="505"/>
      <c r="BD76" s="370"/>
      <c r="BE76" s="370"/>
      <c r="BF76" s="370"/>
      <c r="BG76" s="370"/>
      <c r="BH76" s="370"/>
      <c r="BI76" s="370"/>
      <c r="BJ76" s="370"/>
      <c r="BK76" s="370"/>
      <c r="BL76" s="370"/>
      <c r="BM76" s="370"/>
      <c r="BN76" s="370"/>
      <c r="BO76" s="370"/>
      <c r="BP76" s="370"/>
      <c r="BQ76" s="370"/>
      <c r="BR76" s="370"/>
      <c r="BS76" s="370"/>
      <c r="BV76" s="508"/>
      <c r="BW76" s="369"/>
      <c r="BX76" s="370"/>
      <c r="BY76" s="370"/>
      <c r="BZ76" s="370"/>
      <c r="CA76" s="370"/>
      <c r="CB76" s="370"/>
      <c r="CC76" s="505"/>
      <c r="CD76" s="505"/>
      <c r="CE76" s="505"/>
      <c r="CF76" s="505"/>
      <c r="CG76" s="505"/>
      <c r="CH76" s="505"/>
      <c r="CI76" s="505"/>
      <c r="CJ76" s="505"/>
      <c r="CK76" s="505"/>
      <c r="CL76" s="505"/>
      <c r="CM76" s="505"/>
    </row>
    <row r="77" customFormat="false" ht="12.75" hidden="false" customHeight="false" outlineLevel="0" collapsed="false">
      <c r="A77" s="500"/>
      <c r="B77" s="500"/>
      <c r="K77" s="363"/>
      <c r="L77" s="501"/>
      <c r="N77" s="502"/>
      <c r="O77" s="502"/>
      <c r="P77" s="371"/>
      <c r="Q77" s="501"/>
      <c r="R77" s="501"/>
      <c r="U77" s="501"/>
      <c r="V77" s="503"/>
      <c r="W77" s="503"/>
      <c r="X77" s="504"/>
      <c r="Y77" s="504"/>
      <c r="Z77" s="504"/>
      <c r="AA77" s="504"/>
      <c r="AB77" s="504"/>
      <c r="AC77" s="504"/>
      <c r="AF77" s="378"/>
      <c r="AG77" s="378"/>
      <c r="AH77" s="378"/>
      <c r="AI77" s="378"/>
      <c r="AJ77" s="378"/>
      <c r="AM77" s="505"/>
      <c r="AN77" s="505"/>
      <c r="AO77" s="505"/>
      <c r="AP77" s="505"/>
      <c r="AR77" s="370"/>
      <c r="AT77" s="370"/>
      <c r="AV77" s="506"/>
      <c r="AW77" s="370"/>
      <c r="AX77" s="370"/>
      <c r="AY77" s="370"/>
      <c r="AZ77" s="370"/>
      <c r="BA77" s="507"/>
      <c r="BB77" s="505"/>
      <c r="BC77" s="505"/>
      <c r="BD77" s="370"/>
      <c r="BE77" s="370"/>
      <c r="BF77" s="370"/>
      <c r="BG77" s="370"/>
      <c r="BH77" s="370"/>
      <c r="BI77" s="370"/>
      <c r="BJ77" s="370"/>
      <c r="BK77" s="370"/>
      <c r="BL77" s="370"/>
      <c r="BM77" s="370"/>
      <c r="BN77" s="370"/>
      <c r="BO77" s="370"/>
      <c r="BP77" s="370"/>
      <c r="BQ77" s="370"/>
      <c r="BR77" s="370"/>
      <c r="BS77" s="370"/>
      <c r="BV77" s="508"/>
      <c r="BW77" s="369"/>
      <c r="BX77" s="370"/>
      <c r="BY77" s="370"/>
      <c r="BZ77" s="370"/>
      <c r="CA77" s="370"/>
      <c r="CB77" s="370"/>
      <c r="CC77" s="505"/>
      <c r="CD77" s="505"/>
      <c r="CE77" s="505"/>
      <c r="CF77" s="505"/>
      <c r="CG77" s="505"/>
      <c r="CH77" s="505"/>
      <c r="CI77" s="505"/>
      <c r="CJ77" s="505"/>
      <c r="CK77" s="505"/>
      <c r="CL77" s="505"/>
      <c r="CM77" s="505"/>
    </row>
    <row r="78" customFormat="false" ht="12.75" hidden="false" customHeight="false" outlineLevel="0" collapsed="false">
      <c r="A78" s="500"/>
      <c r="B78" s="500"/>
      <c r="K78" s="363"/>
      <c r="L78" s="501"/>
      <c r="N78" s="502"/>
      <c r="O78" s="502"/>
      <c r="P78" s="371"/>
      <c r="Q78" s="501"/>
      <c r="R78" s="501"/>
      <c r="U78" s="501"/>
      <c r="V78" s="503"/>
      <c r="W78" s="503"/>
      <c r="X78" s="504"/>
      <c r="Y78" s="504"/>
      <c r="Z78" s="504"/>
      <c r="AA78" s="504"/>
      <c r="AB78" s="504"/>
      <c r="AC78" s="504"/>
      <c r="AF78" s="378"/>
      <c r="AG78" s="378"/>
      <c r="AH78" s="378"/>
      <c r="AI78" s="378"/>
      <c r="AJ78" s="378"/>
      <c r="AM78" s="505"/>
      <c r="AN78" s="505"/>
      <c r="AO78" s="505"/>
      <c r="AP78" s="505"/>
      <c r="AR78" s="370"/>
      <c r="AT78" s="370"/>
      <c r="AV78" s="506"/>
      <c r="AW78" s="370"/>
      <c r="AX78" s="370"/>
      <c r="AY78" s="370"/>
      <c r="AZ78" s="370"/>
      <c r="BA78" s="507"/>
      <c r="BB78" s="505"/>
      <c r="BC78" s="505"/>
      <c r="BD78" s="370"/>
      <c r="BE78" s="370"/>
      <c r="BF78" s="370"/>
      <c r="BG78" s="370"/>
      <c r="BH78" s="370"/>
      <c r="BI78" s="370"/>
      <c r="BJ78" s="370"/>
      <c r="BK78" s="370"/>
      <c r="BL78" s="370"/>
      <c r="BM78" s="370"/>
      <c r="BN78" s="370"/>
      <c r="BO78" s="370"/>
      <c r="BP78" s="370"/>
      <c r="BQ78" s="370"/>
      <c r="BR78" s="370"/>
      <c r="BS78" s="370"/>
      <c r="BV78" s="508"/>
      <c r="BW78" s="369"/>
      <c r="BX78" s="370"/>
      <c r="BY78" s="370"/>
      <c r="BZ78" s="370"/>
      <c r="CA78" s="370"/>
      <c r="CB78" s="370"/>
      <c r="CC78" s="505"/>
      <c r="CD78" s="505"/>
      <c r="CE78" s="505"/>
      <c r="CF78" s="505"/>
      <c r="CG78" s="505"/>
      <c r="CH78" s="505"/>
      <c r="CI78" s="505"/>
      <c r="CJ78" s="505"/>
      <c r="CK78" s="505"/>
      <c r="CL78" s="505"/>
      <c r="CM78" s="505"/>
    </row>
    <row r="79" customFormat="false" ht="12.75" hidden="false" customHeight="false" outlineLevel="0" collapsed="false">
      <c r="A79" s="500"/>
      <c r="B79" s="500"/>
      <c r="K79" s="363"/>
      <c r="L79" s="501"/>
      <c r="N79" s="502"/>
      <c r="O79" s="502"/>
      <c r="P79" s="371"/>
      <c r="Q79" s="501"/>
      <c r="R79" s="501"/>
      <c r="U79" s="501"/>
      <c r="V79" s="503"/>
      <c r="W79" s="503"/>
      <c r="X79" s="504"/>
      <c r="Y79" s="504"/>
      <c r="Z79" s="504"/>
      <c r="AA79" s="504"/>
      <c r="AB79" s="504"/>
      <c r="AC79" s="504"/>
      <c r="AF79" s="378"/>
      <c r="AG79" s="378"/>
      <c r="AH79" s="378"/>
      <c r="AI79" s="378"/>
      <c r="AJ79" s="378"/>
      <c r="AM79" s="505"/>
      <c r="AN79" s="505"/>
      <c r="AO79" s="505"/>
      <c r="AP79" s="505"/>
      <c r="AR79" s="370"/>
      <c r="AT79" s="370"/>
      <c r="AV79" s="506"/>
      <c r="AW79" s="370"/>
      <c r="AX79" s="370"/>
      <c r="AY79" s="370"/>
      <c r="AZ79" s="370"/>
      <c r="BA79" s="507"/>
      <c r="BB79" s="505"/>
      <c r="BC79" s="505"/>
      <c r="BD79" s="370"/>
      <c r="BE79" s="370"/>
      <c r="BF79" s="370"/>
      <c r="BG79" s="370"/>
      <c r="BH79" s="370"/>
      <c r="BI79" s="370"/>
      <c r="BJ79" s="370"/>
      <c r="BK79" s="370"/>
      <c r="BL79" s="370"/>
      <c r="BM79" s="370"/>
      <c r="BN79" s="370"/>
      <c r="BO79" s="370"/>
      <c r="BP79" s="370"/>
      <c r="BQ79" s="370"/>
      <c r="BR79" s="370"/>
      <c r="BS79" s="370"/>
      <c r="BV79" s="508"/>
      <c r="BW79" s="369"/>
      <c r="BX79" s="370"/>
      <c r="BY79" s="370"/>
      <c r="BZ79" s="370"/>
      <c r="CA79" s="370"/>
      <c r="CB79" s="370"/>
      <c r="CC79" s="505"/>
      <c r="CD79" s="505"/>
      <c r="CE79" s="505"/>
      <c r="CF79" s="505"/>
      <c r="CG79" s="505"/>
      <c r="CH79" s="505"/>
      <c r="CI79" s="505"/>
      <c r="CJ79" s="505"/>
      <c r="CK79" s="505"/>
      <c r="CL79" s="505"/>
      <c r="CM79" s="505"/>
    </row>
    <row r="80" customFormat="false" ht="12.75" hidden="false" customHeight="false" outlineLevel="0" collapsed="false">
      <c r="A80" s="500"/>
      <c r="B80" s="500"/>
      <c r="K80" s="363"/>
      <c r="L80" s="501"/>
      <c r="N80" s="502"/>
      <c r="O80" s="502"/>
      <c r="P80" s="371"/>
      <c r="Q80" s="501"/>
      <c r="R80" s="501"/>
      <c r="U80" s="501"/>
      <c r="V80" s="503"/>
      <c r="W80" s="503"/>
      <c r="X80" s="504"/>
      <c r="Y80" s="504"/>
      <c r="Z80" s="504"/>
      <c r="AA80" s="504"/>
      <c r="AB80" s="504"/>
      <c r="AC80" s="504"/>
      <c r="AF80" s="378"/>
      <c r="AG80" s="378"/>
      <c r="AH80" s="378"/>
      <c r="AI80" s="378"/>
      <c r="AJ80" s="378"/>
      <c r="AM80" s="505"/>
      <c r="AN80" s="505"/>
      <c r="AO80" s="505"/>
      <c r="AP80" s="505"/>
      <c r="AR80" s="370"/>
      <c r="AT80" s="370"/>
      <c r="AV80" s="506"/>
      <c r="AW80" s="370"/>
      <c r="AX80" s="370"/>
      <c r="AY80" s="370"/>
      <c r="AZ80" s="370"/>
      <c r="BA80" s="507"/>
      <c r="BB80" s="505"/>
      <c r="BC80" s="505"/>
      <c r="BD80" s="370"/>
      <c r="BE80" s="370"/>
      <c r="BF80" s="370"/>
      <c r="BG80" s="370"/>
      <c r="BH80" s="370"/>
      <c r="BI80" s="370"/>
      <c r="BJ80" s="370"/>
      <c r="BK80" s="370"/>
      <c r="BL80" s="370"/>
      <c r="BM80" s="370"/>
      <c r="BN80" s="370"/>
      <c r="BO80" s="370"/>
      <c r="BP80" s="370"/>
      <c r="BQ80" s="370"/>
      <c r="BR80" s="370"/>
      <c r="BS80" s="370"/>
      <c r="BV80" s="508"/>
      <c r="BW80" s="369"/>
      <c r="BX80" s="370"/>
      <c r="BY80" s="370"/>
      <c r="BZ80" s="370"/>
      <c r="CA80" s="370"/>
      <c r="CB80" s="370"/>
      <c r="CC80" s="505"/>
      <c r="CD80" s="505"/>
      <c r="CE80" s="505"/>
      <c r="CF80" s="505"/>
      <c r="CG80" s="505"/>
      <c r="CH80" s="505"/>
      <c r="CI80" s="505"/>
      <c r="CJ80" s="505"/>
      <c r="CK80" s="505"/>
      <c r="CL80" s="505"/>
      <c r="CM80" s="505"/>
    </row>
    <row r="81" customFormat="false" ht="12.75" hidden="false" customHeight="false" outlineLevel="0" collapsed="false">
      <c r="A81" s="500"/>
      <c r="B81" s="500"/>
      <c r="K81" s="363"/>
      <c r="L81" s="501"/>
      <c r="N81" s="502"/>
      <c r="O81" s="502"/>
      <c r="P81" s="371"/>
      <c r="Q81" s="501"/>
      <c r="R81" s="501"/>
      <c r="U81" s="501"/>
      <c r="V81" s="503"/>
      <c r="W81" s="503"/>
      <c r="X81" s="504"/>
      <c r="Y81" s="504"/>
      <c r="Z81" s="504"/>
      <c r="AA81" s="504"/>
      <c r="AB81" s="504"/>
      <c r="AC81" s="504"/>
      <c r="AF81" s="378"/>
      <c r="AG81" s="378"/>
      <c r="AH81" s="378"/>
      <c r="AI81" s="378"/>
      <c r="AJ81" s="378"/>
      <c r="AM81" s="505"/>
      <c r="AN81" s="505"/>
      <c r="AO81" s="505"/>
      <c r="AP81" s="505"/>
      <c r="AR81" s="370"/>
      <c r="AT81" s="370"/>
      <c r="AV81" s="506"/>
      <c r="AW81" s="370"/>
      <c r="AX81" s="370"/>
      <c r="AY81" s="370"/>
      <c r="AZ81" s="370"/>
      <c r="BA81" s="507"/>
      <c r="BB81" s="505"/>
      <c r="BC81" s="505"/>
      <c r="BD81" s="370"/>
      <c r="BE81" s="370"/>
      <c r="BF81" s="370"/>
      <c r="BG81" s="370"/>
      <c r="BH81" s="370"/>
      <c r="BI81" s="370"/>
      <c r="BJ81" s="370"/>
      <c r="BK81" s="370"/>
      <c r="BL81" s="370"/>
      <c r="BM81" s="370"/>
      <c r="BN81" s="370"/>
      <c r="BO81" s="370"/>
      <c r="BP81" s="370"/>
      <c r="BQ81" s="370"/>
      <c r="BR81" s="370"/>
      <c r="BS81" s="370"/>
      <c r="BV81" s="508"/>
      <c r="BW81" s="369"/>
      <c r="BX81" s="370"/>
      <c r="BY81" s="370"/>
      <c r="BZ81" s="370"/>
      <c r="CA81" s="370"/>
      <c r="CB81" s="370"/>
      <c r="CC81" s="505"/>
      <c r="CD81" s="505"/>
      <c r="CE81" s="505"/>
      <c r="CF81" s="505"/>
      <c r="CG81" s="505"/>
      <c r="CH81" s="505"/>
      <c r="CI81" s="505"/>
      <c r="CJ81" s="505"/>
      <c r="CK81" s="505"/>
      <c r="CL81" s="505"/>
      <c r="CM81" s="505"/>
    </row>
    <row r="82" customFormat="false" ht="12.75" hidden="false" customHeight="false" outlineLevel="0" collapsed="false">
      <c r="A82" s="500"/>
      <c r="B82" s="500"/>
      <c r="K82" s="363"/>
      <c r="L82" s="501"/>
      <c r="N82" s="502"/>
      <c r="O82" s="502"/>
      <c r="P82" s="371"/>
      <c r="Q82" s="501"/>
      <c r="R82" s="501"/>
      <c r="U82" s="501"/>
      <c r="V82" s="503"/>
      <c r="W82" s="503"/>
      <c r="X82" s="504"/>
      <c r="Y82" s="504"/>
      <c r="Z82" s="504"/>
      <c r="AA82" s="504"/>
      <c r="AB82" s="504"/>
      <c r="AC82" s="504"/>
      <c r="AF82" s="378"/>
      <c r="AG82" s="378"/>
      <c r="AH82" s="378"/>
      <c r="AI82" s="378"/>
      <c r="AJ82" s="378"/>
      <c r="AM82" s="505"/>
      <c r="AN82" s="505"/>
      <c r="AO82" s="505"/>
      <c r="AP82" s="505"/>
      <c r="AR82" s="370"/>
      <c r="AT82" s="370"/>
      <c r="AV82" s="506"/>
      <c r="AW82" s="370"/>
      <c r="AX82" s="370"/>
      <c r="AY82" s="370"/>
      <c r="AZ82" s="370"/>
      <c r="BA82" s="507"/>
      <c r="BB82" s="505"/>
      <c r="BC82" s="505"/>
      <c r="BD82" s="370"/>
      <c r="BE82" s="370"/>
      <c r="BF82" s="370"/>
      <c r="BG82" s="370"/>
      <c r="BH82" s="370"/>
      <c r="BI82" s="370"/>
      <c r="BJ82" s="370"/>
      <c r="BK82" s="370"/>
      <c r="BL82" s="370"/>
      <c r="BM82" s="370"/>
      <c r="BN82" s="370"/>
      <c r="BO82" s="370"/>
      <c r="BP82" s="370"/>
      <c r="BQ82" s="370"/>
      <c r="BR82" s="370"/>
      <c r="BS82" s="370"/>
      <c r="BV82" s="508"/>
      <c r="BW82" s="369"/>
      <c r="BX82" s="370"/>
      <c r="BY82" s="370"/>
      <c r="BZ82" s="370"/>
      <c r="CA82" s="370"/>
      <c r="CB82" s="370"/>
      <c r="CC82" s="505"/>
      <c r="CD82" s="505"/>
      <c r="CE82" s="505"/>
      <c r="CF82" s="505"/>
      <c r="CG82" s="505"/>
      <c r="CH82" s="505"/>
      <c r="CI82" s="505"/>
      <c r="CJ82" s="505"/>
      <c r="CK82" s="505"/>
      <c r="CL82" s="505"/>
      <c r="CM82" s="505"/>
    </row>
    <row r="83" customFormat="false" ht="12.75" hidden="false" customHeight="false" outlineLevel="0" collapsed="false">
      <c r="A83" s="500"/>
      <c r="B83" s="500"/>
      <c r="K83" s="363"/>
      <c r="L83" s="501"/>
      <c r="N83" s="502"/>
      <c r="O83" s="502"/>
      <c r="P83" s="371"/>
      <c r="Q83" s="501"/>
      <c r="R83" s="501"/>
      <c r="U83" s="501"/>
      <c r="V83" s="503"/>
      <c r="W83" s="503"/>
      <c r="X83" s="504"/>
      <c r="Y83" s="504"/>
      <c r="Z83" s="504"/>
      <c r="AA83" s="504"/>
      <c r="AB83" s="504"/>
      <c r="AC83" s="504"/>
      <c r="AF83" s="378"/>
      <c r="AG83" s="378"/>
      <c r="AH83" s="378"/>
      <c r="AI83" s="378"/>
      <c r="AJ83" s="378"/>
      <c r="AM83" s="505"/>
      <c r="AN83" s="505"/>
      <c r="AO83" s="505"/>
      <c r="AP83" s="505"/>
      <c r="AR83" s="370"/>
      <c r="AT83" s="370"/>
      <c r="AV83" s="506"/>
      <c r="AW83" s="370"/>
      <c r="AX83" s="370"/>
      <c r="AY83" s="370"/>
      <c r="AZ83" s="370"/>
      <c r="BA83" s="507"/>
      <c r="BB83" s="505"/>
      <c r="BC83" s="505"/>
      <c r="BD83" s="370"/>
      <c r="BE83" s="370"/>
      <c r="BF83" s="370"/>
      <c r="BG83" s="370"/>
      <c r="BH83" s="370"/>
      <c r="BI83" s="370"/>
      <c r="BJ83" s="370"/>
      <c r="BK83" s="370"/>
      <c r="BL83" s="370"/>
      <c r="BM83" s="370"/>
      <c r="BN83" s="370"/>
      <c r="BO83" s="370"/>
      <c r="BP83" s="370"/>
      <c r="BQ83" s="370"/>
      <c r="BR83" s="370"/>
      <c r="BS83" s="370"/>
      <c r="BV83" s="508"/>
      <c r="BW83" s="369"/>
      <c r="BX83" s="370"/>
      <c r="BY83" s="370"/>
      <c r="BZ83" s="370"/>
      <c r="CA83" s="370"/>
      <c r="CB83" s="370"/>
      <c r="CC83" s="505"/>
      <c r="CD83" s="505"/>
      <c r="CE83" s="505"/>
      <c r="CF83" s="505"/>
      <c r="CG83" s="505"/>
      <c r="CH83" s="505"/>
      <c r="CI83" s="505"/>
      <c r="CJ83" s="505"/>
      <c r="CK83" s="505"/>
      <c r="CL83" s="505"/>
      <c r="CM83" s="505"/>
    </row>
    <row r="84" customFormat="false" ht="12.75" hidden="false" customHeight="false" outlineLevel="0" collapsed="false">
      <c r="A84" s="500"/>
      <c r="B84" s="500"/>
      <c r="K84" s="363"/>
      <c r="L84" s="501"/>
      <c r="N84" s="502"/>
      <c r="O84" s="502"/>
      <c r="P84" s="371"/>
      <c r="Q84" s="501"/>
      <c r="R84" s="501"/>
      <c r="U84" s="501"/>
      <c r="V84" s="503"/>
      <c r="W84" s="503"/>
      <c r="X84" s="504"/>
      <c r="Y84" s="504"/>
      <c r="Z84" s="504"/>
      <c r="AA84" s="504"/>
      <c r="AB84" s="504"/>
      <c r="AC84" s="504"/>
      <c r="AF84" s="378"/>
      <c r="AG84" s="378"/>
      <c r="AH84" s="378"/>
      <c r="AI84" s="378"/>
      <c r="AJ84" s="378"/>
      <c r="AM84" s="505"/>
      <c r="AN84" s="505"/>
      <c r="AO84" s="505"/>
      <c r="AP84" s="505"/>
      <c r="AR84" s="370"/>
      <c r="AT84" s="370"/>
      <c r="AV84" s="506"/>
      <c r="AW84" s="370"/>
      <c r="AX84" s="370"/>
      <c r="AY84" s="370"/>
      <c r="AZ84" s="370"/>
      <c r="BA84" s="507"/>
      <c r="BB84" s="505"/>
      <c r="BC84" s="505"/>
      <c r="BD84" s="370"/>
      <c r="BE84" s="370"/>
      <c r="BF84" s="370"/>
      <c r="BG84" s="370"/>
      <c r="BH84" s="370"/>
      <c r="BI84" s="370"/>
      <c r="BJ84" s="370"/>
      <c r="BK84" s="370"/>
      <c r="BL84" s="370"/>
      <c r="BM84" s="370"/>
      <c r="BN84" s="370"/>
      <c r="BO84" s="370"/>
      <c r="BP84" s="370"/>
      <c r="BQ84" s="370"/>
      <c r="BR84" s="370"/>
      <c r="BS84" s="370"/>
      <c r="BV84" s="508"/>
      <c r="BW84" s="369"/>
      <c r="BX84" s="370"/>
      <c r="BY84" s="370"/>
      <c r="BZ84" s="370"/>
      <c r="CA84" s="370"/>
      <c r="CB84" s="370"/>
      <c r="CC84" s="505"/>
      <c r="CD84" s="505"/>
      <c r="CE84" s="505"/>
      <c r="CF84" s="505"/>
      <c r="CG84" s="505"/>
      <c r="CH84" s="505"/>
      <c r="CI84" s="505"/>
      <c r="CJ84" s="505"/>
      <c r="CK84" s="505"/>
      <c r="CL84" s="505"/>
      <c r="CM84" s="505"/>
    </row>
    <row r="85" customFormat="false" ht="12.75" hidden="false" customHeight="false" outlineLevel="0" collapsed="false">
      <c r="A85" s="500"/>
      <c r="B85" s="500"/>
      <c r="K85" s="363"/>
      <c r="L85" s="501"/>
      <c r="N85" s="502"/>
      <c r="O85" s="502"/>
      <c r="P85" s="371"/>
      <c r="Q85" s="501"/>
      <c r="R85" s="501"/>
      <c r="U85" s="501"/>
      <c r="V85" s="503"/>
      <c r="W85" s="503"/>
      <c r="X85" s="504"/>
      <c r="Y85" s="504"/>
      <c r="Z85" s="504"/>
      <c r="AA85" s="504"/>
      <c r="AB85" s="504"/>
      <c r="AC85" s="504"/>
      <c r="AF85" s="378"/>
      <c r="AG85" s="378"/>
      <c r="AH85" s="378"/>
      <c r="AI85" s="378"/>
      <c r="AJ85" s="378"/>
      <c r="AM85" s="505"/>
      <c r="AN85" s="505"/>
      <c r="AO85" s="505"/>
      <c r="AP85" s="505"/>
      <c r="AR85" s="370"/>
      <c r="AT85" s="370"/>
      <c r="AV85" s="506"/>
      <c r="AW85" s="370"/>
      <c r="AX85" s="370"/>
      <c r="AY85" s="370"/>
      <c r="AZ85" s="370"/>
      <c r="BA85" s="507"/>
      <c r="BB85" s="505"/>
      <c r="BC85" s="505"/>
      <c r="BD85" s="370"/>
      <c r="BE85" s="370"/>
      <c r="BF85" s="370"/>
      <c r="BG85" s="370"/>
      <c r="BH85" s="370"/>
      <c r="BI85" s="370"/>
      <c r="BJ85" s="370"/>
      <c r="BK85" s="370"/>
      <c r="BL85" s="370"/>
      <c r="BM85" s="370"/>
      <c r="BN85" s="370"/>
      <c r="BO85" s="370"/>
      <c r="BP85" s="370"/>
      <c r="BQ85" s="370"/>
      <c r="BR85" s="370"/>
      <c r="BS85" s="370"/>
      <c r="BV85" s="508"/>
      <c r="BW85" s="369"/>
      <c r="BX85" s="370"/>
      <c r="BY85" s="370"/>
      <c r="BZ85" s="370"/>
      <c r="CA85" s="370"/>
      <c r="CB85" s="370"/>
      <c r="CC85" s="505"/>
      <c r="CD85" s="505"/>
      <c r="CE85" s="505"/>
      <c r="CF85" s="505"/>
      <c r="CG85" s="505"/>
      <c r="CH85" s="505"/>
      <c r="CI85" s="505"/>
      <c r="CJ85" s="505"/>
      <c r="CK85" s="505"/>
      <c r="CL85" s="505"/>
      <c r="CM85" s="505"/>
    </row>
    <row r="86" customFormat="false" ht="12.75" hidden="false" customHeight="false" outlineLevel="0" collapsed="false">
      <c r="A86" s="500"/>
      <c r="B86" s="500"/>
      <c r="K86" s="363"/>
      <c r="L86" s="501"/>
      <c r="N86" s="502"/>
      <c r="O86" s="502"/>
      <c r="P86" s="371"/>
      <c r="Q86" s="501"/>
      <c r="R86" s="501"/>
      <c r="U86" s="501"/>
      <c r="V86" s="503"/>
      <c r="W86" s="503"/>
      <c r="X86" s="504"/>
      <c r="Y86" s="504"/>
      <c r="Z86" s="504"/>
      <c r="AA86" s="504"/>
      <c r="AB86" s="504"/>
      <c r="AC86" s="504"/>
      <c r="AF86" s="378"/>
      <c r="AG86" s="378"/>
      <c r="AH86" s="378"/>
      <c r="AI86" s="378"/>
      <c r="AJ86" s="378"/>
      <c r="AM86" s="505"/>
      <c r="AN86" s="505"/>
      <c r="AO86" s="505"/>
      <c r="AP86" s="505"/>
      <c r="AR86" s="370"/>
      <c r="AT86" s="370"/>
      <c r="AV86" s="506"/>
      <c r="AW86" s="370"/>
      <c r="AX86" s="370"/>
      <c r="AY86" s="370"/>
      <c r="AZ86" s="370"/>
      <c r="BA86" s="507"/>
      <c r="BB86" s="505"/>
      <c r="BC86" s="505"/>
      <c r="BD86" s="370"/>
      <c r="BE86" s="370"/>
      <c r="BF86" s="370"/>
      <c r="BG86" s="370"/>
      <c r="BH86" s="370"/>
      <c r="BI86" s="370"/>
      <c r="BJ86" s="370"/>
      <c r="BK86" s="370"/>
      <c r="BL86" s="370"/>
      <c r="BM86" s="370"/>
      <c r="BN86" s="370"/>
      <c r="BO86" s="370"/>
      <c r="BP86" s="370"/>
      <c r="BQ86" s="370"/>
      <c r="BR86" s="370"/>
      <c r="BS86" s="370"/>
      <c r="BV86" s="508"/>
      <c r="BW86" s="369"/>
      <c r="BX86" s="370"/>
      <c r="BY86" s="370"/>
      <c r="BZ86" s="370"/>
      <c r="CA86" s="370"/>
      <c r="CB86" s="370"/>
      <c r="CC86" s="505"/>
      <c r="CD86" s="505"/>
      <c r="CE86" s="505"/>
      <c r="CF86" s="505"/>
      <c r="CG86" s="505"/>
      <c r="CH86" s="505"/>
      <c r="CI86" s="505"/>
      <c r="CJ86" s="505"/>
      <c r="CK86" s="505"/>
      <c r="CL86" s="505"/>
      <c r="CM86" s="505"/>
    </row>
    <row r="87" customFormat="false" ht="12.75" hidden="false" customHeight="false" outlineLevel="0" collapsed="false">
      <c r="A87" s="500"/>
      <c r="B87" s="500"/>
      <c r="K87" s="363"/>
      <c r="L87" s="501"/>
      <c r="N87" s="502"/>
      <c r="O87" s="502"/>
      <c r="P87" s="371"/>
      <c r="Q87" s="501"/>
      <c r="R87" s="501"/>
      <c r="U87" s="501"/>
      <c r="V87" s="503"/>
      <c r="W87" s="503"/>
      <c r="X87" s="504"/>
      <c r="Y87" s="504"/>
      <c r="Z87" s="504"/>
      <c r="AA87" s="504"/>
      <c r="AB87" s="504"/>
      <c r="AC87" s="504"/>
      <c r="AF87" s="378"/>
      <c r="AG87" s="378"/>
      <c r="AH87" s="378"/>
      <c r="AI87" s="378"/>
      <c r="AJ87" s="378"/>
      <c r="AM87" s="505"/>
      <c r="AN87" s="505"/>
      <c r="AO87" s="505"/>
      <c r="AP87" s="505"/>
      <c r="AR87" s="370"/>
      <c r="AT87" s="370"/>
      <c r="AV87" s="506"/>
      <c r="AW87" s="370"/>
      <c r="AX87" s="370"/>
      <c r="AY87" s="370"/>
      <c r="AZ87" s="370"/>
      <c r="BA87" s="507"/>
      <c r="BB87" s="505"/>
      <c r="BC87" s="505"/>
      <c r="BD87" s="370"/>
      <c r="BE87" s="370"/>
      <c r="BF87" s="370"/>
      <c r="BG87" s="370"/>
      <c r="BH87" s="370"/>
      <c r="BI87" s="370"/>
      <c r="BJ87" s="370"/>
      <c r="BK87" s="370"/>
      <c r="BL87" s="370"/>
      <c r="BM87" s="370"/>
      <c r="BN87" s="370"/>
      <c r="BO87" s="370"/>
      <c r="BP87" s="370"/>
      <c r="BQ87" s="370"/>
      <c r="BR87" s="370"/>
      <c r="BS87" s="370"/>
      <c r="BV87" s="508"/>
      <c r="BW87" s="369"/>
      <c r="BX87" s="370"/>
      <c r="BY87" s="370"/>
      <c r="BZ87" s="370"/>
      <c r="CA87" s="370"/>
      <c r="CB87" s="370"/>
      <c r="CC87" s="505"/>
      <c r="CD87" s="505"/>
      <c r="CE87" s="505"/>
      <c r="CF87" s="505"/>
      <c r="CG87" s="505"/>
      <c r="CH87" s="505"/>
      <c r="CI87" s="505"/>
      <c r="CJ87" s="505"/>
      <c r="CK87" s="505"/>
      <c r="CL87" s="505"/>
      <c r="CM87" s="505"/>
    </row>
    <row r="88" customFormat="false" ht="12.75" hidden="false" customHeight="false" outlineLevel="0" collapsed="false">
      <c r="A88" s="500"/>
      <c r="B88" s="500"/>
      <c r="K88" s="363"/>
      <c r="L88" s="501"/>
      <c r="N88" s="502"/>
      <c r="O88" s="502"/>
      <c r="P88" s="371"/>
      <c r="Q88" s="501"/>
      <c r="R88" s="501"/>
      <c r="U88" s="501"/>
      <c r="V88" s="503"/>
      <c r="W88" s="503"/>
      <c r="X88" s="504"/>
      <c r="Y88" s="504"/>
      <c r="Z88" s="504"/>
      <c r="AA88" s="504"/>
      <c r="AB88" s="504"/>
      <c r="AC88" s="504"/>
      <c r="AF88" s="378"/>
      <c r="AG88" s="378"/>
      <c r="AH88" s="378"/>
      <c r="AI88" s="378"/>
      <c r="AJ88" s="378"/>
      <c r="AM88" s="505"/>
      <c r="AN88" s="505"/>
      <c r="AO88" s="505"/>
      <c r="AP88" s="505"/>
      <c r="AR88" s="370"/>
      <c r="AT88" s="370"/>
      <c r="AV88" s="506"/>
      <c r="AW88" s="370"/>
      <c r="AX88" s="370"/>
      <c r="AY88" s="370"/>
      <c r="AZ88" s="370"/>
      <c r="BA88" s="507"/>
      <c r="BB88" s="505"/>
      <c r="BC88" s="505"/>
      <c r="BD88" s="370"/>
      <c r="BE88" s="370"/>
      <c r="BF88" s="370"/>
      <c r="BG88" s="370"/>
      <c r="BH88" s="370"/>
      <c r="BI88" s="370"/>
      <c r="BJ88" s="370"/>
      <c r="BK88" s="370"/>
      <c r="BL88" s="370"/>
      <c r="BM88" s="370"/>
      <c r="BN88" s="370"/>
      <c r="BO88" s="370"/>
      <c r="BP88" s="370"/>
      <c r="BQ88" s="370"/>
      <c r="BR88" s="370"/>
      <c r="BS88" s="370"/>
      <c r="BV88" s="508"/>
      <c r="BW88" s="369"/>
      <c r="BX88" s="370"/>
      <c r="BY88" s="370"/>
      <c r="BZ88" s="370"/>
      <c r="CA88" s="370"/>
      <c r="CB88" s="370"/>
      <c r="CC88" s="505"/>
      <c r="CD88" s="505"/>
      <c r="CE88" s="505"/>
      <c r="CF88" s="505"/>
      <c r="CG88" s="505"/>
      <c r="CH88" s="505"/>
      <c r="CI88" s="505"/>
      <c r="CJ88" s="505"/>
      <c r="CK88" s="505"/>
      <c r="CL88" s="505"/>
      <c r="CM88" s="505"/>
    </row>
    <row r="89" customFormat="false" ht="12.75" hidden="false" customHeight="false" outlineLevel="0" collapsed="false">
      <c r="A89" s="500"/>
      <c r="B89" s="500"/>
      <c r="K89" s="363"/>
      <c r="L89" s="501"/>
      <c r="N89" s="502"/>
      <c r="O89" s="502"/>
      <c r="P89" s="371"/>
      <c r="Q89" s="501"/>
      <c r="R89" s="501"/>
      <c r="U89" s="501"/>
      <c r="V89" s="503"/>
      <c r="W89" s="503"/>
      <c r="X89" s="504"/>
      <c r="Y89" s="504"/>
      <c r="Z89" s="504"/>
      <c r="AA89" s="504"/>
      <c r="AB89" s="504"/>
      <c r="AC89" s="504"/>
      <c r="AF89" s="378"/>
      <c r="AG89" s="378"/>
      <c r="AH89" s="378"/>
      <c r="AI89" s="378"/>
      <c r="AJ89" s="378"/>
      <c r="AM89" s="505"/>
      <c r="AN89" s="505"/>
      <c r="AO89" s="505"/>
      <c r="AP89" s="505"/>
      <c r="AR89" s="370"/>
      <c r="AT89" s="370"/>
      <c r="AV89" s="506"/>
      <c r="AW89" s="370"/>
      <c r="AX89" s="370"/>
      <c r="AY89" s="370"/>
      <c r="AZ89" s="370"/>
      <c r="BA89" s="507"/>
      <c r="BB89" s="505"/>
      <c r="BC89" s="505"/>
      <c r="BD89" s="370"/>
      <c r="BE89" s="370"/>
      <c r="BF89" s="370"/>
      <c r="BG89" s="370"/>
      <c r="BH89" s="370"/>
      <c r="BI89" s="370"/>
      <c r="BJ89" s="370"/>
      <c r="BK89" s="370"/>
      <c r="BL89" s="370"/>
      <c r="BM89" s="370"/>
      <c r="BN89" s="370"/>
      <c r="BO89" s="370"/>
      <c r="BP89" s="370"/>
      <c r="BQ89" s="370"/>
      <c r="BR89" s="370"/>
      <c r="BS89" s="370"/>
      <c r="BV89" s="508"/>
      <c r="BW89" s="369"/>
      <c r="BX89" s="370"/>
      <c r="BY89" s="370"/>
      <c r="BZ89" s="370"/>
      <c r="CA89" s="370"/>
      <c r="CB89" s="370"/>
      <c r="CC89" s="505"/>
      <c r="CD89" s="505"/>
      <c r="CE89" s="505"/>
      <c r="CF89" s="505"/>
      <c r="CG89" s="505"/>
      <c r="CH89" s="505"/>
      <c r="CI89" s="505"/>
      <c r="CJ89" s="505"/>
      <c r="CK89" s="505"/>
      <c r="CL89" s="505"/>
      <c r="CM89" s="505"/>
    </row>
    <row r="90" customFormat="false" ht="12.75" hidden="false" customHeight="false" outlineLevel="0" collapsed="false">
      <c r="A90" s="500"/>
      <c r="B90" s="500"/>
      <c r="K90" s="363"/>
      <c r="L90" s="501"/>
      <c r="N90" s="502"/>
      <c r="O90" s="502"/>
      <c r="P90" s="371"/>
      <c r="Q90" s="501"/>
      <c r="R90" s="501"/>
      <c r="U90" s="501"/>
      <c r="V90" s="503"/>
      <c r="W90" s="503"/>
      <c r="X90" s="504"/>
      <c r="Y90" s="504"/>
      <c r="Z90" s="504"/>
      <c r="AA90" s="504"/>
      <c r="AB90" s="504"/>
      <c r="AC90" s="504"/>
      <c r="AF90" s="378"/>
      <c r="AG90" s="378"/>
      <c r="AH90" s="378"/>
      <c r="AI90" s="378"/>
      <c r="AJ90" s="378"/>
      <c r="AM90" s="505"/>
      <c r="AN90" s="505"/>
      <c r="AO90" s="505"/>
      <c r="AP90" s="505"/>
      <c r="AR90" s="370"/>
      <c r="AT90" s="370"/>
      <c r="AV90" s="506"/>
      <c r="AW90" s="370"/>
      <c r="AX90" s="370"/>
      <c r="AY90" s="370"/>
      <c r="AZ90" s="370"/>
      <c r="BA90" s="507"/>
      <c r="BB90" s="505"/>
      <c r="BC90" s="505"/>
      <c r="BD90" s="370"/>
      <c r="BE90" s="370"/>
      <c r="BF90" s="370"/>
      <c r="BG90" s="370"/>
      <c r="BH90" s="370"/>
      <c r="BI90" s="370"/>
      <c r="BJ90" s="370"/>
      <c r="BK90" s="370"/>
      <c r="BL90" s="370"/>
      <c r="BM90" s="370"/>
      <c r="BN90" s="370"/>
      <c r="BO90" s="370"/>
      <c r="BP90" s="370"/>
      <c r="BQ90" s="370"/>
      <c r="BR90" s="370"/>
      <c r="BS90" s="370"/>
      <c r="BV90" s="508"/>
      <c r="BW90" s="369"/>
      <c r="BX90" s="370"/>
      <c r="BY90" s="370"/>
      <c r="BZ90" s="370"/>
      <c r="CA90" s="370"/>
      <c r="CB90" s="370"/>
      <c r="CC90" s="505"/>
      <c r="CD90" s="505"/>
      <c r="CE90" s="505"/>
      <c r="CF90" s="505"/>
      <c r="CG90" s="505"/>
      <c r="CH90" s="505"/>
      <c r="CI90" s="505"/>
      <c r="CJ90" s="505"/>
      <c r="CK90" s="505"/>
      <c r="CL90" s="505"/>
      <c r="CM90" s="505"/>
    </row>
    <row r="91" customFormat="false" ht="12.75" hidden="false" customHeight="false" outlineLevel="0" collapsed="false">
      <c r="A91" s="500"/>
      <c r="B91" s="500"/>
      <c r="K91" s="363"/>
      <c r="L91" s="501"/>
      <c r="N91" s="502"/>
      <c r="O91" s="502"/>
      <c r="P91" s="371"/>
      <c r="Q91" s="501"/>
      <c r="R91" s="501"/>
      <c r="U91" s="501"/>
      <c r="V91" s="503"/>
      <c r="W91" s="503"/>
      <c r="X91" s="504"/>
      <c r="Y91" s="504"/>
      <c r="Z91" s="504"/>
      <c r="AA91" s="504"/>
      <c r="AB91" s="504"/>
      <c r="AC91" s="504"/>
      <c r="AF91" s="378"/>
      <c r="AG91" s="378"/>
      <c r="AH91" s="378"/>
      <c r="AI91" s="378"/>
      <c r="AJ91" s="378"/>
      <c r="AM91" s="505"/>
      <c r="AN91" s="505"/>
      <c r="AO91" s="505"/>
      <c r="AP91" s="505"/>
      <c r="AR91" s="370"/>
      <c r="AT91" s="370"/>
      <c r="AV91" s="506"/>
      <c r="AW91" s="370"/>
      <c r="AX91" s="370"/>
      <c r="AY91" s="370"/>
      <c r="AZ91" s="370"/>
      <c r="BA91" s="507"/>
      <c r="BB91" s="505"/>
      <c r="BC91" s="505"/>
      <c r="BD91" s="370"/>
      <c r="BE91" s="370"/>
      <c r="BF91" s="370"/>
      <c r="BG91" s="370"/>
      <c r="BH91" s="370"/>
      <c r="BI91" s="370"/>
      <c r="BJ91" s="370"/>
      <c r="BK91" s="370"/>
      <c r="BL91" s="370"/>
      <c r="BM91" s="370"/>
      <c r="BN91" s="370"/>
      <c r="BO91" s="370"/>
      <c r="BP91" s="370"/>
      <c r="BQ91" s="370"/>
      <c r="BR91" s="370"/>
      <c r="BS91" s="370"/>
      <c r="BV91" s="508"/>
      <c r="BW91" s="369"/>
      <c r="BX91" s="370"/>
      <c r="BY91" s="370"/>
      <c r="BZ91" s="370"/>
      <c r="CA91" s="370"/>
      <c r="CB91" s="370"/>
      <c r="CC91" s="505"/>
      <c r="CD91" s="505"/>
      <c r="CE91" s="505"/>
      <c r="CF91" s="505"/>
      <c r="CG91" s="505"/>
      <c r="CH91" s="505"/>
      <c r="CI91" s="505"/>
      <c r="CJ91" s="505"/>
      <c r="CK91" s="505"/>
      <c r="CL91" s="505"/>
      <c r="CM91" s="505"/>
    </row>
    <row r="92" customFormat="false" ht="12.75" hidden="false" customHeight="false" outlineLevel="0" collapsed="false">
      <c r="A92" s="500"/>
      <c r="B92" s="500"/>
    </row>
    <row r="93" customFormat="false" ht="12.75" hidden="false" customHeight="false" outlineLevel="0" collapsed="false">
      <c r="A93" s="500"/>
      <c r="B93" s="500"/>
    </row>
    <row r="94" customFormat="false" ht="12.75" hidden="false" customHeight="false" outlineLevel="0" collapsed="false">
      <c r="A94" s="500"/>
      <c r="B94" s="500"/>
    </row>
    <row r="95" customFormat="false" ht="12.75" hidden="false" customHeight="false" outlineLevel="0" collapsed="false">
      <c r="A95" s="500"/>
      <c r="B95" s="500"/>
    </row>
  </sheetData>
  <mergeCells count="99">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87"/>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28"/>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57</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96817.16</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305727.55</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00" t="n">
        <v>-208910.38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2127.71</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SUMPRODUCT(L22:L23,F22:F23)</f>
        <v>#VALUE!</v>
      </c>
      <c r="L10" s="414" t="s">
        <v>478</v>
      </c>
      <c r="M10" s="414"/>
      <c r="N10" s="400" t="e">
        <f aca="true">-SUMPRODUCT(INDIRECT(CONCATENATE(AV10,":",AW10)),INDIRECT(CONCATENATE($AX$7,":",$AY$7)),INDIRECT(CONCATENATE($AV$3,":",$AW$3)))</f>
        <v>#VALUE!</v>
      </c>
      <c r="O10" s="400" t="n">
        <v>-73538.21</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SUMPRODUCT(K22:K23,F22:F23)</f>
        <v>#VALUE!</v>
      </c>
      <c r="L11" s="425" t="s">
        <v>481</v>
      </c>
      <c r="M11" s="425"/>
      <c r="N11" s="426" t="e">
        <f aca="true">-SUMPRODUCT(INDIRECT(CONCATENATE(AV11,":",AW11)),INDIRECT(CONCATENATE($AV$2,":",$AW$2)),INDIRECT(CONCATENATE($AV$3,":",$AW$3)),INDIRECT(CONCATENATE(AX3,":",AY3)))</f>
        <v>#VALUE!</v>
      </c>
      <c r="O11" s="427" t="n">
        <v>-6840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145.27</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20.02</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-506.83</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180.54</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5.29</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5.07</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63229.32</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33587.85</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3.01733752407989</v>
      </c>
      <c r="BW22" s="369" t="n">
        <v>3.056</v>
      </c>
      <c r="BX22" s="370" t="n">
        <v>1.01983536862794</v>
      </c>
      <c r="BY22" s="370" t="n">
        <v>1.01983536862794</v>
      </c>
      <c r="BZ22" s="370" t="n">
        <v>0.996089736138556</v>
      </c>
      <c r="CA22" s="370" t="n">
        <v>0.0187659081571607</v>
      </c>
      <c r="CB22" s="370" t="n">
        <v>0.998364899395796</v>
      </c>
      <c r="CC22" s="505" t="n">
        <v>0.13</v>
      </c>
      <c r="CD22" s="505" t="n">
        <v>0</v>
      </c>
      <c r="CE22" s="505" t="n">
        <v>0.2</v>
      </c>
      <c r="CF22" s="505" t="n">
        <v>0.01</v>
      </c>
      <c r="CG22" s="505" t="n">
        <v>0.0038</v>
      </c>
      <c r="CH22" s="505" t="n">
        <v>5.27376274456835</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2.98894859576194</v>
      </c>
      <c r="BW23" s="369" t="n">
        <v>3.028</v>
      </c>
      <c r="BX23" s="370" t="n">
        <v>0.941356881197444</v>
      </c>
      <c r="BY23" s="370" t="n">
        <v>0.941356881197444</v>
      </c>
      <c r="BZ23" s="370" t="n">
        <v>0.996716408319358</v>
      </c>
      <c r="CA23" s="370" t="n">
        <v>0.0193261872820063</v>
      </c>
      <c r="CB23" s="370" t="n">
        <v>0.996688029844541</v>
      </c>
      <c r="CC23" s="505" t="n">
        <v>0.04</v>
      </c>
      <c r="CD23" s="505" t="n">
        <v>0</v>
      </c>
      <c r="CE23" s="505" t="n">
        <v>0.11</v>
      </c>
      <c r="CF23" s="505" t="n">
        <v>0.01</v>
      </c>
      <c r="CG23" s="505" t="n">
        <v>0.0038</v>
      </c>
      <c r="CH23" s="505" t="n">
        <v>4.75539792799427</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2.96258744803812</v>
      </c>
      <c r="BW24" s="369" t="n">
        <v>3.002</v>
      </c>
      <c r="BX24" s="370" t="n">
        <v>0.813234449756201</v>
      </c>
      <c r="BY24" s="370" t="n">
        <v>0.813234449756201</v>
      </c>
      <c r="BZ24" s="370" t="n">
        <v>0.998036134918079</v>
      </c>
      <c r="CA24" s="370" t="n">
        <v>0.0192731753639035</v>
      </c>
      <c r="CB24" s="370" t="n">
        <v>0.99523258517239</v>
      </c>
      <c r="CC24" s="505" t="n">
        <v>0.02</v>
      </c>
      <c r="CD24" s="505" t="n">
        <v>0</v>
      </c>
      <c r="CE24" s="505" t="n">
        <v>0.09</v>
      </c>
      <c r="CF24" s="505" t="n">
        <v>0.01</v>
      </c>
      <c r="CG24" s="505" t="n">
        <v>0.0038</v>
      </c>
      <c r="CH24" s="505" t="n">
        <v>5.25721660791464</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2.75575382743587</v>
      </c>
      <c r="BW25" s="369" t="n">
        <v>2.948</v>
      </c>
      <c r="BX25" s="370" t="n">
        <v>0.61</v>
      </c>
      <c r="BY25" s="370" t="n">
        <v>0.61</v>
      </c>
      <c r="BZ25" s="370" t="n">
        <v>0</v>
      </c>
      <c r="CA25" s="370" t="n">
        <v>0.0194226401196236</v>
      </c>
      <c r="CB25" s="370" t="n">
        <v>0</v>
      </c>
      <c r="CC25" s="505" t="n">
        <v>-0.13</v>
      </c>
      <c r="CD25" s="505" t="n">
        <v>0</v>
      </c>
      <c r="CE25" s="505" t="n">
        <v>0.07</v>
      </c>
      <c r="CF25" s="505" t="n">
        <v>0.03</v>
      </c>
      <c r="CG25" s="505" t="n">
        <v>0.0038</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2.75575382743587</v>
      </c>
      <c r="BW26" s="369" t="n">
        <v>2.948</v>
      </c>
      <c r="BX26" s="370" t="n">
        <v>0.61</v>
      </c>
      <c r="BY26" s="370" t="n">
        <v>0.61</v>
      </c>
      <c r="BZ26" s="370" t="n">
        <v>0</v>
      </c>
      <c r="CA26" s="370" t="n">
        <v>0.0194226401196236</v>
      </c>
      <c r="CB26" s="370" t="n">
        <v>0</v>
      </c>
      <c r="CC26" s="505" t="n">
        <v>-0.13</v>
      </c>
      <c r="CD26" s="505" t="n">
        <v>0</v>
      </c>
      <c r="CE26" s="505" t="n">
        <v>0.07</v>
      </c>
      <c r="CF26" s="505" t="n">
        <v>0.03</v>
      </c>
      <c r="CG26" s="505" t="n">
        <v>0.0038</v>
      </c>
      <c r="CH26" s="505" t="n">
        <v>0</v>
      </c>
      <c r="CI26" s="505" t="n">
        <v>2.848</v>
      </c>
      <c r="CJ26" s="505"/>
      <c r="CK26" s="505"/>
      <c r="CL26" s="505"/>
      <c r="CM26" s="505"/>
    </row>
    <row r="27" customFormat="false" ht="12.75" hidden="false" customHeight="false" outlineLevel="0" collapsed="false">
      <c r="A27" s="500"/>
      <c r="B27" s="500"/>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2.75575382743587</v>
      </c>
      <c r="BW27" s="369" t="n">
        <v>2.948</v>
      </c>
      <c r="BX27" s="370" t="n">
        <v>0.61</v>
      </c>
      <c r="BY27" s="370" t="n">
        <v>0.61</v>
      </c>
      <c r="BZ27" s="370" t="n">
        <v>0</v>
      </c>
      <c r="CA27" s="370" t="n">
        <v>0.0194226401196236</v>
      </c>
      <c r="CB27" s="370" t="n">
        <v>0</v>
      </c>
      <c r="CC27" s="505" t="n">
        <v>-0.13</v>
      </c>
      <c r="CD27" s="505" t="n">
        <v>0</v>
      </c>
      <c r="CE27" s="505" t="n">
        <v>0.07</v>
      </c>
      <c r="CF27" s="505" t="n">
        <v>0.03</v>
      </c>
      <c r="CG27" s="505" t="n">
        <v>0.0038</v>
      </c>
      <c r="CH27" s="505" t="n">
        <v>0</v>
      </c>
      <c r="CI27" s="505" t="n">
        <v>2.848</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2.75575382743587</v>
      </c>
      <c r="BW28" s="369" t="n">
        <v>2.948</v>
      </c>
      <c r="BX28" s="370" t="n">
        <v>0.61</v>
      </c>
      <c r="BY28" s="370" t="n">
        <v>0.61</v>
      </c>
      <c r="BZ28" s="370" t="n">
        <v>0</v>
      </c>
      <c r="CA28" s="370" t="n">
        <v>0.0194226401196236</v>
      </c>
      <c r="CB28" s="370" t="n">
        <v>0</v>
      </c>
      <c r="CC28" s="505" t="n">
        <v>-0.13</v>
      </c>
      <c r="CD28" s="505" t="n">
        <v>0</v>
      </c>
      <c r="CE28" s="505" t="n">
        <v>0.07</v>
      </c>
      <c r="CF28" s="505" t="n">
        <v>0.03</v>
      </c>
      <c r="CG28" s="505" t="n">
        <v>0.0038</v>
      </c>
      <c r="CH28" s="505" t="n">
        <v>0</v>
      </c>
      <c r="CI28" s="505" t="n">
        <v>2.848</v>
      </c>
      <c r="CJ28" s="505"/>
      <c r="CK28" s="505"/>
      <c r="CL28" s="505"/>
      <c r="CM28" s="505"/>
    </row>
    <row r="29" customFormat="false" ht="12.75" hidden="false" customHeight="false" outlineLevel="0" collapsed="false">
      <c r="A29" s="500"/>
      <c r="B29" s="500"/>
      <c r="K29" s="363"/>
      <c r="L29" s="501"/>
      <c r="N29" s="502"/>
      <c r="O29" s="502"/>
      <c r="P29" s="371"/>
      <c r="Q29" s="501"/>
      <c r="R29" s="501"/>
      <c r="U29" s="501"/>
      <c r="V29" s="503"/>
      <c r="W29" s="503"/>
      <c r="X29" s="504"/>
      <c r="Y29" s="504"/>
      <c r="Z29" s="504"/>
      <c r="AA29" s="504"/>
      <c r="AB29" s="504"/>
      <c r="AC29" s="504"/>
      <c r="AF29" s="378"/>
      <c r="AG29" s="378"/>
      <c r="AH29" s="378"/>
      <c r="AI29" s="378"/>
      <c r="AJ29" s="378"/>
      <c r="AM29" s="505"/>
      <c r="AN29" s="505"/>
      <c r="AO29" s="505"/>
      <c r="AP29" s="505"/>
      <c r="AR29" s="370"/>
      <c r="AT29" s="370"/>
      <c r="AV29" s="506"/>
      <c r="AW29" s="370"/>
      <c r="AX29" s="370"/>
      <c r="AY29" s="370"/>
      <c r="AZ29" s="370"/>
      <c r="BA29" s="507"/>
      <c r="BB29" s="505"/>
      <c r="BC29" s="505"/>
      <c r="BD29" s="370"/>
      <c r="BE29" s="370"/>
      <c r="BF29" s="370"/>
      <c r="BG29" s="370"/>
      <c r="BH29" s="370"/>
      <c r="BI29" s="370"/>
      <c r="BJ29" s="370"/>
      <c r="BK29" s="370"/>
      <c r="BL29" s="370"/>
      <c r="BM29" s="370"/>
      <c r="BN29" s="370"/>
      <c r="BO29" s="370"/>
      <c r="BP29" s="370"/>
      <c r="BQ29" s="370"/>
      <c r="BR29" s="370"/>
      <c r="BS29" s="370"/>
      <c r="BV29" s="508"/>
      <c r="BW29" s="369"/>
      <c r="BX29" s="370"/>
      <c r="BY29" s="370"/>
      <c r="BZ29" s="370"/>
      <c r="CA29" s="370"/>
      <c r="CB29" s="370"/>
      <c r="CC29" s="505"/>
      <c r="CD29" s="505"/>
      <c r="CE29" s="505"/>
      <c r="CF29" s="505"/>
      <c r="CG29" s="505"/>
      <c r="CH29" s="505"/>
      <c r="CI29" s="505"/>
      <c r="CJ29" s="505"/>
      <c r="CK29" s="505"/>
      <c r="CL29" s="505"/>
      <c r="CM29" s="505"/>
    </row>
    <row r="30" customFormat="false" ht="12.75" hidden="false" customHeight="false" outlineLevel="0" collapsed="false">
      <c r="A30" s="500"/>
      <c r="B30" s="500"/>
      <c r="K30" s="363"/>
      <c r="L30" s="501"/>
      <c r="N30" s="502"/>
      <c r="O30" s="502"/>
      <c r="P30" s="371"/>
      <c r="Q30" s="501"/>
      <c r="R30" s="501"/>
      <c r="U30" s="501"/>
      <c r="V30" s="503"/>
      <c r="W30" s="503"/>
      <c r="X30" s="504"/>
      <c r="Y30" s="504"/>
      <c r="Z30" s="504"/>
      <c r="AA30" s="504"/>
      <c r="AB30" s="504"/>
      <c r="AC30" s="504"/>
      <c r="AF30" s="378"/>
      <c r="AG30" s="378"/>
      <c r="AH30" s="378"/>
      <c r="AI30" s="378"/>
      <c r="AJ30" s="378"/>
      <c r="AM30" s="505"/>
      <c r="AN30" s="505"/>
      <c r="AO30" s="505"/>
      <c r="AP30" s="505"/>
      <c r="AR30" s="370"/>
      <c r="AT30" s="370"/>
      <c r="AV30" s="506"/>
      <c r="AW30" s="370"/>
      <c r="AX30" s="370"/>
      <c r="AY30" s="370"/>
      <c r="AZ30" s="370"/>
      <c r="BA30" s="507"/>
      <c r="BB30" s="505"/>
      <c r="BC30" s="505"/>
      <c r="BD30" s="370"/>
      <c r="BE30" s="370"/>
      <c r="BF30" s="370"/>
      <c r="BG30" s="370"/>
      <c r="BH30" s="370"/>
      <c r="BI30" s="370"/>
      <c r="BJ30" s="370"/>
      <c r="BK30" s="370"/>
      <c r="BL30" s="370"/>
      <c r="BM30" s="370"/>
      <c r="BN30" s="370"/>
      <c r="BO30" s="370"/>
      <c r="BP30" s="370"/>
      <c r="BQ30" s="370"/>
      <c r="BR30" s="370"/>
      <c r="BS30" s="370"/>
      <c r="BV30" s="508"/>
      <c r="BW30" s="369"/>
      <c r="BX30" s="370"/>
      <c r="BY30" s="370"/>
      <c r="BZ30" s="370"/>
      <c r="CA30" s="370"/>
      <c r="CB30" s="370"/>
      <c r="CC30" s="505"/>
      <c r="CD30" s="505"/>
      <c r="CE30" s="505"/>
      <c r="CF30" s="505"/>
      <c r="CG30" s="505"/>
      <c r="CH30" s="505"/>
      <c r="CI30" s="505"/>
      <c r="CJ30" s="505"/>
      <c r="CK30" s="505"/>
      <c r="CL30" s="505"/>
      <c r="CM30" s="505"/>
    </row>
    <row r="31" customFormat="false" ht="12.75" hidden="false" customHeight="false" outlineLevel="0" collapsed="false">
      <c r="A31" s="500"/>
      <c r="B31" s="500"/>
      <c r="K31" s="363"/>
      <c r="L31" s="501"/>
      <c r="N31" s="502"/>
      <c r="O31" s="502"/>
      <c r="P31" s="371"/>
      <c r="Q31" s="501"/>
      <c r="R31" s="501"/>
      <c r="U31" s="501"/>
      <c r="V31" s="503"/>
      <c r="W31" s="503"/>
      <c r="X31" s="504"/>
      <c r="Y31" s="504"/>
      <c r="Z31" s="504"/>
      <c r="AA31" s="504"/>
      <c r="AB31" s="504"/>
      <c r="AC31" s="504"/>
      <c r="AF31" s="378"/>
      <c r="AG31" s="378"/>
      <c r="AH31" s="378"/>
      <c r="AI31" s="378"/>
      <c r="AJ31" s="378"/>
      <c r="AM31" s="505"/>
      <c r="AN31" s="505"/>
      <c r="AO31" s="505"/>
      <c r="AP31" s="505"/>
      <c r="AR31" s="370"/>
      <c r="AT31" s="370"/>
      <c r="AV31" s="506"/>
      <c r="AW31" s="370"/>
      <c r="AX31" s="370"/>
      <c r="AY31" s="370"/>
      <c r="AZ31" s="370"/>
      <c r="BA31" s="507"/>
      <c r="BB31" s="505"/>
      <c r="BC31" s="505"/>
      <c r="BD31" s="370"/>
      <c r="BE31" s="370"/>
      <c r="BF31" s="370"/>
      <c r="BG31" s="370"/>
      <c r="BH31" s="370"/>
      <c r="BI31" s="370"/>
      <c r="BJ31" s="370"/>
      <c r="BK31" s="370"/>
      <c r="BL31" s="370"/>
      <c r="BM31" s="370"/>
      <c r="BN31" s="370"/>
      <c r="BO31" s="370"/>
      <c r="BP31" s="370"/>
      <c r="BQ31" s="370"/>
      <c r="BR31" s="370"/>
      <c r="BS31" s="370"/>
      <c r="BV31" s="508"/>
      <c r="BW31" s="369"/>
      <c r="BX31" s="370"/>
      <c r="BY31" s="370"/>
      <c r="BZ31" s="370"/>
      <c r="CA31" s="370"/>
      <c r="CB31" s="370"/>
      <c r="CC31" s="505"/>
      <c r="CD31" s="505"/>
      <c r="CE31" s="505"/>
      <c r="CF31" s="505"/>
      <c r="CG31" s="505"/>
      <c r="CH31" s="505"/>
      <c r="CI31" s="505"/>
      <c r="CJ31" s="505"/>
      <c r="CK31" s="505"/>
      <c r="CL31" s="505"/>
      <c r="CM31" s="505"/>
    </row>
    <row r="32" customFormat="false" ht="12.75" hidden="false" customHeight="false" outlineLevel="0" collapsed="false">
      <c r="A32" s="500"/>
      <c r="B32" s="500"/>
      <c r="K32" s="363"/>
      <c r="L32" s="501"/>
      <c r="N32" s="502"/>
      <c r="O32" s="502"/>
      <c r="P32" s="371"/>
      <c r="Q32" s="501"/>
      <c r="R32" s="501"/>
      <c r="U32" s="501"/>
      <c r="V32" s="503"/>
      <c r="W32" s="503"/>
      <c r="X32" s="504"/>
      <c r="Y32" s="504"/>
      <c r="Z32" s="504"/>
      <c r="AA32" s="504"/>
      <c r="AB32" s="504"/>
      <c r="AC32" s="504"/>
      <c r="AF32" s="378"/>
      <c r="AG32" s="378"/>
      <c r="AH32" s="378"/>
      <c r="AI32" s="378"/>
      <c r="AJ32" s="378"/>
      <c r="AM32" s="505"/>
      <c r="AN32" s="505"/>
      <c r="AO32" s="505"/>
      <c r="AP32" s="505"/>
      <c r="AR32" s="370"/>
      <c r="AT32" s="370"/>
      <c r="AV32" s="506"/>
      <c r="AW32" s="370"/>
      <c r="AX32" s="370"/>
      <c r="AY32" s="370"/>
      <c r="AZ32" s="370"/>
      <c r="BA32" s="507"/>
      <c r="BB32" s="505"/>
      <c r="BC32" s="505"/>
      <c r="BD32" s="370"/>
      <c r="BE32" s="370"/>
      <c r="BF32" s="370"/>
      <c r="BG32" s="370"/>
      <c r="BH32" s="370"/>
      <c r="BI32" s="370"/>
      <c r="BJ32" s="370"/>
      <c r="BK32" s="370"/>
      <c r="BL32" s="370"/>
      <c r="BM32" s="370"/>
      <c r="BN32" s="370"/>
      <c r="BO32" s="370"/>
      <c r="BP32" s="370"/>
      <c r="BQ32" s="370"/>
      <c r="BR32" s="370"/>
      <c r="BS32" s="370"/>
      <c r="BV32" s="508"/>
      <c r="BW32" s="369"/>
      <c r="BX32" s="370"/>
      <c r="BY32" s="370"/>
      <c r="BZ32" s="370"/>
      <c r="CA32" s="370"/>
      <c r="CB32" s="370"/>
      <c r="CC32" s="505"/>
      <c r="CD32" s="505"/>
      <c r="CE32" s="505"/>
      <c r="CF32" s="505"/>
      <c r="CG32" s="505"/>
      <c r="CH32" s="505"/>
      <c r="CI32" s="505"/>
      <c r="CJ32" s="505"/>
      <c r="CK32" s="505"/>
      <c r="CL32" s="505"/>
      <c r="CM32" s="505"/>
    </row>
    <row r="33" customFormat="false" ht="12.75" hidden="false" customHeight="false" outlineLevel="0" collapsed="false">
      <c r="A33" s="500"/>
      <c r="B33" s="500"/>
      <c r="K33" s="363"/>
      <c r="L33" s="501"/>
      <c r="N33" s="502"/>
      <c r="O33" s="502"/>
      <c r="P33" s="371"/>
      <c r="Q33" s="501"/>
      <c r="R33" s="501"/>
      <c r="U33" s="501"/>
      <c r="V33" s="503"/>
      <c r="W33" s="503"/>
      <c r="X33" s="504"/>
      <c r="Y33" s="504"/>
      <c r="Z33" s="504"/>
      <c r="AA33" s="504"/>
      <c r="AB33" s="504"/>
      <c r="AC33" s="504"/>
      <c r="AF33" s="378"/>
      <c r="AG33" s="378"/>
      <c r="AH33" s="378"/>
      <c r="AI33" s="378"/>
      <c r="AJ33" s="378"/>
      <c r="AM33" s="505"/>
      <c r="AN33" s="505"/>
      <c r="AO33" s="505"/>
      <c r="AP33" s="505"/>
      <c r="AR33" s="370"/>
      <c r="AT33" s="370"/>
      <c r="AV33" s="506"/>
      <c r="AW33" s="370"/>
      <c r="AX33" s="370"/>
      <c r="AY33" s="370"/>
      <c r="AZ33" s="370"/>
      <c r="BA33" s="507"/>
      <c r="BB33" s="505"/>
      <c r="BC33" s="505"/>
      <c r="BD33" s="370"/>
      <c r="BE33" s="370"/>
      <c r="BF33" s="370"/>
      <c r="BG33" s="370"/>
      <c r="BH33" s="370"/>
      <c r="BI33" s="370"/>
      <c r="BJ33" s="370"/>
      <c r="BK33" s="370"/>
      <c r="BL33" s="370"/>
      <c r="BM33" s="370"/>
      <c r="BN33" s="370"/>
      <c r="BO33" s="370"/>
      <c r="BP33" s="370"/>
      <c r="BQ33" s="370"/>
      <c r="BR33" s="370"/>
      <c r="BS33" s="370"/>
      <c r="BV33" s="508"/>
      <c r="BW33" s="369"/>
      <c r="BX33" s="370"/>
      <c r="BY33" s="370"/>
      <c r="BZ33" s="370"/>
      <c r="CA33" s="370"/>
      <c r="CB33" s="370"/>
      <c r="CC33" s="505"/>
      <c r="CD33" s="505"/>
      <c r="CE33" s="505"/>
      <c r="CF33" s="505"/>
      <c r="CG33" s="505"/>
      <c r="CH33" s="505"/>
      <c r="CI33" s="505"/>
      <c r="CJ33" s="505"/>
      <c r="CK33" s="505"/>
      <c r="CL33" s="505"/>
      <c r="CM33" s="505"/>
    </row>
    <row r="34" customFormat="false" ht="12.75" hidden="false" customHeight="false" outlineLevel="0" collapsed="false">
      <c r="A34" s="500"/>
      <c r="B34" s="500"/>
      <c r="K34" s="363"/>
      <c r="L34" s="501"/>
      <c r="N34" s="502"/>
      <c r="O34" s="502"/>
      <c r="P34" s="371"/>
      <c r="Q34" s="501"/>
      <c r="R34" s="501"/>
      <c r="U34" s="501"/>
      <c r="V34" s="503"/>
      <c r="W34" s="503"/>
      <c r="X34" s="504"/>
      <c r="Y34" s="504"/>
      <c r="Z34" s="504"/>
      <c r="AA34" s="504"/>
      <c r="AB34" s="504"/>
      <c r="AC34" s="504"/>
      <c r="AF34" s="378"/>
      <c r="AG34" s="378"/>
      <c r="AH34" s="378"/>
      <c r="AI34" s="378"/>
      <c r="AJ34" s="378"/>
      <c r="AM34" s="505"/>
      <c r="AN34" s="505"/>
      <c r="AO34" s="505"/>
      <c r="AP34" s="505"/>
      <c r="AR34" s="370"/>
      <c r="AT34" s="370"/>
      <c r="AV34" s="506"/>
      <c r="AW34" s="370"/>
      <c r="AX34" s="370"/>
      <c r="AY34" s="370"/>
      <c r="AZ34" s="370"/>
      <c r="BA34" s="507"/>
      <c r="BB34" s="505"/>
      <c r="BC34" s="505"/>
      <c r="BD34" s="370"/>
      <c r="BE34" s="370"/>
      <c r="BF34" s="370"/>
      <c r="BG34" s="370"/>
      <c r="BH34" s="370"/>
      <c r="BI34" s="370"/>
      <c r="BJ34" s="370"/>
      <c r="BK34" s="370"/>
      <c r="BL34" s="370"/>
      <c r="BM34" s="370"/>
      <c r="BN34" s="370"/>
      <c r="BO34" s="370"/>
      <c r="BP34" s="370"/>
      <c r="BQ34" s="370"/>
      <c r="BR34" s="370"/>
      <c r="BS34" s="370"/>
      <c r="BV34" s="508"/>
      <c r="BW34" s="369"/>
      <c r="BX34" s="370"/>
      <c r="BY34" s="370"/>
      <c r="BZ34" s="370"/>
      <c r="CA34" s="370"/>
      <c r="CB34" s="370"/>
      <c r="CC34" s="505"/>
      <c r="CD34" s="505"/>
      <c r="CE34" s="505"/>
      <c r="CF34" s="505"/>
      <c r="CG34" s="505"/>
      <c r="CH34" s="505"/>
      <c r="CI34" s="505"/>
      <c r="CJ34" s="505"/>
      <c r="CK34" s="505"/>
      <c r="CL34" s="505"/>
      <c r="CM34" s="505"/>
    </row>
    <row r="35" customFormat="false" ht="12.75" hidden="false" customHeight="false" outlineLevel="0" collapsed="false">
      <c r="A35" s="500"/>
      <c r="B35" s="500"/>
      <c r="K35" s="363"/>
      <c r="L35" s="501"/>
      <c r="N35" s="502"/>
      <c r="O35" s="502"/>
      <c r="P35" s="371"/>
      <c r="Q35" s="501"/>
      <c r="R35" s="501"/>
      <c r="U35" s="501"/>
      <c r="V35" s="503"/>
      <c r="W35" s="503"/>
      <c r="X35" s="504"/>
      <c r="Y35" s="504"/>
      <c r="Z35" s="504"/>
      <c r="AA35" s="504"/>
      <c r="AB35" s="504"/>
      <c r="AC35" s="504"/>
      <c r="AF35" s="378"/>
      <c r="AG35" s="378"/>
      <c r="AH35" s="378"/>
      <c r="AI35" s="378"/>
      <c r="AJ35" s="378"/>
      <c r="AM35" s="505"/>
      <c r="AN35" s="505"/>
      <c r="AO35" s="505"/>
      <c r="AP35" s="505"/>
      <c r="AR35" s="370"/>
      <c r="AT35" s="370"/>
      <c r="AV35" s="506"/>
      <c r="AW35" s="370"/>
      <c r="AX35" s="370"/>
      <c r="AY35" s="370"/>
      <c r="AZ35" s="370"/>
      <c r="BA35" s="507"/>
      <c r="BB35" s="505"/>
      <c r="BC35" s="505"/>
      <c r="BD35" s="370"/>
      <c r="BE35" s="370"/>
      <c r="BF35" s="370"/>
      <c r="BG35" s="370"/>
      <c r="BH35" s="370"/>
      <c r="BI35" s="370"/>
      <c r="BJ35" s="370"/>
      <c r="BK35" s="370"/>
      <c r="BL35" s="370"/>
      <c r="BM35" s="370"/>
      <c r="BN35" s="370"/>
      <c r="BO35" s="370"/>
      <c r="BP35" s="370"/>
      <c r="BQ35" s="370"/>
      <c r="BR35" s="370"/>
      <c r="BS35" s="370"/>
      <c r="BV35" s="508"/>
      <c r="BW35" s="369"/>
      <c r="BX35" s="370"/>
      <c r="BY35" s="370"/>
      <c r="BZ35" s="370"/>
      <c r="CA35" s="370"/>
      <c r="CB35" s="370"/>
      <c r="CC35" s="505"/>
      <c r="CD35" s="505"/>
      <c r="CE35" s="505"/>
      <c r="CF35" s="505"/>
      <c r="CG35" s="505"/>
      <c r="CH35" s="505"/>
      <c r="CI35" s="505"/>
      <c r="CJ35" s="505"/>
      <c r="CK35" s="505"/>
      <c r="CL35" s="505"/>
      <c r="CM35" s="505"/>
    </row>
    <row r="36" customFormat="false" ht="12.75" hidden="false" customHeight="false" outlineLevel="0" collapsed="false">
      <c r="A36" s="500"/>
      <c r="B36" s="500"/>
      <c r="K36" s="363"/>
      <c r="L36" s="501"/>
      <c r="N36" s="502"/>
      <c r="O36" s="502"/>
      <c r="P36" s="371"/>
      <c r="Q36" s="501"/>
      <c r="R36" s="501"/>
      <c r="U36" s="501"/>
      <c r="V36" s="503"/>
      <c r="W36" s="503"/>
      <c r="X36" s="504"/>
      <c r="Y36" s="504"/>
      <c r="Z36" s="504"/>
      <c r="AA36" s="504"/>
      <c r="AB36" s="504"/>
      <c r="AC36" s="504"/>
      <c r="AF36" s="378"/>
      <c r="AG36" s="378"/>
      <c r="AH36" s="378"/>
      <c r="AI36" s="378"/>
      <c r="AJ36" s="378"/>
      <c r="AM36" s="505"/>
      <c r="AN36" s="505"/>
      <c r="AO36" s="505"/>
      <c r="AP36" s="505"/>
      <c r="AR36" s="370"/>
      <c r="AT36" s="370"/>
      <c r="AV36" s="506"/>
      <c r="AW36" s="370"/>
      <c r="AX36" s="370"/>
      <c r="AY36" s="370"/>
      <c r="AZ36" s="370"/>
      <c r="BA36" s="507"/>
      <c r="BB36" s="505"/>
      <c r="BC36" s="505"/>
      <c r="BD36" s="370"/>
      <c r="BE36" s="370"/>
      <c r="BF36" s="370"/>
      <c r="BG36" s="370"/>
      <c r="BH36" s="370"/>
      <c r="BI36" s="370"/>
      <c r="BJ36" s="370"/>
      <c r="BK36" s="370"/>
      <c r="BL36" s="370"/>
      <c r="BM36" s="370"/>
      <c r="BN36" s="370"/>
      <c r="BO36" s="370"/>
      <c r="BP36" s="370"/>
      <c r="BQ36" s="370"/>
      <c r="BR36" s="370"/>
      <c r="BS36" s="370"/>
      <c r="BV36" s="508"/>
      <c r="BW36" s="369"/>
      <c r="BX36" s="370"/>
      <c r="BY36" s="370"/>
      <c r="BZ36" s="370"/>
      <c r="CA36" s="370"/>
      <c r="CB36" s="370"/>
      <c r="CC36" s="505"/>
      <c r="CD36" s="505"/>
      <c r="CE36" s="505"/>
      <c r="CF36" s="505"/>
      <c r="CG36" s="505"/>
      <c r="CH36" s="505"/>
      <c r="CI36" s="505"/>
      <c r="CJ36" s="505"/>
      <c r="CK36" s="505"/>
      <c r="CL36" s="505"/>
      <c r="CM36" s="505"/>
    </row>
    <row r="37" customFormat="false" ht="12.75" hidden="false" customHeight="false" outlineLevel="0" collapsed="false">
      <c r="A37" s="500"/>
      <c r="B37" s="500"/>
      <c r="K37" s="363"/>
      <c r="L37" s="501"/>
      <c r="N37" s="502"/>
      <c r="O37" s="502"/>
      <c r="P37" s="371"/>
      <c r="Q37" s="501"/>
      <c r="R37" s="501"/>
      <c r="U37" s="501"/>
      <c r="V37" s="503"/>
      <c r="W37" s="503"/>
      <c r="X37" s="504"/>
      <c r="Y37" s="504"/>
      <c r="Z37" s="504"/>
      <c r="AA37" s="504"/>
      <c r="AB37" s="504"/>
      <c r="AC37" s="504"/>
      <c r="AF37" s="378"/>
      <c r="AG37" s="378"/>
      <c r="AH37" s="378"/>
      <c r="AI37" s="378"/>
      <c r="AJ37" s="378"/>
      <c r="AM37" s="505"/>
      <c r="AN37" s="505"/>
      <c r="AO37" s="505"/>
      <c r="AP37" s="505"/>
      <c r="AR37" s="370"/>
      <c r="AT37" s="370"/>
      <c r="AV37" s="506"/>
      <c r="AW37" s="370"/>
      <c r="AX37" s="370"/>
      <c r="AY37" s="370"/>
      <c r="AZ37" s="370"/>
      <c r="BA37" s="507"/>
      <c r="BB37" s="505"/>
      <c r="BC37" s="505"/>
      <c r="BD37" s="370"/>
      <c r="BE37" s="370"/>
      <c r="BF37" s="370"/>
      <c r="BG37" s="370"/>
      <c r="BH37" s="370"/>
      <c r="BI37" s="370"/>
      <c r="BJ37" s="370"/>
      <c r="BK37" s="370"/>
      <c r="BL37" s="370"/>
      <c r="BM37" s="370"/>
      <c r="BN37" s="370"/>
      <c r="BO37" s="370"/>
      <c r="BP37" s="370"/>
      <c r="BQ37" s="370"/>
      <c r="BR37" s="370"/>
      <c r="BS37" s="370"/>
      <c r="BV37" s="508"/>
      <c r="BW37" s="369"/>
      <c r="BX37" s="370"/>
      <c r="BY37" s="370"/>
      <c r="BZ37" s="370"/>
      <c r="CA37" s="370"/>
      <c r="CB37" s="370"/>
      <c r="CC37" s="505"/>
      <c r="CD37" s="505"/>
      <c r="CE37" s="505"/>
      <c r="CF37" s="505"/>
      <c r="CG37" s="505"/>
      <c r="CH37" s="505"/>
      <c r="CI37" s="505"/>
      <c r="CJ37" s="505"/>
      <c r="CK37" s="505"/>
      <c r="CL37" s="505"/>
      <c r="CM37" s="505"/>
    </row>
    <row r="38" customFormat="false" ht="12.75" hidden="false" customHeight="false" outlineLevel="0" collapsed="false">
      <c r="A38" s="500"/>
      <c r="B38" s="500"/>
      <c r="K38" s="363"/>
      <c r="L38" s="501"/>
      <c r="N38" s="502"/>
      <c r="O38" s="502"/>
      <c r="P38" s="371"/>
      <c r="Q38" s="501"/>
      <c r="R38" s="501"/>
      <c r="U38" s="501"/>
      <c r="V38" s="503"/>
      <c r="W38" s="503"/>
      <c r="X38" s="504"/>
      <c r="Y38" s="504"/>
      <c r="Z38" s="504"/>
      <c r="AA38" s="504"/>
      <c r="AB38" s="504"/>
      <c r="AC38" s="504"/>
      <c r="AF38" s="378"/>
      <c r="AG38" s="378"/>
      <c r="AH38" s="378"/>
      <c r="AI38" s="378"/>
      <c r="AJ38" s="378"/>
      <c r="AM38" s="505"/>
      <c r="AN38" s="505"/>
      <c r="AO38" s="505"/>
      <c r="AP38" s="505"/>
      <c r="AR38" s="370"/>
      <c r="AT38" s="370"/>
      <c r="AV38" s="506"/>
      <c r="AW38" s="370"/>
      <c r="AX38" s="370"/>
      <c r="AY38" s="370"/>
      <c r="AZ38" s="370"/>
      <c r="BA38" s="507"/>
      <c r="BB38" s="505"/>
      <c r="BC38" s="505"/>
      <c r="BD38" s="370"/>
      <c r="BE38" s="370"/>
      <c r="BF38" s="370"/>
      <c r="BG38" s="370"/>
      <c r="BH38" s="370"/>
      <c r="BI38" s="370"/>
      <c r="BJ38" s="370"/>
      <c r="BK38" s="370"/>
      <c r="BL38" s="370"/>
      <c r="BM38" s="370"/>
      <c r="BN38" s="370"/>
      <c r="BO38" s="370"/>
      <c r="BP38" s="370"/>
      <c r="BQ38" s="370"/>
      <c r="BR38" s="370"/>
      <c r="BS38" s="370"/>
      <c r="BV38" s="508"/>
      <c r="BW38" s="369"/>
      <c r="BX38" s="370"/>
      <c r="BY38" s="370"/>
      <c r="BZ38" s="370"/>
      <c r="CA38" s="370"/>
      <c r="CB38" s="370"/>
      <c r="CC38" s="505"/>
      <c r="CD38" s="505"/>
      <c r="CE38" s="505"/>
      <c r="CF38" s="505"/>
      <c r="CG38" s="505"/>
      <c r="CH38" s="505"/>
      <c r="CI38" s="505"/>
      <c r="CJ38" s="505"/>
      <c r="CK38" s="505"/>
      <c r="CL38" s="505"/>
      <c r="CM38" s="505"/>
    </row>
    <row r="39" customFormat="false" ht="12.75" hidden="false" customHeight="false" outlineLevel="0" collapsed="false">
      <c r="A39" s="500"/>
      <c r="B39" s="500"/>
      <c r="K39" s="363"/>
      <c r="L39" s="501"/>
      <c r="N39" s="502"/>
      <c r="O39" s="502"/>
      <c r="P39" s="371"/>
      <c r="Q39" s="501"/>
      <c r="R39" s="501"/>
      <c r="U39" s="501"/>
      <c r="V39" s="503"/>
      <c r="W39" s="503"/>
      <c r="X39" s="504"/>
      <c r="Y39" s="504"/>
      <c r="Z39" s="504"/>
      <c r="AA39" s="504"/>
      <c r="AB39" s="504"/>
      <c r="AC39" s="504"/>
      <c r="AF39" s="378"/>
      <c r="AG39" s="378"/>
      <c r="AH39" s="378"/>
      <c r="AI39" s="378"/>
      <c r="AJ39" s="378"/>
      <c r="AM39" s="505"/>
      <c r="AN39" s="505"/>
      <c r="AO39" s="505"/>
      <c r="AP39" s="505"/>
      <c r="AR39" s="370"/>
      <c r="AT39" s="370"/>
      <c r="AV39" s="506"/>
      <c r="AW39" s="370"/>
      <c r="AX39" s="370"/>
      <c r="AY39" s="370"/>
      <c r="AZ39" s="370"/>
      <c r="BA39" s="507"/>
      <c r="BB39" s="505"/>
      <c r="BC39" s="505"/>
      <c r="BD39" s="370"/>
      <c r="BE39" s="370"/>
      <c r="BF39" s="370"/>
      <c r="BG39" s="370"/>
      <c r="BH39" s="370"/>
      <c r="BI39" s="370"/>
      <c r="BJ39" s="370"/>
      <c r="BK39" s="370"/>
      <c r="BL39" s="370"/>
      <c r="BM39" s="370"/>
      <c r="BN39" s="370"/>
      <c r="BO39" s="370"/>
      <c r="BP39" s="370"/>
      <c r="BQ39" s="370"/>
      <c r="BR39" s="370"/>
      <c r="BS39" s="370"/>
      <c r="BV39" s="508"/>
      <c r="BW39" s="369"/>
      <c r="BX39" s="370"/>
      <c r="BY39" s="370"/>
      <c r="BZ39" s="370"/>
      <c r="CA39" s="370"/>
      <c r="CB39" s="370"/>
      <c r="CC39" s="505"/>
      <c r="CD39" s="505"/>
      <c r="CE39" s="505"/>
      <c r="CF39" s="505"/>
      <c r="CG39" s="505"/>
      <c r="CH39" s="505"/>
      <c r="CI39" s="505"/>
      <c r="CJ39" s="505"/>
      <c r="CK39" s="505"/>
      <c r="CL39" s="505"/>
      <c r="CM39" s="505"/>
    </row>
    <row r="40" customFormat="false" ht="12.75" hidden="false" customHeight="false" outlineLevel="0" collapsed="false">
      <c r="A40" s="500"/>
      <c r="B40" s="500"/>
      <c r="K40" s="363"/>
      <c r="L40" s="501"/>
      <c r="N40" s="502"/>
      <c r="O40" s="502"/>
      <c r="P40" s="371"/>
      <c r="Q40" s="501"/>
      <c r="R40" s="501"/>
      <c r="U40" s="501"/>
      <c r="V40" s="503"/>
      <c r="W40" s="503"/>
      <c r="X40" s="504"/>
      <c r="Y40" s="504"/>
      <c r="Z40" s="504"/>
      <c r="AA40" s="504"/>
      <c r="AB40" s="504"/>
      <c r="AC40" s="504"/>
      <c r="AF40" s="378"/>
      <c r="AG40" s="378"/>
      <c r="AH40" s="378"/>
      <c r="AI40" s="378"/>
      <c r="AJ40" s="378"/>
      <c r="AM40" s="505"/>
      <c r="AN40" s="505"/>
      <c r="AO40" s="505"/>
      <c r="AP40" s="505"/>
      <c r="AR40" s="370"/>
      <c r="AT40" s="370"/>
      <c r="AV40" s="506"/>
      <c r="AW40" s="370"/>
      <c r="AX40" s="370"/>
      <c r="AY40" s="370"/>
      <c r="AZ40" s="370"/>
      <c r="BA40" s="507"/>
      <c r="BB40" s="505"/>
      <c r="BC40" s="505"/>
      <c r="BD40" s="370"/>
      <c r="BE40" s="370"/>
      <c r="BF40" s="370"/>
      <c r="BG40" s="370"/>
      <c r="BH40" s="370"/>
      <c r="BI40" s="370"/>
      <c r="BJ40" s="370"/>
      <c r="BK40" s="370"/>
      <c r="BL40" s="370"/>
      <c r="BM40" s="370"/>
      <c r="BN40" s="370"/>
      <c r="BO40" s="370"/>
      <c r="BP40" s="370"/>
      <c r="BQ40" s="370"/>
      <c r="BR40" s="370"/>
      <c r="BS40" s="370"/>
      <c r="BV40" s="508"/>
      <c r="BW40" s="369"/>
      <c r="BX40" s="370"/>
      <c r="BY40" s="370"/>
      <c r="BZ40" s="370"/>
      <c r="CA40" s="370"/>
      <c r="CB40" s="370"/>
      <c r="CC40" s="505"/>
      <c r="CD40" s="505"/>
      <c r="CE40" s="505"/>
      <c r="CF40" s="505"/>
      <c r="CG40" s="505"/>
      <c r="CH40" s="505"/>
      <c r="CI40" s="505"/>
      <c r="CJ40" s="505"/>
      <c r="CK40" s="505"/>
      <c r="CL40" s="505"/>
      <c r="CM40" s="505"/>
    </row>
    <row r="41" customFormat="false" ht="12.75" hidden="false" customHeight="false" outlineLevel="0" collapsed="false">
      <c r="A41" s="500"/>
      <c r="B41" s="500"/>
      <c r="K41" s="363"/>
      <c r="L41" s="501"/>
      <c r="N41" s="502"/>
      <c r="O41" s="502"/>
      <c r="P41" s="371"/>
      <c r="Q41" s="501"/>
      <c r="R41" s="501"/>
      <c r="U41" s="501"/>
      <c r="V41" s="503"/>
      <c r="W41" s="503"/>
      <c r="X41" s="504"/>
      <c r="Y41" s="504"/>
      <c r="Z41" s="504"/>
      <c r="AA41" s="504"/>
      <c r="AB41" s="504"/>
      <c r="AC41" s="504"/>
      <c r="AF41" s="378"/>
      <c r="AG41" s="378"/>
      <c r="AH41" s="378"/>
      <c r="AI41" s="378"/>
      <c r="AJ41" s="378"/>
      <c r="AM41" s="505"/>
      <c r="AN41" s="505"/>
      <c r="AO41" s="505"/>
      <c r="AP41" s="505"/>
      <c r="AR41" s="370"/>
      <c r="AT41" s="370"/>
      <c r="AV41" s="506"/>
      <c r="AW41" s="370"/>
      <c r="AX41" s="370"/>
      <c r="AY41" s="370"/>
      <c r="AZ41" s="370"/>
      <c r="BA41" s="507"/>
      <c r="BB41" s="505"/>
      <c r="BC41" s="505"/>
      <c r="BD41" s="370"/>
      <c r="BE41" s="370"/>
      <c r="BF41" s="370"/>
      <c r="BG41" s="370"/>
      <c r="BH41" s="370"/>
      <c r="BI41" s="370"/>
      <c r="BJ41" s="370"/>
      <c r="BK41" s="370"/>
      <c r="BL41" s="370"/>
      <c r="BM41" s="370"/>
      <c r="BN41" s="370"/>
      <c r="BO41" s="370"/>
      <c r="BP41" s="370"/>
      <c r="BQ41" s="370"/>
      <c r="BR41" s="370"/>
      <c r="BS41" s="370"/>
      <c r="BV41" s="508"/>
      <c r="BW41" s="369"/>
      <c r="BX41" s="370"/>
      <c r="BY41" s="370"/>
      <c r="BZ41" s="370"/>
      <c r="CA41" s="370"/>
      <c r="CB41" s="370"/>
      <c r="CC41" s="505"/>
      <c r="CD41" s="505"/>
      <c r="CE41" s="505"/>
      <c r="CF41" s="505"/>
      <c r="CG41" s="505"/>
      <c r="CH41" s="505"/>
      <c r="CI41" s="505"/>
      <c r="CJ41" s="505"/>
      <c r="CK41" s="505"/>
      <c r="CL41" s="505"/>
      <c r="CM41" s="505"/>
    </row>
    <row r="42" customFormat="false" ht="12.75" hidden="false" customHeight="false" outlineLevel="0" collapsed="false">
      <c r="A42" s="500"/>
      <c r="B42" s="500"/>
      <c r="K42" s="363"/>
      <c r="L42" s="501"/>
      <c r="N42" s="502"/>
      <c r="O42" s="502"/>
      <c r="P42" s="371"/>
      <c r="Q42" s="501"/>
      <c r="R42" s="501"/>
      <c r="U42" s="501"/>
      <c r="V42" s="503"/>
      <c r="W42" s="503"/>
      <c r="X42" s="504"/>
      <c r="Y42" s="504"/>
      <c r="Z42" s="504"/>
      <c r="AA42" s="504"/>
      <c r="AB42" s="504"/>
      <c r="AC42" s="504"/>
      <c r="AF42" s="378"/>
      <c r="AG42" s="378"/>
      <c r="AH42" s="378"/>
      <c r="AI42" s="378"/>
      <c r="AJ42" s="378"/>
      <c r="AM42" s="505"/>
      <c r="AN42" s="505"/>
      <c r="AO42" s="505"/>
      <c r="AP42" s="505"/>
      <c r="AR42" s="370"/>
      <c r="AT42" s="370"/>
      <c r="AV42" s="506"/>
      <c r="AW42" s="370"/>
      <c r="AX42" s="370"/>
      <c r="AY42" s="370"/>
      <c r="AZ42" s="370"/>
      <c r="BA42" s="507"/>
      <c r="BB42" s="505"/>
      <c r="BC42" s="505"/>
      <c r="BD42" s="370"/>
      <c r="BE42" s="370"/>
      <c r="BF42" s="370"/>
      <c r="BG42" s="370"/>
      <c r="BH42" s="370"/>
      <c r="BI42" s="370"/>
      <c r="BJ42" s="370"/>
      <c r="BK42" s="370"/>
      <c r="BL42" s="370"/>
      <c r="BM42" s="370"/>
      <c r="BN42" s="370"/>
      <c r="BO42" s="370"/>
      <c r="BP42" s="370"/>
      <c r="BQ42" s="370"/>
      <c r="BR42" s="370"/>
      <c r="BS42" s="370"/>
      <c r="BV42" s="508"/>
      <c r="BW42" s="369"/>
      <c r="BX42" s="370"/>
      <c r="BY42" s="370"/>
      <c r="BZ42" s="370"/>
      <c r="CA42" s="370"/>
      <c r="CB42" s="370"/>
      <c r="CC42" s="505"/>
      <c r="CD42" s="505"/>
      <c r="CE42" s="505"/>
      <c r="CF42" s="505"/>
      <c r="CG42" s="505"/>
      <c r="CH42" s="505"/>
      <c r="CI42" s="505"/>
      <c r="CJ42" s="505"/>
      <c r="CK42" s="505"/>
      <c r="CL42" s="505"/>
      <c r="CM42" s="505"/>
    </row>
    <row r="43" customFormat="false" ht="12.75" hidden="false" customHeight="false" outlineLevel="0" collapsed="false">
      <c r="A43" s="500"/>
      <c r="B43" s="500"/>
      <c r="K43" s="363"/>
      <c r="L43" s="501"/>
      <c r="N43" s="502"/>
      <c r="O43" s="502"/>
      <c r="P43" s="371"/>
      <c r="Q43" s="501"/>
      <c r="R43" s="501"/>
      <c r="U43" s="501"/>
      <c r="V43" s="503"/>
      <c r="W43" s="503"/>
      <c r="X43" s="504"/>
      <c r="Y43" s="504"/>
      <c r="Z43" s="504"/>
      <c r="AA43" s="504"/>
      <c r="AB43" s="504"/>
      <c r="AC43" s="504"/>
      <c r="AF43" s="378"/>
      <c r="AG43" s="378"/>
      <c r="AH43" s="378"/>
      <c r="AI43" s="378"/>
      <c r="AJ43" s="378"/>
      <c r="AM43" s="505"/>
      <c r="AN43" s="505"/>
      <c r="AO43" s="505"/>
      <c r="AP43" s="505"/>
      <c r="AR43" s="370"/>
      <c r="AT43" s="370"/>
      <c r="AV43" s="506"/>
      <c r="AW43" s="370"/>
      <c r="AX43" s="370"/>
      <c r="AY43" s="370"/>
      <c r="AZ43" s="370"/>
      <c r="BA43" s="507"/>
      <c r="BB43" s="505"/>
      <c r="BC43" s="505"/>
      <c r="BD43" s="370"/>
      <c r="BE43" s="370"/>
      <c r="BF43" s="370"/>
      <c r="BG43" s="370"/>
      <c r="BH43" s="370"/>
      <c r="BI43" s="370"/>
      <c r="BJ43" s="370"/>
      <c r="BK43" s="370"/>
      <c r="BL43" s="370"/>
      <c r="BM43" s="370"/>
      <c r="BN43" s="370"/>
      <c r="BO43" s="370"/>
      <c r="BP43" s="370"/>
      <c r="BQ43" s="370"/>
      <c r="BR43" s="370"/>
      <c r="BS43" s="370"/>
      <c r="BV43" s="508"/>
      <c r="BW43" s="369"/>
      <c r="BX43" s="370"/>
      <c r="BY43" s="370"/>
      <c r="BZ43" s="370"/>
      <c r="CA43" s="370"/>
      <c r="CB43" s="370"/>
      <c r="CC43" s="505"/>
      <c r="CD43" s="505"/>
      <c r="CE43" s="505"/>
      <c r="CF43" s="505"/>
      <c r="CG43" s="505"/>
      <c r="CH43" s="505"/>
      <c r="CI43" s="505"/>
      <c r="CJ43" s="505"/>
      <c r="CK43" s="505"/>
      <c r="CL43" s="505"/>
      <c r="CM43" s="505"/>
    </row>
    <row r="44" customFormat="false" ht="12.75" hidden="false" customHeight="false" outlineLevel="0" collapsed="false">
      <c r="A44" s="500"/>
      <c r="B44" s="500"/>
      <c r="K44" s="363"/>
      <c r="L44" s="501"/>
      <c r="N44" s="502"/>
      <c r="O44" s="502"/>
      <c r="P44" s="371"/>
      <c r="Q44" s="501"/>
      <c r="R44" s="501"/>
      <c r="U44" s="501"/>
      <c r="V44" s="503"/>
      <c r="W44" s="503"/>
      <c r="X44" s="504"/>
      <c r="Y44" s="504"/>
      <c r="Z44" s="504"/>
      <c r="AA44" s="504"/>
      <c r="AB44" s="504"/>
      <c r="AC44" s="504"/>
      <c r="AF44" s="378"/>
      <c r="AG44" s="378"/>
      <c r="AH44" s="378"/>
      <c r="AI44" s="378"/>
      <c r="AJ44" s="378"/>
      <c r="AM44" s="505"/>
      <c r="AN44" s="505"/>
      <c r="AO44" s="505"/>
      <c r="AP44" s="505"/>
      <c r="AR44" s="370"/>
      <c r="AT44" s="370"/>
      <c r="AV44" s="506"/>
      <c r="AW44" s="370"/>
      <c r="AX44" s="370"/>
      <c r="AY44" s="370"/>
      <c r="AZ44" s="370"/>
      <c r="BA44" s="507"/>
      <c r="BB44" s="505"/>
      <c r="BC44" s="505"/>
      <c r="BD44" s="370"/>
      <c r="BE44" s="370"/>
      <c r="BF44" s="370"/>
      <c r="BG44" s="370"/>
      <c r="BH44" s="370"/>
      <c r="BI44" s="370"/>
      <c r="BJ44" s="370"/>
      <c r="BK44" s="370"/>
      <c r="BL44" s="370"/>
      <c r="BM44" s="370"/>
      <c r="BN44" s="370"/>
      <c r="BO44" s="370"/>
      <c r="BP44" s="370"/>
      <c r="BQ44" s="370"/>
      <c r="BR44" s="370"/>
      <c r="BS44" s="370"/>
      <c r="BV44" s="508"/>
      <c r="BW44" s="369"/>
      <c r="BX44" s="370"/>
      <c r="BY44" s="370"/>
      <c r="BZ44" s="370"/>
      <c r="CA44" s="370"/>
      <c r="CB44" s="370"/>
      <c r="CC44" s="505"/>
      <c r="CD44" s="505"/>
      <c r="CE44" s="505"/>
      <c r="CF44" s="505"/>
      <c r="CG44" s="505"/>
      <c r="CH44" s="505"/>
      <c r="CI44" s="505"/>
      <c r="CJ44" s="505"/>
      <c r="CK44" s="505"/>
      <c r="CL44" s="505"/>
      <c r="CM44" s="505"/>
    </row>
    <row r="45" customFormat="false" ht="12.75" hidden="false" customHeight="false" outlineLevel="0" collapsed="false">
      <c r="A45" s="500"/>
      <c r="B45" s="500"/>
      <c r="K45" s="363"/>
      <c r="L45" s="501"/>
      <c r="N45" s="502"/>
      <c r="O45" s="502"/>
      <c r="P45" s="371"/>
      <c r="Q45" s="501"/>
      <c r="R45" s="501"/>
      <c r="U45" s="501"/>
      <c r="V45" s="503"/>
      <c r="W45" s="503"/>
      <c r="X45" s="504"/>
      <c r="Y45" s="504"/>
      <c r="Z45" s="504"/>
      <c r="AA45" s="504"/>
      <c r="AB45" s="504"/>
      <c r="AC45" s="504"/>
      <c r="AF45" s="378"/>
      <c r="AG45" s="378"/>
      <c r="AH45" s="378"/>
      <c r="AI45" s="378"/>
      <c r="AJ45" s="378"/>
      <c r="AM45" s="505"/>
      <c r="AN45" s="505"/>
      <c r="AO45" s="505"/>
      <c r="AP45" s="505"/>
      <c r="AR45" s="370"/>
      <c r="AT45" s="370"/>
      <c r="AV45" s="506"/>
      <c r="AW45" s="370"/>
      <c r="AX45" s="370"/>
      <c r="AY45" s="370"/>
      <c r="AZ45" s="370"/>
      <c r="BA45" s="507"/>
      <c r="BB45" s="505"/>
      <c r="BC45" s="505"/>
      <c r="BD45" s="370"/>
      <c r="BE45" s="370"/>
      <c r="BF45" s="370"/>
      <c r="BG45" s="370"/>
      <c r="BH45" s="370"/>
      <c r="BI45" s="370"/>
      <c r="BJ45" s="370"/>
      <c r="BK45" s="370"/>
      <c r="BL45" s="370"/>
      <c r="BM45" s="370"/>
      <c r="BN45" s="370"/>
      <c r="BO45" s="370"/>
      <c r="BP45" s="370"/>
      <c r="BQ45" s="370"/>
      <c r="BR45" s="370"/>
      <c r="BS45" s="370"/>
      <c r="BV45" s="508"/>
      <c r="BW45" s="369"/>
      <c r="BX45" s="370"/>
      <c r="BY45" s="370"/>
      <c r="BZ45" s="370"/>
      <c r="CA45" s="370"/>
      <c r="CB45" s="370"/>
      <c r="CC45" s="505"/>
      <c r="CD45" s="505"/>
      <c r="CE45" s="505"/>
      <c r="CF45" s="505"/>
      <c r="CG45" s="505"/>
      <c r="CH45" s="505"/>
      <c r="CI45" s="505"/>
      <c r="CJ45" s="505"/>
      <c r="CK45" s="505"/>
      <c r="CL45" s="505"/>
      <c r="CM45" s="505"/>
    </row>
    <row r="46" customFormat="false" ht="12.75" hidden="false" customHeight="false" outlineLevel="0" collapsed="false">
      <c r="A46" s="500"/>
      <c r="B46" s="500"/>
      <c r="K46" s="363"/>
      <c r="L46" s="501"/>
      <c r="N46" s="502"/>
      <c r="O46" s="502"/>
      <c r="P46" s="371"/>
      <c r="Q46" s="501"/>
      <c r="R46" s="501"/>
      <c r="U46" s="501"/>
      <c r="V46" s="503"/>
      <c r="W46" s="503"/>
      <c r="X46" s="504"/>
      <c r="Y46" s="504"/>
      <c r="Z46" s="504"/>
      <c r="AA46" s="504"/>
      <c r="AB46" s="504"/>
      <c r="AC46" s="504"/>
      <c r="AF46" s="378"/>
      <c r="AG46" s="378"/>
      <c r="AH46" s="378"/>
      <c r="AI46" s="378"/>
      <c r="AJ46" s="378"/>
      <c r="AM46" s="505"/>
      <c r="AN46" s="505"/>
      <c r="AO46" s="505"/>
      <c r="AP46" s="505"/>
      <c r="AR46" s="370"/>
      <c r="AT46" s="370"/>
      <c r="AV46" s="506"/>
      <c r="AW46" s="370"/>
      <c r="AX46" s="370"/>
      <c r="AY46" s="370"/>
      <c r="AZ46" s="370"/>
      <c r="BA46" s="507"/>
      <c r="BB46" s="505"/>
      <c r="BC46" s="505"/>
      <c r="BD46" s="370"/>
      <c r="BE46" s="370"/>
      <c r="BF46" s="370"/>
      <c r="BG46" s="370"/>
      <c r="BH46" s="370"/>
      <c r="BI46" s="370"/>
      <c r="BJ46" s="370"/>
      <c r="BK46" s="370"/>
      <c r="BL46" s="370"/>
      <c r="BM46" s="370"/>
      <c r="BN46" s="370"/>
      <c r="BO46" s="370"/>
      <c r="BP46" s="370"/>
      <c r="BQ46" s="370"/>
      <c r="BR46" s="370"/>
      <c r="BS46" s="370"/>
      <c r="BV46" s="508"/>
      <c r="BW46" s="369"/>
      <c r="BX46" s="370"/>
      <c r="BY46" s="370"/>
      <c r="BZ46" s="370"/>
      <c r="CA46" s="370"/>
      <c r="CB46" s="370"/>
      <c r="CC46" s="505"/>
      <c r="CD46" s="505"/>
      <c r="CE46" s="505"/>
      <c r="CF46" s="505"/>
      <c r="CG46" s="505"/>
      <c r="CH46" s="505"/>
      <c r="CI46" s="505"/>
      <c r="CJ46" s="505"/>
      <c r="CK46" s="505"/>
      <c r="CL46" s="505"/>
      <c r="CM46" s="505"/>
    </row>
    <row r="47" customFormat="false" ht="12.75" hidden="false" customHeight="false" outlineLevel="0" collapsed="false">
      <c r="A47" s="500"/>
      <c r="B47" s="500"/>
      <c r="K47" s="363"/>
      <c r="L47" s="501"/>
      <c r="N47" s="502"/>
      <c r="O47" s="502"/>
      <c r="P47" s="371"/>
      <c r="Q47" s="501"/>
      <c r="R47" s="501"/>
      <c r="U47" s="501"/>
      <c r="V47" s="503"/>
      <c r="W47" s="503"/>
      <c r="X47" s="504"/>
      <c r="Y47" s="504"/>
      <c r="Z47" s="504"/>
      <c r="AA47" s="504"/>
      <c r="AB47" s="504"/>
      <c r="AC47" s="504"/>
      <c r="AF47" s="378"/>
      <c r="AG47" s="378"/>
      <c r="AH47" s="378"/>
      <c r="AI47" s="378"/>
      <c r="AJ47" s="378"/>
      <c r="AM47" s="505"/>
      <c r="AN47" s="505"/>
      <c r="AO47" s="505"/>
      <c r="AP47" s="505"/>
      <c r="AR47" s="370"/>
      <c r="AT47" s="370"/>
      <c r="AV47" s="506"/>
      <c r="AW47" s="370"/>
      <c r="AX47" s="370"/>
      <c r="AY47" s="370"/>
      <c r="AZ47" s="370"/>
      <c r="BA47" s="507"/>
      <c r="BB47" s="505"/>
      <c r="BC47" s="505"/>
      <c r="BD47" s="370"/>
      <c r="BE47" s="370"/>
      <c r="BF47" s="370"/>
      <c r="BG47" s="370"/>
      <c r="BH47" s="370"/>
      <c r="BI47" s="370"/>
      <c r="BJ47" s="370"/>
      <c r="BK47" s="370"/>
      <c r="BL47" s="370"/>
      <c r="BM47" s="370"/>
      <c r="BN47" s="370"/>
      <c r="BO47" s="370"/>
      <c r="BP47" s="370"/>
      <c r="BQ47" s="370"/>
      <c r="BR47" s="370"/>
      <c r="BS47" s="370"/>
      <c r="BV47" s="508"/>
      <c r="BW47" s="369"/>
      <c r="BX47" s="370"/>
      <c r="BY47" s="370"/>
      <c r="BZ47" s="370"/>
      <c r="CA47" s="370"/>
      <c r="CB47" s="370"/>
      <c r="CC47" s="505"/>
      <c r="CD47" s="505"/>
      <c r="CE47" s="505"/>
      <c r="CF47" s="505"/>
      <c r="CG47" s="505"/>
      <c r="CH47" s="505"/>
      <c r="CI47" s="505"/>
      <c r="CJ47" s="505"/>
      <c r="CK47" s="505"/>
      <c r="CL47" s="505"/>
      <c r="CM47" s="505"/>
    </row>
    <row r="48" customFormat="false" ht="12.75" hidden="false" customHeight="false" outlineLevel="0" collapsed="false">
      <c r="A48" s="500"/>
      <c r="B48" s="500"/>
      <c r="K48" s="363"/>
      <c r="L48" s="501"/>
      <c r="N48" s="502"/>
      <c r="O48" s="502"/>
      <c r="P48" s="371"/>
      <c r="Q48" s="501"/>
      <c r="R48" s="501"/>
      <c r="U48" s="501"/>
      <c r="V48" s="503"/>
      <c r="W48" s="503"/>
      <c r="X48" s="504"/>
      <c r="Y48" s="504"/>
      <c r="Z48" s="504"/>
      <c r="AA48" s="504"/>
      <c r="AB48" s="504"/>
      <c r="AC48" s="504"/>
      <c r="AF48" s="378"/>
      <c r="AG48" s="378"/>
      <c r="AH48" s="378"/>
      <c r="AI48" s="378"/>
      <c r="AJ48" s="378"/>
      <c r="AM48" s="505"/>
      <c r="AN48" s="505"/>
      <c r="AO48" s="505"/>
      <c r="AP48" s="505"/>
      <c r="AR48" s="370"/>
      <c r="AT48" s="370"/>
      <c r="AV48" s="506"/>
      <c r="AW48" s="370"/>
      <c r="AX48" s="370"/>
      <c r="AY48" s="370"/>
      <c r="AZ48" s="370"/>
      <c r="BA48" s="507"/>
      <c r="BB48" s="505"/>
      <c r="BC48" s="505"/>
      <c r="BD48" s="370"/>
      <c r="BE48" s="370"/>
      <c r="BF48" s="370"/>
      <c r="BG48" s="370"/>
      <c r="BH48" s="370"/>
      <c r="BI48" s="370"/>
      <c r="BJ48" s="370"/>
      <c r="BK48" s="370"/>
      <c r="BL48" s="370"/>
      <c r="BM48" s="370"/>
      <c r="BN48" s="370"/>
      <c r="BO48" s="370"/>
      <c r="BP48" s="370"/>
      <c r="BQ48" s="370"/>
      <c r="BR48" s="370"/>
      <c r="BS48" s="370"/>
      <c r="BV48" s="508"/>
      <c r="BW48" s="369"/>
      <c r="BX48" s="370"/>
      <c r="BY48" s="370"/>
      <c r="BZ48" s="370"/>
      <c r="CA48" s="370"/>
      <c r="CB48" s="370"/>
      <c r="CC48" s="505"/>
      <c r="CD48" s="505"/>
      <c r="CE48" s="505"/>
      <c r="CF48" s="505"/>
      <c r="CG48" s="505"/>
      <c r="CH48" s="505"/>
      <c r="CI48" s="505"/>
      <c r="CJ48" s="505"/>
      <c r="CK48" s="505"/>
      <c r="CL48" s="505"/>
      <c r="CM48" s="505"/>
    </row>
    <row r="49" customFormat="false" ht="12.75" hidden="false" customHeight="false" outlineLevel="0" collapsed="false">
      <c r="A49" s="500"/>
      <c r="B49" s="500"/>
      <c r="K49" s="363"/>
      <c r="L49" s="501"/>
      <c r="N49" s="502"/>
      <c r="O49" s="502"/>
      <c r="P49" s="371"/>
      <c r="Q49" s="501"/>
      <c r="R49" s="501"/>
      <c r="U49" s="501"/>
      <c r="V49" s="503"/>
      <c r="W49" s="503"/>
      <c r="X49" s="504"/>
      <c r="Y49" s="504"/>
      <c r="Z49" s="504"/>
      <c r="AA49" s="504"/>
      <c r="AB49" s="504"/>
      <c r="AC49" s="504"/>
      <c r="AF49" s="378"/>
      <c r="AG49" s="378"/>
      <c r="AH49" s="378"/>
      <c r="AI49" s="378"/>
      <c r="AJ49" s="378"/>
      <c r="AM49" s="505"/>
      <c r="AN49" s="505"/>
      <c r="AO49" s="505"/>
      <c r="AP49" s="505"/>
      <c r="AR49" s="370"/>
      <c r="AT49" s="370"/>
      <c r="AV49" s="506"/>
      <c r="AW49" s="370"/>
      <c r="AX49" s="370"/>
      <c r="AY49" s="370"/>
      <c r="AZ49" s="370"/>
      <c r="BA49" s="507"/>
      <c r="BB49" s="505"/>
      <c r="BC49" s="505"/>
      <c r="BD49" s="370"/>
      <c r="BE49" s="370"/>
      <c r="BF49" s="370"/>
      <c r="BG49" s="370"/>
      <c r="BH49" s="370"/>
      <c r="BI49" s="370"/>
      <c r="BJ49" s="370"/>
      <c r="BK49" s="370"/>
      <c r="BL49" s="370"/>
      <c r="BM49" s="370"/>
      <c r="BN49" s="370"/>
      <c r="BO49" s="370"/>
      <c r="BP49" s="370"/>
      <c r="BQ49" s="370"/>
      <c r="BR49" s="370"/>
      <c r="BS49" s="370"/>
      <c r="BV49" s="508"/>
      <c r="BW49" s="369"/>
      <c r="BX49" s="370"/>
      <c r="BY49" s="370"/>
      <c r="BZ49" s="370"/>
      <c r="CA49" s="370"/>
      <c r="CB49" s="370"/>
      <c r="CC49" s="505"/>
      <c r="CD49" s="505"/>
      <c r="CE49" s="505"/>
      <c r="CF49" s="505"/>
      <c r="CG49" s="505"/>
      <c r="CH49" s="505"/>
      <c r="CI49" s="505"/>
      <c r="CJ49" s="505"/>
      <c r="CK49" s="505"/>
      <c r="CL49" s="505"/>
      <c r="CM49" s="505"/>
    </row>
    <row r="50" customFormat="false" ht="12.75" hidden="false" customHeight="false" outlineLevel="0" collapsed="false">
      <c r="A50" s="500"/>
      <c r="B50" s="500"/>
      <c r="K50" s="363"/>
      <c r="L50" s="501"/>
      <c r="N50" s="502"/>
      <c r="O50" s="502"/>
      <c r="P50" s="371"/>
      <c r="Q50" s="501"/>
      <c r="R50" s="501"/>
      <c r="U50" s="501"/>
      <c r="V50" s="503"/>
      <c r="W50" s="503"/>
      <c r="X50" s="504"/>
      <c r="Y50" s="504"/>
      <c r="Z50" s="504"/>
      <c r="AA50" s="504"/>
      <c r="AB50" s="504"/>
      <c r="AC50" s="504"/>
      <c r="AF50" s="378"/>
      <c r="AG50" s="378"/>
      <c r="AH50" s="378"/>
      <c r="AI50" s="378"/>
      <c r="AJ50" s="378"/>
      <c r="AM50" s="505"/>
      <c r="AN50" s="505"/>
      <c r="AO50" s="505"/>
      <c r="AP50" s="505"/>
      <c r="AR50" s="370"/>
      <c r="AT50" s="370"/>
      <c r="AV50" s="506"/>
      <c r="AW50" s="370"/>
      <c r="AX50" s="370"/>
      <c r="AY50" s="370"/>
      <c r="AZ50" s="370"/>
      <c r="BA50" s="507"/>
      <c r="BB50" s="505"/>
      <c r="BC50" s="505"/>
      <c r="BD50" s="370"/>
      <c r="BE50" s="370"/>
      <c r="BF50" s="370"/>
      <c r="BG50" s="370"/>
      <c r="BH50" s="370"/>
      <c r="BI50" s="370"/>
      <c r="BJ50" s="370"/>
      <c r="BK50" s="370"/>
      <c r="BL50" s="370"/>
      <c r="BM50" s="370"/>
      <c r="BN50" s="370"/>
      <c r="BO50" s="370"/>
      <c r="BP50" s="370"/>
      <c r="BQ50" s="370"/>
      <c r="BR50" s="370"/>
      <c r="BS50" s="370"/>
      <c r="BV50" s="508"/>
      <c r="BW50" s="369"/>
      <c r="BX50" s="370"/>
      <c r="BY50" s="370"/>
      <c r="BZ50" s="370"/>
      <c r="CA50" s="370"/>
      <c r="CB50" s="370"/>
      <c r="CC50" s="505"/>
      <c r="CD50" s="505"/>
      <c r="CE50" s="505"/>
      <c r="CF50" s="505"/>
      <c r="CG50" s="505"/>
      <c r="CH50" s="505"/>
      <c r="CI50" s="505"/>
      <c r="CJ50" s="505"/>
      <c r="CK50" s="505"/>
      <c r="CL50" s="505"/>
      <c r="CM50" s="505"/>
    </row>
    <row r="51" customFormat="false" ht="12.75" hidden="false" customHeight="false" outlineLevel="0" collapsed="false">
      <c r="A51" s="500"/>
      <c r="B51" s="500"/>
      <c r="K51" s="363"/>
      <c r="L51" s="501"/>
      <c r="N51" s="502"/>
      <c r="O51" s="502"/>
      <c r="P51" s="371"/>
      <c r="Q51" s="501"/>
      <c r="R51" s="501"/>
      <c r="U51" s="501"/>
      <c r="V51" s="503"/>
      <c r="W51" s="503"/>
      <c r="X51" s="504"/>
      <c r="Y51" s="504"/>
      <c r="Z51" s="504"/>
      <c r="AA51" s="504"/>
      <c r="AB51" s="504"/>
      <c r="AC51" s="504"/>
      <c r="AF51" s="378"/>
      <c r="AG51" s="378"/>
      <c r="AH51" s="378"/>
      <c r="AI51" s="378"/>
      <c r="AJ51" s="378"/>
      <c r="AM51" s="505"/>
      <c r="AN51" s="505"/>
      <c r="AO51" s="505"/>
      <c r="AP51" s="505"/>
      <c r="AR51" s="370"/>
      <c r="AT51" s="370"/>
      <c r="AV51" s="506"/>
      <c r="AW51" s="370"/>
      <c r="AX51" s="370"/>
      <c r="AY51" s="370"/>
      <c r="AZ51" s="370"/>
      <c r="BA51" s="507"/>
      <c r="BB51" s="505"/>
      <c r="BC51" s="505"/>
      <c r="BD51" s="370"/>
      <c r="BE51" s="370"/>
      <c r="BF51" s="370"/>
      <c r="BG51" s="370"/>
      <c r="BH51" s="370"/>
      <c r="BI51" s="370"/>
      <c r="BJ51" s="370"/>
      <c r="BK51" s="370"/>
      <c r="BL51" s="370"/>
      <c r="BM51" s="370"/>
      <c r="BN51" s="370"/>
      <c r="BO51" s="370"/>
      <c r="BP51" s="370"/>
      <c r="BQ51" s="370"/>
      <c r="BR51" s="370"/>
      <c r="BS51" s="370"/>
      <c r="BV51" s="508"/>
      <c r="BW51" s="369"/>
      <c r="BX51" s="370"/>
      <c r="BY51" s="370"/>
      <c r="BZ51" s="370"/>
      <c r="CA51" s="370"/>
      <c r="CB51" s="370"/>
      <c r="CC51" s="505"/>
      <c r="CD51" s="505"/>
      <c r="CE51" s="505"/>
      <c r="CF51" s="505"/>
      <c r="CG51" s="505"/>
      <c r="CH51" s="505"/>
      <c r="CI51" s="505"/>
      <c r="CJ51" s="505"/>
      <c r="CK51" s="505"/>
      <c r="CL51" s="505"/>
      <c r="CM51" s="505"/>
    </row>
    <row r="52" customFormat="false" ht="12.75" hidden="false" customHeight="false" outlineLevel="0" collapsed="false">
      <c r="A52" s="500"/>
      <c r="B52" s="500"/>
      <c r="K52" s="363"/>
      <c r="L52" s="501"/>
      <c r="N52" s="502"/>
      <c r="O52" s="502"/>
      <c r="P52" s="371"/>
      <c r="Q52" s="501"/>
      <c r="R52" s="501"/>
      <c r="U52" s="501"/>
      <c r="V52" s="503"/>
      <c r="W52" s="503"/>
      <c r="X52" s="504"/>
      <c r="Y52" s="504"/>
      <c r="Z52" s="504"/>
      <c r="AA52" s="504"/>
      <c r="AB52" s="504"/>
      <c r="AC52" s="504"/>
      <c r="AF52" s="378"/>
      <c r="AG52" s="378"/>
      <c r="AH52" s="378"/>
      <c r="AI52" s="378"/>
      <c r="AJ52" s="378"/>
      <c r="AM52" s="505"/>
      <c r="AN52" s="505"/>
      <c r="AO52" s="505"/>
      <c r="AP52" s="505"/>
      <c r="AR52" s="370"/>
      <c r="AT52" s="370"/>
      <c r="AV52" s="506"/>
      <c r="AW52" s="370"/>
      <c r="AX52" s="370"/>
      <c r="AY52" s="370"/>
      <c r="AZ52" s="370"/>
      <c r="BA52" s="507"/>
      <c r="BB52" s="505"/>
      <c r="BC52" s="505"/>
      <c r="BD52" s="370"/>
      <c r="BE52" s="370"/>
      <c r="BF52" s="370"/>
      <c r="BG52" s="370"/>
      <c r="BH52" s="370"/>
      <c r="BI52" s="370"/>
      <c r="BJ52" s="370"/>
      <c r="BK52" s="370"/>
      <c r="BL52" s="370"/>
      <c r="BM52" s="370"/>
      <c r="BN52" s="370"/>
      <c r="BO52" s="370"/>
      <c r="BP52" s="370"/>
      <c r="BQ52" s="370"/>
      <c r="BR52" s="370"/>
      <c r="BS52" s="370"/>
      <c r="BV52" s="508"/>
      <c r="BW52" s="369"/>
      <c r="BX52" s="370"/>
      <c r="BY52" s="370"/>
      <c r="BZ52" s="370"/>
      <c r="CA52" s="370"/>
      <c r="CB52" s="370"/>
      <c r="CC52" s="505"/>
      <c r="CD52" s="505"/>
      <c r="CE52" s="505"/>
      <c r="CF52" s="505"/>
      <c r="CG52" s="505"/>
      <c r="CH52" s="505"/>
      <c r="CI52" s="505"/>
      <c r="CJ52" s="505"/>
      <c r="CK52" s="505"/>
      <c r="CL52" s="505"/>
      <c r="CM52" s="505"/>
    </row>
    <row r="53" customFormat="false" ht="12.75" hidden="false" customHeight="false" outlineLevel="0" collapsed="false">
      <c r="A53" s="500"/>
      <c r="B53" s="500"/>
      <c r="K53" s="363"/>
      <c r="L53" s="501"/>
      <c r="N53" s="502"/>
      <c r="O53" s="502"/>
      <c r="P53" s="371"/>
      <c r="Q53" s="501"/>
      <c r="R53" s="501"/>
      <c r="U53" s="501"/>
      <c r="V53" s="503"/>
      <c r="W53" s="503"/>
      <c r="X53" s="504"/>
      <c r="Y53" s="504"/>
      <c r="Z53" s="504"/>
      <c r="AA53" s="504"/>
      <c r="AB53" s="504"/>
      <c r="AC53" s="504"/>
      <c r="AF53" s="378"/>
      <c r="AG53" s="378"/>
      <c r="AH53" s="378"/>
      <c r="AI53" s="378"/>
      <c r="AJ53" s="378"/>
      <c r="AM53" s="505"/>
      <c r="AN53" s="505"/>
      <c r="AO53" s="505"/>
      <c r="AP53" s="505"/>
      <c r="AR53" s="370"/>
      <c r="AT53" s="370"/>
      <c r="AV53" s="506"/>
      <c r="AW53" s="370"/>
      <c r="AX53" s="370"/>
      <c r="AY53" s="370"/>
      <c r="AZ53" s="370"/>
      <c r="BA53" s="507"/>
      <c r="BB53" s="505"/>
      <c r="BC53" s="505"/>
      <c r="BD53" s="370"/>
      <c r="BE53" s="370"/>
      <c r="BF53" s="370"/>
      <c r="BG53" s="370"/>
      <c r="BH53" s="370"/>
      <c r="BI53" s="370"/>
      <c r="BJ53" s="370"/>
      <c r="BK53" s="370"/>
      <c r="BL53" s="370"/>
      <c r="BM53" s="370"/>
      <c r="BN53" s="370"/>
      <c r="BO53" s="370"/>
      <c r="BP53" s="370"/>
      <c r="BQ53" s="370"/>
      <c r="BR53" s="370"/>
      <c r="BS53" s="370"/>
      <c r="BV53" s="508"/>
      <c r="BW53" s="369"/>
      <c r="BX53" s="370"/>
      <c r="BY53" s="370"/>
      <c r="BZ53" s="370"/>
      <c r="CA53" s="370"/>
      <c r="CB53" s="370"/>
      <c r="CC53" s="505"/>
      <c r="CD53" s="505"/>
      <c r="CE53" s="505"/>
      <c r="CF53" s="505"/>
      <c r="CG53" s="505"/>
      <c r="CH53" s="505"/>
      <c r="CI53" s="505"/>
      <c r="CJ53" s="505"/>
      <c r="CK53" s="505"/>
      <c r="CL53" s="505"/>
      <c r="CM53" s="505"/>
    </row>
    <row r="54" customFormat="false" ht="12.75" hidden="false" customHeight="false" outlineLevel="0" collapsed="false">
      <c r="A54" s="500"/>
      <c r="B54" s="500"/>
      <c r="K54" s="363"/>
      <c r="L54" s="501"/>
      <c r="N54" s="502"/>
      <c r="O54" s="502"/>
      <c r="P54" s="371"/>
      <c r="Q54" s="501"/>
      <c r="R54" s="501"/>
      <c r="U54" s="501"/>
      <c r="V54" s="503"/>
      <c r="W54" s="503"/>
      <c r="X54" s="504"/>
      <c r="Y54" s="504"/>
      <c r="Z54" s="504"/>
      <c r="AA54" s="504"/>
      <c r="AB54" s="504"/>
      <c r="AC54" s="504"/>
      <c r="AF54" s="378"/>
      <c r="AG54" s="378"/>
      <c r="AH54" s="378"/>
      <c r="AI54" s="378"/>
      <c r="AJ54" s="378"/>
      <c r="AM54" s="505"/>
      <c r="AN54" s="505"/>
      <c r="AO54" s="505"/>
      <c r="AP54" s="505"/>
      <c r="AR54" s="370"/>
      <c r="AT54" s="370"/>
      <c r="AV54" s="506"/>
      <c r="AW54" s="370"/>
      <c r="AX54" s="370"/>
      <c r="AY54" s="370"/>
      <c r="AZ54" s="370"/>
      <c r="BA54" s="507"/>
      <c r="BB54" s="505"/>
      <c r="BC54" s="505"/>
      <c r="BD54" s="370"/>
      <c r="BE54" s="370"/>
      <c r="BF54" s="370"/>
      <c r="BG54" s="370"/>
      <c r="BH54" s="370"/>
      <c r="BI54" s="370"/>
      <c r="BJ54" s="370"/>
      <c r="BK54" s="370"/>
      <c r="BL54" s="370"/>
      <c r="BM54" s="370"/>
      <c r="BN54" s="370"/>
      <c r="BO54" s="370"/>
      <c r="BP54" s="370"/>
      <c r="BQ54" s="370"/>
      <c r="BR54" s="370"/>
      <c r="BS54" s="370"/>
      <c r="BV54" s="508"/>
      <c r="BW54" s="369"/>
      <c r="BX54" s="370"/>
      <c r="BY54" s="370"/>
      <c r="BZ54" s="370"/>
      <c r="CA54" s="370"/>
      <c r="CB54" s="370"/>
      <c r="CC54" s="505"/>
      <c r="CD54" s="505"/>
      <c r="CE54" s="505"/>
      <c r="CF54" s="505"/>
      <c r="CG54" s="505"/>
      <c r="CH54" s="505"/>
      <c r="CI54" s="505"/>
      <c r="CJ54" s="505"/>
      <c r="CK54" s="505"/>
      <c r="CL54" s="505"/>
      <c r="CM54" s="505"/>
    </row>
    <row r="55" customFormat="false" ht="12.75" hidden="false" customHeight="false" outlineLevel="0" collapsed="false">
      <c r="A55" s="500"/>
      <c r="B55" s="500"/>
      <c r="K55" s="363"/>
      <c r="L55" s="501"/>
      <c r="N55" s="502"/>
      <c r="O55" s="502"/>
      <c r="P55" s="371"/>
      <c r="Q55" s="501"/>
      <c r="R55" s="501"/>
      <c r="U55" s="501"/>
      <c r="V55" s="503"/>
      <c r="W55" s="503"/>
      <c r="X55" s="504"/>
      <c r="Y55" s="504"/>
      <c r="Z55" s="504"/>
      <c r="AA55" s="504"/>
      <c r="AB55" s="504"/>
      <c r="AC55" s="504"/>
      <c r="AF55" s="378"/>
      <c r="AG55" s="378"/>
      <c r="AH55" s="378"/>
      <c r="AI55" s="378"/>
      <c r="AJ55" s="378"/>
      <c r="AM55" s="505"/>
      <c r="AN55" s="505"/>
      <c r="AO55" s="505"/>
      <c r="AP55" s="505"/>
      <c r="AR55" s="370"/>
      <c r="AT55" s="370"/>
      <c r="AV55" s="506"/>
      <c r="AW55" s="370"/>
      <c r="AX55" s="370"/>
      <c r="AY55" s="370"/>
      <c r="AZ55" s="370"/>
      <c r="BA55" s="507"/>
      <c r="BB55" s="505"/>
      <c r="BC55" s="505"/>
      <c r="BD55" s="370"/>
      <c r="BE55" s="370"/>
      <c r="BF55" s="370"/>
      <c r="BG55" s="370"/>
      <c r="BH55" s="370"/>
      <c r="BI55" s="370"/>
      <c r="BJ55" s="370"/>
      <c r="BK55" s="370"/>
      <c r="BL55" s="370"/>
      <c r="BM55" s="370"/>
      <c r="BN55" s="370"/>
      <c r="BO55" s="370"/>
      <c r="BP55" s="370"/>
      <c r="BQ55" s="370"/>
      <c r="BR55" s="370"/>
      <c r="BS55" s="370"/>
      <c r="BV55" s="508"/>
      <c r="BW55" s="369"/>
      <c r="BX55" s="370"/>
      <c r="BY55" s="370"/>
      <c r="BZ55" s="370"/>
      <c r="CA55" s="370"/>
      <c r="CB55" s="370"/>
      <c r="CC55" s="505"/>
      <c r="CD55" s="505"/>
      <c r="CE55" s="505"/>
      <c r="CF55" s="505"/>
      <c r="CG55" s="505"/>
      <c r="CH55" s="505"/>
      <c r="CI55" s="505"/>
      <c r="CJ55" s="505"/>
      <c r="CK55" s="505"/>
      <c r="CL55" s="505"/>
      <c r="CM55" s="505"/>
    </row>
    <row r="56" customFormat="false" ht="12.75" hidden="false" customHeight="false" outlineLevel="0" collapsed="false">
      <c r="A56" s="500"/>
      <c r="B56" s="500"/>
      <c r="K56" s="363"/>
      <c r="L56" s="501"/>
      <c r="N56" s="502"/>
      <c r="O56" s="502"/>
      <c r="P56" s="371"/>
      <c r="Q56" s="501"/>
      <c r="R56" s="501"/>
      <c r="U56" s="501"/>
      <c r="V56" s="503"/>
      <c r="W56" s="503"/>
      <c r="X56" s="504"/>
      <c r="Y56" s="504"/>
      <c r="Z56" s="504"/>
      <c r="AA56" s="504"/>
      <c r="AB56" s="504"/>
      <c r="AC56" s="504"/>
      <c r="AF56" s="378"/>
      <c r="AG56" s="378"/>
      <c r="AH56" s="378"/>
      <c r="AI56" s="378"/>
      <c r="AJ56" s="378"/>
      <c r="AM56" s="505"/>
      <c r="AN56" s="505"/>
      <c r="AO56" s="505"/>
      <c r="AP56" s="505"/>
      <c r="AR56" s="370"/>
      <c r="AT56" s="370"/>
      <c r="AV56" s="506"/>
      <c r="AW56" s="370"/>
      <c r="AX56" s="370"/>
      <c r="AY56" s="370"/>
      <c r="AZ56" s="370"/>
      <c r="BA56" s="507"/>
      <c r="BB56" s="505"/>
      <c r="BC56" s="505"/>
      <c r="BD56" s="370"/>
      <c r="BE56" s="370"/>
      <c r="BF56" s="370"/>
      <c r="BG56" s="370"/>
      <c r="BH56" s="370"/>
      <c r="BI56" s="370"/>
      <c r="BJ56" s="370"/>
      <c r="BK56" s="370"/>
      <c r="BL56" s="370"/>
      <c r="BM56" s="370"/>
      <c r="BN56" s="370"/>
      <c r="BO56" s="370"/>
      <c r="BP56" s="370"/>
      <c r="BQ56" s="370"/>
      <c r="BR56" s="370"/>
      <c r="BS56" s="370"/>
      <c r="BV56" s="508"/>
      <c r="BW56" s="369"/>
      <c r="BX56" s="370"/>
      <c r="BY56" s="370"/>
      <c r="BZ56" s="370"/>
      <c r="CA56" s="370"/>
      <c r="CB56" s="370"/>
      <c r="CC56" s="505"/>
      <c r="CD56" s="505"/>
      <c r="CE56" s="505"/>
      <c r="CF56" s="505"/>
      <c r="CG56" s="505"/>
      <c r="CH56" s="505"/>
      <c r="CI56" s="505"/>
      <c r="CJ56" s="505"/>
      <c r="CK56" s="505"/>
      <c r="CL56" s="505"/>
      <c r="CM56" s="505"/>
    </row>
    <row r="57" customFormat="false" ht="12.75" hidden="false" customHeight="false" outlineLevel="0" collapsed="false">
      <c r="A57" s="500"/>
      <c r="B57" s="500"/>
      <c r="K57" s="363"/>
      <c r="L57" s="501"/>
      <c r="N57" s="502"/>
      <c r="O57" s="502"/>
      <c r="P57" s="371"/>
      <c r="Q57" s="501"/>
      <c r="R57" s="501"/>
      <c r="U57" s="501"/>
      <c r="V57" s="503"/>
      <c r="W57" s="503"/>
      <c r="X57" s="504"/>
      <c r="Y57" s="504"/>
      <c r="Z57" s="504"/>
      <c r="AA57" s="504"/>
      <c r="AB57" s="504"/>
      <c r="AC57" s="504"/>
      <c r="AF57" s="378"/>
      <c r="AG57" s="378"/>
      <c r="AH57" s="378"/>
      <c r="AI57" s="378"/>
      <c r="AJ57" s="378"/>
      <c r="AM57" s="505"/>
      <c r="AN57" s="505"/>
      <c r="AO57" s="505"/>
      <c r="AP57" s="505"/>
      <c r="AR57" s="370"/>
      <c r="AT57" s="370"/>
      <c r="AV57" s="506"/>
      <c r="AW57" s="370"/>
      <c r="AX57" s="370"/>
      <c r="AY57" s="370"/>
      <c r="AZ57" s="370"/>
      <c r="BA57" s="507"/>
      <c r="BB57" s="505"/>
      <c r="BC57" s="505"/>
      <c r="BD57" s="370"/>
      <c r="BE57" s="370"/>
      <c r="BF57" s="370"/>
      <c r="BG57" s="370"/>
      <c r="BH57" s="370"/>
      <c r="BI57" s="370"/>
      <c r="BJ57" s="370"/>
      <c r="BK57" s="370"/>
      <c r="BL57" s="370"/>
      <c r="BM57" s="370"/>
      <c r="BN57" s="370"/>
      <c r="BO57" s="370"/>
      <c r="BP57" s="370"/>
      <c r="BQ57" s="370"/>
      <c r="BR57" s="370"/>
      <c r="BS57" s="370"/>
      <c r="BV57" s="508"/>
      <c r="BW57" s="369"/>
      <c r="BX57" s="370"/>
      <c r="BY57" s="370"/>
      <c r="BZ57" s="370"/>
      <c r="CA57" s="370"/>
      <c r="CB57" s="370"/>
      <c r="CC57" s="505"/>
      <c r="CD57" s="505"/>
      <c r="CE57" s="505"/>
      <c r="CF57" s="505"/>
      <c r="CG57" s="505"/>
      <c r="CH57" s="505"/>
      <c r="CI57" s="505"/>
      <c r="CJ57" s="505"/>
      <c r="CK57" s="505"/>
      <c r="CL57" s="505"/>
      <c r="CM57" s="505"/>
    </row>
    <row r="58" customFormat="false" ht="12.75" hidden="false" customHeight="false" outlineLevel="0" collapsed="false">
      <c r="A58" s="500"/>
      <c r="B58" s="500"/>
      <c r="K58" s="363"/>
      <c r="L58" s="501"/>
      <c r="N58" s="502"/>
      <c r="O58" s="502"/>
      <c r="P58" s="371"/>
      <c r="Q58" s="501"/>
      <c r="R58" s="501"/>
      <c r="U58" s="501"/>
      <c r="V58" s="503"/>
      <c r="W58" s="503"/>
      <c r="X58" s="504"/>
      <c r="Y58" s="504"/>
      <c r="Z58" s="504"/>
      <c r="AA58" s="504"/>
      <c r="AB58" s="504"/>
      <c r="AC58" s="504"/>
      <c r="AF58" s="378"/>
      <c r="AG58" s="378"/>
      <c r="AH58" s="378"/>
      <c r="AI58" s="378"/>
      <c r="AJ58" s="378"/>
      <c r="AM58" s="505"/>
      <c r="AN58" s="505"/>
      <c r="AO58" s="505"/>
      <c r="AP58" s="505"/>
      <c r="AR58" s="370"/>
      <c r="AT58" s="370"/>
      <c r="AV58" s="506"/>
      <c r="AW58" s="370"/>
      <c r="AX58" s="370"/>
      <c r="AY58" s="370"/>
      <c r="AZ58" s="370"/>
      <c r="BA58" s="507"/>
      <c r="BB58" s="505"/>
      <c r="BC58" s="505"/>
      <c r="BD58" s="370"/>
      <c r="BE58" s="370"/>
      <c r="BF58" s="370"/>
      <c r="BG58" s="370"/>
      <c r="BH58" s="370"/>
      <c r="BI58" s="370"/>
      <c r="BJ58" s="370"/>
      <c r="BK58" s="370"/>
      <c r="BL58" s="370"/>
      <c r="BM58" s="370"/>
      <c r="BN58" s="370"/>
      <c r="BO58" s="370"/>
      <c r="BP58" s="370"/>
      <c r="BQ58" s="370"/>
      <c r="BR58" s="370"/>
      <c r="BS58" s="370"/>
      <c r="BV58" s="508"/>
      <c r="BW58" s="369"/>
      <c r="BX58" s="370"/>
      <c r="BY58" s="370"/>
      <c r="BZ58" s="370"/>
      <c r="CA58" s="370"/>
      <c r="CB58" s="370"/>
      <c r="CC58" s="505"/>
      <c r="CD58" s="505"/>
      <c r="CE58" s="505"/>
      <c r="CF58" s="505"/>
      <c r="CG58" s="505"/>
      <c r="CH58" s="505"/>
      <c r="CI58" s="505"/>
      <c r="CJ58" s="505"/>
      <c r="CK58" s="505"/>
      <c r="CL58" s="505"/>
      <c r="CM58" s="505"/>
    </row>
    <row r="59" customFormat="false" ht="12.75" hidden="false" customHeight="false" outlineLevel="0" collapsed="false">
      <c r="A59" s="500"/>
      <c r="B59" s="500"/>
      <c r="K59" s="363"/>
      <c r="L59" s="501"/>
      <c r="N59" s="502"/>
      <c r="O59" s="502"/>
      <c r="P59" s="371"/>
      <c r="Q59" s="501"/>
      <c r="R59" s="501"/>
      <c r="U59" s="501"/>
      <c r="V59" s="503"/>
      <c r="W59" s="503"/>
      <c r="X59" s="504"/>
      <c r="Y59" s="504"/>
      <c r="Z59" s="504"/>
      <c r="AA59" s="504"/>
      <c r="AB59" s="504"/>
      <c r="AC59" s="504"/>
      <c r="AF59" s="378"/>
      <c r="AG59" s="378"/>
      <c r="AH59" s="378"/>
      <c r="AI59" s="378"/>
      <c r="AJ59" s="378"/>
      <c r="AM59" s="505"/>
      <c r="AN59" s="505"/>
      <c r="AO59" s="505"/>
      <c r="AP59" s="505"/>
      <c r="AR59" s="370"/>
      <c r="AT59" s="370"/>
      <c r="AV59" s="506"/>
      <c r="AW59" s="370"/>
      <c r="AX59" s="370"/>
      <c r="AY59" s="370"/>
      <c r="AZ59" s="370"/>
      <c r="BA59" s="507"/>
      <c r="BB59" s="505"/>
      <c r="BC59" s="505"/>
      <c r="BD59" s="370"/>
      <c r="BE59" s="370"/>
      <c r="BF59" s="370"/>
      <c r="BG59" s="370"/>
      <c r="BH59" s="370"/>
      <c r="BI59" s="370"/>
      <c r="BJ59" s="370"/>
      <c r="BK59" s="370"/>
      <c r="BL59" s="370"/>
      <c r="BM59" s="370"/>
      <c r="BN59" s="370"/>
      <c r="BO59" s="370"/>
      <c r="BP59" s="370"/>
      <c r="BQ59" s="370"/>
      <c r="BR59" s="370"/>
      <c r="BS59" s="370"/>
      <c r="BV59" s="508"/>
      <c r="BW59" s="369"/>
      <c r="BX59" s="370"/>
      <c r="BY59" s="370"/>
      <c r="BZ59" s="370"/>
      <c r="CA59" s="370"/>
      <c r="CB59" s="370"/>
      <c r="CC59" s="505"/>
      <c r="CD59" s="505"/>
      <c r="CE59" s="505"/>
      <c r="CF59" s="505"/>
      <c r="CG59" s="505"/>
      <c r="CH59" s="505"/>
      <c r="CI59" s="505"/>
      <c r="CJ59" s="505"/>
      <c r="CK59" s="505"/>
      <c r="CL59" s="505"/>
      <c r="CM59" s="505"/>
    </row>
    <row r="60" customFormat="false" ht="12.75" hidden="false" customHeight="false" outlineLevel="0" collapsed="false">
      <c r="A60" s="500"/>
      <c r="B60" s="500"/>
      <c r="K60" s="363"/>
      <c r="L60" s="501"/>
      <c r="N60" s="502"/>
      <c r="O60" s="502"/>
      <c r="P60" s="371"/>
      <c r="Q60" s="501"/>
      <c r="R60" s="501"/>
      <c r="U60" s="501"/>
      <c r="V60" s="503"/>
      <c r="W60" s="503"/>
      <c r="X60" s="504"/>
      <c r="Y60" s="504"/>
      <c r="Z60" s="504"/>
      <c r="AA60" s="504"/>
      <c r="AB60" s="504"/>
      <c r="AC60" s="504"/>
      <c r="AF60" s="378"/>
      <c r="AG60" s="378"/>
      <c r="AH60" s="378"/>
      <c r="AI60" s="378"/>
      <c r="AJ60" s="378"/>
      <c r="AM60" s="505"/>
      <c r="AN60" s="505"/>
      <c r="AO60" s="505"/>
      <c r="AP60" s="505"/>
      <c r="AR60" s="370"/>
      <c r="AT60" s="370"/>
      <c r="AV60" s="506"/>
      <c r="AW60" s="370"/>
      <c r="AX60" s="370"/>
      <c r="AY60" s="370"/>
      <c r="AZ60" s="370"/>
      <c r="BA60" s="507"/>
      <c r="BB60" s="505"/>
      <c r="BC60" s="505"/>
      <c r="BD60" s="370"/>
      <c r="BE60" s="370"/>
      <c r="BF60" s="370"/>
      <c r="BG60" s="370"/>
      <c r="BH60" s="370"/>
      <c r="BI60" s="370"/>
      <c r="BJ60" s="370"/>
      <c r="BK60" s="370"/>
      <c r="BL60" s="370"/>
      <c r="BM60" s="370"/>
      <c r="BN60" s="370"/>
      <c r="BO60" s="370"/>
      <c r="BP60" s="370"/>
      <c r="BQ60" s="370"/>
      <c r="BR60" s="370"/>
      <c r="BS60" s="370"/>
      <c r="BV60" s="508"/>
      <c r="BW60" s="369"/>
      <c r="BX60" s="370"/>
      <c r="BY60" s="370"/>
      <c r="BZ60" s="370"/>
      <c r="CA60" s="370"/>
      <c r="CB60" s="370"/>
      <c r="CC60" s="505"/>
      <c r="CD60" s="505"/>
      <c r="CE60" s="505"/>
      <c r="CF60" s="505"/>
      <c r="CG60" s="505"/>
      <c r="CH60" s="505"/>
      <c r="CI60" s="505"/>
      <c r="CJ60" s="505"/>
      <c r="CK60" s="505"/>
      <c r="CL60" s="505"/>
      <c r="CM60" s="505"/>
    </row>
    <row r="61" customFormat="false" ht="12.75" hidden="false" customHeight="false" outlineLevel="0" collapsed="false">
      <c r="A61" s="500"/>
      <c r="B61" s="500"/>
      <c r="K61" s="363"/>
      <c r="L61" s="501"/>
      <c r="N61" s="502"/>
      <c r="O61" s="502"/>
      <c r="P61" s="371"/>
      <c r="Q61" s="501"/>
      <c r="R61" s="501"/>
      <c r="U61" s="501"/>
      <c r="V61" s="503"/>
      <c r="W61" s="503"/>
      <c r="X61" s="504"/>
      <c r="Y61" s="504"/>
      <c r="Z61" s="504"/>
      <c r="AA61" s="504"/>
      <c r="AB61" s="504"/>
      <c r="AC61" s="504"/>
      <c r="AF61" s="378"/>
      <c r="AG61" s="378"/>
      <c r="AH61" s="378"/>
      <c r="AI61" s="378"/>
      <c r="AJ61" s="378"/>
      <c r="AM61" s="505"/>
      <c r="AN61" s="505"/>
      <c r="AO61" s="505"/>
      <c r="AP61" s="505"/>
      <c r="AR61" s="370"/>
      <c r="AT61" s="370"/>
      <c r="AV61" s="506"/>
      <c r="AW61" s="370"/>
      <c r="AX61" s="370"/>
      <c r="AY61" s="370"/>
      <c r="AZ61" s="370"/>
      <c r="BA61" s="507"/>
      <c r="BB61" s="505"/>
      <c r="BC61" s="505"/>
      <c r="BD61" s="370"/>
      <c r="BE61" s="370"/>
      <c r="BF61" s="370"/>
      <c r="BG61" s="370"/>
      <c r="BH61" s="370"/>
      <c r="BI61" s="370"/>
      <c r="BJ61" s="370"/>
      <c r="BK61" s="370"/>
      <c r="BL61" s="370"/>
      <c r="BM61" s="370"/>
      <c r="BN61" s="370"/>
      <c r="BO61" s="370"/>
      <c r="BP61" s="370"/>
      <c r="BQ61" s="370"/>
      <c r="BR61" s="370"/>
      <c r="BS61" s="370"/>
      <c r="BV61" s="508"/>
      <c r="BW61" s="369"/>
      <c r="BX61" s="370"/>
      <c r="BY61" s="370"/>
      <c r="BZ61" s="370"/>
      <c r="CA61" s="370"/>
      <c r="CB61" s="370"/>
      <c r="CC61" s="505"/>
      <c r="CD61" s="505"/>
      <c r="CE61" s="505"/>
      <c r="CF61" s="505"/>
      <c r="CG61" s="505"/>
      <c r="CH61" s="505"/>
      <c r="CI61" s="505"/>
      <c r="CJ61" s="505"/>
      <c r="CK61" s="505"/>
      <c r="CL61" s="505"/>
      <c r="CM61" s="505"/>
    </row>
    <row r="62" customFormat="false" ht="12.75" hidden="false" customHeight="false" outlineLevel="0" collapsed="false">
      <c r="A62" s="500"/>
      <c r="B62" s="500"/>
      <c r="K62" s="363"/>
      <c r="L62" s="501"/>
      <c r="N62" s="502"/>
      <c r="O62" s="502"/>
      <c r="P62" s="371"/>
      <c r="Q62" s="501"/>
      <c r="R62" s="501"/>
      <c r="U62" s="501"/>
      <c r="V62" s="503"/>
      <c r="W62" s="503"/>
      <c r="X62" s="504"/>
      <c r="Y62" s="504"/>
      <c r="Z62" s="504"/>
      <c r="AA62" s="504"/>
      <c r="AB62" s="504"/>
      <c r="AC62" s="504"/>
      <c r="AF62" s="378"/>
      <c r="AG62" s="378"/>
      <c r="AH62" s="378"/>
      <c r="AI62" s="378"/>
      <c r="AJ62" s="378"/>
      <c r="AM62" s="505"/>
      <c r="AN62" s="505"/>
      <c r="AO62" s="505"/>
      <c r="AP62" s="505"/>
      <c r="AR62" s="370"/>
      <c r="AT62" s="370"/>
      <c r="AV62" s="506"/>
      <c r="AW62" s="370"/>
      <c r="AX62" s="370"/>
      <c r="AY62" s="370"/>
      <c r="AZ62" s="370"/>
      <c r="BA62" s="507"/>
      <c r="BB62" s="505"/>
      <c r="BC62" s="505"/>
      <c r="BD62" s="370"/>
      <c r="BE62" s="370"/>
      <c r="BF62" s="370"/>
      <c r="BG62" s="370"/>
      <c r="BH62" s="370"/>
      <c r="BI62" s="370"/>
      <c r="BJ62" s="370"/>
      <c r="BK62" s="370"/>
      <c r="BL62" s="370"/>
      <c r="BM62" s="370"/>
      <c r="BN62" s="370"/>
      <c r="BO62" s="370"/>
      <c r="BP62" s="370"/>
      <c r="BQ62" s="370"/>
      <c r="BR62" s="370"/>
      <c r="BS62" s="370"/>
      <c r="BV62" s="508"/>
      <c r="BW62" s="369"/>
      <c r="BX62" s="370"/>
      <c r="BY62" s="370"/>
      <c r="BZ62" s="370"/>
      <c r="CA62" s="370"/>
      <c r="CB62" s="370"/>
      <c r="CC62" s="505"/>
      <c r="CD62" s="505"/>
      <c r="CE62" s="505"/>
      <c r="CF62" s="505"/>
      <c r="CG62" s="505"/>
      <c r="CH62" s="505"/>
      <c r="CI62" s="505"/>
      <c r="CJ62" s="505"/>
      <c r="CK62" s="505"/>
      <c r="CL62" s="505"/>
      <c r="CM62" s="505"/>
    </row>
    <row r="63" customFormat="false" ht="12.75" hidden="false" customHeight="false" outlineLevel="0" collapsed="false">
      <c r="A63" s="500"/>
      <c r="B63" s="500"/>
      <c r="K63" s="363"/>
      <c r="L63" s="501"/>
      <c r="N63" s="502"/>
      <c r="O63" s="502"/>
      <c r="P63" s="371"/>
      <c r="Q63" s="501"/>
      <c r="R63" s="501"/>
      <c r="U63" s="501"/>
      <c r="V63" s="503"/>
      <c r="W63" s="503"/>
      <c r="X63" s="504"/>
      <c r="Y63" s="504"/>
      <c r="Z63" s="504"/>
      <c r="AA63" s="504"/>
      <c r="AB63" s="504"/>
      <c r="AC63" s="504"/>
      <c r="AF63" s="378"/>
      <c r="AG63" s="378"/>
      <c r="AH63" s="378"/>
      <c r="AI63" s="378"/>
      <c r="AJ63" s="378"/>
      <c r="AM63" s="505"/>
      <c r="AN63" s="505"/>
      <c r="AO63" s="505"/>
      <c r="AP63" s="505"/>
      <c r="AR63" s="370"/>
      <c r="AT63" s="370"/>
      <c r="AV63" s="506"/>
      <c r="AW63" s="370"/>
      <c r="AX63" s="370"/>
      <c r="AY63" s="370"/>
      <c r="AZ63" s="370"/>
      <c r="BA63" s="507"/>
      <c r="BB63" s="505"/>
      <c r="BC63" s="505"/>
      <c r="BD63" s="370"/>
      <c r="BE63" s="370"/>
      <c r="BF63" s="370"/>
      <c r="BG63" s="370"/>
      <c r="BH63" s="370"/>
      <c r="BI63" s="370"/>
      <c r="BJ63" s="370"/>
      <c r="BK63" s="370"/>
      <c r="BL63" s="370"/>
      <c r="BM63" s="370"/>
      <c r="BN63" s="370"/>
      <c r="BO63" s="370"/>
      <c r="BP63" s="370"/>
      <c r="BQ63" s="370"/>
      <c r="BR63" s="370"/>
      <c r="BS63" s="370"/>
      <c r="BV63" s="508"/>
      <c r="BW63" s="369"/>
      <c r="BX63" s="370"/>
      <c r="BY63" s="370"/>
      <c r="BZ63" s="370"/>
      <c r="CA63" s="370"/>
      <c r="CB63" s="370"/>
      <c r="CC63" s="505"/>
      <c r="CD63" s="505"/>
      <c r="CE63" s="505"/>
      <c r="CF63" s="505"/>
      <c r="CG63" s="505"/>
      <c r="CH63" s="505"/>
      <c r="CI63" s="505"/>
      <c r="CJ63" s="505"/>
      <c r="CK63" s="505"/>
      <c r="CL63" s="505"/>
      <c r="CM63" s="505"/>
    </row>
    <row r="64" customFormat="false" ht="12.75" hidden="false" customHeight="false" outlineLevel="0" collapsed="false">
      <c r="A64" s="500"/>
      <c r="B64" s="500"/>
      <c r="K64" s="363"/>
      <c r="L64" s="501"/>
      <c r="N64" s="502"/>
      <c r="O64" s="502"/>
      <c r="P64" s="371"/>
      <c r="Q64" s="501"/>
      <c r="R64" s="501"/>
      <c r="U64" s="501"/>
      <c r="V64" s="503"/>
      <c r="W64" s="503"/>
      <c r="X64" s="504"/>
      <c r="Y64" s="504"/>
      <c r="Z64" s="504"/>
      <c r="AA64" s="504"/>
      <c r="AB64" s="504"/>
      <c r="AC64" s="504"/>
      <c r="AF64" s="378"/>
      <c r="AG64" s="378"/>
      <c r="AH64" s="378"/>
      <c r="AI64" s="378"/>
      <c r="AJ64" s="378"/>
      <c r="AM64" s="505"/>
      <c r="AN64" s="505"/>
      <c r="AO64" s="505"/>
      <c r="AP64" s="505"/>
      <c r="AR64" s="370"/>
      <c r="AT64" s="370"/>
      <c r="AV64" s="506"/>
      <c r="AW64" s="370"/>
      <c r="AX64" s="370"/>
      <c r="AY64" s="370"/>
      <c r="AZ64" s="370"/>
      <c r="BA64" s="507"/>
      <c r="BB64" s="505"/>
      <c r="BC64" s="505"/>
      <c r="BD64" s="370"/>
      <c r="BE64" s="370"/>
      <c r="BF64" s="370"/>
      <c r="BG64" s="370"/>
      <c r="BH64" s="370"/>
      <c r="BI64" s="370"/>
      <c r="BJ64" s="370"/>
      <c r="BK64" s="370"/>
      <c r="BL64" s="370"/>
      <c r="BM64" s="370"/>
      <c r="BN64" s="370"/>
      <c r="BO64" s="370"/>
      <c r="BP64" s="370"/>
      <c r="BQ64" s="370"/>
      <c r="BR64" s="370"/>
      <c r="BS64" s="370"/>
      <c r="BV64" s="508"/>
      <c r="BW64" s="369"/>
      <c r="BX64" s="370"/>
      <c r="BY64" s="370"/>
      <c r="BZ64" s="370"/>
      <c r="CA64" s="370"/>
      <c r="CB64" s="370"/>
      <c r="CC64" s="505"/>
      <c r="CD64" s="505"/>
      <c r="CE64" s="505"/>
      <c r="CF64" s="505"/>
      <c r="CG64" s="505"/>
      <c r="CH64" s="505"/>
      <c r="CI64" s="505"/>
      <c r="CJ64" s="505"/>
      <c r="CK64" s="505"/>
      <c r="CL64" s="505"/>
      <c r="CM64" s="505"/>
    </row>
    <row r="65" customFormat="false" ht="12.75" hidden="false" customHeight="false" outlineLevel="0" collapsed="false">
      <c r="A65" s="500"/>
      <c r="B65" s="500"/>
      <c r="K65" s="363"/>
      <c r="L65" s="501"/>
      <c r="N65" s="502"/>
      <c r="O65" s="502"/>
      <c r="P65" s="371"/>
      <c r="Q65" s="501"/>
      <c r="R65" s="501"/>
      <c r="U65" s="501"/>
      <c r="V65" s="503"/>
      <c r="W65" s="503"/>
      <c r="X65" s="504"/>
      <c r="Y65" s="504"/>
      <c r="Z65" s="504"/>
      <c r="AA65" s="504"/>
      <c r="AB65" s="504"/>
      <c r="AC65" s="504"/>
      <c r="AF65" s="378"/>
      <c r="AG65" s="378"/>
      <c r="AH65" s="378"/>
      <c r="AI65" s="378"/>
      <c r="AJ65" s="378"/>
      <c r="AM65" s="505"/>
      <c r="AN65" s="505"/>
      <c r="AO65" s="505"/>
      <c r="AP65" s="505"/>
      <c r="AR65" s="370"/>
      <c r="AT65" s="370"/>
      <c r="AV65" s="506"/>
      <c r="AW65" s="370"/>
      <c r="AX65" s="370"/>
      <c r="AY65" s="370"/>
      <c r="AZ65" s="370"/>
      <c r="BA65" s="507"/>
      <c r="BB65" s="505"/>
      <c r="BC65" s="505"/>
      <c r="BD65" s="370"/>
      <c r="BE65" s="370"/>
      <c r="BF65" s="370"/>
      <c r="BG65" s="370"/>
      <c r="BH65" s="370"/>
      <c r="BI65" s="370"/>
      <c r="BJ65" s="370"/>
      <c r="BK65" s="370"/>
      <c r="BL65" s="370"/>
      <c r="BM65" s="370"/>
      <c r="BN65" s="370"/>
      <c r="BO65" s="370"/>
      <c r="BP65" s="370"/>
      <c r="BQ65" s="370"/>
      <c r="BR65" s="370"/>
      <c r="BS65" s="370"/>
      <c r="BV65" s="508"/>
      <c r="BW65" s="369"/>
      <c r="BX65" s="370"/>
      <c r="BY65" s="370"/>
      <c r="BZ65" s="370"/>
      <c r="CA65" s="370"/>
      <c r="CB65" s="370"/>
      <c r="CC65" s="505"/>
      <c r="CD65" s="505"/>
      <c r="CE65" s="505"/>
      <c r="CF65" s="505"/>
      <c r="CG65" s="505"/>
      <c r="CH65" s="505"/>
      <c r="CI65" s="505"/>
      <c r="CJ65" s="505"/>
      <c r="CK65" s="505"/>
      <c r="CL65" s="505"/>
      <c r="CM65" s="505"/>
    </row>
    <row r="66" customFormat="false" ht="12.75" hidden="false" customHeight="false" outlineLevel="0" collapsed="false">
      <c r="A66" s="500"/>
      <c r="B66" s="500"/>
      <c r="K66" s="363"/>
      <c r="L66" s="501"/>
      <c r="N66" s="502"/>
      <c r="O66" s="502"/>
      <c r="P66" s="371"/>
      <c r="Q66" s="501"/>
      <c r="R66" s="501"/>
      <c r="U66" s="501"/>
      <c r="V66" s="503"/>
      <c r="W66" s="503"/>
      <c r="X66" s="504"/>
      <c r="Y66" s="504"/>
      <c r="Z66" s="504"/>
      <c r="AA66" s="504"/>
      <c r="AB66" s="504"/>
      <c r="AC66" s="504"/>
      <c r="AF66" s="378"/>
      <c r="AG66" s="378"/>
      <c r="AH66" s="378"/>
      <c r="AI66" s="378"/>
      <c r="AJ66" s="378"/>
      <c r="AM66" s="505"/>
      <c r="AN66" s="505"/>
      <c r="AO66" s="505"/>
      <c r="AP66" s="505"/>
      <c r="AR66" s="370"/>
      <c r="AT66" s="370"/>
      <c r="AV66" s="506"/>
      <c r="AW66" s="370"/>
      <c r="AX66" s="370"/>
      <c r="AY66" s="370"/>
      <c r="AZ66" s="370"/>
      <c r="BA66" s="507"/>
      <c r="BB66" s="505"/>
      <c r="BC66" s="505"/>
      <c r="BD66" s="370"/>
      <c r="BE66" s="370"/>
      <c r="BF66" s="370"/>
      <c r="BG66" s="370"/>
      <c r="BH66" s="370"/>
      <c r="BI66" s="370"/>
      <c r="BJ66" s="370"/>
      <c r="BK66" s="370"/>
      <c r="BL66" s="370"/>
      <c r="BM66" s="370"/>
      <c r="BN66" s="370"/>
      <c r="BO66" s="370"/>
      <c r="BP66" s="370"/>
      <c r="BQ66" s="370"/>
      <c r="BR66" s="370"/>
      <c r="BS66" s="370"/>
      <c r="BV66" s="508"/>
      <c r="BW66" s="369"/>
      <c r="BX66" s="370"/>
      <c r="BY66" s="370"/>
      <c r="BZ66" s="370"/>
      <c r="CA66" s="370"/>
      <c r="CB66" s="370"/>
      <c r="CC66" s="505"/>
      <c r="CD66" s="505"/>
      <c r="CE66" s="505"/>
      <c r="CF66" s="505"/>
      <c r="CG66" s="505"/>
      <c r="CH66" s="505"/>
      <c r="CI66" s="505"/>
      <c r="CJ66" s="505"/>
      <c r="CK66" s="505"/>
      <c r="CL66" s="505"/>
      <c r="CM66" s="505"/>
    </row>
    <row r="67" customFormat="false" ht="12.75" hidden="false" customHeight="false" outlineLevel="0" collapsed="false">
      <c r="A67" s="500"/>
      <c r="B67" s="500"/>
      <c r="K67" s="363"/>
      <c r="L67" s="501"/>
      <c r="N67" s="502"/>
      <c r="O67" s="502"/>
      <c r="P67" s="371"/>
      <c r="Q67" s="501"/>
      <c r="R67" s="501"/>
      <c r="U67" s="501"/>
      <c r="V67" s="503"/>
      <c r="W67" s="503"/>
      <c r="X67" s="504"/>
      <c r="Y67" s="504"/>
      <c r="Z67" s="504"/>
      <c r="AA67" s="504"/>
      <c r="AB67" s="504"/>
      <c r="AC67" s="504"/>
      <c r="AF67" s="378"/>
      <c r="AG67" s="378"/>
      <c r="AH67" s="378"/>
      <c r="AI67" s="378"/>
      <c r="AJ67" s="378"/>
      <c r="AM67" s="505"/>
      <c r="AN67" s="505"/>
      <c r="AO67" s="505"/>
      <c r="AP67" s="505"/>
      <c r="AR67" s="370"/>
      <c r="AT67" s="370"/>
      <c r="AV67" s="506"/>
      <c r="AW67" s="370"/>
      <c r="AX67" s="370"/>
      <c r="AY67" s="370"/>
      <c r="AZ67" s="370"/>
      <c r="BA67" s="507"/>
      <c r="BB67" s="505"/>
      <c r="BC67" s="505"/>
      <c r="BD67" s="370"/>
      <c r="BE67" s="370"/>
      <c r="BF67" s="370"/>
      <c r="BG67" s="370"/>
      <c r="BH67" s="370"/>
      <c r="BI67" s="370"/>
      <c r="BJ67" s="370"/>
      <c r="BK67" s="370"/>
      <c r="BL67" s="370"/>
      <c r="BM67" s="370"/>
      <c r="BN67" s="370"/>
      <c r="BO67" s="370"/>
      <c r="BP67" s="370"/>
      <c r="BQ67" s="370"/>
      <c r="BR67" s="370"/>
      <c r="BS67" s="370"/>
      <c r="BV67" s="508"/>
      <c r="BW67" s="369"/>
      <c r="BX67" s="370"/>
      <c r="BY67" s="370"/>
      <c r="BZ67" s="370"/>
      <c r="CA67" s="370"/>
      <c r="CB67" s="370"/>
      <c r="CC67" s="505"/>
      <c r="CD67" s="505"/>
      <c r="CE67" s="505"/>
      <c r="CF67" s="505"/>
      <c r="CG67" s="505"/>
      <c r="CH67" s="505"/>
      <c r="CI67" s="505"/>
      <c r="CJ67" s="505"/>
      <c r="CK67" s="505"/>
      <c r="CL67" s="505"/>
      <c r="CM67" s="505"/>
    </row>
    <row r="68" customFormat="false" ht="12.75" hidden="false" customHeight="false" outlineLevel="0" collapsed="false">
      <c r="A68" s="500"/>
      <c r="B68" s="500"/>
      <c r="K68" s="363"/>
      <c r="L68" s="501"/>
      <c r="N68" s="502"/>
      <c r="O68" s="502"/>
      <c r="P68" s="371"/>
      <c r="Q68" s="501"/>
      <c r="R68" s="501"/>
      <c r="U68" s="501"/>
      <c r="V68" s="503"/>
      <c r="W68" s="503"/>
      <c r="X68" s="504"/>
      <c r="Y68" s="504"/>
      <c r="Z68" s="504"/>
      <c r="AA68" s="504"/>
      <c r="AB68" s="504"/>
      <c r="AC68" s="504"/>
      <c r="AF68" s="378"/>
      <c r="AG68" s="378"/>
      <c r="AH68" s="378"/>
      <c r="AI68" s="378"/>
      <c r="AJ68" s="378"/>
      <c r="AM68" s="505"/>
      <c r="AN68" s="505"/>
      <c r="AO68" s="505"/>
      <c r="AP68" s="505"/>
      <c r="AR68" s="370"/>
      <c r="AT68" s="370"/>
      <c r="AV68" s="506"/>
      <c r="AW68" s="370"/>
      <c r="AX68" s="370"/>
      <c r="AY68" s="370"/>
      <c r="AZ68" s="370"/>
      <c r="BA68" s="507"/>
      <c r="BB68" s="505"/>
      <c r="BC68" s="505"/>
      <c r="BD68" s="370"/>
      <c r="BE68" s="370"/>
      <c r="BF68" s="370"/>
      <c r="BG68" s="370"/>
      <c r="BH68" s="370"/>
      <c r="BI68" s="370"/>
      <c r="BJ68" s="370"/>
      <c r="BK68" s="370"/>
      <c r="BL68" s="370"/>
      <c r="BM68" s="370"/>
      <c r="BN68" s="370"/>
      <c r="BO68" s="370"/>
      <c r="BP68" s="370"/>
      <c r="BQ68" s="370"/>
      <c r="BR68" s="370"/>
      <c r="BS68" s="370"/>
      <c r="BV68" s="508"/>
      <c r="BW68" s="369"/>
      <c r="BX68" s="370"/>
      <c r="BY68" s="370"/>
      <c r="BZ68" s="370"/>
      <c r="CA68" s="370"/>
      <c r="CB68" s="370"/>
      <c r="CC68" s="505"/>
      <c r="CD68" s="505"/>
      <c r="CE68" s="505"/>
      <c r="CF68" s="505"/>
      <c r="CG68" s="505"/>
      <c r="CH68" s="505"/>
      <c r="CI68" s="505"/>
      <c r="CJ68" s="505"/>
      <c r="CK68" s="505"/>
      <c r="CL68" s="505"/>
      <c r="CM68" s="505"/>
    </row>
    <row r="69" customFormat="false" ht="12.75" hidden="false" customHeight="false" outlineLevel="0" collapsed="false">
      <c r="A69" s="500"/>
      <c r="B69" s="500"/>
      <c r="K69" s="363"/>
      <c r="L69" s="501"/>
      <c r="N69" s="502"/>
      <c r="O69" s="502"/>
      <c r="P69" s="371"/>
      <c r="Q69" s="501"/>
      <c r="R69" s="501"/>
      <c r="U69" s="501"/>
      <c r="V69" s="503"/>
      <c r="W69" s="503"/>
      <c r="X69" s="504"/>
      <c r="Y69" s="504"/>
      <c r="Z69" s="504"/>
      <c r="AA69" s="504"/>
      <c r="AB69" s="504"/>
      <c r="AC69" s="504"/>
      <c r="AF69" s="378"/>
      <c r="AG69" s="378"/>
      <c r="AH69" s="378"/>
      <c r="AI69" s="378"/>
      <c r="AJ69" s="378"/>
      <c r="AM69" s="505"/>
      <c r="AN69" s="505"/>
      <c r="AO69" s="505"/>
      <c r="AP69" s="505"/>
      <c r="AR69" s="370"/>
      <c r="AT69" s="370"/>
      <c r="AV69" s="506"/>
      <c r="AW69" s="370"/>
      <c r="AX69" s="370"/>
      <c r="AY69" s="370"/>
      <c r="AZ69" s="370"/>
      <c r="BA69" s="507"/>
      <c r="BB69" s="505"/>
      <c r="BC69" s="505"/>
      <c r="BD69" s="370"/>
      <c r="BE69" s="370"/>
      <c r="BF69" s="370"/>
      <c r="BG69" s="370"/>
      <c r="BH69" s="370"/>
      <c r="BI69" s="370"/>
      <c r="BJ69" s="370"/>
      <c r="BK69" s="370"/>
      <c r="BL69" s="370"/>
      <c r="BM69" s="370"/>
      <c r="BN69" s="370"/>
      <c r="BO69" s="370"/>
      <c r="BP69" s="370"/>
      <c r="BQ69" s="370"/>
      <c r="BR69" s="370"/>
      <c r="BS69" s="370"/>
      <c r="BV69" s="508"/>
      <c r="BW69" s="369"/>
      <c r="BX69" s="370"/>
      <c r="BY69" s="370"/>
      <c r="BZ69" s="370"/>
      <c r="CA69" s="370"/>
      <c r="CB69" s="370"/>
      <c r="CC69" s="505"/>
      <c r="CD69" s="505"/>
      <c r="CE69" s="505"/>
      <c r="CF69" s="505"/>
      <c r="CG69" s="505"/>
      <c r="CH69" s="505"/>
      <c r="CI69" s="505"/>
      <c r="CJ69" s="505"/>
      <c r="CK69" s="505"/>
      <c r="CL69" s="505"/>
      <c r="CM69" s="505"/>
    </row>
    <row r="70" customFormat="false" ht="12.75" hidden="false" customHeight="false" outlineLevel="0" collapsed="false">
      <c r="A70" s="500"/>
      <c r="B70" s="500"/>
      <c r="K70" s="363"/>
      <c r="L70" s="501"/>
      <c r="N70" s="502"/>
      <c r="O70" s="502"/>
      <c r="P70" s="371"/>
      <c r="Q70" s="501"/>
      <c r="R70" s="501"/>
      <c r="U70" s="501"/>
      <c r="V70" s="503"/>
      <c r="W70" s="503"/>
      <c r="X70" s="504"/>
      <c r="Y70" s="504"/>
      <c r="Z70" s="504"/>
      <c r="AA70" s="504"/>
      <c r="AB70" s="504"/>
      <c r="AC70" s="504"/>
      <c r="AF70" s="378"/>
      <c r="AG70" s="378"/>
      <c r="AH70" s="378"/>
      <c r="AI70" s="378"/>
      <c r="AJ70" s="378"/>
      <c r="AM70" s="505"/>
      <c r="AN70" s="505"/>
      <c r="AO70" s="505"/>
      <c r="AP70" s="505"/>
      <c r="AR70" s="370"/>
      <c r="AT70" s="370"/>
      <c r="AV70" s="506"/>
      <c r="AW70" s="370"/>
      <c r="AX70" s="370"/>
      <c r="AY70" s="370"/>
      <c r="AZ70" s="370"/>
      <c r="BA70" s="507"/>
      <c r="BB70" s="505"/>
      <c r="BC70" s="505"/>
      <c r="BD70" s="370"/>
      <c r="BE70" s="370"/>
      <c r="BF70" s="370"/>
      <c r="BG70" s="370"/>
      <c r="BH70" s="370"/>
      <c r="BI70" s="370"/>
      <c r="BJ70" s="370"/>
      <c r="BK70" s="370"/>
      <c r="BL70" s="370"/>
      <c r="BM70" s="370"/>
      <c r="BN70" s="370"/>
      <c r="BO70" s="370"/>
      <c r="BP70" s="370"/>
      <c r="BQ70" s="370"/>
      <c r="BR70" s="370"/>
      <c r="BS70" s="370"/>
      <c r="BV70" s="508"/>
      <c r="BW70" s="369"/>
      <c r="BX70" s="370"/>
      <c r="BY70" s="370"/>
      <c r="BZ70" s="370"/>
      <c r="CA70" s="370"/>
      <c r="CB70" s="370"/>
      <c r="CC70" s="505"/>
      <c r="CD70" s="505"/>
      <c r="CE70" s="505"/>
      <c r="CF70" s="505"/>
      <c r="CG70" s="505"/>
      <c r="CH70" s="505"/>
      <c r="CI70" s="505"/>
      <c r="CJ70" s="505"/>
      <c r="CK70" s="505"/>
      <c r="CL70" s="505"/>
      <c r="CM70" s="505"/>
    </row>
    <row r="71" customFormat="false" ht="12.75" hidden="false" customHeight="false" outlineLevel="0" collapsed="false">
      <c r="A71" s="500"/>
      <c r="B71" s="500"/>
      <c r="K71" s="363"/>
      <c r="L71" s="501"/>
      <c r="N71" s="502"/>
      <c r="O71" s="502"/>
      <c r="P71" s="371"/>
      <c r="Q71" s="501"/>
      <c r="R71" s="501"/>
      <c r="U71" s="501"/>
      <c r="V71" s="503"/>
      <c r="W71" s="503"/>
      <c r="X71" s="504"/>
      <c r="Y71" s="504"/>
      <c r="Z71" s="504"/>
      <c r="AA71" s="504"/>
      <c r="AB71" s="504"/>
      <c r="AC71" s="504"/>
      <c r="AF71" s="378"/>
      <c r="AG71" s="378"/>
      <c r="AH71" s="378"/>
      <c r="AI71" s="378"/>
      <c r="AJ71" s="378"/>
      <c r="AM71" s="505"/>
      <c r="AN71" s="505"/>
      <c r="AO71" s="505"/>
      <c r="AP71" s="505"/>
      <c r="AR71" s="370"/>
      <c r="AT71" s="370"/>
      <c r="AV71" s="506"/>
      <c r="AW71" s="370"/>
      <c r="AX71" s="370"/>
      <c r="AY71" s="370"/>
      <c r="AZ71" s="370"/>
      <c r="BA71" s="507"/>
      <c r="BB71" s="505"/>
      <c r="BC71" s="505"/>
      <c r="BD71" s="370"/>
      <c r="BE71" s="370"/>
      <c r="BF71" s="370"/>
      <c r="BG71" s="370"/>
      <c r="BH71" s="370"/>
      <c r="BI71" s="370"/>
      <c r="BJ71" s="370"/>
      <c r="BK71" s="370"/>
      <c r="BL71" s="370"/>
      <c r="BM71" s="370"/>
      <c r="BN71" s="370"/>
      <c r="BO71" s="370"/>
      <c r="BP71" s="370"/>
      <c r="BQ71" s="370"/>
      <c r="BR71" s="370"/>
      <c r="BS71" s="370"/>
      <c r="BV71" s="508"/>
      <c r="BW71" s="369"/>
      <c r="BX71" s="370"/>
      <c r="BY71" s="370"/>
      <c r="BZ71" s="370"/>
      <c r="CA71" s="370"/>
      <c r="CB71" s="370"/>
      <c r="CC71" s="505"/>
      <c r="CD71" s="505"/>
      <c r="CE71" s="505"/>
      <c r="CF71" s="505"/>
      <c r="CG71" s="505"/>
      <c r="CH71" s="505"/>
      <c r="CI71" s="505"/>
      <c r="CJ71" s="505"/>
      <c r="CK71" s="505"/>
      <c r="CL71" s="505"/>
      <c r="CM71" s="505"/>
    </row>
    <row r="72" customFormat="false" ht="12.75" hidden="false" customHeight="false" outlineLevel="0" collapsed="false">
      <c r="A72" s="500"/>
      <c r="B72" s="500"/>
      <c r="K72" s="363"/>
      <c r="L72" s="501"/>
      <c r="N72" s="502"/>
      <c r="O72" s="502"/>
      <c r="P72" s="371"/>
      <c r="Q72" s="501"/>
      <c r="R72" s="501"/>
      <c r="U72" s="501"/>
      <c r="V72" s="503"/>
      <c r="W72" s="503"/>
      <c r="X72" s="504"/>
      <c r="Y72" s="504"/>
      <c r="Z72" s="504"/>
      <c r="AA72" s="504"/>
      <c r="AB72" s="504"/>
      <c r="AC72" s="504"/>
      <c r="AF72" s="378"/>
      <c r="AG72" s="378"/>
      <c r="AH72" s="378"/>
      <c r="AI72" s="378"/>
      <c r="AJ72" s="378"/>
      <c r="AM72" s="505"/>
      <c r="AN72" s="505"/>
      <c r="AO72" s="505"/>
      <c r="AP72" s="505"/>
      <c r="AR72" s="370"/>
      <c r="AT72" s="370"/>
      <c r="AV72" s="506"/>
      <c r="AW72" s="370"/>
      <c r="AX72" s="370"/>
      <c r="AY72" s="370"/>
      <c r="AZ72" s="370"/>
      <c r="BA72" s="507"/>
      <c r="BB72" s="505"/>
      <c r="BC72" s="505"/>
      <c r="BD72" s="370"/>
      <c r="BE72" s="370"/>
      <c r="BF72" s="370"/>
      <c r="BG72" s="370"/>
      <c r="BH72" s="370"/>
      <c r="BI72" s="370"/>
      <c r="BJ72" s="370"/>
      <c r="BK72" s="370"/>
      <c r="BL72" s="370"/>
      <c r="BM72" s="370"/>
      <c r="BN72" s="370"/>
      <c r="BO72" s="370"/>
      <c r="BP72" s="370"/>
      <c r="BQ72" s="370"/>
      <c r="BR72" s="370"/>
      <c r="BS72" s="370"/>
      <c r="BV72" s="508"/>
      <c r="BW72" s="369"/>
      <c r="BX72" s="370"/>
      <c r="BY72" s="370"/>
      <c r="BZ72" s="370"/>
      <c r="CA72" s="370"/>
      <c r="CB72" s="370"/>
      <c r="CC72" s="505"/>
      <c r="CD72" s="505"/>
      <c r="CE72" s="505"/>
      <c r="CF72" s="505"/>
      <c r="CG72" s="505"/>
      <c r="CH72" s="505"/>
      <c r="CI72" s="505"/>
      <c r="CJ72" s="505"/>
      <c r="CK72" s="505"/>
      <c r="CL72" s="505"/>
      <c r="CM72" s="505"/>
    </row>
    <row r="73" customFormat="false" ht="12.75" hidden="false" customHeight="false" outlineLevel="0" collapsed="false">
      <c r="A73" s="500"/>
      <c r="B73" s="500"/>
      <c r="K73" s="363"/>
      <c r="L73" s="501"/>
      <c r="N73" s="502"/>
      <c r="O73" s="502"/>
      <c r="P73" s="371"/>
      <c r="Q73" s="501"/>
      <c r="R73" s="501"/>
      <c r="U73" s="501"/>
      <c r="V73" s="503"/>
      <c r="W73" s="503"/>
      <c r="X73" s="504"/>
      <c r="Y73" s="504"/>
      <c r="Z73" s="504"/>
      <c r="AA73" s="504"/>
      <c r="AB73" s="504"/>
      <c r="AC73" s="504"/>
      <c r="AF73" s="378"/>
      <c r="AG73" s="378"/>
      <c r="AH73" s="378"/>
      <c r="AI73" s="378"/>
      <c r="AJ73" s="378"/>
      <c r="AM73" s="505"/>
      <c r="AN73" s="505"/>
      <c r="AO73" s="505"/>
      <c r="AP73" s="505"/>
      <c r="AR73" s="370"/>
      <c r="AT73" s="370"/>
      <c r="AV73" s="506"/>
      <c r="AW73" s="370"/>
      <c r="AX73" s="370"/>
      <c r="AY73" s="370"/>
      <c r="AZ73" s="370"/>
      <c r="BA73" s="507"/>
      <c r="BB73" s="505"/>
      <c r="BC73" s="505"/>
      <c r="BD73" s="370"/>
      <c r="BE73" s="370"/>
      <c r="BF73" s="370"/>
      <c r="BG73" s="370"/>
      <c r="BH73" s="370"/>
      <c r="BI73" s="370"/>
      <c r="BJ73" s="370"/>
      <c r="BK73" s="370"/>
      <c r="BL73" s="370"/>
      <c r="BM73" s="370"/>
      <c r="BN73" s="370"/>
      <c r="BO73" s="370"/>
      <c r="BP73" s="370"/>
      <c r="BQ73" s="370"/>
      <c r="BR73" s="370"/>
      <c r="BS73" s="370"/>
      <c r="BV73" s="508"/>
      <c r="BW73" s="369"/>
      <c r="BX73" s="370"/>
      <c r="BY73" s="370"/>
      <c r="BZ73" s="370"/>
      <c r="CA73" s="370"/>
      <c r="CB73" s="370"/>
      <c r="CC73" s="505"/>
      <c r="CD73" s="505"/>
      <c r="CE73" s="505"/>
      <c r="CF73" s="505"/>
      <c r="CG73" s="505"/>
      <c r="CH73" s="505"/>
      <c r="CI73" s="505"/>
      <c r="CJ73" s="505"/>
      <c r="CK73" s="505"/>
      <c r="CL73" s="505"/>
      <c r="CM73" s="505"/>
    </row>
    <row r="74" customFormat="false" ht="12.75" hidden="false" customHeight="false" outlineLevel="0" collapsed="false">
      <c r="A74" s="500"/>
      <c r="B74" s="500"/>
      <c r="K74" s="363"/>
      <c r="L74" s="501"/>
      <c r="N74" s="502"/>
      <c r="O74" s="502"/>
      <c r="P74" s="371"/>
      <c r="Q74" s="501"/>
      <c r="R74" s="501"/>
      <c r="U74" s="501"/>
      <c r="V74" s="503"/>
      <c r="W74" s="503"/>
      <c r="X74" s="504"/>
      <c r="Y74" s="504"/>
      <c r="Z74" s="504"/>
      <c r="AA74" s="504"/>
      <c r="AB74" s="504"/>
      <c r="AC74" s="504"/>
      <c r="AF74" s="378"/>
      <c r="AG74" s="378"/>
      <c r="AH74" s="378"/>
      <c r="AI74" s="378"/>
      <c r="AJ74" s="378"/>
      <c r="AM74" s="505"/>
      <c r="AN74" s="505"/>
      <c r="AO74" s="505"/>
      <c r="AP74" s="505"/>
      <c r="AR74" s="370"/>
      <c r="AT74" s="370"/>
      <c r="AV74" s="506"/>
      <c r="AW74" s="370"/>
      <c r="AX74" s="370"/>
      <c r="AY74" s="370"/>
      <c r="AZ74" s="370"/>
      <c r="BA74" s="507"/>
      <c r="BB74" s="505"/>
      <c r="BC74" s="505"/>
      <c r="BD74" s="370"/>
      <c r="BE74" s="370"/>
      <c r="BF74" s="370"/>
      <c r="BG74" s="370"/>
      <c r="BH74" s="370"/>
      <c r="BI74" s="370"/>
      <c r="BJ74" s="370"/>
      <c r="BK74" s="370"/>
      <c r="BL74" s="370"/>
      <c r="BM74" s="370"/>
      <c r="BN74" s="370"/>
      <c r="BO74" s="370"/>
      <c r="BP74" s="370"/>
      <c r="BQ74" s="370"/>
      <c r="BR74" s="370"/>
      <c r="BS74" s="370"/>
      <c r="BV74" s="508"/>
      <c r="BW74" s="369"/>
      <c r="BX74" s="370"/>
      <c r="BY74" s="370"/>
      <c r="BZ74" s="370"/>
      <c r="CA74" s="370"/>
      <c r="CB74" s="370"/>
      <c r="CC74" s="505"/>
      <c r="CD74" s="505"/>
      <c r="CE74" s="505"/>
      <c r="CF74" s="505"/>
      <c r="CG74" s="505"/>
      <c r="CH74" s="505"/>
      <c r="CI74" s="505"/>
      <c r="CJ74" s="505"/>
      <c r="CK74" s="505"/>
      <c r="CL74" s="505"/>
      <c r="CM74" s="505"/>
    </row>
    <row r="75" customFormat="false" ht="12.75" hidden="false" customHeight="false" outlineLevel="0" collapsed="false">
      <c r="A75" s="500"/>
      <c r="B75" s="500"/>
      <c r="K75" s="363"/>
      <c r="L75" s="501"/>
      <c r="N75" s="502"/>
      <c r="O75" s="502"/>
      <c r="P75" s="371"/>
      <c r="Q75" s="501"/>
      <c r="R75" s="501"/>
      <c r="U75" s="501"/>
      <c r="V75" s="503"/>
      <c r="W75" s="503"/>
      <c r="X75" s="504"/>
      <c r="Y75" s="504"/>
      <c r="Z75" s="504"/>
      <c r="AA75" s="504"/>
      <c r="AB75" s="504"/>
      <c r="AC75" s="504"/>
      <c r="AF75" s="378"/>
      <c r="AG75" s="378"/>
      <c r="AH75" s="378"/>
      <c r="AI75" s="378"/>
      <c r="AJ75" s="378"/>
      <c r="AM75" s="505"/>
      <c r="AN75" s="505"/>
      <c r="AO75" s="505"/>
      <c r="AP75" s="505"/>
      <c r="AR75" s="370"/>
      <c r="AT75" s="370"/>
      <c r="AV75" s="506"/>
      <c r="AW75" s="370"/>
      <c r="AX75" s="370"/>
      <c r="AY75" s="370"/>
      <c r="AZ75" s="370"/>
      <c r="BA75" s="507"/>
      <c r="BB75" s="505"/>
      <c r="BC75" s="505"/>
      <c r="BD75" s="370"/>
      <c r="BE75" s="370"/>
      <c r="BF75" s="370"/>
      <c r="BG75" s="370"/>
      <c r="BH75" s="370"/>
      <c r="BI75" s="370"/>
      <c r="BJ75" s="370"/>
      <c r="BK75" s="370"/>
      <c r="BL75" s="370"/>
      <c r="BM75" s="370"/>
      <c r="BN75" s="370"/>
      <c r="BO75" s="370"/>
      <c r="BP75" s="370"/>
      <c r="BQ75" s="370"/>
      <c r="BR75" s="370"/>
      <c r="BS75" s="370"/>
      <c r="BV75" s="508"/>
      <c r="BW75" s="369"/>
      <c r="BX75" s="370"/>
      <c r="BY75" s="370"/>
      <c r="BZ75" s="370"/>
      <c r="CA75" s="370"/>
      <c r="CB75" s="370"/>
      <c r="CC75" s="505"/>
      <c r="CD75" s="505"/>
      <c r="CE75" s="505"/>
      <c r="CF75" s="505"/>
      <c r="CG75" s="505"/>
      <c r="CH75" s="505"/>
      <c r="CI75" s="505"/>
      <c r="CJ75" s="505"/>
      <c r="CK75" s="505"/>
      <c r="CL75" s="505"/>
      <c r="CM75" s="505"/>
    </row>
    <row r="76" customFormat="false" ht="12.75" hidden="false" customHeight="false" outlineLevel="0" collapsed="false">
      <c r="A76" s="500"/>
      <c r="B76" s="500"/>
      <c r="K76" s="363"/>
      <c r="L76" s="501"/>
      <c r="N76" s="502"/>
      <c r="O76" s="502"/>
      <c r="P76" s="371"/>
      <c r="Q76" s="501"/>
      <c r="R76" s="501"/>
      <c r="U76" s="501"/>
      <c r="V76" s="503"/>
      <c r="W76" s="503"/>
      <c r="X76" s="504"/>
      <c r="Y76" s="504"/>
      <c r="Z76" s="504"/>
      <c r="AA76" s="504"/>
      <c r="AB76" s="504"/>
      <c r="AC76" s="504"/>
      <c r="AF76" s="378"/>
      <c r="AG76" s="378"/>
      <c r="AH76" s="378"/>
      <c r="AI76" s="378"/>
      <c r="AJ76" s="378"/>
      <c r="AM76" s="505"/>
      <c r="AN76" s="505"/>
      <c r="AO76" s="505"/>
      <c r="AP76" s="505"/>
      <c r="AR76" s="370"/>
      <c r="AT76" s="370"/>
      <c r="AV76" s="506"/>
      <c r="AW76" s="370"/>
      <c r="AX76" s="370"/>
      <c r="AY76" s="370"/>
      <c r="AZ76" s="370"/>
      <c r="BA76" s="507"/>
      <c r="BB76" s="505"/>
      <c r="BC76" s="505"/>
      <c r="BD76" s="370"/>
      <c r="BE76" s="370"/>
      <c r="BF76" s="370"/>
      <c r="BG76" s="370"/>
      <c r="BH76" s="370"/>
      <c r="BI76" s="370"/>
      <c r="BJ76" s="370"/>
      <c r="BK76" s="370"/>
      <c r="BL76" s="370"/>
      <c r="BM76" s="370"/>
      <c r="BN76" s="370"/>
      <c r="BO76" s="370"/>
      <c r="BP76" s="370"/>
      <c r="BQ76" s="370"/>
      <c r="BR76" s="370"/>
      <c r="BS76" s="370"/>
      <c r="BV76" s="508"/>
      <c r="BW76" s="369"/>
      <c r="BX76" s="370"/>
      <c r="BY76" s="370"/>
      <c r="BZ76" s="370"/>
      <c r="CA76" s="370"/>
      <c r="CB76" s="370"/>
      <c r="CC76" s="505"/>
      <c r="CD76" s="505"/>
      <c r="CE76" s="505"/>
      <c r="CF76" s="505"/>
      <c r="CG76" s="505"/>
      <c r="CH76" s="505"/>
      <c r="CI76" s="505"/>
      <c r="CJ76" s="505"/>
      <c r="CK76" s="505"/>
      <c r="CL76" s="505"/>
      <c r="CM76" s="505"/>
    </row>
    <row r="77" customFormat="false" ht="12.75" hidden="false" customHeight="false" outlineLevel="0" collapsed="false">
      <c r="A77" s="500"/>
      <c r="B77" s="500"/>
      <c r="K77" s="363"/>
      <c r="L77" s="501"/>
      <c r="N77" s="502"/>
      <c r="O77" s="502"/>
      <c r="P77" s="371"/>
      <c r="Q77" s="501"/>
      <c r="R77" s="501"/>
      <c r="U77" s="501"/>
      <c r="V77" s="503"/>
      <c r="W77" s="503"/>
      <c r="X77" s="504"/>
      <c r="Y77" s="504"/>
      <c r="Z77" s="504"/>
      <c r="AA77" s="504"/>
      <c r="AB77" s="504"/>
      <c r="AC77" s="504"/>
      <c r="AF77" s="378"/>
      <c r="AG77" s="378"/>
      <c r="AH77" s="378"/>
      <c r="AI77" s="378"/>
      <c r="AJ77" s="378"/>
      <c r="AM77" s="505"/>
      <c r="AN77" s="505"/>
      <c r="AO77" s="505"/>
      <c r="AP77" s="505"/>
      <c r="AR77" s="370"/>
      <c r="AT77" s="370"/>
      <c r="AV77" s="506"/>
      <c r="AW77" s="370"/>
      <c r="AX77" s="370"/>
      <c r="AY77" s="370"/>
      <c r="AZ77" s="370"/>
      <c r="BA77" s="507"/>
      <c r="BB77" s="505"/>
      <c r="BC77" s="505"/>
      <c r="BD77" s="370"/>
      <c r="BE77" s="370"/>
      <c r="BF77" s="370"/>
      <c r="BG77" s="370"/>
      <c r="BH77" s="370"/>
      <c r="BI77" s="370"/>
      <c r="BJ77" s="370"/>
      <c r="BK77" s="370"/>
      <c r="BL77" s="370"/>
      <c r="BM77" s="370"/>
      <c r="BN77" s="370"/>
      <c r="BO77" s="370"/>
      <c r="BP77" s="370"/>
      <c r="BQ77" s="370"/>
      <c r="BR77" s="370"/>
      <c r="BS77" s="370"/>
      <c r="BV77" s="508"/>
      <c r="BW77" s="369"/>
      <c r="BX77" s="370"/>
      <c r="BY77" s="370"/>
      <c r="BZ77" s="370"/>
      <c r="CA77" s="370"/>
      <c r="CB77" s="370"/>
      <c r="CC77" s="505"/>
      <c r="CD77" s="505"/>
      <c r="CE77" s="505"/>
      <c r="CF77" s="505"/>
      <c r="CG77" s="505"/>
      <c r="CH77" s="505"/>
      <c r="CI77" s="505"/>
      <c r="CJ77" s="505"/>
      <c r="CK77" s="505"/>
      <c r="CL77" s="505"/>
      <c r="CM77" s="505"/>
    </row>
    <row r="78" customFormat="false" ht="12.75" hidden="false" customHeight="false" outlineLevel="0" collapsed="false">
      <c r="A78" s="500"/>
      <c r="B78" s="500"/>
      <c r="K78" s="363"/>
      <c r="L78" s="501"/>
      <c r="N78" s="502"/>
      <c r="O78" s="502"/>
      <c r="P78" s="371"/>
      <c r="Q78" s="501"/>
      <c r="R78" s="501"/>
      <c r="U78" s="501"/>
      <c r="V78" s="503"/>
      <c r="W78" s="503"/>
      <c r="X78" s="504"/>
      <c r="Y78" s="504"/>
      <c r="Z78" s="504"/>
      <c r="AA78" s="504"/>
      <c r="AB78" s="504"/>
      <c r="AC78" s="504"/>
      <c r="AF78" s="378"/>
      <c r="AG78" s="378"/>
      <c r="AH78" s="378"/>
      <c r="AI78" s="378"/>
      <c r="AJ78" s="378"/>
      <c r="AM78" s="505"/>
      <c r="AN78" s="505"/>
      <c r="AO78" s="505"/>
      <c r="AP78" s="505"/>
      <c r="AR78" s="370"/>
      <c r="AT78" s="370"/>
      <c r="AV78" s="506"/>
      <c r="AW78" s="370"/>
      <c r="AX78" s="370"/>
      <c r="AY78" s="370"/>
      <c r="AZ78" s="370"/>
      <c r="BA78" s="507"/>
      <c r="BB78" s="505"/>
      <c r="BC78" s="505"/>
      <c r="BD78" s="370"/>
      <c r="BE78" s="370"/>
      <c r="BF78" s="370"/>
      <c r="BG78" s="370"/>
      <c r="BH78" s="370"/>
      <c r="BI78" s="370"/>
      <c r="BJ78" s="370"/>
      <c r="BK78" s="370"/>
      <c r="BL78" s="370"/>
      <c r="BM78" s="370"/>
      <c r="BN78" s="370"/>
      <c r="BO78" s="370"/>
      <c r="BP78" s="370"/>
      <c r="BQ78" s="370"/>
      <c r="BR78" s="370"/>
      <c r="BS78" s="370"/>
      <c r="BV78" s="508"/>
      <c r="BW78" s="369"/>
      <c r="BX78" s="370"/>
      <c r="BY78" s="370"/>
      <c r="BZ78" s="370"/>
      <c r="CA78" s="370"/>
      <c r="CB78" s="370"/>
      <c r="CC78" s="505"/>
      <c r="CD78" s="505"/>
      <c r="CE78" s="505"/>
      <c r="CF78" s="505"/>
      <c r="CG78" s="505"/>
      <c r="CH78" s="505"/>
      <c r="CI78" s="505"/>
      <c r="CJ78" s="505"/>
      <c r="CK78" s="505"/>
      <c r="CL78" s="505"/>
      <c r="CM78" s="505"/>
    </row>
    <row r="79" customFormat="false" ht="12.75" hidden="false" customHeight="false" outlineLevel="0" collapsed="false">
      <c r="A79" s="500"/>
      <c r="B79" s="500"/>
      <c r="K79" s="363"/>
      <c r="L79" s="501"/>
      <c r="N79" s="502"/>
      <c r="O79" s="502"/>
      <c r="P79" s="371"/>
      <c r="Q79" s="501"/>
      <c r="R79" s="501"/>
      <c r="U79" s="501"/>
      <c r="V79" s="503"/>
      <c r="W79" s="503"/>
      <c r="X79" s="504"/>
      <c r="Y79" s="504"/>
      <c r="Z79" s="504"/>
      <c r="AA79" s="504"/>
      <c r="AB79" s="504"/>
      <c r="AC79" s="504"/>
      <c r="AF79" s="378"/>
      <c r="AG79" s="378"/>
      <c r="AH79" s="378"/>
      <c r="AI79" s="378"/>
      <c r="AJ79" s="378"/>
      <c r="AM79" s="505"/>
      <c r="AN79" s="505"/>
      <c r="AO79" s="505"/>
      <c r="AP79" s="505"/>
      <c r="AR79" s="370"/>
      <c r="AT79" s="370"/>
      <c r="AV79" s="506"/>
      <c r="AW79" s="370"/>
      <c r="AX79" s="370"/>
      <c r="AY79" s="370"/>
      <c r="AZ79" s="370"/>
      <c r="BA79" s="507"/>
      <c r="BB79" s="505"/>
      <c r="BC79" s="505"/>
      <c r="BD79" s="370"/>
      <c r="BE79" s="370"/>
      <c r="BF79" s="370"/>
      <c r="BG79" s="370"/>
      <c r="BH79" s="370"/>
      <c r="BI79" s="370"/>
      <c r="BJ79" s="370"/>
      <c r="BK79" s="370"/>
      <c r="BL79" s="370"/>
      <c r="BM79" s="370"/>
      <c r="BN79" s="370"/>
      <c r="BO79" s="370"/>
      <c r="BP79" s="370"/>
      <c r="BQ79" s="370"/>
      <c r="BR79" s="370"/>
      <c r="BS79" s="370"/>
      <c r="BV79" s="508"/>
      <c r="BW79" s="369"/>
      <c r="BX79" s="370"/>
      <c r="BY79" s="370"/>
      <c r="BZ79" s="370"/>
      <c r="CA79" s="370"/>
      <c r="CB79" s="370"/>
      <c r="CC79" s="505"/>
      <c r="CD79" s="505"/>
      <c r="CE79" s="505"/>
      <c r="CF79" s="505"/>
      <c r="CG79" s="505"/>
      <c r="CH79" s="505"/>
      <c r="CI79" s="505"/>
      <c r="CJ79" s="505"/>
      <c r="CK79" s="505"/>
      <c r="CL79" s="505"/>
      <c r="CM79" s="505"/>
    </row>
    <row r="80" customFormat="false" ht="12.75" hidden="false" customHeight="false" outlineLevel="0" collapsed="false">
      <c r="A80" s="500"/>
      <c r="B80" s="500"/>
      <c r="K80" s="363"/>
      <c r="L80" s="501"/>
      <c r="N80" s="502"/>
      <c r="O80" s="502"/>
      <c r="P80" s="371"/>
      <c r="Q80" s="501"/>
      <c r="R80" s="501"/>
      <c r="U80" s="501"/>
      <c r="V80" s="503"/>
      <c r="W80" s="503"/>
      <c r="X80" s="504"/>
      <c r="Y80" s="504"/>
      <c r="Z80" s="504"/>
      <c r="AA80" s="504"/>
      <c r="AB80" s="504"/>
      <c r="AC80" s="504"/>
      <c r="AF80" s="378"/>
      <c r="AG80" s="378"/>
      <c r="AH80" s="378"/>
      <c r="AI80" s="378"/>
      <c r="AJ80" s="378"/>
      <c r="AM80" s="505"/>
      <c r="AN80" s="505"/>
      <c r="AO80" s="505"/>
      <c r="AP80" s="505"/>
      <c r="AR80" s="370"/>
      <c r="AT80" s="370"/>
      <c r="AV80" s="506"/>
      <c r="AW80" s="370"/>
      <c r="AX80" s="370"/>
      <c r="AY80" s="370"/>
      <c r="AZ80" s="370"/>
      <c r="BA80" s="507"/>
      <c r="BB80" s="505"/>
      <c r="BC80" s="505"/>
      <c r="BD80" s="370"/>
      <c r="BE80" s="370"/>
      <c r="BF80" s="370"/>
      <c r="BG80" s="370"/>
      <c r="BH80" s="370"/>
      <c r="BI80" s="370"/>
      <c r="BJ80" s="370"/>
      <c r="BK80" s="370"/>
      <c r="BL80" s="370"/>
      <c r="BM80" s="370"/>
      <c r="BN80" s="370"/>
      <c r="BO80" s="370"/>
      <c r="BP80" s="370"/>
      <c r="BQ80" s="370"/>
      <c r="BR80" s="370"/>
      <c r="BS80" s="370"/>
      <c r="BV80" s="508"/>
      <c r="BW80" s="369"/>
      <c r="BX80" s="370"/>
      <c r="BY80" s="370"/>
      <c r="BZ80" s="370"/>
      <c r="CA80" s="370"/>
      <c r="CB80" s="370"/>
      <c r="CC80" s="505"/>
      <c r="CD80" s="505"/>
      <c r="CE80" s="505"/>
      <c r="CF80" s="505"/>
      <c r="CG80" s="505"/>
      <c r="CH80" s="505"/>
      <c r="CI80" s="505"/>
      <c r="CJ80" s="505"/>
      <c r="CK80" s="505"/>
      <c r="CL80" s="505"/>
      <c r="CM80" s="505"/>
    </row>
    <row r="81" customFormat="false" ht="12.75" hidden="false" customHeight="false" outlineLevel="0" collapsed="false">
      <c r="A81" s="500"/>
      <c r="B81" s="500"/>
      <c r="K81" s="363"/>
      <c r="L81" s="501"/>
      <c r="N81" s="502"/>
      <c r="O81" s="502"/>
      <c r="P81" s="371"/>
      <c r="Q81" s="501"/>
      <c r="R81" s="501"/>
      <c r="U81" s="501"/>
      <c r="V81" s="503"/>
      <c r="W81" s="503"/>
      <c r="X81" s="504"/>
      <c r="Y81" s="504"/>
      <c r="Z81" s="504"/>
      <c r="AA81" s="504"/>
      <c r="AB81" s="504"/>
      <c r="AC81" s="504"/>
      <c r="AF81" s="378"/>
      <c r="AG81" s="378"/>
      <c r="AH81" s="378"/>
      <c r="AI81" s="378"/>
      <c r="AJ81" s="378"/>
      <c r="AM81" s="505"/>
      <c r="AN81" s="505"/>
      <c r="AO81" s="505"/>
      <c r="AP81" s="505"/>
      <c r="AR81" s="370"/>
      <c r="AT81" s="370"/>
      <c r="AV81" s="506"/>
      <c r="AW81" s="370"/>
      <c r="AX81" s="370"/>
      <c r="AY81" s="370"/>
      <c r="AZ81" s="370"/>
      <c r="BA81" s="507"/>
      <c r="BB81" s="505"/>
      <c r="BC81" s="505"/>
      <c r="BD81" s="370"/>
      <c r="BE81" s="370"/>
      <c r="BF81" s="370"/>
      <c r="BG81" s="370"/>
      <c r="BH81" s="370"/>
      <c r="BI81" s="370"/>
      <c r="BJ81" s="370"/>
      <c r="BK81" s="370"/>
      <c r="BL81" s="370"/>
      <c r="BM81" s="370"/>
      <c r="BN81" s="370"/>
      <c r="BO81" s="370"/>
      <c r="BP81" s="370"/>
      <c r="BQ81" s="370"/>
      <c r="BR81" s="370"/>
      <c r="BS81" s="370"/>
      <c r="BV81" s="508"/>
      <c r="BW81" s="369"/>
      <c r="BX81" s="370"/>
      <c r="BY81" s="370"/>
      <c r="BZ81" s="370"/>
      <c r="CA81" s="370"/>
      <c r="CB81" s="370"/>
      <c r="CC81" s="505"/>
      <c r="CD81" s="505"/>
      <c r="CE81" s="505"/>
      <c r="CF81" s="505"/>
      <c r="CG81" s="505"/>
      <c r="CH81" s="505"/>
      <c r="CI81" s="505"/>
      <c r="CJ81" s="505"/>
      <c r="CK81" s="505"/>
      <c r="CL81" s="505"/>
      <c r="CM81" s="505"/>
    </row>
    <row r="82" customFormat="false" ht="12.75" hidden="false" customHeight="false" outlineLevel="0" collapsed="false">
      <c r="A82" s="500"/>
      <c r="B82" s="500"/>
      <c r="K82" s="363"/>
      <c r="L82" s="501"/>
      <c r="N82" s="502"/>
      <c r="O82" s="502"/>
      <c r="P82" s="371"/>
      <c r="Q82" s="501"/>
      <c r="R82" s="501"/>
      <c r="U82" s="501"/>
      <c r="V82" s="503"/>
      <c r="W82" s="503"/>
      <c r="X82" s="504"/>
      <c r="Y82" s="504"/>
      <c r="Z82" s="504"/>
      <c r="AA82" s="504"/>
      <c r="AB82" s="504"/>
      <c r="AC82" s="504"/>
      <c r="AF82" s="378"/>
      <c r="AG82" s="378"/>
      <c r="AH82" s="378"/>
      <c r="AI82" s="378"/>
      <c r="AJ82" s="378"/>
      <c r="AM82" s="505"/>
      <c r="AN82" s="505"/>
      <c r="AO82" s="505"/>
      <c r="AP82" s="505"/>
      <c r="AR82" s="370"/>
      <c r="AT82" s="370"/>
      <c r="AV82" s="506"/>
      <c r="AW82" s="370"/>
      <c r="AX82" s="370"/>
      <c r="AY82" s="370"/>
      <c r="AZ82" s="370"/>
      <c r="BA82" s="507"/>
      <c r="BB82" s="505"/>
      <c r="BC82" s="505"/>
      <c r="BD82" s="370"/>
      <c r="BE82" s="370"/>
      <c r="BF82" s="370"/>
      <c r="BG82" s="370"/>
      <c r="BH82" s="370"/>
      <c r="BI82" s="370"/>
      <c r="BJ82" s="370"/>
      <c r="BK82" s="370"/>
      <c r="BL82" s="370"/>
      <c r="BM82" s="370"/>
      <c r="BN82" s="370"/>
      <c r="BO82" s="370"/>
      <c r="BP82" s="370"/>
      <c r="BQ82" s="370"/>
      <c r="BR82" s="370"/>
      <c r="BS82" s="370"/>
      <c r="BV82" s="508"/>
      <c r="BW82" s="369"/>
      <c r="BX82" s="370"/>
      <c r="BY82" s="370"/>
      <c r="BZ82" s="370"/>
      <c r="CA82" s="370"/>
      <c r="CB82" s="370"/>
      <c r="CC82" s="505"/>
      <c r="CD82" s="505"/>
      <c r="CE82" s="505"/>
      <c r="CF82" s="505"/>
      <c r="CG82" s="505"/>
      <c r="CH82" s="505"/>
      <c r="CI82" s="505"/>
      <c r="CJ82" s="505"/>
      <c r="CK82" s="505"/>
      <c r="CL82" s="505"/>
      <c r="CM82" s="505"/>
    </row>
    <row r="83" customFormat="false" ht="12.75" hidden="false" customHeight="false" outlineLevel="0" collapsed="false">
      <c r="A83" s="500"/>
      <c r="B83" s="500"/>
      <c r="K83" s="363"/>
      <c r="L83" s="501"/>
      <c r="N83" s="502"/>
      <c r="O83" s="502"/>
      <c r="P83" s="371"/>
      <c r="Q83" s="501"/>
      <c r="R83" s="501"/>
      <c r="U83" s="501"/>
      <c r="V83" s="503"/>
      <c r="W83" s="503"/>
      <c r="X83" s="504"/>
      <c r="Y83" s="504"/>
      <c r="Z83" s="504"/>
      <c r="AA83" s="504"/>
      <c r="AB83" s="504"/>
      <c r="AC83" s="504"/>
      <c r="AF83" s="378"/>
      <c r="AG83" s="378"/>
      <c r="AH83" s="378"/>
      <c r="AI83" s="378"/>
      <c r="AJ83" s="378"/>
      <c r="AM83" s="505"/>
      <c r="AN83" s="505"/>
      <c r="AO83" s="505"/>
      <c r="AP83" s="505"/>
      <c r="AR83" s="370"/>
      <c r="AT83" s="370"/>
      <c r="AV83" s="506"/>
      <c r="AW83" s="370"/>
      <c r="AX83" s="370"/>
      <c r="AY83" s="370"/>
      <c r="AZ83" s="370"/>
      <c r="BA83" s="507"/>
      <c r="BB83" s="505"/>
      <c r="BC83" s="505"/>
      <c r="BD83" s="370"/>
      <c r="BE83" s="370"/>
      <c r="BF83" s="370"/>
      <c r="BG83" s="370"/>
      <c r="BH83" s="370"/>
      <c r="BI83" s="370"/>
      <c r="BJ83" s="370"/>
      <c r="BK83" s="370"/>
      <c r="BL83" s="370"/>
      <c r="BM83" s="370"/>
      <c r="BN83" s="370"/>
      <c r="BO83" s="370"/>
      <c r="BP83" s="370"/>
      <c r="BQ83" s="370"/>
      <c r="BR83" s="370"/>
      <c r="BS83" s="370"/>
      <c r="BV83" s="508"/>
      <c r="BW83" s="369"/>
      <c r="BX83" s="370"/>
      <c r="BY83" s="370"/>
      <c r="BZ83" s="370"/>
      <c r="CA83" s="370"/>
      <c r="CB83" s="370"/>
      <c r="CC83" s="505"/>
      <c r="CD83" s="505"/>
      <c r="CE83" s="505"/>
      <c r="CF83" s="505"/>
      <c r="CG83" s="505"/>
      <c r="CH83" s="505"/>
      <c r="CI83" s="505"/>
      <c r="CJ83" s="505"/>
      <c r="CK83" s="505"/>
      <c r="CL83" s="505"/>
      <c r="CM83" s="505"/>
    </row>
    <row r="84" customFormat="false" ht="12.75" hidden="false" customHeight="false" outlineLevel="0" collapsed="false">
      <c r="A84" s="500"/>
      <c r="B84" s="500"/>
      <c r="K84" s="363"/>
      <c r="L84" s="501"/>
      <c r="N84" s="502"/>
      <c r="O84" s="502"/>
      <c r="P84" s="371"/>
      <c r="Q84" s="501"/>
      <c r="R84" s="501"/>
      <c r="U84" s="501"/>
      <c r="V84" s="503"/>
      <c r="W84" s="503"/>
      <c r="X84" s="504"/>
      <c r="Y84" s="504"/>
      <c r="Z84" s="504"/>
      <c r="AA84" s="504"/>
      <c r="AB84" s="504"/>
      <c r="AC84" s="504"/>
      <c r="AF84" s="378"/>
      <c r="AG84" s="378"/>
      <c r="AH84" s="378"/>
      <c r="AI84" s="378"/>
      <c r="AJ84" s="378"/>
      <c r="AM84" s="505"/>
      <c r="AN84" s="505"/>
      <c r="AO84" s="505"/>
      <c r="AP84" s="505"/>
      <c r="AR84" s="370"/>
      <c r="AT84" s="370"/>
      <c r="AV84" s="506"/>
      <c r="AW84" s="370"/>
      <c r="AX84" s="370"/>
      <c r="AY84" s="370"/>
      <c r="AZ84" s="370"/>
      <c r="BA84" s="507"/>
      <c r="BB84" s="505"/>
      <c r="BC84" s="505"/>
      <c r="BD84" s="370"/>
      <c r="BE84" s="370"/>
      <c r="BF84" s="370"/>
      <c r="BG84" s="370"/>
      <c r="BH84" s="370"/>
      <c r="BI84" s="370"/>
      <c r="BJ84" s="370"/>
      <c r="BK84" s="370"/>
      <c r="BL84" s="370"/>
      <c r="BM84" s="370"/>
      <c r="BN84" s="370"/>
      <c r="BO84" s="370"/>
      <c r="BP84" s="370"/>
      <c r="BQ84" s="370"/>
      <c r="BR84" s="370"/>
      <c r="BS84" s="370"/>
      <c r="BV84" s="508"/>
      <c r="BW84" s="369"/>
      <c r="BX84" s="370"/>
      <c r="BY84" s="370"/>
      <c r="BZ84" s="370"/>
      <c r="CA84" s="370"/>
      <c r="CB84" s="370"/>
      <c r="CC84" s="505"/>
      <c r="CD84" s="505"/>
      <c r="CE84" s="505"/>
      <c r="CF84" s="505"/>
      <c r="CG84" s="505"/>
      <c r="CH84" s="505"/>
      <c r="CI84" s="505"/>
      <c r="CJ84" s="505"/>
      <c r="CK84" s="505"/>
      <c r="CL84" s="505"/>
      <c r="CM84" s="505"/>
    </row>
    <row r="85" customFormat="false" ht="12.75" hidden="false" customHeight="false" outlineLevel="0" collapsed="false">
      <c r="A85" s="500"/>
      <c r="B85" s="500"/>
    </row>
    <row r="86" customFormat="false" ht="12.75" hidden="false" customHeight="false" outlineLevel="0" collapsed="false">
      <c r="A86" s="500"/>
      <c r="B86" s="500"/>
    </row>
    <row r="87" customFormat="false" ht="12.75" hidden="false" customHeight="false" outlineLevel="0" collapsed="false">
      <c r="A87" s="500"/>
      <c r="B87" s="500"/>
    </row>
  </sheetData>
  <mergeCells count="91">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407"/>
  <sheetViews>
    <sheetView showFormulas="false" showGridLines="true" showRowColHeaders="true" showZeros="true" rightToLeft="false" tabSelected="false" showOutlineSymbols="true" defaultGridColor="true" view="normal" topLeftCell="A284" colorId="64" zoomScale="80" zoomScaleNormal="80" zoomScalePageLayoutView="100" workbookViewId="0">
      <selection pane="topLeft" activeCell="I322" activeCellId="0" sqref="I322"/>
    </sheetView>
  </sheetViews>
  <sheetFormatPr defaultColWidth="9.13671875" defaultRowHeight="12.75" customHeight="true" zeroHeight="false" outlineLevelRow="0" outlineLevelCol="0"/>
  <cols>
    <col collapsed="false" customWidth="true" hidden="false" outlineLevel="0" max="2" min="1" style="1" width="3.7"/>
    <col collapsed="false" customWidth="true" hidden="false" outlineLevel="0" max="3" min="3" style="1" width="10.71"/>
    <col collapsed="false" customWidth="true" hidden="false" outlineLevel="0" max="4" min="4" style="1" width="18.7"/>
    <col collapsed="false" customWidth="true" hidden="false" outlineLevel="0" max="8" min="5" style="1" width="30.7"/>
    <col collapsed="false" customWidth="true" hidden="false" outlineLevel="0" max="9" min="9" style="1" width="13.85"/>
    <col collapsed="false" customWidth="true" hidden="false" outlineLevel="0" max="10" min="10" style="1" width="13.7"/>
    <col collapsed="false" customWidth="false" hidden="false" outlineLevel="0" max="257" min="11" style="1" width="9.14"/>
  </cols>
  <sheetData>
    <row r="1" customFormat="false" ht="12.75" hidden="false" customHeight="false" outlineLevel="0" collapsed="false">
      <c r="A1" s="19" t="s">
        <v>9</v>
      </c>
    </row>
    <row r="2" customFormat="false" ht="13.5" hidden="false" customHeight="false" outlineLevel="0" collapsed="false">
      <c r="A2" s="19" t="str">
        <f aca="false">ADDRESS(ROW($C$9),COLUMN($C$9))</f>
        <v>$C$9</v>
      </c>
    </row>
    <row r="3" customFormat="false" ht="12.75" hidden="false" customHeight="false" outlineLevel="0" collapsed="false">
      <c r="C3" s="20" t="s">
        <v>10</v>
      </c>
      <c r="D3" s="20"/>
      <c r="E3" s="20"/>
      <c r="F3" s="20"/>
      <c r="G3" s="20"/>
      <c r="H3" s="20"/>
    </row>
    <row r="4" customFormat="false" ht="12.75" hidden="false" customHeight="false" outlineLevel="0" collapsed="false">
      <c r="C4" s="21"/>
      <c r="D4" s="22"/>
      <c r="E4" s="22"/>
      <c r="F4" s="22"/>
      <c r="G4" s="22"/>
      <c r="H4" s="23"/>
    </row>
    <row r="5" customFormat="false" ht="12.75" hidden="false" customHeight="false" outlineLevel="0" collapsed="false">
      <c r="C5" s="21"/>
      <c r="D5" s="22"/>
      <c r="E5" s="22"/>
      <c r="F5" s="22"/>
      <c r="G5" s="22"/>
      <c r="H5" s="23"/>
    </row>
    <row r="6" customFormat="false" ht="12.75" hidden="false" customHeight="false" outlineLevel="0" collapsed="false">
      <c r="C6" s="21"/>
      <c r="D6" s="22"/>
      <c r="E6" s="22"/>
      <c r="F6" s="22"/>
      <c r="G6" s="22"/>
      <c r="H6" s="23"/>
    </row>
    <row r="7" customFormat="false" ht="13.5" hidden="false" customHeight="false" outlineLevel="0" collapsed="false">
      <c r="C7" s="24"/>
      <c r="D7" s="25"/>
      <c r="E7" s="25"/>
      <c r="F7" s="25"/>
      <c r="G7" s="25"/>
      <c r="H7" s="26"/>
    </row>
    <row r="8" customFormat="false" ht="13.5" hidden="false" customHeight="false" outlineLevel="0" collapsed="false"/>
    <row r="9" customFormat="false" ht="27" hidden="false" customHeight="false" outlineLevel="0" collapsed="false">
      <c r="C9" s="27" t="s">
        <v>11</v>
      </c>
      <c r="D9" s="28" t="s">
        <v>12</v>
      </c>
      <c r="E9" s="28"/>
      <c r="F9" s="28"/>
      <c r="G9" s="28"/>
      <c r="H9" s="28"/>
    </row>
    <row r="10" customFormat="false" ht="15.75" hidden="false" customHeight="false" outlineLevel="0" collapsed="false">
      <c r="C10" s="29"/>
    </row>
    <row r="11" customFormat="false" ht="16.5" hidden="false" customHeight="true" outlineLevel="0" collapsed="false">
      <c r="C11" s="30" t="n">
        <v>17</v>
      </c>
      <c r="D11" s="31" t="s">
        <v>13</v>
      </c>
      <c r="E11" s="31"/>
      <c r="F11" s="31"/>
      <c r="G11" s="31"/>
      <c r="H11" s="31"/>
    </row>
    <row r="12" customFormat="false" ht="15.75" hidden="false" customHeight="true" outlineLevel="0" collapsed="false">
      <c r="C12" s="30"/>
      <c r="D12" s="32" t="s">
        <v>120</v>
      </c>
      <c r="E12" s="33" t="s">
        <v>15</v>
      </c>
      <c r="F12" s="33" t="s">
        <v>16</v>
      </c>
      <c r="G12" s="33" t="s">
        <v>17</v>
      </c>
      <c r="H12" s="34" t="s">
        <v>18</v>
      </c>
    </row>
    <row r="13" customFormat="false" ht="13.5" hidden="false" customHeight="true" outlineLevel="0" collapsed="false">
      <c r="C13" s="30"/>
      <c r="D13" s="35" t="s">
        <v>19</v>
      </c>
      <c r="E13" s="36" t="s">
        <v>121</v>
      </c>
      <c r="F13" s="36" t="s">
        <v>122</v>
      </c>
      <c r="G13" s="37" t="n">
        <v>34274</v>
      </c>
      <c r="H13" s="38" t="n">
        <v>40117</v>
      </c>
    </row>
    <row r="14" customFormat="false" ht="15.75" hidden="false" customHeight="true" outlineLevel="0" collapsed="false">
      <c r="C14" s="30"/>
      <c r="D14" s="39"/>
      <c r="E14" s="40" t="s">
        <v>22</v>
      </c>
      <c r="F14" s="41" t="s">
        <v>23</v>
      </c>
      <c r="G14" s="41" t="s">
        <v>24</v>
      </c>
      <c r="H14" s="42" t="s">
        <v>25</v>
      </c>
    </row>
    <row r="15" customFormat="false" ht="12.75" hidden="false" customHeight="true" outlineLevel="0" collapsed="false">
      <c r="C15" s="30"/>
      <c r="D15" s="43" t="s">
        <v>26</v>
      </c>
      <c r="E15" s="44" t="s">
        <v>27</v>
      </c>
      <c r="F15" s="44" t="s">
        <v>28</v>
      </c>
      <c r="G15" s="44" t="s">
        <v>28</v>
      </c>
      <c r="H15" s="45" t="s">
        <v>28</v>
      </c>
    </row>
    <row r="16" customFormat="false" ht="12.75" hidden="false" customHeight="true" outlineLevel="0" collapsed="false">
      <c r="C16" s="30"/>
      <c r="D16" s="46" t="s">
        <v>29</v>
      </c>
      <c r="E16" s="47" t="n">
        <v>15000</v>
      </c>
      <c r="F16" s="47" t="n">
        <v>0</v>
      </c>
      <c r="G16" s="47" t="n">
        <v>0</v>
      </c>
      <c r="H16" s="48" t="n">
        <v>0</v>
      </c>
    </row>
    <row r="17" customFormat="false" ht="12.75" hidden="false" customHeight="true" outlineLevel="0" collapsed="false">
      <c r="C17" s="30"/>
      <c r="D17" s="46" t="s">
        <v>30</v>
      </c>
      <c r="E17" s="49" t="n">
        <v>0.017</v>
      </c>
      <c r="F17" s="49" t="n">
        <v>0</v>
      </c>
      <c r="G17" s="49" t="n">
        <v>0</v>
      </c>
      <c r="H17" s="50" t="n">
        <v>0</v>
      </c>
    </row>
    <row r="18" customFormat="false" ht="12.75" hidden="false" customHeight="true" outlineLevel="0" collapsed="false">
      <c r="C18" s="30"/>
      <c r="D18" s="46" t="s">
        <v>31</v>
      </c>
      <c r="E18" s="51" t="n">
        <v>0.02902</v>
      </c>
      <c r="F18" s="51" t="n">
        <v>0</v>
      </c>
      <c r="G18" s="51" t="n">
        <v>0</v>
      </c>
      <c r="H18" s="52" t="n">
        <v>0</v>
      </c>
    </row>
    <row r="19" customFormat="false" ht="12.75" hidden="false" customHeight="true" outlineLevel="0" collapsed="false">
      <c r="C19" s="30"/>
      <c r="D19" s="46" t="s">
        <v>32</v>
      </c>
      <c r="E19" s="49" t="n">
        <v>0.1034539</v>
      </c>
      <c r="F19" s="49" t="n">
        <v>0</v>
      </c>
      <c r="G19" s="49" t="n">
        <v>0</v>
      </c>
      <c r="H19" s="50" t="n">
        <v>0</v>
      </c>
    </row>
    <row r="20" customFormat="false" ht="12.75" hidden="false" customHeight="true" outlineLevel="0" collapsed="false">
      <c r="C20" s="30"/>
      <c r="D20" s="53" t="s">
        <v>33</v>
      </c>
      <c r="E20" s="54" t="n">
        <v>0.0022</v>
      </c>
      <c r="F20" s="55" t="n">
        <v>0</v>
      </c>
      <c r="G20" s="56" t="n">
        <v>0</v>
      </c>
      <c r="H20" s="57" t="n">
        <v>0</v>
      </c>
    </row>
    <row r="21" customFormat="false" ht="13.5" hidden="false" customHeight="true" outlineLevel="0" collapsed="false">
      <c r="C21" s="30"/>
      <c r="D21" s="58" t="s">
        <v>34</v>
      </c>
      <c r="E21" s="59" t="n">
        <v>0</v>
      </c>
      <c r="F21" s="60" t="n">
        <v>0</v>
      </c>
      <c r="G21" s="61" t="n">
        <v>0</v>
      </c>
      <c r="H21" s="62" t="n">
        <v>0</v>
      </c>
    </row>
    <row r="22" customFormat="false" ht="13.5" hidden="false" customHeight="true" outlineLevel="0" collapsed="false">
      <c r="C22" s="30"/>
      <c r="D22" s="53" t="s">
        <v>35</v>
      </c>
      <c r="E22" s="54" t="n">
        <v>-0.03</v>
      </c>
      <c r="F22" s="55" t="n">
        <v>0</v>
      </c>
      <c r="G22" s="55" t="n">
        <v>0</v>
      </c>
      <c r="H22" s="63" t="n">
        <v>0</v>
      </c>
    </row>
    <row r="23" customFormat="false" ht="13.5" hidden="false" customHeight="true" outlineLevel="0" collapsed="false">
      <c r="C23" s="30"/>
      <c r="D23" s="64" t="s">
        <v>36</v>
      </c>
      <c r="E23" s="65" t="s">
        <v>123</v>
      </c>
      <c r="F23" s="66" t="s">
        <v>38</v>
      </c>
      <c r="G23" s="67" t="s">
        <v>124</v>
      </c>
      <c r="H23" s="68" t="s">
        <v>40</v>
      </c>
    </row>
    <row r="24" customFormat="false" ht="13.5" hidden="false" customHeight="true" outlineLevel="0" collapsed="false">
      <c r="C24" s="30"/>
      <c r="D24" s="69" t="s">
        <v>41</v>
      </c>
      <c r="E24" s="70" t="s">
        <v>125</v>
      </c>
      <c r="F24" s="71" t="s">
        <v>43</v>
      </c>
      <c r="G24" s="72" t="s">
        <v>126</v>
      </c>
      <c r="H24" s="73" t="s">
        <v>127</v>
      </c>
    </row>
    <row r="25" customFormat="false" ht="13.5" hidden="false" customHeight="true" outlineLevel="0" collapsed="false">
      <c r="C25" s="30"/>
      <c r="D25" s="74" t="s">
        <v>46</v>
      </c>
      <c r="E25" s="75" t="s">
        <v>128</v>
      </c>
      <c r="F25" s="76" t="s">
        <v>48</v>
      </c>
      <c r="G25" s="77" t="s">
        <v>129</v>
      </c>
      <c r="H25" s="68" t="s">
        <v>50</v>
      </c>
    </row>
    <row r="26" customFormat="false" ht="13.5" hidden="false" customHeight="true" outlineLevel="0" collapsed="false">
      <c r="C26" s="30"/>
      <c r="D26" s="78" t="s">
        <v>51</v>
      </c>
      <c r="E26" s="79" t="n">
        <v>2</v>
      </c>
      <c r="F26" s="80" t="e">
        <f aca="false">GetCorrelName1($E26)</f>
        <v>#VALUE!</v>
      </c>
      <c r="G26" s="81" t="e">
        <f aca="false">GetCorrelName2($E26)</f>
        <v>#VALUE!</v>
      </c>
      <c r="H26" s="82" t="s">
        <v>52</v>
      </c>
    </row>
    <row r="27" customFormat="false" ht="13.5" hidden="false" customHeight="true" outlineLevel="0" collapsed="false">
      <c r="C27" s="30"/>
      <c r="D27" s="83" t="s">
        <v>53</v>
      </c>
      <c r="E27" s="84" t="s">
        <v>54</v>
      </c>
      <c r="F27" s="84"/>
      <c r="G27" s="84"/>
      <c r="H27" s="84"/>
    </row>
    <row r="28" customFormat="false" ht="13.5" hidden="false" customHeight="true" outlineLevel="0" collapsed="false">
      <c r="C28" s="30"/>
      <c r="D28" s="83"/>
      <c r="E28" s="84"/>
      <c r="F28" s="84"/>
      <c r="G28" s="84"/>
      <c r="H28" s="84"/>
    </row>
    <row r="29" customFormat="false" ht="16.5" hidden="false" customHeight="true" outlineLevel="0" collapsed="false">
      <c r="C29" s="30" t="n">
        <v>19</v>
      </c>
      <c r="D29" s="31" t="s">
        <v>13</v>
      </c>
      <c r="E29" s="31"/>
      <c r="F29" s="31"/>
      <c r="G29" s="31"/>
      <c r="H29" s="31"/>
    </row>
    <row r="30" customFormat="false" ht="15.75" hidden="false" customHeight="true" outlineLevel="0" collapsed="false">
      <c r="C30" s="30"/>
      <c r="D30" s="32"/>
      <c r="E30" s="33" t="s">
        <v>15</v>
      </c>
      <c r="F30" s="33" t="s">
        <v>16</v>
      </c>
      <c r="G30" s="33" t="s">
        <v>17</v>
      </c>
      <c r="H30" s="34" t="s">
        <v>18</v>
      </c>
    </row>
    <row r="31" customFormat="false" ht="13.5" hidden="false" customHeight="true" outlineLevel="0" collapsed="false">
      <c r="C31" s="30"/>
      <c r="D31" s="35" t="s">
        <v>19</v>
      </c>
      <c r="E31" s="36" t="s">
        <v>130</v>
      </c>
      <c r="F31" s="36" t="s">
        <v>121</v>
      </c>
      <c r="G31" s="37" t="n">
        <v>36526</v>
      </c>
      <c r="H31" s="38" t="n">
        <v>37955</v>
      </c>
    </row>
    <row r="32" customFormat="false" ht="15.75" hidden="false" customHeight="true" outlineLevel="0" collapsed="false">
      <c r="C32" s="30"/>
      <c r="D32" s="39"/>
      <c r="E32" s="40" t="s">
        <v>22</v>
      </c>
      <c r="F32" s="41" t="s">
        <v>23</v>
      </c>
      <c r="G32" s="41" t="s">
        <v>24</v>
      </c>
      <c r="H32" s="42" t="s">
        <v>25</v>
      </c>
    </row>
    <row r="33" customFormat="false" ht="12.75" hidden="false" customHeight="true" outlineLevel="0" collapsed="false">
      <c r="C33" s="30"/>
      <c r="D33" s="43" t="s">
        <v>26</v>
      </c>
      <c r="E33" s="44" t="s">
        <v>27</v>
      </c>
      <c r="F33" s="44" t="s">
        <v>28</v>
      </c>
      <c r="G33" s="44" t="s">
        <v>28</v>
      </c>
      <c r="H33" s="45" t="s">
        <v>28</v>
      </c>
    </row>
    <row r="34" customFormat="false" ht="12.75" hidden="false" customHeight="true" outlineLevel="0" collapsed="false">
      <c r="C34" s="30"/>
      <c r="D34" s="46" t="s">
        <v>29</v>
      </c>
      <c r="E34" s="47" t="n">
        <v>40000</v>
      </c>
      <c r="F34" s="47" t="n">
        <v>0</v>
      </c>
      <c r="G34" s="47" t="n">
        <v>0</v>
      </c>
      <c r="H34" s="48" t="n">
        <v>0</v>
      </c>
    </row>
    <row r="35" customFormat="false" ht="12.75" hidden="false" customHeight="true" outlineLevel="0" collapsed="false">
      <c r="C35" s="30"/>
      <c r="D35" s="46" t="s">
        <v>30</v>
      </c>
      <c r="E35" s="49" t="n">
        <v>0.0017</v>
      </c>
      <c r="F35" s="49" t="n">
        <v>0</v>
      </c>
      <c r="G35" s="49" t="n">
        <v>0</v>
      </c>
      <c r="H35" s="50" t="n">
        <v>0</v>
      </c>
    </row>
    <row r="36" customFormat="false" ht="12.75" hidden="false" customHeight="true" outlineLevel="0" collapsed="false">
      <c r="C36" s="30"/>
      <c r="D36" s="46" t="s">
        <v>31</v>
      </c>
      <c r="E36" s="51" t="n">
        <v>0.00697</v>
      </c>
      <c r="F36" s="51" t="n">
        <v>0</v>
      </c>
      <c r="G36" s="51" t="n">
        <v>0</v>
      </c>
      <c r="H36" s="52" t="n">
        <v>0</v>
      </c>
    </row>
    <row r="37" customFormat="false" ht="12.75" hidden="false" customHeight="true" outlineLevel="0" collapsed="false">
      <c r="C37" s="30"/>
      <c r="D37" s="46" t="s">
        <v>32</v>
      </c>
      <c r="E37" s="49" t="n">
        <v>0.0414</v>
      </c>
      <c r="F37" s="49" t="n">
        <v>0</v>
      </c>
      <c r="G37" s="49" t="n">
        <v>0</v>
      </c>
      <c r="H37" s="50" t="n">
        <v>0</v>
      </c>
    </row>
    <row r="38" customFormat="false" ht="12.75" hidden="false" customHeight="true" outlineLevel="0" collapsed="false">
      <c r="C38" s="30"/>
      <c r="D38" s="53" t="s">
        <v>33</v>
      </c>
      <c r="E38" s="54" t="n">
        <v>0.0022</v>
      </c>
      <c r="F38" s="55" t="n">
        <v>0</v>
      </c>
      <c r="G38" s="56" t="n">
        <v>0</v>
      </c>
      <c r="H38" s="57" t="n">
        <v>0</v>
      </c>
    </row>
    <row r="39" customFormat="false" ht="13.5" hidden="false" customHeight="true" outlineLevel="0" collapsed="false">
      <c r="C39" s="30"/>
      <c r="D39" s="58" t="s">
        <v>34</v>
      </c>
      <c r="E39" s="59" t="n">
        <v>0</v>
      </c>
      <c r="F39" s="60" t="n">
        <v>0</v>
      </c>
      <c r="G39" s="61" t="n">
        <v>0</v>
      </c>
      <c r="H39" s="62" t="n">
        <v>0</v>
      </c>
    </row>
    <row r="40" customFormat="false" ht="13.5" hidden="false" customHeight="true" outlineLevel="0" collapsed="false">
      <c r="C40" s="30"/>
      <c r="D40" s="53" t="s">
        <v>35</v>
      </c>
      <c r="E40" s="54" t="n">
        <v>0</v>
      </c>
      <c r="F40" s="55" t="n">
        <v>0</v>
      </c>
      <c r="G40" s="55" t="n">
        <v>0</v>
      </c>
      <c r="H40" s="63" t="n">
        <v>0</v>
      </c>
    </row>
    <row r="41" customFormat="false" ht="13.5" hidden="false" customHeight="true" outlineLevel="0" collapsed="false">
      <c r="C41" s="30"/>
      <c r="D41" s="64" t="s">
        <v>36</v>
      </c>
      <c r="E41" s="65" t="s">
        <v>131</v>
      </c>
      <c r="F41" s="66" t="s">
        <v>38</v>
      </c>
      <c r="G41" s="67" t="s">
        <v>123</v>
      </c>
      <c r="H41" s="68" t="s">
        <v>40</v>
      </c>
    </row>
    <row r="42" customFormat="false" ht="13.5" hidden="false" customHeight="true" outlineLevel="0" collapsed="false">
      <c r="C42" s="30"/>
      <c r="D42" s="69" t="s">
        <v>41</v>
      </c>
      <c r="E42" s="70" t="s">
        <v>132</v>
      </c>
      <c r="F42" s="71" t="s">
        <v>43</v>
      </c>
      <c r="G42" s="72" t="s">
        <v>125</v>
      </c>
      <c r="H42" s="73" t="s">
        <v>127</v>
      </c>
    </row>
    <row r="43" customFormat="false" ht="13.5" hidden="false" customHeight="true" outlineLevel="0" collapsed="false">
      <c r="C43" s="30"/>
      <c r="D43" s="74" t="s">
        <v>46</v>
      </c>
      <c r="E43" s="75" t="s">
        <v>128</v>
      </c>
      <c r="F43" s="76" t="s">
        <v>48</v>
      </c>
      <c r="G43" s="77" t="s">
        <v>128</v>
      </c>
      <c r="H43" s="68" t="s">
        <v>50</v>
      </c>
    </row>
    <row r="44" customFormat="false" ht="13.5" hidden="false" customHeight="true" outlineLevel="0" collapsed="false">
      <c r="C44" s="30"/>
      <c r="D44" s="78" t="s">
        <v>51</v>
      </c>
      <c r="E44" s="79" t="n">
        <v>40</v>
      </c>
      <c r="F44" s="80" t="e">
        <f aca="false">GetCorrelName1($E44)</f>
        <v>#VALUE!</v>
      </c>
      <c r="G44" s="81" t="e">
        <f aca="false">GetCorrelName2($E44)</f>
        <v>#VALUE!</v>
      </c>
      <c r="H44" s="82" t="s">
        <v>52</v>
      </c>
    </row>
    <row r="45" customFormat="false" ht="13.5" hidden="false" customHeight="true" outlineLevel="0" collapsed="false">
      <c r="C45" s="30"/>
      <c r="D45" s="83" t="s">
        <v>53</v>
      </c>
      <c r="E45" s="84" t="s">
        <v>54</v>
      </c>
      <c r="F45" s="84"/>
      <c r="G45" s="84"/>
      <c r="H45" s="84"/>
    </row>
    <row r="46" customFormat="false" ht="13.5" hidden="false" customHeight="true" outlineLevel="0" collapsed="false">
      <c r="C46" s="30"/>
      <c r="D46" s="83"/>
      <c r="E46" s="84"/>
      <c r="F46" s="84"/>
      <c r="G46" s="84"/>
      <c r="H46" s="84"/>
    </row>
    <row r="47" customFormat="false" ht="16.5" hidden="false" customHeight="true" outlineLevel="0" collapsed="false">
      <c r="C47" s="30" t="n">
        <v>20</v>
      </c>
      <c r="D47" s="31" t="s">
        <v>13</v>
      </c>
      <c r="E47" s="31"/>
      <c r="F47" s="31"/>
      <c r="G47" s="31"/>
      <c r="H47" s="31"/>
    </row>
    <row r="48" customFormat="false" ht="15.75" hidden="false" customHeight="true" outlineLevel="0" collapsed="false">
      <c r="C48" s="30"/>
      <c r="D48" s="32"/>
      <c r="E48" s="33" t="s">
        <v>15</v>
      </c>
      <c r="F48" s="33" t="s">
        <v>16</v>
      </c>
      <c r="G48" s="33" t="s">
        <v>17</v>
      </c>
      <c r="H48" s="34" t="s">
        <v>18</v>
      </c>
    </row>
    <row r="49" customFormat="false" ht="13.5" hidden="false" customHeight="true" outlineLevel="0" collapsed="false">
      <c r="C49" s="30"/>
      <c r="D49" s="35" t="s">
        <v>19</v>
      </c>
      <c r="E49" s="36" t="s">
        <v>130</v>
      </c>
      <c r="F49" s="36" t="s">
        <v>121</v>
      </c>
      <c r="G49" s="37" t="n">
        <v>36526</v>
      </c>
      <c r="H49" s="38" t="n">
        <v>38291</v>
      </c>
    </row>
    <row r="50" customFormat="false" ht="15.75" hidden="false" customHeight="true" outlineLevel="0" collapsed="false">
      <c r="C50" s="30"/>
      <c r="D50" s="39"/>
      <c r="E50" s="40" t="s">
        <v>22</v>
      </c>
      <c r="F50" s="41" t="s">
        <v>23</v>
      </c>
      <c r="G50" s="41" t="s">
        <v>24</v>
      </c>
      <c r="H50" s="42" t="s">
        <v>25</v>
      </c>
    </row>
    <row r="51" customFormat="false" ht="12.75" hidden="false" customHeight="true" outlineLevel="0" collapsed="false">
      <c r="C51" s="30"/>
      <c r="D51" s="43" t="s">
        <v>26</v>
      </c>
      <c r="E51" s="44" t="s">
        <v>27</v>
      </c>
      <c r="F51" s="44" t="s">
        <v>28</v>
      </c>
      <c r="G51" s="44" t="s">
        <v>28</v>
      </c>
      <c r="H51" s="45" t="s">
        <v>28</v>
      </c>
    </row>
    <row r="52" customFormat="false" ht="12.75" hidden="false" customHeight="true" outlineLevel="0" collapsed="false">
      <c r="C52" s="30"/>
      <c r="D52" s="46" t="s">
        <v>29</v>
      </c>
      <c r="E52" s="47" t="n">
        <v>25654</v>
      </c>
      <c r="F52" s="47" t="n">
        <v>0</v>
      </c>
      <c r="G52" s="47" t="n">
        <v>0</v>
      </c>
      <c r="H52" s="48" t="n">
        <v>0</v>
      </c>
    </row>
    <row r="53" customFormat="false" ht="12.75" hidden="false" customHeight="true" outlineLevel="0" collapsed="false">
      <c r="C53" s="30"/>
      <c r="D53" s="46" t="s">
        <v>30</v>
      </c>
      <c r="E53" s="49" t="n">
        <v>0.0017</v>
      </c>
      <c r="F53" s="49" t="n">
        <v>0</v>
      </c>
      <c r="G53" s="49" t="n">
        <v>0</v>
      </c>
      <c r="H53" s="50" t="n">
        <v>0</v>
      </c>
    </row>
    <row r="54" customFormat="false" ht="12.75" hidden="false" customHeight="true" outlineLevel="0" collapsed="false">
      <c r="C54" s="30"/>
      <c r="D54" s="46" t="s">
        <v>31</v>
      </c>
      <c r="E54" s="51" t="n">
        <v>0.00697</v>
      </c>
      <c r="F54" s="51" t="n">
        <v>0</v>
      </c>
      <c r="G54" s="51" t="n">
        <v>0</v>
      </c>
      <c r="H54" s="52" t="n">
        <v>0</v>
      </c>
    </row>
    <row r="55" customFormat="false" ht="12.75" hidden="false" customHeight="true" outlineLevel="0" collapsed="false">
      <c r="C55" s="30"/>
      <c r="D55" s="46" t="s">
        <v>32</v>
      </c>
      <c r="E55" s="49" t="n">
        <v>0.0414</v>
      </c>
      <c r="F55" s="49" t="n">
        <v>0</v>
      </c>
      <c r="G55" s="49" t="n">
        <v>0</v>
      </c>
      <c r="H55" s="50" t="n">
        <v>0</v>
      </c>
    </row>
    <row r="56" customFormat="false" ht="12.75" hidden="false" customHeight="true" outlineLevel="0" collapsed="false">
      <c r="C56" s="30"/>
      <c r="D56" s="53" t="s">
        <v>33</v>
      </c>
      <c r="E56" s="54" t="n">
        <v>0.0022</v>
      </c>
      <c r="F56" s="55" t="n">
        <v>0</v>
      </c>
      <c r="G56" s="56" t="n">
        <v>0</v>
      </c>
      <c r="H56" s="57" t="n">
        <v>0</v>
      </c>
    </row>
    <row r="57" customFormat="false" ht="13.5" hidden="false" customHeight="true" outlineLevel="0" collapsed="false">
      <c r="C57" s="30"/>
      <c r="D57" s="58" t="s">
        <v>34</v>
      </c>
      <c r="E57" s="59" t="n">
        <v>0</v>
      </c>
      <c r="F57" s="60" t="n">
        <v>0</v>
      </c>
      <c r="G57" s="61" t="n">
        <v>0</v>
      </c>
      <c r="H57" s="62" t="n">
        <v>0</v>
      </c>
    </row>
    <row r="58" customFormat="false" ht="13.5" hidden="false" customHeight="true" outlineLevel="0" collapsed="false">
      <c r="C58" s="30"/>
      <c r="D58" s="53" t="s">
        <v>35</v>
      </c>
      <c r="E58" s="54" t="n">
        <v>0</v>
      </c>
      <c r="F58" s="55" t="n">
        <v>0</v>
      </c>
      <c r="G58" s="55" t="n">
        <v>0</v>
      </c>
      <c r="H58" s="63" t="n">
        <v>0</v>
      </c>
    </row>
    <row r="59" customFormat="false" ht="13.5" hidden="false" customHeight="true" outlineLevel="0" collapsed="false">
      <c r="C59" s="30"/>
      <c r="D59" s="64" t="s">
        <v>36</v>
      </c>
      <c r="E59" s="65" t="s">
        <v>131</v>
      </c>
      <c r="F59" s="66" t="s">
        <v>38</v>
      </c>
      <c r="G59" s="67" t="s">
        <v>123</v>
      </c>
      <c r="H59" s="68" t="s">
        <v>40</v>
      </c>
    </row>
    <row r="60" customFormat="false" ht="13.5" hidden="false" customHeight="true" outlineLevel="0" collapsed="false">
      <c r="C60" s="30"/>
      <c r="D60" s="69" t="s">
        <v>41</v>
      </c>
      <c r="E60" s="70" t="s">
        <v>132</v>
      </c>
      <c r="F60" s="71" t="s">
        <v>43</v>
      </c>
      <c r="G60" s="72" t="s">
        <v>125</v>
      </c>
      <c r="H60" s="73" t="s">
        <v>127</v>
      </c>
    </row>
    <row r="61" customFormat="false" ht="13.5" hidden="false" customHeight="true" outlineLevel="0" collapsed="false">
      <c r="C61" s="30"/>
      <c r="D61" s="74" t="s">
        <v>46</v>
      </c>
      <c r="E61" s="75" t="s">
        <v>128</v>
      </c>
      <c r="F61" s="76" t="s">
        <v>48</v>
      </c>
      <c r="G61" s="77" t="s">
        <v>128</v>
      </c>
      <c r="H61" s="68" t="s">
        <v>50</v>
      </c>
    </row>
    <row r="62" customFormat="false" ht="13.5" hidden="false" customHeight="true" outlineLevel="0" collapsed="false">
      <c r="C62" s="30"/>
      <c r="D62" s="78" t="s">
        <v>51</v>
      </c>
      <c r="E62" s="79" t="n">
        <v>40</v>
      </c>
      <c r="F62" s="80" t="e">
        <f aca="false">GetCorrelName1($E62)</f>
        <v>#VALUE!</v>
      </c>
      <c r="G62" s="81" t="e">
        <f aca="false">GetCorrelName2($E62)</f>
        <v>#VALUE!</v>
      </c>
      <c r="H62" s="82" t="s">
        <v>52</v>
      </c>
    </row>
    <row r="63" customFormat="false" ht="13.5" hidden="false" customHeight="true" outlineLevel="0" collapsed="false">
      <c r="C63" s="30"/>
      <c r="D63" s="83" t="s">
        <v>53</v>
      </c>
      <c r="E63" s="84" t="s">
        <v>54</v>
      </c>
      <c r="F63" s="84"/>
      <c r="G63" s="84"/>
      <c r="H63" s="84"/>
    </row>
    <row r="64" customFormat="false" ht="13.5" hidden="false" customHeight="true" outlineLevel="0" collapsed="false">
      <c r="C64" s="30"/>
      <c r="D64" s="83"/>
      <c r="E64" s="84"/>
      <c r="F64" s="84"/>
      <c r="G64" s="84"/>
      <c r="H64" s="84"/>
    </row>
    <row r="65" customFormat="false" ht="17.25" hidden="false" customHeight="true" outlineLevel="0" collapsed="false">
      <c r="C65" s="30" t="n">
        <v>21</v>
      </c>
      <c r="D65" s="31" t="s">
        <v>13</v>
      </c>
      <c r="E65" s="31"/>
      <c r="F65" s="31"/>
      <c r="G65" s="31"/>
      <c r="H65" s="31"/>
    </row>
    <row r="66" customFormat="false" ht="15.75" hidden="false" customHeight="true" outlineLevel="0" collapsed="false">
      <c r="C66" s="30"/>
      <c r="D66" s="32" t="s">
        <v>133</v>
      </c>
      <c r="E66" s="33" t="s">
        <v>15</v>
      </c>
      <c r="F66" s="33" t="s">
        <v>16</v>
      </c>
      <c r="G66" s="33" t="s">
        <v>17</v>
      </c>
      <c r="H66" s="34" t="s">
        <v>18</v>
      </c>
    </row>
    <row r="67" customFormat="false" ht="13.5" hidden="false" customHeight="true" outlineLevel="0" collapsed="false">
      <c r="C67" s="30"/>
      <c r="D67" s="35" t="s">
        <v>19</v>
      </c>
      <c r="E67" s="36" t="s">
        <v>121</v>
      </c>
      <c r="F67" s="36" t="s">
        <v>122</v>
      </c>
      <c r="G67" s="37" t="n">
        <v>36526</v>
      </c>
      <c r="H67" s="38" t="n">
        <v>38472</v>
      </c>
    </row>
    <row r="68" customFormat="false" ht="15.75" hidden="false" customHeight="true" outlineLevel="0" collapsed="false">
      <c r="C68" s="30"/>
      <c r="D68" s="39"/>
      <c r="E68" s="40" t="s">
        <v>22</v>
      </c>
      <c r="F68" s="41" t="s">
        <v>23</v>
      </c>
      <c r="G68" s="41" t="s">
        <v>24</v>
      </c>
      <c r="H68" s="42" t="s">
        <v>25</v>
      </c>
    </row>
    <row r="69" customFormat="false" ht="12.75" hidden="false" customHeight="true" outlineLevel="0" collapsed="false">
      <c r="C69" s="30"/>
      <c r="D69" s="43" t="s">
        <v>26</v>
      </c>
      <c r="E69" s="44" t="s">
        <v>27</v>
      </c>
      <c r="F69" s="44" t="s">
        <v>28</v>
      </c>
      <c r="G69" s="44" t="s">
        <v>28</v>
      </c>
      <c r="H69" s="45" t="s">
        <v>28</v>
      </c>
    </row>
    <row r="70" customFormat="false" ht="12.75" hidden="false" customHeight="true" outlineLevel="0" collapsed="false">
      <c r="C70" s="30"/>
      <c r="D70" s="46" t="s">
        <v>29</v>
      </c>
      <c r="E70" s="47" t="n">
        <v>15000</v>
      </c>
      <c r="F70" s="47" t="n">
        <v>0</v>
      </c>
      <c r="G70" s="47" t="n">
        <v>0</v>
      </c>
      <c r="H70" s="48" t="n">
        <v>0</v>
      </c>
    </row>
    <row r="71" customFormat="false" ht="12.75" hidden="false" customHeight="true" outlineLevel="0" collapsed="false">
      <c r="C71" s="30"/>
      <c r="D71" s="46" t="s">
        <v>30</v>
      </c>
      <c r="E71" s="49" t="n">
        <v>0.017</v>
      </c>
      <c r="F71" s="49" t="n">
        <v>0</v>
      </c>
      <c r="G71" s="49" t="n">
        <v>0</v>
      </c>
      <c r="H71" s="50" t="n">
        <v>0</v>
      </c>
    </row>
    <row r="72" customFormat="false" ht="12.75" hidden="false" customHeight="true" outlineLevel="0" collapsed="false">
      <c r="C72" s="30"/>
      <c r="D72" s="46" t="s">
        <v>31</v>
      </c>
      <c r="E72" s="51" t="n">
        <v>0.02902</v>
      </c>
      <c r="F72" s="51" t="n">
        <v>0</v>
      </c>
      <c r="G72" s="51" t="n">
        <v>0</v>
      </c>
      <c r="H72" s="52" t="n">
        <v>0</v>
      </c>
    </row>
    <row r="73" customFormat="false" ht="12.75" hidden="false" customHeight="true" outlineLevel="0" collapsed="false">
      <c r="C73" s="30"/>
      <c r="D73" s="46" t="s">
        <v>32</v>
      </c>
      <c r="E73" s="49" t="n">
        <v>0.11</v>
      </c>
      <c r="F73" s="49" t="n">
        <v>0</v>
      </c>
      <c r="G73" s="49" t="n">
        <v>0</v>
      </c>
      <c r="H73" s="50" t="n">
        <v>0</v>
      </c>
    </row>
    <row r="74" customFormat="false" ht="12.75" hidden="false" customHeight="true" outlineLevel="0" collapsed="false">
      <c r="C74" s="30"/>
      <c r="D74" s="53" t="s">
        <v>33</v>
      </c>
      <c r="E74" s="54" t="n">
        <v>0.0022</v>
      </c>
      <c r="F74" s="55" t="n">
        <v>0</v>
      </c>
      <c r="G74" s="56" t="n">
        <v>0</v>
      </c>
      <c r="H74" s="57" t="n">
        <v>0</v>
      </c>
    </row>
    <row r="75" customFormat="false" ht="12.75" hidden="false" customHeight="true" outlineLevel="0" collapsed="false">
      <c r="C75" s="30"/>
      <c r="D75" s="58" t="s">
        <v>34</v>
      </c>
      <c r="E75" s="59" t="n">
        <v>0</v>
      </c>
      <c r="F75" s="60" t="n">
        <v>0</v>
      </c>
      <c r="G75" s="61" t="n">
        <v>0</v>
      </c>
      <c r="H75" s="62" t="n">
        <v>0</v>
      </c>
    </row>
    <row r="76" customFormat="false" ht="13.5" hidden="false" customHeight="true" outlineLevel="0" collapsed="false">
      <c r="C76" s="30"/>
      <c r="D76" s="53" t="s">
        <v>35</v>
      </c>
      <c r="E76" s="54" t="n">
        <v>-0.03</v>
      </c>
      <c r="F76" s="55" t="n">
        <v>0</v>
      </c>
      <c r="G76" s="55" t="n">
        <v>0</v>
      </c>
      <c r="H76" s="63" t="n">
        <v>0</v>
      </c>
    </row>
    <row r="77" customFormat="false" ht="12.75" hidden="false" customHeight="true" outlineLevel="0" collapsed="false">
      <c r="C77" s="30"/>
      <c r="D77" s="64" t="s">
        <v>36</v>
      </c>
      <c r="E77" s="65" t="s">
        <v>123</v>
      </c>
      <c r="F77" s="66" t="s">
        <v>38</v>
      </c>
      <c r="G77" s="67" t="s">
        <v>124</v>
      </c>
      <c r="H77" s="68" t="s">
        <v>40</v>
      </c>
    </row>
    <row r="78" customFormat="false" ht="15.75" hidden="false" customHeight="true" outlineLevel="0" collapsed="false">
      <c r="C78" s="30"/>
      <c r="D78" s="69" t="s">
        <v>41</v>
      </c>
      <c r="E78" s="70" t="s">
        <v>125</v>
      </c>
      <c r="F78" s="71" t="s">
        <v>43</v>
      </c>
      <c r="G78" s="72" t="s">
        <v>126</v>
      </c>
      <c r="H78" s="73" t="s">
        <v>127</v>
      </c>
    </row>
    <row r="79" customFormat="false" ht="13.5" hidden="false" customHeight="true" outlineLevel="0" collapsed="false">
      <c r="C79" s="30"/>
      <c r="D79" s="74" t="s">
        <v>46</v>
      </c>
      <c r="E79" s="75" t="s">
        <v>128</v>
      </c>
      <c r="F79" s="76" t="s">
        <v>48</v>
      </c>
      <c r="G79" s="77" t="s">
        <v>129</v>
      </c>
      <c r="H79" s="68" t="s">
        <v>50</v>
      </c>
    </row>
    <row r="80" customFormat="false" ht="13.5" hidden="false" customHeight="true" outlineLevel="0" collapsed="false">
      <c r="C80" s="30"/>
      <c r="D80" s="78" t="s">
        <v>51</v>
      </c>
      <c r="E80" s="79" t="n">
        <v>2</v>
      </c>
      <c r="F80" s="80" t="e">
        <f aca="false">GetCorrelName1($E80)</f>
        <v>#VALUE!</v>
      </c>
      <c r="G80" s="81" t="e">
        <f aca="false">GetCorrelName2($E80)</f>
        <v>#VALUE!</v>
      </c>
      <c r="H80" s="82" t="s">
        <v>52</v>
      </c>
    </row>
    <row r="81" customFormat="false" ht="12.75" hidden="false" customHeight="true" outlineLevel="0" collapsed="false">
      <c r="C81" s="30"/>
      <c r="D81" s="83" t="s">
        <v>53</v>
      </c>
      <c r="E81" s="84" t="s">
        <v>54</v>
      </c>
      <c r="F81" s="84"/>
      <c r="G81" s="84"/>
      <c r="H81" s="84"/>
    </row>
    <row r="82" customFormat="false" ht="13.5" hidden="false" customHeight="true" outlineLevel="0" collapsed="false">
      <c r="C82" s="30"/>
      <c r="D82" s="83"/>
      <c r="E82" s="84"/>
      <c r="F82" s="84"/>
      <c r="G82" s="84"/>
      <c r="H82" s="84"/>
    </row>
    <row r="83" customFormat="false" ht="17.25" hidden="false" customHeight="true" outlineLevel="0" collapsed="false">
      <c r="C83" s="30" t="n">
        <v>24</v>
      </c>
      <c r="D83" s="31" t="s">
        <v>13</v>
      </c>
      <c r="E83" s="31"/>
      <c r="F83" s="31"/>
      <c r="G83" s="31"/>
      <c r="H83" s="31"/>
    </row>
    <row r="84" customFormat="false" ht="15.75" hidden="false" customHeight="true" outlineLevel="0" collapsed="false">
      <c r="C84" s="30"/>
      <c r="D84" s="32"/>
      <c r="E84" s="33" t="s">
        <v>15</v>
      </c>
      <c r="F84" s="33" t="s">
        <v>16</v>
      </c>
      <c r="G84" s="33" t="s">
        <v>17</v>
      </c>
      <c r="H84" s="34" t="s">
        <v>18</v>
      </c>
    </row>
    <row r="85" customFormat="false" ht="13.5" hidden="false" customHeight="true" outlineLevel="0" collapsed="false">
      <c r="C85" s="30"/>
      <c r="D85" s="35" t="s">
        <v>19</v>
      </c>
      <c r="E85" s="36" t="s">
        <v>121</v>
      </c>
      <c r="F85" s="36" t="s">
        <v>122</v>
      </c>
      <c r="G85" s="37" t="n">
        <v>36526</v>
      </c>
      <c r="H85" s="38" t="n">
        <v>37346</v>
      </c>
    </row>
    <row r="86" customFormat="false" ht="15.75" hidden="false" customHeight="true" outlineLevel="0" collapsed="false">
      <c r="C86" s="30"/>
      <c r="D86" s="39"/>
      <c r="E86" s="40" t="s">
        <v>22</v>
      </c>
      <c r="F86" s="41" t="s">
        <v>23</v>
      </c>
      <c r="G86" s="41" t="s">
        <v>24</v>
      </c>
      <c r="H86" s="42" t="s">
        <v>25</v>
      </c>
    </row>
    <row r="87" customFormat="false" ht="12.75" hidden="false" customHeight="true" outlineLevel="0" collapsed="false">
      <c r="C87" s="30"/>
      <c r="D87" s="43" t="s">
        <v>26</v>
      </c>
      <c r="E87" s="44" t="s">
        <v>27</v>
      </c>
      <c r="F87" s="44" t="s">
        <v>28</v>
      </c>
      <c r="G87" s="44" t="s">
        <v>28</v>
      </c>
      <c r="H87" s="45" t="s">
        <v>28</v>
      </c>
    </row>
    <row r="88" customFormat="false" ht="12.75" hidden="false" customHeight="true" outlineLevel="0" collapsed="false">
      <c r="C88" s="30"/>
      <c r="D88" s="46" t="s">
        <v>29</v>
      </c>
      <c r="E88" s="47" t="n">
        <v>30000</v>
      </c>
      <c r="F88" s="47" t="n">
        <v>0</v>
      </c>
      <c r="G88" s="47" t="n">
        <v>0</v>
      </c>
      <c r="H88" s="48" t="n">
        <v>0</v>
      </c>
    </row>
    <row r="89" customFormat="false" ht="12.75" hidden="false" customHeight="true" outlineLevel="0" collapsed="false">
      <c r="C89" s="30"/>
      <c r="D89" s="46" t="s">
        <v>30</v>
      </c>
      <c r="E89" s="49" t="n">
        <v>0.017</v>
      </c>
      <c r="F89" s="49" t="n">
        <v>0</v>
      </c>
      <c r="G89" s="49" t="n">
        <v>0</v>
      </c>
      <c r="H89" s="50" t="n">
        <v>0</v>
      </c>
    </row>
    <row r="90" customFormat="false" ht="12.75" hidden="false" customHeight="true" outlineLevel="0" collapsed="false">
      <c r="C90" s="30"/>
      <c r="D90" s="46" t="s">
        <v>31</v>
      </c>
      <c r="E90" s="51" t="n">
        <v>0.02902</v>
      </c>
      <c r="F90" s="51" t="n">
        <v>0</v>
      </c>
      <c r="G90" s="51" t="n">
        <v>0</v>
      </c>
      <c r="H90" s="52" t="n">
        <v>0</v>
      </c>
    </row>
    <row r="91" customFormat="false" ht="12.75" hidden="false" customHeight="true" outlineLevel="0" collapsed="false">
      <c r="C91" s="30"/>
      <c r="D91" s="46" t="s">
        <v>32</v>
      </c>
      <c r="E91" s="49" t="n">
        <v>0.11</v>
      </c>
      <c r="F91" s="49" t="n">
        <v>0</v>
      </c>
      <c r="G91" s="49" t="n">
        <v>0</v>
      </c>
      <c r="H91" s="50" t="n">
        <v>0</v>
      </c>
    </row>
    <row r="92" customFormat="false" ht="12.75" hidden="false" customHeight="true" outlineLevel="0" collapsed="false">
      <c r="C92" s="30"/>
      <c r="D92" s="53" t="s">
        <v>33</v>
      </c>
      <c r="E92" s="54" t="n">
        <v>0.0022</v>
      </c>
      <c r="F92" s="55" t="n">
        <v>0</v>
      </c>
      <c r="G92" s="56" t="n">
        <v>0</v>
      </c>
      <c r="H92" s="57" t="n">
        <v>0</v>
      </c>
    </row>
    <row r="93" customFormat="false" ht="12.75" hidden="false" customHeight="true" outlineLevel="0" collapsed="false">
      <c r="C93" s="30"/>
      <c r="D93" s="58" t="s">
        <v>34</v>
      </c>
      <c r="E93" s="59" t="n">
        <v>0</v>
      </c>
      <c r="F93" s="60" t="n">
        <v>0</v>
      </c>
      <c r="G93" s="61" t="n">
        <v>0</v>
      </c>
      <c r="H93" s="62" t="n">
        <v>0</v>
      </c>
    </row>
    <row r="94" customFormat="false" ht="13.5" hidden="false" customHeight="true" outlineLevel="0" collapsed="false">
      <c r="C94" s="30"/>
      <c r="D94" s="53" t="s">
        <v>35</v>
      </c>
      <c r="E94" s="54" t="n">
        <v>-0.03</v>
      </c>
      <c r="F94" s="55" t="n">
        <v>0</v>
      </c>
      <c r="G94" s="55" t="n">
        <v>0</v>
      </c>
      <c r="H94" s="63" t="n">
        <v>0</v>
      </c>
    </row>
    <row r="95" customFormat="false" ht="12.75" hidden="false" customHeight="true" outlineLevel="0" collapsed="false">
      <c r="C95" s="30"/>
      <c r="D95" s="64" t="s">
        <v>36</v>
      </c>
      <c r="E95" s="65" t="s">
        <v>123</v>
      </c>
      <c r="F95" s="66" t="s">
        <v>38</v>
      </c>
      <c r="G95" s="67" t="s">
        <v>124</v>
      </c>
      <c r="H95" s="68" t="s">
        <v>40</v>
      </c>
    </row>
    <row r="96" customFormat="false" ht="15.75" hidden="false" customHeight="true" outlineLevel="0" collapsed="false">
      <c r="C96" s="30"/>
      <c r="D96" s="69" t="s">
        <v>41</v>
      </c>
      <c r="E96" s="70" t="s">
        <v>125</v>
      </c>
      <c r="F96" s="71" t="s">
        <v>43</v>
      </c>
      <c r="G96" s="72" t="s">
        <v>126</v>
      </c>
      <c r="H96" s="73" t="s">
        <v>127</v>
      </c>
    </row>
    <row r="97" customFormat="false" ht="13.5" hidden="false" customHeight="true" outlineLevel="0" collapsed="false">
      <c r="C97" s="30"/>
      <c r="D97" s="74" t="s">
        <v>46</v>
      </c>
      <c r="E97" s="75" t="s">
        <v>128</v>
      </c>
      <c r="F97" s="76" t="s">
        <v>48</v>
      </c>
      <c r="G97" s="77" t="s">
        <v>129</v>
      </c>
      <c r="H97" s="68" t="s">
        <v>50</v>
      </c>
    </row>
    <row r="98" customFormat="false" ht="13.5" hidden="false" customHeight="true" outlineLevel="0" collapsed="false">
      <c r="C98" s="30"/>
      <c r="D98" s="78" t="s">
        <v>51</v>
      </c>
      <c r="E98" s="79" t="n">
        <v>2</v>
      </c>
      <c r="F98" s="80" t="e">
        <f aca="false">GetCorrelName1($E98)</f>
        <v>#VALUE!</v>
      </c>
      <c r="G98" s="81" t="e">
        <f aca="false">GetCorrelName2($E98)</f>
        <v>#VALUE!</v>
      </c>
      <c r="H98" s="82" t="s">
        <v>52</v>
      </c>
    </row>
    <row r="99" customFormat="false" ht="12.75" hidden="false" customHeight="true" outlineLevel="0" collapsed="false">
      <c r="C99" s="30"/>
      <c r="D99" s="83" t="s">
        <v>53</v>
      </c>
      <c r="E99" s="84" t="s">
        <v>54</v>
      </c>
      <c r="F99" s="84"/>
      <c r="G99" s="84"/>
      <c r="H99" s="84"/>
    </row>
    <row r="100" customFormat="false" ht="13.5" hidden="false" customHeight="true" outlineLevel="0" collapsed="false">
      <c r="C100" s="30"/>
      <c r="D100" s="83"/>
      <c r="E100" s="84"/>
      <c r="F100" s="84"/>
      <c r="G100" s="84"/>
      <c r="H100" s="84"/>
    </row>
    <row r="101" customFormat="false" ht="17.25" hidden="false" customHeight="true" outlineLevel="0" collapsed="false">
      <c r="C101" s="30" t="n">
        <v>50</v>
      </c>
      <c r="D101" s="31" t="s">
        <v>13</v>
      </c>
      <c r="E101" s="31"/>
      <c r="F101" s="31"/>
      <c r="G101" s="31"/>
      <c r="H101" s="31"/>
    </row>
    <row r="102" customFormat="false" ht="15.75" hidden="false" customHeight="true" outlineLevel="0" collapsed="false">
      <c r="C102" s="30"/>
      <c r="D102" s="32" t="s">
        <v>134</v>
      </c>
      <c r="E102" s="33" t="s">
        <v>15</v>
      </c>
      <c r="F102" s="33" t="s">
        <v>16</v>
      </c>
      <c r="G102" s="33" t="s">
        <v>17</v>
      </c>
      <c r="H102" s="34" t="s">
        <v>18</v>
      </c>
    </row>
    <row r="103" customFormat="false" ht="13.5" hidden="false" customHeight="true" outlineLevel="0" collapsed="false">
      <c r="C103" s="30"/>
      <c r="D103" s="35" t="s">
        <v>19</v>
      </c>
      <c r="E103" s="36" t="s">
        <v>135</v>
      </c>
      <c r="F103" s="36" t="s">
        <v>136</v>
      </c>
      <c r="G103" s="37" t="n">
        <v>36069</v>
      </c>
      <c r="H103" s="38" t="n">
        <v>39113</v>
      </c>
    </row>
    <row r="104" customFormat="false" ht="15.75" hidden="false" customHeight="true" outlineLevel="0" collapsed="false">
      <c r="C104" s="30"/>
      <c r="D104" s="39"/>
      <c r="E104" s="40" t="s">
        <v>22</v>
      </c>
      <c r="F104" s="41" t="s">
        <v>23</v>
      </c>
      <c r="G104" s="41" t="s">
        <v>24</v>
      </c>
      <c r="H104" s="42" t="s">
        <v>25</v>
      </c>
    </row>
    <row r="105" customFormat="false" ht="12.75" hidden="false" customHeight="true" outlineLevel="0" collapsed="false">
      <c r="C105" s="30"/>
      <c r="D105" s="43" t="s">
        <v>26</v>
      </c>
      <c r="E105" s="44" t="s">
        <v>27</v>
      </c>
      <c r="F105" s="44" t="s">
        <v>28</v>
      </c>
      <c r="G105" s="44" t="s">
        <v>28</v>
      </c>
      <c r="H105" s="45" t="s">
        <v>28</v>
      </c>
    </row>
    <row r="106" customFormat="false" ht="12.75" hidden="false" customHeight="true" outlineLevel="0" collapsed="false">
      <c r="C106" s="30"/>
      <c r="D106" s="46" t="s">
        <v>29</v>
      </c>
      <c r="E106" s="47" t="n">
        <v>612</v>
      </c>
      <c r="F106" s="47" t="n">
        <v>0</v>
      </c>
      <c r="G106" s="47" t="n">
        <v>0</v>
      </c>
      <c r="H106" s="48" t="n">
        <v>0</v>
      </c>
    </row>
    <row r="107" customFormat="false" ht="12.75" hidden="false" customHeight="true" outlineLevel="0" collapsed="false">
      <c r="C107" s="30"/>
      <c r="D107" s="46" t="s">
        <v>30</v>
      </c>
      <c r="E107" s="49" t="n">
        <f aca="false">0.0312+0.0022</f>
        <v>0.0334</v>
      </c>
      <c r="F107" s="49" t="n">
        <v>0</v>
      </c>
      <c r="G107" s="49" t="n">
        <v>0</v>
      </c>
      <c r="H107" s="50" t="n">
        <v>0</v>
      </c>
    </row>
    <row r="108" customFormat="false" ht="12.75" hidden="false" customHeight="true" outlineLevel="0" collapsed="false">
      <c r="C108" s="30"/>
      <c r="D108" s="46" t="s">
        <v>31</v>
      </c>
      <c r="E108" s="51" t="n">
        <v>0.0275</v>
      </c>
      <c r="F108" s="51" t="n">
        <v>0</v>
      </c>
      <c r="G108" s="51" t="n">
        <v>0</v>
      </c>
      <c r="H108" s="52" t="n">
        <v>0</v>
      </c>
    </row>
    <row r="109" customFormat="false" ht="12.75" hidden="false" customHeight="true" outlineLevel="0" collapsed="false">
      <c r="C109" s="30"/>
      <c r="D109" s="46" t="s">
        <v>32</v>
      </c>
      <c r="E109" s="49" t="n">
        <v>0.3753</v>
      </c>
      <c r="F109" s="49" t="n">
        <v>0</v>
      </c>
      <c r="G109" s="49" t="n">
        <v>0</v>
      </c>
      <c r="H109" s="50" t="n">
        <v>0</v>
      </c>
    </row>
    <row r="110" customFormat="false" ht="12.75" hidden="false" customHeight="true" outlineLevel="0" collapsed="false">
      <c r="C110" s="30"/>
      <c r="D110" s="53" t="s">
        <v>33</v>
      </c>
      <c r="E110" s="54" t="n">
        <v>0</v>
      </c>
      <c r="F110" s="55" t="n">
        <v>0</v>
      </c>
      <c r="G110" s="56" t="n">
        <v>0</v>
      </c>
      <c r="H110" s="57" t="n">
        <v>0</v>
      </c>
    </row>
    <row r="111" customFormat="false" ht="12.75" hidden="false" customHeight="true" outlineLevel="0" collapsed="false">
      <c r="C111" s="30"/>
      <c r="D111" s="58" t="s">
        <v>34</v>
      </c>
      <c r="E111" s="59" t="n">
        <v>0</v>
      </c>
      <c r="F111" s="60" t="n">
        <v>0</v>
      </c>
      <c r="G111" s="61" t="n">
        <v>0</v>
      </c>
      <c r="H111" s="62" t="n">
        <v>0</v>
      </c>
    </row>
    <row r="112" customFormat="false" ht="13.5" hidden="false" customHeight="true" outlineLevel="0" collapsed="false">
      <c r="C112" s="30"/>
      <c r="D112" s="53" t="s">
        <v>35</v>
      </c>
      <c r="E112" s="54" t="n">
        <v>0</v>
      </c>
      <c r="F112" s="55" t="n">
        <v>0</v>
      </c>
      <c r="G112" s="55" t="n">
        <v>0</v>
      </c>
      <c r="H112" s="63" t="n">
        <v>0</v>
      </c>
    </row>
    <row r="113" customFormat="false" ht="12.75" hidden="false" customHeight="true" outlineLevel="0" collapsed="false">
      <c r="C113" s="30"/>
      <c r="D113" s="64" t="s">
        <v>36</v>
      </c>
      <c r="E113" s="65" t="s">
        <v>137</v>
      </c>
      <c r="F113" s="66" t="s">
        <v>38</v>
      </c>
      <c r="G113" s="65" t="s">
        <v>138</v>
      </c>
      <c r="H113" s="68" t="s">
        <v>40</v>
      </c>
    </row>
    <row r="114" customFormat="false" ht="15.75" hidden="false" customHeight="true" outlineLevel="0" collapsed="false">
      <c r="C114" s="30"/>
      <c r="D114" s="69" t="s">
        <v>41</v>
      </c>
      <c r="E114" s="65" t="s">
        <v>139</v>
      </c>
      <c r="F114" s="71" t="s">
        <v>43</v>
      </c>
      <c r="G114" s="65" t="s">
        <v>140</v>
      </c>
      <c r="H114" s="73" t="s">
        <v>127</v>
      </c>
    </row>
    <row r="115" customFormat="false" ht="13.5" hidden="false" customHeight="true" outlineLevel="0" collapsed="false">
      <c r="C115" s="30"/>
      <c r="D115" s="74" t="s">
        <v>46</v>
      </c>
      <c r="E115" s="75" t="s">
        <v>141</v>
      </c>
      <c r="F115" s="76" t="s">
        <v>48</v>
      </c>
      <c r="G115" s="75" t="s">
        <v>141</v>
      </c>
      <c r="H115" s="68" t="s">
        <v>50</v>
      </c>
    </row>
    <row r="116" customFormat="false" ht="13.5" hidden="false" customHeight="true" outlineLevel="0" collapsed="false">
      <c r="C116" s="30"/>
      <c r="D116" s="78" t="s">
        <v>51</v>
      </c>
      <c r="E116" s="79" t="n">
        <v>55</v>
      </c>
      <c r="F116" s="80" t="e">
        <f aca="false">GetCorrelName1($E116)</f>
        <v>#VALUE!</v>
      </c>
      <c r="G116" s="81" t="e">
        <f aca="false">GetCorrelName2($E116)</f>
        <v>#VALUE!</v>
      </c>
      <c r="H116" s="82" t="s">
        <v>116</v>
      </c>
    </row>
    <row r="117" customFormat="false" ht="12.75" hidden="false" customHeight="true" outlineLevel="0" collapsed="false">
      <c r="C117" s="30"/>
      <c r="D117" s="83" t="s">
        <v>53</v>
      </c>
      <c r="E117" s="84" t="s">
        <v>142</v>
      </c>
      <c r="F117" s="84"/>
      <c r="G117" s="84"/>
      <c r="H117" s="84"/>
    </row>
    <row r="118" customFormat="false" ht="13.5" hidden="false" customHeight="true" outlineLevel="0" collapsed="false">
      <c r="C118" s="30"/>
      <c r="D118" s="83"/>
      <c r="E118" s="84"/>
      <c r="F118" s="84"/>
      <c r="G118" s="84"/>
      <c r="H118" s="84"/>
    </row>
    <row r="119" customFormat="false" ht="17.25" hidden="false" customHeight="false" outlineLevel="0" collapsed="false">
      <c r="C119" s="30" t="n">
        <v>51</v>
      </c>
      <c r="D119" s="31" t="s">
        <v>13</v>
      </c>
      <c r="E119" s="31"/>
      <c r="F119" s="31"/>
      <c r="G119" s="31"/>
      <c r="H119" s="31"/>
    </row>
    <row r="120" customFormat="false" ht="15.75" hidden="false" customHeight="false" outlineLevel="0" collapsed="false">
      <c r="C120" s="30"/>
      <c r="D120" s="32" t="s">
        <v>134</v>
      </c>
      <c r="E120" s="33" t="s">
        <v>15</v>
      </c>
      <c r="F120" s="33" t="s">
        <v>16</v>
      </c>
      <c r="G120" s="33" t="s">
        <v>17</v>
      </c>
      <c r="H120" s="34" t="s">
        <v>18</v>
      </c>
    </row>
    <row r="121" customFormat="false" ht="13.5" hidden="false" customHeight="false" outlineLevel="0" collapsed="false">
      <c r="C121" s="30"/>
      <c r="D121" s="35" t="s">
        <v>19</v>
      </c>
      <c r="E121" s="36" t="s">
        <v>143</v>
      </c>
      <c r="F121" s="36" t="s">
        <v>136</v>
      </c>
      <c r="G121" s="37" t="n">
        <v>36069</v>
      </c>
      <c r="H121" s="38" t="n">
        <v>39113</v>
      </c>
    </row>
    <row r="122" customFormat="false" ht="15.75" hidden="false" customHeight="false" outlineLevel="0" collapsed="false">
      <c r="C122" s="30"/>
      <c r="D122" s="39"/>
      <c r="E122" s="40" t="s">
        <v>22</v>
      </c>
      <c r="F122" s="41" t="s">
        <v>23</v>
      </c>
      <c r="G122" s="41" t="s">
        <v>24</v>
      </c>
      <c r="H122" s="42" t="s">
        <v>25</v>
      </c>
    </row>
    <row r="123" customFormat="false" ht="12.75" hidden="false" customHeight="false" outlineLevel="0" collapsed="false">
      <c r="C123" s="30"/>
      <c r="D123" s="43" t="s">
        <v>26</v>
      </c>
      <c r="E123" s="44" t="s">
        <v>27</v>
      </c>
      <c r="F123" s="44" t="s">
        <v>28</v>
      </c>
      <c r="G123" s="44" t="s">
        <v>28</v>
      </c>
      <c r="H123" s="45" t="s">
        <v>28</v>
      </c>
    </row>
    <row r="124" customFormat="false" ht="12.75" hidden="false" customHeight="false" outlineLevel="0" collapsed="false">
      <c r="C124" s="30"/>
      <c r="D124" s="46" t="s">
        <v>29</v>
      </c>
      <c r="E124" s="47" t="n">
        <v>732</v>
      </c>
      <c r="F124" s="47" t="n">
        <v>0</v>
      </c>
      <c r="G124" s="47" t="n">
        <v>0</v>
      </c>
      <c r="H124" s="48" t="n">
        <v>0</v>
      </c>
    </row>
    <row r="125" customFormat="false" ht="12.75" hidden="false" customHeight="false" outlineLevel="0" collapsed="false">
      <c r="C125" s="30"/>
      <c r="D125" s="46" t="s">
        <v>30</v>
      </c>
      <c r="E125" s="49" t="n">
        <f aca="false">0.0312+0.0022</f>
        <v>0.0334</v>
      </c>
      <c r="F125" s="49" t="n">
        <v>0</v>
      </c>
      <c r="G125" s="49" t="n">
        <v>0</v>
      </c>
      <c r="H125" s="50" t="n">
        <v>0</v>
      </c>
    </row>
    <row r="126" customFormat="false" ht="12.75" hidden="false" customHeight="false" outlineLevel="0" collapsed="false">
      <c r="C126" s="30"/>
      <c r="D126" s="46" t="s">
        <v>31</v>
      </c>
      <c r="E126" s="51" t="n">
        <v>0.0275</v>
      </c>
      <c r="F126" s="51" t="n">
        <v>0</v>
      </c>
      <c r="G126" s="51" t="n">
        <v>0</v>
      </c>
      <c r="H126" s="52" t="n">
        <v>0</v>
      </c>
    </row>
    <row r="127" customFormat="false" ht="12.75" hidden="false" customHeight="false" outlineLevel="0" collapsed="false">
      <c r="C127" s="30"/>
      <c r="D127" s="46" t="s">
        <v>32</v>
      </c>
      <c r="E127" s="49" t="n">
        <v>0.3753</v>
      </c>
      <c r="F127" s="49" t="n">
        <v>0</v>
      </c>
      <c r="G127" s="49" t="n">
        <v>0</v>
      </c>
      <c r="H127" s="50" t="n">
        <v>0</v>
      </c>
    </row>
    <row r="128" customFormat="false" ht="12.75" hidden="false" customHeight="false" outlineLevel="0" collapsed="false">
      <c r="C128" s="30"/>
      <c r="D128" s="53" t="s">
        <v>33</v>
      </c>
      <c r="E128" s="54" t="n">
        <v>0</v>
      </c>
      <c r="F128" s="55" t="n">
        <v>0</v>
      </c>
      <c r="G128" s="56" t="n">
        <v>0</v>
      </c>
      <c r="H128" s="57" t="n">
        <v>0</v>
      </c>
    </row>
    <row r="129" customFormat="false" ht="12.75" hidden="false" customHeight="false" outlineLevel="0" collapsed="false">
      <c r="C129" s="30"/>
      <c r="D129" s="58" t="s">
        <v>34</v>
      </c>
      <c r="E129" s="59" t="n">
        <v>0</v>
      </c>
      <c r="F129" s="60" t="n">
        <v>0</v>
      </c>
      <c r="G129" s="61" t="n">
        <v>0</v>
      </c>
      <c r="H129" s="62" t="n">
        <v>0</v>
      </c>
    </row>
    <row r="130" customFormat="false" ht="13.5" hidden="false" customHeight="false" outlineLevel="0" collapsed="false">
      <c r="C130" s="30"/>
      <c r="D130" s="53" t="s">
        <v>35</v>
      </c>
      <c r="E130" s="54" t="n">
        <v>0</v>
      </c>
      <c r="F130" s="55" t="n">
        <v>0</v>
      </c>
      <c r="G130" s="55" t="n">
        <v>0</v>
      </c>
      <c r="H130" s="63" t="n">
        <v>0</v>
      </c>
    </row>
    <row r="131" customFormat="false" ht="13.5" hidden="false" customHeight="false" outlineLevel="0" collapsed="false">
      <c r="C131" s="30"/>
      <c r="D131" s="64" t="s">
        <v>36</v>
      </c>
      <c r="E131" s="65" t="s">
        <v>144</v>
      </c>
      <c r="F131" s="66" t="s">
        <v>38</v>
      </c>
      <c r="G131" s="65" t="s">
        <v>138</v>
      </c>
      <c r="H131" s="68" t="s">
        <v>40</v>
      </c>
    </row>
    <row r="132" customFormat="false" ht="15.75" hidden="false" customHeight="false" outlineLevel="0" collapsed="false">
      <c r="C132" s="30"/>
      <c r="D132" s="69" t="s">
        <v>41</v>
      </c>
      <c r="E132" s="65" t="s">
        <v>145</v>
      </c>
      <c r="F132" s="71" t="s">
        <v>43</v>
      </c>
      <c r="G132" s="65" t="s">
        <v>140</v>
      </c>
      <c r="H132" s="73" t="s">
        <v>127</v>
      </c>
    </row>
    <row r="133" customFormat="false" ht="13.5" hidden="false" customHeight="false" outlineLevel="0" collapsed="false">
      <c r="C133" s="30"/>
      <c r="D133" s="74" t="s">
        <v>46</v>
      </c>
      <c r="E133" s="75" t="s">
        <v>141</v>
      </c>
      <c r="F133" s="76" t="s">
        <v>48</v>
      </c>
      <c r="G133" s="75" t="s">
        <v>141</v>
      </c>
      <c r="H133" s="68" t="s">
        <v>50</v>
      </c>
    </row>
    <row r="134" customFormat="false" ht="13.5" hidden="false" customHeight="false" outlineLevel="0" collapsed="false">
      <c r="C134" s="30"/>
      <c r="D134" s="78" t="s">
        <v>51</v>
      </c>
      <c r="E134" s="79" t="n">
        <v>55</v>
      </c>
      <c r="F134" s="80" t="e">
        <f aca="false">GetCorrelName1($E134)</f>
        <v>#VALUE!</v>
      </c>
      <c r="G134" s="81" t="e">
        <f aca="false">GetCorrelName2($E134)</f>
        <v>#VALUE!</v>
      </c>
      <c r="H134" s="82" t="s">
        <v>116</v>
      </c>
    </row>
    <row r="135" customFormat="false" ht="12.75" hidden="false" customHeight="true" outlineLevel="0" collapsed="false">
      <c r="C135" s="30"/>
      <c r="D135" s="83" t="s">
        <v>53</v>
      </c>
      <c r="E135" s="84" t="s">
        <v>142</v>
      </c>
      <c r="F135" s="84"/>
      <c r="G135" s="84"/>
      <c r="H135" s="84"/>
    </row>
    <row r="136" customFormat="false" ht="13.5" hidden="false" customHeight="false" outlineLevel="0" collapsed="false">
      <c r="C136" s="30"/>
      <c r="D136" s="83"/>
      <c r="E136" s="84"/>
      <c r="F136" s="84"/>
      <c r="G136" s="84"/>
      <c r="H136" s="84"/>
    </row>
    <row r="137" customFormat="false" ht="17.25" hidden="false" customHeight="false" outlineLevel="0" collapsed="false">
      <c r="C137" s="30" t="n">
        <v>52</v>
      </c>
      <c r="D137" s="31" t="s">
        <v>13</v>
      </c>
      <c r="E137" s="31"/>
      <c r="F137" s="31"/>
      <c r="G137" s="31"/>
      <c r="H137" s="31"/>
    </row>
    <row r="138" customFormat="false" ht="15.75" hidden="false" customHeight="false" outlineLevel="0" collapsed="false">
      <c r="C138" s="30"/>
      <c r="D138" s="32" t="s">
        <v>134</v>
      </c>
      <c r="E138" s="33" t="s">
        <v>15</v>
      </c>
      <c r="F138" s="33" t="s">
        <v>16</v>
      </c>
      <c r="G138" s="33" t="s">
        <v>17</v>
      </c>
      <c r="H138" s="34" t="s">
        <v>18</v>
      </c>
    </row>
    <row r="139" customFormat="false" ht="13.5" hidden="false" customHeight="false" outlineLevel="0" collapsed="false">
      <c r="C139" s="30"/>
      <c r="D139" s="35" t="s">
        <v>19</v>
      </c>
      <c r="E139" s="36" t="s">
        <v>146</v>
      </c>
      <c r="F139" s="36" t="s">
        <v>136</v>
      </c>
      <c r="G139" s="37" t="n">
        <v>36069</v>
      </c>
      <c r="H139" s="38" t="n">
        <v>39113</v>
      </c>
    </row>
    <row r="140" customFormat="false" ht="15.75" hidden="false" customHeight="false" outlineLevel="0" collapsed="false">
      <c r="C140" s="30"/>
      <c r="D140" s="39"/>
      <c r="E140" s="40" t="s">
        <v>22</v>
      </c>
      <c r="F140" s="41" t="s">
        <v>23</v>
      </c>
      <c r="G140" s="41" t="s">
        <v>24</v>
      </c>
      <c r="H140" s="42" t="s">
        <v>25</v>
      </c>
    </row>
    <row r="141" customFormat="false" ht="12.75" hidden="false" customHeight="false" outlineLevel="0" collapsed="false">
      <c r="C141" s="30"/>
      <c r="D141" s="43" t="s">
        <v>26</v>
      </c>
      <c r="E141" s="44" t="s">
        <v>27</v>
      </c>
      <c r="F141" s="44" t="s">
        <v>28</v>
      </c>
      <c r="G141" s="44" t="s">
        <v>28</v>
      </c>
      <c r="H141" s="45" t="s">
        <v>28</v>
      </c>
    </row>
    <row r="142" customFormat="false" ht="12.75" hidden="false" customHeight="false" outlineLevel="0" collapsed="false">
      <c r="C142" s="30"/>
      <c r="D142" s="46" t="s">
        <v>29</v>
      </c>
      <c r="E142" s="47" t="n">
        <v>356</v>
      </c>
      <c r="F142" s="47" t="n">
        <v>0</v>
      </c>
      <c r="G142" s="47" t="n">
        <v>0</v>
      </c>
      <c r="H142" s="48" t="n">
        <v>0</v>
      </c>
    </row>
    <row r="143" customFormat="false" ht="12.75" hidden="false" customHeight="false" outlineLevel="0" collapsed="false">
      <c r="C143" s="30"/>
      <c r="D143" s="46" t="s">
        <v>30</v>
      </c>
      <c r="E143" s="49" t="n">
        <f aca="false">0.0312+0.0022</f>
        <v>0.0334</v>
      </c>
      <c r="F143" s="49" t="n">
        <v>0</v>
      </c>
      <c r="G143" s="49" t="n">
        <v>0</v>
      </c>
      <c r="H143" s="50" t="n">
        <v>0</v>
      </c>
    </row>
    <row r="144" customFormat="false" ht="12.75" hidden="false" customHeight="false" outlineLevel="0" collapsed="false">
      <c r="C144" s="30"/>
      <c r="D144" s="46" t="s">
        <v>31</v>
      </c>
      <c r="E144" s="51" t="n">
        <v>0.0275</v>
      </c>
      <c r="F144" s="51" t="n">
        <v>0</v>
      </c>
      <c r="G144" s="51" t="n">
        <v>0</v>
      </c>
      <c r="H144" s="52" t="n">
        <v>0</v>
      </c>
    </row>
    <row r="145" customFormat="false" ht="12.75" hidden="false" customHeight="false" outlineLevel="0" collapsed="false">
      <c r="C145" s="30"/>
      <c r="D145" s="46" t="s">
        <v>32</v>
      </c>
      <c r="E145" s="49" t="n">
        <v>0.3753</v>
      </c>
      <c r="F145" s="49" t="n">
        <v>0</v>
      </c>
      <c r="G145" s="49" t="n">
        <v>0</v>
      </c>
      <c r="H145" s="50" t="n">
        <v>0</v>
      </c>
    </row>
    <row r="146" customFormat="false" ht="12.75" hidden="false" customHeight="false" outlineLevel="0" collapsed="false">
      <c r="C146" s="30"/>
      <c r="D146" s="53" t="s">
        <v>33</v>
      </c>
      <c r="E146" s="54" t="n">
        <v>0</v>
      </c>
      <c r="F146" s="55" t="n">
        <v>0</v>
      </c>
      <c r="G146" s="56" t="n">
        <v>0</v>
      </c>
      <c r="H146" s="57" t="n">
        <v>0</v>
      </c>
    </row>
    <row r="147" customFormat="false" ht="12.75" hidden="false" customHeight="false" outlineLevel="0" collapsed="false">
      <c r="C147" s="30"/>
      <c r="D147" s="58" t="s">
        <v>34</v>
      </c>
      <c r="E147" s="59" t="n">
        <v>0</v>
      </c>
      <c r="F147" s="60" t="n">
        <v>0</v>
      </c>
      <c r="G147" s="61" t="n">
        <v>0</v>
      </c>
      <c r="H147" s="62" t="n">
        <v>0</v>
      </c>
    </row>
    <row r="148" customFormat="false" ht="13.5" hidden="false" customHeight="false" outlineLevel="0" collapsed="false">
      <c r="C148" s="30"/>
      <c r="D148" s="53" t="s">
        <v>35</v>
      </c>
      <c r="E148" s="54" t="n">
        <v>0</v>
      </c>
      <c r="F148" s="55" t="n">
        <v>0</v>
      </c>
      <c r="G148" s="55" t="n">
        <v>0</v>
      </c>
      <c r="H148" s="63" t="n">
        <v>0</v>
      </c>
    </row>
    <row r="149" customFormat="false" ht="13.5" hidden="false" customHeight="false" outlineLevel="0" collapsed="false">
      <c r="C149" s="30"/>
      <c r="D149" s="64" t="s">
        <v>36</v>
      </c>
      <c r="E149" s="65" t="s">
        <v>147</v>
      </c>
      <c r="F149" s="66" t="s">
        <v>38</v>
      </c>
      <c r="G149" s="65" t="s">
        <v>138</v>
      </c>
      <c r="H149" s="68" t="s">
        <v>40</v>
      </c>
    </row>
    <row r="150" customFormat="false" ht="15.75" hidden="false" customHeight="false" outlineLevel="0" collapsed="false">
      <c r="C150" s="30"/>
      <c r="D150" s="69" t="s">
        <v>41</v>
      </c>
      <c r="E150" s="65" t="s">
        <v>148</v>
      </c>
      <c r="F150" s="71" t="s">
        <v>43</v>
      </c>
      <c r="G150" s="65" t="s">
        <v>140</v>
      </c>
      <c r="H150" s="73" t="s">
        <v>127</v>
      </c>
    </row>
    <row r="151" customFormat="false" ht="13.5" hidden="false" customHeight="false" outlineLevel="0" collapsed="false">
      <c r="C151" s="30"/>
      <c r="D151" s="74" t="s">
        <v>46</v>
      </c>
      <c r="E151" s="75" t="s">
        <v>141</v>
      </c>
      <c r="F151" s="76" t="s">
        <v>48</v>
      </c>
      <c r="G151" s="75" t="s">
        <v>141</v>
      </c>
      <c r="H151" s="68" t="s">
        <v>50</v>
      </c>
    </row>
    <row r="152" customFormat="false" ht="13.5" hidden="false" customHeight="false" outlineLevel="0" collapsed="false">
      <c r="C152" s="30"/>
      <c r="D152" s="78" t="s">
        <v>51</v>
      </c>
      <c r="E152" s="79" t="n">
        <v>55</v>
      </c>
      <c r="F152" s="80" t="e">
        <f aca="false">GetCorrelName1($E152)</f>
        <v>#VALUE!</v>
      </c>
      <c r="G152" s="81" t="e">
        <f aca="false">GetCorrelName2($E152)</f>
        <v>#VALUE!</v>
      </c>
      <c r="H152" s="82" t="s">
        <v>116</v>
      </c>
    </row>
    <row r="153" customFormat="false" ht="12.75" hidden="false" customHeight="true" outlineLevel="0" collapsed="false">
      <c r="C153" s="30"/>
      <c r="D153" s="83" t="s">
        <v>53</v>
      </c>
      <c r="E153" s="84" t="s">
        <v>142</v>
      </c>
      <c r="F153" s="84"/>
      <c r="G153" s="84"/>
      <c r="H153" s="84"/>
    </row>
    <row r="154" customFormat="false" ht="13.5" hidden="false" customHeight="false" outlineLevel="0" collapsed="false">
      <c r="C154" s="30"/>
      <c r="D154" s="83"/>
      <c r="E154" s="84"/>
      <c r="F154" s="84"/>
      <c r="G154" s="84"/>
      <c r="H154" s="84"/>
    </row>
    <row r="155" customFormat="false" ht="17.25" hidden="false" customHeight="false" outlineLevel="0" collapsed="false">
      <c r="C155" s="30" t="n">
        <v>53</v>
      </c>
      <c r="D155" s="31" t="s">
        <v>13</v>
      </c>
      <c r="E155" s="31"/>
      <c r="F155" s="31"/>
      <c r="G155" s="31"/>
      <c r="H155" s="31"/>
    </row>
    <row r="156" customFormat="false" ht="15.75" hidden="false" customHeight="false" outlineLevel="0" collapsed="false">
      <c r="C156" s="30"/>
      <c r="D156" s="32" t="s">
        <v>134</v>
      </c>
      <c r="E156" s="33" t="s">
        <v>15</v>
      </c>
      <c r="F156" s="33" t="s">
        <v>16</v>
      </c>
      <c r="G156" s="33" t="s">
        <v>17</v>
      </c>
      <c r="H156" s="34" t="s">
        <v>18</v>
      </c>
    </row>
    <row r="157" customFormat="false" ht="13.5" hidden="false" customHeight="false" outlineLevel="0" collapsed="false">
      <c r="C157" s="30"/>
      <c r="D157" s="35" t="s">
        <v>19</v>
      </c>
      <c r="E157" s="36" t="s">
        <v>135</v>
      </c>
      <c r="F157" s="36" t="s">
        <v>136</v>
      </c>
      <c r="G157" s="37" t="n">
        <v>36495</v>
      </c>
      <c r="H157" s="38" t="n">
        <v>39113</v>
      </c>
    </row>
    <row r="158" customFormat="false" ht="15.75" hidden="false" customHeight="false" outlineLevel="0" collapsed="false">
      <c r="C158" s="30"/>
      <c r="D158" s="39"/>
      <c r="E158" s="40" t="s">
        <v>22</v>
      </c>
      <c r="F158" s="41" t="s">
        <v>23</v>
      </c>
      <c r="G158" s="41" t="s">
        <v>24</v>
      </c>
      <c r="H158" s="42" t="s">
        <v>25</v>
      </c>
    </row>
    <row r="159" customFormat="false" ht="12.75" hidden="false" customHeight="false" outlineLevel="0" collapsed="false">
      <c r="C159" s="30"/>
      <c r="D159" s="43" t="s">
        <v>26</v>
      </c>
      <c r="E159" s="44" t="s">
        <v>149</v>
      </c>
      <c r="F159" s="44" t="s">
        <v>150</v>
      </c>
      <c r="G159" s="44" t="s">
        <v>28</v>
      </c>
      <c r="H159" s="45" t="s">
        <v>28</v>
      </c>
    </row>
    <row r="160" customFormat="false" ht="12.75" hidden="false" customHeight="false" outlineLevel="0" collapsed="false">
      <c r="C160" s="30"/>
      <c r="D160" s="46" t="s">
        <v>29</v>
      </c>
      <c r="E160" s="47" t="n">
        <v>396</v>
      </c>
      <c r="F160" s="47" t="n">
        <v>252</v>
      </c>
      <c r="G160" s="47" t="n">
        <v>0</v>
      </c>
      <c r="H160" s="48" t="n">
        <v>0</v>
      </c>
    </row>
    <row r="161" customFormat="false" ht="12.75" hidden="false" customHeight="false" outlineLevel="0" collapsed="false">
      <c r="C161" s="30"/>
      <c r="D161" s="46" t="s">
        <v>30</v>
      </c>
      <c r="E161" s="49" t="n">
        <f aca="false">0.0312+0.0022</f>
        <v>0.0334</v>
      </c>
      <c r="F161" s="49" t="n">
        <v>0</v>
      </c>
      <c r="G161" s="49" t="n">
        <v>0</v>
      </c>
      <c r="H161" s="50" t="n">
        <v>0</v>
      </c>
    </row>
    <row r="162" customFormat="false" ht="12.75" hidden="false" customHeight="false" outlineLevel="0" collapsed="false">
      <c r="C162" s="30"/>
      <c r="D162" s="46" t="s">
        <v>31</v>
      </c>
      <c r="E162" s="51" t="n">
        <v>0.0275</v>
      </c>
      <c r="F162" s="51" t="n">
        <v>0</v>
      </c>
      <c r="G162" s="51" t="n">
        <v>0</v>
      </c>
      <c r="H162" s="52" t="n">
        <v>0</v>
      </c>
    </row>
    <row r="163" customFormat="false" ht="12.75" hidden="false" customHeight="false" outlineLevel="0" collapsed="false">
      <c r="C163" s="30"/>
      <c r="D163" s="46" t="s">
        <v>32</v>
      </c>
      <c r="E163" s="49" t="n">
        <v>0.3753</v>
      </c>
      <c r="F163" s="49" t="n">
        <v>0</v>
      </c>
      <c r="G163" s="49" t="n">
        <v>0</v>
      </c>
      <c r="H163" s="50" t="n">
        <v>0</v>
      </c>
    </row>
    <row r="164" customFormat="false" ht="12.75" hidden="false" customHeight="false" outlineLevel="0" collapsed="false">
      <c r="C164" s="30"/>
      <c r="D164" s="53" t="s">
        <v>33</v>
      </c>
      <c r="E164" s="54" t="n">
        <v>0</v>
      </c>
      <c r="F164" s="55" t="n">
        <v>0</v>
      </c>
      <c r="G164" s="56" t="n">
        <v>0</v>
      </c>
      <c r="H164" s="57" t="n">
        <v>0</v>
      </c>
    </row>
    <row r="165" customFormat="false" ht="12.75" hidden="false" customHeight="false" outlineLevel="0" collapsed="false">
      <c r="C165" s="30"/>
      <c r="D165" s="58" t="s">
        <v>34</v>
      </c>
      <c r="E165" s="59" t="n">
        <v>0</v>
      </c>
      <c r="F165" s="60" t="n">
        <v>0</v>
      </c>
      <c r="G165" s="61" t="n">
        <v>0</v>
      </c>
      <c r="H165" s="62" t="n">
        <v>0</v>
      </c>
    </row>
    <row r="166" customFormat="false" ht="13.5" hidden="false" customHeight="false" outlineLevel="0" collapsed="false">
      <c r="C166" s="30"/>
      <c r="D166" s="53" t="s">
        <v>35</v>
      </c>
      <c r="E166" s="54" t="n">
        <v>0</v>
      </c>
      <c r="F166" s="55" t="n">
        <v>0</v>
      </c>
      <c r="G166" s="55" t="n">
        <v>0</v>
      </c>
      <c r="H166" s="63" t="n">
        <v>0</v>
      </c>
    </row>
    <row r="167" customFormat="false" ht="13.5" hidden="false" customHeight="false" outlineLevel="0" collapsed="false">
      <c r="C167" s="30"/>
      <c r="D167" s="64" t="s">
        <v>36</v>
      </c>
      <c r="E167" s="65" t="s">
        <v>137</v>
      </c>
      <c r="F167" s="66" t="s">
        <v>38</v>
      </c>
      <c r="G167" s="65" t="s">
        <v>138</v>
      </c>
      <c r="H167" s="68" t="s">
        <v>40</v>
      </c>
    </row>
    <row r="168" customFormat="false" ht="15.75" hidden="false" customHeight="false" outlineLevel="0" collapsed="false">
      <c r="C168" s="30"/>
      <c r="D168" s="69" t="s">
        <v>41</v>
      </c>
      <c r="E168" s="65" t="s">
        <v>139</v>
      </c>
      <c r="F168" s="71" t="s">
        <v>43</v>
      </c>
      <c r="G168" s="65" t="s">
        <v>140</v>
      </c>
      <c r="H168" s="73" t="s">
        <v>127</v>
      </c>
    </row>
    <row r="169" customFormat="false" ht="13.5" hidden="false" customHeight="false" outlineLevel="0" collapsed="false">
      <c r="C169" s="30"/>
      <c r="D169" s="74" t="s">
        <v>46</v>
      </c>
      <c r="E169" s="75" t="s">
        <v>141</v>
      </c>
      <c r="F169" s="76" t="s">
        <v>48</v>
      </c>
      <c r="G169" s="75" t="s">
        <v>141</v>
      </c>
      <c r="H169" s="68" t="s">
        <v>50</v>
      </c>
    </row>
    <row r="170" customFormat="false" ht="13.5" hidden="false" customHeight="false" outlineLevel="0" collapsed="false">
      <c r="C170" s="30"/>
      <c r="D170" s="78" t="s">
        <v>51</v>
      </c>
      <c r="E170" s="79" t="n">
        <v>55</v>
      </c>
      <c r="F170" s="80" t="e">
        <f aca="false">GetCorrelName1($E170)</f>
        <v>#VALUE!</v>
      </c>
      <c r="G170" s="81" t="e">
        <f aca="false">GetCorrelName2($E170)</f>
        <v>#VALUE!</v>
      </c>
      <c r="H170" s="82" t="s">
        <v>116</v>
      </c>
    </row>
    <row r="171" customFormat="false" ht="12.75" hidden="false" customHeight="true" outlineLevel="0" collapsed="false">
      <c r="C171" s="30"/>
      <c r="D171" s="83" t="s">
        <v>53</v>
      </c>
      <c r="E171" s="84" t="s">
        <v>142</v>
      </c>
      <c r="F171" s="84"/>
      <c r="G171" s="84"/>
      <c r="H171" s="84"/>
    </row>
    <row r="172" customFormat="false" ht="13.5" hidden="false" customHeight="false" outlineLevel="0" collapsed="false">
      <c r="C172" s="30"/>
      <c r="D172" s="83"/>
      <c r="E172" s="84"/>
      <c r="F172" s="84"/>
      <c r="G172" s="84"/>
      <c r="H172" s="84"/>
    </row>
    <row r="173" customFormat="false" ht="17.25" hidden="false" customHeight="false" outlineLevel="0" collapsed="false">
      <c r="C173" s="30" t="n">
        <v>54</v>
      </c>
      <c r="D173" s="31" t="s">
        <v>13</v>
      </c>
      <c r="E173" s="31"/>
      <c r="F173" s="31"/>
      <c r="G173" s="31"/>
      <c r="H173" s="31"/>
    </row>
    <row r="174" customFormat="false" ht="15.75" hidden="false" customHeight="false" outlineLevel="0" collapsed="false">
      <c r="C174" s="30"/>
      <c r="D174" s="32" t="s">
        <v>134</v>
      </c>
      <c r="E174" s="33" t="s">
        <v>15</v>
      </c>
      <c r="F174" s="33" t="s">
        <v>16</v>
      </c>
      <c r="G174" s="33" t="s">
        <v>17</v>
      </c>
      <c r="H174" s="34" t="s">
        <v>18</v>
      </c>
    </row>
    <row r="175" customFormat="false" ht="13.5" hidden="false" customHeight="false" outlineLevel="0" collapsed="false">
      <c r="C175" s="30"/>
      <c r="D175" s="35" t="s">
        <v>19</v>
      </c>
      <c r="E175" s="36" t="s">
        <v>143</v>
      </c>
      <c r="F175" s="36" t="s">
        <v>136</v>
      </c>
      <c r="G175" s="37" t="n">
        <v>36495</v>
      </c>
      <c r="H175" s="38" t="n">
        <v>39113</v>
      </c>
    </row>
    <row r="176" customFormat="false" ht="15.75" hidden="false" customHeight="false" outlineLevel="0" collapsed="false">
      <c r="C176" s="30"/>
      <c r="D176" s="39"/>
      <c r="E176" s="40" t="s">
        <v>22</v>
      </c>
      <c r="F176" s="41" t="s">
        <v>23</v>
      </c>
      <c r="G176" s="41" t="s">
        <v>24</v>
      </c>
      <c r="H176" s="42" t="s">
        <v>25</v>
      </c>
    </row>
    <row r="177" customFormat="false" ht="12.75" hidden="false" customHeight="false" outlineLevel="0" collapsed="false">
      <c r="C177" s="30"/>
      <c r="D177" s="43" t="s">
        <v>26</v>
      </c>
      <c r="E177" s="44" t="s">
        <v>149</v>
      </c>
      <c r="F177" s="44" t="s">
        <v>150</v>
      </c>
      <c r="G177" s="44" t="s">
        <v>28</v>
      </c>
      <c r="H177" s="45" t="s">
        <v>28</v>
      </c>
    </row>
    <row r="178" customFormat="false" ht="12.75" hidden="false" customHeight="false" outlineLevel="0" collapsed="false">
      <c r="C178" s="30"/>
      <c r="D178" s="46" t="s">
        <v>29</v>
      </c>
      <c r="E178" s="47" t="n">
        <v>474</v>
      </c>
      <c r="F178" s="47" t="n">
        <v>300</v>
      </c>
      <c r="G178" s="47" t="n">
        <v>0</v>
      </c>
      <c r="H178" s="48" t="n">
        <v>0</v>
      </c>
    </row>
    <row r="179" customFormat="false" ht="12.75" hidden="false" customHeight="false" outlineLevel="0" collapsed="false">
      <c r="C179" s="30"/>
      <c r="D179" s="46" t="s">
        <v>30</v>
      </c>
      <c r="E179" s="49" t="n">
        <f aca="false">0.0312+0.0022</f>
        <v>0.0334</v>
      </c>
      <c r="F179" s="49" t="n">
        <f aca="false">0.0312+0.0022</f>
        <v>0.0334</v>
      </c>
      <c r="G179" s="49" t="n">
        <v>0</v>
      </c>
      <c r="H179" s="50" t="n">
        <v>0</v>
      </c>
    </row>
    <row r="180" customFormat="false" ht="12.75" hidden="false" customHeight="false" outlineLevel="0" collapsed="false">
      <c r="C180" s="30"/>
      <c r="D180" s="46" t="s">
        <v>31</v>
      </c>
      <c r="E180" s="51" t="n">
        <v>0.0275</v>
      </c>
      <c r="F180" s="51" t="n">
        <v>0.0275</v>
      </c>
      <c r="G180" s="51" t="n">
        <v>0</v>
      </c>
      <c r="H180" s="52" t="n">
        <v>0</v>
      </c>
    </row>
    <row r="181" customFormat="false" ht="12.75" hidden="false" customHeight="false" outlineLevel="0" collapsed="false">
      <c r="C181" s="30"/>
      <c r="D181" s="46" t="s">
        <v>32</v>
      </c>
      <c r="E181" s="49" t="n">
        <v>0.3753</v>
      </c>
      <c r="F181" s="49" t="n">
        <v>0.3753</v>
      </c>
      <c r="G181" s="49" t="n">
        <v>0</v>
      </c>
      <c r="H181" s="50" t="n">
        <v>0</v>
      </c>
    </row>
    <row r="182" customFormat="false" ht="12.75" hidden="false" customHeight="false" outlineLevel="0" collapsed="false">
      <c r="C182" s="30"/>
      <c r="D182" s="53" t="s">
        <v>33</v>
      </c>
      <c r="E182" s="54" t="n">
        <v>0</v>
      </c>
      <c r="F182" s="55" t="n">
        <v>0</v>
      </c>
      <c r="G182" s="56" t="n">
        <v>0</v>
      </c>
      <c r="H182" s="57" t="n">
        <v>0</v>
      </c>
    </row>
    <row r="183" customFormat="false" ht="12.75" hidden="false" customHeight="false" outlineLevel="0" collapsed="false">
      <c r="C183" s="30"/>
      <c r="D183" s="58" t="s">
        <v>34</v>
      </c>
      <c r="E183" s="59" t="n">
        <v>0</v>
      </c>
      <c r="F183" s="60" t="n">
        <v>0</v>
      </c>
      <c r="G183" s="61" t="n">
        <v>0</v>
      </c>
      <c r="H183" s="62" t="n">
        <v>0</v>
      </c>
    </row>
    <row r="184" customFormat="false" ht="13.5" hidden="false" customHeight="false" outlineLevel="0" collapsed="false">
      <c r="C184" s="30"/>
      <c r="D184" s="53" t="s">
        <v>35</v>
      </c>
      <c r="E184" s="54" t="n">
        <v>0</v>
      </c>
      <c r="F184" s="55" t="n">
        <v>0</v>
      </c>
      <c r="G184" s="55" t="n">
        <v>0</v>
      </c>
      <c r="H184" s="63" t="n">
        <v>0</v>
      </c>
    </row>
    <row r="185" customFormat="false" ht="13.5" hidden="false" customHeight="false" outlineLevel="0" collapsed="false">
      <c r="C185" s="30"/>
      <c r="D185" s="64" t="s">
        <v>36</v>
      </c>
      <c r="E185" s="65" t="s">
        <v>144</v>
      </c>
      <c r="F185" s="66" t="s">
        <v>38</v>
      </c>
      <c r="G185" s="65" t="s">
        <v>138</v>
      </c>
      <c r="H185" s="68" t="s">
        <v>40</v>
      </c>
    </row>
    <row r="186" customFormat="false" ht="15.75" hidden="false" customHeight="false" outlineLevel="0" collapsed="false">
      <c r="C186" s="30"/>
      <c r="D186" s="69" t="s">
        <v>41</v>
      </c>
      <c r="E186" s="65" t="s">
        <v>145</v>
      </c>
      <c r="F186" s="71" t="s">
        <v>43</v>
      </c>
      <c r="G186" s="65" t="s">
        <v>140</v>
      </c>
      <c r="H186" s="73" t="s">
        <v>127</v>
      </c>
    </row>
    <row r="187" customFormat="false" ht="13.5" hidden="false" customHeight="false" outlineLevel="0" collapsed="false">
      <c r="C187" s="30"/>
      <c r="D187" s="74" t="s">
        <v>46</v>
      </c>
      <c r="E187" s="75" t="s">
        <v>141</v>
      </c>
      <c r="F187" s="76" t="s">
        <v>48</v>
      </c>
      <c r="G187" s="75" t="s">
        <v>141</v>
      </c>
      <c r="H187" s="68" t="s">
        <v>50</v>
      </c>
    </row>
    <row r="188" customFormat="false" ht="13.5" hidden="false" customHeight="false" outlineLevel="0" collapsed="false">
      <c r="C188" s="30"/>
      <c r="D188" s="78" t="s">
        <v>51</v>
      </c>
      <c r="E188" s="79" t="n">
        <v>55</v>
      </c>
      <c r="F188" s="80" t="e">
        <f aca="false">GetCorrelName1($E188)</f>
        <v>#VALUE!</v>
      </c>
      <c r="G188" s="81" t="e">
        <f aca="false">GetCorrelName2($E188)</f>
        <v>#VALUE!</v>
      </c>
      <c r="H188" s="82" t="s">
        <v>116</v>
      </c>
    </row>
    <row r="189" customFormat="false" ht="12.75" hidden="false" customHeight="true" outlineLevel="0" collapsed="false">
      <c r="C189" s="30"/>
      <c r="D189" s="83" t="s">
        <v>53</v>
      </c>
      <c r="E189" s="84" t="s">
        <v>142</v>
      </c>
      <c r="F189" s="84"/>
      <c r="G189" s="84"/>
      <c r="H189" s="84"/>
    </row>
    <row r="190" customFormat="false" ht="13.5" hidden="false" customHeight="false" outlineLevel="0" collapsed="false">
      <c r="C190" s="30"/>
      <c r="D190" s="83"/>
      <c r="E190" s="84"/>
      <c r="F190" s="84"/>
      <c r="G190" s="84"/>
      <c r="H190" s="84"/>
    </row>
    <row r="191" customFormat="false" ht="17.25" hidden="false" customHeight="false" outlineLevel="0" collapsed="false">
      <c r="C191" s="30" t="n">
        <v>55</v>
      </c>
      <c r="D191" s="31" t="s">
        <v>13</v>
      </c>
      <c r="E191" s="31"/>
      <c r="F191" s="31"/>
      <c r="G191" s="31"/>
      <c r="H191" s="31"/>
    </row>
    <row r="192" customFormat="false" ht="15.75" hidden="false" customHeight="false" outlineLevel="0" collapsed="false">
      <c r="C192" s="30"/>
      <c r="D192" s="32" t="s">
        <v>134</v>
      </c>
      <c r="E192" s="33" t="s">
        <v>15</v>
      </c>
      <c r="F192" s="33" t="s">
        <v>16</v>
      </c>
      <c r="G192" s="33" t="s">
        <v>17</v>
      </c>
      <c r="H192" s="34" t="s">
        <v>18</v>
      </c>
    </row>
    <row r="193" customFormat="false" ht="13.5" hidden="false" customHeight="false" outlineLevel="0" collapsed="false">
      <c r="C193" s="30"/>
      <c r="D193" s="35" t="s">
        <v>19</v>
      </c>
      <c r="E193" s="36" t="s">
        <v>146</v>
      </c>
      <c r="F193" s="36" t="s">
        <v>136</v>
      </c>
      <c r="G193" s="37" t="n">
        <v>36495</v>
      </c>
      <c r="H193" s="38" t="n">
        <v>39113</v>
      </c>
    </row>
    <row r="194" customFormat="false" ht="15.75" hidden="false" customHeight="false" outlineLevel="0" collapsed="false">
      <c r="C194" s="30"/>
      <c r="D194" s="39"/>
      <c r="E194" s="40" t="s">
        <v>22</v>
      </c>
      <c r="F194" s="41" t="s">
        <v>23</v>
      </c>
      <c r="G194" s="41" t="s">
        <v>24</v>
      </c>
      <c r="H194" s="42" t="s">
        <v>25</v>
      </c>
    </row>
    <row r="195" customFormat="false" ht="12.75" hidden="false" customHeight="false" outlineLevel="0" collapsed="false">
      <c r="C195" s="30"/>
      <c r="D195" s="43" t="s">
        <v>26</v>
      </c>
      <c r="E195" s="44" t="s">
        <v>149</v>
      </c>
      <c r="F195" s="44" t="s">
        <v>150</v>
      </c>
      <c r="G195" s="44" t="s">
        <v>28</v>
      </c>
      <c r="H195" s="45" t="s">
        <v>28</v>
      </c>
    </row>
    <row r="196" customFormat="false" ht="12.75" hidden="false" customHeight="false" outlineLevel="0" collapsed="false">
      <c r="C196" s="30"/>
      <c r="D196" s="46" t="s">
        <v>29</v>
      </c>
      <c r="E196" s="47" t="n">
        <v>230</v>
      </c>
      <c r="F196" s="47" t="n">
        <v>148</v>
      </c>
      <c r="G196" s="47" t="n">
        <v>0</v>
      </c>
      <c r="H196" s="48" t="n">
        <v>0</v>
      </c>
    </row>
    <row r="197" customFormat="false" ht="12.75" hidden="false" customHeight="false" outlineLevel="0" collapsed="false">
      <c r="C197" s="30"/>
      <c r="D197" s="46" t="s">
        <v>30</v>
      </c>
      <c r="E197" s="49" t="n">
        <f aca="false">0.0312+0.0022</f>
        <v>0.0334</v>
      </c>
      <c r="F197" s="49" t="n">
        <f aca="false">0.0312+0.0022</f>
        <v>0.0334</v>
      </c>
      <c r="G197" s="49" t="n">
        <v>0</v>
      </c>
      <c r="H197" s="50" t="n">
        <v>0</v>
      </c>
    </row>
    <row r="198" customFormat="false" ht="12.75" hidden="false" customHeight="false" outlineLevel="0" collapsed="false">
      <c r="C198" s="30"/>
      <c r="D198" s="46" t="s">
        <v>31</v>
      </c>
      <c r="E198" s="51" t="n">
        <v>0.0275</v>
      </c>
      <c r="F198" s="51" t="n">
        <v>0.0275</v>
      </c>
      <c r="G198" s="51" t="n">
        <v>0</v>
      </c>
      <c r="H198" s="52" t="n">
        <v>0</v>
      </c>
    </row>
    <row r="199" customFormat="false" ht="12.75" hidden="false" customHeight="false" outlineLevel="0" collapsed="false">
      <c r="C199" s="30"/>
      <c r="D199" s="46" t="s">
        <v>32</v>
      </c>
      <c r="E199" s="49" t="n">
        <v>0.3753</v>
      </c>
      <c r="F199" s="49" t="n">
        <v>0.3753</v>
      </c>
      <c r="G199" s="49" t="n">
        <v>0</v>
      </c>
      <c r="H199" s="50" t="n">
        <v>0</v>
      </c>
    </row>
    <row r="200" customFormat="false" ht="12.75" hidden="false" customHeight="false" outlineLevel="0" collapsed="false">
      <c r="C200" s="30"/>
      <c r="D200" s="53" t="s">
        <v>33</v>
      </c>
      <c r="E200" s="54" t="n">
        <v>0</v>
      </c>
      <c r="F200" s="55" t="n">
        <v>0</v>
      </c>
      <c r="G200" s="56" t="n">
        <v>0</v>
      </c>
      <c r="H200" s="57" t="n">
        <v>0</v>
      </c>
    </row>
    <row r="201" customFormat="false" ht="12.75" hidden="false" customHeight="false" outlineLevel="0" collapsed="false">
      <c r="C201" s="30"/>
      <c r="D201" s="58" t="s">
        <v>34</v>
      </c>
      <c r="E201" s="59" t="n">
        <v>0</v>
      </c>
      <c r="F201" s="60" t="n">
        <v>0</v>
      </c>
      <c r="G201" s="61" t="n">
        <v>0</v>
      </c>
      <c r="H201" s="62" t="n">
        <v>0</v>
      </c>
    </row>
    <row r="202" customFormat="false" ht="13.5" hidden="false" customHeight="false" outlineLevel="0" collapsed="false">
      <c r="C202" s="30"/>
      <c r="D202" s="53" t="s">
        <v>35</v>
      </c>
      <c r="E202" s="54" t="n">
        <v>0</v>
      </c>
      <c r="F202" s="55" t="n">
        <v>0</v>
      </c>
      <c r="G202" s="55" t="n">
        <v>0</v>
      </c>
      <c r="H202" s="63" t="n">
        <v>0</v>
      </c>
    </row>
    <row r="203" customFormat="false" ht="13.5" hidden="false" customHeight="false" outlineLevel="0" collapsed="false">
      <c r="C203" s="30"/>
      <c r="D203" s="64" t="s">
        <v>36</v>
      </c>
      <c r="E203" s="65" t="s">
        <v>147</v>
      </c>
      <c r="F203" s="66" t="s">
        <v>38</v>
      </c>
      <c r="G203" s="65" t="s">
        <v>138</v>
      </c>
      <c r="H203" s="68" t="s">
        <v>40</v>
      </c>
    </row>
    <row r="204" customFormat="false" ht="15.75" hidden="false" customHeight="false" outlineLevel="0" collapsed="false">
      <c r="C204" s="30"/>
      <c r="D204" s="69" t="s">
        <v>41</v>
      </c>
      <c r="E204" s="65" t="s">
        <v>148</v>
      </c>
      <c r="F204" s="71" t="s">
        <v>43</v>
      </c>
      <c r="G204" s="65" t="s">
        <v>140</v>
      </c>
      <c r="H204" s="73" t="s">
        <v>127</v>
      </c>
    </row>
    <row r="205" customFormat="false" ht="13.5" hidden="false" customHeight="false" outlineLevel="0" collapsed="false">
      <c r="C205" s="30"/>
      <c r="D205" s="74" t="s">
        <v>46</v>
      </c>
      <c r="E205" s="75" t="s">
        <v>141</v>
      </c>
      <c r="F205" s="76" t="s">
        <v>48</v>
      </c>
      <c r="G205" s="75" t="s">
        <v>141</v>
      </c>
      <c r="H205" s="68" t="s">
        <v>50</v>
      </c>
    </row>
    <row r="206" customFormat="false" ht="13.5" hidden="false" customHeight="false" outlineLevel="0" collapsed="false">
      <c r="C206" s="30"/>
      <c r="D206" s="78" t="s">
        <v>51</v>
      </c>
      <c r="E206" s="79" t="n">
        <v>55</v>
      </c>
      <c r="F206" s="80" t="e">
        <f aca="false">GetCorrelName1($E206)</f>
        <v>#VALUE!</v>
      </c>
      <c r="G206" s="81" t="e">
        <f aca="false">GetCorrelName2($E206)</f>
        <v>#VALUE!</v>
      </c>
      <c r="H206" s="82" t="s">
        <v>116</v>
      </c>
    </row>
    <row r="207" customFormat="false" ht="12.75" hidden="false" customHeight="true" outlineLevel="0" collapsed="false">
      <c r="C207" s="30"/>
      <c r="D207" s="83" t="s">
        <v>53</v>
      </c>
      <c r="E207" s="84" t="s">
        <v>142</v>
      </c>
      <c r="F207" s="84"/>
      <c r="G207" s="84"/>
      <c r="H207" s="84"/>
    </row>
    <row r="208" customFormat="false" ht="13.5" hidden="false" customHeight="false" outlineLevel="0" collapsed="false">
      <c r="C208" s="30"/>
      <c r="D208" s="83"/>
      <c r="E208" s="84"/>
      <c r="F208" s="84"/>
      <c r="G208" s="84"/>
      <c r="H208" s="84"/>
    </row>
    <row r="209" customFormat="false" ht="17.25" hidden="false" customHeight="false" outlineLevel="0" collapsed="false">
      <c r="C209" s="30" t="n">
        <v>73</v>
      </c>
      <c r="D209" s="31" t="s">
        <v>13</v>
      </c>
      <c r="E209" s="31"/>
      <c r="F209" s="31"/>
      <c r="G209" s="31"/>
      <c r="H209" s="31"/>
    </row>
    <row r="210" customFormat="false" ht="15.75" hidden="false" customHeight="false" outlineLevel="0" collapsed="false">
      <c r="C210" s="30"/>
      <c r="D210" s="32"/>
      <c r="E210" s="33" t="s">
        <v>15</v>
      </c>
      <c r="F210" s="33" t="s">
        <v>16</v>
      </c>
      <c r="G210" s="33" t="s">
        <v>17</v>
      </c>
      <c r="H210" s="34" t="s">
        <v>18</v>
      </c>
    </row>
    <row r="211" customFormat="false" ht="13.5" hidden="false" customHeight="false" outlineLevel="0" collapsed="false">
      <c r="C211" s="30"/>
      <c r="D211" s="35" t="s">
        <v>19</v>
      </c>
      <c r="E211" s="36" t="s">
        <v>134</v>
      </c>
      <c r="F211" s="36" t="s">
        <v>136</v>
      </c>
      <c r="G211" s="37" t="n">
        <v>37165</v>
      </c>
      <c r="H211" s="38" t="n">
        <v>44043</v>
      </c>
    </row>
    <row r="212" customFormat="false" ht="15.75" hidden="false" customHeight="false" outlineLevel="0" collapsed="false">
      <c r="C212" s="30"/>
      <c r="D212" s="39"/>
      <c r="E212" s="40" t="s">
        <v>22</v>
      </c>
      <c r="F212" s="41" t="s">
        <v>23</v>
      </c>
      <c r="G212" s="41" t="s">
        <v>24</v>
      </c>
      <c r="H212" s="42" t="s">
        <v>25</v>
      </c>
    </row>
    <row r="213" customFormat="false" ht="12.75" hidden="false" customHeight="false" outlineLevel="0" collapsed="false">
      <c r="C213" s="30"/>
      <c r="D213" s="43" t="s">
        <v>26</v>
      </c>
      <c r="E213" s="44" t="s">
        <v>151</v>
      </c>
      <c r="F213" s="44" t="s">
        <v>152</v>
      </c>
      <c r="G213" s="44" t="s">
        <v>153</v>
      </c>
      <c r="H213" s="45" t="s">
        <v>150</v>
      </c>
    </row>
    <row r="214" customFormat="false" ht="12.75" hidden="false" customHeight="false" outlineLevel="0" collapsed="false">
      <c r="C214" s="30"/>
      <c r="D214" s="46" t="s">
        <v>29</v>
      </c>
      <c r="E214" s="47" t="n">
        <v>6669</v>
      </c>
      <c r="F214" s="47" t="n">
        <v>11107</v>
      </c>
      <c r="G214" s="47" t="n">
        <v>5899</v>
      </c>
      <c r="H214" s="48" t="n">
        <v>5895</v>
      </c>
    </row>
    <row r="215" customFormat="false" ht="12.75" hidden="false" customHeight="false" outlineLevel="0" collapsed="false">
      <c r="C215" s="30"/>
      <c r="D215" s="46" t="s">
        <v>30</v>
      </c>
      <c r="E215" s="49" t="n">
        <v>0.0364</v>
      </c>
      <c r="F215" s="49" t="n">
        <v>0.0364</v>
      </c>
      <c r="G215" s="49" t="n">
        <v>0.0364</v>
      </c>
      <c r="H215" s="49" t="n">
        <v>0.0364</v>
      </c>
    </row>
    <row r="216" customFormat="false" ht="12.75" hidden="false" customHeight="false" outlineLevel="0" collapsed="false">
      <c r="C216" s="30"/>
      <c r="D216" s="46" t="s">
        <v>31</v>
      </c>
      <c r="E216" s="51" t="n">
        <v>0.025</v>
      </c>
      <c r="F216" s="51" t="n">
        <v>0.0225</v>
      </c>
      <c r="G216" s="51" t="n">
        <v>0.0225</v>
      </c>
      <c r="H216" s="51" t="n">
        <v>0.0225</v>
      </c>
    </row>
    <row r="217" customFormat="false" ht="12.75" hidden="false" customHeight="false" outlineLevel="0" collapsed="false">
      <c r="C217" s="30"/>
      <c r="D217" s="46" t="s">
        <v>32</v>
      </c>
      <c r="E217" s="49" t="n">
        <v>0.3687</v>
      </c>
      <c r="F217" s="49" t="n">
        <v>0.3687</v>
      </c>
      <c r="G217" s="49" t="n">
        <v>0.3687</v>
      </c>
      <c r="H217" s="49" t="n">
        <v>0.3687</v>
      </c>
    </row>
    <row r="218" customFormat="false" ht="12.75" hidden="false" customHeight="false" outlineLevel="0" collapsed="false">
      <c r="C218" s="30"/>
      <c r="D218" s="53" t="s">
        <v>33</v>
      </c>
      <c r="E218" s="54" t="n">
        <v>0</v>
      </c>
      <c r="F218" s="55" t="n">
        <v>0</v>
      </c>
      <c r="G218" s="56" t="n">
        <v>0</v>
      </c>
      <c r="H218" s="57" t="n">
        <v>0</v>
      </c>
    </row>
    <row r="219" customFormat="false" ht="12.75" hidden="false" customHeight="false" outlineLevel="0" collapsed="false">
      <c r="C219" s="30"/>
      <c r="D219" s="58" t="s">
        <v>34</v>
      </c>
      <c r="E219" s="59" t="n">
        <v>0</v>
      </c>
      <c r="F219" s="60" t="n">
        <v>0</v>
      </c>
      <c r="G219" s="61" t="n">
        <v>0</v>
      </c>
      <c r="H219" s="62" t="n">
        <v>0</v>
      </c>
    </row>
    <row r="220" customFormat="false" ht="13.5" hidden="false" customHeight="false" outlineLevel="0" collapsed="false">
      <c r="C220" s="30"/>
      <c r="D220" s="53" t="s">
        <v>35</v>
      </c>
      <c r="E220" s="54" t="n">
        <v>0</v>
      </c>
      <c r="F220" s="55" t="n">
        <v>0</v>
      </c>
      <c r="G220" s="55" t="n">
        <v>0</v>
      </c>
      <c r="H220" s="63" t="n">
        <v>0</v>
      </c>
    </row>
    <row r="221" customFormat="false" ht="13.5" hidden="false" customHeight="false" outlineLevel="0" collapsed="false">
      <c r="C221" s="30"/>
      <c r="D221" s="64" t="s">
        <v>36</v>
      </c>
      <c r="E221" s="65" t="s">
        <v>144</v>
      </c>
      <c r="F221" s="66" t="s">
        <v>38</v>
      </c>
      <c r="G221" s="65" t="s">
        <v>138</v>
      </c>
      <c r="H221" s="68" t="s">
        <v>40</v>
      </c>
    </row>
    <row r="222" customFormat="false" ht="15.75" hidden="false" customHeight="false" outlineLevel="0" collapsed="false">
      <c r="C222" s="30"/>
      <c r="D222" s="69" t="s">
        <v>41</v>
      </c>
      <c r="E222" s="65" t="s">
        <v>145</v>
      </c>
      <c r="F222" s="71" t="s">
        <v>43</v>
      </c>
      <c r="G222" s="65" t="s">
        <v>140</v>
      </c>
      <c r="H222" s="73" t="s">
        <v>127</v>
      </c>
    </row>
    <row r="223" customFormat="false" ht="13.5" hidden="false" customHeight="false" outlineLevel="0" collapsed="false">
      <c r="C223" s="30"/>
      <c r="D223" s="74" t="s">
        <v>46</v>
      </c>
      <c r="E223" s="75" t="s">
        <v>141</v>
      </c>
      <c r="F223" s="76" t="s">
        <v>48</v>
      </c>
      <c r="G223" s="75" t="s">
        <v>141</v>
      </c>
      <c r="H223" s="68" t="s">
        <v>50</v>
      </c>
    </row>
    <row r="224" customFormat="false" ht="13.5" hidden="false" customHeight="false" outlineLevel="0" collapsed="false">
      <c r="C224" s="30"/>
      <c r="D224" s="78" t="s">
        <v>51</v>
      </c>
      <c r="E224" s="79" t="n">
        <v>55</v>
      </c>
      <c r="F224" s="80" t="e">
        <f aca="false">GetCorrelName1($E224)</f>
        <v>#VALUE!</v>
      </c>
      <c r="G224" s="81" t="e">
        <f aca="false">GetCorrelName2($E224)</f>
        <v>#VALUE!</v>
      </c>
      <c r="H224" s="82" t="s">
        <v>116</v>
      </c>
    </row>
    <row r="225" customFormat="false" ht="12.75" hidden="false" customHeight="true" outlineLevel="0" collapsed="false">
      <c r="C225" s="30"/>
      <c r="D225" s="83" t="s">
        <v>53</v>
      </c>
      <c r="E225" s="84" t="s">
        <v>154</v>
      </c>
      <c r="F225" s="84"/>
      <c r="G225" s="84"/>
      <c r="H225" s="84"/>
    </row>
    <row r="226" customFormat="false" ht="13.5" hidden="false" customHeight="false" outlineLevel="0" collapsed="false">
      <c r="C226" s="30"/>
      <c r="D226" s="83"/>
      <c r="E226" s="84"/>
      <c r="F226" s="84"/>
      <c r="G226" s="84"/>
      <c r="H226" s="84"/>
    </row>
    <row r="227" customFormat="false" ht="17.25" hidden="false" customHeight="false" outlineLevel="0" collapsed="false">
      <c r="C227" s="30" t="n">
        <v>88</v>
      </c>
      <c r="D227" s="31" t="s">
        <v>13</v>
      </c>
      <c r="E227" s="31"/>
      <c r="F227" s="31"/>
      <c r="G227" s="31"/>
      <c r="H227" s="31"/>
    </row>
    <row r="228" customFormat="false" ht="15.75" hidden="false" customHeight="false" outlineLevel="0" collapsed="false">
      <c r="C228" s="30"/>
      <c r="D228" s="32"/>
      <c r="E228" s="33" t="s">
        <v>15</v>
      </c>
      <c r="F228" s="33" t="s">
        <v>16</v>
      </c>
      <c r="G228" s="33" t="s">
        <v>17</v>
      </c>
      <c r="H228" s="34" t="s">
        <v>18</v>
      </c>
    </row>
    <row r="229" customFormat="false" ht="13.5" hidden="false" customHeight="false" outlineLevel="0" collapsed="false">
      <c r="C229" s="30"/>
      <c r="D229" s="35" t="s">
        <v>19</v>
      </c>
      <c r="E229" s="36" t="s">
        <v>155</v>
      </c>
      <c r="F229" s="36" t="s">
        <v>156</v>
      </c>
      <c r="G229" s="37" t="n">
        <v>37012</v>
      </c>
      <c r="H229" s="38" t="n">
        <v>37376</v>
      </c>
    </row>
    <row r="230" customFormat="false" ht="15.75" hidden="false" customHeight="false" outlineLevel="0" collapsed="false">
      <c r="C230" s="30"/>
      <c r="D230" s="39"/>
      <c r="E230" s="40" t="s">
        <v>22</v>
      </c>
      <c r="F230" s="41" t="s">
        <v>23</v>
      </c>
      <c r="G230" s="41" t="s">
        <v>24</v>
      </c>
      <c r="H230" s="42" t="s">
        <v>25</v>
      </c>
    </row>
    <row r="231" customFormat="false" ht="12.75" hidden="false" customHeight="false" outlineLevel="0" collapsed="false">
      <c r="C231" s="30"/>
      <c r="D231" s="43" t="s">
        <v>26</v>
      </c>
      <c r="E231" s="44" t="s">
        <v>157</v>
      </c>
      <c r="F231" s="44" t="s">
        <v>28</v>
      </c>
      <c r="G231" s="44" t="s">
        <v>28</v>
      </c>
      <c r="H231" s="45" t="s">
        <v>28</v>
      </c>
    </row>
    <row r="232" customFormat="false" ht="12.75" hidden="false" customHeight="false" outlineLevel="0" collapsed="false">
      <c r="C232" s="30"/>
      <c r="D232" s="46" t="s">
        <v>29</v>
      </c>
      <c r="E232" s="47" t="n">
        <v>1700</v>
      </c>
      <c r="F232" s="47" t="n">
        <v>0</v>
      </c>
      <c r="G232" s="47" t="n">
        <v>0</v>
      </c>
      <c r="H232" s="48" t="n">
        <v>0</v>
      </c>
    </row>
    <row r="233" customFormat="false" ht="12.75" hidden="false" customHeight="false" outlineLevel="0" collapsed="false">
      <c r="C233" s="30"/>
      <c r="D233" s="46" t="s">
        <v>30</v>
      </c>
      <c r="E233" s="49" t="n">
        <v>0.0489</v>
      </c>
      <c r="F233" s="49" t="n">
        <v>0</v>
      </c>
      <c r="G233" s="49" t="n">
        <v>0</v>
      </c>
      <c r="H233" s="87" t="n">
        <v>0</v>
      </c>
    </row>
    <row r="234" customFormat="false" ht="12.75" hidden="false" customHeight="false" outlineLevel="0" collapsed="false">
      <c r="C234" s="30"/>
      <c r="D234" s="46" t="s">
        <v>31</v>
      </c>
      <c r="E234" s="51" t="n">
        <v>0.0539</v>
      </c>
      <c r="F234" s="51" t="n">
        <v>0</v>
      </c>
      <c r="G234" s="51" t="n">
        <v>0</v>
      </c>
      <c r="H234" s="88" t="n">
        <v>0</v>
      </c>
    </row>
    <row r="235" customFormat="false" ht="12.75" hidden="false" customHeight="false" outlineLevel="0" collapsed="false">
      <c r="C235" s="30"/>
      <c r="D235" s="46" t="s">
        <v>32</v>
      </c>
      <c r="E235" s="49" t="n">
        <v>0</v>
      </c>
      <c r="F235" s="49" t="n">
        <v>0</v>
      </c>
      <c r="G235" s="49" t="n">
        <v>0</v>
      </c>
      <c r="H235" s="89" t="n">
        <v>0</v>
      </c>
    </row>
    <row r="236" customFormat="false" ht="12.75" hidden="false" customHeight="false" outlineLevel="0" collapsed="false">
      <c r="C236" s="30"/>
      <c r="D236" s="53" t="s">
        <v>33</v>
      </c>
      <c r="E236" s="54" t="n">
        <v>0</v>
      </c>
      <c r="F236" s="55" t="n">
        <v>0</v>
      </c>
      <c r="G236" s="56" t="n">
        <v>0</v>
      </c>
      <c r="H236" s="57" t="n">
        <v>0</v>
      </c>
    </row>
    <row r="237" customFormat="false" ht="12.75" hidden="false" customHeight="false" outlineLevel="0" collapsed="false">
      <c r="C237" s="30"/>
      <c r="D237" s="58" t="s">
        <v>34</v>
      </c>
      <c r="E237" s="59" t="n">
        <v>0</v>
      </c>
      <c r="F237" s="60" t="n">
        <v>0</v>
      </c>
      <c r="G237" s="61" t="n">
        <v>0</v>
      </c>
      <c r="H237" s="62" t="n">
        <v>0</v>
      </c>
    </row>
    <row r="238" customFormat="false" ht="13.5" hidden="false" customHeight="false" outlineLevel="0" collapsed="false">
      <c r="C238" s="30"/>
      <c r="D238" s="53" t="s">
        <v>35</v>
      </c>
      <c r="E238" s="54" t="n">
        <v>0</v>
      </c>
      <c r="F238" s="55" t="n">
        <v>0</v>
      </c>
      <c r="G238" s="55" t="n">
        <v>0</v>
      </c>
      <c r="H238" s="63" t="n">
        <v>0</v>
      </c>
    </row>
    <row r="239" customFormat="false" ht="13.5" hidden="false" customHeight="false" outlineLevel="0" collapsed="false">
      <c r="C239" s="30"/>
      <c r="D239" s="64" t="s">
        <v>36</v>
      </c>
      <c r="E239" s="65" t="s">
        <v>158</v>
      </c>
      <c r="F239" s="66" t="s">
        <v>38</v>
      </c>
      <c r="G239" s="65" t="s">
        <v>159</v>
      </c>
      <c r="H239" s="68" t="s">
        <v>40</v>
      </c>
    </row>
    <row r="240" customFormat="false" ht="15.75" hidden="false" customHeight="false" outlineLevel="0" collapsed="false">
      <c r="C240" s="30"/>
      <c r="D240" s="69" t="s">
        <v>41</v>
      </c>
      <c r="E240" s="65" t="s">
        <v>160</v>
      </c>
      <c r="F240" s="71" t="s">
        <v>43</v>
      </c>
      <c r="G240" s="65" t="s">
        <v>161</v>
      </c>
      <c r="H240" s="73" t="s">
        <v>127</v>
      </c>
    </row>
    <row r="241" customFormat="false" ht="13.5" hidden="false" customHeight="false" outlineLevel="0" collapsed="false">
      <c r="C241" s="30"/>
      <c r="D241" s="74" t="s">
        <v>46</v>
      </c>
      <c r="E241" s="75" t="s">
        <v>162</v>
      </c>
      <c r="F241" s="76" t="s">
        <v>48</v>
      </c>
      <c r="G241" s="75" t="s">
        <v>163</v>
      </c>
      <c r="H241" s="68" t="s">
        <v>50</v>
      </c>
    </row>
    <row r="242" customFormat="false" ht="13.5" hidden="false" customHeight="false" outlineLevel="0" collapsed="false">
      <c r="C242" s="30"/>
      <c r="D242" s="78" t="s">
        <v>51</v>
      </c>
      <c r="E242" s="79" t="n">
        <v>12</v>
      </c>
      <c r="F242" s="80" t="e">
        <f aca="false">GetCorrelName1($E242)</f>
        <v>#VALUE!</v>
      </c>
      <c r="G242" s="81" t="e">
        <f aca="false">GetCorrelName2($E242)</f>
        <v>#VALUE!</v>
      </c>
      <c r="H242" s="82" t="s">
        <v>116</v>
      </c>
    </row>
    <row r="243" customFormat="false" ht="12.75" hidden="false" customHeight="true" outlineLevel="0" collapsed="false">
      <c r="C243" s="30"/>
      <c r="D243" s="83" t="s">
        <v>53</v>
      </c>
      <c r="E243" s="84" t="s">
        <v>164</v>
      </c>
      <c r="F243" s="84"/>
      <c r="G243" s="84"/>
      <c r="H243" s="84"/>
    </row>
    <row r="244" customFormat="false" ht="13.5" hidden="false" customHeight="false" outlineLevel="0" collapsed="false">
      <c r="C244" s="30"/>
      <c r="D244" s="83"/>
      <c r="E244" s="84"/>
      <c r="F244" s="84"/>
      <c r="G244" s="84"/>
      <c r="H244" s="84"/>
    </row>
    <row r="245" customFormat="false" ht="17.25" hidden="false" customHeight="false" outlineLevel="0" collapsed="false">
      <c r="C245" s="30" t="n">
        <v>89</v>
      </c>
      <c r="D245" s="31" t="s">
        <v>13</v>
      </c>
      <c r="E245" s="31"/>
      <c r="F245" s="31"/>
      <c r="G245" s="31"/>
      <c r="H245" s="31"/>
    </row>
    <row r="246" customFormat="false" ht="15.75" hidden="false" customHeight="false" outlineLevel="0" collapsed="false">
      <c r="C246" s="30"/>
      <c r="D246" s="32"/>
      <c r="E246" s="33" t="s">
        <v>15</v>
      </c>
      <c r="F246" s="33" t="s">
        <v>16</v>
      </c>
      <c r="G246" s="33" t="s">
        <v>17</v>
      </c>
      <c r="H246" s="34" t="s">
        <v>18</v>
      </c>
    </row>
    <row r="247" customFormat="false" ht="13.5" hidden="false" customHeight="false" outlineLevel="0" collapsed="false">
      <c r="C247" s="30"/>
      <c r="D247" s="35" t="s">
        <v>19</v>
      </c>
      <c r="E247" s="36" t="s">
        <v>165</v>
      </c>
      <c r="F247" s="36" t="s">
        <v>156</v>
      </c>
      <c r="G247" s="37" t="n">
        <v>37012</v>
      </c>
      <c r="H247" s="38" t="n">
        <v>37376</v>
      </c>
    </row>
    <row r="248" customFormat="false" ht="15.75" hidden="false" customHeight="false" outlineLevel="0" collapsed="false">
      <c r="C248" s="30"/>
      <c r="D248" s="39"/>
      <c r="E248" s="40" t="s">
        <v>22</v>
      </c>
      <c r="F248" s="41" t="s">
        <v>23</v>
      </c>
      <c r="G248" s="41" t="s">
        <v>24</v>
      </c>
      <c r="H248" s="42" t="s">
        <v>25</v>
      </c>
    </row>
    <row r="249" customFormat="false" ht="12.75" hidden="false" customHeight="false" outlineLevel="0" collapsed="false">
      <c r="C249" s="30"/>
      <c r="D249" s="43" t="s">
        <v>26</v>
      </c>
      <c r="E249" s="44" t="s">
        <v>157</v>
      </c>
      <c r="F249" s="44" t="s">
        <v>28</v>
      </c>
      <c r="G249" s="44" t="s">
        <v>28</v>
      </c>
      <c r="H249" s="90" t="s">
        <v>28</v>
      </c>
    </row>
    <row r="250" customFormat="false" ht="12.75" hidden="false" customHeight="false" outlineLevel="0" collapsed="false">
      <c r="C250" s="30"/>
      <c r="D250" s="46" t="s">
        <v>29</v>
      </c>
      <c r="E250" s="47" t="n">
        <v>2500</v>
      </c>
      <c r="F250" s="47" t="n">
        <v>0</v>
      </c>
      <c r="G250" s="47" t="n">
        <v>0</v>
      </c>
      <c r="H250" s="91" t="n">
        <v>0</v>
      </c>
    </row>
    <row r="251" customFormat="false" ht="12.75" hidden="false" customHeight="false" outlineLevel="0" collapsed="false">
      <c r="C251" s="30"/>
      <c r="D251" s="46" t="s">
        <v>30</v>
      </c>
      <c r="E251" s="49" t="n">
        <v>0.0464</v>
      </c>
      <c r="F251" s="49" t="n">
        <v>0</v>
      </c>
      <c r="G251" s="49" t="n">
        <v>0</v>
      </c>
      <c r="H251" s="87" t="n">
        <v>0</v>
      </c>
    </row>
    <row r="252" customFormat="false" ht="12.75" hidden="false" customHeight="false" outlineLevel="0" collapsed="false">
      <c r="C252" s="30"/>
      <c r="D252" s="46" t="s">
        <v>31</v>
      </c>
      <c r="E252" s="51" t="n">
        <v>0.0504</v>
      </c>
      <c r="F252" s="51" t="n">
        <v>0</v>
      </c>
      <c r="G252" s="51" t="n">
        <v>0</v>
      </c>
      <c r="H252" s="88" t="n">
        <v>0</v>
      </c>
    </row>
    <row r="253" customFormat="false" ht="12.75" hidden="false" customHeight="false" outlineLevel="0" collapsed="false">
      <c r="C253" s="30"/>
      <c r="D253" s="46" t="s">
        <v>32</v>
      </c>
      <c r="E253" s="49" t="n">
        <v>0</v>
      </c>
      <c r="F253" s="49" t="n">
        <v>0</v>
      </c>
      <c r="G253" s="49" t="n">
        <v>0</v>
      </c>
      <c r="H253" s="87" t="n">
        <v>0</v>
      </c>
    </row>
    <row r="254" customFormat="false" ht="12.75" hidden="false" customHeight="false" outlineLevel="0" collapsed="false">
      <c r="C254" s="30"/>
      <c r="D254" s="53" t="s">
        <v>33</v>
      </c>
      <c r="E254" s="54" t="n">
        <v>0</v>
      </c>
      <c r="F254" s="55" t="n">
        <v>0</v>
      </c>
      <c r="G254" s="55" t="n">
        <v>0</v>
      </c>
      <c r="H254" s="92" t="n">
        <v>0</v>
      </c>
    </row>
    <row r="255" customFormat="false" ht="12.75" hidden="false" customHeight="false" outlineLevel="0" collapsed="false">
      <c r="C255" s="30"/>
      <c r="D255" s="58" t="s">
        <v>34</v>
      </c>
      <c r="E255" s="59" t="n">
        <v>0</v>
      </c>
      <c r="F255" s="60" t="n">
        <v>0</v>
      </c>
      <c r="G255" s="60" t="n">
        <v>0</v>
      </c>
      <c r="H255" s="93" t="n">
        <v>0</v>
      </c>
    </row>
    <row r="256" customFormat="false" ht="13.5" hidden="false" customHeight="false" outlineLevel="0" collapsed="false">
      <c r="C256" s="30"/>
      <c r="D256" s="53" t="s">
        <v>35</v>
      </c>
      <c r="E256" s="54" t="n">
        <v>0</v>
      </c>
      <c r="F256" s="55" t="n">
        <v>0</v>
      </c>
      <c r="G256" s="55" t="n">
        <v>0</v>
      </c>
      <c r="H256" s="94" t="n">
        <v>0</v>
      </c>
    </row>
    <row r="257" customFormat="false" ht="13.5" hidden="false" customHeight="false" outlineLevel="0" collapsed="false">
      <c r="C257" s="30"/>
      <c r="D257" s="64" t="s">
        <v>36</v>
      </c>
      <c r="E257" s="65" t="s">
        <v>166</v>
      </c>
      <c r="F257" s="66" t="s">
        <v>38</v>
      </c>
      <c r="G257" s="65" t="s">
        <v>159</v>
      </c>
      <c r="H257" s="68" t="s">
        <v>40</v>
      </c>
    </row>
    <row r="258" customFormat="false" ht="15.75" hidden="false" customHeight="false" outlineLevel="0" collapsed="false">
      <c r="C258" s="30"/>
      <c r="D258" s="69" t="s">
        <v>41</v>
      </c>
      <c r="E258" s="65" t="s">
        <v>167</v>
      </c>
      <c r="F258" s="71" t="s">
        <v>43</v>
      </c>
      <c r="G258" s="65" t="s">
        <v>161</v>
      </c>
      <c r="H258" s="73" t="s">
        <v>127</v>
      </c>
    </row>
    <row r="259" customFormat="false" ht="13.5" hidden="false" customHeight="false" outlineLevel="0" collapsed="false">
      <c r="C259" s="30"/>
      <c r="D259" s="74" t="s">
        <v>46</v>
      </c>
      <c r="E259" s="75" t="s">
        <v>128</v>
      </c>
      <c r="F259" s="76" t="s">
        <v>48</v>
      </c>
      <c r="G259" s="75" t="s">
        <v>163</v>
      </c>
      <c r="H259" s="68" t="s">
        <v>50</v>
      </c>
    </row>
    <row r="260" customFormat="false" ht="13.5" hidden="false" customHeight="false" outlineLevel="0" collapsed="false">
      <c r="C260" s="30"/>
      <c r="D260" s="78" t="s">
        <v>51</v>
      </c>
      <c r="E260" s="79" t="n">
        <v>19</v>
      </c>
      <c r="F260" s="80" t="e">
        <f aca="false">GetCorrelName1($E260)</f>
        <v>#VALUE!</v>
      </c>
      <c r="G260" s="81" t="e">
        <f aca="false">GetCorrelName2($E260)</f>
        <v>#VALUE!</v>
      </c>
      <c r="H260" s="82" t="s">
        <v>116</v>
      </c>
    </row>
    <row r="261" customFormat="false" ht="12.75" hidden="false" customHeight="true" outlineLevel="0" collapsed="false">
      <c r="C261" s="30"/>
      <c r="D261" s="83" t="s">
        <v>53</v>
      </c>
      <c r="E261" s="84" t="s">
        <v>164</v>
      </c>
      <c r="F261" s="84"/>
      <c r="G261" s="84"/>
      <c r="H261" s="84"/>
    </row>
    <row r="262" customFormat="false" ht="13.5" hidden="false" customHeight="false" outlineLevel="0" collapsed="false">
      <c r="C262" s="30"/>
      <c r="D262" s="83"/>
      <c r="E262" s="84"/>
      <c r="F262" s="84"/>
      <c r="G262" s="84"/>
      <c r="H262" s="84"/>
    </row>
    <row r="263" customFormat="false" ht="17.25" hidden="false" customHeight="false" outlineLevel="0" collapsed="false">
      <c r="C263" s="30" t="n">
        <v>90</v>
      </c>
      <c r="D263" s="31" t="s">
        <v>13</v>
      </c>
      <c r="E263" s="31"/>
      <c r="F263" s="31"/>
      <c r="G263" s="31"/>
      <c r="H263" s="31"/>
    </row>
    <row r="264" customFormat="false" ht="15.75" hidden="false" customHeight="false" outlineLevel="0" collapsed="false">
      <c r="C264" s="30"/>
      <c r="D264" s="32"/>
      <c r="E264" s="33" t="s">
        <v>15</v>
      </c>
      <c r="F264" s="33" t="s">
        <v>16</v>
      </c>
      <c r="G264" s="33" t="s">
        <v>17</v>
      </c>
      <c r="H264" s="34" t="s">
        <v>18</v>
      </c>
    </row>
    <row r="265" customFormat="false" ht="13.5" hidden="false" customHeight="false" outlineLevel="0" collapsed="false">
      <c r="C265" s="30"/>
      <c r="D265" s="35" t="s">
        <v>19</v>
      </c>
      <c r="E265" s="36" t="s">
        <v>168</v>
      </c>
      <c r="F265" s="36" t="s">
        <v>156</v>
      </c>
      <c r="G265" s="37" t="n">
        <v>37012</v>
      </c>
      <c r="H265" s="38" t="n">
        <v>37376</v>
      </c>
    </row>
    <row r="266" customFormat="false" ht="15.75" hidden="false" customHeight="false" outlineLevel="0" collapsed="false">
      <c r="C266" s="30"/>
      <c r="D266" s="39"/>
      <c r="E266" s="40" t="s">
        <v>22</v>
      </c>
      <c r="F266" s="41" t="s">
        <v>23</v>
      </c>
      <c r="G266" s="41" t="s">
        <v>24</v>
      </c>
      <c r="H266" s="42" t="s">
        <v>25</v>
      </c>
    </row>
    <row r="267" customFormat="false" ht="12.75" hidden="false" customHeight="false" outlineLevel="0" collapsed="false">
      <c r="C267" s="30"/>
      <c r="D267" s="43" t="s">
        <v>26</v>
      </c>
      <c r="E267" s="44" t="s">
        <v>157</v>
      </c>
      <c r="F267" s="44" t="s">
        <v>28</v>
      </c>
      <c r="G267" s="44" t="s">
        <v>28</v>
      </c>
      <c r="H267" s="90" t="s">
        <v>28</v>
      </c>
    </row>
    <row r="268" customFormat="false" ht="12.75" hidden="false" customHeight="false" outlineLevel="0" collapsed="false">
      <c r="C268" s="30"/>
      <c r="D268" s="46" t="s">
        <v>29</v>
      </c>
      <c r="E268" s="47" t="n">
        <v>5800</v>
      </c>
      <c r="F268" s="47" t="n">
        <v>0</v>
      </c>
      <c r="G268" s="47" t="n">
        <v>0</v>
      </c>
      <c r="H268" s="91" t="n">
        <v>0</v>
      </c>
    </row>
    <row r="269" customFormat="false" ht="12.75" hidden="false" customHeight="false" outlineLevel="0" collapsed="false">
      <c r="C269" s="30"/>
      <c r="D269" s="46" t="s">
        <v>30</v>
      </c>
      <c r="E269" s="49" t="n">
        <v>0.0433</v>
      </c>
      <c r="F269" s="49" t="n">
        <v>0</v>
      </c>
      <c r="G269" s="49" t="n">
        <v>0</v>
      </c>
      <c r="H269" s="87" t="n">
        <v>0</v>
      </c>
    </row>
    <row r="270" customFormat="false" ht="12.75" hidden="false" customHeight="false" outlineLevel="0" collapsed="false">
      <c r="C270" s="30"/>
      <c r="D270" s="46" t="s">
        <v>31</v>
      </c>
      <c r="E270" s="51" t="n">
        <v>0.0462</v>
      </c>
      <c r="F270" s="51" t="n">
        <v>0</v>
      </c>
      <c r="G270" s="51" t="n">
        <v>0</v>
      </c>
      <c r="H270" s="88" t="n">
        <v>0</v>
      </c>
    </row>
    <row r="271" customFormat="false" ht="12.75" hidden="false" customHeight="false" outlineLevel="0" collapsed="false">
      <c r="C271" s="30"/>
      <c r="D271" s="46" t="s">
        <v>32</v>
      </c>
      <c r="E271" s="49" t="n">
        <v>0</v>
      </c>
      <c r="F271" s="49" t="n">
        <v>0</v>
      </c>
      <c r="G271" s="49" t="n">
        <v>0</v>
      </c>
      <c r="H271" s="87" t="n">
        <v>0</v>
      </c>
    </row>
    <row r="272" customFormat="false" ht="12.75" hidden="false" customHeight="false" outlineLevel="0" collapsed="false">
      <c r="C272" s="30"/>
      <c r="D272" s="53" t="s">
        <v>33</v>
      </c>
      <c r="E272" s="54" t="n">
        <v>0</v>
      </c>
      <c r="F272" s="55" t="n">
        <v>0</v>
      </c>
      <c r="G272" s="55" t="n">
        <v>0</v>
      </c>
      <c r="H272" s="92" t="n">
        <v>0</v>
      </c>
    </row>
    <row r="273" customFormat="false" ht="12.75" hidden="false" customHeight="false" outlineLevel="0" collapsed="false">
      <c r="C273" s="30"/>
      <c r="D273" s="58" t="s">
        <v>34</v>
      </c>
      <c r="E273" s="59" t="n">
        <v>0</v>
      </c>
      <c r="F273" s="60" t="n">
        <v>0</v>
      </c>
      <c r="G273" s="60" t="n">
        <v>0</v>
      </c>
      <c r="H273" s="93" t="n">
        <v>0</v>
      </c>
    </row>
    <row r="274" customFormat="false" ht="13.5" hidden="false" customHeight="false" outlineLevel="0" collapsed="false">
      <c r="C274" s="30"/>
      <c r="D274" s="53" t="s">
        <v>35</v>
      </c>
      <c r="E274" s="54" t="n">
        <v>0</v>
      </c>
      <c r="F274" s="55" t="n">
        <v>0</v>
      </c>
      <c r="G274" s="55" t="n">
        <v>0</v>
      </c>
      <c r="H274" s="94" t="n">
        <v>0</v>
      </c>
    </row>
    <row r="275" customFormat="false" ht="13.5" hidden="false" customHeight="false" outlineLevel="0" collapsed="false">
      <c r="C275" s="30"/>
      <c r="D275" s="64" t="s">
        <v>36</v>
      </c>
      <c r="E275" s="65" t="s">
        <v>169</v>
      </c>
      <c r="F275" s="66" t="s">
        <v>38</v>
      </c>
      <c r="G275" s="65" t="s">
        <v>159</v>
      </c>
      <c r="H275" s="68" t="s">
        <v>40</v>
      </c>
    </row>
    <row r="276" customFormat="false" ht="15.75" hidden="false" customHeight="false" outlineLevel="0" collapsed="false">
      <c r="C276" s="30"/>
      <c r="D276" s="69" t="s">
        <v>41</v>
      </c>
      <c r="E276" s="65" t="s">
        <v>170</v>
      </c>
      <c r="F276" s="71" t="s">
        <v>43</v>
      </c>
      <c r="G276" s="65" t="s">
        <v>161</v>
      </c>
      <c r="H276" s="73" t="s">
        <v>127</v>
      </c>
    </row>
    <row r="277" customFormat="false" ht="13.5" hidden="false" customHeight="false" outlineLevel="0" collapsed="false">
      <c r="C277" s="30"/>
      <c r="D277" s="74" t="s">
        <v>46</v>
      </c>
      <c r="E277" s="75" t="s">
        <v>141</v>
      </c>
      <c r="F277" s="76" t="s">
        <v>48</v>
      </c>
      <c r="G277" s="75" t="s">
        <v>163</v>
      </c>
      <c r="H277" s="68" t="s">
        <v>50</v>
      </c>
    </row>
    <row r="278" customFormat="false" ht="13.5" hidden="false" customHeight="false" outlineLevel="0" collapsed="false">
      <c r="C278" s="30"/>
      <c r="D278" s="78" t="s">
        <v>51</v>
      </c>
      <c r="E278" s="79" t="n">
        <v>13</v>
      </c>
      <c r="F278" s="80" t="e">
        <f aca="false">GetCorrelName1($E278)</f>
        <v>#VALUE!</v>
      </c>
      <c r="G278" s="81" t="e">
        <f aca="false">GetCorrelName2($E278)</f>
        <v>#VALUE!</v>
      </c>
      <c r="H278" s="82" t="s">
        <v>116</v>
      </c>
    </row>
    <row r="279" customFormat="false" ht="12.75" hidden="false" customHeight="true" outlineLevel="0" collapsed="false">
      <c r="C279" s="30"/>
      <c r="D279" s="83" t="s">
        <v>53</v>
      </c>
      <c r="E279" s="84" t="s">
        <v>164</v>
      </c>
      <c r="F279" s="84"/>
      <c r="G279" s="84"/>
      <c r="H279" s="84"/>
    </row>
    <row r="280" customFormat="false" ht="13.5" hidden="false" customHeight="false" outlineLevel="0" collapsed="false">
      <c r="C280" s="30"/>
      <c r="D280" s="83"/>
      <c r="E280" s="84"/>
      <c r="F280" s="84"/>
      <c r="G280" s="84"/>
      <c r="H280" s="84"/>
    </row>
    <row r="281" customFormat="false" ht="17.25" hidden="false" customHeight="false" outlineLevel="0" collapsed="false">
      <c r="C281" s="30" t="n">
        <v>100</v>
      </c>
      <c r="D281" s="31" t="s">
        <v>13</v>
      </c>
      <c r="E281" s="31"/>
      <c r="F281" s="31"/>
      <c r="G281" s="31"/>
      <c r="H281" s="31"/>
    </row>
    <row r="282" customFormat="false" ht="15.75" hidden="false" customHeight="false" outlineLevel="0" collapsed="false">
      <c r="C282" s="30"/>
      <c r="D282" s="32"/>
      <c r="E282" s="33" t="s">
        <v>15</v>
      </c>
      <c r="F282" s="33" t="s">
        <v>16</v>
      </c>
      <c r="G282" s="33" t="s">
        <v>17</v>
      </c>
      <c r="H282" s="34" t="s">
        <v>18</v>
      </c>
    </row>
    <row r="283" customFormat="false" ht="13.5" hidden="false" customHeight="false" outlineLevel="0" collapsed="false">
      <c r="C283" s="30"/>
      <c r="D283" s="35" t="s">
        <v>19</v>
      </c>
      <c r="E283" s="36" t="s">
        <v>171</v>
      </c>
      <c r="F283" s="36" t="s">
        <v>172</v>
      </c>
      <c r="G283" s="37" t="n">
        <v>37196</v>
      </c>
      <c r="H283" s="38" t="n">
        <v>37346</v>
      </c>
    </row>
    <row r="284" customFormat="false" ht="15.75" hidden="false" customHeight="false" outlineLevel="0" collapsed="false">
      <c r="C284" s="30"/>
      <c r="D284" s="39"/>
      <c r="E284" s="40" t="s">
        <v>22</v>
      </c>
      <c r="F284" s="41" t="s">
        <v>23</v>
      </c>
      <c r="G284" s="41" t="s">
        <v>24</v>
      </c>
      <c r="H284" s="42" t="s">
        <v>25</v>
      </c>
    </row>
    <row r="285" customFormat="false" ht="12.75" hidden="false" customHeight="false" outlineLevel="0" collapsed="false">
      <c r="C285" s="30"/>
      <c r="D285" s="43" t="s">
        <v>26</v>
      </c>
      <c r="E285" s="44" t="s">
        <v>104</v>
      </c>
      <c r="F285" s="44" t="s">
        <v>173</v>
      </c>
      <c r="G285" s="44" t="s">
        <v>28</v>
      </c>
      <c r="H285" s="90" t="s">
        <v>28</v>
      </c>
    </row>
    <row r="286" customFormat="false" ht="12.75" hidden="false" customHeight="false" outlineLevel="0" collapsed="false">
      <c r="C286" s="30"/>
      <c r="D286" s="46" t="s">
        <v>29</v>
      </c>
      <c r="E286" s="47" t="n">
        <v>1074</v>
      </c>
      <c r="F286" s="47" t="n">
        <v>1074</v>
      </c>
      <c r="G286" s="47" t="n">
        <v>0</v>
      </c>
      <c r="H286" s="91" t="n">
        <v>0</v>
      </c>
    </row>
    <row r="287" customFormat="false" ht="12.75" hidden="false" customHeight="false" outlineLevel="0" collapsed="false">
      <c r="C287" s="30"/>
      <c r="D287" s="46" t="s">
        <v>30</v>
      </c>
      <c r="E287" s="49" t="n">
        <v>0.0757</v>
      </c>
      <c r="F287" s="49" t="n">
        <v>0.0757</v>
      </c>
      <c r="G287" s="49" t="n">
        <v>0</v>
      </c>
      <c r="H287" s="87" t="n">
        <v>0</v>
      </c>
    </row>
    <row r="288" customFormat="false" ht="12.75" hidden="false" customHeight="false" outlineLevel="0" collapsed="false">
      <c r="C288" s="30"/>
      <c r="D288" s="46" t="s">
        <v>31</v>
      </c>
      <c r="E288" s="51" t="n">
        <v>0.0707</v>
      </c>
      <c r="F288" s="51" t="n">
        <v>0.0707</v>
      </c>
      <c r="G288" s="51" t="n">
        <v>0</v>
      </c>
      <c r="H288" s="88" t="n">
        <v>0</v>
      </c>
    </row>
    <row r="289" customFormat="false" ht="12.75" hidden="false" customHeight="false" outlineLevel="0" collapsed="false">
      <c r="C289" s="30"/>
      <c r="D289" s="46" t="s">
        <v>32</v>
      </c>
      <c r="E289" s="49" t="n">
        <v>0</v>
      </c>
      <c r="F289" s="49" t="n">
        <v>0</v>
      </c>
      <c r="G289" s="49" t="n">
        <v>0</v>
      </c>
      <c r="H289" s="87" t="n">
        <v>0</v>
      </c>
    </row>
    <row r="290" customFormat="false" ht="12.75" hidden="false" customHeight="false" outlineLevel="0" collapsed="false">
      <c r="C290" s="30"/>
      <c r="D290" s="53" t="s">
        <v>33</v>
      </c>
      <c r="E290" s="54" t="n">
        <v>0</v>
      </c>
      <c r="F290" s="55" t="n">
        <v>0</v>
      </c>
      <c r="G290" s="55" t="n">
        <v>0</v>
      </c>
      <c r="H290" s="92" t="n">
        <v>0</v>
      </c>
    </row>
    <row r="291" customFormat="false" ht="12.75" hidden="false" customHeight="false" outlineLevel="0" collapsed="false">
      <c r="C291" s="30"/>
      <c r="D291" s="58" t="s">
        <v>34</v>
      </c>
      <c r="E291" s="59" t="n">
        <v>0</v>
      </c>
      <c r="F291" s="60" t="n">
        <v>0</v>
      </c>
      <c r="G291" s="60" t="n">
        <v>0</v>
      </c>
      <c r="H291" s="93" t="n">
        <v>0</v>
      </c>
    </row>
    <row r="292" customFormat="false" ht="13.5" hidden="false" customHeight="false" outlineLevel="0" collapsed="false">
      <c r="C292" s="30"/>
      <c r="D292" s="53" t="s">
        <v>35</v>
      </c>
      <c r="E292" s="54" t="n">
        <v>0</v>
      </c>
      <c r="F292" s="55" t="n">
        <v>0</v>
      </c>
      <c r="G292" s="55" t="n">
        <v>0</v>
      </c>
      <c r="H292" s="94" t="n">
        <v>0</v>
      </c>
    </row>
    <row r="293" customFormat="false" ht="13.5" hidden="false" customHeight="false" outlineLevel="0" collapsed="false">
      <c r="C293" s="30"/>
      <c r="D293" s="64" t="s">
        <v>36</v>
      </c>
      <c r="E293" s="65" t="s">
        <v>174</v>
      </c>
      <c r="F293" s="66" t="s">
        <v>38</v>
      </c>
      <c r="G293" s="65" t="s">
        <v>175</v>
      </c>
      <c r="H293" s="68" t="s">
        <v>40</v>
      </c>
    </row>
    <row r="294" customFormat="false" ht="15.75" hidden="false" customHeight="false" outlineLevel="0" collapsed="false">
      <c r="C294" s="30"/>
      <c r="D294" s="69" t="s">
        <v>41</v>
      </c>
      <c r="E294" s="65" t="s">
        <v>176</v>
      </c>
      <c r="F294" s="71" t="s">
        <v>43</v>
      </c>
      <c r="G294" s="65" t="s">
        <v>177</v>
      </c>
      <c r="H294" s="73" t="s">
        <v>127</v>
      </c>
    </row>
    <row r="295" customFormat="false" ht="13.5" hidden="false" customHeight="false" outlineLevel="0" collapsed="false">
      <c r="C295" s="30"/>
      <c r="D295" s="74" t="s">
        <v>46</v>
      </c>
      <c r="E295" s="75" t="s">
        <v>162</v>
      </c>
      <c r="F295" s="76" t="s">
        <v>48</v>
      </c>
      <c r="G295" s="75" t="s">
        <v>129</v>
      </c>
      <c r="H295" s="68" t="s">
        <v>50</v>
      </c>
    </row>
    <row r="296" customFormat="false" ht="13.5" hidden="false" customHeight="false" outlineLevel="0" collapsed="false">
      <c r="C296" s="30"/>
      <c r="D296" s="78" t="s">
        <v>51</v>
      </c>
      <c r="E296" s="79" t="n">
        <v>27</v>
      </c>
      <c r="F296" s="80" t="s">
        <v>178</v>
      </c>
      <c r="G296" s="81" t="s">
        <v>179</v>
      </c>
      <c r="H296" s="82" t="s">
        <v>52</v>
      </c>
    </row>
    <row r="297" customFormat="false" ht="12.75" hidden="false" customHeight="true" outlineLevel="0" collapsed="false">
      <c r="C297" s="30"/>
      <c r="D297" s="83" t="s">
        <v>53</v>
      </c>
      <c r="E297" s="84" t="s">
        <v>180</v>
      </c>
      <c r="F297" s="84"/>
      <c r="G297" s="84"/>
      <c r="H297" s="84"/>
    </row>
    <row r="298" customFormat="false" ht="13.5" hidden="false" customHeight="false" outlineLevel="0" collapsed="false">
      <c r="C298" s="30"/>
      <c r="D298" s="83"/>
      <c r="E298" s="84"/>
      <c r="F298" s="84"/>
      <c r="G298" s="84"/>
      <c r="H298" s="84"/>
    </row>
    <row r="299" customFormat="false" ht="17.25" hidden="false" customHeight="false" outlineLevel="0" collapsed="false">
      <c r="C299" s="30" t="n">
        <v>101</v>
      </c>
      <c r="D299" s="31" t="s">
        <v>13</v>
      </c>
      <c r="E299" s="31"/>
      <c r="F299" s="31"/>
      <c r="G299" s="31"/>
      <c r="H299" s="31"/>
    </row>
    <row r="300" customFormat="false" ht="15.75" hidden="false" customHeight="false" outlineLevel="0" collapsed="false">
      <c r="C300" s="30"/>
      <c r="D300" s="32"/>
      <c r="E300" s="33" t="s">
        <v>15</v>
      </c>
      <c r="F300" s="33" t="s">
        <v>16</v>
      </c>
      <c r="G300" s="33" t="s">
        <v>17</v>
      </c>
      <c r="H300" s="34" t="s">
        <v>18</v>
      </c>
    </row>
    <row r="301" customFormat="false" ht="13.5" hidden="false" customHeight="false" outlineLevel="0" collapsed="false">
      <c r="C301" s="30"/>
      <c r="D301" s="35" t="s">
        <v>19</v>
      </c>
      <c r="E301" s="36" t="s">
        <v>181</v>
      </c>
      <c r="F301" s="36" t="s">
        <v>172</v>
      </c>
      <c r="G301" s="37" t="n">
        <v>37196</v>
      </c>
      <c r="H301" s="38" t="n">
        <v>37346</v>
      </c>
    </row>
    <row r="302" customFormat="false" ht="15.75" hidden="false" customHeight="false" outlineLevel="0" collapsed="false">
      <c r="C302" s="30"/>
      <c r="D302" s="39"/>
      <c r="E302" s="40" t="s">
        <v>22</v>
      </c>
      <c r="F302" s="41" t="s">
        <v>23</v>
      </c>
      <c r="G302" s="41" t="s">
        <v>24</v>
      </c>
      <c r="H302" s="42" t="s">
        <v>25</v>
      </c>
    </row>
    <row r="303" customFormat="false" ht="12.75" hidden="false" customHeight="false" outlineLevel="0" collapsed="false">
      <c r="C303" s="30"/>
      <c r="D303" s="43" t="s">
        <v>26</v>
      </c>
      <c r="E303" s="44" t="s">
        <v>104</v>
      </c>
      <c r="F303" s="44" t="s">
        <v>173</v>
      </c>
      <c r="G303" s="44" t="s">
        <v>28</v>
      </c>
      <c r="H303" s="90" t="s">
        <v>28</v>
      </c>
    </row>
    <row r="304" customFormat="false" ht="12.75" hidden="false" customHeight="false" outlineLevel="0" collapsed="false">
      <c r="C304" s="30"/>
      <c r="D304" s="46" t="s">
        <v>29</v>
      </c>
      <c r="E304" s="47" t="n">
        <v>1597</v>
      </c>
      <c r="F304" s="47" t="n">
        <v>1597</v>
      </c>
      <c r="G304" s="47" t="n">
        <v>0</v>
      </c>
      <c r="H304" s="91" t="n">
        <v>0</v>
      </c>
    </row>
    <row r="305" customFormat="false" ht="12.75" hidden="false" customHeight="false" outlineLevel="0" collapsed="false">
      <c r="C305" s="30"/>
      <c r="D305" s="46" t="s">
        <v>30</v>
      </c>
      <c r="E305" s="49" t="n">
        <v>0.0757</v>
      </c>
      <c r="F305" s="49" t="n">
        <v>0.0757</v>
      </c>
      <c r="G305" s="49" t="n">
        <v>0</v>
      </c>
      <c r="H305" s="87" t="n">
        <v>0</v>
      </c>
    </row>
    <row r="306" customFormat="false" ht="12.75" hidden="false" customHeight="false" outlineLevel="0" collapsed="false">
      <c r="C306" s="30"/>
      <c r="D306" s="46" t="s">
        <v>31</v>
      </c>
      <c r="E306" s="51" t="n">
        <v>0.0707</v>
      </c>
      <c r="F306" s="51" t="n">
        <v>0.0707</v>
      </c>
      <c r="G306" s="51" t="n">
        <v>0</v>
      </c>
      <c r="H306" s="88" t="n">
        <v>0</v>
      </c>
    </row>
    <row r="307" customFormat="false" ht="12.75" hidden="false" customHeight="false" outlineLevel="0" collapsed="false">
      <c r="C307" s="30"/>
      <c r="D307" s="46" t="s">
        <v>32</v>
      </c>
      <c r="E307" s="49" t="n">
        <v>0</v>
      </c>
      <c r="F307" s="49" t="n">
        <v>0</v>
      </c>
      <c r="G307" s="49" t="n">
        <v>0</v>
      </c>
      <c r="H307" s="87" t="n">
        <v>0</v>
      </c>
    </row>
    <row r="308" customFormat="false" ht="12.75" hidden="false" customHeight="false" outlineLevel="0" collapsed="false">
      <c r="C308" s="30"/>
      <c r="D308" s="53" t="s">
        <v>33</v>
      </c>
      <c r="E308" s="54" t="n">
        <v>0</v>
      </c>
      <c r="F308" s="55" t="n">
        <v>0</v>
      </c>
      <c r="G308" s="55" t="n">
        <v>0</v>
      </c>
      <c r="H308" s="92" t="n">
        <v>0</v>
      </c>
    </row>
    <row r="309" customFormat="false" ht="12.75" hidden="false" customHeight="false" outlineLevel="0" collapsed="false">
      <c r="C309" s="30"/>
      <c r="D309" s="58" t="s">
        <v>34</v>
      </c>
      <c r="E309" s="59" t="n">
        <v>0</v>
      </c>
      <c r="F309" s="60" t="n">
        <v>0</v>
      </c>
      <c r="G309" s="60" t="n">
        <v>0</v>
      </c>
      <c r="H309" s="93" t="n">
        <v>0</v>
      </c>
    </row>
    <row r="310" customFormat="false" ht="13.5" hidden="false" customHeight="false" outlineLevel="0" collapsed="false">
      <c r="C310" s="30"/>
      <c r="D310" s="53" t="s">
        <v>35</v>
      </c>
      <c r="E310" s="54" t="n">
        <v>0</v>
      </c>
      <c r="F310" s="55" t="n">
        <v>0</v>
      </c>
      <c r="G310" s="55" t="n">
        <v>0</v>
      </c>
      <c r="H310" s="94" t="n">
        <v>0</v>
      </c>
    </row>
    <row r="311" customFormat="false" ht="13.5" hidden="false" customHeight="false" outlineLevel="0" collapsed="false">
      <c r="C311" s="30"/>
      <c r="D311" s="64" t="s">
        <v>36</v>
      </c>
      <c r="E311" s="65" t="s">
        <v>182</v>
      </c>
      <c r="F311" s="66" t="s">
        <v>38</v>
      </c>
      <c r="G311" s="65" t="s">
        <v>175</v>
      </c>
      <c r="H311" s="68" t="s">
        <v>40</v>
      </c>
    </row>
    <row r="312" customFormat="false" ht="15.75" hidden="false" customHeight="false" outlineLevel="0" collapsed="false">
      <c r="C312" s="30"/>
      <c r="D312" s="69" t="s">
        <v>41</v>
      </c>
      <c r="E312" s="65" t="s">
        <v>183</v>
      </c>
      <c r="F312" s="71" t="s">
        <v>43</v>
      </c>
      <c r="G312" s="65" t="s">
        <v>177</v>
      </c>
      <c r="H312" s="73" t="s">
        <v>127</v>
      </c>
    </row>
    <row r="313" customFormat="false" ht="13.5" hidden="false" customHeight="false" outlineLevel="0" collapsed="false">
      <c r="C313" s="30"/>
      <c r="D313" s="74" t="s">
        <v>46</v>
      </c>
      <c r="E313" s="75" t="s">
        <v>128</v>
      </c>
      <c r="F313" s="76" t="s">
        <v>48</v>
      </c>
      <c r="G313" s="75" t="s">
        <v>129</v>
      </c>
      <c r="H313" s="68" t="s">
        <v>50</v>
      </c>
    </row>
    <row r="314" customFormat="false" ht="13.5" hidden="false" customHeight="false" outlineLevel="0" collapsed="false">
      <c r="C314" s="30"/>
      <c r="D314" s="78" t="s">
        <v>51</v>
      </c>
      <c r="E314" s="79" t="n">
        <v>25</v>
      </c>
      <c r="F314" s="80" t="s">
        <v>184</v>
      </c>
      <c r="G314" s="81" t="s">
        <v>179</v>
      </c>
      <c r="H314" s="82" t="s">
        <v>52</v>
      </c>
    </row>
    <row r="315" customFormat="false" ht="12.75" hidden="false" customHeight="true" outlineLevel="0" collapsed="false">
      <c r="C315" s="30"/>
      <c r="D315" s="83" t="s">
        <v>53</v>
      </c>
      <c r="E315" s="84" t="s">
        <v>180</v>
      </c>
      <c r="F315" s="84"/>
      <c r="G315" s="84"/>
      <c r="H315" s="84"/>
    </row>
    <row r="316" customFormat="false" ht="13.5" hidden="false" customHeight="false" outlineLevel="0" collapsed="false">
      <c r="C316" s="30"/>
      <c r="D316" s="83"/>
      <c r="E316" s="84"/>
      <c r="F316" s="84"/>
      <c r="G316" s="84"/>
      <c r="H316" s="84"/>
    </row>
    <row r="317" customFormat="false" ht="17.25" hidden="false" customHeight="false" outlineLevel="0" collapsed="false">
      <c r="C317" s="30" t="n">
        <v>102</v>
      </c>
      <c r="D317" s="31" t="s">
        <v>13</v>
      </c>
      <c r="E317" s="31"/>
      <c r="F317" s="31"/>
      <c r="G317" s="31"/>
      <c r="H317" s="31"/>
    </row>
    <row r="318" customFormat="false" ht="15.75" hidden="false" customHeight="false" outlineLevel="0" collapsed="false">
      <c r="C318" s="30"/>
      <c r="D318" s="32"/>
      <c r="E318" s="33" t="s">
        <v>15</v>
      </c>
      <c r="F318" s="33" t="s">
        <v>16</v>
      </c>
      <c r="G318" s="33" t="s">
        <v>17</v>
      </c>
      <c r="H318" s="34" t="s">
        <v>18</v>
      </c>
    </row>
    <row r="319" customFormat="false" ht="13.5" hidden="false" customHeight="false" outlineLevel="0" collapsed="false">
      <c r="C319" s="30"/>
      <c r="D319" s="35" t="s">
        <v>19</v>
      </c>
      <c r="E319" s="36" t="s">
        <v>185</v>
      </c>
      <c r="F319" s="36" t="s">
        <v>172</v>
      </c>
      <c r="G319" s="37" t="n">
        <v>37196</v>
      </c>
      <c r="H319" s="38" t="n">
        <v>37346</v>
      </c>
    </row>
    <row r="320" customFormat="false" ht="15.75" hidden="false" customHeight="false" outlineLevel="0" collapsed="false">
      <c r="C320" s="30"/>
      <c r="D320" s="39"/>
      <c r="E320" s="40" t="s">
        <v>22</v>
      </c>
      <c r="F320" s="41" t="s">
        <v>23</v>
      </c>
      <c r="G320" s="41" t="s">
        <v>24</v>
      </c>
      <c r="H320" s="42" t="s">
        <v>25</v>
      </c>
    </row>
    <row r="321" customFormat="false" ht="12.75" hidden="false" customHeight="false" outlineLevel="0" collapsed="false">
      <c r="C321" s="30"/>
      <c r="D321" s="43" t="s">
        <v>26</v>
      </c>
      <c r="E321" s="44" t="s">
        <v>104</v>
      </c>
      <c r="F321" s="44" t="s">
        <v>173</v>
      </c>
      <c r="G321" s="44" t="s">
        <v>28</v>
      </c>
      <c r="H321" s="90" t="s">
        <v>28</v>
      </c>
    </row>
    <row r="322" customFormat="false" ht="12.75" hidden="false" customHeight="false" outlineLevel="0" collapsed="false">
      <c r="C322" s="30"/>
      <c r="D322" s="46" t="s">
        <v>29</v>
      </c>
      <c r="E322" s="47" t="n">
        <v>989</v>
      </c>
      <c r="F322" s="47" t="n">
        <v>989</v>
      </c>
      <c r="G322" s="47" t="n">
        <v>0</v>
      </c>
      <c r="H322" s="91" t="n">
        <v>0</v>
      </c>
    </row>
    <row r="323" customFormat="false" ht="12.75" hidden="false" customHeight="false" outlineLevel="0" collapsed="false">
      <c r="C323" s="30"/>
      <c r="D323" s="46" t="s">
        <v>30</v>
      </c>
      <c r="E323" s="49" t="n">
        <v>0.0788</v>
      </c>
      <c r="F323" s="49" t="n">
        <v>0.0788</v>
      </c>
      <c r="G323" s="49" t="n">
        <v>0</v>
      </c>
      <c r="H323" s="87" t="n">
        <v>0</v>
      </c>
    </row>
    <row r="324" customFormat="false" ht="12.75" hidden="false" customHeight="false" outlineLevel="0" collapsed="false">
      <c r="C324" s="30"/>
      <c r="D324" s="46" t="s">
        <v>31</v>
      </c>
      <c r="E324" s="51" t="n">
        <v>0.0734</v>
      </c>
      <c r="F324" s="51" t="n">
        <v>0.0734</v>
      </c>
      <c r="G324" s="51" t="n">
        <v>0</v>
      </c>
      <c r="H324" s="88" t="n">
        <v>0</v>
      </c>
    </row>
    <row r="325" customFormat="false" ht="12.75" hidden="false" customHeight="false" outlineLevel="0" collapsed="false">
      <c r="C325" s="30"/>
      <c r="D325" s="46" t="s">
        <v>32</v>
      </c>
      <c r="E325" s="49" t="n">
        <v>0</v>
      </c>
      <c r="F325" s="49" t="n">
        <v>0</v>
      </c>
      <c r="G325" s="49" t="n">
        <v>0</v>
      </c>
      <c r="H325" s="87" t="n">
        <v>0</v>
      </c>
    </row>
    <row r="326" customFormat="false" ht="12.75" hidden="false" customHeight="false" outlineLevel="0" collapsed="false">
      <c r="C326" s="30"/>
      <c r="D326" s="53" t="s">
        <v>33</v>
      </c>
      <c r="E326" s="54" t="n">
        <v>0</v>
      </c>
      <c r="F326" s="55" t="n">
        <v>0</v>
      </c>
      <c r="G326" s="55" t="n">
        <v>0</v>
      </c>
      <c r="H326" s="92" t="n">
        <v>0</v>
      </c>
    </row>
    <row r="327" customFormat="false" ht="12.75" hidden="false" customHeight="false" outlineLevel="0" collapsed="false">
      <c r="C327" s="30"/>
      <c r="D327" s="58" t="s">
        <v>34</v>
      </c>
      <c r="E327" s="59" t="n">
        <v>0</v>
      </c>
      <c r="F327" s="60" t="n">
        <v>0</v>
      </c>
      <c r="G327" s="60" t="n">
        <v>0</v>
      </c>
      <c r="H327" s="93" t="n">
        <v>0</v>
      </c>
    </row>
    <row r="328" customFormat="false" ht="13.5" hidden="false" customHeight="false" outlineLevel="0" collapsed="false">
      <c r="C328" s="30"/>
      <c r="D328" s="53" t="s">
        <v>35</v>
      </c>
      <c r="E328" s="54" t="n">
        <v>0</v>
      </c>
      <c r="F328" s="55" t="n">
        <v>0</v>
      </c>
      <c r="G328" s="55" t="n">
        <v>0</v>
      </c>
      <c r="H328" s="94" t="n">
        <v>0</v>
      </c>
    </row>
    <row r="329" customFormat="false" ht="13.5" hidden="false" customHeight="false" outlineLevel="0" collapsed="false">
      <c r="C329" s="30"/>
      <c r="D329" s="64" t="s">
        <v>36</v>
      </c>
      <c r="E329" s="65" t="s">
        <v>186</v>
      </c>
      <c r="F329" s="66" t="s">
        <v>38</v>
      </c>
      <c r="G329" s="65" t="s">
        <v>175</v>
      </c>
      <c r="H329" s="68" t="s">
        <v>40</v>
      </c>
    </row>
    <row r="330" customFormat="false" ht="15.75" hidden="false" customHeight="false" outlineLevel="0" collapsed="false">
      <c r="C330" s="30"/>
      <c r="D330" s="69" t="s">
        <v>41</v>
      </c>
      <c r="E330" s="65" t="s">
        <v>187</v>
      </c>
      <c r="F330" s="71" t="s">
        <v>43</v>
      </c>
      <c r="G330" s="65" t="s">
        <v>177</v>
      </c>
      <c r="H330" s="73" t="s">
        <v>127</v>
      </c>
    </row>
    <row r="331" customFormat="false" ht="13.5" hidden="false" customHeight="false" outlineLevel="0" collapsed="false">
      <c r="C331" s="30"/>
      <c r="D331" s="74" t="s">
        <v>46</v>
      </c>
      <c r="E331" s="75" t="s">
        <v>128</v>
      </c>
      <c r="F331" s="76" t="s">
        <v>48</v>
      </c>
      <c r="G331" s="75" t="s">
        <v>129</v>
      </c>
      <c r="H331" s="68" t="s">
        <v>50</v>
      </c>
    </row>
    <row r="332" customFormat="false" ht="13.5" hidden="false" customHeight="false" outlineLevel="0" collapsed="false">
      <c r="C332" s="30"/>
      <c r="D332" s="78" t="s">
        <v>51</v>
      </c>
      <c r="E332" s="79" t="n">
        <v>24</v>
      </c>
      <c r="F332" s="80" t="s">
        <v>188</v>
      </c>
      <c r="G332" s="81" t="s">
        <v>179</v>
      </c>
      <c r="H332" s="82" t="s">
        <v>52</v>
      </c>
    </row>
    <row r="333" customFormat="false" ht="12.75" hidden="false" customHeight="true" outlineLevel="0" collapsed="false">
      <c r="C333" s="30"/>
      <c r="D333" s="83" t="s">
        <v>53</v>
      </c>
      <c r="E333" s="84" t="s">
        <v>180</v>
      </c>
      <c r="F333" s="84"/>
      <c r="G333" s="84"/>
      <c r="H333" s="84"/>
    </row>
    <row r="334" customFormat="false" ht="13.5" hidden="false" customHeight="false" outlineLevel="0" collapsed="false">
      <c r="C334" s="30"/>
      <c r="D334" s="83"/>
      <c r="E334" s="84"/>
      <c r="F334" s="84"/>
      <c r="G334" s="84"/>
      <c r="H334" s="84"/>
    </row>
    <row r="335" customFormat="false" ht="17.25" hidden="false" customHeight="false" outlineLevel="0" collapsed="false">
      <c r="C335" s="30" t="n">
        <v>103</v>
      </c>
      <c r="D335" s="31" t="s">
        <v>13</v>
      </c>
      <c r="E335" s="31"/>
      <c r="F335" s="31"/>
      <c r="G335" s="31"/>
      <c r="H335" s="31"/>
    </row>
    <row r="336" customFormat="false" ht="15.75" hidden="false" customHeight="false" outlineLevel="0" collapsed="false">
      <c r="C336" s="30"/>
      <c r="D336" s="32"/>
      <c r="E336" s="33" t="s">
        <v>15</v>
      </c>
      <c r="F336" s="33" t="s">
        <v>16</v>
      </c>
      <c r="G336" s="33" t="s">
        <v>17</v>
      </c>
      <c r="H336" s="34" t="s">
        <v>18</v>
      </c>
    </row>
    <row r="337" customFormat="false" ht="13.5" hidden="false" customHeight="false" outlineLevel="0" collapsed="false">
      <c r="C337" s="30"/>
      <c r="D337" s="35" t="s">
        <v>19</v>
      </c>
      <c r="E337" s="36" t="s">
        <v>189</v>
      </c>
      <c r="F337" s="36" t="s">
        <v>190</v>
      </c>
      <c r="G337" s="37" t="n">
        <v>37196</v>
      </c>
      <c r="H337" s="38" t="n">
        <v>37346</v>
      </c>
    </row>
    <row r="338" customFormat="false" ht="15.75" hidden="false" customHeight="false" outlineLevel="0" collapsed="false">
      <c r="C338" s="30"/>
      <c r="D338" s="39"/>
      <c r="E338" s="40" t="s">
        <v>22</v>
      </c>
      <c r="F338" s="41" t="s">
        <v>23</v>
      </c>
      <c r="G338" s="41" t="s">
        <v>24</v>
      </c>
      <c r="H338" s="42" t="s">
        <v>25</v>
      </c>
    </row>
    <row r="339" customFormat="false" ht="12.75" hidden="false" customHeight="false" outlineLevel="0" collapsed="false">
      <c r="C339" s="30"/>
      <c r="D339" s="43" t="s">
        <v>26</v>
      </c>
      <c r="E339" s="44" t="s">
        <v>104</v>
      </c>
      <c r="F339" s="44" t="s">
        <v>173</v>
      </c>
      <c r="G339" s="44" t="s">
        <v>28</v>
      </c>
      <c r="H339" s="90" t="s">
        <v>28</v>
      </c>
    </row>
    <row r="340" customFormat="false" ht="12.75" hidden="false" customHeight="false" outlineLevel="0" collapsed="false">
      <c r="C340" s="30"/>
      <c r="D340" s="46" t="s">
        <v>29</v>
      </c>
      <c r="E340" s="47" t="n">
        <v>402</v>
      </c>
      <c r="F340" s="47" t="n">
        <v>402</v>
      </c>
      <c r="G340" s="47" t="n">
        <v>0</v>
      </c>
      <c r="H340" s="91" t="n">
        <v>0</v>
      </c>
    </row>
    <row r="341" customFormat="false" ht="12.75" hidden="false" customHeight="false" outlineLevel="0" collapsed="false">
      <c r="C341" s="30"/>
      <c r="D341" s="46" t="s">
        <v>30</v>
      </c>
      <c r="E341" s="49" t="n">
        <v>0.1134</v>
      </c>
      <c r="F341" s="49" t="n">
        <v>0.1134</v>
      </c>
      <c r="G341" s="49" t="n">
        <v>0</v>
      </c>
      <c r="H341" s="87" t="n">
        <v>0</v>
      </c>
    </row>
    <row r="342" customFormat="false" ht="12.75" hidden="false" customHeight="false" outlineLevel="0" collapsed="false">
      <c r="C342" s="30"/>
      <c r="D342" s="46" t="s">
        <v>31</v>
      </c>
      <c r="E342" s="51" t="n">
        <v>0.0884</v>
      </c>
      <c r="F342" s="51" t="n">
        <v>0.0884</v>
      </c>
      <c r="G342" s="51" t="n">
        <v>0</v>
      </c>
      <c r="H342" s="88" t="n">
        <v>0</v>
      </c>
    </row>
    <row r="343" customFormat="false" ht="12.75" hidden="false" customHeight="false" outlineLevel="0" collapsed="false">
      <c r="C343" s="30"/>
      <c r="D343" s="46" t="s">
        <v>32</v>
      </c>
      <c r="E343" s="49" t="n">
        <v>0</v>
      </c>
      <c r="F343" s="49" t="n">
        <v>0</v>
      </c>
      <c r="G343" s="49" t="n">
        <v>0</v>
      </c>
      <c r="H343" s="87" t="n">
        <v>0</v>
      </c>
    </row>
    <row r="344" customFormat="false" ht="12.75" hidden="false" customHeight="false" outlineLevel="0" collapsed="false">
      <c r="C344" s="30"/>
      <c r="D344" s="53" t="s">
        <v>33</v>
      </c>
      <c r="E344" s="54" t="n">
        <v>0</v>
      </c>
      <c r="F344" s="55" t="n">
        <v>0</v>
      </c>
      <c r="G344" s="55" t="n">
        <v>0</v>
      </c>
      <c r="H344" s="92" t="n">
        <v>0</v>
      </c>
    </row>
    <row r="345" customFormat="false" ht="12.75" hidden="false" customHeight="false" outlineLevel="0" collapsed="false">
      <c r="C345" s="30"/>
      <c r="D345" s="58" t="s">
        <v>34</v>
      </c>
      <c r="E345" s="59" t="n">
        <v>0</v>
      </c>
      <c r="F345" s="60" t="n">
        <v>0</v>
      </c>
      <c r="G345" s="60" t="n">
        <v>0</v>
      </c>
      <c r="H345" s="93" t="n">
        <v>0</v>
      </c>
    </row>
    <row r="346" customFormat="false" ht="13.5" hidden="false" customHeight="false" outlineLevel="0" collapsed="false">
      <c r="C346" s="30"/>
      <c r="D346" s="53" t="s">
        <v>35</v>
      </c>
      <c r="E346" s="54" t="n">
        <v>0</v>
      </c>
      <c r="F346" s="55" t="n">
        <v>0</v>
      </c>
      <c r="G346" s="55" t="n">
        <v>0</v>
      </c>
      <c r="H346" s="94" t="n">
        <v>0</v>
      </c>
    </row>
    <row r="347" customFormat="false" ht="13.5" hidden="false" customHeight="false" outlineLevel="0" collapsed="false">
      <c r="C347" s="30"/>
      <c r="D347" s="64" t="s">
        <v>36</v>
      </c>
      <c r="E347" s="65" t="s">
        <v>191</v>
      </c>
      <c r="F347" s="66" t="s">
        <v>38</v>
      </c>
      <c r="G347" s="65" t="s">
        <v>192</v>
      </c>
      <c r="H347" s="68" t="s">
        <v>40</v>
      </c>
    </row>
    <row r="348" customFormat="false" ht="15.75" hidden="false" customHeight="false" outlineLevel="0" collapsed="false">
      <c r="C348" s="30"/>
      <c r="D348" s="69" t="s">
        <v>41</v>
      </c>
      <c r="E348" s="65" t="s">
        <v>193</v>
      </c>
      <c r="F348" s="71" t="s">
        <v>43</v>
      </c>
      <c r="G348" s="65" t="s">
        <v>194</v>
      </c>
      <c r="H348" s="73" t="s">
        <v>127</v>
      </c>
    </row>
    <row r="349" customFormat="false" ht="13.5" hidden="false" customHeight="false" outlineLevel="0" collapsed="false">
      <c r="C349" s="30"/>
      <c r="D349" s="74" t="s">
        <v>46</v>
      </c>
      <c r="E349" s="75" t="s">
        <v>162</v>
      </c>
      <c r="F349" s="76" t="s">
        <v>48</v>
      </c>
      <c r="G349" s="75" t="s">
        <v>195</v>
      </c>
      <c r="H349" s="68" t="s">
        <v>50</v>
      </c>
    </row>
    <row r="350" customFormat="false" ht="13.5" hidden="false" customHeight="false" outlineLevel="0" collapsed="false">
      <c r="C350" s="30"/>
      <c r="D350" s="78" t="s">
        <v>51</v>
      </c>
      <c r="E350" s="79" t="n">
        <v>14</v>
      </c>
      <c r="F350" s="80" t="s">
        <v>196</v>
      </c>
      <c r="G350" s="81" t="s">
        <v>197</v>
      </c>
      <c r="H350" s="82" t="s">
        <v>52</v>
      </c>
    </row>
    <row r="351" customFormat="false" ht="12.75" hidden="false" customHeight="true" outlineLevel="0" collapsed="false">
      <c r="C351" s="30"/>
      <c r="D351" s="83" t="s">
        <v>53</v>
      </c>
      <c r="E351" s="84" t="s">
        <v>180</v>
      </c>
      <c r="F351" s="84"/>
      <c r="G351" s="84"/>
      <c r="H351" s="84"/>
    </row>
    <row r="352" customFormat="false" ht="13.5" hidden="false" customHeight="false" outlineLevel="0" collapsed="false">
      <c r="C352" s="30"/>
      <c r="D352" s="83"/>
      <c r="E352" s="84"/>
      <c r="F352" s="84"/>
      <c r="G352" s="84"/>
      <c r="H352" s="84"/>
    </row>
    <row r="353" customFormat="false" ht="17.25" hidden="false" customHeight="false" outlineLevel="0" collapsed="false">
      <c r="C353" s="30" t="n">
        <v>104</v>
      </c>
      <c r="D353" s="31" t="s">
        <v>13</v>
      </c>
      <c r="E353" s="31"/>
      <c r="F353" s="31"/>
      <c r="G353" s="31"/>
      <c r="H353" s="31"/>
    </row>
    <row r="354" customFormat="false" ht="15.75" hidden="false" customHeight="false" outlineLevel="0" collapsed="false">
      <c r="C354" s="30"/>
      <c r="D354" s="32"/>
      <c r="E354" s="33" t="s">
        <v>15</v>
      </c>
      <c r="F354" s="33" t="s">
        <v>16</v>
      </c>
      <c r="G354" s="33" t="s">
        <v>17</v>
      </c>
      <c r="H354" s="34" t="s">
        <v>18</v>
      </c>
    </row>
    <row r="355" customFormat="false" ht="13.5" hidden="false" customHeight="false" outlineLevel="0" collapsed="false">
      <c r="C355" s="30"/>
      <c r="D355" s="35" t="s">
        <v>19</v>
      </c>
      <c r="E355" s="36" t="s">
        <v>171</v>
      </c>
      <c r="F355" s="36" t="s">
        <v>190</v>
      </c>
      <c r="G355" s="37" t="n">
        <v>37196</v>
      </c>
      <c r="H355" s="38" t="n">
        <v>37346</v>
      </c>
    </row>
    <row r="356" customFormat="false" ht="15.75" hidden="false" customHeight="false" outlineLevel="0" collapsed="false">
      <c r="C356" s="30"/>
      <c r="D356" s="39"/>
      <c r="E356" s="40" t="s">
        <v>22</v>
      </c>
      <c r="F356" s="41" t="s">
        <v>23</v>
      </c>
      <c r="G356" s="41" t="s">
        <v>24</v>
      </c>
      <c r="H356" s="42" t="s">
        <v>25</v>
      </c>
    </row>
    <row r="357" customFormat="false" ht="12.75" hidden="false" customHeight="false" outlineLevel="0" collapsed="false">
      <c r="C357" s="30"/>
      <c r="D357" s="43" t="s">
        <v>26</v>
      </c>
      <c r="E357" s="44" t="s">
        <v>104</v>
      </c>
      <c r="F357" s="44" t="s">
        <v>173</v>
      </c>
      <c r="G357" s="44" t="s">
        <v>28</v>
      </c>
      <c r="H357" s="90" t="s">
        <v>28</v>
      </c>
    </row>
    <row r="358" customFormat="false" ht="12.75" hidden="false" customHeight="false" outlineLevel="0" collapsed="false">
      <c r="C358" s="30"/>
      <c r="D358" s="46" t="s">
        <v>29</v>
      </c>
      <c r="E358" s="47" t="n">
        <v>6578</v>
      </c>
      <c r="F358" s="47" t="n">
        <v>6578</v>
      </c>
      <c r="G358" s="47" t="n">
        <v>0</v>
      </c>
      <c r="H358" s="91" t="n">
        <v>0</v>
      </c>
    </row>
    <row r="359" customFormat="false" ht="12.75" hidden="false" customHeight="false" outlineLevel="0" collapsed="false">
      <c r="C359" s="30"/>
      <c r="D359" s="46" t="s">
        <v>30</v>
      </c>
      <c r="E359" s="49" t="n">
        <v>0.103</v>
      </c>
      <c r="F359" s="49" t="n">
        <v>0.103</v>
      </c>
      <c r="G359" s="49" t="n">
        <v>0</v>
      </c>
      <c r="H359" s="87" t="n">
        <v>0</v>
      </c>
    </row>
    <row r="360" customFormat="false" ht="12.75" hidden="false" customHeight="false" outlineLevel="0" collapsed="false">
      <c r="C360" s="30"/>
      <c r="D360" s="46" t="s">
        <v>31</v>
      </c>
      <c r="E360" s="51" t="n">
        <v>0.0796</v>
      </c>
      <c r="F360" s="51" t="n">
        <v>0.0796</v>
      </c>
      <c r="G360" s="51" t="n">
        <v>0</v>
      </c>
      <c r="H360" s="88" t="n">
        <v>0</v>
      </c>
    </row>
    <row r="361" customFormat="false" ht="12.75" hidden="false" customHeight="false" outlineLevel="0" collapsed="false">
      <c r="C361" s="30"/>
      <c r="D361" s="46" t="s">
        <v>32</v>
      </c>
      <c r="E361" s="49" t="n">
        <v>0</v>
      </c>
      <c r="F361" s="49" t="n">
        <v>0</v>
      </c>
      <c r="G361" s="49" t="n">
        <v>0</v>
      </c>
      <c r="H361" s="87" t="n">
        <v>0</v>
      </c>
    </row>
    <row r="362" customFormat="false" ht="12.75" hidden="false" customHeight="false" outlineLevel="0" collapsed="false">
      <c r="C362" s="30"/>
      <c r="D362" s="53" t="s">
        <v>33</v>
      </c>
      <c r="E362" s="54" t="n">
        <v>0</v>
      </c>
      <c r="F362" s="55" t="n">
        <v>0</v>
      </c>
      <c r="G362" s="55" t="n">
        <v>0</v>
      </c>
      <c r="H362" s="92" t="n">
        <v>0</v>
      </c>
    </row>
    <row r="363" customFormat="false" ht="12.75" hidden="false" customHeight="false" outlineLevel="0" collapsed="false">
      <c r="C363" s="30"/>
      <c r="D363" s="58" t="s">
        <v>34</v>
      </c>
      <c r="E363" s="59" t="n">
        <v>0</v>
      </c>
      <c r="F363" s="60" t="n">
        <v>0</v>
      </c>
      <c r="G363" s="60" t="n">
        <v>0</v>
      </c>
      <c r="H363" s="93" t="n">
        <v>0</v>
      </c>
    </row>
    <row r="364" customFormat="false" ht="13.5" hidden="false" customHeight="false" outlineLevel="0" collapsed="false">
      <c r="C364" s="30"/>
      <c r="D364" s="53" t="s">
        <v>35</v>
      </c>
      <c r="E364" s="54" t="n">
        <v>0</v>
      </c>
      <c r="F364" s="55" t="n">
        <v>0</v>
      </c>
      <c r="G364" s="55" t="n">
        <v>0</v>
      </c>
      <c r="H364" s="94" t="n">
        <v>0</v>
      </c>
    </row>
    <row r="365" customFormat="false" ht="13.5" hidden="false" customHeight="false" outlineLevel="0" collapsed="false">
      <c r="C365" s="30"/>
      <c r="D365" s="64" t="s">
        <v>36</v>
      </c>
      <c r="E365" s="65" t="s">
        <v>174</v>
      </c>
      <c r="F365" s="66" t="s">
        <v>38</v>
      </c>
      <c r="G365" s="65" t="s">
        <v>192</v>
      </c>
      <c r="H365" s="68" t="s">
        <v>40</v>
      </c>
    </row>
    <row r="366" customFormat="false" ht="15.75" hidden="false" customHeight="false" outlineLevel="0" collapsed="false">
      <c r="C366" s="30"/>
      <c r="D366" s="69" t="s">
        <v>41</v>
      </c>
      <c r="E366" s="65" t="s">
        <v>176</v>
      </c>
      <c r="F366" s="71" t="s">
        <v>43</v>
      </c>
      <c r="G366" s="65" t="s">
        <v>194</v>
      </c>
      <c r="H366" s="73" t="s">
        <v>127</v>
      </c>
    </row>
    <row r="367" customFormat="false" ht="13.5" hidden="false" customHeight="false" outlineLevel="0" collapsed="false">
      <c r="C367" s="30"/>
      <c r="D367" s="74" t="s">
        <v>46</v>
      </c>
      <c r="E367" s="75" t="s">
        <v>162</v>
      </c>
      <c r="F367" s="76" t="s">
        <v>48</v>
      </c>
      <c r="G367" s="75" t="s">
        <v>195</v>
      </c>
      <c r="H367" s="68" t="s">
        <v>50</v>
      </c>
    </row>
    <row r="368" customFormat="false" ht="13.5" hidden="false" customHeight="false" outlineLevel="0" collapsed="false">
      <c r="C368" s="30"/>
      <c r="D368" s="78" t="s">
        <v>51</v>
      </c>
      <c r="E368" s="79" t="n">
        <v>23</v>
      </c>
      <c r="F368" s="80" t="s">
        <v>198</v>
      </c>
      <c r="G368" s="81" t="s">
        <v>197</v>
      </c>
      <c r="H368" s="82" t="s">
        <v>52</v>
      </c>
    </row>
    <row r="369" customFormat="false" ht="12.75" hidden="false" customHeight="true" outlineLevel="0" collapsed="false">
      <c r="C369" s="30"/>
      <c r="D369" s="83" t="s">
        <v>53</v>
      </c>
      <c r="E369" s="84" t="s">
        <v>180</v>
      </c>
      <c r="F369" s="84"/>
      <c r="G369" s="84"/>
      <c r="H369" s="84"/>
    </row>
    <row r="370" customFormat="false" ht="13.5" hidden="false" customHeight="false" outlineLevel="0" collapsed="false">
      <c r="C370" s="30"/>
      <c r="D370" s="83"/>
      <c r="E370" s="84"/>
      <c r="F370" s="84"/>
      <c r="G370" s="84"/>
      <c r="H370" s="84"/>
    </row>
    <row r="371" customFormat="false" ht="17.25" hidden="false" customHeight="false" outlineLevel="0" collapsed="false">
      <c r="C371" s="30" t="n">
        <v>105</v>
      </c>
      <c r="D371" s="31" t="s">
        <v>13</v>
      </c>
      <c r="E371" s="31"/>
      <c r="F371" s="31"/>
      <c r="G371" s="31"/>
      <c r="H371" s="31"/>
    </row>
    <row r="372" customFormat="false" ht="15.75" hidden="false" customHeight="false" outlineLevel="0" collapsed="false">
      <c r="C372" s="30"/>
      <c r="D372" s="32"/>
      <c r="E372" s="33" t="s">
        <v>15</v>
      </c>
      <c r="F372" s="33" t="s">
        <v>16</v>
      </c>
      <c r="G372" s="33" t="s">
        <v>17</v>
      </c>
      <c r="H372" s="34" t="s">
        <v>18</v>
      </c>
    </row>
    <row r="373" customFormat="false" ht="13.5" hidden="false" customHeight="false" outlineLevel="0" collapsed="false">
      <c r="C373" s="30"/>
      <c r="D373" s="35" t="s">
        <v>19</v>
      </c>
      <c r="E373" s="36" t="s">
        <v>181</v>
      </c>
      <c r="F373" s="36" t="s">
        <v>190</v>
      </c>
      <c r="G373" s="37" t="n">
        <v>37196</v>
      </c>
      <c r="H373" s="38" t="n">
        <v>37346</v>
      </c>
    </row>
    <row r="374" customFormat="false" ht="15.75" hidden="false" customHeight="false" outlineLevel="0" collapsed="false">
      <c r="C374" s="30"/>
      <c r="D374" s="39"/>
      <c r="E374" s="40" t="s">
        <v>22</v>
      </c>
      <c r="F374" s="41" t="s">
        <v>23</v>
      </c>
      <c r="G374" s="41" t="s">
        <v>24</v>
      </c>
      <c r="H374" s="42" t="s">
        <v>25</v>
      </c>
    </row>
    <row r="375" customFormat="false" ht="12.75" hidden="false" customHeight="false" outlineLevel="0" collapsed="false">
      <c r="C375" s="30"/>
      <c r="D375" s="43" t="s">
        <v>26</v>
      </c>
      <c r="E375" s="44" t="s">
        <v>104</v>
      </c>
      <c r="F375" s="44" t="s">
        <v>173</v>
      </c>
      <c r="G375" s="44" t="s">
        <v>28</v>
      </c>
      <c r="H375" s="90" t="s">
        <v>28</v>
      </c>
    </row>
    <row r="376" customFormat="false" ht="12.75" hidden="false" customHeight="false" outlineLevel="0" collapsed="false">
      <c r="C376" s="30"/>
      <c r="D376" s="46" t="s">
        <v>29</v>
      </c>
      <c r="E376" s="47" t="n">
        <v>20749</v>
      </c>
      <c r="F376" s="47" t="n">
        <v>20749</v>
      </c>
      <c r="G376" s="47" t="n">
        <v>0</v>
      </c>
      <c r="H376" s="91" t="n">
        <v>0</v>
      </c>
    </row>
    <row r="377" customFormat="false" ht="12.75" hidden="false" customHeight="false" outlineLevel="0" collapsed="false">
      <c r="C377" s="30"/>
      <c r="D377" s="46" t="s">
        <v>30</v>
      </c>
      <c r="E377" s="49" t="n">
        <v>0.103</v>
      </c>
      <c r="F377" s="49" t="n">
        <v>0.103</v>
      </c>
      <c r="G377" s="49" t="n">
        <v>0</v>
      </c>
      <c r="H377" s="87" t="n">
        <v>0</v>
      </c>
    </row>
    <row r="378" customFormat="false" ht="12.75" hidden="false" customHeight="false" outlineLevel="0" collapsed="false">
      <c r="C378" s="30"/>
      <c r="D378" s="46" t="s">
        <v>31</v>
      </c>
      <c r="E378" s="51" t="n">
        <v>0.0796</v>
      </c>
      <c r="F378" s="51" t="n">
        <v>0.0796</v>
      </c>
      <c r="G378" s="51" t="n">
        <v>0</v>
      </c>
      <c r="H378" s="88" t="n">
        <v>0</v>
      </c>
    </row>
    <row r="379" customFormat="false" ht="12.75" hidden="false" customHeight="false" outlineLevel="0" collapsed="false">
      <c r="C379" s="30"/>
      <c r="D379" s="46" t="s">
        <v>32</v>
      </c>
      <c r="E379" s="49" t="n">
        <v>0</v>
      </c>
      <c r="F379" s="49" t="n">
        <v>0</v>
      </c>
      <c r="G379" s="49" t="n">
        <v>0</v>
      </c>
      <c r="H379" s="87" t="n">
        <v>0</v>
      </c>
    </row>
    <row r="380" customFormat="false" ht="12.75" hidden="false" customHeight="false" outlineLevel="0" collapsed="false">
      <c r="C380" s="30"/>
      <c r="D380" s="53" t="s">
        <v>33</v>
      </c>
      <c r="E380" s="54" t="n">
        <v>0</v>
      </c>
      <c r="F380" s="55" t="n">
        <v>0</v>
      </c>
      <c r="G380" s="55" t="n">
        <v>0</v>
      </c>
      <c r="H380" s="92" t="n">
        <v>0</v>
      </c>
    </row>
    <row r="381" customFormat="false" ht="12.75" hidden="false" customHeight="false" outlineLevel="0" collapsed="false">
      <c r="C381" s="30"/>
      <c r="D381" s="58" t="s">
        <v>34</v>
      </c>
      <c r="E381" s="59" t="n">
        <v>0</v>
      </c>
      <c r="F381" s="60" t="n">
        <v>0</v>
      </c>
      <c r="G381" s="60" t="n">
        <v>0</v>
      </c>
      <c r="H381" s="93" t="n">
        <v>0</v>
      </c>
    </row>
    <row r="382" customFormat="false" ht="13.5" hidden="false" customHeight="false" outlineLevel="0" collapsed="false">
      <c r="C382" s="30"/>
      <c r="D382" s="53" t="s">
        <v>35</v>
      </c>
      <c r="E382" s="54" t="n">
        <v>0</v>
      </c>
      <c r="F382" s="55" t="n">
        <v>0</v>
      </c>
      <c r="G382" s="55" t="n">
        <v>0</v>
      </c>
      <c r="H382" s="94" t="n">
        <v>0</v>
      </c>
    </row>
    <row r="383" customFormat="false" ht="13.5" hidden="false" customHeight="false" outlineLevel="0" collapsed="false">
      <c r="C383" s="30"/>
      <c r="D383" s="64" t="s">
        <v>36</v>
      </c>
      <c r="E383" s="65" t="s">
        <v>182</v>
      </c>
      <c r="F383" s="66" t="s">
        <v>38</v>
      </c>
      <c r="G383" s="65" t="s">
        <v>192</v>
      </c>
      <c r="H383" s="68" t="s">
        <v>40</v>
      </c>
    </row>
    <row r="384" customFormat="false" ht="15.75" hidden="false" customHeight="false" outlineLevel="0" collapsed="false">
      <c r="C384" s="30"/>
      <c r="D384" s="69" t="s">
        <v>41</v>
      </c>
      <c r="E384" s="65" t="s">
        <v>183</v>
      </c>
      <c r="F384" s="71" t="s">
        <v>43</v>
      </c>
      <c r="G384" s="65" t="s">
        <v>194</v>
      </c>
      <c r="H384" s="73" t="s">
        <v>127</v>
      </c>
    </row>
    <row r="385" customFormat="false" ht="13.5" hidden="false" customHeight="false" outlineLevel="0" collapsed="false">
      <c r="C385" s="30"/>
      <c r="D385" s="74" t="s">
        <v>46</v>
      </c>
      <c r="E385" s="75" t="s">
        <v>128</v>
      </c>
      <c r="F385" s="76" t="s">
        <v>48</v>
      </c>
      <c r="G385" s="75" t="s">
        <v>195</v>
      </c>
      <c r="H385" s="68" t="s">
        <v>50</v>
      </c>
    </row>
    <row r="386" customFormat="false" ht="13.5" hidden="false" customHeight="false" outlineLevel="0" collapsed="false">
      <c r="C386" s="30"/>
      <c r="D386" s="78" t="s">
        <v>51</v>
      </c>
      <c r="E386" s="79" t="n">
        <v>21</v>
      </c>
      <c r="F386" s="80" t="s">
        <v>199</v>
      </c>
      <c r="G386" s="81" t="s">
        <v>197</v>
      </c>
      <c r="H386" s="82" t="s">
        <v>52</v>
      </c>
    </row>
    <row r="387" customFormat="false" ht="12.75" hidden="false" customHeight="true" outlineLevel="0" collapsed="false">
      <c r="C387" s="30"/>
      <c r="D387" s="83" t="s">
        <v>53</v>
      </c>
      <c r="E387" s="84" t="s">
        <v>180</v>
      </c>
      <c r="F387" s="84"/>
      <c r="G387" s="84"/>
      <c r="H387" s="84"/>
    </row>
    <row r="388" customFormat="false" ht="13.5" hidden="false" customHeight="false" outlineLevel="0" collapsed="false">
      <c r="C388" s="30"/>
      <c r="D388" s="83"/>
      <c r="E388" s="84"/>
      <c r="F388" s="84"/>
      <c r="G388" s="84"/>
      <c r="H388" s="84"/>
    </row>
    <row r="389" customFormat="false" ht="17.25" hidden="false" customHeight="false" outlineLevel="0" collapsed="false">
      <c r="C389" s="30" t="n">
        <v>106</v>
      </c>
      <c r="D389" s="31" t="s">
        <v>13</v>
      </c>
      <c r="E389" s="31"/>
      <c r="F389" s="31"/>
      <c r="G389" s="31"/>
      <c r="H389" s="31"/>
    </row>
    <row r="390" customFormat="false" ht="15.75" hidden="false" customHeight="false" outlineLevel="0" collapsed="false">
      <c r="C390" s="30"/>
      <c r="D390" s="32"/>
      <c r="E390" s="33" t="s">
        <v>15</v>
      </c>
      <c r="F390" s="33" t="s">
        <v>16</v>
      </c>
      <c r="G390" s="33" t="s">
        <v>17</v>
      </c>
      <c r="H390" s="34" t="s">
        <v>18</v>
      </c>
    </row>
    <row r="391" customFormat="false" ht="13.5" hidden="false" customHeight="false" outlineLevel="0" collapsed="false">
      <c r="C391" s="30"/>
      <c r="D391" s="35" t="s">
        <v>19</v>
      </c>
      <c r="E391" s="36" t="s">
        <v>185</v>
      </c>
      <c r="F391" s="36" t="s">
        <v>190</v>
      </c>
      <c r="G391" s="37" t="n">
        <v>37196</v>
      </c>
      <c r="H391" s="38" t="n">
        <v>37346</v>
      </c>
    </row>
    <row r="392" customFormat="false" ht="15.75" hidden="false" customHeight="false" outlineLevel="0" collapsed="false">
      <c r="C392" s="30"/>
      <c r="D392" s="39"/>
      <c r="E392" s="40" t="s">
        <v>22</v>
      </c>
      <c r="F392" s="41" t="s">
        <v>23</v>
      </c>
      <c r="G392" s="41" t="s">
        <v>24</v>
      </c>
      <c r="H392" s="42" t="s">
        <v>25</v>
      </c>
    </row>
    <row r="393" customFormat="false" ht="12.75" hidden="false" customHeight="false" outlineLevel="0" collapsed="false">
      <c r="C393" s="30"/>
      <c r="D393" s="43" t="s">
        <v>26</v>
      </c>
      <c r="E393" s="44" t="s">
        <v>104</v>
      </c>
      <c r="F393" s="44" t="s">
        <v>173</v>
      </c>
      <c r="G393" s="44" t="s">
        <v>28</v>
      </c>
      <c r="H393" s="90" t="s">
        <v>28</v>
      </c>
    </row>
    <row r="394" customFormat="false" ht="12.75" hidden="false" customHeight="false" outlineLevel="0" collapsed="false">
      <c r="C394" s="30"/>
      <c r="D394" s="46" t="s">
        <v>29</v>
      </c>
      <c r="E394" s="47" t="n">
        <v>12557</v>
      </c>
      <c r="F394" s="47" t="n">
        <v>12557</v>
      </c>
      <c r="G394" s="47" t="n">
        <v>0</v>
      </c>
      <c r="H394" s="91" t="n">
        <v>0</v>
      </c>
    </row>
    <row r="395" customFormat="false" ht="12.75" hidden="false" customHeight="false" outlineLevel="0" collapsed="false">
      <c r="C395" s="30"/>
      <c r="D395" s="46" t="s">
        <v>30</v>
      </c>
      <c r="E395" s="49" t="n">
        <v>0.1061</v>
      </c>
      <c r="F395" s="49" t="n">
        <v>0.1061</v>
      </c>
      <c r="G395" s="49" t="n">
        <v>0</v>
      </c>
      <c r="H395" s="87" t="n">
        <v>0</v>
      </c>
    </row>
    <row r="396" customFormat="false" ht="12.75" hidden="false" customHeight="false" outlineLevel="0" collapsed="false">
      <c r="C396" s="30"/>
      <c r="D396" s="46" t="s">
        <v>31</v>
      </c>
      <c r="E396" s="51" t="n">
        <v>0.0823</v>
      </c>
      <c r="F396" s="51" t="n">
        <v>0.0823</v>
      </c>
      <c r="G396" s="51" t="n">
        <v>0</v>
      </c>
      <c r="H396" s="88" t="n">
        <v>0</v>
      </c>
    </row>
    <row r="397" customFormat="false" ht="12.75" hidden="false" customHeight="false" outlineLevel="0" collapsed="false">
      <c r="C397" s="30"/>
      <c r="D397" s="46" t="s">
        <v>32</v>
      </c>
      <c r="E397" s="49" t="n">
        <v>0</v>
      </c>
      <c r="F397" s="49" t="n">
        <v>0</v>
      </c>
      <c r="G397" s="49" t="n">
        <v>0</v>
      </c>
      <c r="H397" s="87" t="n">
        <v>0</v>
      </c>
    </row>
    <row r="398" customFormat="false" ht="12.75" hidden="false" customHeight="false" outlineLevel="0" collapsed="false">
      <c r="C398" s="30"/>
      <c r="D398" s="53" t="s">
        <v>33</v>
      </c>
      <c r="E398" s="54" t="n">
        <v>0</v>
      </c>
      <c r="F398" s="55" t="n">
        <v>0</v>
      </c>
      <c r="G398" s="55" t="n">
        <v>0</v>
      </c>
      <c r="H398" s="92" t="n">
        <v>0</v>
      </c>
    </row>
    <row r="399" customFormat="false" ht="12.75" hidden="false" customHeight="false" outlineLevel="0" collapsed="false">
      <c r="C399" s="30"/>
      <c r="D399" s="58" t="s">
        <v>34</v>
      </c>
      <c r="E399" s="59" t="n">
        <v>0</v>
      </c>
      <c r="F399" s="60" t="n">
        <v>0</v>
      </c>
      <c r="G399" s="60" t="n">
        <v>0</v>
      </c>
      <c r="H399" s="93" t="n">
        <v>0</v>
      </c>
    </row>
    <row r="400" customFormat="false" ht="13.5" hidden="false" customHeight="false" outlineLevel="0" collapsed="false">
      <c r="C400" s="30"/>
      <c r="D400" s="53" t="s">
        <v>35</v>
      </c>
      <c r="E400" s="54" t="n">
        <v>0</v>
      </c>
      <c r="F400" s="55" t="n">
        <v>0</v>
      </c>
      <c r="G400" s="55" t="n">
        <v>0</v>
      </c>
      <c r="H400" s="94" t="n">
        <v>0</v>
      </c>
    </row>
    <row r="401" customFormat="false" ht="13.5" hidden="false" customHeight="false" outlineLevel="0" collapsed="false">
      <c r="C401" s="30"/>
      <c r="D401" s="64" t="s">
        <v>36</v>
      </c>
      <c r="E401" s="65" t="s">
        <v>186</v>
      </c>
      <c r="F401" s="66" t="s">
        <v>38</v>
      </c>
      <c r="G401" s="65" t="s">
        <v>192</v>
      </c>
      <c r="H401" s="68" t="s">
        <v>40</v>
      </c>
    </row>
    <row r="402" customFormat="false" ht="15.75" hidden="false" customHeight="false" outlineLevel="0" collapsed="false">
      <c r="C402" s="30"/>
      <c r="D402" s="69" t="s">
        <v>41</v>
      </c>
      <c r="E402" s="65" t="s">
        <v>187</v>
      </c>
      <c r="F402" s="71" t="s">
        <v>43</v>
      </c>
      <c r="G402" s="65" t="s">
        <v>194</v>
      </c>
      <c r="H402" s="73" t="s">
        <v>127</v>
      </c>
    </row>
    <row r="403" customFormat="false" ht="13.5" hidden="false" customHeight="false" outlineLevel="0" collapsed="false">
      <c r="C403" s="30"/>
      <c r="D403" s="74" t="s">
        <v>46</v>
      </c>
      <c r="E403" s="75" t="s">
        <v>128</v>
      </c>
      <c r="F403" s="76" t="s">
        <v>48</v>
      </c>
      <c r="G403" s="75" t="s">
        <v>195</v>
      </c>
      <c r="H403" s="68" t="s">
        <v>50</v>
      </c>
    </row>
    <row r="404" customFormat="false" ht="13.5" hidden="false" customHeight="false" outlineLevel="0" collapsed="false">
      <c r="C404" s="30"/>
      <c r="D404" s="78" t="s">
        <v>51</v>
      </c>
      <c r="E404" s="79" t="n">
        <v>20</v>
      </c>
      <c r="F404" s="80" t="s">
        <v>188</v>
      </c>
      <c r="G404" s="81" t="s">
        <v>197</v>
      </c>
      <c r="H404" s="82" t="s">
        <v>52</v>
      </c>
    </row>
    <row r="405" customFormat="false" ht="12.75" hidden="false" customHeight="true" outlineLevel="0" collapsed="false">
      <c r="C405" s="30"/>
      <c r="D405" s="83" t="s">
        <v>53</v>
      </c>
      <c r="E405" s="84" t="s">
        <v>180</v>
      </c>
      <c r="F405" s="84"/>
      <c r="G405" s="84"/>
      <c r="H405" s="84"/>
    </row>
    <row r="406" customFormat="false" ht="13.5" hidden="false" customHeight="false" outlineLevel="0" collapsed="false">
      <c r="C406" s="30"/>
      <c r="D406" s="83"/>
      <c r="E406" s="84"/>
      <c r="F406" s="84"/>
      <c r="G406" s="84"/>
      <c r="H406" s="84"/>
    </row>
    <row r="407" customFormat="false" ht="13.5" hidden="false" customHeight="false" outlineLevel="0" collapsed="false"/>
  </sheetData>
  <mergeCells count="90">
    <mergeCell ref="C3:H3"/>
    <mergeCell ref="D9:H9"/>
    <mergeCell ref="C11:C28"/>
    <mergeCell ref="D11:H11"/>
    <mergeCell ref="D27:D28"/>
    <mergeCell ref="E27:H28"/>
    <mergeCell ref="C29:C46"/>
    <mergeCell ref="D29:H29"/>
    <mergeCell ref="D45:D46"/>
    <mergeCell ref="E45:H46"/>
    <mergeCell ref="C47:C64"/>
    <mergeCell ref="D47:H47"/>
    <mergeCell ref="D63:D64"/>
    <mergeCell ref="E63:H64"/>
    <mergeCell ref="C65:C82"/>
    <mergeCell ref="D65:H65"/>
    <mergeCell ref="D81:D82"/>
    <mergeCell ref="E81:H82"/>
    <mergeCell ref="C83:C100"/>
    <mergeCell ref="D83:H83"/>
    <mergeCell ref="D99:D100"/>
    <mergeCell ref="E99:H100"/>
    <mergeCell ref="C101:C118"/>
    <mergeCell ref="D101:H101"/>
    <mergeCell ref="D117:D118"/>
    <mergeCell ref="E117:H118"/>
    <mergeCell ref="C119:C136"/>
    <mergeCell ref="D119:H119"/>
    <mergeCell ref="D135:D136"/>
    <mergeCell ref="E135:H136"/>
    <mergeCell ref="C137:C154"/>
    <mergeCell ref="D137:H137"/>
    <mergeCell ref="D153:D154"/>
    <mergeCell ref="E153:H154"/>
    <mergeCell ref="C155:C172"/>
    <mergeCell ref="D155:H155"/>
    <mergeCell ref="D171:D172"/>
    <mergeCell ref="E171:H172"/>
    <mergeCell ref="C173:C190"/>
    <mergeCell ref="D173:H173"/>
    <mergeCell ref="D189:D190"/>
    <mergeCell ref="E189:H190"/>
    <mergeCell ref="C191:C208"/>
    <mergeCell ref="D191:H191"/>
    <mergeCell ref="D207:D208"/>
    <mergeCell ref="E207:H208"/>
    <mergeCell ref="C209:C226"/>
    <mergeCell ref="D209:H209"/>
    <mergeCell ref="D225:D226"/>
    <mergeCell ref="E225:H226"/>
    <mergeCell ref="C227:C244"/>
    <mergeCell ref="D227:H227"/>
    <mergeCell ref="D243:D244"/>
    <mergeCell ref="E243:H244"/>
    <mergeCell ref="C245:C262"/>
    <mergeCell ref="D245:H245"/>
    <mergeCell ref="D261:D262"/>
    <mergeCell ref="E261:H262"/>
    <mergeCell ref="C263:C280"/>
    <mergeCell ref="D263:H263"/>
    <mergeCell ref="D279:D280"/>
    <mergeCell ref="E279:H280"/>
    <mergeCell ref="C281:C298"/>
    <mergeCell ref="D281:H281"/>
    <mergeCell ref="D297:D298"/>
    <mergeCell ref="E297:H298"/>
    <mergeCell ref="C299:C316"/>
    <mergeCell ref="D299:H299"/>
    <mergeCell ref="D315:D316"/>
    <mergeCell ref="E315:H316"/>
    <mergeCell ref="C317:C334"/>
    <mergeCell ref="D317:H317"/>
    <mergeCell ref="D333:D334"/>
    <mergeCell ref="E333:H334"/>
    <mergeCell ref="C335:C352"/>
    <mergeCell ref="D335:H335"/>
    <mergeCell ref="D351:D352"/>
    <mergeCell ref="E351:H352"/>
    <mergeCell ref="C353:C370"/>
    <mergeCell ref="D353:H353"/>
    <mergeCell ref="D369:D370"/>
    <mergeCell ref="E369:H370"/>
    <mergeCell ref="C371:C388"/>
    <mergeCell ref="D371:H371"/>
    <mergeCell ref="D387:D388"/>
    <mergeCell ref="E387:H388"/>
    <mergeCell ref="C389:C406"/>
    <mergeCell ref="D389:H389"/>
    <mergeCell ref="D405:D406"/>
    <mergeCell ref="E405:H406"/>
  </mergeCells>
  <printOptions headings="false" gridLines="false" gridLinesSet="true" horizontalCentered="false" verticalCentered="false"/>
  <pageMargins left="0.747916666666667" right="0.747916666666667" top="0.5" bottom="0.5" header="0.511811023622047" footer="0.511811023622047"/>
  <pageSetup paperSize="5" scale="55" fitToWidth="1" fitToHeight="1"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anchor moveWithCells="true" sizeWithCells="false">
                  <from>
                    <xdr:col>4</xdr:col>
                    <xdr:colOff>1006200</xdr:colOff>
                    <xdr:row>3</xdr:row>
                    <xdr:rowOff>104760</xdr:rowOff>
                  </from>
                  <to>
                    <xdr:col>5</xdr:col>
                    <xdr:colOff>435240</xdr:colOff>
                    <xdr:row>5</xdr:row>
                    <xdr:rowOff>162000</xdr:rowOff>
                  </to>
                </anchor>
              </controlPr>
            </control>
          </mc:Choice>
        </mc:AlternateContent>
        <mc:AlternateContent xmlns:mc="http://schemas.openxmlformats.org/markup-compatibility/2006">
          <mc:Choice Requires="x14">
            <control shapeId="1002" r:id="rId4" name="Button 2">
              <controlPr defaultSize="0" print="false" autoFill="0" autoPict="0">
                <anchor moveWithCells="true" sizeWithCells="false">
                  <from>
                    <xdr:col>2</xdr:col>
                    <xdr:colOff>130320</xdr:colOff>
                    <xdr:row>3</xdr:row>
                    <xdr:rowOff>104760</xdr:rowOff>
                  </from>
                  <to>
                    <xdr:col>3</xdr:col>
                    <xdr:colOff>966960</xdr:colOff>
                    <xdr:row>5</xdr:row>
                    <xdr:rowOff>162000</xdr:rowOff>
                  </to>
                </anchor>
              </controlPr>
            </control>
          </mc:Choice>
        </mc:AlternateContent>
        <mc:AlternateContent xmlns:mc="http://schemas.openxmlformats.org/markup-compatibility/2006">
          <mc:Choice Requires="x14">
            <control shapeId="1003" r:id="rId5" name="Button 3">
              <controlPr defaultSize="0" print="false" autoFill="0" autoPict="0">
                <anchor moveWithCells="true" sizeWithCells="false">
                  <from>
                    <xdr:col>5</xdr:col>
                    <xdr:colOff>1802520</xdr:colOff>
                    <xdr:row>3</xdr:row>
                    <xdr:rowOff>104760</xdr:rowOff>
                  </from>
                  <to>
                    <xdr:col>6</xdr:col>
                    <xdr:colOff>1230120</xdr:colOff>
                    <xdr:row>5</xdr:row>
                    <xdr:rowOff>162000</xdr:rowOff>
                  </to>
                </anchor>
              </controlPr>
            </control>
          </mc:Choice>
        </mc:AlternateContent>
        <mc:AlternateContent xmlns:mc="http://schemas.openxmlformats.org/markup-compatibility/2006">
          <mc:Choice Requires="x14">
            <control shapeId="1004" r:id="rId6" name="Button 4">
              <controlPr defaultSize="0" print="false" autoFill="0" autoPict="0">
                <anchor moveWithCells="true" sizeWithCells="false">
                  <from>
                    <xdr:col>7</xdr:col>
                    <xdr:colOff>433440</xdr:colOff>
                    <xdr:row>3</xdr:row>
                    <xdr:rowOff>104760</xdr:rowOff>
                  </from>
                  <to>
                    <xdr:col>8</xdr:col>
                    <xdr:colOff>-139680</xdr:colOff>
                    <xdr:row>5</xdr:row>
                    <xdr:rowOff>162000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99"/>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5" ySplit="21" topLeftCell="BG22" activePane="bottomRight" state="frozen"/>
      <selection pane="topLeft" activeCell="A1" activeCellId="0" sqref="A1"/>
      <selection pane="topRight" activeCell="BG1" activeCellId="0" sqref="BG1"/>
      <selection pane="bottomLeft" activeCell="A22" activeCellId="0" sqref="A22"/>
      <selection pane="bottomRight" activeCell="CI21" activeCellId="0" sqref="CI21:CI99"/>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13.7"/>
    <col collapsed="false" customWidth="true" hidden="false" outlineLevel="0" max="19" min="19" style="365" width="19.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62</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367415.41</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367415.41</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0</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0</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3744.53</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0.27</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-531.29</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1444.99</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-1354.87</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38.86</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38816.57</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328598.84</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3.141</v>
      </c>
      <c r="BW22" s="369" t="n">
        <v>3.156</v>
      </c>
      <c r="BX22" s="370" t="n">
        <v>1.00399203184089</v>
      </c>
      <c r="BY22" s="370" t="n">
        <v>1.00399203184089</v>
      </c>
      <c r="BZ22" s="370" t="n">
        <v>0.99</v>
      </c>
      <c r="CA22" s="370" t="n">
        <v>0.0187659081571607</v>
      </c>
      <c r="CB22" s="370" t="n">
        <v>0.998364899395796</v>
      </c>
      <c r="CC22" s="505" t="n">
        <v>0.295</v>
      </c>
      <c r="CD22" s="505" t="n">
        <v>0</v>
      </c>
      <c r="CE22" s="505" t="n">
        <v>0.31</v>
      </c>
      <c r="CF22" s="505" t="n">
        <v>0</v>
      </c>
      <c r="CG22" s="505" t="n">
        <v>0</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-T23/(1-AR23)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3.148</v>
      </c>
      <c r="BW23" s="369" t="n">
        <v>3.163</v>
      </c>
      <c r="BX23" s="370" t="n">
        <v>0.933141349302333</v>
      </c>
      <c r="BY23" s="370" t="n">
        <v>0.933141349302333</v>
      </c>
      <c r="BZ23" s="370" t="n">
        <v>0.993341664779198</v>
      </c>
      <c r="CA23" s="370" t="n">
        <v>0.0193261872820063</v>
      </c>
      <c r="CB23" s="370" t="n">
        <v>0.996688029844541</v>
      </c>
      <c r="CC23" s="505" t="n">
        <v>0.24</v>
      </c>
      <c r="CD23" s="505" t="n">
        <v>0</v>
      </c>
      <c r="CE23" s="505" t="n">
        <v>0.255</v>
      </c>
      <c r="CF23" s="505" t="n">
        <v>0</v>
      </c>
      <c r="CG23" s="505" t="n">
        <v>0</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-T24/(1-AR24)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3.147</v>
      </c>
      <c r="BW24" s="369" t="n">
        <v>3.162</v>
      </c>
      <c r="BX24" s="370" t="n">
        <v>0.79</v>
      </c>
      <c r="BY24" s="370" t="n">
        <v>0.79</v>
      </c>
      <c r="BZ24" s="370" t="n">
        <v>0.996243243243243</v>
      </c>
      <c r="CA24" s="370" t="n">
        <v>0.0192731753639035</v>
      </c>
      <c r="CB24" s="370" t="n">
        <v>0.99523258517239</v>
      </c>
      <c r="CC24" s="505" t="n">
        <v>0.245</v>
      </c>
      <c r="CD24" s="505" t="n">
        <v>0</v>
      </c>
      <c r="CE24" s="505" t="n">
        <v>0.26</v>
      </c>
      <c r="CF24" s="505" t="n">
        <v>0</v>
      </c>
      <c r="CG24" s="505" t="n">
        <v>0</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-T25/(1-AR25)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2.9405</v>
      </c>
      <c r="BW25" s="369" t="n">
        <v>2.9655</v>
      </c>
      <c r="BX25" s="370" t="n">
        <v>0.606420927626525</v>
      </c>
      <c r="BY25" s="370" t="n">
        <v>0.606420927626525</v>
      </c>
      <c r="BZ25" s="370" t="n">
        <v>0.998884437841566</v>
      </c>
      <c r="CA25" s="370" t="n">
        <v>0.0194226401196236</v>
      </c>
      <c r="CB25" s="370" t="n">
        <v>0.993564587749983</v>
      </c>
      <c r="CC25" s="505" t="n">
        <v>0.0925</v>
      </c>
      <c r="CD25" s="505" t="n">
        <v>0</v>
      </c>
      <c r="CE25" s="505" t="n">
        <v>0.1175</v>
      </c>
      <c r="CF25" s="505" t="n">
        <v>0</v>
      </c>
      <c r="CG25" s="505" t="n">
        <v>0</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-T26/(1-AR26)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2.9885</v>
      </c>
      <c r="BW26" s="369" t="n">
        <v>3.0135</v>
      </c>
      <c r="BX26" s="370" t="n">
        <v>0.583015928847491</v>
      </c>
      <c r="BY26" s="370" t="n">
        <v>0.583015928847491</v>
      </c>
      <c r="BZ26" s="370" t="n">
        <v>0.998820919175911</v>
      </c>
      <c r="CA26" s="370" t="n">
        <v>0.019712159578257</v>
      </c>
      <c r="CB26" s="370" t="n">
        <v>0.991870109542169</v>
      </c>
      <c r="CC26" s="505" t="n">
        <v>0.0925</v>
      </c>
      <c r="CD26" s="505" t="n">
        <v>0</v>
      </c>
      <c r="CE26" s="505" t="n">
        <v>0.1175</v>
      </c>
      <c r="CF26" s="505" t="n">
        <v>0</v>
      </c>
      <c r="CG26" s="505" t="n">
        <v>0</v>
      </c>
      <c r="CH26" s="505" t="n">
        <v>0</v>
      </c>
      <c r="CI26" s="505" t="n">
        <v>2.896</v>
      </c>
      <c r="CJ26" s="505"/>
      <c r="CK26" s="505"/>
      <c r="CL26" s="505"/>
      <c r="CM26" s="505"/>
    </row>
    <row r="27" customFormat="false" ht="12.75" hidden="false" customHeight="false" outlineLevel="0" collapsed="false">
      <c r="A27" s="500"/>
      <c r="B27" s="500"/>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-T27/(1-AR27)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3.0385</v>
      </c>
      <c r="BW27" s="369" t="n">
        <v>3.0635</v>
      </c>
      <c r="BX27" s="370" t="n">
        <v>0.554685115579688</v>
      </c>
      <c r="BY27" s="370" t="n">
        <v>0.554685115579688</v>
      </c>
      <c r="BZ27" s="370" t="n">
        <v>0.998948373526118</v>
      </c>
      <c r="CA27" s="370" t="n">
        <v>0.0200113297153544</v>
      </c>
      <c r="CB27" s="370" t="n">
        <v>0.990073216017117</v>
      </c>
      <c r="CC27" s="505" t="n">
        <v>0.0925</v>
      </c>
      <c r="CD27" s="505" t="n">
        <v>0</v>
      </c>
      <c r="CE27" s="505" t="n">
        <v>0.1175</v>
      </c>
      <c r="CF27" s="505" t="n">
        <v>0</v>
      </c>
      <c r="CG27" s="505" t="n">
        <v>0</v>
      </c>
      <c r="CH27" s="505" t="n">
        <v>0</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-T28/(1-AR28)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3.0765</v>
      </c>
      <c r="BW28" s="369" t="n">
        <v>3.1015</v>
      </c>
      <c r="BX28" s="370" t="n">
        <v>0.553581868033433</v>
      </c>
      <c r="BY28" s="370" t="n">
        <v>0.553581868033433</v>
      </c>
      <c r="BZ28" s="370" t="n">
        <v>0.99890966861495</v>
      </c>
      <c r="CA28" s="370" t="n">
        <v>0.0204286298094831</v>
      </c>
      <c r="CB28" s="370" t="n">
        <v>0.988217193800728</v>
      </c>
      <c r="CC28" s="505" t="n">
        <v>0.0925</v>
      </c>
      <c r="CD28" s="505" t="n">
        <v>0</v>
      </c>
      <c r="CE28" s="505" t="n">
        <v>0.1175</v>
      </c>
      <c r="CF28" s="505" t="n">
        <v>0</v>
      </c>
      <c r="CG28" s="505" t="n">
        <v>0</v>
      </c>
      <c r="CH28" s="505" t="n">
        <v>0</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-T29/(1-AR29)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3.1185</v>
      </c>
      <c r="BW29" s="369" t="n">
        <v>3.1435</v>
      </c>
      <c r="BX29" s="370" t="n">
        <v>0.553926734220249</v>
      </c>
      <c r="BY29" s="370" t="n">
        <v>0.553926734220249</v>
      </c>
      <c r="BZ29" s="370" t="n">
        <v>0.998903468101813</v>
      </c>
      <c r="CA29" s="370" t="n">
        <v>0.021065008234304</v>
      </c>
      <c r="CB29" s="370" t="n">
        <v>0.986098940667972</v>
      </c>
      <c r="CC29" s="505" t="n">
        <v>0.0925</v>
      </c>
      <c r="CD29" s="505" t="n">
        <v>0</v>
      </c>
      <c r="CE29" s="505" t="n">
        <v>0.1175</v>
      </c>
      <c r="CF29" s="505" t="n">
        <v>0</v>
      </c>
      <c r="CG29" s="505" t="n">
        <v>0</v>
      </c>
      <c r="CH29" s="505" t="n">
        <v>0</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-T30/(1-AR30)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3.1105</v>
      </c>
      <c r="BW30" s="369" t="n">
        <v>3.1355</v>
      </c>
      <c r="BX30" s="370" t="n">
        <v>0.552009176042195</v>
      </c>
      <c r="BY30" s="370" t="n">
        <v>0.552009176042195</v>
      </c>
      <c r="BZ30" s="370" t="n">
        <v>0.999049536807485</v>
      </c>
      <c r="CA30" s="370" t="n">
        <v>0.0217013867962765</v>
      </c>
      <c r="CB30" s="370" t="n">
        <v>0.983880178541275</v>
      </c>
      <c r="CC30" s="505" t="n">
        <v>0.0925</v>
      </c>
      <c r="CD30" s="505" t="n">
        <v>0</v>
      </c>
      <c r="CE30" s="505" t="n">
        <v>0.1175</v>
      </c>
      <c r="CF30" s="505" t="n">
        <v>0</v>
      </c>
      <c r="CG30" s="505" t="n">
        <v>0</v>
      </c>
      <c r="CH30" s="505" t="n">
        <v>0</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-T31/(1-AR31)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3.1235</v>
      </c>
      <c r="BW31" s="369" t="n">
        <v>3.1485</v>
      </c>
      <c r="BX31" s="370" t="n">
        <v>0.554635809260041</v>
      </c>
      <c r="BY31" s="370" t="n">
        <v>0.554635809260041</v>
      </c>
      <c r="BZ31" s="370" t="n">
        <v>0.998999828181974</v>
      </c>
      <c r="CA31" s="370" t="n">
        <v>0.022410164045374</v>
      </c>
      <c r="CB31" s="370" t="n">
        <v>0.981562668478235</v>
      </c>
      <c r="CC31" s="505" t="n">
        <v>0.0925</v>
      </c>
      <c r="CD31" s="505" t="n">
        <v>0</v>
      </c>
      <c r="CE31" s="505" t="n">
        <v>0.1175</v>
      </c>
      <c r="CF31" s="505" t="n">
        <v>0</v>
      </c>
      <c r="CG31" s="505" t="n">
        <v>0</v>
      </c>
      <c r="CH31" s="505" t="n">
        <v>0</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-T32/(1-AR32)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3.536</v>
      </c>
      <c r="BW32" s="369" t="n">
        <v>3.546</v>
      </c>
      <c r="BX32" s="370" t="n">
        <v>0.557476031074478</v>
      </c>
      <c r="BY32" s="370" t="n">
        <v>0.557476031074478</v>
      </c>
      <c r="BZ32" s="370" t="n">
        <v>0.998965222896001</v>
      </c>
      <c r="CA32" s="370" t="n">
        <v>0.0232740649677528</v>
      </c>
      <c r="CB32" s="370" t="n">
        <v>0.97893835036076</v>
      </c>
      <c r="CC32" s="505" t="n">
        <v>0.325</v>
      </c>
      <c r="CD32" s="505" t="n">
        <v>0</v>
      </c>
      <c r="CE32" s="505" t="n">
        <v>0.335</v>
      </c>
      <c r="CF32" s="505" t="n">
        <v>0</v>
      </c>
      <c r="CG32" s="505" t="n">
        <v>0</v>
      </c>
      <c r="CH32" s="505" t="n">
        <v>0</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-T33/(1-AR33)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3.726</v>
      </c>
      <c r="BW33" s="369" t="n">
        <v>3.736</v>
      </c>
      <c r="BX33" s="370" t="n">
        <v>0.578861068007188</v>
      </c>
      <c r="BY33" s="370" t="n">
        <v>0.578861068007188</v>
      </c>
      <c r="BZ33" s="370" t="n">
        <v>0.998335356066718</v>
      </c>
      <c r="CA33" s="370" t="n">
        <v>0.024110098358836</v>
      </c>
      <c r="CB33" s="370" t="n">
        <v>0.976270925999808</v>
      </c>
      <c r="CC33" s="505" t="n">
        <v>0.355</v>
      </c>
      <c r="CD33" s="505" t="n">
        <v>0</v>
      </c>
      <c r="CE33" s="505" t="n">
        <v>0.365</v>
      </c>
      <c r="CF33" s="505" t="n">
        <v>0</v>
      </c>
      <c r="CG33" s="505" t="n">
        <v>0</v>
      </c>
      <c r="CH33" s="505" t="n">
        <v>0</v>
      </c>
      <c r="CI33" s="505" t="n">
        <v>3.371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-T34/(1-AR34)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3.821</v>
      </c>
      <c r="BW34" s="369" t="n">
        <v>3.831</v>
      </c>
      <c r="BX34" s="370" t="n">
        <v>0.576044779361258</v>
      </c>
      <c r="BY34" s="370" t="n">
        <v>0.576044779361258</v>
      </c>
      <c r="BZ34" s="370" t="n">
        <v>0.998367869438327</v>
      </c>
      <c r="CA34" s="370" t="n">
        <v>0.0250384261928196</v>
      </c>
      <c r="CB34" s="370" t="n">
        <v>0.97331647833328</v>
      </c>
      <c r="CC34" s="505" t="n">
        <v>0.375</v>
      </c>
      <c r="CD34" s="505" t="n">
        <v>0</v>
      </c>
      <c r="CE34" s="505" t="n">
        <v>0.385</v>
      </c>
      <c r="CF34" s="505" t="n">
        <v>0</v>
      </c>
      <c r="CG34" s="505" t="n">
        <v>0</v>
      </c>
      <c r="CH34" s="505" t="n">
        <v>0</v>
      </c>
      <c r="CI34" s="505" t="n">
        <v>3.446</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-T35/(1-AR35)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3.736</v>
      </c>
      <c r="BW35" s="369" t="n">
        <v>3.746</v>
      </c>
      <c r="BX35" s="370" t="n">
        <v>0.560981465325952</v>
      </c>
      <c r="BY35" s="370" t="n">
        <v>0.560981465325952</v>
      </c>
      <c r="BZ35" s="370" t="n">
        <v>0.998552724346853</v>
      </c>
      <c r="CA35" s="370" t="n">
        <v>0.0260449864197474</v>
      </c>
      <c r="CB35" s="370" t="n">
        <v>0.970132608451962</v>
      </c>
      <c r="CC35" s="505" t="n">
        <v>0.365</v>
      </c>
      <c r="CD35" s="505" t="n">
        <v>0</v>
      </c>
      <c r="CE35" s="505" t="n">
        <v>0.375</v>
      </c>
      <c r="CF35" s="505" t="n">
        <v>0</v>
      </c>
      <c r="CG35" s="505" t="n">
        <v>0</v>
      </c>
      <c r="CH35" s="505" t="n">
        <v>0</v>
      </c>
      <c r="CI35" s="505" t="n">
        <v>3.371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-T36/(1-AR36)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3.641</v>
      </c>
      <c r="BW36" s="369" t="n">
        <v>3.651</v>
      </c>
      <c r="BX36" s="370" t="n">
        <v>0.50293567145062</v>
      </c>
      <c r="BY36" s="370" t="n">
        <v>0.50293567145062</v>
      </c>
      <c r="BZ36" s="370" t="n">
        <v>0.999077275812154</v>
      </c>
      <c r="CA36" s="370" t="n">
        <v>0.0269541378866576</v>
      </c>
      <c r="CB36" s="370" t="n">
        <v>0.967126070368611</v>
      </c>
      <c r="CC36" s="505" t="n">
        <v>0.36</v>
      </c>
      <c r="CD36" s="505" t="n">
        <v>0</v>
      </c>
      <c r="CE36" s="505" t="n">
        <v>0.37</v>
      </c>
      <c r="CF36" s="505" t="n">
        <v>0</v>
      </c>
      <c r="CG36" s="505" t="n">
        <v>0</v>
      </c>
      <c r="CH36" s="505" t="n">
        <v>0</v>
      </c>
      <c r="CI36" s="505" t="n">
        <v>3.281</v>
      </c>
      <c r="CJ36" s="505"/>
      <c r="CK36" s="505"/>
      <c r="CL36" s="505"/>
      <c r="CM36" s="505"/>
    </row>
    <row r="37" customFormat="false" ht="12.75" hidden="false" customHeight="false" outlineLevel="0" collapsed="false">
      <c r="A37" s="500"/>
      <c r="B37" s="500"/>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-T37/(1-AR37)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3.256</v>
      </c>
      <c r="BW37" s="369" t="n">
        <v>3.291</v>
      </c>
      <c r="BX37" s="370" t="n">
        <v>0.39066962859815</v>
      </c>
      <c r="BY37" s="370" t="n">
        <v>0.39066962859815</v>
      </c>
      <c r="BZ37" s="370" t="n">
        <v>0.999535982230107</v>
      </c>
      <c r="CA37" s="370" t="n">
        <v>0.0279745964320606</v>
      </c>
      <c r="CB37" s="370" t="n">
        <v>0.963636615990319</v>
      </c>
      <c r="CC37" s="505" t="n">
        <v>0.13</v>
      </c>
      <c r="CD37" s="505" t="n">
        <v>0</v>
      </c>
      <c r="CE37" s="505" t="n">
        <v>0.165</v>
      </c>
      <c r="CF37" s="505" t="n">
        <v>0</v>
      </c>
      <c r="CG37" s="505" t="n">
        <v>0</v>
      </c>
      <c r="CH37" s="505" t="n">
        <v>0</v>
      </c>
      <c r="CI37" s="505" t="n">
        <v>3.126</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-T38/(1-AR38)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3.257</v>
      </c>
      <c r="BW38" s="369" t="n">
        <v>3.292</v>
      </c>
      <c r="BX38" s="370" t="n">
        <v>0.37816065973456</v>
      </c>
      <c r="BY38" s="370" t="n">
        <v>0.37816065973456</v>
      </c>
      <c r="BZ38" s="370" t="n">
        <v>0.999412805495066</v>
      </c>
      <c r="CA38" s="370" t="n">
        <v>0.0289631800763801</v>
      </c>
      <c r="CB38" s="370" t="n">
        <v>0.960114752892753</v>
      </c>
      <c r="CC38" s="505" t="n">
        <v>0.13</v>
      </c>
      <c r="CD38" s="505" t="n">
        <v>0</v>
      </c>
      <c r="CE38" s="505" t="n">
        <v>0.165</v>
      </c>
      <c r="CF38" s="505" t="n">
        <v>0</v>
      </c>
      <c r="CG38" s="505" t="n">
        <v>0</v>
      </c>
      <c r="CH38" s="505" t="n">
        <v>0</v>
      </c>
      <c r="CI38" s="505" t="n">
        <v>3.127</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-T39/(1-AR39)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3.292</v>
      </c>
      <c r="BW39" s="369" t="n">
        <v>3.327</v>
      </c>
      <c r="BX39" s="370" t="n">
        <v>0.377677056513092</v>
      </c>
      <c r="BY39" s="370" t="n">
        <v>0.377677056513092</v>
      </c>
      <c r="BZ39" s="370" t="n">
        <v>0.999461941559651</v>
      </c>
      <c r="CA39" s="370" t="n">
        <v>0.0299847168551968</v>
      </c>
      <c r="CB39" s="370" t="n">
        <v>0.956328852591432</v>
      </c>
      <c r="CC39" s="505" t="n">
        <v>0.13</v>
      </c>
      <c r="CD39" s="505" t="n">
        <v>0</v>
      </c>
      <c r="CE39" s="505" t="n">
        <v>0.165</v>
      </c>
      <c r="CF39" s="505" t="n">
        <v>0</v>
      </c>
      <c r="CG39" s="505" t="n">
        <v>0</v>
      </c>
      <c r="CH39" s="505" t="n">
        <v>0</v>
      </c>
      <c r="CI39" s="505" t="n">
        <v>3.162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-T40/(1-AR40)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3.334</v>
      </c>
      <c r="BW40" s="369" t="n">
        <v>3.369</v>
      </c>
      <c r="BX40" s="370" t="n">
        <v>0.379529532568229</v>
      </c>
      <c r="BY40" s="370" t="n">
        <v>0.379529532568229</v>
      </c>
      <c r="BZ40" s="370" t="n">
        <v>0.999375340867331</v>
      </c>
      <c r="CA40" s="370" t="n">
        <v>0.0309652793004798</v>
      </c>
      <c r="CB40" s="370" t="n">
        <v>0.95253693379797</v>
      </c>
      <c r="CC40" s="505" t="n">
        <v>0.13</v>
      </c>
      <c r="CD40" s="505" t="n">
        <v>0</v>
      </c>
      <c r="CE40" s="505" t="n">
        <v>0.165</v>
      </c>
      <c r="CF40" s="505" t="n">
        <v>0</v>
      </c>
      <c r="CG40" s="505" t="n">
        <v>0</v>
      </c>
      <c r="CH40" s="505" t="n">
        <v>0</v>
      </c>
      <c r="CI40" s="505" t="n">
        <v>3.204</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-T41/(1-AR41)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3.376</v>
      </c>
      <c r="BW41" s="369" t="n">
        <v>3.411</v>
      </c>
      <c r="BX41" s="370" t="n">
        <v>0.381195839723846</v>
      </c>
      <c r="BY41" s="370" t="n">
        <v>0.381195839723846</v>
      </c>
      <c r="BZ41" s="370" t="n">
        <v>0.999306524975822</v>
      </c>
      <c r="CA41" s="370" t="n">
        <v>0.0319670833322725</v>
      </c>
      <c r="CB41" s="370" t="n">
        <v>0.948494893378275</v>
      </c>
      <c r="CC41" s="505" t="n">
        <v>0.13</v>
      </c>
      <c r="CD41" s="505" t="n">
        <v>0</v>
      </c>
      <c r="CE41" s="505" t="n">
        <v>0.165</v>
      </c>
      <c r="CF41" s="505" t="n">
        <v>0</v>
      </c>
      <c r="CG41" s="505" t="n">
        <v>0</v>
      </c>
      <c r="CH41" s="505" t="n">
        <v>0</v>
      </c>
      <c r="CI41" s="505" t="n">
        <v>3.246</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-T42/(1-AR42)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3.371</v>
      </c>
      <c r="BW42" s="369" t="n">
        <v>3.406</v>
      </c>
      <c r="BX42" s="370" t="n">
        <v>0.378132573801484</v>
      </c>
      <c r="BY42" s="370" t="n">
        <v>0.378132573801484</v>
      </c>
      <c r="BZ42" s="370" t="n">
        <v>0.999350429719081</v>
      </c>
      <c r="CA42" s="370" t="n">
        <v>0.032968887702129</v>
      </c>
      <c r="CB42" s="370" t="n">
        <v>0.944312700032904</v>
      </c>
      <c r="CC42" s="505" t="n">
        <v>0.13</v>
      </c>
      <c r="CD42" s="505" t="n">
        <v>0</v>
      </c>
      <c r="CE42" s="505" t="n">
        <v>0.165</v>
      </c>
      <c r="CF42" s="505" t="n">
        <v>0</v>
      </c>
      <c r="CG42" s="505" t="n">
        <v>0</v>
      </c>
      <c r="CH42" s="505" t="n">
        <v>0</v>
      </c>
      <c r="CI42" s="505" t="n">
        <v>3.241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-T43/(1-AR43)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3.397</v>
      </c>
      <c r="BW43" s="369" t="n">
        <v>3.432</v>
      </c>
      <c r="BX43" s="370" t="n">
        <v>0.382396137086886</v>
      </c>
      <c r="BY43" s="370" t="n">
        <v>0.382396137086886</v>
      </c>
      <c r="BZ43" s="370" t="n">
        <v>0.999270077898958</v>
      </c>
      <c r="CA43" s="370" t="n">
        <v>0.0339067018220711</v>
      </c>
      <c r="CB43" s="370" t="n">
        <v>0.940187685777986</v>
      </c>
      <c r="CC43" s="505" t="n">
        <v>0.13</v>
      </c>
      <c r="CD43" s="505" t="n">
        <v>0</v>
      </c>
      <c r="CE43" s="505" t="n">
        <v>0.165</v>
      </c>
      <c r="CF43" s="505" t="n">
        <v>0</v>
      </c>
      <c r="CG43" s="505" t="n">
        <v>0</v>
      </c>
      <c r="CH43" s="505" t="n">
        <v>0</v>
      </c>
      <c r="CI43" s="505" t="n">
        <v>3.267</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-T44/(1-AR44)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3.762</v>
      </c>
      <c r="BW44" s="369" t="n">
        <v>3.772</v>
      </c>
      <c r="BX44" s="370" t="n">
        <v>0.385609740274895</v>
      </c>
      <c r="BY44" s="370" t="n">
        <v>0.385609740274895</v>
      </c>
      <c r="BZ44" s="370" t="n">
        <v>0.999010047536112</v>
      </c>
      <c r="CA44" s="370" t="n">
        <v>0.0348361539671314</v>
      </c>
      <c r="CB44" s="370" t="n">
        <v>0.93586587426758</v>
      </c>
      <c r="CC44" s="505" t="n">
        <v>0.36</v>
      </c>
      <c r="CD44" s="505" t="n">
        <v>0</v>
      </c>
      <c r="CE44" s="505" t="n">
        <v>0.37</v>
      </c>
      <c r="CF44" s="505" t="n">
        <v>0</v>
      </c>
      <c r="CG44" s="505" t="n">
        <v>0</v>
      </c>
      <c r="CH44" s="505" t="n">
        <v>0</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-T45/(1-AR45)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3.897</v>
      </c>
      <c r="BW45" s="369" t="n">
        <v>3.907</v>
      </c>
      <c r="BX45" s="370" t="n">
        <v>0.401276546653549</v>
      </c>
      <c r="BY45" s="370" t="n">
        <v>0.401276546653549</v>
      </c>
      <c r="BZ45" s="370" t="n">
        <v>0.998321994417091</v>
      </c>
      <c r="CA45" s="370" t="n">
        <v>0.0357356240616102</v>
      </c>
      <c r="CB45" s="370" t="n">
        <v>0.931565547567078</v>
      </c>
      <c r="CC45" s="505" t="n">
        <v>0.36</v>
      </c>
      <c r="CD45" s="505" t="n">
        <v>0</v>
      </c>
      <c r="CE45" s="505" t="n">
        <v>0.37</v>
      </c>
      <c r="CF45" s="505" t="n">
        <v>0</v>
      </c>
      <c r="CG45" s="505" t="n">
        <v>0</v>
      </c>
      <c r="CH45" s="505" t="n">
        <v>0</v>
      </c>
      <c r="CI45" s="505" t="n">
        <v>3.537</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-T46/(1-AR46)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3.957</v>
      </c>
      <c r="BW46" s="369" t="n">
        <v>3.967</v>
      </c>
      <c r="BX46" s="370" t="n">
        <v>0.398353191559868</v>
      </c>
      <c r="BY46" s="370" t="n">
        <v>0.398353191559868</v>
      </c>
      <c r="BZ46" s="370" t="n">
        <v>0.998451998329429</v>
      </c>
      <c r="CA46" s="370" t="n">
        <v>0.0366293995889575</v>
      </c>
      <c r="CB46" s="370" t="n">
        <v>0.927069774742957</v>
      </c>
      <c r="CC46" s="505" t="n">
        <v>0.36</v>
      </c>
      <c r="CD46" s="505" t="n">
        <v>0</v>
      </c>
      <c r="CE46" s="505" t="n">
        <v>0.37</v>
      </c>
      <c r="CF46" s="505" t="n">
        <v>0</v>
      </c>
      <c r="CG46" s="505" t="n">
        <v>0</v>
      </c>
      <c r="CH46" s="505" t="n">
        <v>0</v>
      </c>
      <c r="CI46" s="505" t="n">
        <v>3.597</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-T47/(1-AR47)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3.872</v>
      </c>
      <c r="BW47" s="369" t="n">
        <v>3.882</v>
      </c>
      <c r="BX47" s="370" t="n">
        <v>0.395612515929317</v>
      </c>
      <c r="BY47" s="370" t="n">
        <v>0.395612515929317</v>
      </c>
      <c r="BZ47" s="370" t="n">
        <v>0.998587246487442</v>
      </c>
      <c r="CA47" s="370" t="n">
        <v>0.0374851197051385</v>
      </c>
      <c r="CB47" s="370" t="n">
        <v>0.922533811762705</v>
      </c>
      <c r="CC47" s="505" t="n">
        <v>0.36</v>
      </c>
      <c r="CD47" s="505" t="n">
        <v>0</v>
      </c>
      <c r="CE47" s="505" t="n">
        <v>0.37</v>
      </c>
      <c r="CF47" s="505" t="n">
        <v>0</v>
      </c>
      <c r="CG47" s="505" t="n">
        <v>0</v>
      </c>
      <c r="CH47" s="505" t="n">
        <v>0</v>
      </c>
      <c r="CI47" s="505" t="n">
        <v>3.512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-T48/(1-AR48)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3.742</v>
      </c>
      <c r="BW48" s="369" t="n">
        <v>3.752</v>
      </c>
      <c r="BX48" s="370" t="n">
        <v>0.366388286442151</v>
      </c>
      <c r="BY48" s="370" t="n">
        <v>0.366388286442151</v>
      </c>
      <c r="BZ48" s="370" t="n">
        <v>0.999211307955579</v>
      </c>
      <c r="CA48" s="370" t="n">
        <v>0.0382856322945879</v>
      </c>
      <c r="CB48" s="370" t="n">
        <v>0.918192690834127</v>
      </c>
      <c r="CC48" s="505" t="n">
        <v>0.36</v>
      </c>
      <c r="CD48" s="505" t="n">
        <v>0</v>
      </c>
      <c r="CE48" s="505" t="n">
        <v>0.37</v>
      </c>
      <c r="CF48" s="505" t="n">
        <v>0</v>
      </c>
      <c r="CG48" s="505" t="n">
        <v>0</v>
      </c>
      <c r="CH48" s="505" t="n">
        <v>0</v>
      </c>
      <c r="CI48" s="505" t="n">
        <v>3.382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-T49/(1-AR49)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3.342</v>
      </c>
      <c r="BW49" s="369" t="n">
        <v>3.377</v>
      </c>
      <c r="BX49" s="370" t="n">
        <v>0.332481620699618</v>
      </c>
      <c r="BY49" s="370" t="n">
        <v>0.332481620699618</v>
      </c>
      <c r="BZ49" s="370" t="n">
        <v>0.999678246610864</v>
      </c>
      <c r="CA49" s="370" t="n">
        <v>0.0390847146165725</v>
      </c>
      <c r="CB49" s="370" t="n">
        <v>0.913567985593808</v>
      </c>
      <c r="CC49" s="505" t="n">
        <v>0.145</v>
      </c>
      <c r="CD49" s="505" t="n">
        <v>0</v>
      </c>
      <c r="CE49" s="505" t="n">
        <v>0.18</v>
      </c>
      <c r="CF49" s="505" t="n">
        <v>0</v>
      </c>
      <c r="CG49" s="505" t="n">
        <v>0</v>
      </c>
      <c r="CH49" s="505" t="n">
        <v>0</v>
      </c>
      <c r="CI49" s="505" t="n">
        <v>3.197</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-T50/(1-AR50)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3.337</v>
      </c>
      <c r="BW50" s="369" t="n">
        <v>3.372</v>
      </c>
      <c r="BX50" s="370" t="n">
        <v>0.328869322210224</v>
      </c>
      <c r="BY50" s="370" t="n">
        <v>0.328869322210224</v>
      </c>
      <c r="BZ50" s="370" t="n">
        <v>0.999594932739235</v>
      </c>
      <c r="CA50" s="370" t="n">
        <v>0.0397995549683068</v>
      </c>
      <c r="CB50" s="370" t="n">
        <v>0.909126089677525</v>
      </c>
      <c r="CC50" s="505" t="n">
        <v>0.145</v>
      </c>
      <c r="CD50" s="505" t="n">
        <v>0</v>
      </c>
      <c r="CE50" s="505" t="n">
        <v>0.18</v>
      </c>
      <c r="CF50" s="505" t="n">
        <v>0</v>
      </c>
      <c r="CG50" s="505" t="n">
        <v>0</v>
      </c>
      <c r="CH50" s="505" t="n">
        <v>0</v>
      </c>
      <c r="CI50" s="505" t="n">
        <v>3.192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-T51/(1-AR51)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3.372</v>
      </c>
      <c r="BW51" s="369" t="n">
        <v>3.407</v>
      </c>
      <c r="BX51" s="370" t="n">
        <v>0.323758663407093</v>
      </c>
      <c r="BY51" s="370" t="n">
        <v>0.323758663407093</v>
      </c>
      <c r="BZ51" s="370" t="n">
        <v>0.999609008445418</v>
      </c>
      <c r="CA51" s="370" t="n">
        <v>0.0405382235118998</v>
      </c>
      <c r="CB51" s="370" t="n">
        <v>0.904449976505324</v>
      </c>
      <c r="CC51" s="505" t="n">
        <v>0.145</v>
      </c>
      <c r="CD51" s="505" t="n">
        <v>0</v>
      </c>
      <c r="CE51" s="505" t="n">
        <v>0.18</v>
      </c>
      <c r="CF51" s="505" t="n">
        <v>0</v>
      </c>
      <c r="CG51" s="505" t="n">
        <v>0</v>
      </c>
      <c r="CH51" s="505" t="n">
        <v>0</v>
      </c>
      <c r="CI51" s="505" t="n">
        <v>3.227</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-T52/(1-AR52)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3.412</v>
      </c>
      <c r="BW52" s="369" t="n">
        <v>3.447</v>
      </c>
      <c r="BX52" s="370" t="n">
        <v>0.325085108654415</v>
      </c>
      <c r="BY52" s="370" t="n">
        <v>0.325085108654415</v>
      </c>
      <c r="BZ52" s="370" t="n">
        <v>0.999530753121849</v>
      </c>
      <c r="CA52" s="370" t="n">
        <v>0.0412152492802473</v>
      </c>
      <c r="CB52" s="370" t="n">
        <v>0.899929041596613</v>
      </c>
      <c r="CC52" s="505" t="n">
        <v>0.145</v>
      </c>
      <c r="CD52" s="505" t="n">
        <v>0</v>
      </c>
      <c r="CE52" s="505" t="n">
        <v>0.18</v>
      </c>
      <c r="CF52" s="505" t="n">
        <v>0</v>
      </c>
      <c r="CG52" s="505" t="n">
        <v>0</v>
      </c>
      <c r="CH52" s="505" t="n">
        <v>0</v>
      </c>
      <c r="CI52" s="505" t="n">
        <v>3.267</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-T53/(1-AR53)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3.452</v>
      </c>
      <c r="BW53" s="369" t="n">
        <v>3.487</v>
      </c>
      <c r="BX53" s="370" t="n">
        <v>0.326326353347211</v>
      </c>
      <c r="BY53" s="370" t="n">
        <v>0.326326353347211</v>
      </c>
      <c r="BZ53" s="370" t="n">
        <v>0.999463391366563</v>
      </c>
      <c r="CA53" s="370" t="n">
        <v>0.0418733656308259</v>
      </c>
      <c r="CB53" s="370" t="n">
        <v>0.895276283112479</v>
      </c>
      <c r="CC53" s="505" t="n">
        <v>0.145</v>
      </c>
      <c r="CD53" s="505" t="n">
        <v>0</v>
      </c>
      <c r="CE53" s="505" t="n">
        <v>0.18</v>
      </c>
      <c r="CF53" s="505" t="n">
        <v>0</v>
      </c>
      <c r="CG53" s="505" t="n">
        <v>0</v>
      </c>
      <c r="CH53" s="505" t="n">
        <v>0</v>
      </c>
      <c r="CI53" s="505" t="n">
        <v>3.307</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-T54/(1-AR54)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3.447</v>
      </c>
      <c r="BW54" s="369" t="n">
        <v>3.482</v>
      </c>
      <c r="BX54" s="370" t="n">
        <v>0.325940393354155</v>
      </c>
      <c r="BY54" s="370" t="n">
        <v>0.325940393354155</v>
      </c>
      <c r="BZ54" s="370" t="n">
        <v>0.999495236528424</v>
      </c>
      <c r="CA54" s="370" t="n">
        <v>0.0425314821265914</v>
      </c>
      <c r="CB54" s="370" t="n">
        <v>0.890550622336601</v>
      </c>
      <c r="CC54" s="505" t="n">
        <v>0.145</v>
      </c>
      <c r="CD54" s="505" t="n">
        <v>0</v>
      </c>
      <c r="CE54" s="505" t="n">
        <v>0.18</v>
      </c>
      <c r="CF54" s="505" t="n">
        <v>0</v>
      </c>
      <c r="CG54" s="505" t="n">
        <v>0</v>
      </c>
      <c r="CH54" s="505" t="n">
        <v>0</v>
      </c>
      <c r="CI54" s="505" t="n">
        <v>3.302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-T55/(1-AR55)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3.472</v>
      </c>
      <c r="BW55" s="369" t="n">
        <v>3.507</v>
      </c>
      <c r="BX55" s="370" t="n">
        <v>0.327386952805804</v>
      </c>
      <c r="BY55" s="370" t="n">
        <v>0.327386952805804</v>
      </c>
      <c r="BZ55" s="370" t="n">
        <v>0.999411091841795</v>
      </c>
      <c r="CA55" s="370" t="n">
        <v>0.0431331290786572</v>
      </c>
      <c r="CB55" s="370" t="n">
        <v>0.885996047822783</v>
      </c>
      <c r="CC55" s="505" t="n">
        <v>0.145</v>
      </c>
      <c r="CD55" s="505" t="n">
        <v>0</v>
      </c>
      <c r="CE55" s="505" t="n">
        <v>0.18</v>
      </c>
      <c r="CF55" s="505" t="n">
        <v>0</v>
      </c>
      <c r="CG55" s="505" t="n">
        <v>0</v>
      </c>
      <c r="CH55" s="505" t="n">
        <v>0</v>
      </c>
      <c r="CI55" s="505" t="n">
        <v>3.327</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-T56/(1-AR56)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3.859</v>
      </c>
      <c r="BW56" s="369" t="n">
        <v>3.859</v>
      </c>
      <c r="BX56" s="370" t="n">
        <v>0.331587939765235</v>
      </c>
      <c r="BY56" s="370" t="n">
        <v>0.331587939765235</v>
      </c>
      <c r="BZ56" s="370" t="n">
        <v>0.999182472204055</v>
      </c>
      <c r="CA56" s="370" t="n">
        <v>0.0437209690349563</v>
      </c>
      <c r="CB56" s="370" t="n">
        <v>0.881310319234489</v>
      </c>
      <c r="CC56" s="505" t="n">
        <v>0.38</v>
      </c>
      <c r="CD56" s="505" t="n">
        <v>0</v>
      </c>
      <c r="CE56" s="505" t="n">
        <v>0.38</v>
      </c>
      <c r="CF56" s="505" t="n">
        <v>0</v>
      </c>
      <c r="CG56" s="505" t="n">
        <v>0</v>
      </c>
      <c r="CH56" s="505" t="n">
        <v>0</v>
      </c>
      <c r="CI56" s="505" t="n">
        <v>3.479</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-T57/(1-AR57)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4.002</v>
      </c>
      <c r="BW57" s="369" t="n">
        <v>4.002</v>
      </c>
      <c r="BX57" s="370" t="n">
        <v>0.343552619502259</v>
      </c>
      <c r="BY57" s="370" t="n">
        <v>0.343552619502259</v>
      </c>
      <c r="BZ57" s="370" t="n">
        <v>0.99855345989563</v>
      </c>
      <c r="CA57" s="370" t="n">
        <v>0.044289846522211</v>
      </c>
      <c r="CB57" s="370" t="n">
        <v>0.876718225648428</v>
      </c>
      <c r="CC57" s="505" t="n">
        <v>0.38</v>
      </c>
      <c r="CD57" s="505" t="n">
        <v>0</v>
      </c>
      <c r="CE57" s="505" t="n">
        <v>0.38</v>
      </c>
      <c r="CF57" s="505" t="n">
        <v>0</v>
      </c>
      <c r="CG57" s="505" t="n">
        <v>0</v>
      </c>
      <c r="CH57" s="505" t="n">
        <v>0</v>
      </c>
      <c r="CI57" s="505" t="n">
        <v>3.622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-T58/(1-AR58)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4.062</v>
      </c>
      <c r="BW58" s="369" t="n">
        <v>4.062</v>
      </c>
      <c r="BX58" s="370" t="n">
        <v>0.34292778947105</v>
      </c>
      <c r="BY58" s="370" t="n">
        <v>0.34292778947105</v>
      </c>
      <c r="BZ58" s="370" t="n">
        <v>0.998588029987518</v>
      </c>
      <c r="CA58" s="370" t="n">
        <v>0.0448548874957364</v>
      </c>
      <c r="CB58" s="370" t="n">
        <v>0.871974921810256</v>
      </c>
      <c r="CC58" s="505" t="n">
        <v>0.38</v>
      </c>
      <c r="CD58" s="505" t="n">
        <v>0</v>
      </c>
      <c r="CE58" s="505" t="n">
        <v>0.38</v>
      </c>
      <c r="CF58" s="505" t="n">
        <v>0</v>
      </c>
      <c r="CG58" s="505" t="n">
        <v>0</v>
      </c>
      <c r="CH58" s="505" t="n">
        <v>0</v>
      </c>
      <c r="CI58" s="505" t="n">
        <v>3.682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-T59/(1-AR59)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3.977</v>
      </c>
      <c r="BW59" s="369" t="n">
        <v>3.977</v>
      </c>
      <c r="BX59" s="370" t="n">
        <v>0.337941742673049</v>
      </c>
      <c r="BY59" s="370" t="n">
        <v>0.337941742673049</v>
      </c>
      <c r="BZ59" s="370" t="n">
        <v>0.998720187665516</v>
      </c>
      <c r="CA59" s="370" t="n">
        <v>0.0454011527523237</v>
      </c>
      <c r="CB59" s="370" t="n">
        <v>0.867226855595254</v>
      </c>
      <c r="CC59" s="505" t="n">
        <v>0.38</v>
      </c>
      <c r="CD59" s="505" t="n">
        <v>0</v>
      </c>
      <c r="CE59" s="505" t="n">
        <v>0.38</v>
      </c>
      <c r="CF59" s="505" t="n">
        <v>0</v>
      </c>
      <c r="CG59" s="505" t="n">
        <v>0</v>
      </c>
      <c r="CH59" s="505" t="n">
        <v>0</v>
      </c>
      <c r="CI59" s="505" t="n">
        <v>3.597</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-T60/(1-AR60)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3.847</v>
      </c>
      <c r="BW60" s="369" t="n">
        <v>3.847</v>
      </c>
      <c r="BX60" s="370" t="n">
        <v>0.317268038421172</v>
      </c>
      <c r="BY60" s="370" t="n">
        <v>0.317268038421172</v>
      </c>
      <c r="BZ60" s="370" t="n">
        <v>0.999271210021756</v>
      </c>
      <c r="CA60" s="370" t="n">
        <v>0.0458945537150708</v>
      </c>
      <c r="CB60" s="370" t="n">
        <v>0.862893591140207</v>
      </c>
      <c r="CC60" s="505" t="n">
        <v>0.38</v>
      </c>
      <c r="CD60" s="505" t="n">
        <v>0</v>
      </c>
      <c r="CE60" s="505" t="n">
        <v>0.38</v>
      </c>
      <c r="CF60" s="505" t="n">
        <v>0</v>
      </c>
      <c r="CG60" s="505" t="n">
        <v>0</v>
      </c>
      <c r="CH60" s="505" t="n">
        <v>0</v>
      </c>
      <c r="CI60" s="505" t="n">
        <v>3.467</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-T61/(1-AR61)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3.427</v>
      </c>
      <c r="BW61" s="369" t="n">
        <v>3.457</v>
      </c>
      <c r="BX61" s="370" t="n">
        <v>0.299848232051068</v>
      </c>
      <c r="BY61" s="370" t="n">
        <v>0.299848232051068</v>
      </c>
      <c r="BZ61" s="370" t="n">
        <v>0.999722853373924</v>
      </c>
      <c r="CA61" s="370" t="n">
        <v>0.0464010564150716</v>
      </c>
      <c r="CB61" s="370" t="n">
        <v>0.85815886093194</v>
      </c>
      <c r="CC61" s="505" t="n">
        <v>0.145</v>
      </c>
      <c r="CD61" s="505" t="n">
        <v>0</v>
      </c>
      <c r="CE61" s="505" t="n">
        <v>0.175</v>
      </c>
      <c r="CF61" s="505" t="n">
        <v>0</v>
      </c>
      <c r="CG61" s="505" t="n">
        <v>0</v>
      </c>
      <c r="CH61" s="505" t="n">
        <v>0</v>
      </c>
      <c r="CI61" s="505" t="n">
        <v>3.282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-T62/(1-AR62)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3.422</v>
      </c>
      <c r="BW62" s="369" t="n">
        <v>3.452</v>
      </c>
      <c r="BX62" s="370" t="n">
        <v>0.293526801490558</v>
      </c>
      <c r="BY62" s="370" t="n">
        <v>0.293526801490558</v>
      </c>
      <c r="BZ62" s="370" t="n">
        <v>0.999640051869687</v>
      </c>
      <c r="CA62" s="370" t="n">
        <v>0.0468566770502532</v>
      </c>
      <c r="CB62" s="370" t="n">
        <v>0.853632083295416</v>
      </c>
      <c r="CC62" s="505" t="n">
        <v>0.145</v>
      </c>
      <c r="CD62" s="505" t="n">
        <v>0</v>
      </c>
      <c r="CE62" s="505" t="n">
        <v>0.175</v>
      </c>
      <c r="CF62" s="505" t="n">
        <v>0</v>
      </c>
      <c r="CG62" s="505" t="n">
        <v>0</v>
      </c>
      <c r="CH62" s="505" t="n">
        <v>0</v>
      </c>
      <c r="CI62" s="505" t="n">
        <v>3.277</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-T63/(1-AR63)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3.457</v>
      </c>
      <c r="BW63" s="369" t="n">
        <v>3.487</v>
      </c>
      <c r="BX63" s="370" t="n">
        <v>0.293332815458823</v>
      </c>
      <c r="BY63" s="370" t="n">
        <v>0.293332815458823</v>
      </c>
      <c r="BZ63" s="370" t="n">
        <v>0.999659513421981</v>
      </c>
      <c r="CA63" s="370" t="n">
        <v>0.0473274851128664</v>
      </c>
      <c r="CB63" s="370" t="n">
        <v>0.848914575635623</v>
      </c>
      <c r="CC63" s="505" t="n">
        <v>0.145</v>
      </c>
      <c r="CD63" s="505" t="n">
        <v>0</v>
      </c>
      <c r="CE63" s="505" t="n">
        <v>0.175</v>
      </c>
      <c r="CF63" s="505" t="n">
        <v>0</v>
      </c>
      <c r="CG63" s="505" t="n">
        <v>0</v>
      </c>
      <c r="CH63" s="505" t="n">
        <v>0</v>
      </c>
      <c r="CI63" s="505" t="n">
        <v>3.312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-T64/(1-AR64)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3.497</v>
      </c>
      <c r="BW64" s="369" t="n">
        <v>3.527</v>
      </c>
      <c r="BX64" s="370" t="n">
        <v>0.28955507318026</v>
      </c>
      <c r="BY64" s="370" t="n">
        <v>0.28955507318026</v>
      </c>
      <c r="BZ64" s="370" t="n">
        <v>0.999573265559425</v>
      </c>
      <c r="CA64" s="370" t="n">
        <v>0.047760481058801</v>
      </c>
      <c r="CB64" s="370" t="n">
        <v>0.844378469838596</v>
      </c>
      <c r="CC64" s="505" t="n">
        <v>0.145</v>
      </c>
      <c r="CD64" s="505" t="n">
        <v>0</v>
      </c>
      <c r="CE64" s="505" t="n">
        <v>0.175</v>
      </c>
      <c r="CF64" s="505" t="n">
        <v>0</v>
      </c>
      <c r="CG64" s="505" t="n">
        <v>0</v>
      </c>
      <c r="CH64" s="505" t="n">
        <v>0</v>
      </c>
      <c r="CI64" s="505" t="n">
        <v>3.352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-T65/(1-AR65)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3.537</v>
      </c>
      <c r="BW65" s="369" t="n">
        <v>3.567</v>
      </c>
      <c r="BX65" s="370" t="n">
        <v>0.2905959919937</v>
      </c>
      <c r="BY65" s="370" t="n">
        <v>0.2905959919937</v>
      </c>
      <c r="BZ65" s="370" t="n">
        <v>0.999507434168974</v>
      </c>
      <c r="CA65" s="370" t="n">
        <v>0.0481861434694211</v>
      </c>
      <c r="CB65" s="370" t="n">
        <v>0.839721100096823</v>
      </c>
      <c r="CC65" s="505" t="n">
        <v>0.145</v>
      </c>
      <c r="CD65" s="505" t="n">
        <v>0</v>
      </c>
      <c r="CE65" s="505" t="n">
        <v>0.175</v>
      </c>
      <c r="CF65" s="505" t="n">
        <v>0</v>
      </c>
      <c r="CG65" s="505" t="n">
        <v>0</v>
      </c>
      <c r="CH65" s="505" t="n">
        <v>0</v>
      </c>
      <c r="CI65" s="505" t="n">
        <v>3.392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-T66/(1-AR66)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3.532</v>
      </c>
      <c r="BW66" s="369" t="n">
        <v>3.562</v>
      </c>
      <c r="BX66" s="370" t="n">
        <v>0.290297832635128</v>
      </c>
      <c r="BY66" s="370" t="n">
        <v>0.290297832635128</v>
      </c>
      <c r="BZ66" s="370" t="n">
        <v>0.99953296216799</v>
      </c>
      <c r="CA66" s="370" t="n">
        <v>0.0486118059405909</v>
      </c>
      <c r="CB66" s="370" t="n">
        <v>0.835030766033085</v>
      </c>
      <c r="CC66" s="505" t="n">
        <v>0.145</v>
      </c>
      <c r="CD66" s="505" t="n">
        <v>0</v>
      </c>
      <c r="CE66" s="505" t="n">
        <v>0.175</v>
      </c>
      <c r="CF66" s="505" t="n">
        <v>0</v>
      </c>
      <c r="CG66" s="505" t="n">
        <v>0</v>
      </c>
      <c r="CH66" s="505" t="n">
        <v>0</v>
      </c>
      <c r="CI66" s="505" t="n">
        <v>3.387</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-T67/(1-AR67)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3.557</v>
      </c>
      <c r="BW67" s="369" t="n">
        <v>3.587</v>
      </c>
      <c r="BX67" s="370" t="n">
        <v>0.291541878066714</v>
      </c>
      <c r="BY67" s="370" t="n">
        <v>0.291541878066714</v>
      </c>
      <c r="BZ67" s="370" t="n">
        <v>0.999450644284467</v>
      </c>
      <c r="CA67" s="370" t="n">
        <v>0.0490091513549218</v>
      </c>
      <c r="CB67" s="370" t="n">
        <v>0.830506508545646</v>
      </c>
      <c r="CC67" s="505" t="n">
        <v>0.145</v>
      </c>
      <c r="CD67" s="505" t="n">
        <v>0</v>
      </c>
      <c r="CE67" s="505" t="n">
        <v>0.175</v>
      </c>
      <c r="CF67" s="505" t="n">
        <v>0</v>
      </c>
      <c r="CG67" s="505" t="n">
        <v>0</v>
      </c>
      <c r="CH67" s="505" t="n">
        <v>0</v>
      </c>
      <c r="CI67" s="505" t="n">
        <v>3.412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-T68/(1-AR68)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3.944</v>
      </c>
      <c r="BW68" s="369" t="n">
        <v>3.944</v>
      </c>
      <c r="BX68" s="370" t="n">
        <v>0.295083048619696</v>
      </c>
      <c r="BY68" s="370" t="n">
        <v>0.295083048619696</v>
      </c>
      <c r="BZ68" s="370" t="n">
        <v>0.999230627747651</v>
      </c>
      <c r="CA68" s="370" t="n">
        <v>0.0493920179871608</v>
      </c>
      <c r="CB68" s="370" t="n">
        <v>0.825889768863549</v>
      </c>
      <c r="CC68" s="505" t="n">
        <v>0.38</v>
      </c>
      <c r="CD68" s="505" t="n">
        <v>0</v>
      </c>
      <c r="CE68" s="505" t="n">
        <v>0.38</v>
      </c>
      <c r="CF68" s="505" t="n">
        <v>0</v>
      </c>
      <c r="CG68" s="505" t="n">
        <v>0</v>
      </c>
      <c r="CH68" s="505" t="n">
        <v>0</v>
      </c>
      <c r="CI68" s="505" t="n">
        <v>3.564</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-T69/(1-AR69)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4.087</v>
      </c>
      <c r="BW69" s="369" t="n">
        <v>4.087</v>
      </c>
      <c r="BX69" s="370" t="n">
        <v>0.305253847104092</v>
      </c>
      <c r="BY69" s="370" t="n">
        <v>0.305253847104092</v>
      </c>
      <c r="BZ69" s="370" t="n">
        <v>0.998624685411912</v>
      </c>
      <c r="CA69" s="370" t="n">
        <v>0.0497625341294907</v>
      </c>
      <c r="CB69" s="370" t="n">
        <v>0.821397003079716</v>
      </c>
      <c r="CC69" s="505" t="n">
        <v>0.38</v>
      </c>
      <c r="CD69" s="505" t="n">
        <v>0</v>
      </c>
      <c r="CE69" s="505" t="n">
        <v>0.38</v>
      </c>
      <c r="CF69" s="505" t="n">
        <v>0</v>
      </c>
      <c r="CG69" s="505" t="n">
        <v>0</v>
      </c>
      <c r="CH69" s="505" t="n">
        <v>0</v>
      </c>
      <c r="CI69" s="505" t="n">
        <v>3.707</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-T70/(1-AR70)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4.142</v>
      </c>
      <c r="BW70" s="369" t="n">
        <v>4.142</v>
      </c>
      <c r="BX70" s="370" t="n">
        <v>0.304847394210791</v>
      </c>
      <c r="BY70" s="370" t="n">
        <v>0.304847394210791</v>
      </c>
      <c r="BZ70" s="370" t="n">
        <v>0.998649619447208</v>
      </c>
      <c r="CA70" s="370" t="n">
        <v>0.0501238670100874</v>
      </c>
      <c r="CB70" s="370" t="n">
        <v>0.816799555121222</v>
      </c>
      <c r="CC70" s="505" t="n">
        <v>0.38</v>
      </c>
      <c r="CD70" s="505" t="n">
        <v>0</v>
      </c>
      <c r="CE70" s="505" t="n">
        <v>0.38</v>
      </c>
      <c r="CF70" s="505" t="n">
        <v>0</v>
      </c>
      <c r="CG70" s="505" t="n">
        <v>0</v>
      </c>
      <c r="CH70" s="505" t="n">
        <v>0</v>
      </c>
      <c r="CI70" s="505" t="n">
        <v>3.762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-T71/(1-AR71)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4.057</v>
      </c>
      <c r="BW71" s="369" t="n">
        <v>4.057</v>
      </c>
      <c r="BX71" s="370" t="n">
        <v>0.297985361369567</v>
      </c>
      <c r="BY71" s="370" t="n">
        <v>0.297985361369567</v>
      </c>
      <c r="BZ71" s="370" t="n">
        <v>0.998748189530312</v>
      </c>
      <c r="CA71" s="370" t="n">
        <v>0.0504460474790935</v>
      </c>
      <c r="CB71" s="370" t="n">
        <v>0.812308871993658</v>
      </c>
      <c r="CC71" s="505" t="n">
        <v>0.38</v>
      </c>
      <c r="CD71" s="505" t="n">
        <v>0</v>
      </c>
      <c r="CE71" s="505" t="n">
        <v>0.38</v>
      </c>
      <c r="CF71" s="505" t="n">
        <v>0</v>
      </c>
      <c r="CG71" s="505" t="n">
        <v>0</v>
      </c>
      <c r="CH71" s="505" t="n">
        <v>0</v>
      </c>
      <c r="CI71" s="505" t="n">
        <v>3.677</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-T72/(1-AR72)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3.927</v>
      </c>
      <c r="BW72" s="369" t="n">
        <v>3.927</v>
      </c>
      <c r="BX72" s="370" t="n">
        <v>0.278899568705084</v>
      </c>
      <c r="BY72" s="370" t="n">
        <v>0.278899568705084</v>
      </c>
      <c r="BZ72" s="370" t="n">
        <v>0.999278481814018</v>
      </c>
      <c r="CA72" s="370" t="n">
        <v>0.0507370492228172</v>
      </c>
      <c r="CB72" s="370" t="n">
        <v>0.808237080144648</v>
      </c>
      <c r="CC72" s="505" t="n">
        <v>0.38</v>
      </c>
      <c r="CD72" s="505" t="n">
        <v>0</v>
      </c>
      <c r="CE72" s="505" t="n">
        <v>0.38</v>
      </c>
      <c r="CF72" s="505" t="n">
        <v>0</v>
      </c>
      <c r="CG72" s="505" t="n">
        <v>0</v>
      </c>
      <c r="CH72" s="505" t="n">
        <v>0</v>
      </c>
      <c r="CI72" s="505" t="n">
        <v>3.547</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-T73/(1-AR73)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3.507</v>
      </c>
      <c r="BW73" s="369" t="n">
        <v>3.542</v>
      </c>
      <c r="BX73" s="370" t="n">
        <v>0.25263760127059</v>
      </c>
      <c r="BY73" s="370" t="n">
        <v>0.25263760127059</v>
      </c>
      <c r="BZ73" s="370" t="n">
        <v>0.999699554896142</v>
      </c>
      <c r="CA73" s="370" t="n">
        <v>0.0510592297577648</v>
      </c>
      <c r="CB73" s="370" t="n">
        <v>0.803712195296429</v>
      </c>
      <c r="CC73" s="505" t="n">
        <v>0.145</v>
      </c>
      <c r="CD73" s="505" t="n">
        <v>0</v>
      </c>
      <c r="CE73" s="505" t="n">
        <v>0.18</v>
      </c>
      <c r="CF73" s="505" t="n">
        <v>0</v>
      </c>
      <c r="CG73" s="505" t="n">
        <v>0</v>
      </c>
      <c r="CH73" s="505" t="n">
        <v>0</v>
      </c>
      <c r="CI73" s="505" t="n">
        <v>3.362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-T74/(1-AR74)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3.502</v>
      </c>
      <c r="BW74" s="369" t="n">
        <v>3.537</v>
      </c>
      <c r="BX74" s="370" t="n">
        <v>0.248694298556294</v>
      </c>
      <c r="BY74" s="370" t="n">
        <v>0.248694298556294</v>
      </c>
      <c r="BZ74" s="370" t="n">
        <v>0.999611937211942</v>
      </c>
      <c r="CA74" s="370" t="n">
        <v>0.051371017405212</v>
      </c>
      <c r="CB74" s="370" t="n">
        <v>0.799316971929618</v>
      </c>
      <c r="CC74" s="505" t="n">
        <v>0.145</v>
      </c>
      <c r="CD74" s="505" t="n">
        <v>0</v>
      </c>
      <c r="CE74" s="505" t="n">
        <v>0.18</v>
      </c>
      <c r="CF74" s="505" t="n">
        <v>0</v>
      </c>
      <c r="CG74" s="505" t="n">
        <v>0</v>
      </c>
      <c r="CH74" s="505" t="n">
        <v>0</v>
      </c>
      <c r="CI74" s="505" t="n">
        <v>3.357</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-T75/(1-AR75)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3.537</v>
      </c>
      <c r="BW75" s="369" t="n">
        <v>3.572</v>
      </c>
      <c r="BX75" s="370" t="n">
        <v>0.250952819528252</v>
      </c>
      <c r="BY75" s="370" t="n">
        <v>0.250952819528252</v>
      </c>
      <c r="BZ75" s="370" t="n">
        <v>0.999638022808183</v>
      </c>
      <c r="CA75" s="370" t="n">
        <v>0.0516931980083157</v>
      </c>
      <c r="CB75" s="370" t="n">
        <v>0.794758967227619</v>
      </c>
      <c r="CC75" s="505" t="n">
        <v>0.145</v>
      </c>
      <c r="CD75" s="505" t="n">
        <v>0</v>
      </c>
      <c r="CE75" s="505" t="n">
        <v>0.18</v>
      </c>
      <c r="CF75" s="505" t="n">
        <v>0</v>
      </c>
      <c r="CG75" s="505" t="n">
        <v>0</v>
      </c>
      <c r="CH75" s="505" t="n">
        <v>0</v>
      </c>
      <c r="CI75" s="505" t="n">
        <v>3.392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-T76/(1-AR76)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3.577</v>
      </c>
      <c r="BW76" s="369" t="n">
        <v>3.612</v>
      </c>
      <c r="BX76" s="370" t="n">
        <v>0.251968229465743</v>
      </c>
      <c r="BY76" s="370" t="n">
        <v>0.251968229465743</v>
      </c>
      <c r="BZ76" s="370" t="n">
        <v>0.999559220816153</v>
      </c>
      <c r="CA76" s="370" t="n">
        <v>0.0520049857217106</v>
      </c>
      <c r="CB76" s="370" t="n">
        <v>0.790332792803782</v>
      </c>
      <c r="CC76" s="505" t="n">
        <v>0.145</v>
      </c>
      <c r="CD76" s="505" t="n">
        <v>0</v>
      </c>
      <c r="CE76" s="505" t="n">
        <v>0.18</v>
      </c>
      <c r="CF76" s="505" t="n">
        <v>0</v>
      </c>
      <c r="CG76" s="505" t="n">
        <v>0</v>
      </c>
      <c r="CH76" s="505" t="n">
        <v>0</v>
      </c>
      <c r="CI76" s="505" t="n">
        <v>3.432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-T77/(1-AR77)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3.617</v>
      </c>
      <c r="BW77" s="369" t="n">
        <v>3.652</v>
      </c>
      <c r="BX77" s="370" t="n">
        <v>0.252922349862689</v>
      </c>
      <c r="BY77" s="370" t="n">
        <v>0.252922349862689</v>
      </c>
      <c r="BZ77" s="370" t="n">
        <v>0.999488843968076</v>
      </c>
      <c r="CA77" s="370" t="n">
        <v>0.0523271663929492</v>
      </c>
      <c r="CB77" s="370" t="n">
        <v>0.785743940633574</v>
      </c>
      <c r="CC77" s="505" t="n">
        <v>0.145</v>
      </c>
      <c r="CD77" s="505" t="n">
        <v>0</v>
      </c>
      <c r="CE77" s="505" t="n">
        <v>0.18</v>
      </c>
      <c r="CF77" s="505" t="n">
        <v>0</v>
      </c>
      <c r="CG77" s="505" t="n">
        <v>0</v>
      </c>
      <c r="CH77" s="505" t="n">
        <v>0</v>
      </c>
      <c r="CI77" s="505" t="n">
        <v>3.472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-T78/(1-AR78)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3.612</v>
      </c>
      <c r="BW78" s="369" t="n">
        <v>3.647</v>
      </c>
      <c r="BX78" s="370" t="n">
        <v>0.252658020117181</v>
      </c>
      <c r="BY78" s="370" t="n">
        <v>0.252658020117181</v>
      </c>
      <c r="BZ78" s="370" t="n">
        <v>0.99951300134229</v>
      </c>
      <c r="CA78" s="370" t="n">
        <v>0.0526493470988063</v>
      </c>
      <c r="CB78" s="370" t="n">
        <v>0.781140280211496</v>
      </c>
      <c r="CC78" s="505" t="n">
        <v>0.145</v>
      </c>
      <c r="CD78" s="505" t="n">
        <v>0</v>
      </c>
      <c r="CE78" s="505" t="n">
        <v>0.18</v>
      </c>
      <c r="CF78" s="505" t="n">
        <v>0</v>
      </c>
      <c r="CG78" s="505" t="n">
        <v>0</v>
      </c>
      <c r="CH78" s="505" t="n">
        <v>0</v>
      </c>
      <c r="CI78" s="505" t="n">
        <v>3.467</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-T79/(1-AR79)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3.637</v>
      </c>
      <c r="BW79" s="369" t="n">
        <v>3.672</v>
      </c>
      <c r="BX79" s="370" t="n">
        <v>0.253819145093197</v>
      </c>
      <c r="BY79" s="370" t="n">
        <v>0.253819145093197</v>
      </c>
      <c r="BZ79" s="370" t="n">
        <v>0.999424890906009</v>
      </c>
      <c r="CA79" s="370" t="n">
        <v>0.0529611349116244</v>
      </c>
      <c r="CB79" s="370" t="n">
        <v>0.776671575219578</v>
      </c>
      <c r="CC79" s="505" t="n">
        <v>0.145</v>
      </c>
      <c r="CD79" s="505" t="n">
        <v>0</v>
      </c>
      <c r="CE79" s="505" t="n">
        <v>0.18</v>
      </c>
      <c r="CF79" s="505" t="n">
        <v>0</v>
      </c>
      <c r="CG79" s="505" t="n">
        <v>0</v>
      </c>
      <c r="CH79" s="505" t="n">
        <v>0</v>
      </c>
      <c r="CI79" s="505" t="n">
        <v>3.492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-T80/(1-AR80)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4.029</v>
      </c>
      <c r="BW80" s="369" t="n">
        <v>4.029</v>
      </c>
      <c r="BX80" s="370" t="n">
        <v>0.257069016574414</v>
      </c>
      <c r="BY80" s="370" t="n">
        <v>0.257069016574414</v>
      </c>
      <c r="BZ80" s="370" t="n">
        <v>0.999192054487088</v>
      </c>
      <c r="CA80" s="370" t="n">
        <v>0.0532833156855848</v>
      </c>
      <c r="CB80" s="370" t="n">
        <v>0.772040478692847</v>
      </c>
      <c r="CC80" s="505" t="n">
        <v>0.385</v>
      </c>
      <c r="CD80" s="505" t="n">
        <v>0</v>
      </c>
      <c r="CE80" s="505" t="n">
        <v>0.385</v>
      </c>
      <c r="CF80" s="505" t="n">
        <v>0</v>
      </c>
      <c r="CG80" s="505" t="n">
        <v>0</v>
      </c>
      <c r="CH80" s="505" t="n">
        <v>0</v>
      </c>
      <c r="CI80" s="505" t="n">
        <v>3.644</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-T81/(1-AR81)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4.172</v>
      </c>
      <c r="BW81" s="369" t="n">
        <v>4.172</v>
      </c>
      <c r="BX81" s="370" t="n">
        <v>0.266447046475158</v>
      </c>
      <c r="BY81" s="370" t="n">
        <v>0.266447046475158</v>
      </c>
      <c r="BZ81" s="370" t="n">
        <v>0.998555224784886</v>
      </c>
      <c r="CA81" s="370" t="n">
        <v>0.0535951035642985</v>
      </c>
      <c r="CB81" s="370" t="n">
        <v>0.767546312167612</v>
      </c>
      <c r="CC81" s="505" t="n">
        <v>0.385</v>
      </c>
      <c r="CD81" s="505" t="n">
        <v>0</v>
      </c>
      <c r="CE81" s="505" t="n">
        <v>0.385</v>
      </c>
      <c r="CF81" s="505" t="n">
        <v>0</v>
      </c>
      <c r="CG81" s="505" t="n">
        <v>0</v>
      </c>
      <c r="CH81" s="505" t="n">
        <v>0</v>
      </c>
      <c r="CI81" s="505" t="n">
        <v>3.787</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-T82/(1-AR82)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4.2245</v>
      </c>
      <c r="BW82" s="369" t="n">
        <v>4.2245</v>
      </c>
      <c r="BX82" s="370" t="n">
        <v>0.266142233826153</v>
      </c>
      <c r="BY82" s="370" t="n">
        <v>0.266142233826153</v>
      </c>
      <c r="BZ82" s="370" t="n">
        <v>0.998576054752992</v>
      </c>
      <c r="CA82" s="370" t="n">
        <v>0.0538548873933569</v>
      </c>
      <c r="CB82" s="370" t="n">
        <v>0.76312585991901</v>
      </c>
      <c r="CC82" s="505" t="n">
        <v>0.385</v>
      </c>
      <c r="CD82" s="505" t="n">
        <v>0</v>
      </c>
      <c r="CE82" s="505" t="n">
        <v>0.385</v>
      </c>
      <c r="CF82" s="505" t="n">
        <v>0</v>
      </c>
      <c r="CG82" s="505" t="n">
        <v>0</v>
      </c>
      <c r="CH82" s="505" t="n">
        <v>0</v>
      </c>
      <c r="CI82" s="505" t="n">
        <v>3.8395</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-T83/(1-AR83)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4.1395</v>
      </c>
      <c r="BW83" s="369" t="n">
        <v>4.1395</v>
      </c>
      <c r="BX83" s="370" t="n">
        <v>0.259495906192878</v>
      </c>
      <c r="BY83" s="370" t="n">
        <v>0.259495906192878</v>
      </c>
      <c r="BZ83" s="370" t="n">
        <v>0.998668256988469</v>
      </c>
      <c r="CA83" s="370" t="n">
        <v>0.0540389034386073</v>
      </c>
      <c r="CB83" s="370" t="n">
        <v>0.758987938070646</v>
      </c>
      <c r="CC83" s="505" t="n">
        <v>0.385</v>
      </c>
      <c r="CD83" s="505" t="n">
        <v>0</v>
      </c>
      <c r="CE83" s="505" t="n">
        <v>0.385</v>
      </c>
      <c r="CF83" s="505" t="n">
        <v>0</v>
      </c>
      <c r="CG83" s="505" t="n">
        <v>0</v>
      </c>
      <c r="CH83" s="505" t="n">
        <v>0</v>
      </c>
      <c r="CI83" s="505" t="n">
        <v>3.7545</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-T84/(1-AR84)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4.0095</v>
      </c>
      <c r="BW84" s="369" t="n">
        <v>4.0095</v>
      </c>
      <c r="BX84" s="370" t="n">
        <v>0.248352979651855</v>
      </c>
      <c r="BY84" s="370" t="n">
        <v>0.248352979651855</v>
      </c>
      <c r="BZ84" s="370" t="n">
        <v>0.999263193121361</v>
      </c>
      <c r="CA84" s="370" t="n">
        <v>0.054205111489178</v>
      </c>
      <c r="CB84" s="370" t="n">
        <v>0.755250058821463</v>
      </c>
      <c r="CC84" s="505" t="n">
        <v>0.385</v>
      </c>
      <c r="CD84" s="505" t="n">
        <v>0</v>
      </c>
      <c r="CE84" s="505" t="n">
        <v>0.385</v>
      </c>
      <c r="CF84" s="505" t="n">
        <v>0</v>
      </c>
      <c r="CG84" s="505" t="n">
        <v>0</v>
      </c>
      <c r="CH84" s="505" t="n">
        <v>0</v>
      </c>
      <c r="CI84" s="505" t="n">
        <v>3.6245</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-T85/(1-AR85)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3.5945</v>
      </c>
      <c r="BW85" s="369" t="n">
        <v>3.6295</v>
      </c>
      <c r="BX85" s="370" t="n">
        <v>0.242312169061989</v>
      </c>
      <c r="BY85" s="370" t="n">
        <v>0.242312169061989</v>
      </c>
      <c r="BZ85" s="370" t="n">
        <v>0.999734567561403</v>
      </c>
      <c r="CA85" s="370" t="n">
        <v>0.0543891275559032</v>
      </c>
      <c r="CB85" s="370" t="n">
        <v>0.751111483785009</v>
      </c>
      <c r="CC85" s="505" t="n">
        <v>0.155</v>
      </c>
      <c r="CD85" s="505" t="n">
        <v>0</v>
      </c>
      <c r="CE85" s="505" t="n">
        <v>0.19</v>
      </c>
      <c r="CF85" s="505" t="n">
        <v>0</v>
      </c>
      <c r="CG85" s="505" t="n">
        <v>0</v>
      </c>
      <c r="CH85" s="505" t="n">
        <v>0</v>
      </c>
      <c r="CI85" s="505" t="n">
        <v>3.4395</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-T86/(1-AR86)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3.5895</v>
      </c>
      <c r="BW86" s="369" t="n">
        <v>3.6245</v>
      </c>
      <c r="BX86" s="370" t="n">
        <v>0.243118370461952</v>
      </c>
      <c r="BY86" s="370" t="n">
        <v>0.243118370461952</v>
      </c>
      <c r="BZ86" s="370" t="n">
        <v>0.999668807381792</v>
      </c>
      <c r="CA86" s="370" t="n">
        <v>0.054567207631218</v>
      </c>
      <c r="CB86" s="370" t="n">
        <v>0.747106434315284</v>
      </c>
      <c r="CC86" s="505" t="n">
        <v>0.155</v>
      </c>
      <c r="CD86" s="505" t="n">
        <v>0</v>
      </c>
      <c r="CE86" s="505" t="n">
        <v>0.19</v>
      </c>
      <c r="CF86" s="505" t="n">
        <v>0</v>
      </c>
      <c r="CG86" s="505" t="n">
        <v>0</v>
      </c>
      <c r="CH86" s="505" t="n">
        <v>0</v>
      </c>
      <c r="CI86" s="505" t="n">
        <v>3.4345</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-T87/(1-AR87)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3.6245</v>
      </c>
      <c r="BW87" s="369" t="n">
        <v>3.6595</v>
      </c>
      <c r="BX87" s="370" t="n">
        <v>0.242972880987822</v>
      </c>
      <c r="BY87" s="370" t="n">
        <v>0.242972880987822</v>
      </c>
      <c r="BZ87" s="370" t="n">
        <v>0.999683976336148</v>
      </c>
      <c r="CA87" s="370" t="n">
        <v>0.0547512237201424</v>
      </c>
      <c r="CB87" s="370" t="n">
        <v>0.742968153544342</v>
      </c>
      <c r="CC87" s="505" t="n">
        <v>0.155</v>
      </c>
      <c r="CD87" s="505" t="n">
        <v>0</v>
      </c>
      <c r="CE87" s="505" t="n">
        <v>0.19</v>
      </c>
      <c r="CF87" s="505" t="n">
        <v>0</v>
      </c>
      <c r="CG87" s="505" t="n">
        <v>0</v>
      </c>
      <c r="CH87" s="505" t="n">
        <v>0</v>
      </c>
      <c r="CI87" s="505" t="n">
        <v>3.4695</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-T88/(1-AR88)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3.6645</v>
      </c>
      <c r="BW88" s="369" t="n">
        <v>3.6995</v>
      </c>
      <c r="BX88" s="370" t="n">
        <v>0.243844835596525</v>
      </c>
      <c r="BY88" s="370" t="n">
        <v>0.243844835596525</v>
      </c>
      <c r="BZ88" s="370" t="n">
        <v>0.999613549962396</v>
      </c>
      <c r="CA88" s="370" t="n">
        <v>0.0549293038169378</v>
      </c>
      <c r="CB88" s="370" t="n">
        <v>0.738963861865164</v>
      </c>
      <c r="CC88" s="505" t="n">
        <v>0.155</v>
      </c>
      <c r="CD88" s="505" t="n">
        <v>0</v>
      </c>
      <c r="CE88" s="505" t="n">
        <v>0.19</v>
      </c>
      <c r="CF88" s="505" t="n">
        <v>0</v>
      </c>
      <c r="CG88" s="505" t="n">
        <v>0</v>
      </c>
      <c r="CH88" s="505" t="n">
        <v>0</v>
      </c>
      <c r="CI88" s="505" t="n">
        <v>3.5095</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-T89/(1-AR89)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3.7045</v>
      </c>
      <c r="BW89" s="369" t="n">
        <v>3.7395</v>
      </c>
      <c r="BX89" s="370" t="n">
        <v>0.244668568031279</v>
      </c>
      <c r="BY89" s="370" t="n">
        <v>0.244668568031279</v>
      </c>
      <c r="BZ89" s="370" t="n">
        <v>0.999550020321663</v>
      </c>
      <c r="CA89" s="370" t="n">
        <v>0.0551133199280565</v>
      </c>
      <c r="CB89" s="370" t="n">
        <v>0.734826850083913</v>
      </c>
      <c r="CC89" s="505" t="n">
        <v>0.155</v>
      </c>
      <c r="CD89" s="505" t="n">
        <v>0</v>
      </c>
      <c r="CE89" s="505" t="n">
        <v>0.19</v>
      </c>
      <c r="CF89" s="505" t="n">
        <v>0</v>
      </c>
      <c r="CG89" s="505" t="n">
        <v>0</v>
      </c>
      <c r="CH89" s="505" t="n">
        <v>0</v>
      </c>
      <c r="CI89" s="505" t="n">
        <v>3.5495</v>
      </c>
      <c r="CJ89" s="505"/>
      <c r="CK89" s="505"/>
      <c r="CL89" s="505"/>
      <c r="CM89" s="505"/>
    </row>
    <row r="90" customFormat="false" ht="12.75" hidden="false" customHeight="false" outlineLevel="0" collapsed="false">
      <c r="A90" s="500"/>
      <c r="B90" s="500"/>
      <c r="D90" s="361" t="e">
        <f aca="false">D89+AH89</f>
        <v>#VALUE!</v>
      </c>
      <c r="F90" s="362" t="e">
        <f aca="false">VLOOKUP(AG90,$AL$4:$AS$15,2)</f>
        <v>#VALUE!</v>
      </c>
      <c r="G90" s="362" t="e">
        <f aca="false">F90*$AU90</f>
        <v>#VALUE!</v>
      </c>
      <c r="H90" s="363" t="e">
        <f aca="false">(AL90+AM90+AN90)/(1-(AR90))</f>
        <v>#VALUE!</v>
      </c>
      <c r="I90" s="363" t="e">
        <f aca="false">(AL90+AO90+AP90)</f>
        <v>#VALUE!</v>
      </c>
      <c r="K90" s="363" t="e">
        <f aca="false">MAX(((I90-H90)-AQ90)*AU90*AH90,0)</f>
        <v>#VALUE!</v>
      </c>
      <c r="L90" s="501" t="e">
        <f aca="false">MAX(Q90-K90,0)</f>
        <v>#VALUE!</v>
      </c>
      <c r="N90" s="502" t="e">
        <f aca="false">SQRT(($AX90^2*($AH90/2)+$AW90^2*$AI90)/(($AH90/2)+$AI90))</f>
        <v>#VALUE!</v>
      </c>
      <c r="O90" s="502" t="e">
        <f aca="false">SQRT(($AY90^2*($AH90/2)+$AW90^2*$AI90)/(($AH90/2)+$AI90))</f>
        <v>#VALUE!</v>
      </c>
      <c r="P90" s="371" t="e">
        <f aca="false">(VLOOKUP(AI90,CorrelationTwo,2)*(AW90^2)*AI90+VLOOKUP(D90,CorrelationOne,$AK$9)*AX90*AY90*(AH90/2))/((AI90+(AH90/2))*O90*N90)*AF90</f>
        <v>#VALUE!</v>
      </c>
      <c r="Q90" s="501" t="e">
        <f aca="false">xSPRDOPT(I90,H90,AQ90,0,O90,N90,P90,D90-$G$5,1,0)*AH90*AU90</f>
        <v>#VALUE!</v>
      </c>
      <c r="R90" s="501"/>
      <c r="S90" s="365" t="e">
        <f aca="false">-T90/(1-AR90)</f>
        <v>#VALUE!</v>
      </c>
      <c r="T90" s="365" t="e">
        <f aca="false">xSPRDOPT(I90,H90,AQ90,AT90,O90,N90,P90,D90-$G$5,1,1)*AF90*F90*AH90</f>
        <v>#VALUE!</v>
      </c>
      <c r="U90" s="501"/>
      <c r="V90" s="503" t="e">
        <f aca="false">VLOOKUP($AG90,$AL$4:$AS$15,8)*AH90*AU90</f>
        <v>#VALUE!</v>
      </c>
      <c r="W90" s="503"/>
      <c r="X90" s="504" t="e">
        <f aca="false">((BM90*BC90)+(BL90*BB90))*AH90*F90</f>
        <v>#VALUE!</v>
      </c>
      <c r="Y90" s="504" t="e">
        <f aca="false">($F90*$AH90)*((($BG90/2)*($BC90)^2)+(($BF90/2)*($BB90)^2)+($BH90*$BC90*$BB90))</f>
        <v>#VALUE!</v>
      </c>
      <c r="Z90" s="504" t="e">
        <f aca="false">($BI90*$F90*$AH90*($G$5-$BV$5))/365.25</f>
        <v>#VALUE!</v>
      </c>
      <c r="AA90" s="504" t="e">
        <f aca="false">(($BK90*$BE90)+($BJ90*$BD90))*$F90*$AH90*$AF90</f>
        <v>#VALUE!</v>
      </c>
      <c r="AB90" s="504" t="e">
        <f aca="false">BN90*(AT90-CA90)*F90*AH90</f>
        <v>#VALUE!</v>
      </c>
      <c r="AC90" s="504" t="e">
        <f aca="false">BO90*CB90*F90*AH90*CA90*($G$5-$BV$5)/365.25</f>
        <v>#NAME?</v>
      </c>
      <c r="AF90" s="378" t="e">
        <f aca="false">IF(AND(D90&gt;=$G$7,D90&lt;=$G$8),1,0)</f>
        <v>#VALUE!</v>
      </c>
      <c r="AG90" s="378" t="e">
        <f aca="false">MONTH(D90)</f>
        <v>#VALUE!</v>
      </c>
      <c r="AH90" s="378" t="e">
        <f aca="false">(EOMONTH(D90,0)-EOMONTH(D90-DAY(D90),0))*AF90</f>
        <v>#VALUE!</v>
      </c>
      <c r="AI90" s="378" t="e">
        <f aca="false">AI89+AH89</f>
        <v>#VALUE!</v>
      </c>
      <c r="AJ90" s="378" t="e">
        <f aca="false">D90-$BV$5</f>
        <v>#VALUE!</v>
      </c>
      <c r="AL90" s="369" t="e">
        <f aca="false">VLOOKUP($D90,CurveTbl,$AK$4)</f>
        <v>#VALUE!</v>
      </c>
      <c r="AM90" s="505" t="e">
        <f aca="false">VLOOKUP($D90,CurveTbl,$AH$3)</f>
        <v>#VALUE!</v>
      </c>
      <c r="AN90" s="505" t="e">
        <f aca="false">VLOOKUP($D90,CurveTbl,$AH$4)+VLOOKUP($AG90,$AL$3:$AS$15,6)</f>
        <v>#VALUE!</v>
      </c>
      <c r="AO90" s="505" t="e">
        <f aca="false">VLOOKUP($D90,CurveTbl,$AH$5)</f>
        <v>#VALUE!</v>
      </c>
      <c r="AP90" s="505" t="e">
        <f aca="false">VLOOKUP($D90,CurveTbl,$AH$6)+VLOOKUP($AG90,$AL$3:$AS$15,7)</f>
        <v>#VALUE!</v>
      </c>
      <c r="AQ90" s="369" t="e">
        <f aca="false">VLOOKUP($AG90,$AL$4:$AS$15,3)+VLOOKUP($AG90,$AL$4:$AS$15,5)+($AH$10*VLOOKUP(D90,GRITable,2))</f>
        <v>#VALUE!</v>
      </c>
      <c r="AR90" s="370" t="e">
        <f aca="false">VLOOKUP($AG90,$AL$4:$AS$15,4)</f>
        <v>#VALUE!</v>
      </c>
      <c r="AS90" s="369" t="e">
        <f aca="false">(AL90+AM90+AN90)</f>
        <v>#VALUE!</v>
      </c>
      <c r="AT90" s="370" t="e">
        <f aca="false">VLOOKUP(D90,CurveTbl,$AK$6)</f>
        <v>#VALUE!</v>
      </c>
      <c r="AU90" s="370" t="e">
        <f aca="false">(1+$AT90/2)^(-2*($D90-$G$5)/365.25)*$AF90</f>
        <v>#VALUE!</v>
      </c>
      <c r="AV90" s="506" t="e">
        <f aca="false">ROUND((F90/(1-AR90))-F90,0)*AF90*AH90*AU90</f>
        <v>#VALUE!</v>
      </c>
      <c r="AW90" s="370" t="e">
        <f aca="false">VLOOKUP($D90,CurveTbl,$AK$8)</f>
        <v>#VALUE!</v>
      </c>
      <c r="AX90" s="370" t="e">
        <f aca="false">VLOOKUP($D90,CurveTbl,$AH$7)</f>
        <v>#VALUE!</v>
      </c>
      <c r="AY90" s="370" t="e">
        <f aca="false">VLOOKUP($D90,CurveTbl,$AH$8)</f>
        <v>#VALUE!</v>
      </c>
      <c r="AZ90" s="370"/>
      <c r="BA90" s="507"/>
      <c r="BB90" s="505" t="e">
        <f aca="false">$H90-$BV90</f>
        <v>#VALUE!</v>
      </c>
      <c r="BC90" s="505" t="e">
        <f aca="false">I90-BW90</f>
        <v>#VALUE!</v>
      </c>
      <c r="BD90" s="370" t="e">
        <f aca="false">N90-BX90</f>
        <v>#VALUE!</v>
      </c>
      <c r="BE90" s="370" t="e">
        <f aca="false">O90-BY90</f>
        <v>#VALUE!</v>
      </c>
      <c r="BF90" s="370" t="e">
        <f aca="false">xSPRDOPT($BW90,$BV90,$CG90,0,$BY90,$BX90,$BZ90,$AJ90,1,4)*$CB90</f>
        <v>#NAME?</v>
      </c>
      <c r="BG90" s="370" t="e">
        <f aca="false">xSPRDOPT($BW90,$BV90,$CG90,0,$BY90,$BX90,$BZ90,$AJ90,1,3)*$CB90</f>
        <v>#NAME?</v>
      </c>
      <c r="BH90" s="370" t="e">
        <f aca="false">IF(OR(BF90&lt;&gt;0,BG90&lt;&gt;0),xSPRDOPT($BW90,$BV90,$CG90,0,$BY90,$BX90,$BZ90,$AJ90,1,12)*$CB90,0)</f>
        <v>#NAME?</v>
      </c>
      <c r="BI90" s="370" t="e">
        <f aca="false">xSPRDOPT($BW90,$BV90,$CG90,2*LN(1+CA90/2),$BY90,$BX90,$BZ90,$AJ90,1,9)</f>
        <v>#NAME?</v>
      </c>
      <c r="BJ90" s="370" t="e">
        <f aca="false">xSPRDOPT($BW90,$BV90,$CG90,0,$BY90,$BX90,$BZ90,$AJ90,1,6)*$CB90</f>
        <v>#NAME?</v>
      </c>
      <c r="BK90" s="370" t="e">
        <f aca="false">xSPRDOPT($BW90,$BV90,$CG90,0,$BY90,$BX90,$BZ90,$AJ90,1,5)*$CB90</f>
        <v>#NAME?</v>
      </c>
      <c r="BL90" s="370" t="e">
        <f aca="false">xSPRDOPT(BW90,BV90,CG90,0,BY90,BX90,BZ90,AJ90,1,2)*CB90</f>
        <v>#NAME?</v>
      </c>
      <c r="BM90" s="370" t="e">
        <f aca="false">xSPRDOPT(BW90,BV90,CG90,0,BY90,BX90,BZ90,AJ90,1,1)*CB90</f>
        <v>#NAME?</v>
      </c>
      <c r="BN90" s="370" t="e">
        <f aca="false">IF(AH90&lt;&gt;0,xSPRDOPT($BW90,$BV90,$CG90,2*LN(1+CA90/2),$BY90,$BX90,$BZ90,$AJ90,1,8)+(AJ90/365.25)*CH90/AH90,0)</f>
        <v>#VALUE!</v>
      </c>
      <c r="BO90" s="370" t="e">
        <f aca="false">xSPRDOPT($BW90,$BV90,$CG90,0,$BY90,$BX90,$BZ90,$AJ90,1,0)</f>
        <v>#NAME?</v>
      </c>
      <c r="BP90" s="370"/>
      <c r="BQ90" s="370"/>
      <c r="BR90" s="370"/>
      <c r="BS90" s="370"/>
      <c r="BV90" s="508" t="n">
        <v>3.6995</v>
      </c>
      <c r="BW90" s="369" t="n">
        <v>3.7345</v>
      </c>
      <c r="BX90" s="370" t="n">
        <v>0.244454381867993</v>
      </c>
      <c r="BY90" s="370" t="n">
        <v>0.244454381867993</v>
      </c>
      <c r="BZ90" s="370" t="n">
        <v>0.999570102029118</v>
      </c>
      <c r="CA90" s="370" t="n">
        <v>0.0552973360504536</v>
      </c>
      <c r="CB90" s="370" t="n">
        <v>0.730690853076224</v>
      </c>
      <c r="CC90" s="505" t="n">
        <v>0.155</v>
      </c>
      <c r="CD90" s="505" t="n">
        <v>0</v>
      </c>
      <c r="CE90" s="505" t="n">
        <v>0.19</v>
      </c>
      <c r="CF90" s="505" t="n">
        <v>0</v>
      </c>
      <c r="CG90" s="505" t="n">
        <v>0</v>
      </c>
      <c r="CH90" s="505" t="n">
        <v>0</v>
      </c>
      <c r="CI90" s="505" t="n">
        <v>3.5445</v>
      </c>
      <c r="CJ90" s="505"/>
      <c r="CK90" s="505"/>
      <c r="CL90" s="505"/>
      <c r="CM90" s="505"/>
    </row>
    <row r="91" customFormat="false" ht="12.75" hidden="false" customHeight="false" outlineLevel="0" collapsed="false">
      <c r="A91" s="500"/>
      <c r="B91" s="500"/>
      <c r="D91" s="361" t="e">
        <f aca="false">D90+AH90</f>
        <v>#VALUE!</v>
      </c>
      <c r="F91" s="362" t="e">
        <f aca="false">VLOOKUP(AG91,$AL$4:$AS$15,2)</f>
        <v>#VALUE!</v>
      </c>
      <c r="G91" s="362" t="e">
        <f aca="false">F91*$AU91</f>
        <v>#VALUE!</v>
      </c>
      <c r="H91" s="363" t="e">
        <f aca="false">(AL91+AM91+AN91)/(1-(AR91))</f>
        <v>#VALUE!</v>
      </c>
      <c r="I91" s="363" t="e">
        <f aca="false">(AL91+AO91+AP91)</f>
        <v>#VALUE!</v>
      </c>
      <c r="K91" s="363" t="e">
        <f aca="false">MAX(((I91-H91)-AQ91)*AU91*AH91,0)</f>
        <v>#VALUE!</v>
      </c>
      <c r="L91" s="501" t="e">
        <f aca="false">MAX(Q91-K91,0)</f>
        <v>#VALUE!</v>
      </c>
      <c r="N91" s="502" t="e">
        <f aca="false">SQRT(($AX91^2*($AH91/2)+$AW91^2*$AI91)/(($AH91/2)+$AI91))</f>
        <v>#VALUE!</v>
      </c>
      <c r="O91" s="502" t="e">
        <f aca="false">SQRT(($AY91^2*($AH91/2)+$AW91^2*$AI91)/(($AH91/2)+$AI91))</f>
        <v>#VALUE!</v>
      </c>
      <c r="P91" s="371" t="e">
        <f aca="false">(VLOOKUP(AI91,CorrelationTwo,2)*(AW91^2)*AI91+VLOOKUP(D91,CorrelationOne,$AK$9)*AX91*AY91*(AH91/2))/((AI91+(AH91/2))*O91*N91)*AF91</f>
        <v>#VALUE!</v>
      </c>
      <c r="Q91" s="501" t="e">
        <f aca="false">xSPRDOPT(I91,H91,AQ91,0,O91,N91,P91,D91-$G$5,1,0)*AH91*AU91</f>
        <v>#VALUE!</v>
      </c>
      <c r="R91" s="501"/>
      <c r="S91" s="365" t="e">
        <f aca="false">-T91/(1-AR91)</f>
        <v>#VALUE!</v>
      </c>
      <c r="T91" s="365" t="e">
        <f aca="false">xSPRDOPT(I91,H91,AQ91,AT91,O91,N91,P91,D91-$G$5,1,1)*AF91*F91*AH91</f>
        <v>#VALUE!</v>
      </c>
      <c r="U91" s="501"/>
      <c r="V91" s="503" t="e">
        <f aca="false">VLOOKUP($AG91,$AL$4:$AS$15,8)*AH91*AU91</f>
        <v>#VALUE!</v>
      </c>
      <c r="W91" s="503"/>
      <c r="X91" s="504" t="e">
        <f aca="false">((BM91*BC91)+(BL91*BB91))*AH91*F91</f>
        <v>#VALUE!</v>
      </c>
      <c r="Y91" s="504" t="e">
        <f aca="false">($F91*$AH91)*((($BG91/2)*($BC91)^2)+(($BF91/2)*($BB91)^2)+($BH91*$BC91*$BB91))</f>
        <v>#VALUE!</v>
      </c>
      <c r="Z91" s="504" t="e">
        <f aca="false">($BI91*$F91*$AH91*($G$5-$BV$5))/365.25</f>
        <v>#VALUE!</v>
      </c>
      <c r="AA91" s="504" t="e">
        <f aca="false">(($BK91*$BE91)+($BJ91*$BD91))*$F91*$AH91*$AF91</f>
        <v>#VALUE!</v>
      </c>
      <c r="AB91" s="504" t="e">
        <f aca="false">BN91*(AT91-CA91)*F91*AH91</f>
        <v>#VALUE!</v>
      </c>
      <c r="AC91" s="504" t="e">
        <f aca="false">BO91*CB91*F91*AH91*CA91*($G$5-$BV$5)/365.25</f>
        <v>#NAME?</v>
      </c>
      <c r="AF91" s="378" t="e">
        <f aca="false">IF(AND(D91&gt;=$G$7,D91&lt;=$G$8),1,0)</f>
        <v>#VALUE!</v>
      </c>
      <c r="AG91" s="378" t="e">
        <f aca="false">MONTH(D91)</f>
        <v>#VALUE!</v>
      </c>
      <c r="AH91" s="378" t="e">
        <f aca="false">(EOMONTH(D91,0)-EOMONTH(D91-DAY(D91),0))*AF91</f>
        <v>#VALUE!</v>
      </c>
      <c r="AI91" s="378" t="e">
        <f aca="false">AI90+AH90</f>
        <v>#VALUE!</v>
      </c>
      <c r="AJ91" s="378" t="e">
        <f aca="false">D91-$BV$5</f>
        <v>#VALUE!</v>
      </c>
      <c r="AL91" s="369" t="e">
        <f aca="false">VLOOKUP($D91,CurveTbl,$AK$4)</f>
        <v>#VALUE!</v>
      </c>
      <c r="AM91" s="505" t="e">
        <f aca="false">VLOOKUP($D91,CurveTbl,$AH$3)</f>
        <v>#VALUE!</v>
      </c>
      <c r="AN91" s="505" t="e">
        <f aca="false">VLOOKUP($D91,CurveTbl,$AH$4)+VLOOKUP($AG91,$AL$3:$AS$15,6)</f>
        <v>#VALUE!</v>
      </c>
      <c r="AO91" s="505" t="e">
        <f aca="false">VLOOKUP($D91,CurveTbl,$AH$5)</f>
        <v>#VALUE!</v>
      </c>
      <c r="AP91" s="505" t="e">
        <f aca="false">VLOOKUP($D91,CurveTbl,$AH$6)+VLOOKUP($AG91,$AL$3:$AS$15,7)</f>
        <v>#VALUE!</v>
      </c>
      <c r="AQ91" s="369" t="e">
        <f aca="false">VLOOKUP($AG91,$AL$4:$AS$15,3)+VLOOKUP($AG91,$AL$4:$AS$15,5)+($AH$10*VLOOKUP(D91,GRITable,2))</f>
        <v>#VALUE!</v>
      </c>
      <c r="AR91" s="370" t="e">
        <f aca="false">VLOOKUP($AG91,$AL$4:$AS$15,4)</f>
        <v>#VALUE!</v>
      </c>
      <c r="AS91" s="369" t="e">
        <f aca="false">(AL91+AM91+AN91)</f>
        <v>#VALUE!</v>
      </c>
      <c r="AT91" s="370" t="e">
        <f aca="false">VLOOKUP(D91,CurveTbl,$AK$6)</f>
        <v>#VALUE!</v>
      </c>
      <c r="AU91" s="370" t="e">
        <f aca="false">(1+$AT91/2)^(-2*($D91-$G$5)/365.25)*$AF91</f>
        <v>#VALUE!</v>
      </c>
      <c r="AV91" s="506" t="e">
        <f aca="false">ROUND((F91/(1-AR91))-F91,0)*AF91*AH91*AU91</f>
        <v>#VALUE!</v>
      </c>
      <c r="AW91" s="370" t="e">
        <f aca="false">VLOOKUP($D91,CurveTbl,$AK$8)</f>
        <v>#VALUE!</v>
      </c>
      <c r="AX91" s="370" t="e">
        <f aca="false">VLOOKUP($D91,CurveTbl,$AH$7)</f>
        <v>#VALUE!</v>
      </c>
      <c r="AY91" s="370" t="e">
        <f aca="false">VLOOKUP($D91,CurveTbl,$AH$8)</f>
        <v>#VALUE!</v>
      </c>
      <c r="AZ91" s="370"/>
      <c r="BA91" s="507"/>
      <c r="BB91" s="505" t="e">
        <f aca="false">$H91-$BV91</f>
        <v>#VALUE!</v>
      </c>
      <c r="BC91" s="505" t="e">
        <f aca="false">I91-BW91</f>
        <v>#VALUE!</v>
      </c>
      <c r="BD91" s="370" t="e">
        <f aca="false">N91-BX91</f>
        <v>#VALUE!</v>
      </c>
      <c r="BE91" s="370" t="e">
        <f aca="false">O91-BY91</f>
        <v>#VALUE!</v>
      </c>
      <c r="BF91" s="370" t="e">
        <f aca="false">xSPRDOPT($BW91,$BV91,$CG91,0,$BY91,$BX91,$BZ91,$AJ91,1,4)*$CB91</f>
        <v>#NAME?</v>
      </c>
      <c r="BG91" s="370" t="e">
        <f aca="false">xSPRDOPT($BW91,$BV91,$CG91,0,$BY91,$BX91,$BZ91,$AJ91,1,3)*$CB91</f>
        <v>#NAME?</v>
      </c>
      <c r="BH91" s="370" t="e">
        <f aca="false">IF(OR(BF91&lt;&gt;0,BG91&lt;&gt;0),xSPRDOPT($BW91,$BV91,$CG91,0,$BY91,$BX91,$BZ91,$AJ91,1,12)*$CB91,0)</f>
        <v>#NAME?</v>
      </c>
      <c r="BI91" s="370" t="e">
        <f aca="false">xSPRDOPT($BW91,$BV91,$CG91,2*LN(1+CA91/2),$BY91,$BX91,$BZ91,$AJ91,1,9)</f>
        <v>#NAME?</v>
      </c>
      <c r="BJ91" s="370" t="e">
        <f aca="false">xSPRDOPT($BW91,$BV91,$CG91,0,$BY91,$BX91,$BZ91,$AJ91,1,6)*$CB91</f>
        <v>#NAME?</v>
      </c>
      <c r="BK91" s="370" t="e">
        <f aca="false">xSPRDOPT($BW91,$BV91,$CG91,0,$BY91,$BX91,$BZ91,$AJ91,1,5)*$CB91</f>
        <v>#NAME?</v>
      </c>
      <c r="BL91" s="370" t="e">
        <f aca="false">xSPRDOPT(BW91,BV91,CG91,0,BY91,BX91,BZ91,AJ91,1,2)*CB91</f>
        <v>#NAME?</v>
      </c>
      <c r="BM91" s="370" t="e">
        <f aca="false">xSPRDOPT(BW91,BV91,CG91,0,BY91,BX91,BZ91,AJ91,1,1)*CB91</f>
        <v>#NAME?</v>
      </c>
      <c r="BN91" s="370" t="e">
        <f aca="false">IF(AH91&lt;&gt;0,xSPRDOPT($BW91,$BV91,$CG91,2*LN(1+CA91/2),$BY91,$BX91,$BZ91,$AJ91,1,8)+(AJ91/365.25)*CH91/AH91,0)</f>
        <v>#VALUE!</v>
      </c>
      <c r="BO91" s="370" t="e">
        <f aca="false">xSPRDOPT($BW91,$BV91,$CG91,0,$BY91,$BX91,$BZ91,$AJ91,1,0)</f>
        <v>#NAME?</v>
      </c>
      <c r="BP91" s="370"/>
      <c r="BQ91" s="370"/>
      <c r="BR91" s="370"/>
      <c r="BS91" s="370"/>
      <c r="BV91" s="508" t="n">
        <v>3.7245</v>
      </c>
      <c r="BW91" s="369" t="n">
        <v>3.7595</v>
      </c>
      <c r="BX91" s="370" t="n">
        <v>0.245463363055628</v>
      </c>
      <c r="BY91" s="370" t="n">
        <v>0.245463363055628</v>
      </c>
      <c r="BZ91" s="370" t="n">
        <v>0.999490321855084</v>
      </c>
      <c r="CA91" s="370" t="n">
        <v>0.0554754161796391</v>
      </c>
      <c r="CB91" s="370" t="n">
        <v>0.726689474408526</v>
      </c>
      <c r="CC91" s="505" t="n">
        <v>0.155</v>
      </c>
      <c r="CD91" s="505" t="n">
        <v>0</v>
      </c>
      <c r="CE91" s="505" t="n">
        <v>0.19</v>
      </c>
      <c r="CF91" s="505" t="n">
        <v>0</v>
      </c>
      <c r="CG91" s="505" t="n">
        <v>0</v>
      </c>
      <c r="CH91" s="505" t="n">
        <v>0</v>
      </c>
      <c r="CI91" s="505" t="n">
        <v>3.5695</v>
      </c>
      <c r="CJ91" s="505"/>
      <c r="CK91" s="505"/>
      <c r="CL91" s="505"/>
      <c r="CM91" s="505"/>
    </row>
    <row r="92" customFormat="false" ht="12.75" hidden="false" customHeight="false" outlineLevel="0" collapsed="false">
      <c r="A92" s="500"/>
      <c r="B92" s="500"/>
      <c r="D92" s="361" t="e">
        <f aca="false">D91+AH91</f>
        <v>#VALUE!</v>
      </c>
      <c r="F92" s="362" t="e">
        <f aca="false">VLOOKUP(AG92,$AL$4:$AS$15,2)</f>
        <v>#VALUE!</v>
      </c>
      <c r="G92" s="362" t="e">
        <f aca="false">F92*$AU92</f>
        <v>#VALUE!</v>
      </c>
      <c r="H92" s="363" t="e">
        <f aca="false">(AL92+AM92+AN92)/(1-(AR92))</f>
        <v>#VALUE!</v>
      </c>
      <c r="I92" s="363" t="e">
        <f aca="false">(AL92+AO92+AP92)</f>
        <v>#VALUE!</v>
      </c>
      <c r="K92" s="363" t="e">
        <f aca="false">MAX(((I92-H92)-AQ92)*AU92*AH92,0)</f>
        <v>#VALUE!</v>
      </c>
      <c r="L92" s="501" t="e">
        <f aca="false">MAX(Q92-K92,0)</f>
        <v>#VALUE!</v>
      </c>
      <c r="N92" s="502" t="e">
        <f aca="false">SQRT(($AX92^2*($AH92/2)+$AW92^2*$AI92)/(($AH92/2)+$AI92))</f>
        <v>#VALUE!</v>
      </c>
      <c r="O92" s="502" t="e">
        <f aca="false">SQRT(($AY92^2*($AH92/2)+$AW92^2*$AI92)/(($AH92/2)+$AI92))</f>
        <v>#VALUE!</v>
      </c>
      <c r="P92" s="371" t="e">
        <f aca="false">(VLOOKUP(AI92,CorrelationTwo,2)*(AW92^2)*AI92+VLOOKUP(D92,CorrelationOne,$AK$9)*AX92*AY92*(AH92/2))/((AI92+(AH92/2))*O92*N92)*AF92</f>
        <v>#VALUE!</v>
      </c>
      <c r="Q92" s="501" t="e">
        <f aca="false">xSPRDOPT(I92,H92,AQ92,0,O92,N92,P92,D92-$G$5,1,0)*AH92*AU92</f>
        <v>#VALUE!</v>
      </c>
      <c r="R92" s="501"/>
      <c r="S92" s="365" t="e">
        <f aca="false">-T92/(1-AR92)</f>
        <v>#VALUE!</v>
      </c>
      <c r="T92" s="365" t="e">
        <f aca="false">xSPRDOPT(I92,H92,AQ92,AT92,O92,N92,P92,D92-$G$5,1,1)*AF92*F92*AH92</f>
        <v>#VALUE!</v>
      </c>
      <c r="U92" s="501"/>
      <c r="V92" s="503" t="e">
        <f aca="false">VLOOKUP($AG92,$AL$4:$AS$15,8)*AH92*AU92</f>
        <v>#VALUE!</v>
      </c>
      <c r="W92" s="503"/>
      <c r="X92" s="504" t="e">
        <f aca="false">((BM92*BC92)+(BL92*BB92))*AH92*F92</f>
        <v>#VALUE!</v>
      </c>
      <c r="Y92" s="504" t="e">
        <f aca="false">($F92*$AH92)*((($BG92/2)*($BC92)^2)+(($BF92/2)*($BB92)^2)+($BH92*$BC92*$BB92))</f>
        <v>#VALUE!</v>
      </c>
      <c r="Z92" s="504" t="e">
        <f aca="false">($BI92*$F92*$AH92*($G$5-$BV$5))/365.25</f>
        <v>#VALUE!</v>
      </c>
      <c r="AA92" s="504" t="e">
        <f aca="false">(($BK92*$BE92)+($BJ92*$BD92))*$F92*$AH92*$AF92</f>
        <v>#VALUE!</v>
      </c>
      <c r="AB92" s="504" t="e">
        <f aca="false">BN92*(AT92-CA92)*F92*AH92</f>
        <v>#VALUE!</v>
      </c>
      <c r="AC92" s="504" t="e">
        <f aca="false">BO92*CB92*F92*AH92*CA92*($G$5-$BV$5)/365.25</f>
        <v>#NAME?</v>
      </c>
      <c r="AF92" s="378" t="e">
        <f aca="false">IF(AND(D92&gt;=$G$7,D92&lt;=$G$8),1,0)</f>
        <v>#VALUE!</v>
      </c>
      <c r="AG92" s="378" t="e">
        <f aca="false">MONTH(D92)</f>
        <v>#VALUE!</v>
      </c>
      <c r="AH92" s="378" t="e">
        <f aca="false">(EOMONTH(D92,0)-EOMONTH(D92-DAY(D92),0))*AF92</f>
        <v>#VALUE!</v>
      </c>
      <c r="AI92" s="378" t="e">
        <f aca="false">AI91+AH91</f>
        <v>#VALUE!</v>
      </c>
      <c r="AJ92" s="378" t="e">
        <f aca="false">D92-$BV$5</f>
        <v>#VALUE!</v>
      </c>
      <c r="AL92" s="369" t="e">
        <f aca="false">VLOOKUP($D92,CurveTbl,$AK$4)</f>
        <v>#VALUE!</v>
      </c>
      <c r="AM92" s="505" t="e">
        <f aca="false">VLOOKUP($D92,CurveTbl,$AH$3)</f>
        <v>#VALUE!</v>
      </c>
      <c r="AN92" s="505" t="e">
        <f aca="false">VLOOKUP($D92,CurveTbl,$AH$4)+VLOOKUP($AG92,$AL$3:$AS$15,6)</f>
        <v>#VALUE!</v>
      </c>
      <c r="AO92" s="505" t="e">
        <f aca="false">VLOOKUP($D92,CurveTbl,$AH$5)</f>
        <v>#VALUE!</v>
      </c>
      <c r="AP92" s="505" t="e">
        <f aca="false">VLOOKUP($D92,CurveTbl,$AH$6)+VLOOKUP($AG92,$AL$3:$AS$15,7)</f>
        <v>#VALUE!</v>
      </c>
      <c r="AQ92" s="369" t="e">
        <f aca="false">VLOOKUP($AG92,$AL$4:$AS$15,3)+VLOOKUP($AG92,$AL$4:$AS$15,5)+($AH$10*VLOOKUP(D92,GRITable,2))</f>
        <v>#VALUE!</v>
      </c>
      <c r="AR92" s="370" t="e">
        <f aca="false">VLOOKUP($AG92,$AL$4:$AS$15,4)</f>
        <v>#VALUE!</v>
      </c>
      <c r="AS92" s="369" t="e">
        <f aca="false">(AL92+AM92+AN92)</f>
        <v>#VALUE!</v>
      </c>
      <c r="AT92" s="370" t="e">
        <f aca="false">VLOOKUP(D92,CurveTbl,$AK$6)</f>
        <v>#VALUE!</v>
      </c>
      <c r="AU92" s="370" t="e">
        <f aca="false">(1+$AT92/2)^(-2*($D92-$G$5)/365.25)*$AF92</f>
        <v>#VALUE!</v>
      </c>
      <c r="AV92" s="506" t="e">
        <f aca="false">ROUND((F92/(1-AR92))-F92,0)*AF92*AH92*AU92</f>
        <v>#VALUE!</v>
      </c>
      <c r="AW92" s="370" t="e">
        <f aca="false">VLOOKUP($D92,CurveTbl,$AK$8)</f>
        <v>#VALUE!</v>
      </c>
      <c r="AX92" s="370" t="e">
        <f aca="false">VLOOKUP($D92,CurveTbl,$AH$7)</f>
        <v>#VALUE!</v>
      </c>
      <c r="AY92" s="370" t="e">
        <f aca="false">VLOOKUP($D92,CurveTbl,$AH$8)</f>
        <v>#VALUE!</v>
      </c>
      <c r="AZ92" s="370"/>
      <c r="BA92" s="507"/>
      <c r="BB92" s="505" t="e">
        <f aca="false">$H92-$BV92</f>
        <v>#VALUE!</v>
      </c>
      <c r="BC92" s="505" t="e">
        <f aca="false">I92-BW92</f>
        <v>#VALUE!</v>
      </c>
      <c r="BD92" s="370" t="e">
        <f aca="false">N92-BX92</f>
        <v>#VALUE!</v>
      </c>
      <c r="BE92" s="370" t="e">
        <f aca="false">O92-BY92</f>
        <v>#VALUE!</v>
      </c>
      <c r="BF92" s="370" t="e">
        <f aca="false">xSPRDOPT($BW92,$BV92,$CG92,0,$BY92,$BX92,$BZ92,$AJ92,1,4)*$CB92</f>
        <v>#NAME?</v>
      </c>
      <c r="BG92" s="370" t="e">
        <f aca="false">xSPRDOPT($BW92,$BV92,$CG92,0,$BY92,$BX92,$BZ92,$AJ92,1,3)*$CB92</f>
        <v>#NAME?</v>
      </c>
      <c r="BH92" s="370" t="e">
        <f aca="false">IF(OR(BF92&lt;&gt;0,BG92&lt;&gt;0),xSPRDOPT($BW92,$BV92,$CG92,0,$BY92,$BX92,$BZ92,$AJ92,1,12)*$CB92,0)</f>
        <v>#NAME?</v>
      </c>
      <c r="BI92" s="370" t="e">
        <f aca="false">xSPRDOPT($BW92,$BV92,$CG92,2*LN(1+CA92/2),$BY92,$BX92,$BZ92,$AJ92,1,9)</f>
        <v>#NAME?</v>
      </c>
      <c r="BJ92" s="370" t="e">
        <f aca="false">xSPRDOPT($BW92,$BV92,$CG92,0,$BY92,$BX92,$BZ92,$AJ92,1,6)*$CB92</f>
        <v>#NAME?</v>
      </c>
      <c r="BK92" s="370" t="e">
        <f aca="false">xSPRDOPT($BW92,$BV92,$CG92,0,$BY92,$BX92,$BZ92,$AJ92,1,5)*$CB92</f>
        <v>#NAME?</v>
      </c>
      <c r="BL92" s="370" t="e">
        <f aca="false">xSPRDOPT(BW92,BV92,CG92,0,BY92,BX92,BZ92,AJ92,1,2)*CB92</f>
        <v>#NAME?</v>
      </c>
      <c r="BM92" s="370" t="e">
        <f aca="false">xSPRDOPT(BW92,BV92,CG92,0,BY92,BX92,BZ92,AJ92,1,1)*CB92</f>
        <v>#NAME?</v>
      </c>
      <c r="BN92" s="370" t="e">
        <f aca="false">IF(AH92&lt;&gt;0,xSPRDOPT($BW92,$BV92,$CG92,2*LN(1+CA92/2),$BY92,$BX92,$BZ92,$AJ92,1,8)+(AJ92/365.25)*CH92/AH92,0)</f>
        <v>#VALUE!</v>
      </c>
      <c r="BO92" s="370" t="e">
        <f aca="false">xSPRDOPT($BW92,$BV92,$CG92,0,$BY92,$BX92,$BZ92,$AJ92,1,0)</f>
        <v>#NAME?</v>
      </c>
      <c r="BP92" s="370"/>
      <c r="BQ92" s="370"/>
      <c r="BR92" s="370"/>
      <c r="BS92" s="370"/>
      <c r="BV92" s="508" t="n">
        <v>4.0765</v>
      </c>
      <c r="BW92" s="369" t="n">
        <v>4.0765</v>
      </c>
      <c r="BX92" s="370" t="n">
        <v>0.248271695832321</v>
      </c>
      <c r="BY92" s="370" t="n">
        <v>0.248271695832321</v>
      </c>
      <c r="BZ92" s="370" t="n">
        <v>0.999279953917051</v>
      </c>
      <c r="CA92" s="370" t="n">
        <v>0.0556594323242252</v>
      </c>
      <c r="CB92" s="370" t="n">
        <v>0.722556194641321</v>
      </c>
      <c r="CC92" s="505" t="n">
        <v>0.355</v>
      </c>
      <c r="CD92" s="505" t="n">
        <v>0</v>
      </c>
      <c r="CE92" s="505" t="n">
        <v>0.355</v>
      </c>
      <c r="CF92" s="505" t="n">
        <v>0</v>
      </c>
      <c r="CG92" s="505" t="n">
        <v>0</v>
      </c>
      <c r="CH92" s="505" t="n">
        <v>0</v>
      </c>
      <c r="CI92" s="505" t="n">
        <v>3.7215</v>
      </c>
      <c r="CJ92" s="505"/>
      <c r="CK92" s="505"/>
      <c r="CL92" s="505"/>
      <c r="CM92" s="505"/>
    </row>
    <row r="93" customFormat="false" ht="12.75" hidden="false" customHeight="false" outlineLevel="0" collapsed="false">
      <c r="A93" s="500"/>
      <c r="B93" s="500"/>
      <c r="D93" s="361" t="e">
        <f aca="false">D92+AH92</f>
        <v>#VALUE!</v>
      </c>
      <c r="F93" s="362" t="e">
        <f aca="false">VLOOKUP(AG93,$AL$4:$AS$15,2)</f>
        <v>#VALUE!</v>
      </c>
      <c r="G93" s="362" t="e">
        <f aca="false">F93*$AU93</f>
        <v>#VALUE!</v>
      </c>
      <c r="H93" s="363" t="e">
        <f aca="false">(AL93+AM93+AN93)/(1-(AR93))</f>
        <v>#VALUE!</v>
      </c>
      <c r="I93" s="363" t="e">
        <f aca="false">(AL93+AO93+AP93)</f>
        <v>#VALUE!</v>
      </c>
      <c r="K93" s="363" t="e">
        <f aca="false">MAX(((I93-H93)-AQ93)*AU93*AH93,0)</f>
        <v>#VALUE!</v>
      </c>
      <c r="L93" s="501" t="e">
        <f aca="false">MAX(Q93-K93,0)</f>
        <v>#VALUE!</v>
      </c>
      <c r="N93" s="502" t="e">
        <f aca="false">SQRT(($AX93^2*($AH93/2)+$AW93^2*$AI93)/(($AH93/2)+$AI93))</f>
        <v>#VALUE!</v>
      </c>
      <c r="O93" s="502" t="e">
        <f aca="false">SQRT(($AY93^2*($AH93/2)+$AW93^2*$AI93)/(($AH93/2)+$AI93))</f>
        <v>#VALUE!</v>
      </c>
      <c r="P93" s="371" t="e">
        <f aca="false">(VLOOKUP(AI93,CorrelationTwo,2)*(AW93^2)*AI93+VLOOKUP(D93,CorrelationOne,$AK$9)*AX93*AY93*(AH93/2))/((AI93+(AH93/2))*O93*N93)*AF93</f>
        <v>#VALUE!</v>
      </c>
      <c r="Q93" s="501" t="e">
        <f aca="false">xSPRDOPT(I93,H93,AQ93,0,O93,N93,P93,D93-$G$5,1,0)*AH93*AU93</f>
        <v>#VALUE!</v>
      </c>
      <c r="R93" s="501"/>
      <c r="S93" s="365" t="e">
        <f aca="false">-T93/(1-AR93)</f>
        <v>#VALUE!</v>
      </c>
      <c r="T93" s="365" t="e">
        <f aca="false">xSPRDOPT(I93,H93,AQ93,AT93,O93,N93,P93,D93-$G$5,1,1)*AF93*F93*AH93</f>
        <v>#VALUE!</v>
      </c>
      <c r="U93" s="501"/>
      <c r="V93" s="503" t="e">
        <f aca="false">VLOOKUP($AG93,$AL$4:$AS$15,8)*AH93*AU93</f>
        <v>#VALUE!</v>
      </c>
      <c r="W93" s="503"/>
      <c r="X93" s="504" t="e">
        <f aca="false">((BM93*BC93)+(BL93*BB93))*AH93*F93</f>
        <v>#VALUE!</v>
      </c>
      <c r="Y93" s="504" t="e">
        <f aca="false">($F93*$AH93)*((($BG93/2)*($BC93)^2)+(($BF93/2)*($BB93)^2)+($BH93*$BC93*$BB93))</f>
        <v>#VALUE!</v>
      </c>
      <c r="Z93" s="504" t="e">
        <f aca="false">($BI93*$F93*$AH93*($G$5-$BV$5))/365.25</f>
        <v>#VALUE!</v>
      </c>
      <c r="AA93" s="504" t="e">
        <f aca="false">(($BK93*$BE93)+($BJ93*$BD93))*$F93*$AH93*$AF93</f>
        <v>#VALUE!</v>
      </c>
      <c r="AB93" s="504" t="e">
        <f aca="false">BN93*(AT93-CA93)*F93*AH93</f>
        <v>#VALUE!</v>
      </c>
      <c r="AC93" s="504" t="e">
        <f aca="false">BO93*CB93*F93*AH93*CA93*($G$5-$BV$5)/365.25</f>
        <v>#NAME?</v>
      </c>
      <c r="AF93" s="378" t="e">
        <f aca="false">IF(AND(D93&gt;=$G$7,D93&lt;=$G$8),1,0)</f>
        <v>#VALUE!</v>
      </c>
      <c r="AG93" s="378" t="e">
        <f aca="false">MONTH(D93)</f>
        <v>#VALUE!</v>
      </c>
      <c r="AH93" s="378" t="e">
        <f aca="false">(EOMONTH(D93,0)-EOMONTH(D93-DAY(D93),0))*AF93</f>
        <v>#VALUE!</v>
      </c>
      <c r="AI93" s="378" t="e">
        <f aca="false">AI92+AH92</f>
        <v>#VALUE!</v>
      </c>
      <c r="AJ93" s="378" t="e">
        <f aca="false">D93-$BV$5</f>
        <v>#VALUE!</v>
      </c>
      <c r="AL93" s="369" t="e">
        <f aca="false">VLOOKUP($D93,CurveTbl,$AK$4)</f>
        <v>#VALUE!</v>
      </c>
      <c r="AM93" s="505" t="e">
        <f aca="false">VLOOKUP($D93,CurveTbl,$AH$3)</f>
        <v>#VALUE!</v>
      </c>
      <c r="AN93" s="505" t="e">
        <f aca="false">VLOOKUP($D93,CurveTbl,$AH$4)+VLOOKUP($AG93,$AL$3:$AS$15,6)</f>
        <v>#VALUE!</v>
      </c>
      <c r="AO93" s="505" t="e">
        <f aca="false">VLOOKUP($D93,CurveTbl,$AH$5)</f>
        <v>#VALUE!</v>
      </c>
      <c r="AP93" s="505" t="e">
        <f aca="false">VLOOKUP($D93,CurveTbl,$AH$6)+VLOOKUP($AG93,$AL$3:$AS$15,7)</f>
        <v>#VALUE!</v>
      </c>
      <c r="AQ93" s="369" t="e">
        <f aca="false">VLOOKUP($AG93,$AL$4:$AS$15,3)+VLOOKUP($AG93,$AL$4:$AS$15,5)+($AH$10*VLOOKUP(D93,GRITable,2))</f>
        <v>#VALUE!</v>
      </c>
      <c r="AR93" s="370" t="e">
        <f aca="false">VLOOKUP($AG93,$AL$4:$AS$15,4)</f>
        <v>#VALUE!</v>
      </c>
      <c r="AS93" s="369" t="e">
        <f aca="false">(AL93+AM93+AN93)</f>
        <v>#VALUE!</v>
      </c>
      <c r="AT93" s="370" t="e">
        <f aca="false">VLOOKUP(D93,CurveTbl,$AK$6)</f>
        <v>#VALUE!</v>
      </c>
      <c r="AU93" s="370" t="e">
        <f aca="false">(1+$AT93/2)^(-2*($D93-$G$5)/365.25)*$AF93</f>
        <v>#VALUE!</v>
      </c>
      <c r="AV93" s="506" t="e">
        <f aca="false">ROUND((F93/(1-AR93))-F93,0)*AF93*AH93*AU93</f>
        <v>#VALUE!</v>
      </c>
      <c r="AW93" s="370" t="e">
        <f aca="false">VLOOKUP($D93,CurveTbl,$AK$8)</f>
        <v>#VALUE!</v>
      </c>
      <c r="AX93" s="370" t="e">
        <f aca="false">VLOOKUP($D93,CurveTbl,$AH$7)</f>
        <v>#VALUE!</v>
      </c>
      <c r="AY93" s="370" t="e">
        <f aca="false">VLOOKUP($D93,CurveTbl,$AH$8)</f>
        <v>#VALUE!</v>
      </c>
      <c r="AZ93" s="370"/>
      <c r="BA93" s="507"/>
      <c r="BB93" s="505" t="e">
        <f aca="false">$H93-$BV93</f>
        <v>#VALUE!</v>
      </c>
      <c r="BC93" s="505" t="e">
        <f aca="false">I93-BW93</f>
        <v>#VALUE!</v>
      </c>
      <c r="BD93" s="370" t="e">
        <f aca="false">N93-BX93</f>
        <v>#VALUE!</v>
      </c>
      <c r="BE93" s="370" t="e">
        <f aca="false">O93-BY93</f>
        <v>#VALUE!</v>
      </c>
      <c r="BF93" s="370" t="e">
        <f aca="false">xSPRDOPT($BW93,$BV93,$CG93,0,$BY93,$BX93,$BZ93,$AJ93,1,4)*$CB93</f>
        <v>#NAME?</v>
      </c>
      <c r="BG93" s="370" t="e">
        <f aca="false">xSPRDOPT($BW93,$BV93,$CG93,0,$BY93,$BX93,$BZ93,$AJ93,1,3)*$CB93</f>
        <v>#NAME?</v>
      </c>
      <c r="BH93" s="370" t="e">
        <f aca="false">IF(OR(BF93&lt;&gt;0,BG93&lt;&gt;0),xSPRDOPT($BW93,$BV93,$CG93,0,$BY93,$BX93,$BZ93,$AJ93,1,12)*$CB93,0)</f>
        <v>#NAME?</v>
      </c>
      <c r="BI93" s="370" t="e">
        <f aca="false">xSPRDOPT($BW93,$BV93,$CG93,2*LN(1+CA93/2),$BY93,$BX93,$BZ93,$AJ93,1,9)</f>
        <v>#NAME?</v>
      </c>
      <c r="BJ93" s="370" t="e">
        <f aca="false">xSPRDOPT($BW93,$BV93,$CG93,0,$BY93,$BX93,$BZ93,$AJ93,1,6)*$CB93</f>
        <v>#NAME?</v>
      </c>
      <c r="BK93" s="370" t="e">
        <f aca="false">xSPRDOPT($BW93,$BV93,$CG93,0,$BY93,$BX93,$BZ93,$AJ93,1,5)*$CB93</f>
        <v>#NAME?</v>
      </c>
      <c r="BL93" s="370" t="e">
        <f aca="false">xSPRDOPT(BW93,BV93,CG93,0,BY93,BX93,BZ93,AJ93,1,2)*CB93</f>
        <v>#NAME?</v>
      </c>
      <c r="BM93" s="370" t="e">
        <f aca="false">xSPRDOPT(BW93,BV93,CG93,0,BY93,BX93,BZ93,AJ93,1,1)*CB93</f>
        <v>#NAME?</v>
      </c>
      <c r="BN93" s="370" t="e">
        <f aca="false">IF(AH93&lt;&gt;0,xSPRDOPT($BW93,$BV93,$CG93,2*LN(1+CA93/2),$BY93,$BX93,$BZ93,$AJ93,1,8)+(AJ93/365.25)*CH93/AH93,0)</f>
        <v>#VALUE!</v>
      </c>
      <c r="BO93" s="370" t="e">
        <f aca="false">xSPRDOPT($BW93,$BV93,$CG93,0,$BY93,$BX93,$BZ93,$AJ93,1,0)</f>
        <v>#NAME?</v>
      </c>
      <c r="BP93" s="370"/>
      <c r="BQ93" s="370"/>
      <c r="BR93" s="370"/>
      <c r="BS93" s="370"/>
      <c r="BV93" s="508" t="n">
        <v>4.2195</v>
      </c>
      <c r="BW93" s="369" t="n">
        <v>4.2195</v>
      </c>
      <c r="BX93" s="370" t="n">
        <v>0.256404448859669</v>
      </c>
      <c r="BY93" s="370" t="n">
        <v>0.256404448859669</v>
      </c>
      <c r="BZ93" s="370" t="n">
        <v>0.998699446215808</v>
      </c>
      <c r="CA93" s="370" t="n">
        <v>0.0558375124748816</v>
      </c>
      <c r="CB93" s="370" t="n">
        <v>0.718557904444993</v>
      </c>
      <c r="CC93" s="505" t="n">
        <v>0.355</v>
      </c>
      <c r="CD93" s="505" t="n">
        <v>0</v>
      </c>
      <c r="CE93" s="505" t="n">
        <v>0.355</v>
      </c>
      <c r="CF93" s="505" t="n">
        <v>0</v>
      </c>
      <c r="CG93" s="505" t="n">
        <v>0</v>
      </c>
      <c r="CH93" s="505" t="n">
        <v>0</v>
      </c>
      <c r="CI93" s="505" t="n">
        <v>3.8645</v>
      </c>
      <c r="CJ93" s="505"/>
      <c r="CK93" s="505"/>
      <c r="CL93" s="505"/>
      <c r="CM93" s="505"/>
    </row>
    <row r="94" customFormat="false" ht="12.75" hidden="false" customHeight="false" outlineLevel="0" collapsed="false">
      <c r="A94" s="500"/>
      <c r="B94" s="500"/>
      <c r="D94" s="361" t="e">
        <f aca="false">D93+AH93</f>
        <v>#VALUE!</v>
      </c>
      <c r="F94" s="362" t="e">
        <f aca="false">VLOOKUP(AG94,$AL$4:$AS$15,2)</f>
        <v>#VALUE!</v>
      </c>
      <c r="G94" s="362" t="e">
        <f aca="false">F94*$AU94</f>
        <v>#VALUE!</v>
      </c>
      <c r="H94" s="363" t="e">
        <f aca="false">(AL94+AM94+AN94)/(1-(AR94))</f>
        <v>#VALUE!</v>
      </c>
      <c r="I94" s="363" t="e">
        <f aca="false">(AL94+AO94+AP94)</f>
        <v>#VALUE!</v>
      </c>
      <c r="K94" s="363" t="e">
        <f aca="false">MAX(((I94-H94)-AQ94)*AU94*AH94,0)</f>
        <v>#VALUE!</v>
      </c>
      <c r="L94" s="501" t="e">
        <f aca="false">MAX(Q94-K94,0)</f>
        <v>#VALUE!</v>
      </c>
      <c r="N94" s="502" t="e">
        <f aca="false">SQRT(($AX94^2*($AH94/2)+$AW94^2*$AI94)/(($AH94/2)+$AI94))</f>
        <v>#VALUE!</v>
      </c>
      <c r="O94" s="502" t="e">
        <f aca="false">SQRT(($AY94^2*($AH94/2)+$AW94^2*$AI94)/(($AH94/2)+$AI94))</f>
        <v>#VALUE!</v>
      </c>
      <c r="P94" s="371" t="e">
        <f aca="false">(VLOOKUP(AI94,CorrelationTwo,2)*(AW94^2)*AI94+VLOOKUP(D94,CorrelationOne,$AK$9)*AX94*AY94*(AH94/2))/((AI94+(AH94/2))*O94*N94)*AF94</f>
        <v>#VALUE!</v>
      </c>
      <c r="Q94" s="501" t="e">
        <f aca="false">xSPRDOPT(I94,H94,AQ94,0,O94,N94,P94,D94-$G$5,1,0)*AH94*AU94</f>
        <v>#VALUE!</v>
      </c>
      <c r="R94" s="501"/>
      <c r="S94" s="365" t="e">
        <f aca="false">-T94/(1-AR94)</f>
        <v>#VALUE!</v>
      </c>
      <c r="T94" s="365" t="e">
        <f aca="false">xSPRDOPT(I94,H94,AQ94,AT94,O94,N94,P94,D94-$G$5,1,1)*AF94*F94*AH94</f>
        <v>#VALUE!</v>
      </c>
      <c r="U94" s="501"/>
      <c r="V94" s="503" t="e">
        <f aca="false">VLOOKUP($AG94,$AL$4:$AS$15,8)*AH94*AU94</f>
        <v>#VALUE!</v>
      </c>
      <c r="W94" s="503"/>
      <c r="X94" s="504" t="e">
        <f aca="false">((BM94*BC94)+(BL94*BB94))*AH94*F94</f>
        <v>#VALUE!</v>
      </c>
      <c r="Y94" s="504" t="e">
        <f aca="false">($F94*$AH94)*((($BG94/2)*($BC94)^2)+(($BF94/2)*($BB94)^2)+($BH94*$BC94*$BB94))</f>
        <v>#VALUE!</v>
      </c>
      <c r="Z94" s="504" t="e">
        <f aca="false">($BI94*$F94*$AH94*($G$5-$BV$5))/365.25</f>
        <v>#VALUE!</v>
      </c>
      <c r="AA94" s="504" t="e">
        <f aca="false">(($BK94*$BE94)+($BJ94*$BD94))*$F94*$AH94*$AF94</f>
        <v>#VALUE!</v>
      </c>
      <c r="AB94" s="504" t="e">
        <f aca="false">BN94*(AT94-CA94)*F94*AH94</f>
        <v>#VALUE!</v>
      </c>
      <c r="AC94" s="504" t="e">
        <f aca="false">BO94*CB94*F94*AH94*CA94*($G$5-$BV$5)/365.25</f>
        <v>#NAME?</v>
      </c>
      <c r="AF94" s="378" t="e">
        <f aca="false">IF(AND(D94&gt;=$G$7,D94&lt;=$G$8),1,0)</f>
        <v>#VALUE!</v>
      </c>
      <c r="AG94" s="378" t="e">
        <f aca="false">MONTH(D94)</f>
        <v>#VALUE!</v>
      </c>
      <c r="AH94" s="378" t="e">
        <f aca="false">(EOMONTH(D94,0)-EOMONTH(D94-DAY(D94),0))*AF94</f>
        <v>#VALUE!</v>
      </c>
      <c r="AI94" s="378" t="e">
        <f aca="false">AI93+AH93</f>
        <v>#VALUE!</v>
      </c>
      <c r="AJ94" s="378" t="e">
        <f aca="false">D94-$BV$5</f>
        <v>#VALUE!</v>
      </c>
      <c r="AL94" s="369" t="e">
        <f aca="false">VLOOKUP($D94,CurveTbl,$AK$4)</f>
        <v>#VALUE!</v>
      </c>
      <c r="AM94" s="505" t="e">
        <f aca="false">VLOOKUP($D94,CurveTbl,$AH$3)</f>
        <v>#VALUE!</v>
      </c>
      <c r="AN94" s="505" t="e">
        <f aca="false">VLOOKUP($D94,CurveTbl,$AH$4)+VLOOKUP($AG94,$AL$3:$AS$15,6)</f>
        <v>#VALUE!</v>
      </c>
      <c r="AO94" s="505" t="e">
        <f aca="false">VLOOKUP($D94,CurveTbl,$AH$5)</f>
        <v>#VALUE!</v>
      </c>
      <c r="AP94" s="505" t="e">
        <f aca="false">VLOOKUP($D94,CurveTbl,$AH$6)+VLOOKUP($AG94,$AL$3:$AS$15,7)</f>
        <v>#VALUE!</v>
      </c>
      <c r="AQ94" s="369" t="e">
        <f aca="false">VLOOKUP($AG94,$AL$4:$AS$15,3)+VLOOKUP($AG94,$AL$4:$AS$15,5)+($AH$10*VLOOKUP(D94,GRITable,2))</f>
        <v>#VALUE!</v>
      </c>
      <c r="AR94" s="370" t="e">
        <f aca="false">VLOOKUP($AG94,$AL$4:$AS$15,4)</f>
        <v>#VALUE!</v>
      </c>
      <c r="AS94" s="369" t="e">
        <f aca="false">(AL94+AM94+AN94)</f>
        <v>#VALUE!</v>
      </c>
      <c r="AT94" s="370" t="e">
        <f aca="false">VLOOKUP(D94,CurveTbl,$AK$6)</f>
        <v>#VALUE!</v>
      </c>
      <c r="AU94" s="370" t="e">
        <f aca="false">(1+$AT94/2)^(-2*($D94-$G$5)/365.25)*$AF94</f>
        <v>#VALUE!</v>
      </c>
      <c r="AV94" s="506" t="e">
        <f aca="false">ROUND((F94/(1-AR94))-F94,0)*AF94*AH94*AU94</f>
        <v>#VALUE!</v>
      </c>
      <c r="AW94" s="370" t="e">
        <f aca="false">VLOOKUP($D94,CurveTbl,$AK$8)</f>
        <v>#VALUE!</v>
      </c>
      <c r="AX94" s="370" t="e">
        <f aca="false">VLOOKUP($D94,CurveTbl,$AH$7)</f>
        <v>#VALUE!</v>
      </c>
      <c r="AY94" s="370" t="e">
        <f aca="false">VLOOKUP($D94,CurveTbl,$AH$8)</f>
        <v>#VALUE!</v>
      </c>
      <c r="AZ94" s="370"/>
      <c r="BA94" s="507"/>
      <c r="BB94" s="505" t="e">
        <f aca="false">$H94-$BV94</f>
        <v>#VALUE!</v>
      </c>
      <c r="BC94" s="505" t="e">
        <f aca="false">I94-BW94</f>
        <v>#VALUE!</v>
      </c>
      <c r="BD94" s="370" t="e">
        <f aca="false">N94-BX94</f>
        <v>#VALUE!</v>
      </c>
      <c r="BE94" s="370" t="e">
        <f aca="false">O94-BY94</f>
        <v>#VALUE!</v>
      </c>
      <c r="BF94" s="370" t="e">
        <f aca="false">xSPRDOPT($BW94,$BV94,$CG94,0,$BY94,$BX94,$BZ94,$AJ94,1,4)*$CB94</f>
        <v>#NAME?</v>
      </c>
      <c r="BG94" s="370" t="e">
        <f aca="false">xSPRDOPT($BW94,$BV94,$CG94,0,$BY94,$BX94,$BZ94,$AJ94,1,3)*$CB94</f>
        <v>#NAME?</v>
      </c>
      <c r="BH94" s="370" t="e">
        <f aca="false">IF(OR(BF94&lt;&gt;0,BG94&lt;&gt;0),xSPRDOPT($BW94,$BV94,$CG94,0,$BY94,$BX94,$BZ94,$AJ94,1,12)*$CB94,0)</f>
        <v>#NAME?</v>
      </c>
      <c r="BI94" s="370" t="e">
        <f aca="false">xSPRDOPT($BW94,$BV94,$CG94,2*LN(1+CA94/2),$BY94,$BX94,$BZ94,$AJ94,1,9)</f>
        <v>#NAME?</v>
      </c>
      <c r="BJ94" s="370" t="e">
        <f aca="false">xSPRDOPT($BW94,$BV94,$CG94,0,$BY94,$BX94,$BZ94,$AJ94,1,6)*$CB94</f>
        <v>#NAME?</v>
      </c>
      <c r="BK94" s="370" t="e">
        <f aca="false">xSPRDOPT($BW94,$BV94,$CG94,0,$BY94,$BX94,$BZ94,$AJ94,1,5)*$CB94</f>
        <v>#NAME?</v>
      </c>
      <c r="BL94" s="370" t="e">
        <f aca="false">xSPRDOPT(BW94,BV94,CG94,0,BY94,BX94,BZ94,AJ94,1,2)*CB94</f>
        <v>#NAME?</v>
      </c>
      <c r="BM94" s="370" t="e">
        <f aca="false">xSPRDOPT(BW94,BV94,CG94,0,BY94,BX94,BZ94,AJ94,1,1)*CB94</f>
        <v>#NAME?</v>
      </c>
      <c r="BN94" s="370" t="e">
        <f aca="false">IF(AH94&lt;&gt;0,xSPRDOPT($BW94,$BV94,$CG94,2*LN(1+CA94/2),$BY94,$BX94,$BZ94,$AJ94,1,8)+(AJ94/365.25)*CH94/AH94,0)</f>
        <v>#VALUE!</v>
      </c>
      <c r="BO94" s="370" t="e">
        <f aca="false">xSPRDOPT($BW94,$BV94,$CG94,0,$BY94,$BX94,$BZ94,$AJ94,1,0)</f>
        <v>#NAME?</v>
      </c>
      <c r="BP94" s="370"/>
      <c r="BQ94" s="370"/>
      <c r="BR94" s="370"/>
      <c r="BS94" s="370"/>
      <c r="BV94" s="508" t="n">
        <v>4.2695</v>
      </c>
      <c r="BW94" s="369" t="n">
        <v>4.2695</v>
      </c>
      <c r="BX94" s="370" t="n">
        <v>0.256183058566557</v>
      </c>
      <c r="BY94" s="370" t="n">
        <v>0.256183058566557</v>
      </c>
      <c r="BZ94" s="370" t="n">
        <v>0.998715352885815</v>
      </c>
      <c r="CA94" s="370" t="n">
        <v>0.0560215286416526</v>
      </c>
      <c r="CB94" s="370" t="n">
        <v>0.714428287231</v>
      </c>
      <c r="CC94" s="505" t="n">
        <v>0.355</v>
      </c>
      <c r="CD94" s="505" t="n">
        <v>0</v>
      </c>
      <c r="CE94" s="505" t="n">
        <v>0.355</v>
      </c>
      <c r="CF94" s="505" t="n">
        <v>0</v>
      </c>
      <c r="CG94" s="505" t="n">
        <v>0</v>
      </c>
      <c r="CH94" s="505" t="n">
        <v>0</v>
      </c>
      <c r="CI94" s="505" t="n">
        <v>3.9145</v>
      </c>
      <c r="CJ94" s="505"/>
      <c r="CK94" s="505"/>
      <c r="CL94" s="505"/>
      <c r="CM94" s="505"/>
    </row>
    <row r="95" customFormat="false" ht="12.75" hidden="false" customHeight="false" outlineLevel="0" collapsed="false">
      <c r="A95" s="500"/>
      <c r="B95" s="500"/>
      <c r="D95" s="361" t="e">
        <f aca="false">D94+AH94</f>
        <v>#VALUE!</v>
      </c>
      <c r="F95" s="362" t="e">
        <f aca="false">VLOOKUP(AG95,$AL$4:$AS$15,2)</f>
        <v>#VALUE!</v>
      </c>
      <c r="G95" s="362" t="e">
        <f aca="false">F95*$AU95</f>
        <v>#VALUE!</v>
      </c>
      <c r="H95" s="363" t="e">
        <f aca="false">(AL95+AM95+AN95)/(1-(AR95))</f>
        <v>#VALUE!</v>
      </c>
      <c r="I95" s="363" t="e">
        <f aca="false">(AL95+AO95+AP95)</f>
        <v>#VALUE!</v>
      </c>
      <c r="K95" s="363" t="e">
        <f aca="false">MAX(((I95-H95)-AQ95)*AU95*AH95,0)</f>
        <v>#VALUE!</v>
      </c>
      <c r="L95" s="501" t="e">
        <f aca="false">MAX(Q95-K95,0)</f>
        <v>#VALUE!</v>
      </c>
      <c r="N95" s="502" t="e">
        <f aca="false">SQRT(($AX95^2*($AH95/2)+$AW95^2*$AI95)/(($AH95/2)+$AI95))</f>
        <v>#VALUE!</v>
      </c>
      <c r="O95" s="502" t="e">
        <f aca="false">SQRT(($AY95^2*($AH95/2)+$AW95^2*$AI95)/(($AH95/2)+$AI95))</f>
        <v>#VALUE!</v>
      </c>
      <c r="P95" s="371" t="e">
        <f aca="false">(VLOOKUP(AI95,CorrelationTwo,2)*(AW95^2)*AI95+VLOOKUP(D95,CorrelationOne,$AK$9)*AX95*AY95*(AH95/2))/((AI95+(AH95/2))*O95*N95)*AF95</f>
        <v>#VALUE!</v>
      </c>
      <c r="Q95" s="501" t="e">
        <f aca="false">xSPRDOPT(I95,H95,AQ95,0,O95,N95,P95,D95-$G$5,1,0)*AH95*AU95</f>
        <v>#VALUE!</v>
      </c>
      <c r="R95" s="501"/>
      <c r="S95" s="365" t="e">
        <f aca="false">-T95/(1-AR95)</f>
        <v>#VALUE!</v>
      </c>
      <c r="T95" s="365" t="e">
        <f aca="false">xSPRDOPT(I95,H95,AQ95,AT95,O95,N95,P95,D95-$G$5,1,1)*AF95*F95*AH95</f>
        <v>#VALUE!</v>
      </c>
      <c r="U95" s="501"/>
      <c r="V95" s="503" t="e">
        <f aca="false">VLOOKUP($AG95,$AL$4:$AS$15,8)*AH95*AU95</f>
        <v>#VALUE!</v>
      </c>
      <c r="W95" s="503"/>
      <c r="X95" s="504" t="e">
        <f aca="false">((BM95*BC95)+(BL95*BB95))*AH95*F95</f>
        <v>#VALUE!</v>
      </c>
      <c r="Y95" s="504" t="e">
        <f aca="false">($F95*$AH95)*((($BG95/2)*($BC95)^2)+(($BF95/2)*($BB95)^2)+($BH95*$BC95*$BB95))</f>
        <v>#VALUE!</v>
      </c>
      <c r="Z95" s="504" t="e">
        <f aca="false">($BI95*$F95*$AH95*($G$5-$BV$5))/365.25</f>
        <v>#VALUE!</v>
      </c>
      <c r="AA95" s="504" t="e">
        <f aca="false">(($BK95*$BE95)+($BJ95*$BD95))*$F95*$AH95*$AF95</f>
        <v>#VALUE!</v>
      </c>
      <c r="AB95" s="504" t="e">
        <f aca="false">BN95*(AT95-CA95)*F95*AH95</f>
        <v>#VALUE!</v>
      </c>
      <c r="AC95" s="504" t="e">
        <f aca="false">BO95*CB95*F95*AH95*CA95*($G$5-$BV$5)/365.25</f>
        <v>#NAME?</v>
      </c>
      <c r="AF95" s="378" t="e">
        <f aca="false">IF(AND(D95&gt;=$G$7,D95&lt;=$G$8),1,0)</f>
        <v>#VALUE!</v>
      </c>
      <c r="AG95" s="378" t="e">
        <f aca="false">MONTH(D95)</f>
        <v>#VALUE!</v>
      </c>
      <c r="AH95" s="378" t="e">
        <f aca="false">(EOMONTH(D95,0)-EOMONTH(D95-DAY(D95),0))*AF95</f>
        <v>#VALUE!</v>
      </c>
      <c r="AI95" s="378" t="e">
        <f aca="false">AI94+AH94</f>
        <v>#VALUE!</v>
      </c>
      <c r="AJ95" s="378" t="e">
        <f aca="false">D95-$BV$5</f>
        <v>#VALUE!</v>
      </c>
      <c r="AL95" s="369" t="e">
        <f aca="false">VLOOKUP($D95,CurveTbl,$AK$4)</f>
        <v>#VALUE!</v>
      </c>
      <c r="AM95" s="505" t="e">
        <f aca="false">VLOOKUP($D95,CurveTbl,$AH$3)</f>
        <v>#VALUE!</v>
      </c>
      <c r="AN95" s="505" t="e">
        <f aca="false">VLOOKUP($D95,CurveTbl,$AH$4)+VLOOKUP($AG95,$AL$3:$AS$15,6)</f>
        <v>#VALUE!</v>
      </c>
      <c r="AO95" s="505" t="e">
        <f aca="false">VLOOKUP($D95,CurveTbl,$AH$5)</f>
        <v>#VALUE!</v>
      </c>
      <c r="AP95" s="505" t="e">
        <f aca="false">VLOOKUP($D95,CurveTbl,$AH$6)+VLOOKUP($AG95,$AL$3:$AS$15,7)</f>
        <v>#VALUE!</v>
      </c>
      <c r="AQ95" s="369" t="e">
        <f aca="false">VLOOKUP($AG95,$AL$4:$AS$15,3)+VLOOKUP($AG95,$AL$4:$AS$15,5)+($AH$10*VLOOKUP(D95,GRITable,2))</f>
        <v>#VALUE!</v>
      </c>
      <c r="AR95" s="370" t="e">
        <f aca="false">VLOOKUP($AG95,$AL$4:$AS$15,4)</f>
        <v>#VALUE!</v>
      </c>
      <c r="AS95" s="369" t="e">
        <f aca="false">(AL95+AM95+AN95)</f>
        <v>#VALUE!</v>
      </c>
      <c r="AT95" s="370" t="e">
        <f aca="false">VLOOKUP(D95,CurveTbl,$AK$6)</f>
        <v>#VALUE!</v>
      </c>
      <c r="AU95" s="370" t="e">
        <f aca="false">(1+$AT95/2)^(-2*($D95-$G$5)/365.25)*$AF95</f>
        <v>#VALUE!</v>
      </c>
      <c r="AV95" s="506" t="e">
        <f aca="false">ROUND((F95/(1-AR95))-F95,0)*AF95*AH95*AU95</f>
        <v>#VALUE!</v>
      </c>
      <c r="AW95" s="370" t="e">
        <f aca="false">VLOOKUP($D95,CurveTbl,$AK$8)</f>
        <v>#VALUE!</v>
      </c>
      <c r="AX95" s="370" t="e">
        <f aca="false">VLOOKUP($D95,CurveTbl,$AH$7)</f>
        <v>#VALUE!</v>
      </c>
      <c r="AY95" s="370" t="e">
        <f aca="false">VLOOKUP($D95,CurveTbl,$AH$8)</f>
        <v>#VALUE!</v>
      </c>
      <c r="AZ95" s="370"/>
      <c r="BA95" s="507"/>
      <c r="BB95" s="505" t="e">
        <f aca="false">$H95-$BV95</f>
        <v>#VALUE!</v>
      </c>
      <c r="BC95" s="505" t="e">
        <f aca="false">I95-BW95</f>
        <v>#VALUE!</v>
      </c>
      <c r="BD95" s="370" t="e">
        <f aca="false">N95-BX95</f>
        <v>#VALUE!</v>
      </c>
      <c r="BE95" s="370" t="e">
        <f aca="false">O95-BY95</f>
        <v>#VALUE!</v>
      </c>
      <c r="BF95" s="370" t="e">
        <f aca="false">xSPRDOPT($BW95,$BV95,$CG95,0,$BY95,$BX95,$BZ95,$AJ95,1,4)*$CB95</f>
        <v>#NAME?</v>
      </c>
      <c r="BG95" s="370" t="e">
        <f aca="false">xSPRDOPT($BW95,$BV95,$CG95,0,$BY95,$BX95,$BZ95,$AJ95,1,3)*$CB95</f>
        <v>#NAME?</v>
      </c>
      <c r="BH95" s="370" t="e">
        <f aca="false">IF(OR(BF95&lt;&gt;0,BG95&lt;&gt;0),xSPRDOPT($BW95,$BV95,$CG95,0,$BY95,$BX95,$BZ95,$AJ95,1,12)*$CB95,0)</f>
        <v>#NAME?</v>
      </c>
      <c r="BI95" s="370" t="e">
        <f aca="false">xSPRDOPT($BW95,$BV95,$CG95,2*LN(1+CA95/2),$BY95,$BX95,$BZ95,$AJ95,1,9)</f>
        <v>#NAME?</v>
      </c>
      <c r="BJ95" s="370" t="e">
        <f aca="false">xSPRDOPT($BW95,$BV95,$CG95,0,$BY95,$BX95,$BZ95,$AJ95,1,6)*$CB95</f>
        <v>#NAME?</v>
      </c>
      <c r="BK95" s="370" t="e">
        <f aca="false">xSPRDOPT($BW95,$BV95,$CG95,0,$BY95,$BX95,$BZ95,$AJ95,1,5)*$CB95</f>
        <v>#NAME?</v>
      </c>
      <c r="BL95" s="370" t="e">
        <f aca="false">xSPRDOPT(BW95,BV95,CG95,0,BY95,BX95,BZ95,AJ95,1,2)*CB95</f>
        <v>#NAME?</v>
      </c>
      <c r="BM95" s="370" t="e">
        <f aca="false">xSPRDOPT(BW95,BV95,CG95,0,BY95,BX95,BZ95,AJ95,1,1)*CB95</f>
        <v>#NAME?</v>
      </c>
      <c r="BN95" s="370" t="e">
        <f aca="false">IF(AH95&lt;&gt;0,xSPRDOPT($BW95,$BV95,$CG95,2*LN(1+CA95/2),$BY95,$BX95,$BZ95,$AJ95,1,8)+(AJ95/365.25)*CH95/AH95,0)</f>
        <v>#VALUE!</v>
      </c>
      <c r="BO95" s="370" t="e">
        <f aca="false">xSPRDOPT($BW95,$BV95,$CG95,0,$BY95,$BX95,$BZ95,$AJ95,1,0)</f>
        <v>#NAME?</v>
      </c>
      <c r="BP95" s="370"/>
      <c r="BQ95" s="370"/>
      <c r="BR95" s="370"/>
      <c r="BS95" s="370"/>
      <c r="BV95" s="508" t="n">
        <v>4.1845</v>
      </c>
      <c r="BW95" s="369" t="n">
        <v>4.1845</v>
      </c>
      <c r="BX95" s="370" t="n">
        <v>0.254974026656127</v>
      </c>
      <c r="BY95" s="370" t="n">
        <v>0.254974026656127</v>
      </c>
      <c r="BZ95" s="370" t="n">
        <v>0.998802952875437</v>
      </c>
      <c r="CA95" s="370" t="n">
        <v>0.0562055448196963</v>
      </c>
      <c r="CB95" s="370" t="n">
        <v>0.710300889666288</v>
      </c>
      <c r="CC95" s="505" t="n">
        <v>0.355</v>
      </c>
      <c r="CD95" s="505" t="n">
        <v>0</v>
      </c>
      <c r="CE95" s="505" t="n">
        <v>0.355</v>
      </c>
      <c r="CF95" s="505" t="n">
        <v>0</v>
      </c>
      <c r="CG95" s="505" t="n">
        <v>0</v>
      </c>
      <c r="CH95" s="505" t="n">
        <v>0</v>
      </c>
      <c r="CI95" s="505" t="n">
        <v>3.8295</v>
      </c>
      <c r="CJ95" s="505"/>
      <c r="CK95" s="505"/>
      <c r="CL95" s="505"/>
      <c r="CM95" s="505"/>
    </row>
    <row r="96" customFormat="false" ht="12.75" hidden="false" customHeight="false" outlineLevel="0" collapsed="false">
      <c r="A96" s="500"/>
      <c r="B96" s="500"/>
      <c r="D96" s="361" t="e">
        <f aca="false">D95+AH95</f>
        <v>#VALUE!</v>
      </c>
      <c r="F96" s="362" t="e">
        <f aca="false">VLOOKUP(AG96,$AL$4:$AS$15,2)</f>
        <v>#VALUE!</v>
      </c>
      <c r="G96" s="362" t="e">
        <f aca="false">F96*$AU96</f>
        <v>#VALUE!</v>
      </c>
      <c r="H96" s="363" t="e">
        <f aca="false">(AL96+AM96+AN96)/(1-(AR96))</f>
        <v>#VALUE!</v>
      </c>
      <c r="I96" s="363" t="e">
        <f aca="false">(AL96+AO96+AP96)</f>
        <v>#VALUE!</v>
      </c>
      <c r="K96" s="363" t="e">
        <f aca="false">MAX(((I96-H96)-AQ96)*AU96*AH96,0)</f>
        <v>#VALUE!</v>
      </c>
      <c r="L96" s="501" t="e">
        <f aca="false">MAX(Q96-K96,0)</f>
        <v>#VALUE!</v>
      </c>
      <c r="N96" s="502" t="e">
        <f aca="false">SQRT(($AX96^2*($AH96/2)+$AW96^2*$AI96)/(($AH96/2)+$AI96))</f>
        <v>#VALUE!</v>
      </c>
      <c r="O96" s="502" t="e">
        <f aca="false">SQRT(($AY96^2*($AH96/2)+$AW96^2*$AI96)/(($AH96/2)+$AI96))</f>
        <v>#VALUE!</v>
      </c>
      <c r="P96" s="371" t="e">
        <f aca="false">(VLOOKUP(AI96,CorrelationTwo,2)*(AW96^2)*AI96+VLOOKUP(D96,CorrelationOne,$AK$9)*AX96*AY96*(AH96/2))/((AI96+(AH96/2))*O96*N96)*AF96</f>
        <v>#VALUE!</v>
      </c>
      <c r="Q96" s="501" t="e">
        <f aca="false">xSPRDOPT(I96,H96,AQ96,0,O96,N96,P96,D96-$G$5,1,0)*AH96*AU96</f>
        <v>#VALUE!</v>
      </c>
      <c r="R96" s="501"/>
      <c r="S96" s="365" t="e">
        <f aca="false">-T96/(1-AR96)</f>
        <v>#VALUE!</v>
      </c>
      <c r="T96" s="365" t="e">
        <f aca="false">xSPRDOPT(I96,H96,AQ96,AT96,O96,N96,P96,D96-$G$5,1,1)*AF96*F96*AH96</f>
        <v>#VALUE!</v>
      </c>
      <c r="U96" s="501"/>
      <c r="V96" s="503" t="e">
        <f aca="false">VLOOKUP($AG96,$AL$4:$AS$15,8)*AH96*AU96</f>
        <v>#VALUE!</v>
      </c>
      <c r="W96" s="503"/>
      <c r="X96" s="504" t="e">
        <f aca="false">((BM96*BC96)+(BL96*BB96))*AH96*F96</f>
        <v>#VALUE!</v>
      </c>
      <c r="Y96" s="504" t="e">
        <f aca="false">($F96*$AH96)*((($BG96/2)*($BC96)^2)+(($BF96/2)*($BB96)^2)+($BH96*$BC96*$BB96))</f>
        <v>#VALUE!</v>
      </c>
      <c r="Z96" s="504" t="e">
        <f aca="false">($BI96*$F96*$AH96*($G$5-$BV$5))/365.25</f>
        <v>#VALUE!</v>
      </c>
      <c r="AA96" s="504" t="e">
        <f aca="false">(($BK96*$BE96)+($BJ96*$BD96))*$F96*$AH96*$AF96</f>
        <v>#VALUE!</v>
      </c>
      <c r="AB96" s="504" t="e">
        <f aca="false">BN96*(AT96-CA96)*F96*AH96</f>
        <v>#VALUE!</v>
      </c>
      <c r="AC96" s="504" t="e">
        <f aca="false">BO96*CB96*F96*AH96*CA96*($G$5-$BV$5)/365.25</f>
        <v>#NAME?</v>
      </c>
      <c r="AF96" s="378" t="e">
        <f aca="false">IF(AND(D96&gt;=$G$7,D96&lt;=$G$8),1,0)</f>
        <v>#VALUE!</v>
      </c>
      <c r="AG96" s="378" t="e">
        <f aca="false">MONTH(D96)</f>
        <v>#VALUE!</v>
      </c>
      <c r="AH96" s="378" t="e">
        <f aca="false">(EOMONTH(D96,0)-EOMONTH(D96-DAY(D96),0))*AF96</f>
        <v>#VALUE!</v>
      </c>
      <c r="AI96" s="378" t="e">
        <f aca="false">AI95+AH95</f>
        <v>#VALUE!</v>
      </c>
      <c r="AJ96" s="378" t="e">
        <f aca="false">D96-$BV$5</f>
        <v>#VALUE!</v>
      </c>
      <c r="AL96" s="369" t="e">
        <f aca="false">VLOOKUP($D96,CurveTbl,$AK$4)</f>
        <v>#VALUE!</v>
      </c>
      <c r="AM96" s="505" t="e">
        <f aca="false">VLOOKUP($D96,CurveTbl,$AH$3)</f>
        <v>#VALUE!</v>
      </c>
      <c r="AN96" s="505" t="e">
        <f aca="false">VLOOKUP($D96,CurveTbl,$AH$4)+VLOOKUP($AG96,$AL$3:$AS$15,6)</f>
        <v>#VALUE!</v>
      </c>
      <c r="AO96" s="505" t="e">
        <f aca="false">VLOOKUP($D96,CurveTbl,$AH$5)</f>
        <v>#VALUE!</v>
      </c>
      <c r="AP96" s="505" t="e">
        <f aca="false">VLOOKUP($D96,CurveTbl,$AH$6)+VLOOKUP($AG96,$AL$3:$AS$15,7)</f>
        <v>#VALUE!</v>
      </c>
      <c r="AQ96" s="369" t="e">
        <f aca="false">VLOOKUP($AG96,$AL$4:$AS$15,3)+VLOOKUP($AG96,$AL$4:$AS$15,5)+($AH$10*VLOOKUP(D96,GRITable,2))</f>
        <v>#VALUE!</v>
      </c>
      <c r="AR96" s="370" t="e">
        <f aca="false">VLOOKUP($AG96,$AL$4:$AS$15,4)</f>
        <v>#VALUE!</v>
      </c>
      <c r="AS96" s="369" t="e">
        <f aca="false">(AL96+AM96+AN96)</f>
        <v>#VALUE!</v>
      </c>
      <c r="AT96" s="370" t="e">
        <f aca="false">VLOOKUP(D96,CurveTbl,$AK$6)</f>
        <v>#VALUE!</v>
      </c>
      <c r="AU96" s="370" t="e">
        <f aca="false">(1+$AT96/2)^(-2*($D96-$G$5)/365.25)*$AF96</f>
        <v>#VALUE!</v>
      </c>
      <c r="AV96" s="506" t="e">
        <f aca="false">ROUND((F96/(1-AR96))-F96,0)*AF96*AH96*AU96</f>
        <v>#VALUE!</v>
      </c>
      <c r="AW96" s="370" t="e">
        <f aca="false">VLOOKUP($D96,CurveTbl,$AK$8)</f>
        <v>#VALUE!</v>
      </c>
      <c r="AX96" s="370" t="e">
        <f aca="false">VLOOKUP($D96,CurveTbl,$AH$7)</f>
        <v>#VALUE!</v>
      </c>
      <c r="AY96" s="370" t="e">
        <f aca="false">VLOOKUP($D96,CurveTbl,$AH$8)</f>
        <v>#VALUE!</v>
      </c>
      <c r="AZ96" s="370"/>
      <c r="BA96" s="507"/>
      <c r="BB96" s="505" t="e">
        <f aca="false">$H96-$BV96</f>
        <v>#VALUE!</v>
      </c>
      <c r="BC96" s="505" t="e">
        <f aca="false">I96-BW96</f>
        <v>#VALUE!</v>
      </c>
      <c r="BD96" s="370" t="e">
        <f aca="false">N96-BX96</f>
        <v>#VALUE!</v>
      </c>
      <c r="BE96" s="370" t="e">
        <f aca="false">O96-BY96</f>
        <v>#VALUE!</v>
      </c>
      <c r="BF96" s="370" t="e">
        <f aca="false">xSPRDOPT($BW96,$BV96,$CG96,0,$BY96,$BX96,$BZ96,$AJ96,1,4)*$CB96</f>
        <v>#NAME?</v>
      </c>
      <c r="BG96" s="370" t="e">
        <f aca="false">xSPRDOPT($BW96,$BV96,$CG96,0,$BY96,$BX96,$BZ96,$AJ96,1,3)*$CB96</f>
        <v>#NAME?</v>
      </c>
      <c r="BH96" s="370" t="e">
        <f aca="false">IF(OR(BF96&lt;&gt;0,BG96&lt;&gt;0),xSPRDOPT($BW96,$BV96,$CG96,0,$BY96,$BX96,$BZ96,$AJ96,1,12)*$CB96,0)</f>
        <v>#NAME?</v>
      </c>
      <c r="BI96" s="370" t="e">
        <f aca="false">xSPRDOPT($BW96,$BV96,$CG96,2*LN(1+CA96/2),$BY96,$BX96,$BZ96,$AJ96,1,9)</f>
        <v>#NAME?</v>
      </c>
      <c r="BJ96" s="370" t="e">
        <f aca="false">xSPRDOPT($BW96,$BV96,$CG96,0,$BY96,$BX96,$BZ96,$AJ96,1,6)*$CB96</f>
        <v>#NAME?</v>
      </c>
      <c r="BK96" s="370" t="e">
        <f aca="false">xSPRDOPT($BW96,$BV96,$CG96,0,$BY96,$BX96,$BZ96,$AJ96,1,5)*$CB96</f>
        <v>#NAME?</v>
      </c>
      <c r="BL96" s="370" t="e">
        <f aca="false">xSPRDOPT(BW96,BV96,CG96,0,BY96,BX96,BZ96,AJ96,1,2)*CB96</f>
        <v>#NAME?</v>
      </c>
      <c r="BM96" s="370" t="e">
        <f aca="false">xSPRDOPT(BW96,BV96,CG96,0,BY96,BX96,BZ96,AJ96,1,1)*CB96</f>
        <v>#NAME?</v>
      </c>
      <c r="BN96" s="370" t="e">
        <f aca="false">IF(AH96&lt;&gt;0,xSPRDOPT($BW96,$BV96,$CG96,2*LN(1+CA96/2),$BY96,$BX96,$BZ96,$AJ96,1,8)+(AJ96/365.25)*CH96/AH96,0)</f>
        <v>#VALUE!</v>
      </c>
      <c r="BO96" s="370" t="e">
        <f aca="false">xSPRDOPT($BW96,$BV96,$CG96,0,$BY96,$BX96,$BZ96,$AJ96,1,0)</f>
        <v>#NAME?</v>
      </c>
      <c r="BP96" s="370"/>
      <c r="BQ96" s="370"/>
      <c r="BR96" s="370"/>
      <c r="BS96" s="370"/>
      <c r="BV96" s="508" t="n">
        <v>4.0545</v>
      </c>
      <c r="BW96" s="369" t="n">
        <v>4.0545</v>
      </c>
      <c r="BX96" s="370" t="n">
        <v>0.242212276821627</v>
      </c>
      <c r="BY96" s="370" t="n">
        <v>0.242212276821627</v>
      </c>
      <c r="BZ96" s="370" t="n">
        <v>0.999349464863734</v>
      </c>
      <c r="CA96" s="370" t="n">
        <v>0.056377688996458</v>
      </c>
      <c r="CB96" s="370" t="n">
        <v>0.706441997314755</v>
      </c>
      <c r="CC96" s="505" t="n">
        <v>0.355</v>
      </c>
      <c r="CD96" s="505" t="n">
        <v>0</v>
      </c>
      <c r="CE96" s="505" t="n">
        <v>0.355</v>
      </c>
      <c r="CF96" s="505" t="n">
        <v>0</v>
      </c>
      <c r="CG96" s="505" t="n">
        <v>0</v>
      </c>
      <c r="CH96" s="505" t="n">
        <v>0</v>
      </c>
      <c r="CI96" s="505" t="n">
        <v>3.6995</v>
      </c>
      <c r="CJ96" s="505"/>
      <c r="CK96" s="505"/>
      <c r="CL96" s="505"/>
      <c r="CM96" s="505"/>
    </row>
    <row r="97" customFormat="false" ht="12.75" hidden="false" customHeight="false" outlineLevel="0" collapsed="false">
      <c r="A97" s="500"/>
      <c r="B97" s="500"/>
      <c r="D97" s="361" t="e">
        <f aca="false">D96+AH96</f>
        <v>#VALUE!</v>
      </c>
      <c r="F97" s="362" t="e">
        <f aca="false">VLOOKUP(AG97,$AL$4:$AS$15,2)</f>
        <v>#VALUE!</v>
      </c>
      <c r="G97" s="362" t="e">
        <f aca="false">F97*$AU97</f>
        <v>#VALUE!</v>
      </c>
      <c r="H97" s="363" t="e">
        <f aca="false">(AL97+AM97+AN97)/(1-(AR97))</f>
        <v>#VALUE!</v>
      </c>
      <c r="I97" s="363" t="e">
        <f aca="false">(AL97+AO97+AP97)</f>
        <v>#VALUE!</v>
      </c>
      <c r="K97" s="363" t="e">
        <f aca="false">MAX(((I97-H97)-AQ97)*AU97*AH97,0)</f>
        <v>#VALUE!</v>
      </c>
      <c r="L97" s="501" t="e">
        <f aca="false">MAX(Q97-K97,0)</f>
        <v>#VALUE!</v>
      </c>
      <c r="N97" s="502" t="e">
        <f aca="false">SQRT(($AX97^2*($AH97/2)+$AW97^2*$AI97)/(($AH97/2)+$AI97))</f>
        <v>#VALUE!</v>
      </c>
      <c r="O97" s="502" t="e">
        <f aca="false">SQRT(($AY97^2*($AH97/2)+$AW97^2*$AI97)/(($AH97/2)+$AI97))</f>
        <v>#VALUE!</v>
      </c>
      <c r="P97" s="371" t="e">
        <f aca="false">(VLOOKUP(AI97,CorrelationTwo,2)*(AW97^2)*AI97+VLOOKUP(D97,CorrelationOne,$AK$9)*AX97*AY97*(AH97/2))/((AI97+(AH97/2))*O97*N97)*AF97</f>
        <v>#VALUE!</v>
      </c>
      <c r="Q97" s="501" t="e">
        <f aca="false">xSPRDOPT(I97,H97,AQ97,0,O97,N97,P97,D97-$G$5,1,0)*AH97*AU97</f>
        <v>#VALUE!</v>
      </c>
      <c r="R97" s="501"/>
      <c r="S97" s="365" t="e">
        <f aca="false">-T97/(1-AR97)</f>
        <v>#VALUE!</v>
      </c>
      <c r="T97" s="365" t="e">
        <f aca="false">xSPRDOPT(I97,H97,AQ97,AT97,O97,N97,P97,D97-$G$5,1,1)*AF97*F97*AH97</f>
        <v>#VALUE!</v>
      </c>
      <c r="U97" s="501"/>
      <c r="V97" s="503" t="e">
        <f aca="false">VLOOKUP($AG97,$AL$4:$AS$15,8)*AH97*AU97</f>
        <v>#VALUE!</v>
      </c>
      <c r="W97" s="503"/>
      <c r="X97" s="504" t="e">
        <f aca="false">((BM97*BC97)+(BL97*BB97))*AH97*F97</f>
        <v>#VALUE!</v>
      </c>
      <c r="Y97" s="504" t="e">
        <f aca="false">($F97*$AH97)*((($BG97/2)*($BC97)^2)+(($BF97/2)*($BB97)^2)+($BH97*$BC97*$BB97))</f>
        <v>#VALUE!</v>
      </c>
      <c r="Z97" s="504" t="e">
        <f aca="false">($BI97*$F97*$AH97*($G$5-$BV$5))/365.25</f>
        <v>#VALUE!</v>
      </c>
      <c r="AA97" s="504" t="e">
        <f aca="false">(($BK97*$BE97)+($BJ97*$BD97))*$F97*$AH97*$AF97</f>
        <v>#VALUE!</v>
      </c>
      <c r="AB97" s="504" t="e">
        <f aca="false">BN97*(AT97-CA97)*F97*AH97</f>
        <v>#VALUE!</v>
      </c>
      <c r="AC97" s="504" t="e">
        <f aca="false">BO97*CB97*F97*AH97*CA97*($G$5-$BV$5)/365.25</f>
        <v>#NAME?</v>
      </c>
      <c r="AF97" s="378" t="e">
        <f aca="false">IF(AND(D97&gt;=$G$7,D97&lt;=$G$8),1,0)</f>
        <v>#VALUE!</v>
      </c>
      <c r="AG97" s="378" t="e">
        <f aca="false">MONTH(D97)</f>
        <v>#VALUE!</v>
      </c>
      <c r="AH97" s="378" t="e">
        <f aca="false">(EOMONTH(D97,0)-EOMONTH(D97-DAY(D97),0))*AF97</f>
        <v>#VALUE!</v>
      </c>
      <c r="AI97" s="378" t="e">
        <f aca="false">AI96+AH96</f>
        <v>#VALUE!</v>
      </c>
      <c r="AJ97" s="378" t="e">
        <f aca="false">D97-$BV$5</f>
        <v>#VALUE!</v>
      </c>
      <c r="AL97" s="369" t="e">
        <f aca="false">VLOOKUP($D97,CurveTbl,$AK$4)</f>
        <v>#VALUE!</v>
      </c>
      <c r="AM97" s="505" t="e">
        <f aca="false">VLOOKUP($D97,CurveTbl,$AH$3)</f>
        <v>#VALUE!</v>
      </c>
      <c r="AN97" s="505" t="e">
        <f aca="false">VLOOKUP($D97,CurveTbl,$AH$4)+VLOOKUP($AG97,$AL$3:$AS$15,6)</f>
        <v>#VALUE!</v>
      </c>
      <c r="AO97" s="505" t="e">
        <f aca="false">VLOOKUP($D97,CurveTbl,$AH$5)</f>
        <v>#VALUE!</v>
      </c>
      <c r="AP97" s="505" t="e">
        <f aca="false">VLOOKUP($D97,CurveTbl,$AH$6)+VLOOKUP($AG97,$AL$3:$AS$15,7)</f>
        <v>#VALUE!</v>
      </c>
      <c r="AQ97" s="369" t="e">
        <f aca="false">VLOOKUP($AG97,$AL$4:$AS$15,3)+VLOOKUP($AG97,$AL$4:$AS$15,5)+($AH$10*VLOOKUP(D97,GRITable,2))</f>
        <v>#VALUE!</v>
      </c>
      <c r="AR97" s="370" t="e">
        <f aca="false">VLOOKUP($AG97,$AL$4:$AS$15,4)</f>
        <v>#VALUE!</v>
      </c>
      <c r="AS97" s="369" t="e">
        <f aca="false">(AL97+AM97+AN97)</f>
        <v>#VALUE!</v>
      </c>
      <c r="AT97" s="370" t="e">
        <f aca="false">VLOOKUP(D97,CurveTbl,$AK$6)</f>
        <v>#VALUE!</v>
      </c>
      <c r="AU97" s="370" t="e">
        <f aca="false">(1+$AT97/2)^(-2*($D97-$G$5)/365.25)*$AF97</f>
        <v>#VALUE!</v>
      </c>
      <c r="AV97" s="506" t="e">
        <f aca="false">ROUND((F97/(1-AR97))-F97,0)*AF97*AH97*AU97</f>
        <v>#VALUE!</v>
      </c>
      <c r="AW97" s="370" t="e">
        <f aca="false">VLOOKUP($D97,CurveTbl,$AK$8)</f>
        <v>#VALUE!</v>
      </c>
      <c r="AX97" s="370" t="e">
        <f aca="false">VLOOKUP($D97,CurveTbl,$AH$7)</f>
        <v>#VALUE!</v>
      </c>
      <c r="AY97" s="370" t="e">
        <f aca="false">VLOOKUP($D97,CurveTbl,$AH$8)</f>
        <v>#VALUE!</v>
      </c>
      <c r="AZ97" s="370"/>
      <c r="BA97" s="507"/>
      <c r="BB97" s="505" t="e">
        <f aca="false">$H97-$BV97</f>
        <v>#VALUE!</v>
      </c>
      <c r="BC97" s="505" t="e">
        <f aca="false">I97-BW97</f>
        <v>#VALUE!</v>
      </c>
      <c r="BD97" s="370" t="e">
        <f aca="false">N97-BX97</f>
        <v>#VALUE!</v>
      </c>
      <c r="BE97" s="370" t="e">
        <f aca="false">O97-BY97</f>
        <v>#VALUE!</v>
      </c>
      <c r="BF97" s="370" t="e">
        <f aca="false">xSPRDOPT($BW97,$BV97,$CG97,0,$BY97,$BX97,$BZ97,$AJ97,1,4)*$CB97</f>
        <v>#NAME?</v>
      </c>
      <c r="BG97" s="370" t="e">
        <f aca="false">xSPRDOPT($BW97,$BV97,$CG97,0,$BY97,$BX97,$BZ97,$AJ97,1,3)*$CB97</f>
        <v>#NAME?</v>
      </c>
      <c r="BH97" s="370" t="e">
        <f aca="false">IF(OR(BF97&lt;&gt;0,BG97&lt;&gt;0),xSPRDOPT($BW97,$BV97,$CG97,0,$BY97,$BX97,$BZ97,$AJ97,1,12)*$CB97,0)</f>
        <v>#NAME?</v>
      </c>
      <c r="BI97" s="370" t="e">
        <f aca="false">xSPRDOPT($BW97,$BV97,$CG97,2*LN(1+CA97/2),$BY97,$BX97,$BZ97,$AJ97,1,9)</f>
        <v>#NAME?</v>
      </c>
      <c r="BJ97" s="370" t="e">
        <f aca="false">xSPRDOPT($BW97,$BV97,$CG97,0,$BY97,$BX97,$BZ97,$AJ97,1,6)*$CB97</f>
        <v>#NAME?</v>
      </c>
      <c r="BK97" s="370" t="e">
        <f aca="false">xSPRDOPT($BW97,$BV97,$CG97,0,$BY97,$BX97,$BZ97,$AJ97,1,5)*$CB97</f>
        <v>#NAME?</v>
      </c>
      <c r="BL97" s="370" t="e">
        <f aca="false">xSPRDOPT(BW97,BV97,CG97,0,BY97,BX97,BZ97,AJ97,1,2)*CB97</f>
        <v>#NAME?</v>
      </c>
      <c r="BM97" s="370" t="e">
        <f aca="false">xSPRDOPT(BW97,BV97,CG97,0,BY97,BX97,BZ97,AJ97,1,1)*CB97</f>
        <v>#NAME?</v>
      </c>
      <c r="BN97" s="370" t="e">
        <f aca="false">IF(AH97&lt;&gt;0,xSPRDOPT($BW97,$BV97,$CG97,2*LN(1+CA97/2),$BY97,$BX97,$BZ97,$AJ97,1,8)+(AJ97/365.25)*CH97/AH97,0)</f>
        <v>#VALUE!</v>
      </c>
      <c r="BO97" s="370" t="e">
        <f aca="false">xSPRDOPT($BW97,$BV97,$CG97,0,$BY97,$BX97,$BZ97,$AJ97,1,0)</f>
        <v>#NAME?</v>
      </c>
      <c r="BP97" s="370"/>
      <c r="BQ97" s="370"/>
      <c r="BR97" s="370"/>
      <c r="BS97" s="370"/>
      <c r="BV97" s="508" t="n">
        <v>3.6695</v>
      </c>
      <c r="BW97" s="369" t="n">
        <v>3.7045</v>
      </c>
      <c r="BX97" s="370" t="n">
        <v>0.23</v>
      </c>
      <c r="BY97" s="370" t="n">
        <v>0.23</v>
      </c>
      <c r="BZ97" s="370" t="n">
        <v>0</v>
      </c>
      <c r="CA97" s="370" t="n">
        <v>0.0565617051963172</v>
      </c>
      <c r="CB97" s="370" t="n">
        <v>0</v>
      </c>
      <c r="CC97" s="505" t="n">
        <v>0.155</v>
      </c>
      <c r="CD97" s="505" t="n">
        <v>0</v>
      </c>
      <c r="CE97" s="505" t="n">
        <v>0.19</v>
      </c>
      <c r="CF97" s="505" t="n">
        <v>0</v>
      </c>
      <c r="CG97" s="505" t="n">
        <v>0</v>
      </c>
      <c r="CH97" s="505" t="n">
        <v>0</v>
      </c>
      <c r="CI97" s="505" t="n">
        <v>3.5145</v>
      </c>
      <c r="CJ97" s="505"/>
      <c r="CK97" s="505"/>
      <c r="CL97" s="505"/>
      <c r="CM97" s="505"/>
    </row>
    <row r="98" customFormat="false" ht="12.75" hidden="false" customHeight="false" outlineLevel="0" collapsed="false">
      <c r="A98" s="500"/>
      <c r="B98" s="500"/>
      <c r="D98" s="361" t="e">
        <f aca="false">D97+AH97</f>
        <v>#VALUE!</v>
      </c>
      <c r="F98" s="362" t="e">
        <f aca="false">VLOOKUP(AG98,$AL$4:$AS$15,2)</f>
        <v>#VALUE!</v>
      </c>
      <c r="G98" s="362" t="e">
        <f aca="false">F98*$AU98</f>
        <v>#VALUE!</v>
      </c>
      <c r="H98" s="363" t="e">
        <f aca="false">(AL98+AM98+AN98)/(1-(AR98))</f>
        <v>#VALUE!</v>
      </c>
      <c r="I98" s="363" t="e">
        <f aca="false">(AL98+AO98+AP98)</f>
        <v>#VALUE!</v>
      </c>
      <c r="K98" s="363" t="e">
        <f aca="false">MAX(((I98-H98)-AQ98)*AU98*AH98,0)</f>
        <v>#VALUE!</v>
      </c>
      <c r="L98" s="501" t="e">
        <f aca="false">MAX(Q98-K98,0)</f>
        <v>#VALUE!</v>
      </c>
      <c r="N98" s="502" t="e">
        <f aca="false">SQRT(($AX98^2*($AH98/2)+$AW98^2*$AI98)/(($AH98/2)+$AI98))</f>
        <v>#VALUE!</v>
      </c>
      <c r="O98" s="502" t="e">
        <f aca="false">SQRT(($AY98^2*($AH98/2)+$AW98^2*$AI98)/(($AH98/2)+$AI98))</f>
        <v>#VALUE!</v>
      </c>
      <c r="P98" s="371" t="e">
        <f aca="false">(VLOOKUP(AI98,CorrelationTwo,2)*(AW98^2)*AI98+VLOOKUP(D98,CorrelationOne,$AK$9)*AX98*AY98*(AH98/2))/((AI98+(AH98/2))*O98*N98)*AF98</f>
        <v>#VALUE!</v>
      </c>
      <c r="Q98" s="501" t="e">
        <f aca="false">xSPRDOPT(I98,H98,AQ98,0,O98,N98,P98,D98-$G$5,1,0)*AH98*AU98</f>
        <v>#VALUE!</v>
      </c>
      <c r="R98" s="501"/>
      <c r="S98" s="365" t="e">
        <f aca="false">-T98/(1-AR98)</f>
        <v>#VALUE!</v>
      </c>
      <c r="T98" s="365" t="e">
        <f aca="false">xSPRDOPT(I98,H98,AQ98,AT98,O98,N98,P98,D98-$G$5,1,1)*AF98*F98*AH98</f>
        <v>#VALUE!</v>
      </c>
      <c r="U98" s="501"/>
      <c r="V98" s="503" t="e">
        <f aca="false">VLOOKUP($AG98,$AL$4:$AS$15,8)*AH98*AU98</f>
        <v>#VALUE!</v>
      </c>
      <c r="W98" s="503"/>
      <c r="X98" s="504" t="e">
        <f aca="false">((BM98*BC98)+(BL98*BB98))*AH98*F98</f>
        <v>#VALUE!</v>
      </c>
      <c r="Y98" s="504" t="e">
        <f aca="false">($F98*$AH98)*((($BG98/2)*($BC98)^2)+(($BF98/2)*($BB98)^2)+($BH98*$BC98*$BB98))</f>
        <v>#VALUE!</v>
      </c>
      <c r="Z98" s="504" t="e">
        <f aca="false">($BI98*$F98*$AH98*($G$5-$BV$5))/365.25</f>
        <v>#VALUE!</v>
      </c>
      <c r="AA98" s="504" t="e">
        <f aca="false">(($BK98*$BE98)+($BJ98*$BD98))*$F98*$AH98*$AF98</f>
        <v>#VALUE!</v>
      </c>
      <c r="AB98" s="504" t="e">
        <f aca="false">BN98*(AT98-CA98)*F98*AH98</f>
        <v>#VALUE!</v>
      </c>
      <c r="AC98" s="504" t="e">
        <f aca="false">BO98*CB98*F98*AH98*CA98*($G$5-$BV$5)/365.25</f>
        <v>#NAME?</v>
      </c>
      <c r="AF98" s="378" t="e">
        <f aca="false">IF(AND(D98&gt;=$G$7,D98&lt;=$G$8),1,0)</f>
        <v>#VALUE!</v>
      </c>
      <c r="AG98" s="378" t="e">
        <f aca="false">MONTH(D98)</f>
        <v>#VALUE!</v>
      </c>
      <c r="AH98" s="378" t="e">
        <f aca="false">(EOMONTH(D98,0)-EOMONTH(D98-DAY(D98),0))*AF98</f>
        <v>#VALUE!</v>
      </c>
      <c r="AI98" s="378" t="e">
        <f aca="false">AI97+AH97</f>
        <v>#VALUE!</v>
      </c>
      <c r="AJ98" s="378" t="e">
        <f aca="false">D98-$BV$5</f>
        <v>#VALUE!</v>
      </c>
      <c r="AL98" s="369" t="e">
        <f aca="false">VLOOKUP($D98,CurveTbl,$AK$4)</f>
        <v>#VALUE!</v>
      </c>
      <c r="AM98" s="505" t="e">
        <f aca="false">VLOOKUP($D98,CurveTbl,$AH$3)</f>
        <v>#VALUE!</v>
      </c>
      <c r="AN98" s="505" t="e">
        <f aca="false">VLOOKUP($D98,CurveTbl,$AH$4)+VLOOKUP($AG98,$AL$3:$AS$15,6)</f>
        <v>#VALUE!</v>
      </c>
      <c r="AO98" s="505" t="e">
        <f aca="false">VLOOKUP($D98,CurveTbl,$AH$5)</f>
        <v>#VALUE!</v>
      </c>
      <c r="AP98" s="505" t="e">
        <f aca="false">VLOOKUP($D98,CurveTbl,$AH$6)+VLOOKUP($AG98,$AL$3:$AS$15,7)</f>
        <v>#VALUE!</v>
      </c>
      <c r="AQ98" s="369" t="e">
        <f aca="false">VLOOKUP($AG98,$AL$4:$AS$15,3)+VLOOKUP($AG98,$AL$4:$AS$15,5)+($AH$10*VLOOKUP(D98,GRITable,2))</f>
        <v>#VALUE!</v>
      </c>
      <c r="AR98" s="370" t="e">
        <f aca="false">VLOOKUP($AG98,$AL$4:$AS$15,4)</f>
        <v>#VALUE!</v>
      </c>
      <c r="AS98" s="369" t="e">
        <f aca="false">(AL98+AM98+AN98)</f>
        <v>#VALUE!</v>
      </c>
      <c r="AT98" s="370" t="e">
        <f aca="false">VLOOKUP(D98,CurveTbl,$AK$6)</f>
        <v>#VALUE!</v>
      </c>
      <c r="AU98" s="370" t="e">
        <f aca="false">(1+$AT98/2)^(-2*($D98-$G$5)/365.25)*$AF98</f>
        <v>#VALUE!</v>
      </c>
      <c r="AV98" s="506" t="e">
        <f aca="false">ROUND((F98/(1-AR98))-F98,0)*AF98*AH98*AU98</f>
        <v>#VALUE!</v>
      </c>
      <c r="AW98" s="370" t="e">
        <f aca="false">VLOOKUP($D98,CurveTbl,$AK$8)</f>
        <v>#VALUE!</v>
      </c>
      <c r="AX98" s="370" t="e">
        <f aca="false">VLOOKUP($D98,CurveTbl,$AH$7)</f>
        <v>#VALUE!</v>
      </c>
      <c r="AY98" s="370" t="e">
        <f aca="false">VLOOKUP($D98,CurveTbl,$AH$8)</f>
        <v>#VALUE!</v>
      </c>
      <c r="AZ98" s="370"/>
      <c r="BA98" s="507"/>
      <c r="BB98" s="505" t="e">
        <f aca="false">$H98-$BV98</f>
        <v>#VALUE!</v>
      </c>
      <c r="BC98" s="505" t="e">
        <f aca="false">I98-BW98</f>
        <v>#VALUE!</v>
      </c>
      <c r="BD98" s="370" t="e">
        <f aca="false">N98-BX98</f>
        <v>#VALUE!</v>
      </c>
      <c r="BE98" s="370" t="e">
        <f aca="false">O98-BY98</f>
        <v>#VALUE!</v>
      </c>
      <c r="BF98" s="370" t="e">
        <f aca="false">xSPRDOPT($BW98,$BV98,$CG98,0,$BY98,$BX98,$BZ98,$AJ98,1,4)*$CB98</f>
        <v>#NAME?</v>
      </c>
      <c r="BG98" s="370" t="e">
        <f aca="false">xSPRDOPT($BW98,$BV98,$CG98,0,$BY98,$BX98,$BZ98,$AJ98,1,3)*$CB98</f>
        <v>#NAME?</v>
      </c>
      <c r="BH98" s="370" t="e">
        <f aca="false">IF(OR(BF98&lt;&gt;0,BG98&lt;&gt;0),xSPRDOPT($BW98,$BV98,$CG98,0,$BY98,$BX98,$BZ98,$AJ98,1,12)*$CB98,0)</f>
        <v>#NAME?</v>
      </c>
      <c r="BI98" s="370" t="e">
        <f aca="false">xSPRDOPT($BW98,$BV98,$CG98,2*LN(1+CA98/2),$BY98,$BX98,$BZ98,$AJ98,1,9)</f>
        <v>#NAME?</v>
      </c>
      <c r="BJ98" s="370" t="e">
        <f aca="false">xSPRDOPT($BW98,$BV98,$CG98,0,$BY98,$BX98,$BZ98,$AJ98,1,6)*$CB98</f>
        <v>#NAME?</v>
      </c>
      <c r="BK98" s="370" t="e">
        <f aca="false">xSPRDOPT($BW98,$BV98,$CG98,0,$BY98,$BX98,$BZ98,$AJ98,1,5)*$CB98</f>
        <v>#NAME?</v>
      </c>
      <c r="BL98" s="370" t="e">
        <f aca="false">xSPRDOPT(BW98,BV98,CG98,0,BY98,BX98,BZ98,AJ98,1,2)*CB98</f>
        <v>#NAME?</v>
      </c>
      <c r="BM98" s="370" t="e">
        <f aca="false">xSPRDOPT(BW98,BV98,CG98,0,BY98,BX98,BZ98,AJ98,1,1)*CB98</f>
        <v>#NAME?</v>
      </c>
      <c r="BN98" s="370" t="e">
        <f aca="false">IF(AH98&lt;&gt;0,xSPRDOPT($BW98,$BV98,$CG98,2*LN(1+CA98/2),$BY98,$BX98,$BZ98,$AJ98,1,8)+(AJ98/365.25)*CH98/AH98,0)</f>
        <v>#VALUE!</v>
      </c>
      <c r="BO98" s="370" t="e">
        <f aca="false">xSPRDOPT($BW98,$BV98,$CG98,0,$BY98,$BX98,$BZ98,$AJ98,1,0)</f>
        <v>#NAME?</v>
      </c>
      <c r="BP98" s="370"/>
      <c r="BQ98" s="370"/>
      <c r="BR98" s="370"/>
      <c r="BS98" s="370"/>
      <c r="BV98" s="508" t="n">
        <v>3.6695</v>
      </c>
      <c r="BW98" s="369" t="n">
        <v>3.7045</v>
      </c>
      <c r="BX98" s="370" t="n">
        <v>0.23</v>
      </c>
      <c r="BY98" s="370" t="n">
        <v>0.23</v>
      </c>
      <c r="BZ98" s="370" t="n">
        <v>0</v>
      </c>
      <c r="CA98" s="370" t="n">
        <v>0.0565617051963172</v>
      </c>
      <c r="CB98" s="370" t="n">
        <v>0</v>
      </c>
      <c r="CC98" s="505" t="n">
        <v>0.155</v>
      </c>
      <c r="CD98" s="505" t="n">
        <v>0</v>
      </c>
      <c r="CE98" s="505" t="n">
        <v>0.19</v>
      </c>
      <c r="CF98" s="505" t="n">
        <v>0</v>
      </c>
      <c r="CG98" s="505" t="n">
        <v>0</v>
      </c>
      <c r="CH98" s="505" t="n">
        <v>0</v>
      </c>
      <c r="CI98" s="505" t="n">
        <v>3.5145</v>
      </c>
      <c r="CJ98" s="505"/>
      <c r="CK98" s="505"/>
      <c r="CL98" s="505"/>
      <c r="CM98" s="505"/>
    </row>
    <row r="99" customFormat="false" ht="12.75" hidden="false" customHeight="false" outlineLevel="0" collapsed="false">
      <c r="A99" s="500"/>
      <c r="B99" s="500"/>
      <c r="D99" s="361" t="e">
        <f aca="false">D98+AH98</f>
        <v>#VALUE!</v>
      </c>
      <c r="F99" s="362" t="e">
        <f aca="false">VLOOKUP(AG99,$AL$4:$AS$15,2)</f>
        <v>#VALUE!</v>
      </c>
      <c r="G99" s="362" t="e">
        <f aca="false">F99*$AU99</f>
        <v>#VALUE!</v>
      </c>
      <c r="H99" s="363" t="e">
        <f aca="false">(AL99+AM99+AN99)/(1-(AR99))</f>
        <v>#VALUE!</v>
      </c>
      <c r="I99" s="363" t="e">
        <f aca="false">(AL99+AO99+AP99)</f>
        <v>#VALUE!</v>
      </c>
      <c r="K99" s="363" t="e">
        <f aca="false">MAX(((I99-H99)-AQ99)*AU99*AH99,0)</f>
        <v>#VALUE!</v>
      </c>
      <c r="L99" s="501" t="e">
        <f aca="false">MAX(Q99-K99,0)</f>
        <v>#VALUE!</v>
      </c>
      <c r="N99" s="502" t="e">
        <f aca="false">SQRT(($AX99^2*($AH99/2)+$AW99^2*$AI99)/(($AH99/2)+$AI99))</f>
        <v>#VALUE!</v>
      </c>
      <c r="O99" s="502" t="e">
        <f aca="false">SQRT(($AY99^2*($AH99/2)+$AW99^2*$AI99)/(($AH99/2)+$AI99))</f>
        <v>#VALUE!</v>
      </c>
      <c r="P99" s="371" t="e">
        <f aca="false">(VLOOKUP(AI99,CorrelationTwo,2)*(AW99^2)*AI99+VLOOKUP(D99,CorrelationOne,$AK$9)*AX99*AY99*(AH99/2))/((AI99+(AH99/2))*O99*N99)*AF99</f>
        <v>#VALUE!</v>
      </c>
      <c r="Q99" s="501" t="e">
        <f aca="false">xSPRDOPT(I99,H99,AQ99,0,O99,N99,P99,D99-$G$5,1,0)*AH99*AU99</f>
        <v>#VALUE!</v>
      </c>
      <c r="R99" s="501"/>
      <c r="S99" s="365" t="e">
        <f aca="false">-T99/(1-AR99)</f>
        <v>#VALUE!</v>
      </c>
      <c r="T99" s="365" t="e">
        <f aca="false">xSPRDOPT(I99,H99,AQ99,AT99,O99,N99,P99,D99-$G$5,1,1)*AF99*F99*AH99</f>
        <v>#VALUE!</v>
      </c>
      <c r="U99" s="501"/>
      <c r="V99" s="503" t="e">
        <f aca="false">VLOOKUP($AG99,$AL$4:$AS$15,8)*AH99*AU99</f>
        <v>#VALUE!</v>
      </c>
      <c r="W99" s="503"/>
      <c r="X99" s="504" t="e">
        <f aca="false">((BM99*BC99)+(BL99*BB99))*AH99*F99</f>
        <v>#VALUE!</v>
      </c>
      <c r="Y99" s="504" t="e">
        <f aca="false">($F99*$AH99)*((($BG99/2)*($BC99)^2)+(($BF99/2)*($BB99)^2)+($BH99*$BC99*$BB99))</f>
        <v>#VALUE!</v>
      </c>
      <c r="Z99" s="504" t="e">
        <f aca="false">($BI99*$F99*$AH99*($G$5-$BV$5))/365.25</f>
        <v>#VALUE!</v>
      </c>
      <c r="AA99" s="504" t="e">
        <f aca="false">(($BK99*$BE99)+($BJ99*$BD99))*$F99*$AH99*$AF99</f>
        <v>#VALUE!</v>
      </c>
      <c r="AB99" s="504" t="e">
        <f aca="false">BN99*(AT99-CA99)*F99*AH99</f>
        <v>#VALUE!</v>
      </c>
      <c r="AC99" s="504" t="e">
        <f aca="false">BO99*CB99*F99*AH99*CA99*($G$5-$BV$5)/365.25</f>
        <v>#NAME?</v>
      </c>
      <c r="AF99" s="378" t="e">
        <f aca="false">IF(AND(D99&gt;=$G$7,D99&lt;=$G$8),1,0)</f>
        <v>#VALUE!</v>
      </c>
      <c r="AG99" s="378" t="e">
        <f aca="false">MONTH(D99)</f>
        <v>#VALUE!</v>
      </c>
      <c r="AH99" s="378" t="e">
        <f aca="false">(EOMONTH(D99,0)-EOMONTH(D99-DAY(D99),0))*AF99</f>
        <v>#VALUE!</v>
      </c>
      <c r="AI99" s="378" t="e">
        <f aca="false">AI98+AH98</f>
        <v>#VALUE!</v>
      </c>
      <c r="AJ99" s="378" t="e">
        <f aca="false">D99-$BV$5</f>
        <v>#VALUE!</v>
      </c>
      <c r="AL99" s="369" t="e">
        <f aca="false">VLOOKUP($D99,CurveTbl,$AK$4)</f>
        <v>#VALUE!</v>
      </c>
      <c r="AM99" s="505" t="e">
        <f aca="false">VLOOKUP($D99,CurveTbl,$AH$3)</f>
        <v>#VALUE!</v>
      </c>
      <c r="AN99" s="505" t="e">
        <f aca="false">VLOOKUP($D99,CurveTbl,$AH$4)+VLOOKUP($AG99,$AL$3:$AS$15,6)</f>
        <v>#VALUE!</v>
      </c>
      <c r="AO99" s="505" t="e">
        <f aca="false">VLOOKUP($D99,CurveTbl,$AH$5)</f>
        <v>#VALUE!</v>
      </c>
      <c r="AP99" s="505" t="e">
        <f aca="false">VLOOKUP($D99,CurveTbl,$AH$6)+VLOOKUP($AG99,$AL$3:$AS$15,7)</f>
        <v>#VALUE!</v>
      </c>
      <c r="AQ99" s="369" t="e">
        <f aca="false">VLOOKUP($AG99,$AL$4:$AS$15,3)+VLOOKUP($AG99,$AL$4:$AS$15,5)+($AH$10*VLOOKUP(D99,GRITable,2))</f>
        <v>#VALUE!</v>
      </c>
      <c r="AR99" s="370" t="e">
        <f aca="false">VLOOKUP($AG99,$AL$4:$AS$15,4)</f>
        <v>#VALUE!</v>
      </c>
      <c r="AS99" s="369" t="e">
        <f aca="false">(AL99+AM99+AN99)</f>
        <v>#VALUE!</v>
      </c>
      <c r="AT99" s="370" t="e">
        <f aca="false">VLOOKUP(D99,CurveTbl,$AK$6)</f>
        <v>#VALUE!</v>
      </c>
      <c r="AU99" s="370" t="e">
        <f aca="false">(1+$AT99/2)^(-2*($D99-$G$5)/365.25)*$AF99</f>
        <v>#VALUE!</v>
      </c>
      <c r="AV99" s="506" t="e">
        <f aca="false">ROUND((F99/(1-AR99))-F99,0)*AF99*AH99*AU99</f>
        <v>#VALUE!</v>
      </c>
      <c r="AW99" s="370" t="e">
        <f aca="false">VLOOKUP($D99,CurveTbl,$AK$8)</f>
        <v>#VALUE!</v>
      </c>
      <c r="AX99" s="370" t="e">
        <f aca="false">VLOOKUP($D99,CurveTbl,$AH$7)</f>
        <v>#VALUE!</v>
      </c>
      <c r="AY99" s="370" t="e">
        <f aca="false">VLOOKUP($D99,CurveTbl,$AH$8)</f>
        <v>#VALUE!</v>
      </c>
      <c r="AZ99" s="370"/>
      <c r="BA99" s="507"/>
      <c r="BB99" s="505" t="e">
        <f aca="false">$H99-$BV99</f>
        <v>#VALUE!</v>
      </c>
      <c r="BC99" s="505" t="e">
        <f aca="false">I99-BW99</f>
        <v>#VALUE!</v>
      </c>
      <c r="BD99" s="370" t="e">
        <f aca="false">N99-BX99</f>
        <v>#VALUE!</v>
      </c>
      <c r="BE99" s="370" t="e">
        <f aca="false">O99-BY99</f>
        <v>#VALUE!</v>
      </c>
      <c r="BF99" s="370" t="e">
        <f aca="false">xSPRDOPT($BW99,$BV99,$CG99,0,$BY99,$BX99,$BZ99,$AJ99,1,4)*$CB99</f>
        <v>#NAME?</v>
      </c>
      <c r="BG99" s="370" t="e">
        <f aca="false">xSPRDOPT($BW99,$BV99,$CG99,0,$BY99,$BX99,$BZ99,$AJ99,1,3)*$CB99</f>
        <v>#NAME?</v>
      </c>
      <c r="BH99" s="370" t="e">
        <f aca="false">IF(OR(BF99&lt;&gt;0,BG99&lt;&gt;0),xSPRDOPT($BW99,$BV99,$CG99,0,$BY99,$BX99,$BZ99,$AJ99,1,12)*$CB99,0)</f>
        <v>#NAME?</v>
      </c>
      <c r="BI99" s="370" t="e">
        <f aca="false">xSPRDOPT($BW99,$BV99,$CG99,2*LN(1+CA99/2),$BY99,$BX99,$BZ99,$AJ99,1,9)</f>
        <v>#NAME?</v>
      </c>
      <c r="BJ99" s="370" t="e">
        <f aca="false">xSPRDOPT($BW99,$BV99,$CG99,0,$BY99,$BX99,$BZ99,$AJ99,1,6)*$CB99</f>
        <v>#NAME?</v>
      </c>
      <c r="BK99" s="370" t="e">
        <f aca="false">xSPRDOPT($BW99,$BV99,$CG99,0,$BY99,$BX99,$BZ99,$AJ99,1,5)*$CB99</f>
        <v>#NAME?</v>
      </c>
      <c r="BL99" s="370" t="e">
        <f aca="false">xSPRDOPT(BW99,BV99,CG99,0,BY99,BX99,BZ99,AJ99,1,2)*CB99</f>
        <v>#NAME?</v>
      </c>
      <c r="BM99" s="370" t="e">
        <f aca="false">xSPRDOPT(BW99,BV99,CG99,0,BY99,BX99,BZ99,AJ99,1,1)*CB99</f>
        <v>#NAME?</v>
      </c>
      <c r="BN99" s="370" t="e">
        <f aca="false">IF(AH99&lt;&gt;0,xSPRDOPT($BW99,$BV99,$CG99,2*LN(1+CA99/2),$BY99,$BX99,$BZ99,$AJ99,1,8)+(AJ99/365.25)*CH99/AH99,0)</f>
        <v>#VALUE!</v>
      </c>
      <c r="BO99" s="370" t="e">
        <f aca="false">xSPRDOPT($BW99,$BV99,$CG99,0,$BY99,$BX99,$BZ99,$AJ99,1,0)</f>
        <v>#NAME?</v>
      </c>
      <c r="BP99" s="370"/>
      <c r="BQ99" s="370"/>
      <c r="BR99" s="370"/>
      <c r="BS99" s="370"/>
      <c r="BV99" s="508" t="n">
        <v>3.6695</v>
      </c>
      <c r="BW99" s="369" t="n">
        <v>3.7045</v>
      </c>
      <c r="BX99" s="370" t="n">
        <v>0.23</v>
      </c>
      <c r="BY99" s="370" t="n">
        <v>0.23</v>
      </c>
      <c r="BZ99" s="370" t="n">
        <v>0</v>
      </c>
      <c r="CA99" s="370" t="n">
        <v>0.0565617051963172</v>
      </c>
      <c r="CB99" s="370" t="n">
        <v>0</v>
      </c>
      <c r="CC99" s="505" t="n">
        <v>0.155</v>
      </c>
      <c r="CD99" s="505" t="n">
        <v>0</v>
      </c>
      <c r="CE99" s="505" t="n">
        <v>0.19</v>
      </c>
      <c r="CF99" s="505" t="n">
        <v>0</v>
      </c>
      <c r="CG99" s="505" t="n">
        <v>0</v>
      </c>
      <c r="CH99" s="505" t="n">
        <v>0</v>
      </c>
      <c r="CI99" s="505" t="n">
        <v>3.5145</v>
      </c>
      <c r="CJ99" s="505"/>
      <c r="CK99" s="505"/>
      <c r="CL99" s="505"/>
      <c r="CM99" s="505"/>
    </row>
  </sheetData>
  <mergeCells count="10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36"/>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5" ySplit="21" topLeftCell="BF22" activePane="bottomRight" state="frozen"/>
      <selection pane="topLeft" activeCell="A1" activeCellId="0" sqref="A1"/>
      <selection pane="topRight" activeCell="BF1" activeCellId="0" sqref="BF1"/>
      <selection pane="bottomLeft" activeCell="A22" activeCellId="0" sqref="A22"/>
      <selection pane="bottomRight" activeCell="CI21" activeCellId="0" sqref="CI21:CI31"/>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9.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72</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13486.38</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143534.06</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-130047.68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1660.84</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-19175.31</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-53393.98</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-9990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-3239.37</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500.81</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-378.09</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96.18</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3.3</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0.85</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0</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13486.38</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2.75950143032284</v>
      </c>
      <c r="BW22" s="369" t="n">
        <v>2.6635</v>
      </c>
      <c r="BX22" s="370" t="n">
        <v>0.952435996987834</v>
      </c>
      <c r="BY22" s="370" t="n">
        <v>0.952435996987834</v>
      </c>
      <c r="BZ22" s="370" t="n">
        <v>0.980069880548883</v>
      </c>
      <c r="CA22" s="370" t="n">
        <v>0.0187659081571607</v>
      </c>
      <c r="CB22" s="370" t="n">
        <v>0.998364899395796</v>
      </c>
      <c r="CC22" s="505" t="n">
        <v>-0.14</v>
      </c>
      <c r="CD22" s="505" t="n">
        <v>-0.005</v>
      </c>
      <c r="CE22" s="505" t="n">
        <v>-0.155</v>
      </c>
      <c r="CF22" s="505" t="n">
        <v>-0.0275</v>
      </c>
      <c r="CG22" s="505" t="n">
        <v>0.0111</v>
      </c>
      <c r="CH22" s="505" t="n">
        <v>4.95188990100315</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2.8279525950143</v>
      </c>
      <c r="BW23" s="369" t="n">
        <v>2.6955</v>
      </c>
      <c r="BX23" s="370" t="n">
        <v>0.906812181950228</v>
      </c>
      <c r="BY23" s="370" t="n">
        <v>0.906812181950228</v>
      </c>
      <c r="BZ23" s="370" t="n">
        <v>0.988277244612895</v>
      </c>
      <c r="CA23" s="370" t="n">
        <v>0.0193261872820063</v>
      </c>
      <c r="CB23" s="370" t="n">
        <v>0.996688029844541</v>
      </c>
      <c r="CC23" s="505" t="n">
        <v>-0.135</v>
      </c>
      <c r="CD23" s="505" t="n">
        <v>-0.005</v>
      </c>
      <c r="CE23" s="505" t="n">
        <v>-0.185</v>
      </c>
      <c r="CF23" s="505" t="n">
        <v>-0.0275</v>
      </c>
      <c r="CG23" s="505" t="n">
        <v>0.0111</v>
      </c>
      <c r="CH23" s="505" t="n">
        <v>4.46516237370354</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2.82182263996731</v>
      </c>
      <c r="BW24" s="369" t="n">
        <v>2.6845</v>
      </c>
      <c r="BX24" s="370" t="n">
        <v>0.79</v>
      </c>
      <c r="BY24" s="370" t="n">
        <v>0.79</v>
      </c>
      <c r="BZ24" s="370" t="n">
        <v>0.993227027027027</v>
      </c>
      <c r="CA24" s="370" t="n">
        <v>0.0192731753639035</v>
      </c>
      <c r="CB24" s="370" t="n">
        <v>0.99523258517239</v>
      </c>
      <c r="CC24" s="505" t="n">
        <v>-0.135</v>
      </c>
      <c r="CD24" s="505" t="n">
        <v>-0.005</v>
      </c>
      <c r="CE24" s="505" t="n">
        <v>-0.19</v>
      </c>
      <c r="CF24" s="505" t="n">
        <v>-0.0275</v>
      </c>
      <c r="CG24" s="505" t="n">
        <v>0.0111</v>
      </c>
      <c r="CH24" s="505" t="n">
        <v>4.93635362245506</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2.74111156518186</v>
      </c>
      <c r="BW25" s="369" t="n">
        <v>2.653</v>
      </c>
      <c r="BX25" s="370" t="n">
        <v>0.61</v>
      </c>
      <c r="BY25" s="370" t="n">
        <v>0.61</v>
      </c>
      <c r="BZ25" s="370" t="n">
        <v>0</v>
      </c>
      <c r="CA25" s="370" t="n">
        <v>0.0194226401196236</v>
      </c>
      <c r="CB25" s="370" t="n">
        <v>0</v>
      </c>
      <c r="CC25" s="505" t="n">
        <v>-0.15</v>
      </c>
      <c r="CD25" s="505" t="n">
        <v>-0.015</v>
      </c>
      <c r="CE25" s="505" t="n">
        <v>-0.185</v>
      </c>
      <c r="CF25" s="505" t="n">
        <v>-0.01</v>
      </c>
      <c r="CG25" s="505" t="n">
        <v>0.0111</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2.74111156518186</v>
      </c>
      <c r="BW26" s="369" t="n">
        <v>2.653</v>
      </c>
      <c r="BX26" s="370" t="n">
        <v>0.61</v>
      </c>
      <c r="BY26" s="370" t="n">
        <v>0.61</v>
      </c>
      <c r="BZ26" s="370" t="n">
        <v>0</v>
      </c>
      <c r="CA26" s="370" t="n">
        <v>0.0194226401196236</v>
      </c>
      <c r="CB26" s="370" t="n">
        <v>0</v>
      </c>
      <c r="CC26" s="505" t="n">
        <v>-0.15</v>
      </c>
      <c r="CD26" s="505" t="n">
        <v>-0.015</v>
      </c>
      <c r="CE26" s="505" t="n">
        <v>-0.185</v>
      </c>
      <c r="CF26" s="505" t="n">
        <v>-0.01</v>
      </c>
      <c r="CG26" s="505" t="n">
        <v>0.0111</v>
      </c>
      <c r="CH26" s="505" t="n">
        <v>0</v>
      </c>
      <c r="CI26" s="505" t="n">
        <v>2.848</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2.74111156518186</v>
      </c>
      <c r="BW27" s="369" t="n">
        <v>2.653</v>
      </c>
      <c r="BX27" s="370" t="n">
        <v>0.61</v>
      </c>
      <c r="BY27" s="370" t="n">
        <v>0.61</v>
      </c>
      <c r="BZ27" s="370" t="n">
        <v>0</v>
      </c>
      <c r="CA27" s="370" t="n">
        <v>0.0194226401196236</v>
      </c>
      <c r="CB27" s="370" t="n">
        <v>0</v>
      </c>
      <c r="CC27" s="505" t="n">
        <v>-0.15</v>
      </c>
      <c r="CD27" s="505" t="n">
        <v>-0.015</v>
      </c>
      <c r="CE27" s="505" t="n">
        <v>-0.185</v>
      </c>
      <c r="CF27" s="505" t="n">
        <v>-0.01</v>
      </c>
      <c r="CG27" s="505" t="n">
        <v>0.0111</v>
      </c>
      <c r="CH27" s="505" t="n">
        <v>0</v>
      </c>
      <c r="CI27" s="505" t="n">
        <v>2.848</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2.74111156518186</v>
      </c>
      <c r="BW28" s="369" t="n">
        <v>2.653</v>
      </c>
      <c r="BX28" s="370" t="n">
        <v>0.61</v>
      </c>
      <c r="BY28" s="370" t="n">
        <v>0.61</v>
      </c>
      <c r="BZ28" s="370" t="n">
        <v>0</v>
      </c>
      <c r="CA28" s="370" t="n">
        <v>0.0194226401196236</v>
      </c>
      <c r="CB28" s="370" t="n">
        <v>0</v>
      </c>
      <c r="CC28" s="505" t="n">
        <v>-0.15</v>
      </c>
      <c r="CD28" s="505" t="n">
        <v>-0.015</v>
      </c>
      <c r="CE28" s="505" t="n">
        <v>-0.185</v>
      </c>
      <c r="CF28" s="505" t="n">
        <v>-0.01</v>
      </c>
      <c r="CG28" s="505" t="n">
        <v>0.0111</v>
      </c>
      <c r="CH28" s="505" t="n">
        <v>0</v>
      </c>
      <c r="CI28" s="505" t="n">
        <v>2.848</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2.74111156518186</v>
      </c>
      <c r="BW29" s="369" t="n">
        <v>2.653</v>
      </c>
      <c r="BX29" s="370" t="n">
        <v>0.61</v>
      </c>
      <c r="BY29" s="370" t="n">
        <v>0.61</v>
      </c>
      <c r="BZ29" s="370" t="n">
        <v>0</v>
      </c>
      <c r="CA29" s="370" t="n">
        <v>0.0194226401196236</v>
      </c>
      <c r="CB29" s="370" t="n">
        <v>0</v>
      </c>
      <c r="CC29" s="505" t="n">
        <v>-0.15</v>
      </c>
      <c r="CD29" s="505" t="n">
        <v>-0.015</v>
      </c>
      <c r="CE29" s="505" t="n">
        <v>-0.185</v>
      </c>
      <c r="CF29" s="505" t="n">
        <v>-0.01</v>
      </c>
      <c r="CG29" s="505" t="n">
        <v>0.0111</v>
      </c>
      <c r="CH29" s="505" t="n">
        <v>0</v>
      </c>
      <c r="CI29" s="505" t="n">
        <v>2.848</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2.74111156518186</v>
      </c>
      <c r="BW30" s="369" t="n">
        <v>2.653</v>
      </c>
      <c r="BX30" s="370" t="n">
        <v>0.61</v>
      </c>
      <c r="BY30" s="370" t="n">
        <v>0.61</v>
      </c>
      <c r="BZ30" s="370" t="n">
        <v>0</v>
      </c>
      <c r="CA30" s="370" t="n">
        <v>0.0194226401196236</v>
      </c>
      <c r="CB30" s="370" t="n">
        <v>0</v>
      </c>
      <c r="CC30" s="505" t="n">
        <v>-0.15</v>
      </c>
      <c r="CD30" s="505" t="n">
        <v>-0.015</v>
      </c>
      <c r="CE30" s="505" t="n">
        <v>-0.185</v>
      </c>
      <c r="CF30" s="505" t="n">
        <v>-0.01</v>
      </c>
      <c r="CG30" s="505" t="n">
        <v>0.0111</v>
      </c>
      <c r="CH30" s="505" t="n">
        <v>0</v>
      </c>
      <c r="CI30" s="505" t="n">
        <v>2.848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2.74111156518186</v>
      </c>
      <c r="BW31" s="369" t="n">
        <v>2.653</v>
      </c>
      <c r="BX31" s="370" t="n">
        <v>0.61</v>
      </c>
      <c r="BY31" s="370" t="n">
        <v>0.61</v>
      </c>
      <c r="BZ31" s="370" t="n">
        <v>0</v>
      </c>
      <c r="CA31" s="370" t="n">
        <v>0.0194226401196236</v>
      </c>
      <c r="CB31" s="370" t="n">
        <v>0</v>
      </c>
      <c r="CC31" s="505" t="n">
        <v>-0.15</v>
      </c>
      <c r="CD31" s="505" t="n">
        <v>-0.015</v>
      </c>
      <c r="CE31" s="505" t="n">
        <v>-0.185</v>
      </c>
      <c r="CF31" s="505" t="n">
        <v>-0.01</v>
      </c>
      <c r="CG31" s="505" t="n">
        <v>0.0111</v>
      </c>
      <c r="CH31" s="505" t="n">
        <v>0</v>
      </c>
      <c r="CI31" s="505" t="n">
        <v>2.848</v>
      </c>
      <c r="CJ31" s="505"/>
      <c r="CK31" s="505"/>
      <c r="CL31" s="505"/>
      <c r="CM31" s="505"/>
    </row>
    <row r="32" customFormat="false" ht="12.75" hidden="false" customHeight="false" outlineLevel="0" collapsed="false">
      <c r="A32" s="500"/>
      <c r="B32" s="500"/>
      <c r="D32" s="95"/>
      <c r="E32" s="95"/>
      <c r="F32" s="95"/>
      <c r="G32" s="95"/>
      <c r="H32" s="95"/>
      <c r="I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U32" s="95"/>
      <c r="BV32" s="95"/>
    </row>
    <row r="33" customFormat="false" ht="12.75" hidden="false" customHeight="false" outlineLevel="0" collapsed="false">
      <c r="A33" s="500"/>
      <c r="B33" s="500"/>
      <c r="D33" s="95"/>
      <c r="E33" s="95"/>
      <c r="F33" s="95"/>
      <c r="G33" s="95"/>
      <c r="H33" s="95"/>
      <c r="I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U33" s="95"/>
      <c r="BV33" s="95"/>
    </row>
    <row r="34" customFormat="false" ht="12.75" hidden="false" customHeight="false" outlineLevel="0" collapsed="false">
      <c r="D34" s="95"/>
      <c r="E34" s="95"/>
      <c r="F34" s="95"/>
      <c r="G34" s="95"/>
      <c r="H34" s="95"/>
      <c r="I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U34" s="95"/>
      <c r="BV34" s="95"/>
    </row>
    <row r="35" customFormat="false" ht="12.75" hidden="false" customHeight="false" outlineLevel="0" collapsed="false">
      <c r="D35" s="95"/>
      <c r="E35" s="95"/>
      <c r="F35" s="95"/>
      <c r="G35" s="95"/>
      <c r="H35" s="95"/>
      <c r="I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U35" s="95"/>
      <c r="BV35" s="95"/>
    </row>
    <row r="36" customFormat="false" ht="12.75" hidden="false" customHeight="false" outlineLevel="0" collapsed="false">
      <c r="D36" s="95"/>
      <c r="E36" s="95"/>
      <c r="F36" s="95"/>
      <c r="G36" s="95"/>
      <c r="H36" s="95"/>
      <c r="I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U36" s="95"/>
      <c r="BV36" s="95"/>
    </row>
  </sheetData>
  <mergeCells count="37">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414"/>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5" ySplit="21" topLeftCell="N241" activePane="bottomRight" state="frozen"/>
      <selection pane="topLeft" activeCell="A1" activeCellId="0" sqref="A1"/>
      <selection pane="topRight" activeCell="N1" activeCellId="0" sqref="N1"/>
      <selection pane="bottomLeft" activeCell="A241" activeCellId="0" sqref="A241"/>
      <selection pane="bottomRight" activeCell="CI21" activeCellId="0" sqref="CI21:CI248"/>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9.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73</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13834308.89</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12306040.47</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1528268.43</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27551.88</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-16388.46</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-2948534.63</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-2032483.31</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-44607.25</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2.37</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1892.43</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2.49</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-12843.49</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1922.83</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13833911.05</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397.84</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2.89872122762148</v>
      </c>
      <c r="BW22" s="369" t="n">
        <v>3.196</v>
      </c>
      <c r="BX22" s="370" t="n">
        <v>0.952435996987834</v>
      </c>
      <c r="BY22" s="370" t="n">
        <v>0.952435996987834</v>
      </c>
      <c r="BZ22" s="370" t="n">
        <v>0.995516733028398</v>
      </c>
      <c r="CA22" s="370" t="n">
        <v>0.0187659081571607</v>
      </c>
      <c r="CB22" s="370" t="n">
        <v>0.998364899395796</v>
      </c>
      <c r="CC22" s="505" t="n">
        <v>-0.01</v>
      </c>
      <c r="CD22" s="505" t="n">
        <v>-0.0025</v>
      </c>
      <c r="CE22" s="505" t="n">
        <v>0.35</v>
      </c>
      <c r="CF22" s="505" t="n">
        <v>0</v>
      </c>
      <c r="CG22" s="505" t="n">
        <v>0.0414</v>
      </c>
      <c r="CH22" s="505" t="n">
        <v>11.4110112906241</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-T23/(1-AR23)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2.96214833759591</v>
      </c>
      <c r="BW23" s="369" t="n">
        <v>3.258</v>
      </c>
      <c r="BX23" s="370" t="n">
        <v>0.906812181950228</v>
      </c>
      <c r="BY23" s="370" t="n">
        <v>0.906812181950228</v>
      </c>
      <c r="BZ23" s="370" t="n">
        <v>0.996461468562414</v>
      </c>
      <c r="CA23" s="370" t="n">
        <v>0.0193261872820063</v>
      </c>
      <c r="CB23" s="370" t="n">
        <v>0.996688029844541</v>
      </c>
      <c r="CC23" s="505" t="n">
        <v>-0.01</v>
      </c>
      <c r="CD23" s="505" t="n">
        <v>-0.0025</v>
      </c>
      <c r="CE23" s="505" t="n">
        <v>0.35</v>
      </c>
      <c r="CF23" s="505" t="n">
        <v>0</v>
      </c>
      <c r="CG23" s="505" t="n">
        <v>0.0414</v>
      </c>
      <c r="CH23" s="505" t="n">
        <v>10.2894085449031</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-T24/(1-AR24)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2.95601023017903</v>
      </c>
      <c r="BW24" s="369" t="n">
        <v>3.302</v>
      </c>
      <c r="BX24" s="370" t="n">
        <v>0.79</v>
      </c>
      <c r="BY24" s="370" t="n">
        <v>0.79</v>
      </c>
      <c r="BZ24" s="370" t="n">
        <v>0.997918918918919</v>
      </c>
      <c r="CA24" s="370" t="n">
        <v>0.0192731753639035</v>
      </c>
      <c r="CB24" s="370" t="n">
        <v>0.99523258517239</v>
      </c>
      <c r="CC24" s="505" t="n">
        <v>-0.01</v>
      </c>
      <c r="CD24" s="505" t="n">
        <v>-0.0025</v>
      </c>
      <c r="CE24" s="505" t="n">
        <v>0.4</v>
      </c>
      <c r="CF24" s="505" t="n">
        <v>0</v>
      </c>
      <c r="CG24" s="505" t="n">
        <v>0.0414</v>
      </c>
      <c r="CH24" s="505" t="n">
        <v>11.3752098787449</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-T25/(1-AR25)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2.92890025575448</v>
      </c>
      <c r="BW25" s="369" t="n">
        <v>3.448</v>
      </c>
      <c r="BX25" s="370" t="n">
        <v>0.600814487825059</v>
      </c>
      <c r="BY25" s="370" t="n">
        <v>0.600814487825059</v>
      </c>
      <c r="BZ25" s="370" t="n">
        <v>1</v>
      </c>
      <c r="CA25" s="370" t="n">
        <v>0.0194226401196236</v>
      </c>
      <c r="CB25" s="370" t="n">
        <v>0.993564587749983</v>
      </c>
      <c r="CC25" s="505" t="n">
        <v>0.01</v>
      </c>
      <c r="CD25" s="505" t="n">
        <v>0.005</v>
      </c>
      <c r="CE25" s="505" t="n">
        <v>0.6</v>
      </c>
      <c r="CF25" s="505" t="n">
        <v>0</v>
      </c>
      <c r="CG25" s="505" t="n">
        <v>0.0414</v>
      </c>
      <c r="CH25" s="505" t="n">
        <v>10.9898179051026</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-T26/(1-AR26)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2.97800511508951</v>
      </c>
      <c r="BW26" s="369" t="n">
        <v>3.646</v>
      </c>
      <c r="BX26" s="370" t="n">
        <v>0.57775293402001</v>
      </c>
      <c r="BY26" s="370" t="n">
        <v>0.57775293402001</v>
      </c>
      <c r="BZ26" s="370" t="n">
        <v>1</v>
      </c>
      <c r="CA26" s="370" t="n">
        <v>0.019712159578257</v>
      </c>
      <c r="CB26" s="370" t="n">
        <v>0.991870109542169</v>
      </c>
      <c r="CC26" s="505" t="n">
        <v>0.01</v>
      </c>
      <c r="CD26" s="505" t="n">
        <v>0.005</v>
      </c>
      <c r="CE26" s="505" t="n">
        <v>0.75</v>
      </c>
      <c r="CF26" s="505" t="n">
        <v>0</v>
      </c>
      <c r="CG26" s="505" t="n">
        <v>0.0414</v>
      </c>
      <c r="CH26" s="505" t="n">
        <v>11.3367777910341</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-T27/(1-AR27)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3.03171355498721</v>
      </c>
      <c r="BW27" s="369" t="n">
        <v>3.796</v>
      </c>
      <c r="BX27" s="370" t="n">
        <v>0.550221330219268</v>
      </c>
      <c r="BY27" s="370" t="n">
        <v>0.550221330219268</v>
      </c>
      <c r="BZ27" s="370" t="n">
        <v>1</v>
      </c>
      <c r="CA27" s="370" t="n">
        <v>0.0200113297153544</v>
      </c>
      <c r="CB27" s="370" t="n">
        <v>0.990073216017117</v>
      </c>
      <c r="CC27" s="505" t="n">
        <v>0.0125</v>
      </c>
      <c r="CD27" s="505" t="n">
        <v>0.005</v>
      </c>
      <c r="CE27" s="505" t="n">
        <v>0.85</v>
      </c>
      <c r="CF27" s="505" t="n">
        <v>0</v>
      </c>
      <c r="CG27" s="505" t="n">
        <v>0.0414</v>
      </c>
      <c r="CH27" s="505" t="n">
        <v>10.9511998423653</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-T28/(1-AR28)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3.07058823529412</v>
      </c>
      <c r="BW28" s="369" t="n">
        <v>4.034</v>
      </c>
      <c r="BX28" s="370" t="n">
        <v>0.549290255131369</v>
      </c>
      <c r="BY28" s="370" t="n">
        <v>0.549290255131369</v>
      </c>
      <c r="BZ28" s="370" t="n">
        <v>1</v>
      </c>
      <c r="CA28" s="370" t="n">
        <v>0.0204286298094831</v>
      </c>
      <c r="CB28" s="370" t="n">
        <v>0.988217193800728</v>
      </c>
      <c r="CC28" s="505" t="n">
        <v>0.0125</v>
      </c>
      <c r="CD28" s="505" t="n">
        <v>0.005</v>
      </c>
      <c r="CE28" s="505" t="n">
        <v>1.05</v>
      </c>
      <c r="CF28" s="505" t="n">
        <v>0</v>
      </c>
      <c r="CG28" s="505" t="n">
        <v>0.0414</v>
      </c>
      <c r="CH28" s="505" t="n">
        <v>11.2950260599842</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-T29/(1-AR29)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3.11355498721228</v>
      </c>
      <c r="BW29" s="369" t="n">
        <v>4.076</v>
      </c>
      <c r="BX29" s="370" t="n">
        <v>0.549894268674422</v>
      </c>
      <c r="BY29" s="370" t="n">
        <v>0.549894268674422</v>
      </c>
      <c r="BZ29" s="370" t="n">
        <v>1</v>
      </c>
      <c r="CA29" s="370" t="n">
        <v>0.021065008234304</v>
      </c>
      <c r="CB29" s="370" t="n">
        <v>0.986098940667972</v>
      </c>
      <c r="CC29" s="505" t="n">
        <v>0.0125</v>
      </c>
      <c r="CD29" s="505" t="n">
        <v>0.005</v>
      </c>
      <c r="CE29" s="505" t="n">
        <v>1.05</v>
      </c>
      <c r="CF29" s="505" t="n">
        <v>0</v>
      </c>
      <c r="CG29" s="505" t="n">
        <v>0.0414</v>
      </c>
      <c r="CH29" s="505" t="n">
        <v>11.2708150621527</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-T30/(1-AR30)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3.1002557544757</v>
      </c>
      <c r="BW30" s="369" t="n">
        <v>3.768</v>
      </c>
      <c r="BX30" s="370" t="n">
        <v>0.548527673591454</v>
      </c>
      <c r="BY30" s="370" t="n">
        <v>0.548527673591454</v>
      </c>
      <c r="BZ30" s="370" t="n">
        <v>1</v>
      </c>
      <c r="CA30" s="370" t="n">
        <v>0.0217013867962765</v>
      </c>
      <c r="CB30" s="370" t="n">
        <v>0.983880178541275</v>
      </c>
      <c r="CC30" s="505" t="n">
        <v>0.0075</v>
      </c>
      <c r="CD30" s="505" t="n">
        <v>0.005</v>
      </c>
      <c r="CE30" s="505" t="n">
        <v>0.75</v>
      </c>
      <c r="CF30" s="505" t="n">
        <v>0</v>
      </c>
      <c r="CG30" s="505" t="n">
        <v>0.0414</v>
      </c>
      <c r="CH30" s="505" t="n">
        <v>10.882698654845</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-T31/(1-AR31)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3.12153846153846</v>
      </c>
      <c r="BW31" s="369" t="n">
        <v>3.481</v>
      </c>
      <c r="BX31" s="370" t="n">
        <v>0.5511830669082</v>
      </c>
      <c r="BY31" s="370" t="n">
        <v>0.5511830669082</v>
      </c>
      <c r="BZ31" s="370" t="n">
        <v>1</v>
      </c>
      <c r="CA31" s="370" t="n">
        <v>0.022410164045374</v>
      </c>
      <c r="CB31" s="370" t="n">
        <v>0.981562668478235</v>
      </c>
      <c r="CC31" s="505" t="n">
        <v>0.0075</v>
      </c>
      <c r="CD31" s="505" t="n">
        <v>0.005</v>
      </c>
      <c r="CE31" s="505" t="n">
        <v>0.45</v>
      </c>
      <c r="CF31" s="505" t="n">
        <v>0</v>
      </c>
      <c r="CG31" s="505" t="n">
        <v>0.0414</v>
      </c>
      <c r="CH31" s="505" t="n">
        <v>11.2189668319057</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-T32/(1-AR32)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3.29514066496164</v>
      </c>
      <c r="BW32" s="369" t="n">
        <v>3.661</v>
      </c>
      <c r="BX32" s="370" t="n">
        <v>0.557476031074478</v>
      </c>
      <c r="BY32" s="370" t="n">
        <v>0.557476031074478</v>
      </c>
      <c r="BZ32" s="370" t="n">
        <v>1</v>
      </c>
      <c r="CA32" s="370" t="n">
        <v>0.0232740649677528</v>
      </c>
      <c r="CB32" s="370" t="n">
        <v>0.97893835036076</v>
      </c>
      <c r="CC32" s="505" t="n">
        <v>0.005</v>
      </c>
      <c r="CD32" s="505" t="n">
        <v>0.005</v>
      </c>
      <c r="CE32" s="505" t="n">
        <v>0.45</v>
      </c>
      <c r="CF32" s="505" t="n">
        <v>0</v>
      </c>
      <c r="CG32" s="505" t="n">
        <v>0.0414</v>
      </c>
      <c r="CH32" s="505" t="n">
        <v>10.8280370933404</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-T33/(1-AR33)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3.45882352941176</v>
      </c>
      <c r="BW33" s="369" t="n">
        <v>3.771</v>
      </c>
      <c r="BX33" s="370" t="n">
        <v>0.570790000341453</v>
      </c>
      <c r="BY33" s="370" t="n">
        <v>0.570790000341453</v>
      </c>
      <c r="BZ33" s="370" t="n">
        <v>1</v>
      </c>
      <c r="CA33" s="370" t="n">
        <v>0.024110098358836</v>
      </c>
      <c r="CB33" s="370" t="n">
        <v>0.976270925999808</v>
      </c>
      <c r="CC33" s="505" t="n">
        <v>0.005</v>
      </c>
      <c r="CD33" s="505" t="n">
        <v>0.005</v>
      </c>
      <c r="CE33" s="505" t="n">
        <v>0.4</v>
      </c>
      <c r="CF33" s="505" t="n">
        <v>0</v>
      </c>
      <c r="CG33" s="505" t="n">
        <v>0.0414</v>
      </c>
      <c r="CH33" s="505" t="n">
        <v>11.1584838029</v>
      </c>
      <c r="CI33" s="505" t="n">
        <v>3.371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-T34/(1-AR34)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3.53554987212276</v>
      </c>
      <c r="BW34" s="369" t="n">
        <v>3.796</v>
      </c>
      <c r="BX34" s="370" t="n">
        <v>0.56836354878586</v>
      </c>
      <c r="BY34" s="370" t="n">
        <v>0.56836354878586</v>
      </c>
      <c r="BZ34" s="370" t="n">
        <v>1</v>
      </c>
      <c r="CA34" s="370" t="n">
        <v>0.0250384261928196</v>
      </c>
      <c r="CB34" s="370" t="n">
        <v>0.97331647833328</v>
      </c>
      <c r="CC34" s="505" t="n">
        <v>0.005</v>
      </c>
      <c r="CD34" s="505" t="n">
        <v>0.005</v>
      </c>
      <c r="CE34" s="505" t="n">
        <v>0.35</v>
      </c>
      <c r="CF34" s="505" t="n">
        <v>0</v>
      </c>
      <c r="CG34" s="505" t="n">
        <v>0.0404</v>
      </c>
      <c r="CH34" s="505" t="n">
        <v>11.1247153524059</v>
      </c>
      <c r="CI34" s="505" t="n">
        <v>3.446</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-T35/(1-AR35)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3.45882352941176</v>
      </c>
      <c r="BW35" s="369" t="n">
        <v>3.721</v>
      </c>
      <c r="BX35" s="370" t="n">
        <v>0.554353390063384</v>
      </c>
      <c r="BY35" s="370" t="n">
        <v>0.554353390063384</v>
      </c>
      <c r="BZ35" s="370" t="n">
        <v>1</v>
      </c>
      <c r="CA35" s="370" t="n">
        <v>0.0260449864197474</v>
      </c>
      <c r="CB35" s="370" t="n">
        <v>0.970132608451962</v>
      </c>
      <c r="CC35" s="505" t="n">
        <v>0.005</v>
      </c>
      <c r="CD35" s="505" t="n">
        <v>0.005</v>
      </c>
      <c r="CE35" s="505" t="n">
        <v>0.35</v>
      </c>
      <c r="CF35" s="505" t="n">
        <v>0</v>
      </c>
      <c r="CG35" s="505" t="n">
        <v>0.0404</v>
      </c>
      <c r="CH35" s="505" t="n">
        <v>10.0152609966147</v>
      </c>
      <c r="CI35" s="505" t="n">
        <v>3.371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-T36/(1-AR36)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3.36675191815857</v>
      </c>
      <c r="BW36" s="369" t="n">
        <v>3.681</v>
      </c>
      <c r="BX36" s="370" t="n">
        <v>0.50293567145062</v>
      </c>
      <c r="BY36" s="370" t="n">
        <v>0.50293567145062</v>
      </c>
      <c r="BZ36" s="370" t="n">
        <v>1</v>
      </c>
      <c r="CA36" s="370" t="n">
        <v>0.0269541378866576</v>
      </c>
      <c r="CB36" s="370" t="n">
        <v>0.967126070368611</v>
      </c>
      <c r="CC36" s="505" t="n">
        <v>0.005</v>
      </c>
      <c r="CD36" s="505" t="n">
        <v>0.005</v>
      </c>
      <c r="CE36" s="505" t="n">
        <v>0.4</v>
      </c>
      <c r="CF36" s="505" t="n">
        <v>0</v>
      </c>
      <c r="CG36" s="505" t="n">
        <v>0.0404</v>
      </c>
      <c r="CH36" s="505" t="n">
        <v>11.0539608464921</v>
      </c>
      <c r="CI36" s="505" t="n">
        <v>3.281</v>
      </c>
      <c r="CJ36" s="505"/>
      <c r="CK36" s="505"/>
      <c r="CL36" s="505"/>
      <c r="CM36" s="505"/>
    </row>
    <row r="37" customFormat="false" ht="12.75" hidden="false" customHeight="false" outlineLevel="0" collapsed="false">
      <c r="A37" s="500"/>
      <c r="B37" s="500"/>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-T37/(1-AR37)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3.21329923273657</v>
      </c>
      <c r="BW37" s="369" t="n">
        <v>3.726</v>
      </c>
      <c r="BX37" s="370" t="n">
        <v>0.388875549675273</v>
      </c>
      <c r="BY37" s="370" t="n">
        <v>0.388875549675273</v>
      </c>
      <c r="BZ37" s="370" t="n">
        <v>1</v>
      </c>
      <c r="CA37" s="370" t="n">
        <v>0.0279745964320606</v>
      </c>
      <c r="CB37" s="370" t="n">
        <v>0.963636615990319</v>
      </c>
      <c r="CC37" s="505" t="n">
        <v>0.01</v>
      </c>
      <c r="CD37" s="505" t="n">
        <v>0.005</v>
      </c>
      <c r="CE37" s="505" t="n">
        <v>0.6</v>
      </c>
      <c r="CF37" s="505" t="n">
        <v>0</v>
      </c>
      <c r="CG37" s="505" t="n">
        <v>0.0404</v>
      </c>
      <c r="CH37" s="505" t="n">
        <v>10.6587846094689</v>
      </c>
      <c r="CI37" s="505" t="n">
        <v>3.126</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-T38/(1-AR38)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3.21432225063939</v>
      </c>
      <c r="BW38" s="369" t="n">
        <v>3.877</v>
      </c>
      <c r="BX38" s="370" t="n">
        <v>0.376159329765107</v>
      </c>
      <c r="BY38" s="370" t="n">
        <v>0.376159329765107</v>
      </c>
      <c r="BZ38" s="370" t="n">
        <v>1</v>
      </c>
      <c r="CA38" s="370" t="n">
        <v>0.0289631800763801</v>
      </c>
      <c r="CB38" s="370" t="n">
        <v>0.960114752892753</v>
      </c>
      <c r="CC38" s="505" t="n">
        <v>0.01</v>
      </c>
      <c r="CD38" s="505" t="n">
        <v>0.005</v>
      </c>
      <c r="CE38" s="505" t="n">
        <v>0.75</v>
      </c>
      <c r="CF38" s="505" t="n">
        <v>0</v>
      </c>
      <c r="CG38" s="505" t="n">
        <v>0.0404</v>
      </c>
      <c r="CH38" s="505" t="n">
        <v>10.9738235911383</v>
      </c>
      <c r="CI38" s="505" t="n">
        <v>3.127</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-T39/(1-AR39)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3.25268542199489</v>
      </c>
      <c r="BW39" s="369" t="n">
        <v>4.012</v>
      </c>
      <c r="BX39" s="370" t="n">
        <v>0.375845949287242</v>
      </c>
      <c r="BY39" s="370" t="n">
        <v>0.375845949287242</v>
      </c>
      <c r="BZ39" s="370" t="n">
        <v>1</v>
      </c>
      <c r="CA39" s="370" t="n">
        <v>0.0299847168551968</v>
      </c>
      <c r="CB39" s="370" t="n">
        <v>0.956328852591432</v>
      </c>
      <c r="CC39" s="505" t="n">
        <v>0.0125</v>
      </c>
      <c r="CD39" s="505" t="n">
        <v>0.005</v>
      </c>
      <c r="CE39" s="505" t="n">
        <v>0.85</v>
      </c>
      <c r="CF39" s="505" t="n">
        <v>0</v>
      </c>
      <c r="CG39" s="505" t="n">
        <v>0.0404</v>
      </c>
      <c r="CH39" s="505" t="n">
        <v>10.5779534385138</v>
      </c>
      <c r="CI39" s="505" t="n">
        <v>3.162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-T40/(1-AR40)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3.29565217391304</v>
      </c>
      <c r="BW40" s="369" t="n">
        <v>4.254</v>
      </c>
      <c r="BX40" s="370" t="n">
        <v>0.377568797335415</v>
      </c>
      <c r="BY40" s="370" t="n">
        <v>0.377568797335415</v>
      </c>
      <c r="BZ40" s="370" t="n">
        <v>1</v>
      </c>
      <c r="CA40" s="370" t="n">
        <v>0.0309652793004798</v>
      </c>
      <c r="CB40" s="370" t="n">
        <v>0.95253693379797</v>
      </c>
      <c r="CC40" s="505" t="n">
        <v>0.0125</v>
      </c>
      <c r="CD40" s="505" t="n">
        <v>0.005</v>
      </c>
      <c r="CE40" s="505" t="n">
        <v>1.05</v>
      </c>
      <c r="CF40" s="505" t="n">
        <v>0</v>
      </c>
      <c r="CG40" s="505" t="n">
        <v>0.0404</v>
      </c>
      <c r="CH40" s="505" t="n">
        <v>10.8872113922307</v>
      </c>
      <c r="CI40" s="505" t="n">
        <v>3.204</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-T41/(1-AR41)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3.3386189258312</v>
      </c>
      <c r="BW41" s="369" t="n">
        <v>4.296</v>
      </c>
      <c r="BX41" s="370" t="n">
        <v>0.37917572731747</v>
      </c>
      <c r="BY41" s="370" t="n">
        <v>0.37917572731747</v>
      </c>
      <c r="BZ41" s="370" t="n">
        <v>1</v>
      </c>
      <c r="CA41" s="370" t="n">
        <v>0.0319670833322725</v>
      </c>
      <c r="CB41" s="370" t="n">
        <v>0.948494893378275</v>
      </c>
      <c r="CC41" s="505" t="n">
        <v>0.0125</v>
      </c>
      <c r="CD41" s="505" t="n">
        <v>0.005</v>
      </c>
      <c r="CE41" s="505" t="n">
        <v>1.05</v>
      </c>
      <c r="CF41" s="505" t="n">
        <v>0</v>
      </c>
      <c r="CG41" s="505" t="n">
        <v>0.0404</v>
      </c>
      <c r="CH41" s="505" t="n">
        <v>10.8410120828457</v>
      </c>
      <c r="CI41" s="505" t="n">
        <v>3.246</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-T42/(1-AR42)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3.32838874680307</v>
      </c>
      <c r="BW42" s="369" t="n">
        <v>3.991</v>
      </c>
      <c r="BX42" s="370" t="n">
        <v>0.376255879342064</v>
      </c>
      <c r="BY42" s="370" t="n">
        <v>0.376255879342064</v>
      </c>
      <c r="BZ42" s="370" t="n">
        <v>1</v>
      </c>
      <c r="CA42" s="370" t="n">
        <v>0.032968887702129</v>
      </c>
      <c r="CB42" s="370" t="n">
        <v>0.944312700032904</v>
      </c>
      <c r="CC42" s="505" t="n">
        <v>0.0075</v>
      </c>
      <c r="CD42" s="505" t="n">
        <v>0.005</v>
      </c>
      <c r="CE42" s="505" t="n">
        <v>0.75</v>
      </c>
      <c r="CF42" s="505" t="n">
        <v>0</v>
      </c>
      <c r="CG42" s="505" t="n">
        <v>0.0404</v>
      </c>
      <c r="CH42" s="505" t="n">
        <v>10.445042775064</v>
      </c>
      <c r="CI42" s="505" t="n">
        <v>3.241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-T43/(1-AR43)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3.36358974358974</v>
      </c>
      <c r="BW43" s="369" t="n">
        <v>3.717</v>
      </c>
      <c r="BX43" s="370" t="n">
        <v>0.38041410598552</v>
      </c>
      <c r="BY43" s="370" t="n">
        <v>0.38041410598552</v>
      </c>
      <c r="BZ43" s="370" t="n">
        <v>1</v>
      </c>
      <c r="CA43" s="370" t="n">
        <v>0.0339067018220711</v>
      </c>
      <c r="CB43" s="370" t="n">
        <v>0.940187685777986</v>
      </c>
      <c r="CC43" s="505" t="n">
        <v>0.0075</v>
      </c>
      <c r="CD43" s="505" t="n">
        <v>0.005</v>
      </c>
      <c r="CE43" s="505" t="n">
        <v>0.45</v>
      </c>
      <c r="CF43" s="505" t="n">
        <v>0</v>
      </c>
      <c r="CG43" s="505" t="n">
        <v>0.0404</v>
      </c>
      <c r="CH43" s="505" t="n">
        <v>10.7460631921367</v>
      </c>
      <c r="CI43" s="505" t="n">
        <v>3.267</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-T44/(1-AR44)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3.49309462915601</v>
      </c>
      <c r="BW44" s="369" t="n">
        <v>3.852</v>
      </c>
      <c r="BX44" s="370" t="n">
        <v>0.385609740274895</v>
      </c>
      <c r="BY44" s="370" t="n">
        <v>0.385609740274895</v>
      </c>
      <c r="BZ44" s="370" t="n">
        <v>1</v>
      </c>
      <c r="CA44" s="370" t="n">
        <v>0.0348361539671314</v>
      </c>
      <c r="CB44" s="370" t="n">
        <v>0.93586587426758</v>
      </c>
      <c r="CC44" s="505" t="n">
        <v>0.005</v>
      </c>
      <c r="CD44" s="505" t="n">
        <v>0.0075</v>
      </c>
      <c r="CE44" s="505" t="n">
        <v>0.45</v>
      </c>
      <c r="CF44" s="505" t="n">
        <v>0</v>
      </c>
      <c r="CG44" s="505" t="n">
        <v>0.0404</v>
      </c>
      <c r="CH44" s="505" t="n">
        <v>10.3516124352737</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-T45/(1-AR45)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3.63120204603581</v>
      </c>
      <c r="BW45" s="369" t="n">
        <v>3.937</v>
      </c>
      <c r="BX45" s="370" t="n">
        <v>0.395540413143884</v>
      </c>
      <c r="BY45" s="370" t="n">
        <v>0.395540413143884</v>
      </c>
      <c r="BZ45" s="370" t="n">
        <v>1</v>
      </c>
      <c r="CA45" s="370" t="n">
        <v>0.0357356240616102</v>
      </c>
      <c r="CB45" s="370" t="n">
        <v>0.931565547567078</v>
      </c>
      <c r="CC45" s="505" t="n">
        <v>0.005</v>
      </c>
      <c r="CD45" s="505" t="n">
        <v>0.0075</v>
      </c>
      <c r="CE45" s="505" t="n">
        <v>0.4</v>
      </c>
      <c r="CF45" s="505" t="n">
        <v>0</v>
      </c>
      <c r="CG45" s="505" t="n">
        <v>0.0404</v>
      </c>
      <c r="CH45" s="505" t="n">
        <v>10.6475147390274</v>
      </c>
      <c r="CI45" s="505" t="n">
        <v>3.537</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-T46/(1-AR46)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3.6925831202046</v>
      </c>
      <c r="BW46" s="369" t="n">
        <v>3.947</v>
      </c>
      <c r="BX46" s="370" t="n">
        <v>0.392965652353069</v>
      </c>
      <c r="BY46" s="370" t="n">
        <v>0.392965652353069</v>
      </c>
      <c r="BZ46" s="370" t="n">
        <v>1</v>
      </c>
      <c r="CA46" s="370" t="n">
        <v>0.0366293995889575</v>
      </c>
      <c r="CB46" s="370" t="n">
        <v>0.927069774742957</v>
      </c>
      <c r="CC46" s="505" t="n">
        <v>0.005</v>
      </c>
      <c r="CD46" s="505" t="n">
        <v>0.0075</v>
      </c>
      <c r="CE46" s="505" t="n">
        <v>0.35</v>
      </c>
      <c r="CF46" s="505" t="n">
        <v>0</v>
      </c>
      <c r="CG46" s="505" t="n">
        <v>0.0364</v>
      </c>
      <c r="CH46" s="505" t="n">
        <v>10.5961294043796</v>
      </c>
      <c r="CI46" s="505" t="n">
        <v>3.597</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-T47/(1-AR47)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3.60562659846547</v>
      </c>
      <c r="BW47" s="369" t="n">
        <v>3.862</v>
      </c>
      <c r="BX47" s="370" t="n">
        <v>0.390732432296569</v>
      </c>
      <c r="BY47" s="370" t="n">
        <v>0.390732432296569</v>
      </c>
      <c r="BZ47" s="370" t="n">
        <v>1</v>
      </c>
      <c r="CA47" s="370" t="n">
        <v>0.0374851197051385</v>
      </c>
      <c r="CB47" s="370" t="n">
        <v>0.922533811762705</v>
      </c>
      <c r="CC47" s="505" t="n">
        <v>0.005</v>
      </c>
      <c r="CD47" s="505" t="n">
        <v>0.0075</v>
      </c>
      <c r="CE47" s="505" t="n">
        <v>0.35</v>
      </c>
      <c r="CF47" s="505" t="n">
        <v>0</v>
      </c>
      <c r="CG47" s="505" t="n">
        <v>0.0364</v>
      </c>
      <c r="CH47" s="505" t="n">
        <v>9.86400827551037</v>
      </c>
      <c r="CI47" s="505" t="n">
        <v>3.512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-T48/(1-AR48)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3.47263427109974</v>
      </c>
      <c r="BW48" s="369" t="n">
        <v>3.782</v>
      </c>
      <c r="BX48" s="370" t="n">
        <v>0.366388286442151</v>
      </c>
      <c r="BY48" s="370" t="n">
        <v>0.366388286442151</v>
      </c>
      <c r="BZ48" s="370" t="n">
        <v>1</v>
      </c>
      <c r="CA48" s="370" t="n">
        <v>0.0382856322945879</v>
      </c>
      <c r="CB48" s="370" t="n">
        <v>0.918192690834127</v>
      </c>
      <c r="CC48" s="505" t="n">
        <v>0.005</v>
      </c>
      <c r="CD48" s="505" t="n">
        <v>0.0075</v>
      </c>
      <c r="CE48" s="505" t="n">
        <v>0.4</v>
      </c>
      <c r="CF48" s="505" t="n">
        <v>0</v>
      </c>
      <c r="CG48" s="505" t="n">
        <v>0.0364</v>
      </c>
      <c r="CH48" s="505" t="n">
        <v>10.4946669984268</v>
      </c>
      <c r="CI48" s="505" t="n">
        <v>3.382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-T49/(1-AR49)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3.28593350383632</v>
      </c>
      <c r="BW49" s="369" t="n">
        <v>3.797</v>
      </c>
      <c r="BX49" s="370" t="n">
        <v>0.331357120013448</v>
      </c>
      <c r="BY49" s="370" t="n">
        <v>0.331357120013448</v>
      </c>
      <c r="BZ49" s="370" t="n">
        <v>1</v>
      </c>
      <c r="CA49" s="370" t="n">
        <v>0.0390847146165725</v>
      </c>
      <c r="CB49" s="370" t="n">
        <v>0.913567985593808</v>
      </c>
      <c r="CC49" s="505" t="n">
        <v>0.01</v>
      </c>
      <c r="CD49" s="505" t="n">
        <v>0.005</v>
      </c>
      <c r="CE49" s="505" t="n">
        <v>0.6</v>
      </c>
      <c r="CF49" s="505" t="n">
        <v>0</v>
      </c>
      <c r="CG49" s="505" t="n">
        <v>0.0364</v>
      </c>
      <c r="CH49" s="505" t="n">
        <v>10.1049754886531</v>
      </c>
      <c r="CI49" s="505" t="n">
        <v>3.197</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-T50/(1-AR50)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3.28081841432225</v>
      </c>
      <c r="BW50" s="369" t="n">
        <v>3.942</v>
      </c>
      <c r="BX50" s="370" t="n">
        <v>0.327601342960546</v>
      </c>
      <c r="BY50" s="370" t="n">
        <v>0.327601342960546</v>
      </c>
      <c r="BZ50" s="370" t="n">
        <v>1</v>
      </c>
      <c r="CA50" s="370" t="n">
        <v>0.0397995549683068</v>
      </c>
      <c r="CB50" s="370" t="n">
        <v>0.909126089677525</v>
      </c>
      <c r="CC50" s="505" t="n">
        <v>0.01</v>
      </c>
      <c r="CD50" s="505" t="n">
        <v>0.005</v>
      </c>
      <c r="CE50" s="505" t="n">
        <v>0.75</v>
      </c>
      <c r="CF50" s="505" t="n">
        <v>0</v>
      </c>
      <c r="CG50" s="505" t="n">
        <v>0.0364</v>
      </c>
      <c r="CH50" s="505" t="n">
        <v>10.3910384671872</v>
      </c>
      <c r="CI50" s="505" t="n">
        <v>3.192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-T51/(1-AR51)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3.31918158567775</v>
      </c>
      <c r="BW51" s="369" t="n">
        <v>4.077</v>
      </c>
      <c r="BX51" s="370" t="n">
        <v>0.322553846057612</v>
      </c>
      <c r="BY51" s="370" t="n">
        <v>0.322553846057612</v>
      </c>
      <c r="BZ51" s="370" t="n">
        <v>1</v>
      </c>
      <c r="CA51" s="370" t="n">
        <v>0.0405382235118998</v>
      </c>
      <c r="CB51" s="370" t="n">
        <v>0.904449976505324</v>
      </c>
      <c r="CC51" s="505" t="n">
        <v>0.0125</v>
      </c>
      <c r="CD51" s="505" t="n">
        <v>0.005</v>
      </c>
      <c r="CE51" s="505" t="n">
        <v>0.85</v>
      </c>
      <c r="CF51" s="505" t="n">
        <v>0</v>
      </c>
      <c r="CG51" s="505" t="n">
        <v>0.0364</v>
      </c>
      <c r="CH51" s="505" t="n">
        <v>10.0041211901254</v>
      </c>
      <c r="CI51" s="505" t="n">
        <v>3.227</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-T52/(1-AR52)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3.36010230179028</v>
      </c>
      <c r="BW52" s="369" t="n">
        <v>4.317</v>
      </c>
      <c r="BX52" s="370" t="n">
        <v>0.323758663407093</v>
      </c>
      <c r="BY52" s="370" t="n">
        <v>0.323758663407093</v>
      </c>
      <c r="BZ52" s="370" t="n">
        <v>1</v>
      </c>
      <c r="CA52" s="370" t="n">
        <v>0.0412152492802473</v>
      </c>
      <c r="CB52" s="370" t="n">
        <v>0.899929041596613</v>
      </c>
      <c r="CC52" s="505" t="n">
        <v>0.0125</v>
      </c>
      <c r="CD52" s="505" t="n">
        <v>0.005</v>
      </c>
      <c r="CE52" s="505" t="n">
        <v>1.05</v>
      </c>
      <c r="CF52" s="505" t="n">
        <v>0</v>
      </c>
      <c r="CG52" s="505" t="n">
        <v>0.0364</v>
      </c>
      <c r="CH52" s="505" t="n">
        <v>10.2859189667368</v>
      </c>
      <c r="CI52" s="505" t="n">
        <v>3.267</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-T53/(1-AR53)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3.40102301790281</v>
      </c>
      <c r="BW53" s="369" t="n">
        <v>4.357</v>
      </c>
      <c r="BX53" s="370" t="n">
        <v>0.324924899747912</v>
      </c>
      <c r="BY53" s="370" t="n">
        <v>0.324924899747912</v>
      </c>
      <c r="BZ53" s="370" t="n">
        <v>1</v>
      </c>
      <c r="CA53" s="370" t="n">
        <v>0.0418733656308259</v>
      </c>
      <c r="CB53" s="370" t="n">
        <v>0.895276283112479</v>
      </c>
      <c r="CC53" s="505" t="n">
        <v>0.0125</v>
      </c>
      <c r="CD53" s="505" t="n">
        <v>0.005</v>
      </c>
      <c r="CE53" s="505" t="n">
        <v>1.05</v>
      </c>
      <c r="CF53" s="505" t="n">
        <v>0</v>
      </c>
      <c r="CG53" s="505" t="n">
        <v>0.0364</v>
      </c>
      <c r="CH53" s="505" t="n">
        <v>10.2327393330907</v>
      </c>
      <c r="CI53" s="505" t="n">
        <v>3.307</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-T54/(1-AR54)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3.39079283887468</v>
      </c>
      <c r="BW54" s="369" t="n">
        <v>4.052</v>
      </c>
      <c r="BX54" s="370" t="n">
        <v>0.324623837003911</v>
      </c>
      <c r="BY54" s="370" t="n">
        <v>0.324623837003911</v>
      </c>
      <c r="BZ54" s="370" t="n">
        <v>1</v>
      </c>
      <c r="CA54" s="370" t="n">
        <v>0.0425314821265914</v>
      </c>
      <c r="CB54" s="370" t="n">
        <v>0.890550622336601</v>
      </c>
      <c r="CC54" s="505" t="n">
        <v>0.0075</v>
      </c>
      <c r="CD54" s="505" t="n">
        <v>0.005</v>
      </c>
      <c r="CE54" s="505" t="n">
        <v>0.75</v>
      </c>
      <c r="CF54" s="505" t="n">
        <v>0</v>
      </c>
      <c r="CG54" s="505" t="n">
        <v>0.0364</v>
      </c>
      <c r="CH54" s="505" t="n">
        <v>9.85038043366515</v>
      </c>
      <c r="CI54" s="505" t="n">
        <v>3.302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-T55/(1-AR55)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3.42512820512821</v>
      </c>
      <c r="BW55" s="369" t="n">
        <v>3.777</v>
      </c>
      <c r="BX55" s="370" t="n">
        <v>0.325957791635222</v>
      </c>
      <c r="BY55" s="370" t="n">
        <v>0.325957791635222</v>
      </c>
      <c r="BZ55" s="370" t="n">
        <v>1</v>
      </c>
      <c r="CA55" s="370" t="n">
        <v>0.0431331290786572</v>
      </c>
      <c r="CB55" s="370" t="n">
        <v>0.885996047822783</v>
      </c>
      <c r="CC55" s="505" t="n">
        <v>0.0075</v>
      </c>
      <c r="CD55" s="505" t="n">
        <v>0.005</v>
      </c>
      <c r="CE55" s="505" t="n">
        <v>0.45</v>
      </c>
      <c r="CF55" s="505" t="n">
        <v>0</v>
      </c>
      <c r="CG55" s="505" t="n">
        <v>0.0364</v>
      </c>
      <c r="CH55" s="505" t="n">
        <v>10.1266690278001</v>
      </c>
      <c r="CI55" s="505" t="n">
        <v>3.327</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-T56/(1-AR56)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3.57186700767263</v>
      </c>
      <c r="BW56" s="369" t="n">
        <v>3.929</v>
      </c>
      <c r="BX56" s="370" t="n">
        <v>0.331587939765235</v>
      </c>
      <c r="BY56" s="370" t="n">
        <v>0.331587939765235</v>
      </c>
      <c r="BZ56" s="370" t="n">
        <v>1</v>
      </c>
      <c r="CA56" s="370" t="n">
        <v>0.0437209690349563</v>
      </c>
      <c r="CB56" s="370" t="n">
        <v>0.881310319234489</v>
      </c>
      <c r="CC56" s="505" t="n">
        <v>0.005</v>
      </c>
      <c r="CD56" s="505" t="n">
        <v>0.0075</v>
      </c>
      <c r="CE56" s="505" t="n">
        <v>0.45</v>
      </c>
      <c r="CF56" s="505" t="n">
        <v>0</v>
      </c>
      <c r="CG56" s="505" t="n">
        <v>0.0364</v>
      </c>
      <c r="CH56" s="505" t="n">
        <v>9.74817344105268</v>
      </c>
      <c r="CI56" s="505" t="n">
        <v>3.479</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-T57/(1-AR57)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3.71815856777494</v>
      </c>
      <c r="BW57" s="369" t="n">
        <v>4.022</v>
      </c>
      <c r="BX57" s="370" t="n">
        <v>0.339212722084315</v>
      </c>
      <c r="BY57" s="370" t="n">
        <v>0.339212722084315</v>
      </c>
      <c r="BZ57" s="370" t="n">
        <v>1</v>
      </c>
      <c r="CA57" s="370" t="n">
        <v>0.044289846522211</v>
      </c>
      <c r="CB57" s="370" t="n">
        <v>0.876718225648428</v>
      </c>
      <c r="CC57" s="505" t="n">
        <v>0.005</v>
      </c>
      <c r="CD57" s="505" t="n">
        <v>0.0075</v>
      </c>
      <c r="CE57" s="505" t="n">
        <v>0.4</v>
      </c>
      <c r="CF57" s="505" t="n">
        <v>0</v>
      </c>
      <c r="CG57" s="505" t="n">
        <v>0.0364</v>
      </c>
      <c r="CH57" s="505" t="n">
        <v>10.0206263036938</v>
      </c>
      <c r="CI57" s="505" t="n">
        <v>3.622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-T58/(1-AR58)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3.77953964194373</v>
      </c>
      <c r="BW58" s="369" t="n">
        <v>4.032</v>
      </c>
      <c r="BX58" s="370" t="n">
        <v>0.338699959673164</v>
      </c>
      <c r="BY58" s="370" t="n">
        <v>0.338699959673164</v>
      </c>
      <c r="BZ58" s="370" t="n">
        <v>1</v>
      </c>
      <c r="CA58" s="370" t="n">
        <v>0.0448548874957364</v>
      </c>
      <c r="CB58" s="370" t="n">
        <v>0.871974921810256</v>
      </c>
      <c r="CC58" s="505" t="n">
        <v>0.005</v>
      </c>
      <c r="CD58" s="505" t="n">
        <v>0.0075</v>
      </c>
      <c r="CE58" s="505" t="n">
        <v>0.35</v>
      </c>
      <c r="CF58" s="505" t="n">
        <v>0</v>
      </c>
      <c r="CG58" s="505" t="n">
        <v>0.0364</v>
      </c>
      <c r="CH58" s="505" t="n">
        <v>9.96641176381468</v>
      </c>
      <c r="CI58" s="505" t="n">
        <v>3.682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-T59/(1-AR59)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3.6925831202046</v>
      </c>
      <c r="BW59" s="369" t="n">
        <v>3.947</v>
      </c>
      <c r="BX59" s="370" t="n">
        <v>0.334167550636186</v>
      </c>
      <c r="BY59" s="370" t="n">
        <v>0.334167550636186</v>
      </c>
      <c r="BZ59" s="370" t="n">
        <v>1</v>
      </c>
      <c r="CA59" s="370" t="n">
        <v>0.0454011527523237</v>
      </c>
      <c r="CB59" s="370" t="n">
        <v>0.867226855595254</v>
      </c>
      <c r="CC59" s="505" t="n">
        <v>0.005</v>
      </c>
      <c r="CD59" s="505" t="n">
        <v>0.0075</v>
      </c>
      <c r="CE59" s="505" t="n">
        <v>0.35</v>
      </c>
      <c r="CF59" s="505" t="n">
        <v>0</v>
      </c>
      <c r="CG59" s="505" t="n">
        <v>0.0364</v>
      </c>
      <c r="CH59" s="505" t="n">
        <v>8.95290316642317</v>
      </c>
      <c r="CI59" s="505" t="n">
        <v>3.597</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-T60/(1-AR60)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3.55959079283887</v>
      </c>
      <c r="BW60" s="369" t="n">
        <v>3.867</v>
      </c>
      <c r="BX60" s="370" t="n">
        <v>0.317268038421172</v>
      </c>
      <c r="BY60" s="370" t="n">
        <v>0.317268038421172</v>
      </c>
      <c r="BZ60" s="370" t="n">
        <v>1</v>
      </c>
      <c r="CA60" s="370" t="n">
        <v>0.0458945537150708</v>
      </c>
      <c r="CB60" s="370" t="n">
        <v>0.862893591140207</v>
      </c>
      <c r="CC60" s="505" t="n">
        <v>0.005</v>
      </c>
      <c r="CD60" s="505" t="n">
        <v>0.0075</v>
      </c>
      <c r="CE60" s="505" t="n">
        <v>0.4</v>
      </c>
      <c r="CF60" s="505" t="n">
        <v>0</v>
      </c>
      <c r="CG60" s="505" t="n">
        <v>0.0364</v>
      </c>
      <c r="CH60" s="505" t="n">
        <v>9.86261487865522</v>
      </c>
      <c r="CI60" s="505" t="n">
        <v>3.467</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-T61/(1-AR61)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3.37544757033248</v>
      </c>
      <c r="BW61" s="369" t="n">
        <v>3.882</v>
      </c>
      <c r="BX61" s="370" t="n">
        <v>0.29897490298836</v>
      </c>
      <c r="BY61" s="370" t="n">
        <v>0.29897490298836</v>
      </c>
      <c r="BZ61" s="370" t="n">
        <v>1</v>
      </c>
      <c r="CA61" s="370" t="n">
        <v>0.0464010564150716</v>
      </c>
      <c r="CB61" s="370" t="n">
        <v>0.85815886093194</v>
      </c>
      <c r="CC61" s="505" t="n">
        <v>0.01</v>
      </c>
      <c r="CD61" s="505" t="n">
        <v>0.0075</v>
      </c>
      <c r="CE61" s="505" t="n">
        <v>0.6</v>
      </c>
      <c r="CF61" s="505" t="n">
        <v>0</v>
      </c>
      <c r="CG61" s="505" t="n">
        <v>0.0364</v>
      </c>
      <c r="CH61" s="505" t="n">
        <v>9.49209516076819</v>
      </c>
      <c r="CI61" s="505" t="n">
        <v>3.282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-T62/(1-AR62)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3.37033248081841</v>
      </c>
      <c r="BW62" s="369" t="n">
        <v>4.027</v>
      </c>
      <c r="BX62" s="370" t="n">
        <v>0.292521362466059</v>
      </c>
      <c r="BY62" s="370" t="n">
        <v>0.292521362466059</v>
      </c>
      <c r="BZ62" s="370" t="n">
        <v>1</v>
      </c>
      <c r="CA62" s="370" t="n">
        <v>0.0468566770502532</v>
      </c>
      <c r="CB62" s="370" t="n">
        <v>0.853632083295416</v>
      </c>
      <c r="CC62" s="505" t="n">
        <v>0.01</v>
      </c>
      <c r="CD62" s="505" t="n">
        <v>0.0075</v>
      </c>
      <c r="CE62" s="505" t="n">
        <v>0.75</v>
      </c>
      <c r="CF62" s="505" t="n">
        <v>0</v>
      </c>
      <c r="CG62" s="505" t="n">
        <v>0.0364</v>
      </c>
      <c r="CH62" s="505" t="n">
        <v>9.75675862244162</v>
      </c>
      <c r="CI62" s="505" t="n">
        <v>3.277</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-T63/(1-AR63)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3.40869565217391</v>
      </c>
      <c r="BW63" s="369" t="n">
        <v>4.162</v>
      </c>
      <c r="BX63" s="370" t="n">
        <v>0.292382455013977</v>
      </c>
      <c r="BY63" s="370" t="n">
        <v>0.292382455013977</v>
      </c>
      <c r="BZ63" s="370" t="n">
        <v>1</v>
      </c>
      <c r="CA63" s="370" t="n">
        <v>0.0473274851128664</v>
      </c>
      <c r="CB63" s="370" t="n">
        <v>0.848914575635623</v>
      </c>
      <c r="CC63" s="505" t="n">
        <v>0.0125</v>
      </c>
      <c r="CD63" s="505" t="n">
        <v>0.0075</v>
      </c>
      <c r="CE63" s="505" t="n">
        <v>0.85</v>
      </c>
      <c r="CF63" s="505" t="n">
        <v>0</v>
      </c>
      <c r="CG63" s="505" t="n">
        <v>0.0364</v>
      </c>
      <c r="CH63" s="505" t="n">
        <v>9.38984412110562</v>
      </c>
      <c r="CI63" s="505" t="n">
        <v>3.312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-T64/(1-AR64)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3.44961636828644</v>
      </c>
      <c r="BW64" s="369" t="n">
        <v>4.402</v>
      </c>
      <c r="BX64" s="370" t="n">
        <v>0.288480838532972</v>
      </c>
      <c r="BY64" s="370" t="n">
        <v>0.288480838532972</v>
      </c>
      <c r="BZ64" s="370" t="n">
        <v>1</v>
      </c>
      <c r="CA64" s="370" t="n">
        <v>0.047760481058801</v>
      </c>
      <c r="CB64" s="370" t="n">
        <v>0.844378469838596</v>
      </c>
      <c r="CC64" s="505" t="n">
        <v>0.0125</v>
      </c>
      <c r="CD64" s="505" t="n">
        <v>0.0075</v>
      </c>
      <c r="CE64" s="505" t="n">
        <v>1.05</v>
      </c>
      <c r="CF64" s="505" t="n">
        <v>0</v>
      </c>
      <c r="CG64" s="505" t="n">
        <v>0.0364</v>
      </c>
      <c r="CH64" s="505" t="n">
        <v>9.65099259671421</v>
      </c>
      <c r="CI64" s="505" t="n">
        <v>3.352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-T65/(1-AR65)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3.49053708439898</v>
      </c>
      <c r="BW65" s="369" t="n">
        <v>4.442</v>
      </c>
      <c r="BX65" s="370" t="n">
        <v>0.289450621554524</v>
      </c>
      <c r="BY65" s="370" t="n">
        <v>0.289450621554524</v>
      </c>
      <c r="BZ65" s="370" t="n">
        <v>1</v>
      </c>
      <c r="CA65" s="370" t="n">
        <v>0.0481861434694211</v>
      </c>
      <c r="CB65" s="370" t="n">
        <v>0.839721100096823</v>
      </c>
      <c r="CC65" s="505" t="n">
        <v>0.0125</v>
      </c>
      <c r="CD65" s="505" t="n">
        <v>0.0075</v>
      </c>
      <c r="CE65" s="505" t="n">
        <v>1.05</v>
      </c>
      <c r="CF65" s="505" t="n">
        <v>0</v>
      </c>
      <c r="CG65" s="505" t="n">
        <v>0.0364</v>
      </c>
      <c r="CH65" s="505" t="n">
        <v>9.59776025777665</v>
      </c>
      <c r="CI65" s="505" t="n">
        <v>3.392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-T66/(1-AR66)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3.48030690537084</v>
      </c>
      <c r="BW66" s="369" t="n">
        <v>4.137</v>
      </c>
      <c r="BX66" s="370" t="n">
        <v>0.289213048318682</v>
      </c>
      <c r="BY66" s="370" t="n">
        <v>0.289213048318682</v>
      </c>
      <c r="BZ66" s="370" t="n">
        <v>1</v>
      </c>
      <c r="CA66" s="370" t="n">
        <v>0.0486118059405909</v>
      </c>
      <c r="CB66" s="370" t="n">
        <v>0.835030766033085</v>
      </c>
      <c r="CC66" s="505" t="n">
        <v>0.0075</v>
      </c>
      <c r="CD66" s="505" t="n">
        <v>0.0075</v>
      </c>
      <c r="CE66" s="505" t="n">
        <v>0.75</v>
      </c>
      <c r="CF66" s="505" t="n">
        <v>0</v>
      </c>
      <c r="CG66" s="505" t="n">
        <v>0.0364</v>
      </c>
      <c r="CH66" s="505" t="n">
        <v>9.23627530309195</v>
      </c>
      <c r="CI66" s="505" t="n">
        <v>3.387</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-T67/(1-AR67)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3.51487179487179</v>
      </c>
      <c r="BW67" s="369" t="n">
        <v>3.862</v>
      </c>
      <c r="BX67" s="370" t="n">
        <v>0.290354844679535</v>
      </c>
      <c r="BY67" s="370" t="n">
        <v>0.290354844679535</v>
      </c>
      <c r="BZ67" s="370" t="n">
        <v>1</v>
      </c>
      <c r="CA67" s="370" t="n">
        <v>0.0490091513549218</v>
      </c>
      <c r="CB67" s="370" t="n">
        <v>0.830506508545646</v>
      </c>
      <c r="CC67" s="505" t="n">
        <v>0.0075</v>
      </c>
      <c r="CD67" s="505" t="n">
        <v>0.0075</v>
      </c>
      <c r="CE67" s="505" t="n">
        <v>0.45</v>
      </c>
      <c r="CF67" s="505" t="n">
        <v>0</v>
      </c>
      <c r="CG67" s="505" t="n">
        <v>0.0364</v>
      </c>
      <c r="CH67" s="505" t="n">
        <v>9.49244024072417</v>
      </c>
      <c r="CI67" s="505" t="n">
        <v>3.412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-T68/(1-AR68)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3.65882352941176</v>
      </c>
      <c r="BW68" s="369" t="n">
        <v>4.014</v>
      </c>
      <c r="BX68" s="370" t="n">
        <v>0.295083048619696</v>
      </c>
      <c r="BY68" s="370" t="n">
        <v>0.295083048619696</v>
      </c>
      <c r="BZ68" s="370" t="n">
        <v>1</v>
      </c>
      <c r="CA68" s="370" t="n">
        <v>0.0493920179871608</v>
      </c>
      <c r="CB68" s="370" t="n">
        <v>0.825889768863549</v>
      </c>
      <c r="CC68" s="505" t="n">
        <v>0.005</v>
      </c>
      <c r="CD68" s="505" t="n">
        <v>0.0075</v>
      </c>
      <c r="CE68" s="505" t="n">
        <v>0.45</v>
      </c>
      <c r="CF68" s="505" t="n">
        <v>0</v>
      </c>
      <c r="CG68" s="505" t="n">
        <v>0.0364</v>
      </c>
      <c r="CH68" s="505" t="n">
        <v>9.13516673339971</v>
      </c>
      <c r="CI68" s="505" t="n">
        <v>3.564</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-T69/(1-AR69)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3.80511508951407</v>
      </c>
      <c r="BW69" s="369" t="n">
        <v>4.107</v>
      </c>
      <c r="BX69" s="370" t="n">
        <v>0.30158877782868</v>
      </c>
      <c r="BY69" s="370" t="n">
        <v>0.30158877782868</v>
      </c>
      <c r="BZ69" s="370" t="n">
        <v>1</v>
      </c>
      <c r="CA69" s="370" t="n">
        <v>0.0497625341294907</v>
      </c>
      <c r="CB69" s="370" t="n">
        <v>0.821397003079716</v>
      </c>
      <c r="CC69" s="505" t="n">
        <v>0.005</v>
      </c>
      <c r="CD69" s="505" t="n">
        <v>0.0075</v>
      </c>
      <c r="CE69" s="505" t="n">
        <v>0.4</v>
      </c>
      <c r="CF69" s="505" t="n">
        <v>0</v>
      </c>
      <c r="CG69" s="505" t="n">
        <v>0.0364</v>
      </c>
      <c r="CH69" s="505" t="n">
        <v>9.38832132610023</v>
      </c>
      <c r="CI69" s="505" t="n">
        <v>3.707</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-T70/(1-AR70)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3.8613810741688</v>
      </c>
      <c r="BW70" s="369" t="n">
        <v>4.112</v>
      </c>
      <c r="BX70" s="370" t="n">
        <v>0.301253958992461</v>
      </c>
      <c r="BY70" s="370" t="n">
        <v>0.301253958992461</v>
      </c>
      <c r="BZ70" s="370" t="n">
        <v>1</v>
      </c>
      <c r="CA70" s="370" t="n">
        <v>0.0501238670100874</v>
      </c>
      <c r="CB70" s="370" t="n">
        <v>0.816799555121222</v>
      </c>
      <c r="CC70" s="505" t="n">
        <v>0.005</v>
      </c>
      <c r="CD70" s="505" t="n">
        <v>0.0075</v>
      </c>
      <c r="CE70" s="505" t="n">
        <v>0.35</v>
      </c>
      <c r="CF70" s="505" t="n">
        <v>0</v>
      </c>
      <c r="CG70" s="505" t="n">
        <v>0.0364</v>
      </c>
      <c r="CH70" s="505" t="n">
        <v>9.33577387516904</v>
      </c>
      <c r="CI70" s="505" t="n">
        <v>3.762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-T71/(1-AR71)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3.77442455242967</v>
      </c>
      <c r="BW71" s="369" t="n">
        <v>4.027</v>
      </c>
      <c r="BX71" s="370" t="n">
        <v>0.294730625711485</v>
      </c>
      <c r="BY71" s="370" t="n">
        <v>0.294730625711485</v>
      </c>
      <c r="BZ71" s="370" t="n">
        <v>1</v>
      </c>
      <c r="CA71" s="370" t="n">
        <v>0.0504460474790935</v>
      </c>
      <c r="CB71" s="370" t="n">
        <v>0.812308871993658</v>
      </c>
      <c r="CC71" s="505" t="n">
        <v>0.005</v>
      </c>
      <c r="CD71" s="505" t="n">
        <v>0.0075</v>
      </c>
      <c r="CE71" s="505" t="n">
        <v>0.35</v>
      </c>
      <c r="CF71" s="505" t="n">
        <v>0</v>
      </c>
      <c r="CG71" s="505" t="n">
        <v>0.0364</v>
      </c>
      <c r="CH71" s="505" t="n">
        <v>8.38595187091373</v>
      </c>
      <c r="CI71" s="505" t="n">
        <v>3.677</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-T72/(1-AR72)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3.64654731457801</v>
      </c>
      <c r="BW72" s="369" t="n">
        <v>3.947</v>
      </c>
      <c r="BX72" s="370" t="n">
        <v>0.278899568705084</v>
      </c>
      <c r="BY72" s="370" t="n">
        <v>0.278899568705084</v>
      </c>
      <c r="BZ72" s="370" t="n">
        <v>1</v>
      </c>
      <c r="CA72" s="370" t="n">
        <v>0.0507370492228172</v>
      </c>
      <c r="CB72" s="370" t="n">
        <v>0.808237080144648</v>
      </c>
      <c r="CC72" s="505" t="n">
        <v>0.01</v>
      </c>
      <c r="CD72" s="505" t="n">
        <v>0.0075</v>
      </c>
      <c r="CE72" s="505" t="n">
        <v>0.4</v>
      </c>
      <c r="CF72" s="505" t="n">
        <v>0</v>
      </c>
      <c r="CG72" s="505" t="n">
        <v>0.0364</v>
      </c>
      <c r="CH72" s="505" t="n">
        <v>9.23790735492928</v>
      </c>
      <c r="CI72" s="505" t="n">
        <v>3.547</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-T73/(1-AR73)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3.45984654731458</v>
      </c>
      <c r="BW73" s="369" t="n">
        <v>3.962</v>
      </c>
      <c r="BX73" s="370" t="n">
        <v>0.251839821026274</v>
      </c>
      <c r="BY73" s="370" t="n">
        <v>0.251839821026274</v>
      </c>
      <c r="BZ73" s="370" t="n">
        <v>1</v>
      </c>
      <c r="CA73" s="370" t="n">
        <v>0.0510592297577648</v>
      </c>
      <c r="CB73" s="370" t="n">
        <v>0.803712195296429</v>
      </c>
      <c r="CC73" s="505" t="n">
        <v>0.01</v>
      </c>
      <c r="CD73" s="505" t="n">
        <v>0.01</v>
      </c>
      <c r="CE73" s="505" t="n">
        <v>0.6</v>
      </c>
      <c r="CF73" s="505" t="n">
        <v>0</v>
      </c>
      <c r="CG73" s="505" t="n">
        <v>0.0364</v>
      </c>
      <c r="CH73" s="505" t="n">
        <v>8.88986059217381</v>
      </c>
      <c r="CI73" s="505" t="n">
        <v>3.362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-T74/(1-AR74)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3.45728900255754</v>
      </c>
      <c r="BW74" s="369" t="n">
        <v>4.107</v>
      </c>
      <c r="BX74" s="370" t="n">
        <v>0.24777576676848</v>
      </c>
      <c r="BY74" s="370" t="n">
        <v>0.24777576676848</v>
      </c>
      <c r="BZ74" s="370" t="n">
        <v>1</v>
      </c>
      <c r="CA74" s="370" t="n">
        <v>0.051371017405212</v>
      </c>
      <c r="CB74" s="370" t="n">
        <v>0.799316971929618</v>
      </c>
      <c r="CC74" s="505" t="n">
        <v>0.0125</v>
      </c>
      <c r="CD74" s="505" t="n">
        <v>0.01</v>
      </c>
      <c r="CE74" s="505" t="n">
        <v>0.75</v>
      </c>
      <c r="CF74" s="505" t="n">
        <v>0</v>
      </c>
      <c r="CG74" s="505" t="n">
        <v>0.0364</v>
      </c>
      <c r="CH74" s="505" t="n">
        <v>9.13595319406396</v>
      </c>
      <c r="CI74" s="505" t="n">
        <v>3.357</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-T75/(1-AR75)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3.49309462915601</v>
      </c>
      <c r="BW75" s="369" t="n">
        <v>4.242</v>
      </c>
      <c r="BX75" s="370" t="n">
        <v>0.250088358245823</v>
      </c>
      <c r="BY75" s="370" t="n">
        <v>0.250088358245823</v>
      </c>
      <c r="BZ75" s="370" t="n">
        <v>1</v>
      </c>
      <c r="CA75" s="370" t="n">
        <v>0.0516931980083157</v>
      </c>
      <c r="CB75" s="370" t="n">
        <v>0.794758967227619</v>
      </c>
      <c r="CC75" s="505" t="n">
        <v>0.0125</v>
      </c>
      <c r="CD75" s="505" t="n">
        <v>0.01</v>
      </c>
      <c r="CE75" s="505" t="n">
        <v>0.85</v>
      </c>
      <c r="CF75" s="505" t="n">
        <v>0</v>
      </c>
      <c r="CG75" s="505" t="n">
        <v>0.0364</v>
      </c>
      <c r="CH75" s="505" t="n">
        <v>8.7908289365047</v>
      </c>
      <c r="CI75" s="505" t="n">
        <v>3.392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-T76/(1-AR76)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3.53401534526854</v>
      </c>
      <c r="BW76" s="369" t="n">
        <v>4.482</v>
      </c>
      <c r="BX76" s="370" t="n">
        <v>0.251002615011208</v>
      </c>
      <c r="BY76" s="370" t="n">
        <v>0.251002615011208</v>
      </c>
      <c r="BZ76" s="370" t="n">
        <v>1</v>
      </c>
      <c r="CA76" s="370" t="n">
        <v>0.0520049857217106</v>
      </c>
      <c r="CB76" s="370" t="n">
        <v>0.790332792803782</v>
      </c>
      <c r="CC76" s="505" t="n">
        <v>0.0125</v>
      </c>
      <c r="CD76" s="505" t="n">
        <v>0.01</v>
      </c>
      <c r="CE76" s="505" t="n">
        <v>1.05</v>
      </c>
      <c r="CF76" s="505" t="n">
        <v>0</v>
      </c>
      <c r="CG76" s="505" t="n">
        <v>0.0364</v>
      </c>
      <c r="CH76" s="505" t="n">
        <v>9.03326672190939</v>
      </c>
      <c r="CI76" s="505" t="n">
        <v>3.432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-T77/(1-AR77)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3.56982097186701</v>
      </c>
      <c r="BW77" s="369" t="n">
        <v>4.522</v>
      </c>
      <c r="BX77" s="370" t="n">
        <v>0.251887767191014</v>
      </c>
      <c r="BY77" s="370" t="n">
        <v>0.251887767191014</v>
      </c>
      <c r="BZ77" s="370" t="n">
        <v>1</v>
      </c>
      <c r="CA77" s="370" t="n">
        <v>0.0523271663929492</v>
      </c>
      <c r="CB77" s="370" t="n">
        <v>0.785743940633574</v>
      </c>
      <c r="CC77" s="505" t="n">
        <v>0.0075</v>
      </c>
      <c r="CD77" s="505" t="n">
        <v>0.01</v>
      </c>
      <c r="CE77" s="505" t="n">
        <v>1.05</v>
      </c>
      <c r="CF77" s="505" t="n">
        <v>0</v>
      </c>
      <c r="CG77" s="505" t="n">
        <v>0.0364</v>
      </c>
      <c r="CH77" s="505" t="n">
        <v>8.98081751825957</v>
      </c>
      <c r="CI77" s="505" t="n">
        <v>3.472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-T78/(1-AR78)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3.56470588235294</v>
      </c>
      <c r="BW78" s="369" t="n">
        <v>4.217</v>
      </c>
      <c r="BX78" s="370" t="n">
        <v>0.251673457799918</v>
      </c>
      <c r="BY78" s="370" t="n">
        <v>0.251673457799918</v>
      </c>
      <c r="BZ78" s="370" t="n">
        <v>1</v>
      </c>
      <c r="CA78" s="370" t="n">
        <v>0.0526493470988063</v>
      </c>
      <c r="CB78" s="370" t="n">
        <v>0.781140280211496</v>
      </c>
      <c r="CC78" s="505" t="n">
        <v>0.0075</v>
      </c>
      <c r="CD78" s="505" t="n">
        <v>0.01</v>
      </c>
      <c r="CE78" s="505" t="n">
        <v>0.75</v>
      </c>
      <c r="CF78" s="505" t="n">
        <v>0</v>
      </c>
      <c r="CG78" s="505" t="n">
        <v>0.0364</v>
      </c>
      <c r="CH78" s="505" t="n">
        <v>8.64019263941935</v>
      </c>
      <c r="CI78" s="505" t="n">
        <v>3.467</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-T79/(1-AR79)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3.59692307692308</v>
      </c>
      <c r="BW79" s="369" t="n">
        <v>3.942</v>
      </c>
      <c r="BX79" s="370" t="n">
        <v>0.252737151785216</v>
      </c>
      <c r="BY79" s="370" t="n">
        <v>0.252737151785216</v>
      </c>
      <c r="BZ79" s="370" t="n">
        <v>1</v>
      </c>
      <c r="CA79" s="370" t="n">
        <v>0.0529611349116244</v>
      </c>
      <c r="CB79" s="370" t="n">
        <v>0.776671575219578</v>
      </c>
      <c r="CC79" s="505" t="n">
        <v>0.005</v>
      </c>
      <c r="CD79" s="505" t="n">
        <v>0.01</v>
      </c>
      <c r="CE79" s="505" t="n">
        <v>0.45</v>
      </c>
      <c r="CF79" s="505" t="n">
        <v>0</v>
      </c>
      <c r="CG79" s="505" t="n">
        <v>0.0364</v>
      </c>
      <c r="CH79" s="505" t="n">
        <v>8.87712310328721</v>
      </c>
      <c r="CI79" s="505" t="n">
        <v>3.492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-T80/(1-AR80)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3.74168797953964</v>
      </c>
      <c r="BW80" s="369" t="n">
        <v>4.094</v>
      </c>
      <c r="BX80" s="370" t="n">
        <v>0.257069016574414</v>
      </c>
      <c r="BY80" s="370" t="n">
        <v>0.257069016574414</v>
      </c>
      <c r="BZ80" s="370" t="n">
        <v>1</v>
      </c>
      <c r="CA80" s="370" t="n">
        <v>0.0532833156855848</v>
      </c>
      <c r="CB80" s="370" t="n">
        <v>0.772040478692847</v>
      </c>
      <c r="CC80" s="505" t="n">
        <v>0.006</v>
      </c>
      <c r="CD80" s="505" t="n">
        <v>0.0075</v>
      </c>
      <c r="CE80" s="505" t="n">
        <v>0.45</v>
      </c>
      <c r="CF80" s="505" t="n">
        <v>0</v>
      </c>
      <c r="CG80" s="505" t="n">
        <v>0.0364</v>
      </c>
      <c r="CH80" s="505" t="n">
        <v>8.53953973482158</v>
      </c>
      <c r="CI80" s="505" t="n">
        <v>3.644</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-T81/(1-AR81)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3.88797953964194</v>
      </c>
      <c r="BW81" s="369" t="n">
        <v>4.187</v>
      </c>
      <c r="BX81" s="370" t="n">
        <v>0.263085311093791</v>
      </c>
      <c r="BY81" s="370" t="n">
        <v>0.263085311093791</v>
      </c>
      <c r="BZ81" s="370" t="n">
        <v>1</v>
      </c>
      <c r="CA81" s="370" t="n">
        <v>0.0535951035642985</v>
      </c>
      <c r="CB81" s="370" t="n">
        <v>0.767546312167612</v>
      </c>
      <c r="CC81" s="505" t="n">
        <v>0.006</v>
      </c>
      <c r="CD81" s="505" t="n">
        <v>0.0075</v>
      </c>
      <c r="CE81" s="505" t="n">
        <v>0.4</v>
      </c>
      <c r="CF81" s="505" t="n">
        <v>0</v>
      </c>
      <c r="CG81" s="505" t="n">
        <v>0.0364</v>
      </c>
      <c r="CH81" s="505" t="n">
        <v>8.77282408418216</v>
      </c>
      <c r="CI81" s="505" t="n">
        <v>3.787</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-T82/(1-AR82)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3.94168797953964</v>
      </c>
      <c r="BW82" s="369" t="n">
        <v>4.1895</v>
      </c>
      <c r="BX82" s="370" t="n">
        <v>0.262833061218283</v>
      </c>
      <c r="BY82" s="370" t="n">
        <v>0.262833061218283</v>
      </c>
      <c r="BZ82" s="370" t="n">
        <v>1</v>
      </c>
      <c r="CA82" s="370" t="n">
        <v>0.0538548873933569</v>
      </c>
      <c r="CB82" s="370" t="n">
        <v>0.76312585991901</v>
      </c>
      <c r="CC82" s="505" t="n">
        <v>0.006</v>
      </c>
      <c r="CD82" s="505" t="n">
        <v>0.0075</v>
      </c>
      <c r="CE82" s="505" t="n">
        <v>0.35</v>
      </c>
      <c r="CF82" s="505" t="n">
        <v>0</v>
      </c>
      <c r="CG82" s="505" t="n">
        <v>0.0364</v>
      </c>
      <c r="CH82" s="505" t="n">
        <v>8.72229964111631</v>
      </c>
      <c r="CI82" s="505" t="n">
        <v>3.8395</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-T83/(1-AR83)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3.85473145780051</v>
      </c>
      <c r="BW83" s="369" t="n">
        <v>4.1045</v>
      </c>
      <c r="BX83" s="370" t="n">
        <v>0.256479524122951</v>
      </c>
      <c r="BY83" s="370" t="n">
        <v>0.256479524122951</v>
      </c>
      <c r="BZ83" s="370" t="n">
        <v>1</v>
      </c>
      <c r="CA83" s="370" t="n">
        <v>0.0540389034386073</v>
      </c>
      <c r="CB83" s="370" t="n">
        <v>0.758987938070646</v>
      </c>
      <c r="CC83" s="505" t="n">
        <v>0.006</v>
      </c>
      <c r="CD83" s="505" t="n">
        <v>0.0075</v>
      </c>
      <c r="CE83" s="505" t="n">
        <v>0.35</v>
      </c>
      <c r="CF83" s="505" t="n">
        <v>0</v>
      </c>
      <c r="CG83" s="505" t="n">
        <v>0.0364</v>
      </c>
      <c r="CH83" s="505" t="n">
        <v>7.83548787746612</v>
      </c>
      <c r="CI83" s="505" t="n">
        <v>3.7545</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-T84/(1-AR84)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3.72685421994885</v>
      </c>
      <c r="BW84" s="369" t="n">
        <v>4.0245</v>
      </c>
      <c r="BX84" s="370" t="n">
        <v>0.248352979651855</v>
      </c>
      <c r="BY84" s="370" t="n">
        <v>0.248352979651855</v>
      </c>
      <c r="BZ84" s="370" t="n">
        <v>1</v>
      </c>
      <c r="CA84" s="370" t="n">
        <v>0.054205111489178</v>
      </c>
      <c r="CB84" s="370" t="n">
        <v>0.755250058821463</v>
      </c>
      <c r="CC84" s="505" t="n">
        <v>0.011</v>
      </c>
      <c r="CD84" s="505" t="n">
        <v>0.0075</v>
      </c>
      <c r="CE84" s="505" t="n">
        <v>0.4</v>
      </c>
      <c r="CF84" s="505" t="n">
        <v>0</v>
      </c>
      <c r="CG84" s="505" t="n">
        <v>0.0364</v>
      </c>
      <c r="CH84" s="505" t="n">
        <v>8.63228159731167</v>
      </c>
      <c r="CI84" s="505" t="n">
        <v>3.6245</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-T85/(1-AR85)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3.54015345268542</v>
      </c>
      <c r="BW85" s="369" t="n">
        <v>4.0395</v>
      </c>
      <c r="BX85" s="370" t="n">
        <v>0.241636289616694</v>
      </c>
      <c r="BY85" s="370" t="n">
        <v>0.241636289616694</v>
      </c>
      <c r="BZ85" s="370" t="n">
        <v>1</v>
      </c>
      <c r="CA85" s="370" t="n">
        <v>0.0543891275559032</v>
      </c>
      <c r="CB85" s="370" t="n">
        <v>0.751111483785009</v>
      </c>
      <c r="CC85" s="505" t="n">
        <v>0.011</v>
      </c>
      <c r="CD85" s="505" t="n">
        <v>0.01</v>
      </c>
      <c r="CE85" s="505" t="n">
        <v>0.6</v>
      </c>
      <c r="CF85" s="505" t="n">
        <v>0</v>
      </c>
      <c r="CG85" s="505" t="n">
        <v>0.0364</v>
      </c>
      <c r="CH85" s="505" t="n">
        <v>8.30804412214598</v>
      </c>
      <c r="CI85" s="505" t="n">
        <v>3.4395</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-T86/(1-AR86)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3.53759590792839</v>
      </c>
      <c r="BW86" s="369" t="n">
        <v>4.1845</v>
      </c>
      <c r="BX86" s="370" t="n">
        <v>0.242352232707182</v>
      </c>
      <c r="BY86" s="370" t="n">
        <v>0.242352232707182</v>
      </c>
      <c r="BZ86" s="370" t="n">
        <v>1</v>
      </c>
      <c r="CA86" s="370" t="n">
        <v>0.054567207631218</v>
      </c>
      <c r="CB86" s="370" t="n">
        <v>0.747106434315284</v>
      </c>
      <c r="CC86" s="505" t="n">
        <v>0.0135</v>
      </c>
      <c r="CD86" s="505" t="n">
        <v>0.01</v>
      </c>
      <c r="CE86" s="505" t="n">
        <v>0.75</v>
      </c>
      <c r="CF86" s="505" t="n">
        <v>0</v>
      </c>
      <c r="CG86" s="505" t="n">
        <v>0.0364</v>
      </c>
      <c r="CH86" s="505" t="n">
        <v>8.5392024122934</v>
      </c>
      <c r="CI86" s="505" t="n">
        <v>3.4345</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-T87/(1-AR87)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3.57340153452685</v>
      </c>
      <c r="BW87" s="369" t="n">
        <v>4.3195</v>
      </c>
      <c r="BX87" s="370" t="n">
        <v>0.242242323477096</v>
      </c>
      <c r="BY87" s="370" t="n">
        <v>0.242242323477096</v>
      </c>
      <c r="BZ87" s="370" t="n">
        <v>1</v>
      </c>
      <c r="CA87" s="370" t="n">
        <v>0.0547512237201424</v>
      </c>
      <c r="CB87" s="370" t="n">
        <v>0.742968153544342</v>
      </c>
      <c r="CC87" s="505" t="n">
        <v>0.0135</v>
      </c>
      <c r="CD87" s="505" t="n">
        <v>0.01</v>
      </c>
      <c r="CE87" s="505" t="n">
        <v>0.85</v>
      </c>
      <c r="CF87" s="505" t="n">
        <v>0</v>
      </c>
      <c r="CG87" s="505" t="n">
        <v>0.0364</v>
      </c>
      <c r="CH87" s="505" t="n">
        <v>8.21797074635396</v>
      </c>
      <c r="CI87" s="505" t="n">
        <v>3.4695</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-T88/(1-AR88)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3.61432225063939</v>
      </c>
      <c r="BW88" s="369" t="n">
        <v>4.5595</v>
      </c>
      <c r="BX88" s="370" t="n">
        <v>0.243025728130177</v>
      </c>
      <c r="BY88" s="370" t="n">
        <v>0.243025728130177</v>
      </c>
      <c r="BZ88" s="370" t="n">
        <v>1</v>
      </c>
      <c r="CA88" s="370" t="n">
        <v>0.0549293038169378</v>
      </c>
      <c r="CB88" s="370" t="n">
        <v>0.738963861865164</v>
      </c>
      <c r="CC88" s="505" t="n">
        <v>0.0135</v>
      </c>
      <c r="CD88" s="505" t="n">
        <v>0.01</v>
      </c>
      <c r="CE88" s="505" t="n">
        <v>1.05</v>
      </c>
      <c r="CF88" s="505" t="n">
        <v>0</v>
      </c>
      <c r="CG88" s="505" t="n">
        <v>0.0364</v>
      </c>
      <c r="CH88" s="505" t="n">
        <v>8.44613525196026</v>
      </c>
      <c r="CI88" s="505" t="n">
        <v>3.5095</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-T89/(1-AR89)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3.65012787723785</v>
      </c>
      <c r="BW89" s="369" t="n">
        <v>4.5995</v>
      </c>
      <c r="BX89" s="370" t="n">
        <v>0.243787744560262</v>
      </c>
      <c r="BY89" s="370" t="n">
        <v>0.243787744560262</v>
      </c>
      <c r="BZ89" s="370" t="n">
        <v>1</v>
      </c>
      <c r="CA89" s="370" t="n">
        <v>0.0551133199280565</v>
      </c>
      <c r="CB89" s="370" t="n">
        <v>0.734826850083913</v>
      </c>
      <c r="CC89" s="505" t="n">
        <v>0.0085</v>
      </c>
      <c r="CD89" s="505" t="n">
        <v>0.01</v>
      </c>
      <c r="CE89" s="505" t="n">
        <v>1.05</v>
      </c>
      <c r="CF89" s="505" t="n">
        <v>0</v>
      </c>
      <c r="CG89" s="505" t="n">
        <v>0.0364</v>
      </c>
      <c r="CH89" s="505" t="n">
        <v>8.3988504484041</v>
      </c>
      <c r="CI89" s="505" t="n">
        <v>3.5495</v>
      </c>
      <c r="CJ89" s="505"/>
      <c r="CK89" s="505"/>
      <c r="CL89" s="505"/>
      <c r="CM89" s="505"/>
    </row>
    <row r="90" customFormat="false" ht="12.75" hidden="false" customHeight="false" outlineLevel="0" collapsed="false">
      <c r="A90" s="500"/>
      <c r="B90" s="500"/>
      <c r="D90" s="361" t="e">
        <f aca="false">D89+AH89</f>
        <v>#VALUE!</v>
      </c>
      <c r="F90" s="362" t="e">
        <f aca="false">VLOOKUP(AG90,$AL$4:$AS$15,2)</f>
        <v>#VALUE!</v>
      </c>
      <c r="G90" s="362" t="e">
        <f aca="false">F90*$AU90</f>
        <v>#VALUE!</v>
      </c>
      <c r="H90" s="363" t="e">
        <f aca="false">(AL90+AM90+AN90)/(1-(AR90))</f>
        <v>#VALUE!</v>
      </c>
      <c r="I90" s="363" t="e">
        <f aca="false">(AL90+AO90+AP90)</f>
        <v>#VALUE!</v>
      </c>
      <c r="K90" s="363" t="e">
        <f aca="false">MAX(((I90-H90)-AQ90)*AU90*AH90,0)</f>
        <v>#VALUE!</v>
      </c>
      <c r="L90" s="501" t="e">
        <f aca="false">MAX(Q90-K90,0)</f>
        <v>#VALUE!</v>
      </c>
      <c r="N90" s="502" t="e">
        <f aca="false">SQRT(($AX90^2*($AH90/2)+$AW90^2*$AI90)/(($AH90/2)+$AI90))</f>
        <v>#VALUE!</v>
      </c>
      <c r="O90" s="502" t="e">
        <f aca="false">SQRT(($AY90^2*($AH90/2)+$AW90^2*$AI90)/(($AH90/2)+$AI90))</f>
        <v>#VALUE!</v>
      </c>
      <c r="P90" s="371" t="e">
        <f aca="false">(VLOOKUP(AI90,CorrelationTwo,2)*(AW90^2)*AI90+VLOOKUP(D90,CorrelationOne,$AK$9)*AX90*AY90*(AH90/2))/((AI90+(AH90/2))*O90*N90)*AF90</f>
        <v>#VALUE!</v>
      </c>
      <c r="Q90" s="501" t="e">
        <f aca="false">xSPRDOPT(I90,H90,AQ90,0,O90,N90,P90,D90-$G$5,1,0)*AH90*AU90</f>
        <v>#VALUE!</v>
      </c>
      <c r="R90" s="501"/>
      <c r="S90" s="365" t="e">
        <f aca="false">-T90/(1-AR90)</f>
        <v>#VALUE!</v>
      </c>
      <c r="T90" s="365" t="e">
        <f aca="false">xSPRDOPT(I90,H90,AQ90,AT90,O90,N90,P90,D90-$G$5,1,1)*AF90*F90*AH90</f>
        <v>#VALUE!</v>
      </c>
      <c r="U90" s="501"/>
      <c r="V90" s="503" t="e">
        <f aca="false">VLOOKUP($AG90,$AL$4:$AS$15,8)*AH90*AU90</f>
        <v>#VALUE!</v>
      </c>
      <c r="W90" s="503"/>
      <c r="X90" s="504" t="e">
        <f aca="false">((BM90*BC90)+(BL90*BB90))*AH90*F90</f>
        <v>#VALUE!</v>
      </c>
      <c r="Y90" s="504" t="e">
        <f aca="false">($F90*$AH90)*((($BG90/2)*($BC90)^2)+(($BF90/2)*($BB90)^2)+($BH90*$BC90*$BB90))</f>
        <v>#VALUE!</v>
      </c>
      <c r="Z90" s="504" t="e">
        <f aca="false">($BI90*$F90*$AH90*($G$5-$BV$5))/365.25</f>
        <v>#VALUE!</v>
      </c>
      <c r="AA90" s="504" t="e">
        <f aca="false">(($BK90*$BE90)+($BJ90*$BD90))*$F90*$AH90*$AF90</f>
        <v>#VALUE!</v>
      </c>
      <c r="AB90" s="504" t="e">
        <f aca="false">BN90*(AT90-CA90)*F90*AH90</f>
        <v>#VALUE!</v>
      </c>
      <c r="AC90" s="504" t="e">
        <f aca="false">BO90*CB90*F90*AH90*CA90*($G$5-$BV$5)/365.25</f>
        <v>#NAME?</v>
      </c>
      <c r="AF90" s="378" t="e">
        <f aca="false">IF(AND(D90&gt;=$G$7,D90&lt;=$G$8),1,0)</f>
        <v>#VALUE!</v>
      </c>
      <c r="AG90" s="378" t="e">
        <f aca="false">MONTH(D90)</f>
        <v>#VALUE!</v>
      </c>
      <c r="AH90" s="378" t="e">
        <f aca="false">(EOMONTH(D90,0)-EOMONTH(D90-DAY(D90),0))*AF90</f>
        <v>#VALUE!</v>
      </c>
      <c r="AI90" s="378" t="e">
        <f aca="false">AI89+AH89</f>
        <v>#VALUE!</v>
      </c>
      <c r="AJ90" s="378" t="e">
        <f aca="false">D90-$BV$5</f>
        <v>#VALUE!</v>
      </c>
      <c r="AL90" s="369" t="e">
        <f aca="false">VLOOKUP($D90,CurveTbl,$AK$4)</f>
        <v>#VALUE!</v>
      </c>
      <c r="AM90" s="505" t="e">
        <f aca="false">VLOOKUP($D90,CurveTbl,$AH$3)</f>
        <v>#VALUE!</v>
      </c>
      <c r="AN90" s="505" t="e">
        <f aca="false">VLOOKUP($D90,CurveTbl,$AH$4)+VLOOKUP($AG90,$AL$3:$AS$15,6)</f>
        <v>#VALUE!</v>
      </c>
      <c r="AO90" s="505" t="e">
        <f aca="false">VLOOKUP($D90,CurveTbl,$AH$5)</f>
        <v>#VALUE!</v>
      </c>
      <c r="AP90" s="505" t="e">
        <f aca="false">VLOOKUP($D90,CurveTbl,$AH$6)+VLOOKUP($AG90,$AL$3:$AS$15,7)</f>
        <v>#VALUE!</v>
      </c>
      <c r="AQ90" s="369" t="e">
        <f aca="false">VLOOKUP($AG90,$AL$4:$AS$15,3)+VLOOKUP($AG90,$AL$4:$AS$15,5)+($AH$10*VLOOKUP(D90,GRITable,2))</f>
        <v>#VALUE!</v>
      </c>
      <c r="AR90" s="370" t="e">
        <f aca="false">VLOOKUP($AG90,$AL$4:$AS$15,4)</f>
        <v>#VALUE!</v>
      </c>
      <c r="AS90" s="369" t="e">
        <f aca="false">(AL90+AM90+AN90)</f>
        <v>#VALUE!</v>
      </c>
      <c r="AT90" s="370" t="e">
        <f aca="false">VLOOKUP(D90,CurveTbl,$AK$6)</f>
        <v>#VALUE!</v>
      </c>
      <c r="AU90" s="370" t="e">
        <f aca="false">(1+$AT90/2)^(-2*($D90-$G$5)/365.25)*$AF90</f>
        <v>#VALUE!</v>
      </c>
      <c r="AV90" s="506" t="e">
        <f aca="false">ROUND((F90/(1-AR90))-F90,0)*AF90*AH90*AU90</f>
        <v>#VALUE!</v>
      </c>
      <c r="AW90" s="370" t="e">
        <f aca="false">VLOOKUP($D90,CurveTbl,$AK$8)</f>
        <v>#VALUE!</v>
      </c>
      <c r="AX90" s="370" t="e">
        <f aca="false">VLOOKUP($D90,CurveTbl,$AH$7)</f>
        <v>#VALUE!</v>
      </c>
      <c r="AY90" s="370" t="e">
        <f aca="false">VLOOKUP($D90,CurveTbl,$AH$8)</f>
        <v>#VALUE!</v>
      </c>
      <c r="AZ90" s="370"/>
      <c r="BA90" s="507"/>
      <c r="BB90" s="505" t="e">
        <f aca="false">$H90-$BV90</f>
        <v>#VALUE!</v>
      </c>
      <c r="BC90" s="505" t="e">
        <f aca="false">I90-BW90</f>
        <v>#VALUE!</v>
      </c>
      <c r="BD90" s="370" t="e">
        <f aca="false">N90-BX90</f>
        <v>#VALUE!</v>
      </c>
      <c r="BE90" s="370" t="e">
        <f aca="false">O90-BY90</f>
        <v>#VALUE!</v>
      </c>
      <c r="BF90" s="370" t="e">
        <f aca="false">xSPRDOPT($BW90,$BV90,$CG90,0,$BY90,$BX90,$BZ90,$AJ90,1,4)*$CB90</f>
        <v>#NAME?</v>
      </c>
      <c r="BG90" s="370" t="e">
        <f aca="false">xSPRDOPT($BW90,$BV90,$CG90,0,$BY90,$BX90,$BZ90,$AJ90,1,3)*$CB90</f>
        <v>#NAME?</v>
      </c>
      <c r="BH90" s="370" t="e">
        <f aca="false">IF(OR(BF90&lt;&gt;0,BG90&lt;&gt;0),xSPRDOPT($BW90,$BV90,$CG90,0,$BY90,$BX90,$BZ90,$AJ90,1,12)*$CB90,0)</f>
        <v>#NAME?</v>
      </c>
      <c r="BI90" s="370" t="e">
        <f aca="false">xSPRDOPT($BW90,$BV90,$CG90,2*LN(1+CA90/2),$BY90,$BX90,$BZ90,$AJ90,1,9)</f>
        <v>#NAME?</v>
      </c>
      <c r="BJ90" s="370" t="e">
        <f aca="false">xSPRDOPT($BW90,$BV90,$CG90,0,$BY90,$BX90,$BZ90,$AJ90,1,6)*$CB90</f>
        <v>#NAME?</v>
      </c>
      <c r="BK90" s="370" t="e">
        <f aca="false">xSPRDOPT($BW90,$BV90,$CG90,0,$BY90,$BX90,$BZ90,$AJ90,1,5)*$CB90</f>
        <v>#NAME?</v>
      </c>
      <c r="BL90" s="370" t="e">
        <f aca="false">xSPRDOPT(BW90,BV90,CG90,0,BY90,BX90,BZ90,AJ90,1,2)*CB90</f>
        <v>#NAME?</v>
      </c>
      <c r="BM90" s="370" t="e">
        <f aca="false">xSPRDOPT(BW90,BV90,CG90,0,BY90,BX90,BZ90,AJ90,1,1)*CB90</f>
        <v>#NAME?</v>
      </c>
      <c r="BN90" s="370" t="e">
        <f aca="false">IF(AH90&lt;&gt;0,xSPRDOPT($BW90,$BV90,$CG90,2*LN(1+CA90/2),$BY90,$BX90,$BZ90,$AJ90,1,8)+(AJ90/365.25)*CH90/AH90,0)</f>
        <v>#VALUE!</v>
      </c>
      <c r="BO90" s="370" t="e">
        <f aca="false">xSPRDOPT($BW90,$BV90,$CG90,0,$BY90,$BX90,$BZ90,$AJ90,1,0)</f>
        <v>#NAME?</v>
      </c>
      <c r="BP90" s="370"/>
      <c r="BQ90" s="370"/>
      <c r="BR90" s="370"/>
      <c r="BS90" s="370"/>
      <c r="BV90" s="508" t="n">
        <v>3.64501278772379</v>
      </c>
      <c r="BW90" s="369" t="n">
        <v>4.2945</v>
      </c>
      <c r="BX90" s="370" t="n">
        <v>0.243613672262119</v>
      </c>
      <c r="BY90" s="370" t="n">
        <v>0.243613672262119</v>
      </c>
      <c r="BZ90" s="370" t="n">
        <v>1</v>
      </c>
      <c r="CA90" s="370" t="n">
        <v>0.0552973360504536</v>
      </c>
      <c r="CB90" s="370" t="n">
        <v>0.730690853076224</v>
      </c>
      <c r="CC90" s="505" t="n">
        <v>0.0085</v>
      </c>
      <c r="CD90" s="505" t="n">
        <v>0.01</v>
      </c>
      <c r="CE90" s="505" t="n">
        <v>0.75</v>
      </c>
      <c r="CF90" s="505" t="n">
        <v>0</v>
      </c>
      <c r="CG90" s="505" t="n">
        <v>0.0364</v>
      </c>
      <c r="CH90" s="505" t="n">
        <v>8.08217152587611</v>
      </c>
      <c r="CI90" s="505" t="n">
        <v>3.5445</v>
      </c>
      <c r="CJ90" s="505"/>
      <c r="CK90" s="505"/>
      <c r="CL90" s="505"/>
      <c r="CM90" s="505"/>
    </row>
    <row r="91" customFormat="false" ht="12.75" hidden="false" customHeight="false" outlineLevel="0" collapsed="false">
      <c r="A91" s="500"/>
      <c r="B91" s="500"/>
      <c r="D91" s="361" t="e">
        <f aca="false">D90+AH90</f>
        <v>#VALUE!</v>
      </c>
      <c r="F91" s="362" t="e">
        <f aca="false">VLOOKUP(AG91,$AL$4:$AS$15,2)</f>
        <v>#VALUE!</v>
      </c>
      <c r="G91" s="362" t="e">
        <f aca="false">F91*$AU91</f>
        <v>#VALUE!</v>
      </c>
      <c r="H91" s="363" t="e">
        <f aca="false">(AL91+AM91+AN91)/(1-(AR91))</f>
        <v>#VALUE!</v>
      </c>
      <c r="I91" s="363" t="e">
        <f aca="false">(AL91+AO91+AP91)</f>
        <v>#VALUE!</v>
      </c>
      <c r="K91" s="363" t="e">
        <f aca="false">MAX(((I91-H91)-AQ91)*AU91*AH91,0)</f>
        <v>#VALUE!</v>
      </c>
      <c r="L91" s="501" t="e">
        <f aca="false">MAX(Q91-K91,0)</f>
        <v>#VALUE!</v>
      </c>
      <c r="N91" s="502" t="e">
        <f aca="false">SQRT(($AX91^2*($AH91/2)+$AW91^2*$AI91)/(($AH91/2)+$AI91))</f>
        <v>#VALUE!</v>
      </c>
      <c r="O91" s="502" t="e">
        <f aca="false">SQRT(($AY91^2*($AH91/2)+$AW91^2*$AI91)/(($AH91/2)+$AI91))</f>
        <v>#VALUE!</v>
      </c>
      <c r="P91" s="371" t="e">
        <f aca="false">(VLOOKUP(AI91,CorrelationTwo,2)*(AW91^2)*AI91+VLOOKUP(D91,CorrelationOne,$AK$9)*AX91*AY91*(AH91/2))/((AI91+(AH91/2))*O91*N91)*AF91</f>
        <v>#VALUE!</v>
      </c>
      <c r="Q91" s="501" t="e">
        <f aca="false">xSPRDOPT(I91,H91,AQ91,0,O91,N91,P91,D91-$G$5,1,0)*AH91*AU91</f>
        <v>#VALUE!</v>
      </c>
      <c r="R91" s="501"/>
      <c r="S91" s="365" t="e">
        <f aca="false">-T91/(1-AR91)</f>
        <v>#VALUE!</v>
      </c>
      <c r="T91" s="365" t="e">
        <f aca="false">xSPRDOPT(I91,H91,AQ91,AT91,O91,N91,P91,D91-$G$5,1,1)*AF91*F91*AH91</f>
        <v>#VALUE!</v>
      </c>
      <c r="U91" s="501"/>
      <c r="V91" s="503" t="e">
        <f aca="false">VLOOKUP($AG91,$AL$4:$AS$15,8)*AH91*AU91</f>
        <v>#VALUE!</v>
      </c>
      <c r="W91" s="503"/>
      <c r="X91" s="504" t="e">
        <f aca="false">((BM91*BC91)+(BL91*BB91))*AH91*F91</f>
        <v>#VALUE!</v>
      </c>
      <c r="Y91" s="504" t="e">
        <f aca="false">($F91*$AH91)*((($BG91/2)*($BC91)^2)+(($BF91/2)*($BB91)^2)+($BH91*$BC91*$BB91))</f>
        <v>#VALUE!</v>
      </c>
      <c r="Z91" s="504" t="e">
        <f aca="false">($BI91*$F91*$AH91*($G$5-$BV$5))/365.25</f>
        <v>#VALUE!</v>
      </c>
      <c r="AA91" s="504" t="e">
        <f aca="false">(($BK91*$BE91)+($BJ91*$BD91))*$F91*$AH91*$AF91</f>
        <v>#VALUE!</v>
      </c>
      <c r="AB91" s="504" t="e">
        <f aca="false">BN91*(AT91-CA91)*F91*AH91</f>
        <v>#VALUE!</v>
      </c>
      <c r="AC91" s="504" t="e">
        <f aca="false">BO91*CB91*F91*AH91*CA91*($G$5-$BV$5)/365.25</f>
        <v>#NAME?</v>
      </c>
      <c r="AF91" s="378" t="e">
        <f aca="false">IF(AND(D91&gt;=$G$7,D91&lt;=$G$8),1,0)</f>
        <v>#VALUE!</v>
      </c>
      <c r="AG91" s="378" t="e">
        <f aca="false">MONTH(D91)</f>
        <v>#VALUE!</v>
      </c>
      <c r="AH91" s="378" t="e">
        <f aca="false">(EOMONTH(D91,0)-EOMONTH(D91-DAY(D91),0))*AF91</f>
        <v>#VALUE!</v>
      </c>
      <c r="AI91" s="378" t="e">
        <f aca="false">AI90+AH90</f>
        <v>#VALUE!</v>
      </c>
      <c r="AJ91" s="378" t="e">
        <f aca="false">D91-$BV$5</f>
        <v>#VALUE!</v>
      </c>
      <c r="AL91" s="369" t="e">
        <f aca="false">VLOOKUP($D91,CurveTbl,$AK$4)</f>
        <v>#VALUE!</v>
      </c>
      <c r="AM91" s="505" t="e">
        <f aca="false">VLOOKUP($D91,CurveTbl,$AH$3)</f>
        <v>#VALUE!</v>
      </c>
      <c r="AN91" s="505" t="e">
        <f aca="false">VLOOKUP($D91,CurveTbl,$AH$4)+VLOOKUP($AG91,$AL$3:$AS$15,6)</f>
        <v>#VALUE!</v>
      </c>
      <c r="AO91" s="505" t="e">
        <f aca="false">VLOOKUP($D91,CurveTbl,$AH$5)</f>
        <v>#VALUE!</v>
      </c>
      <c r="AP91" s="505" t="e">
        <f aca="false">VLOOKUP($D91,CurveTbl,$AH$6)+VLOOKUP($AG91,$AL$3:$AS$15,7)</f>
        <v>#VALUE!</v>
      </c>
      <c r="AQ91" s="369" t="e">
        <f aca="false">VLOOKUP($AG91,$AL$4:$AS$15,3)+VLOOKUP($AG91,$AL$4:$AS$15,5)+($AH$10*VLOOKUP(D91,GRITable,2))</f>
        <v>#VALUE!</v>
      </c>
      <c r="AR91" s="370" t="e">
        <f aca="false">VLOOKUP($AG91,$AL$4:$AS$15,4)</f>
        <v>#VALUE!</v>
      </c>
      <c r="AS91" s="369" t="e">
        <f aca="false">(AL91+AM91+AN91)</f>
        <v>#VALUE!</v>
      </c>
      <c r="AT91" s="370" t="e">
        <f aca="false">VLOOKUP(D91,CurveTbl,$AK$6)</f>
        <v>#VALUE!</v>
      </c>
      <c r="AU91" s="370" t="e">
        <f aca="false">(1+$AT91/2)^(-2*($D91-$G$5)/365.25)*$AF91</f>
        <v>#VALUE!</v>
      </c>
      <c r="AV91" s="506" t="e">
        <f aca="false">ROUND((F91/(1-AR91))-F91,0)*AF91*AH91*AU91</f>
        <v>#VALUE!</v>
      </c>
      <c r="AW91" s="370" t="e">
        <f aca="false">VLOOKUP($D91,CurveTbl,$AK$8)</f>
        <v>#VALUE!</v>
      </c>
      <c r="AX91" s="370" t="e">
        <f aca="false">VLOOKUP($D91,CurveTbl,$AH$7)</f>
        <v>#VALUE!</v>
      </c>
      <c r="AY91" s="370" t="e">
        <f aca="false">VLOOKUP($D91,CurveTbl,$AH$8)</f>
        <v>#VALUE!</v>
      </c>
      <c r="AZ91" s="370"/>
      <c r="BA91" s="507"/>
      <c r="BB91" s="505" t="e">
        <f aca="false">$H91-$BV91</f>
        <v>#VALUE!</v>
      </c>
      <c r="BC91" s="505" t="e">
        <f aca="false">I91-BW91</f>
        <v>#VALUE!</v>
      </c>
      <c r="BD91" s="370" t="e">
        <f aca="false">N91-BX91</f>
        <v>#VALUE!</v>
      </c>
      <c r="BE91" s="370" t="e">
        <f aca="false">O91-BY91</f>
        <v>#VALUE!</v>
      </c>
      <c r="BF91" s="370" t="e">
        <f aca="false">xSPRDOPT($BW91,$BV91,$CG91,0,$BY91,$BX91,$BZ91,$AJ91,1,4)*$CB91</f>
        <v>#NAME?</v>
      </c>
      <c r="BG91" s="370" t="e">
        <f aca="false">xSPRDOPT($BW91,$BV91,$CG91,0,$BY91,$BX91,$BZ91,$AJ91,1,3)*$CB91</f>
        <v>#NAME?</v>
      </c>
      <c r="BH91" s="370" t="e">
        <f aca="false">IF(OR(BF91&lt;&gt;0,BG91&lt;&gt;0),xSPRDOPT($BW91,$BV91,$CG91,0,$BY91,$BX91,$BZ91,$AJ91,1,12)*$CB91,0)</f>
        <v>#NAME?</v>
      </c>
      <c r="BI91" s="370" t="e">
        <f aca="false">xSPRDOPT($BW91,$BV91,$CG91,2*LN(1+CA91/2),$BY91,$BX91,$BZ91,$AJ91,1,9)</f>
        <v>#NAME?</v>
      </c>
      <c r="BJ91" s="370" t="e">
        <f aca="false">xSPRDOPT($BW91,$BV91,$CG91,0,$BY91,$BX91,$BZ91,$AJ91,1,6)*$CB91</f>
        <v>#NAME?</v>
      </c>
      <c r="BK91" s="370" t="e">
        <f aca="false">xSPRDOPT($BW91,$BV91,$CG91,0,$BY91,$BX91,$BZ91,$AJ91,1,5)*$CB91</f>
        <v>#NAME?</v>
      </c>
      <c r="BL91" s="370" t="e">
        <f aca="false">xSPRDOPT(BW91,BV91,CG91,0,BY91,BX91,BZ91,AJ91,1,2)*CB91</f>
        <v>#NAME?</v>
      </c>
      <c r="BM91" s="370" t="e">
        <f aca="false">xSPRDOPT(BW91,BV91,CG91,0,BY91,BX91,BZ91,AJ91,1,1)*CB91</f>
        <v>#NAME?</v>
      </c>
      <c r="BN91" s="370" t="e">
        <f aca="false">IF(AH91&lt;&gt;0,xSPRDOPT($BW91,$BV91,$CG91,2*LN(1+CA91/2),$BY91,$BX91,$BZ91,$AJ91,1,8)+(AJ91/365.25)*CH91/AH91,0)</f>
        <v>#VALUE!</v>
      </c>
      <c r="BO91" s="370" t="e">
        <f aca="false">xSPRDOPT($BW91,$BV91,$CG91,0,$BY91,$BX91,$BZ91,$AJ91,1,0)</f>
        <v>#NAME?</v>
      </c>
      <c r="BP91" s="370"/>
      <c r="BQ91" s="370"/>
      <c r="BR91" s="370"/>
      <c r="BS91" s="370"/>
      <c r="BV91" s="508" t="n">
        <v>3.6774358974359</v>
      </c>
      <c r="BW91" s="369" t="n">
        <v>4.0195</v>
      </c>
      <c r="BX91" s="370" t="n">
        <v>0.244536262315712</v>
      </c>
      <c r="BY91" s="370" t="n">
        <v>0.244536262315712</v>
      </c>
      <c r="BZ91" s="370" t="n">
        <v>1</v>
      </c>
      <c r="CA91" s="370" t="n">
        <v>0.0554754161796391</v>
      </c>
      <c r="CB91" s="370" t="n">
        <v>0.726689474408526</v>
      </c>
      <c r="CC91" s="505" t="n">
        <v>0.006</v>
      </c>
      <c r="CD91" s="505" t="n">
        <v>0.01</v>
      </c>
      <c r="CE91" s="505" t="n">
        <v>0.45</v>
      </c>
      <c r="CF91" s="505" t="n">
        <v>0</v>
      </c>
      <c r="CG91" s="505" t="n">
        <v>0.0364</v>
      </c>
      <c r="CH91" s="505" t="n">
        <v>8.30584268564713</v>
      </c>
      <c r="CI91" s="505" t="n">
        <v>3.5695</v>
      </c>
      <c r="CJ91" s="505"/>
      <c r="CK91" s="505"/>
      <c r="CL91" s="505"/>
      <c r="CM91" s="505"/>
    </row>
    <row r="92" customFormat="false" ht="12.75" hidden="false" customHeight="false" outlineLevel="0" collapsed="false">
      <c r="A92" s="500"/>
      <c r="B92" s="500"/>
      <c r="D92" s="361" t="e">
        <f aca="false">D91+AH91</f>
        <v>#VALUE!</v>
      </c>
      <c r="F92" s="362" t="e">
        <f aca="false">VLOOKUP(AG92,$AL$4:$AS$15,2)</f>
        <v>#VALUE!</v>
      </c>
      <c r="G92" s="362" t="e">
        <f aca="false">F92*$AU92</f>
        <v>#VALUE!</v>
      </c>
      <c r="H92" s="363" t="e">
        <f aca="false">(AL92+AM92+AN92)/(1-(AR92))</f>
        <v>#VALUE!</v>
      </c>
      <c r="I92" s="363" t="e">
        <f aca="false">(AL92+AO92+AP92)</f>
        <v>#VALUE!</v>
      </c>
      <c r="K92" s="363" t="e">
        <f aca="false">MAX(((I92-H92)-AQ92)*AU92*AH92,0)</f>
        <v>#VALUE!</v>
      </c>
      <c r="L92" s="501" t="e">
        <f aca="false">MAX(Q92-K92,0)</f>
        <v>#VALUE!</v>
      </c>
      <c r="N92" s="502" t="e">
        <f aca="false">SQRT(($AX92^2*($AH92/2)+$AW92^2*$AI92)/(($AH92/2)+$AI92))</f>
        <v>#VALUE!</v>
      </c>
      <c r="O92" s="502" t="e">
        <f aca="false">SQRT(($AY92^2*($AH92/2)+$AW92^2*$AI92)/(($AH92/2)+$AI92))</f>
        <v>#VALUE!</v>
      </c>
      <c r="P92" s="371" t="e">
        <f aca="false">(VLOOKUP(AI92,CorrelationTwo,2)*(AW92^2)*AI92+VLOOKUP(D92,CorrelationOne,$AK$9)*AX92*AY92*(AH92/2))/((AI92+(AH92/2))*O92*N92)*AF92</f>
        <v>#VALUE!</v>
      </c>
      <c r="Q92" s="501" t="e">
        <f aca="false">xSPRDOPT(I92,H92,AQ92,0,O92,N92,P92,D92-$G$5,1,0)*AH92*AU92</f>
        <v>#VALUE!</v>
      </c>
      <c r="R92" s="501"/>
      <c r="S92" s="365" t="e">
        <f aca="false">-T92/(1-AR92)</f>
        <v>#VALUE!</v>
      </c>
      <c r="T92" s="365" t="e">
        <f aca="false">xSPRDOPT(I92,H92,AQ92,AT92,O92,N92,P92,D92-$G$5,1,1)*AF92*F92*AH92</f>
        <v>#VALUE!</v>
      </c>
      <c r="U92" s="501"/>
      <c r="V92" s="503" t="e">
        <f aca="false">VLOOKUP($AG92,$AL$4:$AS$15,8)*AH92*AU92</f>
        <v>#VALUE!</v>
      </c>
      <c r="W92" s="503"/>
      <c r="X92" s="504" t="e">
        <f aca="false">((BM92*BC92)+(BL92*BB92))*AH92*F92</f>
        <v>#VALUE!</v>
      </c>
      <c r="Y92" s="504" t="e">
        <f aca="false">($F92*$AH92)*((($BG92/2)*($BC92)^2)+(($BF92/2)*($BB92)^2)+($BH92*$BC92*$BB92))</f>
        <v>#VALUE!</v>
      </c>
      <c r="Z92" s="504" t="e">
        <f aca="false">($BI92*$F92*$AH92*($G$5-$BV$5))/365.25</f>
        <v>#VALUE!</v>
      </c>
      <c r="AA92" s="504" t="e">
        <f aca="false">(($BK92*$BE92)+($BJ92*$BD92))*$F92*$AH92*$AF92</f>
        <v>#VALUE!</v>
      </c>
      <c r="AB92" s="504" t="e">
        <f aca="false">BN92*(AT92-CA92)*F92*AH92</f>
        <v>#VALUE!</v>
      </c>
      <c r="AC92" s="504" t="e">
        <f aca="false">BO92*CB92*F92*AH92*CA92*($G$5-$BV$5)/365.25</f>
        <v>#NAME?</v>
      </c>
      <c r="AF92" s="378" t="e">
        <f aca="false">IF(AND(D92&gt;=$G$7,D92&lt;=$G$8),1,0)</f>
        <v>#VALUE!</v>
      </c>
      <c r="AG92" s="378" t="e">
        <f aca="false">MONTH(D92)</f>
        <v>#VALUE!</v>
      </c>
      <c r="AH92" s="378" t="e">
        <f aca="false">(EOMONTH(D92,0)-EOMONTH(D92-DAY(D92),0))*AF92</f>
        <v>#VALUE!</v>
      </c>
      <c r="AI92" s="378" t="e">
        <f aca="false">AI91+AH91</f>
        <v>#VALUE!</v>
      </c>
      <c r="AJ92" s="378" t="e">
        <f aca="false">D92-$BV$5</f>
        <v>#VALUE!</v>
      </c>
      <c r="AL92" s="369" t="e">
        <f aca="false">VLOOKUP($D92,CurveTbl,$AK$4)</f>
        <v>#VALUE!</v>
      </c>
      <c r="AM92" s="505" t="e">
        <f aca="false">VLOOKUP($D92,CurveTbl,$AH$3)</f>
        <v>#VALUE!</v>
      </c>
      <c r="AN92" s="505" t="e">
        <f aca="false">VLOOKUP($D92,CurveTbl,$AH$4)+VLOOKUP($AG92,$AL$3:$AS$15,6)</f>
        <v>#VALUE!</v>
      </c>
      <c r="AO92" s="505" t="e">
        <f aca="false">VLOOKUP($D92,CurveTbl,$AH$5)</f>
        <v>#VALUE!</v>
      </c>
      <c r="AP92" s="505" t="e">
        <f aca="false">VLOOKUP($D92,CurveTbl,$AH$6)+VLOOKUP($AG92,$AL$3:$AS$15,7)</f>
        <v>#VALUE!</v>
      </c>
      <c r="AQ92" s="369" t="e">
        <f aca="false">VLOOKUP($AG92,$AL$4:$AS$15,3)+VLOOKUP($AG92,$AL$4:$AS$15,5)+($AH$10*VLOOKUP(D92,GRITable,2))</f>
        <v>#VALUE!</v>
      </c>
      <c r="AR92" s="370" t="e">
        <f aca="false">VLOOKUP($AG92,$AL$4:$AS$15,4)</f>
        <v>#VALUE!</v>
      </c>
      <c r="AS92" s="369" t="e">
        <f aca="false">(AL92+AM92+AN92)</f>
        <v>#VALUE!</v>
      </c>
      <c r="AT92" s="370" t="e">
        <f aca="false">VLOOKUP(D92,CurveTbl,$AK$6)</f>
        <v>#VALUE!</v>
      </c>
      <c r="AU92" s="370" t="e">
        <f aca="false">(1+$AT92/2)^(-2*($D92-$G$5)/365.25)*$AF92</f>
        <v>#VALUE!</v>
      </c>
      <c r="AV92" s="506" t="e">
        <f aca="false">ROUND((F92/(1-AR92))-F92,0)*AF92*AH92*AU92</f>
        <v>#VALUE!</v>
      </c>
      <c r="AW92" s="370" t="e">
        <f aca="false">VLOOKUP($D92,CurveTbl,$AK$8)</f>
        <v>#VALUE!</v>
      </c>
      <c r="AX92" s="370" t="e">
        <f aca="false">VLOOKUP($D92,CurveTbl,$AH$7)</f>
        <v>#VALUE!</v>
      </c>
      <c r="AY92" s="370" t="e">
        <f aca="false">VLOOKUP($D92,CurveTbl,$AH$8)</f>
        <v>#VALUE!</v>
      </c>
      <c r="AZ92" s="370"/>
      <c r="BA92" s="507"/>
      <c r="BB92" s="505" t="e">
        <f aca="false">$H92-$BV92</f>
        <v>#VALUE!</v>
      </c>
      <c r="BC92" s="505" t="e">
        <f aca="false">I92-BW92</f>
        <v>#VALUE!</v>
      </c>
      <c r="BD92" s="370" t="e">
        <f aca="false">N92-BX92</f>
        <v>#VALUE!</v>
      </c>
      <c r="BE92" s="370" t="e">
        <f aca="false">O92-BY92</f>
        <v>#VALUE!</v>
      </c>
      <c r="BF92" s="370" t="e">
        <f aca="false">xSPRDOPT($BW92,$BV92,$CG92,0,$BY92,$BX92,$BZ92,$AJ92,1,4)*$CB92</f>
        <v>#NAME?</v>
      </c>
      <c r="BG92" s="370" t="e">
        <f aca="false">xSPRDOPT($BW92,$BV92,$CG92,0,$BY92,$BX92,$BZ92,$AJ92,1,3)*$CB92</f>
        <v>#NAME?</v>
      </c>
      <c r="BH92" s="370" t="e">
        <f aca="false">IF(OR(BF92&lt;&gt;0,BG92&lt;&gt;0),xSPRDOPT($BW92,$BV92,$CG92,0,$BY92,$BX92,$BZ92,$AJ92,1,12)*$CB92,0)</f>
        <v>#NAME?</v>
      </c>
      <c r="BI92" s="370" t="e">
        <f aca="false">xSPRDOPT($BW92,$BV92,$CG92,2*LN(1+CA92/2),$BY92,$BX92,$BZ92,$AJ92,1,9)</f>
        <v>#NAME?</v>
      </c>
      <c r="BJ92" s="370" t="e">
        <f aca="false">xSPRDOPT($BW92,$BV92,$CG92,0,$BY92,$BX92,$BZ92,$AJ92,1,6)*$CB92</f>
        <v>#NAME?</v>
      </c>
      <c r="BK92" s="370" t="e">
        <f aca="false">xSPRDOPT($BW92,$BV92,$CG92,0,$BY92,$BX92,$BZ92,$AJ92,1,5)*$CB92</f>
        <v>#NAME?</v>
      </c>
      <c r="BL92" s="370" t="e">
        <f aca="false">xSPRDOPT(BW92,BV92,CG92,0,BY92,BX92,BZ92,AJ92,1,2)*CB92</f>
        <v>#NAME?</v>
      </c>
      <c r="BM92" s="370" t="e">
        <f aca="false">xSPRDOPT(BW92,BV92,CG92,0,BY92,BX92,BZ92,AJ92,1,1)*CB92</f>
        <v>#NAME?</v>
      </c>
      <c r="BN92" s="370" t="e">
        <f aca="false">IF(AH92&lt;&gt;0,xSPRDOPT($BW92,$BV92,$CG92,2*LN(1+CA92/2),$BY92,$BX92,$BZ92,$AJ92,1,8)+(AJ92/365.25)*CH92/AH92,0)</f>
        <v>#VALUE!</v>
      </c>
      <c r="BO92" s="370" t="e">
        <f aca="false">xSPRDOPT($BW92,$BV92,$CG92,0,$BY92,$BX92,$BZ92,$AJ92,1,0)</f>
        <v>#NAME?</v>
      </c>
      <c r="BP92" s="370"/>
      <c r="BQ92" s="370"/>
      <c r="BR92" s="370"/>
      <c r="BS92" s="370"/>
      <c r="BV92" s="508" t="n">
        <v>3.82199488491049</v>
      </c>
      <c r="BW92" s="369" t="n">
        <v>4.1715</v>
      </c>
      <c r="BX92" s="370" t="n">
        <v>0.248271695832321</v>
      </c>
      <c r="BY92" s="370" t="n">
        <v>0.248271695832321</v>
      </c>
      <c r="BZ92" s="370" t="n">
        <v>1</v>
      </c>
      <c r="CA92" s="370" t="n">
        <v>0.0556594323242252</v>
      </c>
      <c r="CB92" s="370" t="n">
        <v>0.722556194641321</v>
      </c>
      <c r="CC92" s="505" t="n">
        <v>0.007</v>
      </c>
      <c r="CD92" s="505" t="n">
        <v>0.0075</v>
      </c>
      <c r="CE92" s="505" t="n">
        <v>0.45</v>
      </c>
      <c r="CF92" s="505" t="n">
        <v>0</v>
      </c>
      <c r="CG92" s="505" t="n">
        <v>0.0364</v>
      </c>
      <c r="CH92" s="505" t="n">
        <v>7.99219406892765</v>
      </c>
      <c r="CI92" s="505" t="n">
        <v>3.7215</v>
      </c>
      <c r="CJ92" s="505"/>
      <c r="CK92" s="505"/>
      <c r="CL92" s="505"/>
      <c r="CM92" s="505"/>
    </row>
    <row r="93" customFormat="false" ht="12.75" hidden="false" customHeight="false" outlineLevel="0" collapsed="false">
      <c r="A93" s="500"/>
      <c r="B93" s="500"/>
      <c r="D93" s="361" t="e">
        <f aca="false">D92+AH92</f>
        <v>#VALUE!</v>
      </c>
      <c r="F93" s="362" t="e">
        <f aca="false">VLOOKUP(AG93,$AL$4:$AS$15,2)</f>
        <v>#VALUE!</v>
      </c>
      <c r="G93" s="362" t="e">
        <f aca="false">F93*$AU93</f>
        <v>#VALUE!</v>
      </c>
      <c r="H93" s="363" t="e">
        <f aca="false">(AL93+AM93+AN93)/(1-(AR93))</f>
        <v>#VALUE!</v>
      </c>
      <c r="I93" s="363" t="e">
        <f aca="false">(AL93+AO93+AP93)</f>
        <v>#VALUE!</v>
      </c>
      <c r="K93" s="363" t="e">
        <f aca="false">MAX(((I93-H93)-AQ93)*AU93*AH93,0)</f>
        <v>#VALUE!</v>
      </c>
      <c r="L93" s="501" t="e">
        <f aca="false">MAX(Q93-K93,0)</f>
        <v>#VALUE!</v>
      </c>
      <c r="N93" s="502" t="e">
        <f aca="false">SQRT(($AX93^2*($AH93/2)+$AW93^2*$AI93)/(($AH93/2)+$AI93))</f>
        <v>#VALUE!</v>
      </c>
      <c r="O93" s="502" t="e">
        <f aca="false">SQRT(($AY93^2*($AH93/2)+$AW93^2*$AI93)/(($AH93/2)+$AI93))</f>
        <v>#VALUE!</v>
      </c>
      <c r="P93" s="371" t="e">
        <f aca="false">(VLOOKUP(AI93,CorrelationTwo,2)*(AW93^2)*AI93+VLOOKUP(D93,CorrelationOne,$AK$9)*AX93*AY93*(AH93/2))/((AI93+(AH93/2))*O93*N93)*AF93</f>
        <v>#VALUE!</v>
      </c>
      <c r="Q93" s="501" t="e">
        <f aca="false">xSPRDOPT(I93,H93,AQ93,0,O93,N93,P93,D93-$G$5,1,0)*AH93*AU93</f>
        <v>#VALUE!</v>
      </c>
      <c r="R93" s="501"/>
      <c r="S93" s="365" t="e">
        <f aca="false">-T93/(1-AR93)</f>
        <v>#VALUE!</v>
      </c>
      <c r="T93" s="365" t="e">
        <f aca="false">xSPRDOPT(I93,H93,AQ93,AT93,O93,N93,P93,D93-$G$5,1,1)*AF93*F93*AH93</f>
        <v>#VALUE!</v>
      </c>
      <c r="U93" s="501"/>
      <c r="V93" s="503" t="e">
        <f aca="false">VLOOKUP($AG93,$AL$4:$AS$15,8)*AH93*AU93</f>
        <v>#VALUE!</v>
      </c>
      <c r="W93" s="503"/>
      <c r="X93" s="504" t="e">
        <f aca="false">((BM93*BC93)+(BL93*BB93))*AH93*F93</f>
        <v>#VALUE!</v>
      </c>
      <c r="Y93" s="504" t="e">
        <f aca="false">($F93*$AH93)*((($BG93/2)*($BC93)^2)+(($BF93/2)*($BB93)^2)+($BH93*$BC93*$BB93))</f>
        <v>#VALUE!</v>
      </c>
      <c r="Z93" s="504" t="e">
        <f aca="false">($BI93*$F93*$AH93*($G$5-$BV$5))/365.25</f>
        <v>#VALUE!</v>
      </c>
      <c r="AA93" s="504" t="e">
        <f aca="false">(($BK93*$BE93)+($BJ93*$BD93))*$F93*$AH93*$AF93</f>
        <v>#VALUE!</v>
      </c>
      <c r="AB93" s="504" t="e">
        <f aca="false">BN93*(AT93-CA93)*F93*AH93</f>
        <v>#VALUE!</v>
      </c>
      <c r="AC93" s="504" t="e">
        <f aca="false">BO93*CB93*F93*AH93*CA93*($G$5-$BV$5)/365.25</f>
        <v>#NAME?</v>
      </c>
      <c r="AF93" s="378" t="e">
        <f aca="false">IF(AND(D93&gt;=$G$7,D93&lt;=$G$8),1,0)</f>
        <v>#VALUE!</v>
      </c>
      <c r="AG93" s="378" t="e">
        <f aca="false">MONTH(D93)</f>
        <v>#VALUE!</v>
      </c>
      <c r="AH93" s="378" t="e">
        <f aca="false">(EOMONTH(D93,0)-EOMONTH(D93-DAY(D93),0))*AF93</f>
        <v>#VALUE!</v>
      </c>
      <c r="AI93" s="378" t="e">
        <f aca="false">AI92+AH92</f>
        <v>#VALUE!</v>
      </c>
      <c r="AJ93" s="378" t="e">
        <f aca="false">D93-$BV$5</f>
        <v>#VALUE!</v>
      </c>
      <c r="AL93" s="369" t="e">
        <f aca="false">VLOOKUP($D93,CurveTbl,$AK$4)</f>
        <v>#VALUE!</v>
      </c>
      <c r="AM93" s="505" t="e">
        <f aca="false">VLOOKUP($D93,CurveTbl,$AH$3)</f>
        <v>#VALUE!</v>
      </c>
      <c r="AN93" s="505" t="e">
        <f aca="false">VLOOKUP($D93,CurveTbl,$AH$4)+VLOOKUP($AG93,$AL$3:$AS$15,6)</f>
        <v>#VALUE!</v>
      </c>
      <c r="AO93" s="505" t="e">
        <f aca="false">VLOOKUP($D93,CurveTbl,$AH$5)</f>
        <v>#VALUE!</v>
      </c>
      <c r="AP93" s="505" t="e">
        <f aca="false">VLOOKUP($D93,CurveTbl,$AH$6)+VLOOKUP($AG93,$AL$3:$AS$15,7)</f>
        <v>#VALUE!</v>
      </c>
      <c r="AQ93" s="369" t="e">
        <f aca="false">VLOOKUP($AG93,$AL$4:$AS$15,3)+VLOOKUP($AG93,$AL$4:$AS$15,5)+($AH$10*VLOOKUP(D93,GRITable,2))</f>
        <v>#VALUE!</v>
      </c>
      <c r="AR93" s="370" t="e">
        <f aca="false">VLOOKUP($AG93,$AL$4:$AS$15,4)</f>
        <v>#VALUE!</v>
      </c>
      <c r="AS93" s="369" t="e">
        <f aca="false">(AL93+AM93+AN93)</f>
        <v>#VALUE!</v>
      </c>
      <c r="AT93" s="370" t="e">
        <f aca="false">VLOOKUP(D93,CurveTbl,$AK$6)</f>
        <v>#VALUE!</v>
      </c>
      <c r="AU93" s="370" t="e">
        <f aca="false">(1+$AT93/2)^(-2*($D93-$G$5)/365.25)*$AF93</f>
        <v>#VALUE!</v>
      </c>
      <c r="AV93" s="506" t="e">
        <f aca="false">ROUND((F93/(1-AR93))-F93,0)*AF93*AH93*AU93</f>
        <v>#VALUE!</v>
      </c>
      <c r="AW93" s="370" t="e">
        <f aca="false">VLOOKUP($D93,CurveTbl,$AK$8)</f>
        <v>#VALUE!</v>
      </c>
      <c r="AX93" s="370" t="e">
        <f aca="false">VLOOKUP($D93,CurveTbl,$AH$7)</f>
        <v>#VALUE!</v>
      </c>
      <c r="AY93" s="370" t="e">
        <f aca="false">VLOOKUP($D93,CurveTbl,$AH$8)</f>
        <v>#VALUE!</v>
      </c>
      <c r="AZ93" s="370"/>
      <c r="BA93" s="507"/>
      <c r="BB93" s="505" t="e">
        <f aca="false">$H93-$BV93</f>
        <v>#VALUE!</v>
      </c>
      <c r="BC93" s="505" t="e">
        <f aca="false">I93-BW93</f>
        <v>#VALUE!</v>
      </c>
      <c r="BD93" s="370" t="e">
        <f aca="false">N93-BX93</f>
        <v>#VALUE!</v>
      </c>
      <c r="BE93" s="370" t="e">
        <f aca="false">O93-BY93</f>
        <v>#VALUE!</v>
      </c>
      <c r="BF93" s="370" t="e">
        <f aca="false">xSPRDOPT($BW93,$BV93,$CG93,0,$BY93,$BX93,$BZ93,$AJ93,1,4)*$CB93</f>
        <v>#NAME?</v>
      </c>
      <c r="BG93" s="370" t="e">
        <f aca="false">xSPRDOPT($BW93,$BV93,$CG93,0,$BY93,$BX93,$BZ93,$AJ93,1,3)*$CB93</f>
        <v>#NAME?</v>
      </c>
      <c r="BH93" s="370" t="e">
        <f aca="false">IF(OR(BF93&lt;&gt;0,BG93&lt;&gt;0),xSPRDOPT($BW93,$BV93,$CG93,0,$BY93,$BX93,$BZ93,$AJ93,1,12)*$CB93,0)</f>
        <v>#NAME?</v>
      </c>
      <c r="BI93" s="370" t="e">
        <f aca="false">xSPRDOPT($BW93,$BV93,$CG93,2*LN(1+CA93/2),$BY93,$BX93,$BZ93,$AJ93,1,9)</f>
        <v>#NAME?</v>
      </c>
      <c r="BJ93" s="370" t="e">
        <f aca="false">xSPRDOPT($BW93,$BV93,$CG93,0,$BY93,$BX93,$BZ93,$AJ93,1,6)*$CB93</f>
        <v>#NAME?</v>
      </c>
      <c r="BK93" s="370" t="e">
        <f aca="false">xSPRDOPT($BW93,$BV93,$CG93,0,$BY93,$BX93,$BZ93,$AJ93,1,5)*$CB93</f>
        <v>#NAME?</v>
      </c>
      <c r="BL93" s="370" t="e">
        <f aca="false">xSPRDOPT(BW93,BV93,CG93,0,BY93,BX93,BZ93,AJ93,1,2)*CB93</f>
        <v>#NAME?</v>
      </c>
      <c r="BM93" s="370" t="e">
        <f aca="false">xSPRDOPT(BW93,BV93,CG93,0,BY93,BX93,BZ93,AJ93,1,1)*CB93</f>
        <v>#NAME?</v>
      </c>
      <c r="BN93" s="370" t="e">
        <f aca="false">IF(AH93&lt;&gt;0,xSPRDOPT($BW93,$BV93,$CG93,2*LN(1+CA93/2),$BY93,$BX93,$BZ93,$AJ93,1,8)+(AJ93/365.25)*CH93/AH93,0)</f>
        <v>#VALUE!</v>
      </c>
      <c r="BO93" s="370" t="e">
        <f aca="false">xSPRDOPT($BW93,$BV93,$CG93,0,$BY93,$BX93,$BZ93,$AJ93,1,0)</f>
        <v>#NAME?</v>
      </c>
      <c r="BP93" s="370"/>
      <c r="BQ93" s="370"/>
      <c r="BR93" s="370"/>
      <c r="BS93" s="370"/>
      <c r="BV93" s="508" t="n">
        <v>3.96828644501279</v>
      </c>
      <c r="BW93" s="369" t="n">
        <v>4.2645</v>
      </c>
      <c r="BX93" s="370" t="n">
        <v>0.253494204277853</v>
      </c>
      <c r="BY93" s="370" t="n">
        <v>0.253494204277853</v>
      </c>
      <c r="BZ93" s="370" t="n">
        <v>1</v>
      </c>
      <c r="CA93" s="370" t="n">
        <v>0.0558375124748816</v>
      </c>
      <c r="CB93" s="370" t="n">
        <v>0.718557904444993</v>
      </c>
      <c r="CC93" s="505" t="n">
        <v>0.007</v>
      </c>
      <c r="CD93" s="505" t="n">
        <v>0.0075</v>
      </c>
      <c r="CE93" s="505" t="n">
        <v>0.4</v>
      </c>
      <c r="CF93" s="505" t="n">
        <v>0</v>
      </c>
      <c r="CG93" s="505" t="n">
        <v>0.0364</v>
      </c>
      <c r="CH93" s="505" t="n">
        <v>8.21290128043494</v>
      </c>
      <c r="CI93" s="505" t="n">
        <v>3.8645</v>
      </c>
      <c r="CJ93" s="505"/>
      <c r="CK93" s="505"/>
      <c r="CL93" s="505"/>
      <c r="CM93" s="505"/>
    </row>
    <row r="94" customFormat="false" ht="12.75" hidden="false" customHeight="false" outlineLevel="0" collapsed="false">
      <c r="A94" s="500"/>
      <c r="B94" s="500"/>
      <c r="D94" s="361" t="e">
        <f aca="false">D93+AH93</f>
        <v>#VALUE!</v>
      </c>
      <c r="F94" s="362" t="e">
        <f aca="false">VLOOKUP(AG94,$AL$4:$AS$15,2)</f>
        <v>#VALUE!</v>
      </c>
      <c r="G94" s="362" t="e">
        <f aca="false">F94*$AU94</f>
        <v>#VALUE!</v>
      </c>
      <c r="H94" s="363" t="e">
        <f aca="false">(AL94+AM94+AN94)/(1-(AR94))</f>
        <v>#VALUE!</v>
      </c>
      <c r="I94" s="363" t="e">
        <f aca="false">(AL94+AO94+AP94)</f>
        <v>#VALUE!</v>
      </c>
      <c r="K94" s="363" t="e">
        <f aca="false">MAX(((I94-H94)-AQ94)*AU94*AH94,0)</f>
        <v>#VALUE!</v>
      </c>
      <c r="L94" s="501" t="e">
        <f aca="false">MAX(Q94-K94,0)</f>
        <v>#VALUE!</v>
      </c>
      <c r="N94" s="502" t="e">
        <f aca="false">SQRT(($AX94^2*($AH94/2)+$AW94^2*$AI94)/(($AH94/2)+$AI94))</f>
        <v>#VALUE!</v>
      </c>
      <c r="O94" s="502" t="e">
        <f aca="false">SQRT(($AY94^2*($AH94/2)+$AW94^2*$AI94)/(($AH94/2)+$AI94))</f>
        <v>#VALUE!</v>
      </c>
      <c r="P94" s="371" t="e">
        <f aca="false">(VLOOKUP(AI94,CorrelationTwo,2)*(AW94^2)*AI94+VLOOKUP(D94,CorrelationOne,$AK$9)*AX94*AY94*(AH94/2))/((AI94+(AH94/2))*O94*N94)*AF94</f>
        <v>#VALUE!</v>
      </c>
      <c r="Q94" s="501" t="e">
        <f aca="false">xSPRDOPT(I94,H94,AQ94,0,O94,N94,P94,D94-$G$5,1,0)*AH94*AU94</f>
        <v>#VALUE!</v>
      </c>
      <c r="R94" s="501"/>
      <c r="S94" s="365" t="e">
        <f aca="false">-T94/(1-AR94)</f>
        <v>#VALUE!</v>
      </c>
      <c r="T94" s="365" t="e">
        <f aca="false">xSPRDOPT(I94,H94,AQ94,AT94,O94,N94,P94,D94-$G$5,1,1)*AF94*F94*AH94</f>
        <v>#VALUE!</v>
      </c>
      <c r="U94" s="501"/>
      <c r="V94" s="503" t="e">
        <f aca="false">VLOOKUP($AG94,$AL$4:$AS$15,8)*AH94*AU94</f>
        <v>#VALUE!</v>
      </c>
      <c r="W94" s="503"/>
      <c r="X94" s="504" t="e">
        <f aca="false">((BM94*BC94)+(BL94*BB94))*AH94*F94</f>
        <v>#VALUE!</v>
      </c>
      <c r="Y94" s="504" t="e">
        <f aca="false">($F94*$AH94)*((($BG94/2)*($BC94)^2)+(($BF94/2)*($BB94)^2)+($BH94*$BC94*$BB94))</f>
        <v>#VALUE!</v>
      </c>
      <c r="Z94" s="504" t="e">
        <f aca="false">($BI94*$F94*$AH94*($G$5-$BV$5))/365.25</f>
        <v>#VALUE!</v>
      </c>
      <c r="AA94" s="504" t="e">
        <f aca="false">(($BK94*$BE94)+($BJ94*$BD94))*$F94*$AH94*$AF94</f>
        <v>#VALUE!</v>
      </c>
      <c r="AB94" s="504" t="e">
        <f aca="false">BN94*(AT94-CA94)*F94*AH94</f>
        <v>#VALUE!</v>
      </c>
      <c r="AC94" s="504" t="e">
        <f aca="false">BO94*CB94*F94*AH94*CA94*($G$5-$BV$5)/365.25</f>
        <v>#NAME?</v>
      </c>
      <c r="AF94" s="378" t="e">
        <f aca="false">IF(AND(D94&gt;=$G$7,D94&lt;=$G$8),1,0)</f>
        <v>#VALUE!</v>
      </c>
      <c r="AG94" s="378" t="e">
        <f aca="false">MONTH(D94)</f>
        <v>#VALUE!</v>
      </c>
      <c r="AH94" s="378" t="e">
        <f aca="false">(EOMONTH(D94,0)-EOMONTH(D94-DAY(D94),0))*AF94</f>
        <v>#VALUE!</v>
      </c>
      <c r="AI94" s="378" t="e">
        <f aca="false">AI93+AH93</f>
        <v>#VALUE!</v>
      </c>
      <c r="AJ94" s="378" t="e">
        <f aca="false">D94-$BV$5</f>
        <v>#VALUE!</v>
      </c>
      <c r="AL94" s="369" t="e">
        <f aca="false">VLOOKUP($D94,CurveTbl,$AK$4)</f>
        <v>#VALUE!</v>
      </c>
      <c r="AM94" s="505" t="e">
        <f aca="false">VLOOKUP($D94,CurveTbl,$AH$3)</f>
        <v>#VALUE!</v>
      </c>
      <c r="AN94" s="505" t="e">
        <f aca="false">VLOOKUP($D94,CurveTbl,$AH$4)+VLOOKUP($AG94,$AL$3:$AS$15,6)</f>
        <v>#VALUE!</v>
      </c>
      <c r="AO94" s="505" t="e">
        <f aca="false">VLOOKUP($D94,CurveTbl,$AH$5)</f>
        <v>#VALUE!</v>
      </c>
      <c r="AP94" s="505" t="e">
        <f aca="false">VLOOKUP($D94,CurveTbl,$AH$6)+VLOOKUP($AG94,$AL$3:$AS$15,7)</f>
        <v>#VALUE!</v>
      </c>
      <c r="AQ94" s="369" t="e">
        <f aca="false">VLOOKUP($AG94,$AL$4:$AS$15,3)+VLOOKUP($AG94,$AL$4:$AS$15,5)+($AH$10*VLOOKUP(D94,GRITable,2))</f>
        <v>#VALUE!</v>
      </c>
      <c r="AR94" s="370" t="e">
        <f aca="false">VLOOKUP($AG94,$AL$4:$AS$15,4)</f>
        <v>#VALUE!</v>
      </c>
      <c r="AS94" s="369" t="e">
        <f aca="false">(AL94+AM94+AN94)</f>
        <v>#VALUE!</v>
      </c>
      <c r="AT94" s="370" t="e">
        <f aca="false">VLOOKUP(D94,CurveTbl,$AK$6)</f>
        <v>#VALUE!</v>
      </c>
      <c r="AU94" s="370" t="e">
        <f aca="false">(1+$AT94/2)^(-2*($D94-$G$5)/365.25)*$AF94</f>
        <v>#VALUE!</v>
      </c>
      <c r="AV94" s="506" t="e">
        <f aca="false">ROUND((F94/(1-AR94))-F94,0)*AF94*AH94*AU94</f>
        <v>#VALUE!</v>
      </c>
      <c r="AW94" s="370" t="e">
        <f aca="false">VLOOKUP($D94,CurveTbl,$AK$8)</f>
        <v>#VALUE!</v>
      </c>
      <c r="AX94" s="370" t="e">
        <f aca="false">VLOOKUP($D94,CurveTbl,$AH$7)</f>
        <v>#VALUE!</v>
      </c>
      <c r="AY94" s="370" t="e">
        <f aca="false">VLOOKUP($D94,CurveTbl,$AH$8)</f>
        <v>#VALUE!</v>
      </c>
      <c r="AZ94" s="370"/>
      <c r="BA94" s="507"/>
      <c r="BB94" s="505" t="e">
        <f aca="false">$H94-$BV94</f>
        <v>#VALUE!</v>
      </c>
      <c r="BC94" s="505" t="e">
        <f aca="false">I94-BW94</f>
        <v>#VALUE!</v>
      </c>
      <c r="BD94" s="370" t="e">
        <f aca="false">N94-BX94</f>
        <v>#VALUE!</v>
      </c>
      <c r="BE94" s="370" t="e">
        <f aca="false">O94-BY94</f>
        <v>#VALUE!</v>
      </c>
      <c r="BF94" s="370" t="e">
        <f aca="false">xSPRDOPT($BW94,$BV94,$CG94,0,$BY94,$BX94,$BZ94,$AJ94,1,4)*$CB94</f>
        <v>#NAME?</v>
      </c>
      <c r="BG94" s="370" t="e">
        <f aca="false">xSPRDOPT($BW94,$BV94,$CG94,0,$BY94,$BX94,$BZ94,$AJ94,1,3)*$CB94</f>
        <v>#NAME?</v>
      </c>
      <c r="BH94" s="370" t="e">
        <f aca="false">IF(OR(BF94&lt;&gt;0,BG94&lt;&gt;0),xSPRDOPT($BW94,$BV94,$CG94,0,$BY94,$BX94,$BZ94,$AJ94,1,12)*$CB94,0)</f>
        <v>#NAME?</v>
      </c>
      <c r="BI94" s="370" t="e">
        <f aca="false">xSPRDOPT($BW94,$BV94,$CG94,2*LN(1+CA94/2),$BY94,$BX94,$BZ94,$AJ94,1,9)</f>
        <v>#NAME?</v>
      </c>
      <c r="BJ94" s="370" t="e">
        <f aca="false">xSPRDOPT($BW94,$BV94,$CG94,0,$BY94,$BX94,$BZ94,$AJ94,1,6)*$CB94</f>
        <v>#NAME?</v>
      </c>
      <c r="BK94" s="370" t="e">
        <f aca="false">xSPRDOPT($BW94,$BV94,$CG94,0,$BY94,$BX94,$BZ94,$AJ94,1,5)*$CB94</f>
        <v>#NAME?</v>
      </c>
      <c r="BL94" s="370" t="e">
        <f aca="false">xSPRDOPT(BW94,BV94,CG94,0,BY94,BX94,BZ94,AJ94,1,2)*CB94</f>
        <v>#NAME?</v>
      </c>
      <c r="BM94" s="370" t="e">
        <f aca="false">xSPRDOPT(BW94,BV94,CG94,0,BY94,BX94,BZ94,AJ94,1,1)*CB94</f>
        <v>#NAME?</v>
      </c>
      <c r="BN94" s="370" t="e">
        <f aca="false">IF(AH94&lt;&gt;0,xSPRDOPT($BW94,$BV94,$CG94,2*LN(1+CA94/2),$BY94,$BX94,$BZ94,$AJ94,1,8)+(AJ94/365.25)*CH94/AH94,0)</f>
        <v>#VALUE!</v>
      </c>
      <c r="BO94" s="370" t="e">
        <f aca="false">xSPRDOPT($BW94,$BV94,$CG94,0,$BY94,$BX94,$BZ94,$AJ94,1,0)</f>
        <v>#NAME?</v>
      </c>
      <c r="BP94" s="370"/>
      <c r="BQ94" s="370"/>
      <c r="BR94" s="370"/>
      <c r="BS94" s="370"/>
      <c r="BV94" s="508" t="n">
        <v>4.01943734015345</v>
      </c>
      <c r="BW94" s="369" t="n">
        <v>4.2645</v>
      </c>
      <c r="BX94" s="370" t="n">
        <v>0.253311091995473</v>
      </c>
      <c r="BY94" s="370" t="n">
        <v>0.253311091995473</v>
      </c>
      <c r="BZ94" s="370" t="n">
        <v>1</v>
      </c>
      <c r="CA94" s="370" t="n">
        <v>0.0560215286416526</v>
      </c>
      <c r="CB94" s="370" t="n">
        <v>0.714428287231</v>
      </c>
      <c r="CC94" s="505" t="n">
        <v>0.007</v>
      </c>
      <c r="CD94" s="505" t="n">
        <v>0.0075</v>
      </c>
      <c r="CE94" s="505" t="n">
        <v>0.35</v>
      </c>
      <c r="CF94" s="505" t="n">
        <v>0</v>
      </c>
      <c r="CG94" s="505" t="n">
        <v>0.0364</v>
      </c>
      <c r="CH94" s="505" t="n">
        <v>8.16570099456416</v>
      </c>
      <c r="CI94" s="505" t="n">
        <v>3.9145</v>
      </c>
      <c r="CJ94" s="505"/>
      <c r="CK94" s="505"/>
      <c r="CL94" s="505"/>
      <c r="CM94" s="505"/>
    </row>
    <row r="95" customFormat="false" ht="12.75" hidden="false" customHeight="false" outlineLevel="0" collapsed="false">
      <c r="A95" s="500"/>
      <c r="B95" s="500"/>
      <c r="D95" s="361" t="e">
        <f aca="false">D94+AH94</f>
        <v>#VALUE!</v>
      </c>
      <c r="F95" s="362" t="e">
        <f aca="false">VLOOKUP(AG95,$AL$4:$AS$15,2)</f>
        <v>#VALUE!</v>
      </c>
      <c r="G95" s="362" t="e">
        <f aca="false">F95*$AU95</f>
        <v>#VALUE!</v>
      </c>
      <c r="H95" s="363" t="e">
        <f aca="false">(AL95+AM95+AN95)/(1-(AR95))</f>
        <v>#VALUE!</v>
      </c>
      <c r="I95" s="363" t="e">
        <f aca="false">(AL95+AO95+AP95)</f>
        <v>#VALUE!</v>
      </c>
      <c r="K95" s="363" t="e">
        <f aca="false">MAX(((I95-H95)-AQ95)*AU95*AH95,0)</f>
        <v>#VALUE!</v>
      </c>
      <c r="L95" s="501" t="e">
        <f aca="false">MAX(Q95-K95,0)</f>
        <v>#VALUE!</v>
      </c>
      <c r="N95" s="502" t="e">
        <f aca="false">SQRT(($AX95^2*($AH95/2)+$AW95^2*$AI95)/(($AH95/2)+$AI95))</f>
        <v>#VALUE!</v>
      </c>
      <c r="O95" s="502" t="e">
        <f aca="false">SQRT(($AY95^2*($AH95/2)+$AW95^2*$AI95)/(($AH95/2)+$AI95))</f>
        <v>#VALUE!</v>
      </c>
      <c r="P95" s="371" t="e">
        <f aca="false">(VLOOKUP(AI95,CorrelationTwo,2)*(AW95^2)*AI95+VLOOKUP(D95,CorrelationOne,$AK$9)*AX95*AY95*(AH95/2))/((AI95+(AH95/2))*O95*N95)*AF95</f>
        <v>#VALUE!</v>
      </c>
      <c r="Q95" s="501" t="e">
        <f aca="false">xSPRDOPT(I95,H95,AQ95,0,O95,N95,P95,D95-$G$5,1,0)*AH95*AU95</f>
        <v>#VALUE!</v>
      </c>
      <c r="R95" s="501"/>
      <c r="S95" s="365" t="e">
        <f aca="false">-T95/(1-AR95)</f>
        <v>#VALUE!</v>
      </c>
      <c r="T95" s="365" t="e">
        <f aca="false">xSPRDOPT(I95,H95,AQ95,AT95,O95,N95,P95,D95-$G$5,1,1)*AF95*F95*AH95</f>
        <v>#VALUE!</v>
      </c>
      <c r="U95" s="501"/>
      <c r="V95" s="503" t="e">
        <f aca="false">VLOOKUP($AG95,$AL$4:$AS$15,8)*AH95*AU95</f>
        <v>#VALUE!</v>
      </c>
      <c r="W95" s="503"/>
      <c r="X95" s="504" t="e">
        <f aca="false">((BM95*BC95)+(BL95*BB95))*AH95*F95</f>
        <v>#VALUE!</v>
      </c>
      <c r="Y95" s="504" t="e">
        <f aca="false">($F95*$AH95)*((($BG95/2)*($BC95)^2)+(($BF95/2)*($BB95)^2)+($BH95*$BC95*$BB95))</f>
        <v>#VALUE!</v>
      </c>
      <c r="Z95" s="504" t="e">
        <f aca="false">($BI95*$F95*$AH95*($G$5-$BV$5))/365.25</f>
        <v>#VALUE!</v>
      </c>
      <c r="AA95" s="504" t="e">
        <f aca="false">(($BK95*$BE95)+($BJ95*$BD95))*$F95*$AH95*$AF95</f>
        <v>#VALUE!</v>
      </c>
      <c r="AB95" s="504" t="e">
        <f aca="false">BN95*(AT95-CA95)*F95*AH95</f>
        <v>#VALUE!</v>
      </c>
      <c r="AC95" s="504" t="e">
        <f aca="false">BO95*CB95*F95*AH95*CA95*($G$5-$BV$5)/365.25</f>
        <v>#NAME?</v>
      </c>
      <c r="AF95" s="378" t="e">
        <f aca="false">IF(AND(D95&gt;=$G$7,D95&lt;=$G$8),1,0)</f>
        <v>#VALUE!</v>
      </c>
      <c r="AG95" s="378" t="e">
        <f aca="false">MONTH(D95)</f>
        <v>#VALUE!</v>
      </c>
      <c r="AH95" s="378" t="e">
        <f aca="false">(EOMONTH(D95,0)-EOMONTH(D95-DAY(D95),0))*AF95</f>
        <v>#VALUE!</v>
      </c>
      <c r="AI95" s="378" t="e">
        <f aca="false">AI94+AH94</f>
        <v>#VALUE!</v>
      </c>
      <c r="AJ95" s="378" t="e">
        <f aca="false">D95-$BV$5</f>
        <v>#VALUE!</v>
      </c>
      <c r="AL95" s="369" t="e">
        <f aca="false">VLOOKUP($D95,CurveTbl,$AK$4)</f>
        <v>#VALUE!</v>
      </c>
      <c r="AM95" s="505" t="e">
        <f aca="false">VLOOKUP($D95,CurveTbl,$AH$3)</f>
        <v>#VALUE!</v>
      </c>
      <c r="AN95" s="505" t="e">
        <f aca="false">VLOOKUP($D95,CurveTbl,$AH$4)+VLOOKUP($AG95,$AL$3:$AS$15,6)</f>
        <v>#VALUE!</v>
      </c>
      <c r="AO95" s="505" t="e">
        <f aca="false">VLOOKUP($D95,CurveTbl,$AH$5)</f>
        <v>#VALUE!</v>
      </c>
      <c r="AP95" s="505" t="e">
        <f aca="false">VLOOKUP($D95,CurveTbl,$AH$6)+VLOOKUP($AG95,$AL$3:$AS$15,7)</f>
        <v>#VALUE!</v>
      </c>
      <c r="AQ95" s="369" t="e">
        <f aca="false">VLOOKUP($AG95,$AL$4:$AS$15,3)+VLOOKUP($AG95,$AL$4:$AS$15,5)+($AH$10*VLOOKUP(D95,GRITable,2))</f>
        <v>#VALUE!</v>
      </c>
      <c r="AR95" s="370" t="e">
        <f aca="false">VLOOKUP($AG95,$AL$4:$AS$15,4)</f>
        <v>#VALUE!</v>
      </c>
      <c r="AS95" s="369" t="e">
        <f aca="false">(AL95+AM95+AN95)</f>
        <v>#VALUE!</v>
      </c>
      <c r="AT95" s="370" t="e">
        <f aca="false">VLOOKUP(D95,CurveTbl,$AK$6)</f>
        <v>#VALUE!</v>
      </c>
      <c r="AU95" s="370" t="e">
        <f aca="false">(1+$AT95/2)^(-2*($D95-$G$5)/365.25)*$AF95</f>
        <v>#VALUE!</v>
      </c>
      <c r="AV95" s="506" t="e">
        <f aca="false">ROUND((F95/(1-AR95))-F95,0)*AF95*AH95*AU95</f>
        <v>#VALUE!</v>
      </c>
      <c r="AW95" s="370" t="e">
        <f aca="false">VLOOKUP($D95,CurveTbl,$AK$8)</f>
        <v>#VALUE!</v>
      </c>
      <c r="AX95" s="370" t="e">
        <f aca="false">VLOOKUP($D95,CurveTbl,$AH$7)</f>
        <v>#VALUE!</v>
      </c>
      <c r="AY95" s="370" t="e">
        <f aca="false">VLOOKUP($D95,CurveTbl,$AH$8)</f>
        <v>#VALUE!</v>
      </c>
      <c r="AZ95" s="370"/>
      <c r="BA95" s="507"/>
      <c r="BB95" s="505" t="e">
        <f aca="false">$H95-$BV95</f>
        <v>#VALUE!</v>
      </c>
      <c r="BC95" s="505" t="e">
        <f aca="false">I95-BW95</f>
        <v>#VALUE!</v>
      </c>
      <c r="BD95" s="370" t="e">
        <f aca="false">N95-BX95</f>
        <v>#VALUE!</v>
      </c>
      <c r="BE95" s="370" t="e">
        <f aca="false">O95-BY95</f>
        <v>#VALUE!</v>
      </c>
      <c r="BF95" s="370" t="e">
        <f aca="false">xSPRDOPT($BW95,$BV95,$CG95,0,$BY95,$BX95,$BZ95,$AJ95,1,4)*$CB95</f>
        <v>#NAME?</v>
      </c>
      <c r="BG95" s="370" t="e">
        <f aca="false">xSPRDOPT($BW95,$BV95,$CG95,0,$BY95,$BX95,$BZ95,$AJ95,1,3)*$CB95</f>
        <v>#NAME?</v>
      </c>
      <c r="BH95" s="370" t="e">
        <f aca="false">IF(OR(BF95&lt;&gt;0,BG95&lt;&gt;0),xSPRDOPT($BW95,$BV95,$CG95,0,$BY95,$BX95,$BZ95,$AJ95,1,12)*$CB95,0)</f>
        <v>#NAME?</v>
      </c>
      <c r="BI95" s="370" t="e">
        <f aca="false">xSPRDOPT($BW95,$BV95,$CG95,2*LN(1+CA95/2),$BY95,$BX95,$BZ95,$AJ95,1,9)</f>
        <v>#NAME?</v>
      </c>
      <c r="BJ95" s="370" t="e">
        <f aca="false">xSPRDOPT($BW95,$BV95,$CG95,0,$BY95,$BX95,$BZ95,$AJ95,1,6)*$CB95</f>
        <v>#NAME?</v>
      </c>
      <c r="BK95" s="370" t="e">
        <f aca="false">xSPRDOPT($BW95,$BV95,$CG95,0,$BY95,$BX95,$BZ95,$AJ95,1,5)*$CB95</f>
        <v>#NAME?</v>
      </c>
      <c r="BL95" s="370" t="e">
        <f aca="false">xSPRDOPT(BW95,BV95,CG95,0,BY95,BX95,BZ95,AJ95,1,2)*CB95</f>
        <v>#NAME?</v>
      </c>
      <c r="BM95" s="370" t="e">
        <f aca="false">xSPRDOPT(BW95,BV95,CG95,0,BY95,BX95,BZ95,AJ95,1,1)*CB95</f>
        <v>#NAME?</v>
      </c>
      <c r="BN95" s="370" t="e">
        <f aca="false">IF(AH95&lt;&gt;0,xSPRDOPT($BW95,$BV95,$CG95,2*LN(1+CA95/2),$BY95,$BX95,$BZ95,$AJ95,1,8)+(AJ95/365.25)*CH95/AH95,0)</f>
        <v>#VALUE!</v>
      </c>
      <c r="BO95" s="370" t="e">
        <f aca="false">xSPRDOPT($BW95,$BV95,$CG95,0,$BY95,$BX95,$BZ95,$AJ95,1,0)</f>
        <v>#NAME?</v>
      </c>
      <c r="BP95" s="370"/>
      <c r="BQ95" s="370"/>
      <c r="BR95" s="370"/>
      <c r="BS95" s="370"/>
      <c r="BV95" s="508" t="n">
        <v>3.93248081841432</v>
      </c>
      <c r="BW95" s="369" t="n">
        <v>4.1795</v>
      </c>
      <c r="BX95" s="370" t="n">
        <v>0.252311557801153</v>
      </c>
      <c r="BY95" s="370" t="n">
        <v>0.252311557801153</v>
      </c>
      <c r="BZ95" s="370" t="n">
        <v>1</v>
      </c>
      <c r="CA95" s="370" t="n">
        <v>0.0562055448196963</v>
      </c>
      <c r="CB95" s="370" t="n">
        <v>0.710300889666288</v>
      </c>
      <c r="CC95" s="505" t="n">
        <v>0.007</v>
      </c>
      <c r="CD95" s="505" t="n">
        <v>0.0075</v>
      </c>
      <c r="CE95" s="505" t="n">
        <v>0.35</v>
      </c>
      <c r="CF95" s="505" t="n">
        <v>0</v>
      </c>
      <c r="CG95" s="505" t="n">
        <v>0.0364</v>
      </c>
      <c r="CH95" s="505" t="n">
        <v>7.59475020257885</v>
      </c>
      <c r="CI95" s="505" t="n">
        <v>3.8295</v>
      </c>
      <c r="CJ95" s="505"/>
      <c r="CK95" s="505"/>
      <c r="CL95" s="505"/>
      <c r="CM95" s="505"/>
    </row>
    <row r="96" customFormat="false" ht="12.75" hidden="false" customHeight="false" outlineLevel="0" collapsed="false">
      <c r="A96" s="500"/>
      <c r="B96" s="500"/>
      <c r="D96" s="361" t="e">
        <f aca="false">D95+AH95</f>
        <v>#VALUE!</v>
      </c>
      <c r="F96" s="362" t="e">
        <f aca="false">VLOOKUP(AG96,$AL$4:$AS$15,2)</f>
        <v>#VALUE!</v>
      </c>
      <c r="G96" s="362" t="e">
        <f aca="false">F96*$AU96</f>
        <v>#VALUE!</v>
      </c>
      <c r="H96" s="363" t="e">
        <f aca="false">(AL96+AM96+AN96)/(1-(AR96))</f>
        <v>#VALUE!</v>
      </c>
      <c r="I96" s="363" t="e">
        <f aca="false">(AL96+AO96+AP96)</f>
        <v>#VALUE!</v>
      </c>
      <c r="K96" s="363" t="e">
        <f aca="false">MAX(((I96-H96)-AQ96)*AU96*AH96,0)</f>
        <v>#VALUE!</v>
      </c>
      <c r="L96" s="501" t="e">
        <f aca="false">MAX(Q96-K96,0)</f>
        <v>#VALUE!</v>
      </c>
      <c r="N96" s="502" t="e">
        <f aca="false">SQRT(($AX96^2*($AH96/2)+$AW96^2*$AI96)/(($AH96/2)+$AI96))</f>
        <v>#VALUE!</v>
      </c>
      <c r="O96" s="502" t="e">
        <f aca="false">SQRT(($AY96^2*($AH96/2)+$AW96^2*$AI96)/(($AH96/2)+$AI96))</f>
        <v>#VALUE!</v>
      </c>
      <c r="P96" s="371" t="e">
        <f aca="false">(VLOOKUP(AI96,CorrelationTwo,2)*(AW96^2)*AI96+VLOOKUP(D96,CorrelationOne,$AK$9)*AX96*AY96*(AH96/2))/((AI96+(AH96/2))*O96*N96)*AF96</f>
        <v>#VALUE!</v>
      </c>
      <c r="Q96" s="501" t="e">
        <f aca="false">xSPRDOPT(I96,H96,AQ96,0,O96,N96,P96,D96-$G$5,1,0)*AH96*AU96</f>
        <v>#VALUE!</v>
      </c>
      <c r="R96" s="501"/>
      <c r="S96" s="365" t="e">
        <f aca="false">-T96/(1-AR96)</f>
        <v>#VALUE!</v>
      </c>
      <c r="T96" s="365" t="e">
        <f aca="false">xSPRDOPT(I96,H96,AQ96,AT96,O96,N96,P96,D96-$G$5,1,1)*AF96*F96*AH96</f>
        <v>#VALUE!</v>
      </c>
      <c r="U96" s="501"/>
      <c r="V96" s="503" t="e">
        <f aca="false">VLOOKUP($AG96,$AL$4:$AS$15,8)*AH96*AU96</f>
        <v>#VALUE!</v>
      </c>
      <c r="W96" s="503"/>
      <c r="X96" s="504" t="e">
        <f aca="false">((BM96*BC96)+(BL96*BB96))*AH96*F96</f>
        <v>#VALUE!</v>
      </c>
      <c r="Y96" s="504" t="e">
        <f aca="false">($F96*$AH96)*((($BG96/2)*($BC96)^2)+(($BF96/2)*($BB96)^2)+($BH96*$BC96*$BB96))</f>
        <v>#VALUE!</v>
      </c>
      <c r="Z96" s="504" t="e">
        <f aca="false">($BI96*$F96*$AH96*($G$5-$BV$5))/365.25</f>
        <v>#VALUE!</v>
      </c>
      <c r="AA96" s="504" t="e">
        <f aca="false">(($BK96*$BE96)+($BJ96*$BD96))*$F96*$AH96*$AF96</f>
        <v>#VALUE!</v>
      </c>
      <c r="AB96" s="504" t="e">
        <f aca="false">BN96*(AT96-CA96)*F96*AH96</f>
        <v>#VALUE!</v>
      </c>
      <c r="AC96" s="504" t="e">
        <f aca="false">BO96*CB96*F96*AH96*CA96*($G$5-$BV$5)/365.25</f>
        <v>#NAME?</v>
      </c>
      <c r="AF96" s="378" t="e">
        <f aca="false">IF(AND(D96&gt;=$G$7,D96&lt;=$G$8),1,0)</f>
        <v>#VALUE!</v>
      </c>
      <c r="AG96" s="378" t="e">
        <f aca="false">MONTH(D96)</f>
        <v>#VALUE!</v>
      </c>
      <c r="AH96" s="378" t="e">
        <f aca="false">(EOMONTH(D96,0)-EOMONTH(D96-DAY(D96),0))*AF96</f>
        <v>#VALUE!</v>
      </c>
      <c r="AI96" s="378" t="e">
        <f aca="false">AI95+AH95</f>
        <v>#VALUE!</v>
      </c>
      <c r="AJ96" s="378" t="e">
        <f aca="false">D96-$BV$5</f>
        <v>#VALUE!</v>
      </c>
      <c r="AL96" s="369" t="e">
        <f aca="false">VLOOKUP($D96,CurveTbl,$AK$4)</f>
        <v>#VALUE!</v>
      </c>
      <c r="AM96" s="505" t="e">
        <f aca="false">VLOOKUP($D96,CurveTbl,$AH$3)</f>
        <v>#VALUE!</v>
      </c>
      <c r="AN96" s="505" t="e">
        <f aca="false">VLOOKUP($D96,CurveTbl,$AH$4)+VLOOKUP($AG96,$AL$3:$AS$15,6)</f>
        <v>#VALUE!</v>
      </c>
      <c r="AO96" s="505" t="e">
        <f aca="false">VLOOKUP($D96,CurveTbl,$AH$5)</f>
        <v>#VALUE!</v>
      </c>
      <c r="AP96" s="505" t="e">
        <f aca="false">VLOOKUP($D96,CurveTbl,$AH$6)+VLOOKUP($AG96,$AL$3:$AS$15,7)</f>
        <v>#VALUE!</v>
      </c>
      <c r="AQ96" s="369" t="e">
        <f aca="false">VLOOKUP($AG96,$AL$4:$AS$15,3)+VLOOKUP($AG96,$AL$4:$AS$15,5)+($AH$10*VLOOKUP(D96,GRITable,2))</f>
        <v>#VALUE!</v>
      </c>
      <c r="AR96" s="370" t="e">
        <f aca="false">VLOOKUP($AG96,$AL$4:$AS$15,4)</f>
        <v>#VALUE!</v>
      </c>
      <c r="AS96" s="369" t="e">
        <f aca="false">(AL96+AM96+AN96)</f>
        <v>#VALUE!</v>
      </c>
      <c r="AT96" s="370" t="e">
        <f aca="false">VLOOKUP(D96,CurveTbl,$AK$6)</f>
        <v>#VALUE!</v>
      </c>
      <c r="AU96" s="370" t="e">
        <f aca="false">(1+$AT96/2)^(-2*($D96-$G$5)/365.25)*$AF96</f>
        <v>#VALUE!</v>
      </c>
      <c r="AV96" s="506" t="e">
        <f aca="false">ROUND((F96/(1-AR96))-F96,0)*AF96*AH96*AU96</f>
        <v>#VALUE!</v>
      </c>
      <c r="AW96" s="370" t="e">
        <f aca="false">VLOOKUP($D96,CurveTbl,$AK$8)</f>
        <v>#VALUE!</v>
      </c>
      <c r="AX96" s="370" t="e">
        <f aca="false">VLOOKUP($D96,CurveTbl,$AH$7)</f>
        <v>#VALUE!</v>
      </c>
      <c r="AY96" s="370" t="e">
        <f aca="false">VLOOKUP($D96,CurveTbl,$AH$8)</f>
        <v>#VALUE!</v>
      </c>
      <c r="AZ96" s="370"/>
      <c r="BA96" s="507"/>
      <c r="BB96" s="505" t="e">
        <f aca="false">$H96-$BV96</f>
        <v>#VALUE!</v>
      </c>
      <c r="BC96" s="505" t="e">
        <f aca="false">I96-BW96</f>
        <v>#VALUE!</v>
      </c>
      <c r="BD96" s="370" t="e">
        <f aca="false">N96-BX96</f>
        <v>#VALUE!</v>
      </c>
      <c r="BE96" s="370" t="e">
        <f aca="false">O96-BY96</f>
        <v>#VALUE!</v>
      </c>
      <c r="BF96" s="370" t="e">
        <f aca="false">xSPRDOPT($BW96,$BV96,$CG96,0,$BY96,$BX96,$BZ96,$AJ96,1,4)*$CB96</f>
        <v>#NAME?</v>
      </c>
      <c r="BG96" s="370" t="e">
        <f aca="false">xSPRDOPT($BW96,$BV96,$CG96,0,$BY96,$BX96,$BZ96,$AJ96,1,3)*$CB96</f>
        <v>#NAME?</v>
      </c>
      <c r="BH96" s="370" t="e">
        <f aca="false">IF(OR(BF96&lt;&gt;0,BG96&lt;&gt;0),xSPRDOPT($BW96,$BV96,$CG96,0,$BY96,$BX96,$BZ96,$AJ96,1,12)*$CB96,0)</f>
        <v>#NAME?</v>
      </c>
      <c r="BI96" s="370" t="e">
        <f aca="false">xSPRDOPT($BW96,$BV96,$CG96,2*LN(1+CA96/2),$BY96,$BX96,$BZ96,$AJ96,1,9)</f>
        <v>#NAME?</v>
      </c>
      <c r="BJ96" s="370" t="e">
        <f aca="false">xSPRDOPT($BW96,$BV96,$CG96,0,$BY96,$BX96,$BZ96,$AJ96,1,6)*$CB96</f>
        <v>#NAME?</v>
      </c>
      <c r="BK96" s="370" t="e">
        <f aca="false">xSPRDOPT($BW96,$BV96,$CG96,0,$BY96,$BX96,$BZ96,$AJ96,1,5)*$CB96</f>
        <v>#NAME?</v>
      </c>
      <c r="BL96" s="370" t="e">
        <f aca="false">xSPRDOPT(BW96,BV96,CG96,0,BY96,BX96,BZ96,AJ96,1,2)*CB96</f>
        <v>#NAME?</v>
      </c>
      <c r="BM96" s="370" t="e">
        <f aca="false">xSPRDOPT(BW96,BV96,CG96,0,BY96,BX96,BZ96,AJ96,1,1)*CB96</f>
        <v>#NAME?</v>
      </c>
      <c r="BN96" s="370" t="e">
        <f aca="false">IF(AH96&lt;&gt;0,xSPRDOPT($BW96,$BV96,$CG96,2*LN(1+CA96/2),$BY96,$BX96,$BZ96,$AJ96,1,8)+(AJ96/365.25)*CH96/AH96,0)</f>
        <v>#VALUE!</v>
      </c>
      <c r="BO96" s="370" t="e">
        <f aca="false">xSPRDOPT($BW96,$BV96,$CG96,0,$BY96,$BX96,$BZ96,$AJ96,1,0)</f>
        <v>#NAME?</v>
      </c>
      <c r="BP96" s="370"/>
      <c r="BQ96" s="370"/>
      <c r="BR96" s="370"/>
      <c r="BS96" s="370"/>
      <c r="BV96" s="508" t="n">
        <v>3.80460358056266</v>
      </c>
      <c r="BW96" s="369" t="n">
        <v>4.0995</v>
      </c>
      <c r="BX96" s="370" t="n">
        <v>0.242212276821627</v>
      </c>
      <c r="BY96" s="370" t="n">
        <v>0.242212276821627</v>
      </c>
      <c r="BZ96" s="370" t="n">
        <v>1</v>
      </c>
      <c r="CA96" s="370" t="n">
        <v>0.056377688996458</v>
      </c>
      <c r="CB96" s="370" t="n">
        <v>0.706441997314755</v>
      </c>
      <c r="CC96" s="505" t="n">
        <v>0.012</v>
      </c>
      <c r="CD96" s="505" t="n">
        <v>0.0075</v>
      </c>
      <c r="CE96" s="505" t="n">
        <v>0.4</v>
      </c>
      <c r="CF96" s="505" t="n">
        <v>0</v>
      </c>
      <c r="CG96" s="505" t="n">
        <v>0.0364</v>
      </c>
      <c r="CH96" s="505" t="n">
        <v>8.07442009670846</v>
      </c>
      <c r="CI96" s="505" t="n">
        <v>3.6995</v>
      </c>
      <c r="CJ96" s="505"/>
      <c r="CK96" s="505"/>
      <c r="CL96" s="505"/>
      <c r="CM96" s="505"/>
    </row>
    <row r="97" customFormat="false" ht="12.75" hidden="false" customHeight="false" outlineLevel="0" collapsed="false">
      <c r="A97" s="500"/>
      <c r="B97" s="500"/>
      <c r="D97" s="361" t="e">
        <f aca="false">D96+AH96</f>
        <v>#VALUE!</v>
      </c>
      <c r="F97" s="362" t="e">
        <f aca="false">VLOOKUP(AG97,$AL$4:$AS$15,2)</f>
        <v>#VALUE!</v>
      </c>
      <c r="G97" s="362" t="e">
        <f aca="false">F97*$AU97</f>
        <v>#VALUE!</v>
      </c>
      <c r="H97" s="363" t="e">
        <f aca="false">(AL97+AM97+AN97)/(1-(AR97))</f>
        <v>#VALUE!</v>
      </c>
      <c r="I97" s="363" t="e">
        <f aca="false">(AL97+AO97+AP97)</f>
        <v>#VALUE!</v>
      </c>
      <c r="K97" s="363" t="e">
        <f aca="false">MAX(((I97-H97)-AQ97)*AU97*AH97,0)</f>
        <v>#VALUE!</v>
      </c>
      <c r="L97" s="501" t="e">
        <f aca="false">MAX(Q97-K97,0)</f>
        <v>#VALUE!</v>
      </c>
      <c r="N97" s="502" t="e">
        <f aca="false">SQRT(($AX97^2*($AH97/2)+$AW97^2*$AI97)/(($AH97/2)+$AI97))</f>
        <v>#VALUE!</v>
      </c>
      <c r="O97" s="502" t="e">
        <f aca="false">SQRT(($AY97^2*($AH97/2)+$AW97^2*$AI97)/(($AH97/2)+$AI97))</f>
        <v>#VALUE!</v>
      </c>
      <c r="P97" s="371" t="e">
        <f aca="false">(VLOOKUP(AI97,CorrelationTwo,2)*(AW97^2)*AI97+VLOOKUP(D97,CorrelationOne,$AK$9)*AX97*AY97*(AH97/2))/((AI97+(AH97/2))*O97*N97)*AF97</f>
        <v>#VALUE!</v>
      </c>
      <c r="Q97" s="501" t="e">
        <f aca="false">xSPRDOPT(I97,H97,AQ97,0,O97,N97,P97,D97-$G$5,1,0)*AH97*AU97</f>
        <v>#VALUE!</v>
      </c>
      <c r="R97" s="501"/>
      <c r="S97" s="365" t="e">
        <f aca="false">-T97/(1-AR97)</f>
        <v>#VALUE!</v>
      </c>
      <c r="T97" s="365" t="e">
        <f aca="false">xSPRDOPT(I97,H97,AQ97,AT97,O97,N97,P97,D97-$G$5,1,1)*AF97*F97*AH97</f>
        <v>#VALUE!</v>
      </c>
      <c r="U97" s="501"/>
      <c r="V97" s="503" t="e">
        <f aca="false">VLOOKUP($AG97,$AL$4:$AS$15,8)*AH97*AU97</f>
        <v>#VALUE!</v>
      </c>
      <c r="W97" s="503"/>
      <c r="X97" s="504" t="e">
        <f aca="false">((BM97*BC97)+(BL97*BB97))*AH97*F97</f>
        <v>#VALUE!</v>
      </c>
      <c r="Y97" s="504" t="e">
        <f aca="false">($F97*$AH97)*((($BG97/2)*($BC97)^2)+(($BF97/2)*($BB97)^2)+($BH97*$BC97*$BB97))</f>
        <v>#VALUE!</v>
      </c>
      <c r="Z97" s="504" t="e">
        <f aca="false">($BI97*$F97*$AH97*($G$5-$BV$5))/365.25</f>
        <v>#VALUE!</v>
      </c>
      <c r="AA97" s="504" t="e">
        <f aca="false">(($BK97*$BE97)+($BJ97*$BD97))*$F97*$AH97*$AF97</f>
        <v>#VALUE!</v>
      </c>
      <c r="AB97" s="504" t="e">
        <f aca="false">BN97*(AT97-CA97)*F97*AH97</f>
        <v>#VALUE!</v>
      </c>
      <c r="AC97" s="504" t="e">
        <f aca="false">BO97*CB97*F97*AH97*CA97*($G$5-$BV$5)/365.25</f>
        <v>#NAME?</v>
      </c>
      <c r="AF97" s="378" t="e">
        <f aca="false">IF(AND(D97&gt;=$G$7,D97&lt;=$G$8),1,0)</f>
        <v>#VALUE!</v>
      </c>
      <c r="AG97" s="378" t="e">
        <f aca="false">MONTH(D97)</f>
        <v>#VALUE!</v>
      </c>
      <c r="AH97" s="378" t="e">
        <f aca="false">(EOMONTH(D97,0)-EOMONTH(D97-DAY(D97),0))*AF97</f>
        <v>#VALUE!</v>
      </c>
      <c r="AI97" s="378" t="e">
        <f aca="false">AI96+AH96</f>
        <v>#VALUE!</v>
      </c>
      <c r="AJ97" s="378" t="e">
        <f aca="false">D97-$BV$5</f>
        <v>#VALUE!</v>
      </c>
      <c r="AL97" s="369" t="e">
        <f aca="false">VLOOKUP($D97,CurveTbl,$AK$4)</f>
        <v>#VALUE!</v>
      </c>
      <c r="AM97" s="505" t="e">
        <f aca="false">VLOOKUP($D97,CurveTbl,$AH$3)</f>
        <v>#VALUE!</v>
      </c>
      <c r="AN97" s="505" t="e">
        <f aca="false">VLOOKUP($D97,CurveTbl,$AH$4)+VLOOKUP($AG97,$AL$3:$AS$15,6)</f>
        <v>#VALUE!</v>
      </c>
      <c r="AO97" s="505" t="e">
        <f aca="false">VLOOKUP($D97,CurveTbl,$AH$5)</f>
        <v>#VALUE!</v>
      </c>
      <c r="AP97" s="505" t="e">
        <f aca="false">VLOOKUP($D97,CurveTbl,$AH$6)+VLOOKUP($AG97,$AL$3:$AS$15,7)</f>
        <v>#VALUE!</v>
      </c>
      <c r="AQ97" s="369" t="e">
        <f aca="false">VLOOKUP($AG97,$AL$4:$AS$15,3)+VLOOKUP($AG97,$AL$4:$AS$15,5)+($AH$10*VLOOKUP(D97,GRITable,2))</f>
        <v>#VALUE!</v>
      </c>
      <c r="AR97" s="370" t="e">
        <f aca="false">VLOOKUP($AG97,$AL$4:$AS$15,4)</f>
        <v>#VALUE!</v>
      </c>
      <c r="AS97" s="369" t="e">
        <f aca="false">(AL97+AM97+AN97)</f>
        <v>#VALUE!</v>
      </c>
      <c r="AT97" s="370" t="e">
        <f aca="false">VLOOKUP(D97,CurveTbl,$AK$6)</f>
        <v>#VALUE!</v>
      </c>
      <c r="AU97" s="370" t="e">
        <f aca="false">(1+$AT97/2)^(-2*($D97-$G$5)/365.25)*$AF97</f>
        <v>#VALUE!</v>
      </c>
      <c r="AV97" s="506" t="e">
        <f aca="false">ROUND((F97/(1-AR97))-F97,0)*AF97*AH97*AU97</f>
        <v>#VALUE!</v>
      </c>
      <c r="AW97" s="370" t="e">
        <f aca="false">VLOOKUP($D97,CurveTbl,$AK$8)</f>
        <v>#VALUE!</v>
      </c>
      <c r="AX97" s="370" t="e">
        <f aca="false">VLOOKUP($D97,CurveTbl,$AH$7)</f>
        <v>#VALUE!</v>
      </c>
      <c r="AY97" s="370" t="e">
        <f aca="false">VLOOKUP($D97,CurveTbl,$AH$8)</f>
        <v>#VALUE!</v>
      </c>
      <c r="AZ97" s="370"/>
      <c r="BA97" s="507"/>
      <c r="BB97" s="505" t="e">
        <f aca="false">$H97-$BV97</f>
        <v>#VALUE!</v>
      </c>
      <c r="BC97" s="505" t="e">
        <f aca="false">I97-BW97</f>
        <v>#VALUE!</v>
      </c>
      <c r="BD97" s="370" t="e">
        <f aca="false">N97-BX97</f>
        <v>#VALUE!</v>
      </c>
      <c r="BE97" s="370" t="e">
        <f aca="false">O97-BY97</f>
        <v>#VALUE!</v>
      </c>
      <c r="BF97" s="370" t="e">
        <f aca="false">xSPRDOPT($BW97,$BV97,$CG97,0,$BY97,$BX97,$BZ97,$AJ97,1,4)*$CB97</f>
        <v>#NAME?</v>
      </c>
      <c r="BG97" s="370" t="e">
        <f aca="false">xSPRDOPT($BW97,$BV97,$CG97,0,$BY97,$BX97,$BZ97,$AJ97,1,3)*$CB97</f>
        <v>#NAME?</v>
      </c>
      <c r="BH97" s="370" t="e">
        <f aca="false">IF(OR(BF97&lt;&gt;0,BG97&lt;&gt;0),xSPRDOPT($BW97,$BV97,$CG97,0,$BY97,$BX97,$BZ97,$AJ97,1,12)*$CB97,0)</f>
        <v>#NAME?</v>
      </c>
      <c r="BI97" s="370" t="e">
        <f aca="false">xSPRDOPT($BW97,$BV97,$CG97,2*LN(1+CA97/2),$BY97,$BX97,$BZ97,$AJ97,1,9)</f>
        <v>#NAME?</v>
      </c>
      <c r="BJ97" s="370" t="e">
        <f aca="false">xSPRDOPT($BW97,$BV97,$CG97,0,$BY97,$BX97,$BZ97,$AJ97,1,6)*$CB97</f>
        <v>#NAME?</v>
      </c>
      <c r="BK97" s="370" t="e">
        <f aca="false">xSPRDOPT($BW97,$BV97,$CG97,0,$BY97,$BX97,$BZ97,$AJ97,1,5)*$CB97</f>
        <v>#NAME?</v>
      </c>
      <c r="BL97" s="370" t="e">
        <f aca="false">xSPRDOPT(BW97,BV97,CG97,0,BY97,BX97,BZ97,AJ97,1,2)*CB97</f>
        <v>#NAME?</v>
      </c>
      <c r="BM97" s="370" t="e">
        <f aca="false">xSPRDOPT(BW97,BV97,CG97,0,BY97,BX97,BZ97,AJ97,1,1)*CB97</f>
        <v>#NAME?</v>
      </c>
      <c r="BN97" s="370" t="e">
        <f aca="false">IF(AH97&lt;&gt;0,xSPRDOPT($BW97,$BV97,$CG97,2*LN(1+CA97/2),$BY97,$BX97,$BZ97,$AJ97,1,8)+(AJ97/365.25)*CH97/AH97,0)</f>
        <v>#VALUE!</v>
      </c>
      <c r="BO97" s="370" t="e">
        <f aca="false">xSPRDOPT($BW97,$BV97,$CG97,0,$BY97,$BX97,$BZ97,$AJ97,1,0)</f>
        <v>#NAME?</v>
      </c>
      <c r="BP97" s="370"/>
      <c r="BQ97" s="370"/>
      <c r="BR97" s="370"/>
      <c r="BS97" s="370"/>
      <c r="BV97" s="508" t="n">
        <v>3.61790281329923</v>
      </c>
      <c r="BW97" s="369" t="n">
        <v>4.1145</v>
      </c>
      <c r="BX97" s="370" t="n">
        <v>0.231503677041643</v>
      </c>
      <c r="BY97" s="370" t="n">
        <v>0.231503677041643</v>
      </c>
      <c r="BZ97" s="370" t="n">
        <v>1</v>
      </c>
      <c r="CA97" s="370" t="n">
        <v>0.0565617051963172</v>
      </c>
      <c r="CB97" s="370" t="n">
        <v>0.702319574274982</v>
      </c>
      <c r="CC97" s="505" t="n">
        <v>0.012</v>
      </c>
      <c r="CD97" s="505" t="n">
        <v>0.01</v>
      </c>
      <c r="CE97" s="505" t="n">
        <v>0.6</v>
      </c>
      <c r="CF97" s="505" t="n">
        <v>0</v>
      </c>
      <c r="CG97" s="505" t="n">
        <v>0.0364</v>
      </c>
      <c r="CH97" s="505" t="n">
        <v>7.76835681105557</v>
      </c>
      <c r="CI97" s="505" t="n">
        <v>3.5145</v>
      </c>
      <c r="CJ97" s="505"/>
      <c r="CK97" s="505"/>
      <c r="CL97" s="505"/>
      <c r="CM97" s="505"/>
    </row>
    <row r="98" customFormat="false" ht="12.75" hidden="false" customHeight="false" outlineLevel="0" collapsed="false">
      <c r="A98" s="500"/>
      <c r="B98" s="500"/>
      <c r="D98" s="361" t="e">
        <f aca="false">D97+AH97</f>
        <v>#VALUE!</v>
      </c>
      <c r="F98" s="362" t="e">
        <f aca="false">VLOOKUP(AG98,$AL$4:$AS$15,2)</f>
        <v>#VALUE!</v>
      </c>
      <c r="G98" s="362" t="e">
        <f aca="false">F98*$AU98</f>
        <v>#VALUE!</v>
      </c>
      <c r="H98" s="363" t="e">
        <f aca="false">(AL98+AM98+AN98)/(1-(AR98))</f>
        <v>#VALUE!</v>
      </c>
      <c r="I98" s="363" t="e">
        <f aca="false">(AL98+AO98+AP98)</f>
        <v>#VALUE!</v>
      </c>
      <c r="K98" s="363" t="e">
        <f aca="false">MAX(((I98-H98)-AQ98)*AU98*AH98,0)</f>
        <v>#VALUE!</v>
      </c>
      <c r="L98" s="501" t="e">
        <f aca="false">MAX(Q98-K98,0)</f>
        <v>#VALUE!</v>
      </c>
      <c r="N98" s="502" t="e">
        <f aca="false">SQRT(($AX98^2*($AH98/2)+$AW98^2*$AI98)/(($AH98/2)+$AI98))</f>
        <v>#VALUE!</v>
      </c>
      <c r="O98" s="502" t="e">
        <f aca="false">SQRT(($AY98^2*($AH98/2)+$AW98^2*$AI98)/(($AH98/2)+$AI98))</f>
        <v>#VALUE!</v>
      </c>
      <c r="P98" s="371" t="e">
        <f aca="false">(VLOOKUP(AI98,CorrelationTwo,2)*(AW98^2)*AI98+VLOOKUP(D98,CorrelationOne,$AK$9)*AX98*AY98*(AH98/2))/((AI98+(AH98/2))*O98*N98)*AF98</f>
        <v>#VALUE!</v>
      </c>
      <c r="Q98" s="501" t="e">
        <f aca="false">xSPRDOPT(I98,H98,AQ98,0,O98,N98,P98,D98-$G$5,1,0)*AH98*AU98</f>
        <v>#VALUE!</v>
      </c>
      <c r="R98" s="501"/>
      <c r="S98" s="365" t="e">
        <f aca="false">-T98/(1-AR98)</f>
        <v>#VALUE!</v>
      </c>
      <c r="T98" s="365" t="e">
        <f aca="false">xSPRDOPT(I98,H98,AQ98,AT98,O98,N98,P98,D98-$G$5,1,1)*AF98*F98*AH98</f>
        <v>#VALUE!</v>
      </c>
      <c r="U98" s="501"/>
      <c r="V98" s="503" t="e">
        <f aca="false">VLOOKUP($AG98,$AL$4:$AS$15,8)*AH98*AU98</f>
        <v>#VALUE!</v>
      </c>
      <c r="W98" s="503"/>
      <c r="X98" s="504" t="e">
        <f aca="false">((BM98*BC98)+(BL98*BB98))*AH98*F98</f>
        <v>#VALUE!</v>
      </c>
      <c r="Y98" s="504" t="e">
        <f aca="false">($F98*$AH98)*((($BG98/2)*($BC98)^2)+(($BF98/2)*($BB98)^2)+($BH98*$BC98*$BB98))</f>
        <v>#VALUE!</v>
      </c>
      <c r="Z98" s="504" t="e">
        <f aca="false">($BI98*$F98*$AH98*($G$5-$BV$5))/365.25</f>
        <v>#VALUE!</v>
      </c>
      <c r="AA98" s="504" t="e">
        <f aca="false">(($BK98*$BE98)+($BJ98*$BD98))*$F98*$AH98*$AF98</f>
        <v>#VALUE!</v>
      </c>
      <c r="AB98" s="504" t="e">
        <f aca="false">BN98*(AT98-CA98)*F98*AH98</f>
        <v>#VALUE!</v>
      </c>
      <c r="AC98" s="504" t="e">
        <f aca="false">BO98*CB98*F98*AH98*CA98*($G$5-$BV$5)/365.25</f>
        <v>#NAME?</v>
      </c>
      <c r="AF98" s="378" t="e">
        <f aca="false">IF(AND(D98&gt;=$G$7,D98&lt;=$G$8),1,0)</f>
        <v>#VALUE!</v>
      </c>
      <c r="AG98" s="378" t="e">
        <f aca="false">MONTH(D98)</f>
        <v>#VALUE!</v>
      </c>
      <c r="AH98" s="378" t="e">
        <f aca="false">(EOMONTH(D98,0)-EOMONTH(D98-DAY(D98),0))*AF98</f>
        <v>#VALUE!</v>
      </c>
      <c r="AI98" s="378" t="e">
        <f aca="false">AI97+AH97</f>
        <v>#VALUE!</v>
      </c>
      <c r="AJ98" s="378" t="e">
        <f aca="false">D98-$BV$5</f>
        <v>#VALUE!</v>
      </c>
      <c r="AL98" s="369" t="e">
        <f aca="false">VLOOKUP($D98,CurveTbl,$AK$4)</f>
        <v>#VALUE!</v>
      </c>
      <c r="AM98" s="505" t="e">
        <f aca="false">VLOOKUP($D98,CurveTbl,$AH$3)</f>
        <v>#VALUE!</v>
      </c>
      <c r="AN98" s="505" t="e">
        <f aca="false">VLOOKUP($D98,CurveTbl,$AH$4)+VLOOKUP($AG98,$AL$3:$AS$15,6)</f>
        <v>#VALUE!</v>
      </c>
      <c r="AO98" s="505" t="e">
        <f aca="false">VLOOKUP($D98,CurveTbl,$AH$5)</f>
        <v>#VALUE!</v>
      </c>
      <c r="AP98" s="505" t="e">
        <f aca="false">VLOOKUP($D98,CurveTbl,$AH$6)+VLOOKUP($AG98,$AL$3:$AS$15,7)</f>
        <v>#VALUE!</v>
      </c>
      <c r="AQ98" s="369" t="e">
        <f aca="false">VLOOKUP($AG98,$AL$4:$AS$15,3)+VLOOKUP($AG98,$AL$4:$AS$15,5)+($AH$10*VLOOKUP(D98,GRITable,2))</f>
        <v>#VALUE!</v>
      </c>
      <c r="AR98" s="370" t="e">
        <f aca="false">VLOOKUP($AG98,$AL$4:$AS$15,4)</f>
        <v>#VALUE!</v>
      </c>
      <c r="AS98" s="369" t="e">
        <f aca="false">(AL98+AM98+AN98)</f>
        <v>#VALUE!</v>
      </c>
      <c r="AT98" s="370" t="e">
        <f aca="false">VLOOKUP(D98,CurveTbl,$AK$6)</f>
        <v>#VALUE!</v>
      </c>
      <c r="AU98" s="370" t="e">
        <f aca="false">(1+$AT98/2)^(-2*($D98-$G$5)/365.25)*$AF98</f>
        <v>#VALUE!</v>
      </c>
      <c r="AV98" s="506" t="e">
        <f aca="false">ROUND((F98/(1-AR98))-F98,0)*AF98*AH98*AU98</f>
        <v>#VALUE!</v>
      </c>
      <c r="AW98" s="370" t="e">
        <f aca="false">VLOOKUP($D98,CurveTbl,$AK$8)</f>
        <v>#VALUE!</v>
      </c>
      <c r="AX98" s="370" t="e">
        <f aca="false">VLOOKUP($D98,CurveTbl,$AH$7)</f>
        <v>#VALUE!</v>
      </c>
      <c r="AY98" s="370" t="e">
        <f aca="false">VLOOKUP($D98,CurveTbl,$AH$8)</f>
        <v>#VALUE!</v>
      </c>
      <c r="AZ98" s="370"/>
      <c r="BA98" s="507"/>
      <c r="BB98" s="505" t="e">
        <f aca="false">$H98-$BV98</f>
        <v>#VALUE!</v>
      </c>
      <c r="BC98" s="505" t="e">
        <f aca="false">I98-BW98</f>
        <v>#VALUE!</v>
      </c>
      <c r="BD98" s="370" t="e">
        <f aca="false">N98-BX98</f>
        <v>#VALUE!</v>
      </c>
      <c r="BE98" s="370" t="e">
        <f aca="false">O98-BY98</f>
        <v>#VALUE!</v>
      </c>
      <c r="BF98" s="370" t="e">
        <f aca="false">xSPRDOPT($BW98,$BV98,$CG98,0,$BY98,$BX98,$BZ98,$AJ98,1,4)*$CB98</f>
        <v>#NAME?</v>
      </c>
      <c r="BG98" s="370" t="e">
        <f aca="false">xSPRDOPT($BW98,$BV98,$CG98,0,$BY98,$BX98,$BZ98,$AJ98,1,3)*$CB98</f>
        <v>#NAME?</v>
      </c>
      <c r="BH98" s="370" t="e">
        <f aca="false">IF(OR(BF98&lt;&gt;0,BG98&lt;&gt;0),xSPRDOPT($BW98,$BV98,$CG98,0,$BY98,$BX98,$BZ98,$AJ98,1,12)*$CB98,0)</f>
        <v>#NAME?</v>
      </c>
      <c r="BI98" s="370" t="e">
        <f aca="false">xSPRDOPT($BW98,$BV98,$CG98,2*LN(1+CA98/2),$BY98,$BX98,$BZ98,$AJ98,1,9)</f>
        <v>#NAME?</v>
      </c>
      <c r="BJ98" s="370" t="e">
        <f aca="false">xSPRDOPT($BW98,$BV98,$CG98,0,$BY98,$BX98,$BZ98,$AJ98,1,6)*$CB98</f>
        <v>#NAME?</v>
      </c>
      <c r="BK98" s="370" t="e">
        <f aca="false">xSPRDOPT($BW98,$BV98,$CG98,0,$BY98,$BX98,$BZ98,$AJ98,1,5)*$CB98</f>
        <v>#NAME?</v>
      </c>
      <c r="BL98" s="370" t="e">
        <f aca="false">xSPRDOPT(BW98,BV98,CG98,0,BY98,BX98,BZ98,AJ98,1,2)*CB98</f>
        <v>#NAME?</v>
      </c>
      <c r="BM98" s="370" t="e">
        <f aca="false">xSPRDOPT(BW98,BV98,CG98,0,BY98,BX98,BZ98,AJ98,1,1)*CB98</f>
        <v>#NAME?</v>
      </c>
      <c r="BN98" s="370" t="e">
        <f aca="false">IF(AH98&lt;&gt;0,xSPRDOPT($BW98,$BV98,$CG98,2*LN(1+CA98/2),$BY98,$BX98,$BZ98,$AJ98,1,8)+(AJ98/365.25)*CH98/AH98,0)</f>
        <v>#VALUE!</v>
      </c>
      <c r="BO98" s="370" t="e">
        <f aca="false">xSPRDOPT($BW98,$BV98,$CG98,0,$BY98,$BX98,$BZ98,$AJ98,1,0)</f>
        <v>#NAME?</v>
      </c>
      <c r="BP98" s="370"/>
      <c r="BQ98" s="370"/>
      <c r="BR98" s="370"/>
      <c r="BS98" s="370"/>
      <c r="BV98" s="508" t="n">
        <v>3.6153452685422</v>
      </c>
      <c r="BW98" s="369" t="n">
        <v>4.2595</v>
      </c>
      <c r="BX98" s="370" t="n">
        <v>0.23213921792683</v>
      </c>
      <c r="BY98" s="370" t="n">
        <v>0.23213921792683</v>
      </c>
      <c r="BZ98" s="370" t="n">
        <v>1</v>
      </c>
      <c r="CA98" s="370" t="n">
        <v>0.0567397854004592</v>
      </c>
      <c r="CB98" s="370" t="n">
        <v>0.698332908048983</v>
      </c>
      <c r="CC98" s="505" t="n">
        <v>0.0145</v>
      </c>
      <c r="CD98" s="505" t="n">
        <v>0.01</v>
      </c>
      <c r="CE98" s="505" t="n">
        <v>0.75</v>
      </c>
      <c r="CF98" s="505" t="n">
        <v>0</v>
      </c>
      <c r="CG98" s="505" t="n">
        <v>0.0364</v>
      </c>
      <c r="CH98" s="505" t="n">
        <v>7.98173563912746</v>
      </c>
      <c r="CI98" s="505" t="n">
        <v>3.5095</v>
      </c>
      <c r="CJ98" s="505"/>
      <c r="CK98" s="505"/>
      <c r="CL98" s="505"/>
      <c r="CM98" s="505"/>
    </row>
    <row r="99" customFormat="false" ht="12.75" hidden="false" customHeight="false" outlineLevel="0" collapsed="false">
      <c r="A99" s="500"/>
      <c r="B99" s="500"/>
      <c r="D99" s="361" t="e">
        <f aca="false">D98+AH98</f>
        <v>#VALUE!</v>
      </c>
      <c r="F99" s="362" t="e">
        <f aca="false">VLOOKUP(AG99,$AL$4:$AS$15,2)</f>
        <v>#VALUE!</v>
      </c>
      <c r="G99" s="362" t="e">
        <f aca="false">F99*$AU99</f>
        <v>#VALUE!</v>
      </c>
      <c r="H99" s="363" t="e">
        <f aca="false">(AL99+AM99+AN99)/(1-(AR99))</f>
        <v>#VALUE!</v>
      </c>
      <c r="I99" s="363" t="e">
        <f aca="false">(AL99+AO99+AP99)</f>
        <v>#VALUE!</v>
      </c>
      <c r="K99" s="363" t="e">
        <f aca="false">MAX(((I99-H99)-AQ99)*AU99*AH99,0)</f>
        <v>#VALUE!</v>
      </c>
      <c r="L99" s="501" t="e">
        <f aca="false">MAX(Q99-K99,0)</f>
        <v>#VALUE!</v>
      </c>
      <c r="N99" s="502" t="e">
        <f aca="false">SQRT(($AX99^2*($AH99/2)+$AW99^2*$AI99)/(($AH99/2)+$AI99))</f>
        <v>#VALUE!</v>
      </c>
      <c r="O99" s="502" t="e">
        <f aca="false">SQRT(($AY99^2*($AH99/2)+$AW99^2*$AI99)/(($AH99/2)+$AI99))</f>
        <v>#VALUE!</v>
      </c>
      <c r="P99" s="371" t="e">
        <f aca="false">(VLOOKUP(AI99,CorrelationTwo,2)*(AW99^2)*AI99+VLOOKUP(D99,CorrelationOne,$AK$9)*AX99*AY99*(AH99/2))/((AI99+(AH99/2))*O99*N99)*AF99</f>
        <v>#VALUE!</v>
      </c>
      <c r="Q99" s="501" t="e">
        <f aca="false">xSPRDOPT(I99,H99,AQ99,0,O99,N99,P99,D99-$G$5,1,0)*AH99*AU99</f>
        <v>#VALUE!</v>
      </c>
      <c r="R99" s="501"/>
      <c r="S99" s="365" t="e">
        <f aca="false">-T99/(1-AR99)</f>
        <v>#VALUE!</v>
      </c>
      <c r="T99" s="365" t="e">
        <f aca="false">xSPRDOPT(I99,H99,AQ99,AT99,O99,N99,P99,D99-$G$5,1,1)*AF99*F99*AH99</f>
        <v>#VALUE!</v>
      </c>
      <c r="U99" s="501"/>
      <c r="V99" s="503" t="e">
        <f aca="false">VLOOKUP($AG99,$AL$4:$AS$15,8)*AH99*AU99</f>
        <v>#VALUE!</v>
      </c>
      <c r="W99" s="503"/>
      <c r="X99" s="504" t="e">
        <f aca="false">((BM99*BC99)+(BL99*BB99))*AH99*F99</f>
        <v>#VALUE!</v>
      </c>
      <c r="Y99" s="504" t="e">
        <f aca="false">($F99*$AH99)*((($BG99/2)*($BC99)^2)+(($BF99/2)*($BB99)^2)+($BH99*$BC99*$BB99))</f>
        <v>#VALUE!</v>
      </c>
      <c r="Z99" s="504" t="e">
        <f aca="false">($BI99*$F99*$AH99*($G$5-$BV$5))/365.25</f>
        <v>#VALUE!</v>
      </c>
      <c r="AA99" s="504" t="e">
        <f aca="false">(($BK99*$BE99)+($BJ99*$BD99))*$F99*$AH99*$AF99</f>
        <v>#VALUE!</v>
      </c>
      <c r="AB99" s="504" t="e">
        <f aca="false">BN99*(AT99-CA99)*F99*AH99</f>
        <v>#VALUE!</v>
      </c>
      <c r="AC99" s="504" t="e">
        <f aca="false">BO99*CB99*F99*AH99*CA99*($G$5-$BV$5)/365.25</f>
        <v>#NAME?</v>
      </c>
      <c r="AF99" s="378" t="e">
        <f aca="false">IF(AND(D99&gt;=$G$7,D99&lt;=$G$8),1,0)</f>
        <v>#VALUE!</v>
      </c>
      <c r="AG99" s="378" t="e">
        <f aca="false">MONTH(D99)</f>
        <v>#VALUE!</v>
      </c>
      <c r="AH99" s="378" t="e">
        <f aca="false">(EOMONTH(D99,0)-EOMONTH(D99-DAY(D99),0))*AF99</f>
        <v>#VALUE!</v>
      </c>
      <c r="AI99" s="378" t="e">
        <f aca="false">AI98+AH98</f>
        <v>#VALUE!</v>
      </c>
      <c r="AJ99" s="378" t="e">
        <f aca="false">D99-$BV$5</f>
        <v>#VALUE!</v>
      </c>
      <c r="AL99" s="369" t="e">
        <f aca="false">VLOOKUP($D99,CurveTbl,$AK$4)</f>
        <v>#VALUE!</v>
      </c>
      <c r="AM99" s="505" t="e">
        <f aca="false">VLOOKUP($D99,CurveTbl,$AH$3)</f>
        <v>#VALUE!</v>
      </c>
      <c r="AN99" s="505" t="e">
        <f aca="false">VLOOKUP($D99,CurveTbl,$AH$4)+VLOOKUP($AG99,$AL$3:$AS$15,6)</f>
        <v>#VALUE!</v>
      </c>
      <c r="AO99" s="505" t="e">
        <f aca="false">VLOOKUP($D99,CurveTbl,$AH$5)</f>
        <v>#VALUE!</v>
      </c>
      <c r="AP99" s="505" t="e">
        <f aca="false">VLOOKUP($D99,CurveTbl,$AH$6)+VLOOKUP($AG99,$AL$3:$AS$15,7)</f>
        <v>#VALUE!</v>
      </c>
      <c r="AQ99" s="369" t="e">
        <f aca="false">VLOOKUP($AG99,$AL$4:$AS$15,3)+VLOOKUP($AG99,$AL$4:$AS$15,5)+($AH$10*VLOOKUP(D99,GRITable,2))</f>
        <v>#VALUE!</v>
      </c>
      <c r="AR99" s="370" t="e">
        <f aca="false">VLOOKUP($AG99,$AL$4:$AS$15,4)</f>
        <v>#VALUE!</v>
      </c>
      <c r="AS99" s="369" t="e">
        <f aca="false">(AL99+AM99+AN99)</f>
        <v>#VALUE!</v>
      </c>
      <c r="AT99" s="370" t="e">
        <f aca="false">VLOOKUP(D99,CurveTbl,$AK$6)</f>
        <v>#VALUE!</v>
      </c>
      <c r="AU99" s="370" t="e">
        <f aca="false">(1+$AT99/2)^(-2*($D99-$G$5)/365.25)*$AF99</f>
        <v>#VALUE!</v>
      </c>
      <c r="AV99" s="506" t="e">
        <f aca="false">ROUND((F99/(1-AR99))-F99,0)*AF99*AH99*AU99</f>
        <v>#VALUE!</v>
      </c>
      <c r="AW99" s="370" t="e">
        <f aca="false">VLOOKUP($D99,CurveTbl,$AK$8)</f>
        <v>#VALUE!</v>
      </c>
      <c r="AX99" s="370" t="e">
        <f aca="false">VLOOKUP($D99,CurveTbl,$AH$7)</f>
        <v>#VALUE!</v>
      </c>
      <c r="AY99" s="370" t="e">
        <f aca="false">VLOOKUP($D99,CurveTbl,$AH$8)</f>
        <v>#VALUE!</v>
      </c>
      <c r="AZ99" s="370"/>
      <c r="BA99" s="507"/>
      <c r="BB99" s="505" t="e">
        <f aca="false">$H99-$BV99</f>
        <v>#VALUE!</v>
      </c>
      <c r="BC99" s="505" t="e">
        <f aca="false">I99-BW99</f>
        <v>#VALUE!</v>
      </c>
      <c r="BD99" s="370" t="e">
        <f aca="false">N99-BX99</f>
        <v>#VALUE!</v>
      </c>
      <c r="BE99" s="370" t="e">
        <f aca="false">O99-BY99</f>
        <v>#VALUE!</v>
      </c>
      <c r="BF99" s="370" t="e">
        <f aca="false">xSPRDOPT($BW99,$BV99,$CG99,0,$BY99,$BX99,$BZ99,$AJ99,1,4)*$CB99</f>
        <v>#NAME?</v>
      </c>
      <c r="BG99" s="370" t="e">
        <f aca="false">xSPRDOPT($BW99,$BV99,$CG99,0,$BY99,$BX99,$BZ99,$AJ99,1,3)*$CB99</f>
        <v>#NAME?</v>
      </c>
      <c r="BH99" s="370" t="e">
        <f aca="false">IF(OR(BF99&lt;&gt;0,BG99&lt;&gt;0),xSPRDOPT($BW99,$BV99,$CG99,0,$BY99,$BX99,$BZ99,$AJ99,1,12)*$CB99,0)</f>
        <v>#NAME?</v>
      </c>
      <c r="BI99" s="370" t="e">
        <f aca="false">xSPRDOPT($BW99,$BV99,$CG99,2*LN(1+CA99/2),$BY99,$BX99,$BZ99,$AJ99,1,9)</f>
        <v>#NAME?</v>
      </c>
      <c r="BJ99" s="370" t="e">
        <f aca="false">xSPRDOPT($BW99,$BV99,$CG99,0,$BY99,$BX99,$BZ99,$AJ99,1,6)*$CB99</f>
        <v>#NAME?</v>
      </c>
      <c r="BK99" s="370" t="e">
        <f aca="false">xSPRDOPT($BW99,$BV99,$CG99,0,$BY99,$BX99,$BZ99,$AJ99,1,5)*$CB99</f>
        <v>#NAME?</v>
      </c>
      <c r="BL99" s="370" t="e">
        <f aca="false">xSPRDOPT(BW99,BV99,CG99,0,BY99,BX99,BZ99,AJ99,1,2)*CB99</f>
        <v>#NAME?</v>
      </c>
      <c r="BM99" s="370" t="e">
        <f aca="false">xSPRDOPT(BW99,BV99,CG99,0,BY99,BX99,BZ99,AJ99,1,1)*CB99</f>
        <v>#NAME?</v>
      </c>
      <c r="BN99" s="370" t="e">
        <f aca="false">IF(AH99&lt;&gt;0,xSPRDOPT($BW99,$BV99,$CG99,2*LN(1+CA99/2),$BY99,$BX99,$BZ99,$AJ99,1,8)+(AJ99/365.25)*CH99/AH99,0)</f>
        <v>#VALUE!</v>
      </c>
      <c r="BO99" s="370" t="e">
        <f aca="false">xSPRDOPT($BW99,$BV99,$CG99,0,$BY99,$BX99,$BZ99,$AJ99,1,0)</f>
        <v>#NAME?</v>
      </c>
      <c r="BP99" s="370"/>
      <c r="BQ99" s="370"/>
      <c r="BR99" s="370"/>
      <c r="BS99" s="370"/>
      <c r="BV99" s="508" t="n">
        <v>3.65115089514066</v>
      </c>
      <c r="BW99" s="369" t="n">
        <v>4.3945</v>
      </c>
      <c r="BX99" s="370" t="n">
        <v>0.232044057119428</v>
      </c>
      <c r="BY99" s="370" t="n">
        <v>0.232044057119428</v>
      </c>
      <c r="BZ99" s="370" t="n">
        <v>1</v>
      </c>
      <c r="CA99" s="370" t="n">
        <v>0.056923801622494</v>
      </c>
      <c r="CB99" s="370" t="n">
        <v>0.694216449063231</v>
      </c>
      <c r="CC99" s="505" t="n">
        <v>0.0145</v>
      </c>
      <c r="CD99" s="505" t="n">
        <v>0.01</v>
      </c>
      <c r="CE99" s="505" t="n">
        <v>0.85</v>
      </c>
      <c r="CF99" s="505" t="n">
        <v>0</v>
      </c>
      <c r="CG99" s="505" t="n">
        <v>0.0364</v>
      </c>
      <c r="CH99" s="505" t="n">
        <v>7.6787281430884</v>
      </c>
      <c r="CI99" s="505" t="n">
        <v>3.5445</v>
      </c>
      <c r="CJ99" s="505"/>
      <c r="CK99" s="505"/>
      <c r="CL99" s="505"/>
      <c r="CM99" s="505"/>
    </row>
    <row r="100" customFormat="false" ht="12.75" hidden="false" customHeight="false" outlineLevel="0" collapsed="false">
      <c r="A100" s="500"/>
      <c r="B100" s="500"/>
      <c r="D100" s="361" t="e">
        <f aca="false">D99+AH99</f>
        <v>#VALUE!</v>
      </c>
      <c r="F100" s="362" t="e">
        <f aca="false">VLOOKUP(AG100,$AL$4:$AS$15,2)</f>
        <v>#VALUE!</v>
      </c>
      <c r="G100" s="362" t="e">
        <f aca="false">F100*$AU100</f>
        <v>#VALUE!</v>
      </c>
      <c r="H100" s="363" t="e">
        <f aca="false">(AL100+AM100+AN100)/(1-(AR100))</f>
        <v>#VALUE!</v>
      </c>
      <c r="I100" s="363" t="e">
        <f aca="false">(AL100+AO100+AP100)</f>
        <v>#VALUE!</v>
      </c>
      <c r="K100" s="363" t="e">
        <f aca="false">MAX(((I100-H100)-AQ100)*AU100*AH100,0)</f>
        <v>#VALUE!</v>
      </c>
      <c r="L100" s="501" t="e">
        <f aca="false">MAX(Q100-K100,0)</f>
        <v>#VALUE!</v>
      </c>
      <c r="N100" s="502" t="e">
        <f aca="false">SQRT(($AX100^2*($AH100/2)+$AW100^2*$AI100)/(($AH100/2)+$AI100))</f>
        <v>#VALUE!</v>
      </c>
      <c r="O100" s="502" t="e">
        <f aca="false">SQRT(($AY100^2*($AH100/2)+$AW100^2*$AI100)/(($AH100/2)+$AI100))</f>
        <v>#VALUE!</v>
      </c>
      <c r="P100" s="371" t="e">
        <f aca="false">(VLOOKUP(AI100,CorrelationTwo,2)*(AW100^2)*AI100+VLOOKUP(D100,CorrelationOne,$AK$9)*AX100*AY100*(AH100/2))/((AI100+(AH100/2))*O100*N100)*AF100</f>
        <v>#VALUE!</v>
      </c>
      <c r="Q100" s="501" t="e">
        <f aca="false">xSPRDOPT(I100,H100,AQ100,0,O100,N100,P100,D100-$G$5,1,0)*AH100*AU100</f>
        <v>#VALUE!</v>
      </c>
      <c r="R100" s="501"/>
      <c r="S100" s="365" t="e">
        <f aca="false">-T100/(1-AR100)</f>
        <v>#VALUE!</v>
      </c>
      <c r="T100" s="365" t="e">
        <f aca="false">xSPRDOPT(I100,H100,AQ100,AT100,O100,N100,P100,D100-$G$5,1,1)*AF100*F100*AH100</f>
        <v>#VALUE!</v>
      </c>
      <c r="U100" s="501"/>
      <c r="V100" s="503" t="e">
        <f aca="false">VLOOKUP($AG100,$AL$4:$AS$15,8)*AH100*AU100</f>
        <v>#VALUE!</v>
      </c>
      <c r="W100" s="503"/>
      <c r="X100" s="504" t="e">
        <f aca="false">((BM100*BC100)+(BL100*BB100))*AH100*F100</f>
        <v>#VALUE!</v>
      </c>
      <c r="Y100" s="504" t="e">
        <f aca="false">($F100*$AH100)*((($BG100/2)*($BC100)^2)+(($BF100/2)*($BB100)^2)+($BH100*$BC100*$BB100))</f>
        <v>#VALUE!</v>
      </c>
      <c r="Z100" s="504" t="e">
        <f aca="false">($BI100*$F100*$AH100*($G$5-$BV$5))/365.25</f>
        <v>#VALUE!</v>
      </c>
      <c r="AA100" s="504" t="e">
        <f aca="false">(($BK100*$BE100)+($BJ100*$BD100))*$F100*$AH100*$AF100</f>
        <v>#VALUE!</v>
      </c>
      <c r="AB100" s="504" t="e">
        <f aca="false">BN100*(AT100-CA100)*F100*AH100</f>
        <v>#VALUE!</v>
      </c>
      <c r="AC100" s="504" t="e">
        <f aca="false">BO100*CB100*F100*AH100*CA100*($G$5-$BV$5)/365.25</f>
        <v>#NAME?</v>
      </c>
      <c r="AF100" s="378" t="e">
        <f aca="false">IF(AND(D100&gt;=$G$7,D100&lt;=$G$8),1,0)</f>
        <v>#VALUE!</v>
      </c>
      <c r="AG100" s="378" t="e">
        <f aca="false">MONTH(D100)</f>
        <v>#VALUE!</v>
      </c>
      <c r="AH100" s="378" t="e">
        <f aca="false">(EOMONTH(D100,0)-EOMONTH(D100-DAY(D100),0))*AF100</f>
        <v>#VALUE!</v>
      </c>
      <c r="AI100" s="378" t="e">
        <f aca="false">AI99+AH99</f>
        <v>#VALUE!</v>
      </c>
      <c r="AJ100" s="378" t="e">
        <f aca="false">D100-$BV$5</f>
        <v>#VALUE!</v>
      </c>
      <c r="AL100" s="369" t="e">
        <f aca="false">VLOOKUP($D100,CurveTbl,$AK$4)</f>
        <v>#VALUE!</v>
      </c>
      <c r="AM100" s="505" t="e">
        <f aca="false">VLOOKUP($D100,CurveTbl,$AH$3)</f>
        <v>#VALUE!</v>
      </c>
      <c r="AN100" s="505" t="e">
        <f aca="false">VLOOKUP($D100,CurveTbl,$AH$4)+VLOOKUP($AG100,$AL$3:$AS$15,6)</f>
        <v>#VALUE!</v>
      </c>
      <c r="AO100" s="505" t="e">
        <f aca="false">VLOOKUP($D100,CurveTbl,$AH$5)</f>
        <v>#VALUE!</v>
      </c>
      <c r="AP100" s="505" t="e">
        <f aca="false">VLOOKUP($D100,CurveTbl,$AH$6)+VLOOKUP($AG100,$AL$3:$AS$15,7)</f>
        <v>#VALUE!</v>
      </c>
      <c r="AQ100" s="369" t="e">
        <f aca="false">VLOOKUP($AG100,$AL$4:$AS$15,3)+VLOOKUP($AG100,$AL$4:$AS$15,5)+($AH$10*VLOOKUP(D100,GRITable,2))</f>
        <v>#VALUE!</v>
      </c>
      <c r="AR100" s="370" t="e">
        <f aca="false">VLOOKUP($AG100,$AL$4:$AS$15,4)</f>
        <v>#VALUE!</v>
      </c>
      <c r="AS100" s="369" t="e">
        <f aca="false">(AL100+AM100+AN100)</f>
        <v>#VALUE!</v>
      </c>
      <c r="AT100" s="370" t="e">
        <f aca="false">VLOOKUP(D100,CurveTbl,$AK$6)</f>
        <v>#VALUE!</v>
      </c>
      <c r="AU100" s="370" t="e">
        <f aca="false">(1+$AT100/2)^(-2*($D100-$G$5)/365.25)*$AF100</f>
        <v>#VALUE!</v>
      </c>
      <c r="AV100" s="506" t="e">
        <f aca="false">ROUND((F100/(1-AR100))-F100,0)*AF100*AH100*AU100</f>
        <v>#VALUE!</v>
      </c>
      <c r="AW100" s="370" t="e">
        <f aca="false">VLOOKUP($D100,CurveTbl,$AK$8)</f>
        <v>#VALUE!</v>
      </c>
      <c r="AX100" s="370" t="e">
        <f aca="false">VLOOKUP($D100,CurveTbl,$AH$7)</f>
        <v>#VALUE!</v>
      </c>
      <c r="AY100" s="370" t="e">
        <f aca="false">VLOOKUP($D100,CurveTbl,$AH$8)</f>
        <v>#VALUE!</v>
      </c>
      <c r="AZ100" s="370"/>
      <c r="BA100" s="507"/>
      <c r="BB100" s="505" t="e">
        <f aca="false">$H100-$BV100</f>
        <v>#VALUE!</v>
      </c>
      <c r="BC100" s="505" t="e">
        <f aca="false">I100-BW100</f>
        <v>#VALUE!</v>
      </c>
      <c r="BD100" s="370" t="e">
        <f aca="false">N100-BX100</f>
        <v>#VALUE!</v>
      </c>
      <c r="BE100" s="370" t="e">
        <f aca="false">O100-BY100</f>
        <v>#VALUE!</v>
      </c>
      <c r="BF100" s="370" t="e">
        <f aca="false">xSPRDOPT($BW100,$BV100,$CG100,0,$BY100,$BX100,$BZ100,$AJ100,1,4)*$CB100</f>
        <v>#NAME?</v>
      </c>
      <c r="BG100" s="370" t="e">
        <f aca="false">xSPRDOPT($BW100,$BV100,$CG100,0,$BY100,$BX100,$BZ100,$AJ100,1,3)*$CB100</f>
        <v>#NAME?</v>
      </c>
      <c r="BH100" s="370" t="e">
        <f aca="false">IF(OR(BF100&lt;&gt;0,BG100&lt;&gt;0),xSPRDOPT($BW100,$BV100,$CG100,0,$BY100,$BX100,$BZ100,$AJ100,1,12)*$CB100,0)</f>
        <v>#NAME?</v>
      </c>
      <c r="BI100" s="370" t="e">
        <f aca="false">xSPRDOPT($BW100,$BV100,$CG100,2*LN(1+CA100/2),$BY100,$BX100,$BZ100,$AJ100,1,9)</f>
        <v>#NAME?</v>
      </c>
      <c r="BJ100" s="370" t="e">
        <f aca="false">xSPRDOPT($BW100,$BV100,$CG100,0,$BY100,$BX100,$BZ100,$AJ100,1,6)*$CB100</f>
        <v>#NAME?</v>
      </c>
      <c r="BK100" s="370" t="e">
        <f aca="false">xSPRDOPT($BW100,$BV100,$CG100,0,$BY100,$BX100,$BZ100,$AJ100,1,5)*$CB100</f>
        <v>#NAME?</v>
      </c>
      <c r="BL100" s="370" t="e">
        <f aca="false">xSPRDOPT(BW100,BV100,CG100,0,BY100,BX100,BZ100,AJ100,1,2)*CB100</f>
        <v>#NAME?</v>
      </c>
      <c r="BM100" s="370" t="e">
        <f aca="false">xSPRDOPT(BW100,BV100,CG100,0,BY100,BX100,BZ100,AJ100,1,1)*CB100</f>
        <v>#NAME?</v>
      </c>
      <c r="BN100" s="370" t="e">
        <f aca="false">IF(AH100&lt;&gt;0,xSPRDOPT($BW100,$BV100,$CG100,2*LN(1+CA100/2),$BY100,$BX100,$BZ100,$AJ100,1,8)+(AJ100/365.25)*CH100/AH100,0)</f>
        <v>#VALUE!</v>
      </c>
      <c r="BO100" s="370" t="e">
        <f aca="false">xSPRDOPT($BW100,$BV100,$CG100,0,$BY100,$BX100,$BZ100,$AJ100,1,0)</f>
        <v>#NAME?</v>
      </c>
      <c r="BP100" s="370"/>
      <c r="BQ100" s="370"/>
      <c r="BR100" s="370"/>
      <c r="BS100" s="370"/>
      <c r="BV100" s="508" t="n">
        <v>3.6920716112532</v>
      </c>
      <c r="BW100" s="369" t="n">
        <v>4.6345</v>
      </c>
      <c r="BX100" s="370" t="n">
        <v>0.232743419397419</v>
      </c>
      <c r="BY100" s="370" t="n">
        <v>0.232743419397419</v>
      </c>
      <c r="BZ100" s="370" t="n">
        <v>1</v>
      </c>
      <c r="CA100" s="370" t="n">
        <v>0.0571018818480948</v>
      </c>
      <c r="CB100" s="370" t="n">
        <v>0.690235992159944</v>
      </c>
      <c r="CC100" s="505" t="n">
        <v>0.0145</v>
      </c>
      <c r="CD100" s="505" t="n">
        <v>0.01</v>
      </c>
      <c r="CE100" s="505" t="n">
        <v>1.05</v>
      </c>
      <c r="CF100" s="505" t="n">
        <v>0</v>
      </c>
      <c r="CG100" s="505" t="n">
        <v>0.0364</v>
      </c>
      <c r="CH100" s="505" t="n">
        <v>7.88919031959051</v>
      </c>
      <c r="CI100" s="505" t="n">
        <v>3.5845</v>
      </c>
      <c r="CJ100" s="505"/>
      <c r="CK100" s="505"/>
      <c r="CL100" s="505"/>
      <c r="CM100" s="505"/>
    </row>
    <row r="101" customFormat="false" ht="12.75" hidden="false" customHeight="false" outlineLevel="0" collapsed="false">
      <c r="A101" s="500"/>
      <c r="B101" s="500"/>
      <c r="D101" s="361" t="e">
        <f aca="false">D100+AH100</f>
        <v>#VALUE!</v>
      </c>
      <c r="F101" s="362" t="e">
        <f aca="false">VLOOKUP(AG101,$AL$4:$AS$15,2)</f>
        <v>#VALUE!</v>
      </c>
      <c r="G101" s="362" t="e">
        <f aca="false">F101*$AU101</f>
        <v>#VALUE!</v>
      </c>
      <c r="H101" s="363" t="e">
        <f aca="false">(AL101+AM101+AN101)/(1-(AR101))</f>
        <v>#VALUE!</v>
      </c>
      <c r="I101" s="363" t="e">
        <f aca="false">(AL101+AO101+AP101)</f>
        <v>#VALUE!</v>
      </c>
      <c r="K101" s="363" t="e">
        <f aca="false">MAX(((I101-H101)-AQ101)*AU101*AH101,0)</f>
        <v>#VALUE!</v>
      </c>
      <c r="L101" s="501" t="e">
        <f aca="false">MAX(Q101-K101,0)</f>
        <v>#VALUE!</v>
      </c>
      <c r="N101" s="502" t="e">
        <f aca="false">SQRT(($AX101^2*($AH101/2)+$AW101^2*$AI101)/(($AH101/2)+$AI101))</f>
        <v>#VALUE!</v>
      </c>
      <c r="O101" s="502" t="e">
        <f aca="false">SQRT(($AY101^2*($AH101/2)+$AW101^2*$AI101)/(($AH101/2)+$AI101))</f>
        <v>#VALUE!</v>
      </c>
      <c r="P101" s="371" t="e">
        <f aca="false">(VLOOKUP(AI101,CorrelationTwo,2)*(AW101^2)*AI101+VLOOKUP(D101,CorrelationOne,$AK$9)*AX101*AY101*(AH101/2))/((AI101+(AH101/2))*O101*N101)*AF101</f>
        <v>#VALUE!</v>
      </c>
      <c r="Q101" s="501" t="e">
        <f aca="false">xSPRDOPT(I101,H101,AQ101,0,O101,N101,P101,D101-$G$5,1,0)*AH101*AU101</f>
        <v>#VALUE!</v>
      </c>
      <c r="R101" s="501"/>
      <c r="S101" s="365" t="e">
        <f aca="false">-T101/(1-AR101)</f>
        <v>#VALUE!</v>
      </c>
      <c r="T101" s="365" t="e">
        <f aca="false">xSPRDOPT(I101,H101,AQ101,AT101,O101,N101,P101,D101-$G$5,1,1)*AF101*F101*AH101</f>
        <v>#VALUE!</v>
      </c>
      <c r="U101" s="501"/>
      <c r="V101" s="503" t="e">
        <f aca="false">VLOOKUP($AG101,$AL$4:$AS$15,8)*AH101*AU101</f>
        <v>#VALUE!</v>
      </c>
      <c r="W101" s="503"/>
      <c r="X101" s="504" t="e">
        <f aca="false">((BM101*BC101)+(BL101*BB101))*AH101*F101</f>
        <v>#VALUE!</v>
      </c>
      <c r="Y101" s="504" t="e">
        <f aca="false">($F101*$AH101)*((($BG101/2)*($BC101)^2)+(($BF101/2)*($BB101)^2)+($BH101*$BC101*$BB101))</f>
        <v>#VALUE!</v>
      </c>
      <c r="Z101" s="504" t="e">
        <f aca="false">($BI101*$F101*$AH101*($G$5-$BV$5))/365.25</f>
        <v>#VALUE!</v>
      </c>
      <c r="AA101" s="504" t="e">
        <f aca="false">(($BK101*$BE101)+($BJ101*$BD101))*$F101*$AH101*$AF101</f>
        <v>#VALUE!</v>
      </c>
      <c r="AB101" s="504" t="e">
        <f aca="false">BN101*(AT101-CA101)*F101*AH101</f>
        <v>#VALUE!</v>
      </c>
      <c r="AC101" s="504" t="e">
        <f aca="false">BO101*CB101*F101*AH101*CA101*($G$5-$BV$5)/365.25</f>
        <v>#NAME?</v>
      </c>
      <c r="AF101" s="378" t="e">
        <f aca="false">IF(AND(D101&gt;=$G$7,D101&lt;=$G$8),1,0)</f>
        <v>#VALUE!</v>
      </c>
      <c r="AG101" s="378" t="e">
        <f aca="false">MONTH(D101)</f>
        <v>#VALUE!</v>
      </c>
      <c r="AH101" s="378" t="e">
        <f aca="false">(EOMONTH(D101,0)-EOMONTH(D101-DAY(D101),0))*AF101</f>
        <v>#VALUE!</v>
      </c>
      <c r="AI101" s="378" t="e">
        <f aca="false">AI100+AH100</f>
        <v>#VALUE!</v>
      </c>
      <c r="AJ101" s="378" t="e">
        <f aca="false">D101-$BV$5</f>
        <v>#VALUE!</v>
      </c>
      <c r="AL101" s="369" t="e">
        <f aca="false">VLOOKUP($D101,CurveTbl,$AK$4)</f>
        <v>#VALUE!</v>
      </c>
      <c r="AM101" s="505" t="e">
        <f aca="false">VLOOKUP($D101,CurveTbl,$AH$3)</f>
        <v>#VALUE!</v>
      </c>
      <c r="AN101" s="505" t="e">
        <f aca="false">VLOOKUP($D101,CurveTbl,$AH$4)+VLOOKUP($AG101,$AL$3:$AS$15,6)</f>
        <v>#VALUE!</v>
      </c>
      <c r="AO101" s="505" t="e">
        <f aca="false">VLOOKUP($D101,CurveTbl,$AH$5)</f>
        <v>#VALUE!</v>
      </c>
      <c r="AP101" s="505" t="e">
        <f aca="false">VLOOKUP($D101,CurveTbl,$AH$6)+VLOOKUP($AG101,$AL$3:$AS$15,7)</f>
        <v>#VALUE!</v>
      </c>
      <c r="AQ101" s="369" t="e">
        <f aca="false">VLOOKUP($AG101,$AL$4:$AS$15,3)+VLOOKUP($AG101,$AL$4:$AS$15,5)+($AH$10*VLOOKUP(D101,GRITable,2))</f>
        <v>#VALUE!</v>
      </c>
      <c r="AR101" s="370" t="e">
        <f aca="false">VLOOKUP($AG101,$AL$4:$AS$15,4)</f>
        <v>#VALUE!</v>
      </c>
      <c r="AS101" s="369" t="e">
        <f aca="false">(AL101+AM101+AN101)</f>
        <v>#VALUE!</v>
      </c>
      <c r="AT101" s="370" t="e">
        <f aca="false">VLOOKUP(D101,CurveTbl,$AK$6)</f>
        <v>#VALUE!</v>
      </c>
      <c r="AU101" s="370" t="e">
        <f aca="false">(1+$AT101/2)^(-2*($D101-$G$5)/365.25)*$AF101</f>
        <v>#VALUE!</v>
      </c>
      <c r="AV101" s="506" t="e">
        <f aca="false">ROUND((F101/(1-AR101))-F101,0)*AF101*AH101*AU101</f>
        <v>#VALUE!</v>
      </c>
      <c r="AW101" s="370" t="e">
        <f aca="false">VLOOKUP($D101,CurveTbl,$AK$8)</f>
        <v>#VALUE!</v>
      </c>
      <c r="AX101" s="370" t="e">
        <f aca="false">VLOOKUP($D101,CurveTbl,$AH$7)</f>
        <v>#VALUE!</v>
      </c>
      <c r="AY101" s="370" t="e">
        <f aca="false">VLOOKUP($D101,CurveTbl,$AH$8)</f>
        <v>#VALUE!</v>
      </c>
      <c r="AZ101" s="370"/>
      <c r="BA101" s="507"/>
      <c r="BB101" s="505" t="e">
        <f aca="false">$H101-$BV101</f>
        <v>#VALUE!</v>
      </c>
      <c r="BC101" s="505" t="e">
        <f aca="false">I101-BW101</f>
        <v>#VALUE!</v>
      </c>
      <c r="BD101" s="370" t="e">
        <f aca="false">N101-BX101</f>
        <v>#VALUE!</v>
      </c>
      <c r="BE101" s="370" t="e">
        <f aca="false">O101-BY101</f>
        <v>#VALUE!</v>
      </c>
      <c r="BF101" s="370" t="e">
        <f aca="false">xSPRDOPT($BW101,$BV101,$CG101,0,$BY101,$BX101,$BZ101,$AJ101,1,4)*$CB101</f>
        <v>#NAME?</v>
      </c>
      <c r="BG101" s="370" t="e">
        <f aca="false">xSPRDOPT($BW101,$BV101,$CG101,0,$BY101,$BX101,$BZ101,$AJ101,1,3)*$CB101</f>
        <v>#NAME?</v>
      </c>
      <c r="BH101" s="370" t="e">
        <f aca="false">IF(OR(BF101&lt;&gt;0,BG101&lt;&gt;0),xSPRDOPT($BW101,$BV101,$CG101,0,$BY101,$BX101,$BZ101,$AJ101,1,12)*$CB101,0)</f>
        <v>#NAME?</v>
      </c>
      <c r="BI101" s="370" t="e">
        <f aca="false">xSPRDOPT($BW101,$BV101,$CG101,2*LN(1+CA101/2),$BY101,$BX101,$BZ101,$AJ101,1,9)</f>
        <v>#NAME?</v>
      </c>
      <c r="BJ101" s="370" t="e">
        <f aca="false">xSPRDOPT($BW101,$BV101,$CG101,0,$BY101,$BX101,$BZ101,$AJ101,1,6)*$CB101</f>
        <v>#NAME?</v>
      </c>
      <c r="BK101" s="370" t="e">
        <f aca="false">xSPRDOPT($BW101,$BV101,$CG101,0,$BY101,$BX101,$BZ101,$AJ101,1,5)*$CB101</f>
        <v>#NAME?</v>
      </c>
      <c r="BL101" s="370" t="e">
        <f aca="false">xSPRDOPT(BW101,BV101,CG101,0,BY101,BX101,BZ101,AJ101,1,2)*CB101</f>
        <v>#NAME?</v>
      </c>
      <c r="BM101" s="370" t="e">
        <f aca="false">xSPRDOPT(BW101,BV101,CG101,0,BY101,BX101,BZ101,AJ101,1,1)*CB101</f>
        <v>#NAME?</v>
      </c>
      <c r="BN101" s="370" t="e">
        <f aca="false">IF(AH101&lt;&gt;0,xSPRDOPT($BW101,$BV101,$CG101,2*LN(1+CA101/2),$BY101,$BX101,$BZ101,$AJ101,1,8)+(AJ101/365.25)*CH101/AH101,0)</f>
        <v>#VALUE!</v>
      </c>
      <c r="BO101" s="370" t="e">
        <f aca="false">xSPRDOPT($BW101,$BV101,$CG101,0,$BY101,$BX101,$BZ101,$AJ101,1,0)</f>
        <v>#NAME?</v>
      </c>
      <c r="BP101" s="370"/>
      <c r="BQ101" s="370"/>
      <c r="BR101" s="370"/>
      <c r="BS101" s="370"/>
      <c r="BV101" s="508" t="n">
        <v>3.72787723785166</v>
      </c>
      <c r="BW101" s="369" t="n">
        <v>4.6745</v>
      </c>
      <c r="BX101" s="370" t="n">
        <v>0.233424934400762</v>
      </c>
      <c r="BY101" s="370" t="n">
        <v>0.233424934400762</v>
      </c>
      <c r="BZ101" s="370" t="n">
        <v>1</v>
      </c>
      <c r="CA101" s="370" t="n">
        <v>0.0572858980923008</v>
      </c>
      <c r="CB101" s="370" t="n">
        <v>0.686126398420888</v>
      </c>
      <c r="CC101" s="505" t="n">
        <v>0.0095</v>
      </c>
      <c r="CD101" s="505" t="n">
        <v>0.01</v>
      </c>
      <c r="CE101" s="505" t="n">
        <v>1.05</v>
      </c>
      <c r="CF101" s="505" t="n">
        <v>0</v>
      </c>
      <c r="CG101" s="505" t="n">
        <v>0.0364</v>
      </c>
      <c r="CH101" s="505" t="n">
        <v>7.84221889603123</v>
      </c>
      <c r="CI101" s="505" t="n">
        <v>3.6245</v>
      </c>
      <c r="CJ101" s="505"/>
      <c r="CK101" s="505"/>
      <c r="CL101" s="505"/>
      <c r="CM101" s="505"/>
    </row>
    <row r="102" customFormat="false" ht="12.75" hidden="false" customHeight="false" outlineLevel="0" collapsed="false">
      <c r="A102" s="500"/>
      <c r="B102" s="500"/>
      <c r="D102" s="361" t="e">
        <f aca="false">D101+AH101</f>
        <v>#VALUE!</v>
      </c>
      <c r="F102" s="362" t="e">
        <f aca="false">VLOOKUP(AG102,$AL$4:$AS$15,2)</f>
        <v>#VALUE!</v>
      </c>
      <c r="G102" s="362" t="e">
        <f aca="false">F102*$AU102</f>
        <v>#VALUE!</v>
      </c>
      <c r="H102" s="363" t="e">
        <f aca="false">(AL102+AM102+AN102)/(1-(AR102))</f>
        <v>#VALUE!</v>
      </c>
      <c r="I102" s="363" t="e">
        <f aca="false">(AL102+AO102+AP102)</f>
        <v>#VALUE!</v>
      </c>
      <c r="K102" s="363" t="e">
        <f aca="false">MAX(((I102-H102)-AQ102)*AU102*AH102,0)</f>
        <v>#VALUE!</v>
      </c>
      <c r="L102" s="501" t="e">
        <f aca="false">MAX(Q102-K102,0)</f>
        <v>#VALUE!</v>
      </c>
      <c r="N102" s="502" t="e">
        <f aca="false">SQRT(($AX102^2*($AH102/2)+$AW102^2*$AI102)/(($AH102/2)+$AI102))</f>
        <v>#VALUE!</v>
      </c>
      <c r="O102" s="502" t="e">
        <f aca="false">SQRT(($AY102^2*($AH102/2)+$AW102^2*$AI102)/(($AH102/2)+$AI102))</f>
        <v>#VALUE!</v>
      </c>
      <c r="P102" s="371" t="e">
        <f aca="false">(VLOOKUP(AI102,CorrelationTwo,2)*(AW102^2)*AI102+VLOOKUP(D102,CorrelationOne,$AK$9)*AX102*AY102*(AH102/2))/((AI102+(AH102/2))*O102*N102)*AF102</f>
        <v>#VALUE!</v>
      </c>
      <c r="Q102" s="501" t="e">
        <f aca="false">xSPRDOPT(I102,H102,AQ102,0,O102,N102,P102,D102-$G$5,1,0)*AH102*AU102</f>
        <v>#VALUE!</v>
      </c>
      <c r="R102" s="501"/>
      <c r="S102" s="365" t="e">
        <f aca="false">-T102/(1-AR102)</f>
        <v>#VALUE!</v>
      </c>
      <c r="T102" s="365" t="e">
        <f aca="false">xSPRDOPT(I102,H102,AQ102,AT102,O102,N102,P102,D102-$G$5,1,1)*AF102*F102*AH102</f>
        <v>#VALUE!</v>
      </c>
      <c r="U102" s="501"/>
      <c r="V102" s="503" t="e">
        <f aca="false">VLOOKUP($AG102,$AL$4:$AS$15,8)*AH102*AU102</f>
        <v>#VALUE!</v>
      </c>
      <c r="W102" s="503"/>
      <c r="X102" s="504" t="e">
        <f aca="false">((BM102*BC102)+(BL102*BB102))*AH102*F102</f>
        <v>#VALUE!</v>
      </c>
      <c r="Y102" s="504" t="e">
        <f aca="false">($F102*$AH102)*((($BG102/2)*($BC102)^2)+(($BF102/2)*($BB102)^2)+($BH102*$BC102*$BB102))</f>
        <v>#VALUE!</v>
      </c>
      <c r="Z102" s="504" t="e">
        <f aca="false">($BI102*$F102*$AH102*($G$5-$BV$5))/365.25</f>
        <v>#VALUE!</v>
      </c>
      <c r="AA102" s="504" t="e">
        <f aca="false">(($BK102*$BE102)+($BJ102*$BD102))*$F102*$AH102*$AF102</f>
        <v>#VALUE!</v>
      </c>
      <c r="AB102" s="504" t="e">
        <f aca="false">BN102*(AT102-CA102)*F102*AH102</f>
        <v>#VALUE!</v>
      </c>
      <c r="AC102" s="504" t="e">
        <f aca="false">BO102*CB102*F102*AH102*CA102*($G$5-$BV$5)/365.25</f>
        <v>#NAME?</v>
      </c>
      <c r="AF102" s="378" t="e">
        <f aca="false">IF(AND(D102&gt;=$G$7,D102&lt;=$G$8),1,0)</f>
        <v>#VALUE!</v>
      </c>
      <c r="AG102" s="378" t="e">
        <f aca="false">MONTH(D102)</f>
        <v>#VALUE!</v>
      </c>
      <c r="AH102" s="378" t="e">
        <f aca="false">(EOMONTH(D102,0)-EOMONTH(D102-DAY(D102),0))*AF102</f>
        <v>#VALUE!</v>
      </c>
      <c r="AI102" s="378" t="e">
        <f aca="false">AI101+AH101</f>
        <v>#VALUE!</v>
      </c>
      <c r="AJ102" s="378" t="e">
        <f aca="false">D102-$BV$5</f>
        <v>#VALUE!</v>
      </c>
      <c r="AL102" s="369" t="e">
        <f aca="false">VLOOKUP($D102,CurveTbl,$AK$4)</f>
        <v>#VALUE!</v>
      </c>
      <c r="AM102" s="505" t="e">
        <f aca="false">VLOOKUP($D102,CurveTbl,$AH$3)</f>
        <v>#VALUE!</v>
      </c>
      <c r="AN102" s="505" t="e">
        <f aca="false">VLOOKUP($D102,CurveTbl,$AH$4)+VLOOKUP($AG102,$AL$3:$AS$15,6)</f>
        <v>#VALUE!</v>
      </c>
      <c r="AO102" s="505" t="e">
        <f aca="false">VLOOKUP($D102,CurveTbl,$AH$5)</f>
        <v>#VALUE!</v>
      </c>
      <c r="AP102" s="505" t="e">
        <f aca="false">VLOOKUP($D102,CurveTbl,$AH$6)+VLOOKUP($AG102,$AL$3:$AS$15,7)</f>
        <v>#VALUE!</v>
      </c>
      <c r="AQ102" s="369" t="e">
        <f aca="false">VLOOKUP($AG102,$AL$4:$AS$15,3)+VLOOKUP($AG102,$AL$4:$AS$15,5)+($AH$10*VLOOKUP(D102,GRITable,2))</f>
        <v>#VALUE!</v>
      </c>
      <c r="AR102" s="370" t="e">
        <f aca="false">VLOOKUP($AG102,$AL$4:$AS$15,4)</f>
        <v>#VALUE!</v>
      </c>
      <c r="AS102" s="369" t="e">
        <f aca="false">(AL102+AM102+AN102)</f>
        <v>#VALUE!</v>
      </c>
      <c r="AT102" s="370" t="e">
        <f aca="false">VLOOKUP(D102,CurveTbl,$AK$6)</f>
        <v>#VALUE!</v>
      </c>
      <c r="AU102" s="370" t="e">
        <f aca="false">(1+$AT102/2)^(-2*($D102-$G$5)/365.25)*$AF102</f>
        <v>#VALUE!</v>
      </c>
      <c r="AV102" s="506" t="e">
        <f aca="false">ROUND((F102/(1-AR102))-F102,0)*AF102*AH102*AU102</f>
        <v>#VALUE!</v>
      </c>
      <c r="AW102" s="370" t="e">
        <f aca="false">VLOOKUP($D102,CurveTbl,$AK$8)</f>
        <v>#VALUE!</v>
      </c>
      <c r="AX102" s="370" t="e">
        <f aca="false">VLOOKUP($D102,CurveTbl,$AH$7)</f>
        <v>#VALUE!</v>
      </c>
      <c r="AY102" s="370" t="e">
        <f aca="false">VLOOKUP($D102,CurveTbl,$AH$8)</f>
        <v>#VALUE!</v>
      </c>
      <c r="AZ102" s="370"/>
      <c r="BA102" s="507"/>
      <c r="BB102" s="505" t="e">
        <f aca="false">$H102-$BV102</f>
        <v>#VALUE!</v>
      </c>
      <c r="BC102" s="505" t="e">
        <f aca="false">I102-BW102</f>
        <v>#VALUE!</v>
      </c>
      <c r="BD102" s="370" t="e">
        <f aca="false">N102-BX102</f>
        <v>#VALUE!</v>
      </c>
      <c r="BE102" s="370" t="e">
        <f aca="false">O102-BY102</f>
        <v>#VALUE!</v>
      </c>
      <c r="BF102" s="370" t="e">
        <f aca="false">xSPRDOPT($BW102,$BV102,$CG102,0,$BY102,$BX102,$BZ102,$AJ102,1,4)*$CB102</f>
        <v>#NAME?</v>
      </c>
      <c r="BG102" s="370" t="e">
        <f aca="false">xSPRDOPT($BW102,$BV102,$CG102,0,$BY102,$BX102,$BZ102,$AJ102,1,3)*$CB102</f>
        <v>#NAME?</v>
      </c>
      <c r="BH102" s="370" t="e">
        <f aca="false">IF(OR(BF102&lt;&gt;0,BG102&lt;&gt;0),xSPRDOPT($BW102,$BV102,$CG102,0,$BY102,$BX102,$BZ102,$AJ102,1,12)*$CB102,0)</f>
        <v>#NAME?</v>
      </c>
      <c r="BI102" s="370" t="e">
        <f aca="false">xSPRDOPT($BW102,$BV102,$CG102,2*LN(1+CA102/2),$BY102,$BX102,$BZ102,$AJ102,1,9)</f>
        <v>#NAME?</v>
      </c>
      <c r="BJ102" s="370" t="e">
        <f aca="false">xSPRDOPT($BW102,$BV102,$CG102,0,$BY102,$BX102,$BZ102,$AJ102,1,6)*$CB102</f>
        <v>#NAME?</v>
      </c>
      <c r="BK102" s="370" t="e">
        <f aca="false">xSPRDOPT($BW102,$BV102,$CG102,0,$BY102,$BX102,$BZ102,$AJ102,1,5)*$CB102</f>
        <v>#NAME?</v>
      </c>
      <c r="BL102" s="370" t="e">
        <f aca="false">xSPRDOPT(BW102,BV102,CG102,0,BY102,BX102,BZ102,AJ102,1,2)*CB102</f>
        <v>#NAME?</v>
      </c>
      <c r="BM102" s="370" t="e">
        <f aca="false">xSPRDOPT(BW102,BV102,CG102,0,BY102,BX102,BZ102,AJ102,1,1)*CB102</f>
        <v>#NAME?</v>
      </c>
      <c r="BN102" s="370" t="e">
        <f aca="false">IF(AH102&lt;&gt;0,xSPRDOPT($BW102,$BV102,$CG102,2*LN(1+CA102/2),$BY102,$BX102,$BZ102,$AJ102,1,8)+(AJ102/365.25)*CH102/AH102,0)</f>
        <v>#VALUE!</v>
      </c>
      <c r="BO102" s="370" t="e">
        <f aca="false">xSPRDOPT($BW102,$BV102,$CG102,0,$BY102,$BX102,$BZ102,$AJ102,1,0)</f>
        <v>#NAME?</v>
      </c>
      <c r="BP102" s="370"/>
      <c r="BQ102" s="370"/>
      <c r="BR102" s="370"/>
      <c r="BS102" s="370"/>
      <c r="BV102" s="508" t="n">
        <v>3.7227621483376</v>
      </c>
      <c r="BW102" s="369" t="n">
        <v>4.3695</v>
      </c>
      <c r="BX102" s="370" t="n">
        <v>0.233274554609372</v>
      </c>
      <c r="BY102" s="370" t="n">
        <v>0.233274554609372</v>
      </c>
      <c r="BZ102" s="370" t="n">
        <v>1</v>
      </c>
      <c r="CA102" s="370" t="n">
        <v>0.0574699143477724</v>
      </c>
      <c r="CB102" s="370" t="n">
        <v>0.682020634704181</v>
      </c>
      <c r="CC102" s="505" t="n">
        <v>0.0095</v>
      </c>
      <c r="CD102" s="505" t="n">
        <v>0.01</v>
      </c>
      <c r="CE102" s="505" t="n">
        <v>0.75</v>
      </c>
      <c r="CF102" s="505" t="n">
        <v>0</v>
      </c>
      <c r="CG102" s="505" t="n">
        <v>0.0364</v>
      </c>
      <c r="CH102" s="505" t="n">
        <v>7.54383024046294</v>
      </c>
      <c r="CI102" s="505" t="n">
        <v>3.6195</v>
      </c>
      <c r="CJ102" s="505"/>
      <c r="CK102" s="505"/>
      <c r="CL102" s="505"/>
      <c r="CM102" s="505"/>
    </row>
    <row r="103" customFormat="false" ht="12.75" hidden="false" customHeight="false" outlineLevel="0" collapsed="false">
      <c r="A103" s="500"/>
      <c r="B103" s="500"/>
      <c r="D103" s="361" t="e">
        <f aca="false">D102+AH102</f>
        <v>#VALUE!</v>
      </c>
      <c r="F103" s="362" t="e">
        <f aca="false">VLOOKUP(AG103,$AL$4:$AS$15,2)</f>
        <v>#VALUE!</v>
      </c>
      <c r="G103" s="362" t="e">
        <f aca="false">F103*$AU103</f>
        <v>#VALUE!</v>
      </c>
      <c r="H103" s="363" t="e">
        <f aca="false">(AL103+AM103+AN103)/(1-(AR103))</f>
        <v>#VALUE!</v>
      </c>
      <c r="I103" s="363" t="e">
        <f aca="false">(AL103+AO103+AP103)</f>
        <v>#VALUE!</v>
      </c>
      <c r="K103" s="363" t="e">
        <f aca="false">MAX(((I103-H103)-AQ103)*AU103*AH103,0)</f>
        <v>#VALUE!</v>
      </c>
      <c r="L103" s="501" t="e">
        <f aca="false">MAX(Q103-K103,0)</f>
        <v>#VALUE!</v>
      </c>
      <c r="N103" s="502" t="e">
        <f aca="false">SQRT(($AX103^2*($AH103/2)+$AW103^2*$AI103)/(($AH103/2)+$AI103))</f>
        <v>#VALUE!</v>
      </c>
      <c r="O103" s="502" t="e">
        <f aca="false">SQRT(($AY103^2*($AH103/2)+$AW103^2*$AI103)/(($AH103/2)+$AI103))</f>
        <v>#VALUE!</v>
      </c>
      <c r="P103" s="371" t="e">
        <f aca="false">(VLOOKUP(AI103,CorrelationTwo,2)*(AW103^2)*AI103+VLOOKUP(D103,CorrelationOne,$AK$9)*AX103*AY103*(AH103/2))/((AI103+(AH103/2))*O103*N103)*AF103</f>
        <v>#VALUE!</v>
      </c>
      <c r="Q103" s="501" t="e">
        <f aca="false">xSPRDOPT(I103,H103,AQ103,0,O103,N103,P103,D103-$G$5,1,0)*AH103*AU103</f>
        <v>#VALUE!</v>
      </c>
      <c r="R103" s="501"/>
      <c r="S103" s="365" t="e">
        <f aca="false">-T103/(1-AR103)</f>
        <v>#VALUE!</v>
      </c>
      <c r="T103" s="365" t="e">
        <f aca="false">xSPRDOPT(I103,H103,AQ103,AT103,O103,N103,P103,D103-$G$5,1,1)*AF103*F103*AH103</f>
        <v>#VALUE!</v>
      </c>
      <c r="U103" s="501"/>
      <c r="V103" s="503" t="e">
        <f aca="false">VLOOKUP($AG103,$AL$4:$AS$15,8)*AH103*AU103</f>
        <v>#VALUE!</v>
      </c>
      <c r="W103" s="503"/>
      <c r="X103" s="504" t="e">
        <f aca="false">((BM103*BC103)+(BL103*BB103))*AH103*F103</f>
        <v>#VALUE!</v>
      </c>
      <c r="Y103" s="504" t="e">
        <f aca="false">($F103*$AH103)*((($BG103/2)*($BC103)^2)+(($BF103/2)*($BB103)^2)+($BH103*$BC103*$BB103))</f>
        <v>#VALUE!</v>
      </c>
      <c r="Z103" s="504" t="e">
        <f aca="false">($BI103*$F103*$AH103*($G$5-$BV$5))/365.25</f>
        <v>#VALUE!</v>
      </c>
      <c r="AA103" s="504" t="e">
        <f aca="false">(($BK103*$BE103)+($BJ103*$BD103))*$F103*$AH103*$AF103</f>
        <v>#VALUE!</v>
      </c>
      <c r="AB103" s="504" t="e">
        <f aca="false">BN103*(AT103-CA103)*F103*AH103</f>
        <v>#VALUE!</v>
      </c>
      <c r="AC103" s="504" t="e">
        <f aca="false">BO103*CB103*F103*AH103*CA103*($G$5-$BV$5)/365.25</f>
        <v>#NAME?</v>
      </c>
      <c r="AF103" s="378" t="e">
        <f aca="false">IF(AND(D103&gt;=$G$7,D103&lt;=$G$8),1,0)</f>
        <v>#VALUE!</v>
      </c>
      <c r="AG103" s="378" t="e">
        <f aca="false">MONTH(D103)</f>
        <v>#VALUE!</v>
      </c>
      <c r="AH103" s="378" t="e">
        <f aca="false">(EOMONTH(D103,0)-EOMONTH(D103-DAY(D103),0))*AF103</f>
        <v>#VALUE!</v>
      </c>
      <c r="AI103" s="378" t="e">
        <f aca="false">AI102+AH102</f>
        <v>#VALUE!</v>
      </c>
      <c r="AJ103" s="378" t="e">
        <f aca="false">D103-$BV$5</f>
        <v>#VALUE!</v>
      </c>
      <c r="AL103" s="369" t="e">
        <f aca="false">VLOOKUP($D103,CurveTbl,$AK$4)</f>
        <v>#VALUE!</v>
      </c>
      <c r="AM103" s="505" t="e">
        <f aca="false">VLOOKUP($D103,CurveTbl,$AH$3)</f>
        <v>#VALUE!</v>
      </c>
      <c r="AN103" s="505" t="e">
        <f aca="false">VLOOKUP($D103,CurveTbl,$AH$4)+VLOOKUP($AG103,$AL$3:$AS$15,6)</f>
        <v>#VALUE!</v>
      </c>
      <c r="AO103" s="505" t="e">
        <f aca="false">VLOOKUP($D103,CurveTbl,$AH$5)</f>
        <v>#VALUE!</v>
      </c>
      <c r="AP103" s="505" t="e">
        <f aca="false">VLOOKUP($D103,CurveTbl,$AH$6)+VLOOKUP($AG103,$AL$3:$AS$15,7)</f>
        <v>#VALUE!</v>
      </c>
      <c r="AQ103" s="369" t="e">
        <f aca="false">VLOOKUP($AG103,$AL$4:$AS$15,3)+VLOOKUP($AG103,$AL$4:$AS$15,5)+($AH$10*VLOOKUP(D103,GRITable,2))</f>
        <v>#VALUE!</v>
      </c>
      <c r="AR103" s="370" t="e">
        <f aca="false">VLOOKUP($AG103,$AL$4:$AS$15,4)</f>
        <v>#VALUE!</v>
      </c>
      <c r="AS103" s="369" t="e">
        <f aca="false">(AL103+AM103+AN103)</f>
        <v>#VALUE!</v>
      </c>
      <c r="AT103" s="370" t="e">
        <f aca="false">VLOOKUP(D103,CurveTbl,$AK$6)</f>
        <v>#VALUE!</v>
      </c>
      <c r="AU103" s="370" t="e">
        <f aca="false">(1+$AT103/2)^(-2*($D103-$G$5)/365.25)*$AF103</f>
        <v>#VALUE!</v>
      </c>
      <c r="AV103" s="506" t="e">
        <f aca="false">ROUND((F103/(1-AR103))-F103,0)*AF103*AH103*AU103</f>
        <v>#VALUE!</v>
      </c>
      <c r="AW103" s="370" t="e">
        <f aca="false">VLOOKUP($D103,CurveTbl,$AK$8)</f>
        <v>#VALUE!</v>
      </c>
      <c r="AX103" s="370" t="e">
        <f aca="false">VLOOKUP($D103,CurveTbl,$AH$7)</f>
        <v>#VALUE!</v>
      </c>
      <c r="AY103" s="370" t="e">
        <f aca="false">VLOOKUP($D103,CurveTbl,$AH$8)</f>
        <v>#VALUE!</v>
      </c>
      <c r="AZ103" s="370"/>
      <c r="BA103" s="507"/>
      <c r="BB103" s="505" t="e">
        <f aca="false">$H103-$BV103</f>
        <v>#VALUE!</v>
      </c>
      <c r="BC103" s="505" t="e">
        <f aca="false">I103-BW103</f>
        <v>#VALUE!</v>
      </c>
      <c r="BD103" s="370" t="e">
        <f aca="false">N103-BX103</f>
        <v>#VALUE!</v>
      </c>
      <c r="BE103" s="370" t="e">
        <f aca="false">O103-BY103</f>
        <v>#VALUE!</v>
      </c>
      <c r="BF103" s="370" t="e">
        <f aca="false">xSPRDOPT($BW103,$BV103,$CG103,0,$BY103,$BX103,$BZ103,$AJ103,1,4)*$CB103</f>
        <v>#NAME?</v>
      </c>
      <c r="BG103" s="370" t="e">
        <f aca="false">xSPRDOPT($BW103,$BV103,$CG103,0,$BY103,$BX103,$BZ103,$AJ103,1,3)*$CB103</f>
        <v>#NAME?</v>
      </c>
      <c r="BH103" s="370" t="e">
        <f aca="false">IF(OR(BF103&lt;&gt;0,BG103&lt;&gt;0),xSPRDOPT($BW103,$BV103,$CG103,0,$BY103,$BX103,$BZ103,$AJ103,1,12)*$CB103,0)</f>
        <v>#NAME?</v>
      </c>
      <c r="BI103" s="370" t="e">
        <f aca="false">xSPRDOPT($BW103,$BV103,$CG103,2*LN(1+CA103/2),$BY103,$BX103,$BZ103,$AJ103,1,9)</f>
        <v>#NAME?</v>
      </c>
      <c r="BJ103" s="370" t="e">
        <f aca="false">xSPRDOPT($BW103,$BV103,$CG103,0,$BY103,$BX103,$BZ103,$AJ103,1,6)*$CB103</f>
        <v>#NAME?</v>
      </c>
      <c r="BK103" s="370" t="e">
        <f aca="false">xSPRDOPT($BW103,$BV103,$CG103,0,$BY103,$BX103,$BZ103,$AJ103,1,5)*$CB103</f>
        <v>#NAME?</v>
      </c>
      <c r="BL103" s="370" t="e">
        <f aca="false">xSPRDOPT(BW103,BV103,CG103,0,BY103,BX103,BZ103,AJ103,1,2)*CB103</f>
        <v>#NAME?</v>
      </c>
      <c r="BM103" s="370" t="e">
        <f aca="false">xSPRDOPT(BW103,BV103,CG103,0,BY103,BX103,BZ103,AJ103,1,1)*CB103</f>
        <v>#NAME?</v>
      </c>
      <c r="BN103" s="370" t="e">
        <f aca="false">IF(AH103&lt;&gt;0,xSPRDOPT($BW103,$BV103,$CG103,2*LN(1+CA103/2),$BY103,$BX103,$BZ103,$AJ103,1,8)+(AJ103/365.25)*CH103/AH103,0)</f>
        <v>#VALUE!</v>
      </c>
      <c r="BO103" s="370" t="e">
        <f aca="false">xSPRDOPT($BW103,$BV103,$CG103,0,$BY103,$BX103,$BZ103,$AJ103,1,0)</f>
        <v>#NAME?</v>
      </c>
      <c r="BP103" s="370"/>
      <c r="BQ103" s="370"/>
      <c r="BR103" s="370"/>
      <c r="BS103" s="370"/>
      <c r="BV103" s="508" t="n">
        <v>3.75538461538462</v>
      </c>
      <c r="BW103" s="369" t="n">
        <v>4.0945</v>
      </c>
      <c r="BX103" s="370" t="n">
        <v>0.234105025785135</v>
      </c>
      <c r="BY103" s="370" t="n">
        <v>0.234105025785135</v>
      </c>
      <c r="BZ103" s="370" t="n">
        <v>1</v>
      </c>
      <c r="CA103" s="370" t="n">
        <v>0.0576479946057291</v>
      </c>
      <c r="CB103" s="370" t="n">
        <v>0.678051176020484</v>
      </c>
      <c r="CC103" s="505" t="n">
        <v>0.007</v>
      </c>
      <c r="CD103" s="505" t="n">
        <v>0.01</v>
      </c>
      <c r="CE103" s="505" t="n">
        <v>0.45</v>
      </c>
      <c r="CF103" s="505" t="n">
        <v>0</v>
      </c>
      <c r="CG103" s="505" t="n">
        <v>0.0364</v>
      </c>
      <c r="CH103" s="505" t="n">
        <v>7.74992152656133</v>
      </c>
      <c r="CI103" s="505" t="n">
        <v>3.6445</v>
      </c>
      <c r="CJ103" s="505"/>
      <c r="CK103" s="505"/>
      <c r="CL103" s="505"/>
      <c r="CM103" s="505"/>
    </row>
    <row r="104" customFormat="false" ht="12.75" hidden="false" customHeight="false" outlineLevel="0" collapsed="false">
      <c r="A104" s="500"/>
      <c r="B104" s="500"/>
      <c r="D104" s="361" t="e">
        <f aca="false">D103+AH103</f>
        <v>#VALUE!</v>
      </c>
      <c r="F104" s="362" t="e">
        <f aca="false">VLOOKUP(AG104,$AL$4:$AS$15,2)</f>
        <v>#VALUE!</v>
      </c>
      <c r="G104" s="362" t="e">
        <f aca="false">F104*$AU104</f>
        <v>#VALUE!</v>
      </c>
      <c r="H104" s="363" t="e">
        <f aca="false">(AL104+AM104+AN104)/(1-(AR104))</f>
        <v>#VALUE!</v>
      </c>
      <c r="I104" s="363" t="e">
        <f aca="false">(AL104+AO104+AP104)</f>
        <v>#VALUE!</v>
      </c>
      <c r="K104" s="363" t="e">
        <f aca="false">MAX(((I104-H104)-AQ104)*AU104*AH104,0)</f>
        <v>#VALUE!</v>
      </c>
      <c r="L104" s="501" t="e">
        <f aca="false">MAX(Q104-K104,0)</f>
        <v>#VALUE!</v>
      </c>
      <c r="N104" s="502" t="e">
        <f aca="false">SQRT(($AX104^2*($AH104/2)+$AW104^2*$AI104)/(($AH104/2)+$AI104))</f>
        <v>#VALUE!</v>
      </c>
      <c r="O104" s="502" t="e">
        <f aca="false">SQRT(($AY104^2*($AH104/2)+$AW104^2*$AI104)/(($AH104/2)+$AI104))</f>
        <v>#VALUE!</v>
      </c>
      <c r="P104" s="371" t="e">
        <f aca="false">(VLOOKUP(AI104,CorrelationTwo,2)*(AW104^2)*AI104+VLOOKUP(D104,CorrelationOne,$AK$9)*AX104*AY104*(AH104/2))/((AI104+(AH104/2))*O104*N104)*AF104</f>
        <v>#VALUE!</v>
      </c>
      <c r="Q104" s="501" t="e">
        <f aca="false">xSPRDOPT(I104,H104,AQ104,0,O104,N104,P104,D104-$G$5,1,0)*AH104*AU104</f>
        <v>#VALUE!</v>
      </c>
      <c r="R104" s="501"/>
      <c r="S104" s="365" t="e">
        <f aca="false">-T104/(1-AR104)</f>
        <v>#VALUE!</v>
      </c>
      <c r="T104" s="365" t="e">
        <f aca="false">xSPRDOPT(I104,H104,AQ104,AT104,O104,N104,P104,D104-$G$5,1,1)*AF104*F104*AH104</f>
        <v>#VALUE!</v>
      </c>
      <c r="U104" s="501"/>
      <c r="V104" s="503" t="e">
        <f aca="false">VLOOKUP($AG104,$AL$4:$AS$15,8)*AH104*AU104</f>
        <v>#VALUE!</v>
      </c>
      <c r="W104" s="503"/>
      <c r="X104" s="504" t="e">
        <f aca="false">((BM104*BC104)+(BL104*BB104))*AH104*F104</f>
        <v>#VALUE!</v>
      </c>
      <c r="Y104" s="504" t="e">
        <f aca="false">($F104*$AH104)*((($BG104/2)*($BC104)^2)+(($BF104/2)*($BB104)^2)+($BH104*$BC104*$BB104))</f>
        <v>#VALUE!</v>
      </c>
      <c r="Z104" s="504" t="e">
        <f aca="false">($BI104*$F104*$AH104*($G$5-$BV$5))/365.25</f>
        <v>#VALUE!</v>
      </c>
      <c r="AA104" s="504" t="e">
        <f aca="false">(($BK104*$BE104)+($BJ104*$BD104))*$F104*$AH104*$AF104</f>
        <v>#VALUE!</v>
      </c>
      <c r="AB104" s="504" t="e">
        <f aca="false">BN104*(AT104-CA104)*F104*AH104</f>
        <v>#VALUE!</v>
      </c>
      <c r="AC104" s="504" t="e">
        <f aca="false">BO104*CB104*F104*AH104*CA104*($G$5-$BV$5)/365.25</f>
        <v>#NAME?</v>
      </c>
      <c r="AF104" s="378" t="e">
        <f aca="false">IF(AND(D104&gt;=$G$7,D104&lt;=$G$8),1,0)</f>
        <v>#VALUE!</v>
      </c>
      <c r="AG104" s="378" t="e">
        <f aca="false">MONTH(D104)</f>
        <v>#VALUE!</v>
      </c>
      <c r="AH104" s="378" t="e">
        <f aca="false">(EOMONTH(D104,0)-EOMONTH(D104-DAY(D104),0))*AF104</f>
        <v>#VALUE!</v>
      </c>
      <c r="AI104" s="378" t="e">
        <f aca="false">AI103+AH103</f>
        <v>#VALUE!</v>
      </c>
      <c r="AJ104" s="378" t="e">
        <f aca="false">D104-$BV$5</f>
        <v>#VALUE!</v>
      </c>
      <c r="AL104" s="369" t="e">
        <f aca="false">VLOOKUP($D104,CurveTbl,$AK$4)</f>
        <v>#VALUE!</v>
      </c>
      <c r="AM104" s="505" t="e">
        <f aca="false">VLOOKUP($D104,CurveTbl,$AH$3)</f>
        <v>#VALUE!</v>
      </c>
      <c r="AN104" s="505" t="e">
        <f aca="false">VLOOKUP($D104,CurveTbl,$AH$4)+VLOOKUP($AG104,$AL$3:$AS$15,6)</f>
        <v>#VALUE!</v>
      </c>
      <c r="AO104" s="505" t="e">
        <f aca="false">VLOOKUP($D104,CurveTbl,$AH$5)</f>
        <v>#VALUE!</v>
      </c>
      <c r="AP104" s="505" t="e">
        <f aca="false">VLOOKUP($D104,CurveTbl,$AH$6)+VLOOKUP($AG104,$AL$3:$AS$15,7)</f>
        <v>#VALUE!</v>
      </c>
      <c r="AQ104" s="369" t="e">
        <f aca="false">VLOOKUP($AG104,$AL$4:$AS$15,3)+VLOOKUP($AG104,$AL$4:$AS$15,5)+($AH$10*VLOOKUP(D104,GRITable,2))</f>
        <v>#VALUE!</v>
      </c>
      <c r="AR104" s="370" t="e">
        <f aca="false">VLOOKUP($AG104,$AL$4:$AS$15,4)</f>
        <v>#VALUE!</v>
      </c>
      <c r="AS104" s="369" t="e">
        <f aca="false">(AL104+AM104+AN104)</f>
        <v>#VALUE!</v>
      </c>
      <c r="AT104" s="370" t="e">
        <f aca="false">VLOOKUP(D104,CurveTbl,$AK$6)</f>
        <v>#VALUE!</v>
      </c>
      <c r="AU104" s="370" t="e">
        <f aca="false">(1+$AT104/2)^(-2*($D104-$G$5)/365.25)*$AF104</f>
        <v>#VALUE!</v>
      </c>
      <c r="AV104" s="506" t="e">
        <f aca="false">ROUND((F104/(1-AR104))-F104,0)*AF104*AH104*AU104</f>
        <v>#VALUE!</v>
      </c>
      <c r="AW104" s="370" t="e">
        <f aca="false">VLOOKUP($D104,CurveTbl,$AK$8)</f>
        <v>#VALUE!</v>
      </c>
      <c r="AX104" s="370" t="e">
        <f aca="false">VLOOKUP($D104,CurveTbl,$AH$7)</f>
        <v>#VALUE!</v>
      </c>
      <c r="AY104" s="370" t="e">
        <f aca="false">VLOOKUP($D104,CurveTbl,$AH$8)</f>
        <v>#VALUE!</v>
      </c>
      <c r="AZ104" s="370"/>
      <c r="BA104" s="507"/>
      <c r="BB104" s="505" t="e">
        <f aca="false">$H104-$BV104</f>
        <v>#VALUE!</v>
      </c>
      <c r="BC104" s="505" t="e">
        <f aca="false">I104-BW104</f>
        <v>#VALUE!</v>
      </c>
      <c r="BD104" s="370" t="e">
        <f aca="false">N104-BX104</f>
        <v>#VALUE!</v>
      </c>
      <c r="BE104" s="370" t="e">
        <f aca="false">O104-BY104</f>
        <v>#VALUE!</v>
      </c>
      <c r="BF104" s="370" t="e">
        <f aca="false">xSPRDOPT($BW104,$BV104,$CG104,0,$BY104,$BX104,$BZ104,$AJ104,1,4)*$CB104</f>
        <v>#NAME?</v>
      </c>
      <c r="BG104" s="370" t="e">
        <f aca="false">xSPRDOPT($BW104,$BV104,$CG104,0,$BY104,$BX104,$BZ104,$AJ104,1,3)*$CB104</f>
        <v>#NAME?</v>
      </c>
      <c r="BH104" s="370" t="e">
        <f aca="false">IF(OR(BF104&lt;&gt;0,BG104&lt;&gt;0),xSPRDOPT($BW104,$BV104,$CG104,0,$BY104,$BX104,$BZ104,$AJ104,1,12)*$CB104,0)</f>
        <v>#NAME?</v>
      </c>
      <c r="BI104" s="370" t="e">
        <f aca="false">xSPRDOPT($BW104,$BV104,$CG104,2*LN(1+CA104/2),$BY104,$BX104,$BZ104,$AJ104,1,9)</f>
        <v>#NAME?</v>
      </c>
      <c r="BJ104" s="370" t="e">
        <f aca="false">xSPRDOPT($BW104,$BV104,$CG104,0,$BY104,$BX104,$BZ104,$AJ104,1,6)*$CB104</f>
        <v>#NAME?</v>
      </c>
      <c r="BK104" s="370" t="e">
        <f aca="false">xSPRDOPT($BW104,$BV104,$CG104,0,$BY104,$BX104,$BZ104,$AJ104,1,5)*$CB104</f>
        <v>#NAME?</v>
      </c>
      <c r="BL104" s="370" t="e">
        <f aca="false">xSPRDOPT(BW104,BV104,CG104,0,BY104,BX104,BZ104,AJ104,1,2)*CB104</f>
        <v>#NAME?</v>
      </c>
      <c r="BM104" s="370" t="e">
        <f aca="false">xSPRDOPT(BW104,BV104,CG104,0,BY104,BX104,BZ104,AJ104,1,1)*CB104</f>
        <v>#NAME?</v>
      </c>
      <c r="BN104" s="370" t="e">
        <f aca="false">IF(AH104&lt;&gt;0,xSPRDOPT($BW104,$BV104,$CG104,2*LN(1+CA104/2),$BY104,$BX104,$BZ104,$AJ104,1,8)+(AJ104/365.25)*CH104/AH104,0)</f>
        <v>#VALUE!</v>
      </c>
      <c r="BO104" s="370" t="e">
        <f aca="false">xSPRDOPT($BW104,$BV104,$CG104,0,$BY104,$BX104,$BZ104,$AJ104,1,0)</f>
        <v>#NAME?</v>
      </c>
      <c r="BP104" s="370"/>
      <c r="BQ104" s="370"/>
      <c r="BR104" s="370"/>
      <c r="BS104" s="370"/>
      <c r="BV104" s="508" t="n">
        <v>3.8997442455243</v>
      </c>
      <c r="BW104" s="369" t="n">
        <v>4.2465</v>
      </c>
      <c r="BX104" s="370" t="n">
        <v>0.237449376511487</v>
      </c>
      <c r="BY104" s="370" t="n">
        <v>0.237449376511487</v>
      </c>
      <c r="BZ104" s="370" t="n">
        <v>1</v>
      </c>
      <c r="CA104" s="370" t="n">
        <v>0.0578320108833665</v>
      </c>
      <c r="CB104" s="370" t="n">
        <v>0.673953611565774</v>
      </c>
      <c r="CC104" s="505" t="n">
        <v>0.008</v>
      </c>
      <c r="CD104" s="505" t="n">
        <v>0.0075</v>
      </c>
      <c r="CE104" s="505" t="n">
        <v>0.45</v>
      </c>
      <c r="CF104" s="505" t="n">
        <v>0</v>
      </c>
      <c r="CG104" s="505" t="n">
        <v>0.0364</v>
      </c>
      <c r="CH104" s="505" t="n">
        <v>7.45460089752902</v>
      </c>
      <c r="CI104" s="505" t="n">
        <v>3.7965</v>
      </c>
      <c r="CJ104" s="505"/>
      <c r="CK104" s="505"/>
      <c r="CL104" s="505"/>
      <c r="CM104" s="505"/>
    </row>
    <row r="105" customFormat="false" ht="12.75" hidden="false" customHeight="false" outlineLevel="0" collapsed="false">
      <c r="A105" s="500"/>
      <c r="B105" s="500"/>
      <c r="D105" s="361" t="e">
        <f aca="false">D104+AH104</f>
        <v>#VALUE!</v>
      </c>
      <c r="F105" s="362" t="e">
        <f aca="false">VLOOKUP(AG105,$AL$4:$AS$15,2)</f>
        <v>#VALUE!</v>
      </c>
      <c r="G105" s="362" t="e">
        <f aca="false">F105*$AU105</f>
        <v>#VALUE!</v>
      </c>
      <c r="H105" s="363" t="e">
        <f aca="false">(AL105+AM105+AN105)/(1-(AR105))</f>
        <v>#VALUE!</v>
      </c>
      <c r="I105" s="363" t="e">
        <f aca="false">(AL105+AO105+AP105)</f>
        <v>#VALUE!</v>
      </c>
      <c r="K105" s="363" t="e">
        <f aca="false">MAX(((I105-H105)-AQ105)*AU105*AH105,0)</f>
        <v>#VALUE!</v>
      </c>
      <c r="L105" s="501" t="e">
        <f aca="false">MAX(Q105-K105,0)</f>
        <v>#VALUE!</v>
      </c>
      <c r="N105" s="502" t="e">
        <f aca="false">SQRT(($AX105^2*($AH105/2)+$AW105^2*$AI105)/(($AH105/2)+$AI105))</f>
        <v>#VALUE!</v>
      </c>
      <c r="O105" s="502" t="e">
        <f aca="false">SQRT(($AY105^2*($AH105/2)+$AW105^2*$AI105)/(($AH105/2)+$AI105))</f>
        <v>#VALUE!</v>
      </c>
      <c r="P105" s="371" t="e">
        <f aca="false">(VLOOKUP(AI105,CorrelationTwo,2)*(AW105^2)*AI105+VLOOKUP(D105,CorrelationOne,$AK$9)*AX105*AY105*(AH105/2))/((AI105+(AH105/2))*O105*N105)*AF105</f>
        <v>#VALUE!</v>
      </c>
      <c r="Q105" s="501" t="e">
        <f aca="false">xSPRDOPT(I105,H105,AQ105,0,O105,N105,P105,D105-$G$5,1,0)*AH105*AU105</f>
        <v>#VALUE!</v>
      </c>
      <c r="R105" s="501"/>
      <c r="S105" s="365" t="e">
        <f aca="false">-T105/(1-AR105)</f>
        <v>#VALUE!</v>
      </c>
      <c r="T105" s="365" t="e">
        <f aca="false">xSPRDOPT(I105,H105,AQ105,AT105,O105,N105,P105,D105-$G$5,1,1)*AF105*F105*AH105</f>
        <v>#VALUE!</v>
      </c>
      <c r="U105" s="501"/>
      <c r="V105" s="503" t="e">
        <f aca="false">VLOOKUP($AG105,$AL$4:$AS$15,8)*AH105*AU105</f>
        <v>#VALUE!</v>
      </c>
      <c r="W105" s="503"/>
      <c r="X105" s="504" t="e">
        <f aca="false">((BM105*BC105)+(BL105*BB105))*AH105*F105</f>
        <v>#VALUE!</v>
      </c>
      <c r="Y105" s="504" t="e">
        <f aca="false">($F105*$AH105)*((($BG105/2)*($BC105)^2)+(($BF105/2)*($BB105)^2)+($BH105*$BC105*$BB105))</f>
        <v>#VALUE!</v>
      </c>
      <c r="Z105" s="504" t="e">
        <f aca="false">($BI105*$F105*$AH105*($G$5-$BV$5))/365.25</f>
        <v>#VALUE!</v>
      </c>
      <c r="AA105" s="504" t="e">
        <f aca="false">(($BK105*$BE105)+($BJ105*$BD105))*$F105*$AH105*$AF105</f>
        <v>#VALUE!</v>
      </c>
      <c r="AB105" s="504" t="e">
        <f aca="false">BN105*(AT105-CA105)*F105*AH105</f>
        <v>#VALUE!</v>
      </c>
      <c r="AC105" s="504" t="e">
        <f aca="false">BO105*CB105*F105*AH105*CA105*($G$5-$BV$5)/365.25</f>
        <v>#NAME?</v>
      </c>
      <c r="AF105" s="378" t="e">
        <f aca="false">IF(AND(D105&gt;=$G$7,D105&lt;=$G$8),1,0)</f>
        <v>#VALUE!</v>
      </c>
      <c r="AG105" s="378" t="e">
        <f aca="false">MONTH(D105)</f>
        <v>#VALUE!</v>
      </c>
      <c r="AH105" s="378" t="e">
        <f aca="false">(EOMONTH(D105,0)-EOMONTH(D105-DAY(D105),0))*AF105</f>
        <v>#VALUE!</v>
      </c>
      <c r="AI105" s="378" t="e">
        <f aca="false">AI104+AH104</f>
        <v>#VALUE!</v>
      </c>
      <c r="AJ105" s="378" t="e">
        <f aca="false">D105-$BV$5</f>
        <v>#VALUE!</v>
      </c>
      <c r="AL105" s="369" t="e">
        <f aca="false">VLOOKUP($D105,CurveTbl,$AK$4)</f>
        <v>#VALUE!</v>
      </c>
      <c r="AM105" s="505" t="e">
        <f aca="false">VLOOKUP($D105,CurveTbl,$AH$3)</f>
        <v>#VALUE!</v>
      </c>
      <c r="AN105" s="505" t="e">
        <f aca="false">VLOOKUP($D105,CurveTbl,$AH$4)+VLOOKUP($AG105,$AL$3:$AS$15,6)</f>
        <v>#VALUE!</v>
      </c>
      <c r="AO105" s="505" t="e">
        <f aca="false">VLOOKUP($D105,CurveTbl,$AH$5)</f>
        <v>#VALUE!</v>
      </c>
      <c r="AP105" s="505" t="e">
        <f aca="false">VLOOKUP($D105,CurveTbl,$AH$6)+VLOOKUP($AG105,$AL$3:$AS$15,7)</f>
        <v>#VALUE!</v>
      </c>
      <c r="AQ105" s="369" t="e">
        <f aca="false">VLOOKUP($AG105,$AL$4:$AS$15,3)+VLOOKUP($AG105,$AL$4:$AS$15,5)+($AH$10*VLOOKUP(D105,GRITable,2))</f>
        <v>#VALUE!</v>
      </c>
      <c r="AR105" s="370" t="e">
        <f aca="false">VLOOKUP($AG105,$AL$4:$AS$15,4)</f>
        <v>#VALUE!</v>
      </c>
      <c r="AS105" s="369" t="e">
        <f aca="false">(AL105+AM105+AN105)</f>
        <v>#VALUE!</v>
      </c>
      <c r="AT105" s="370" t="e">
        <f aca="false">VLOOKUP(D105,CurveTbl,$AK$6)</f>
        <v>#VALUE!</v>
      </c>
      <c r="AU105" s="370" t="e">
        <f aca="false">(1+$AT105/2)^(-2*($D105-$G$5)/365.25)*$AF105</f>
        <v>#VALUE!</v>
      </c>
      <c r="AV105" s="506" t="e">
        <f aca="false">ROUND((F105/(1-AR105))-F105,0)*AF105*AH105*AU105</f>
        <v>#VALUE!</v>
      </c>
      <c r="AW105" s="370" t="e">
        <f aca="false">VLOOKUP($D105,CurveTbl,$AK$8)</f>
        <v>#VALUE!</v>
      </c>
      <c r="AX105" s="370" t="e">
        <f aca="false">VLOOKUP($D105,CurveTbl,$AH$7)</f>
        <v>#VALUE!</v>
      </c>
      <c r="AY105" s="370" t="e">
        <f aca="false">VLOOKUP($D105,CurveTbl,$AH$8)</f>
        <v>#VALUE!</v>
      </c>
      <c r="AZ105" s="370"/>
      <c r="BA105" s="507"/>
      <c r="BB105" s="505" t="e">
        <f aca="false">$H105-$BV105</f>
        <v>#VALUE!</v>
      </c>
      <c r="BC105" s="505" t="e">
        <f aca="false">I105-BW105</f>
        <v>#VALUE!</v>
      </c>
      <c r="BD105" s="370" t="e">
        <f aca="false">N105-BX105</f>
        <v>#VALUE!</v>
      </c>
      <c r="BE105" s="370" t="e">
        <f aca="false">O105-BY105</f>
        <v>#VALUE!</v>
      </c>
      <c r="BF105" s="370" t="e">
        <f aca="false">xSPRDOPT($BW105,$BV105,$CG105,0,$BY105,$BX105,$BZ105,$AJ105,1,4)*$CB105</f>
        <v>#NAME?</v>
      </c>
      <c r="BG105" s="370" t="e">
        <f aca="false">xSPRDOPT($BW105,$BV105,$CG105,0,$BY105,$BX105,$BZ105,$AJ105,1,3)*$CB105</f>
        <v>#NAME?</v>
      </c>
      <c r="BH105" s="370" t="e">
        <f aca="false">IF(OR(BF105&lt;&gt;0,BG105&lt;&gt;0),xSPRDOPT($BW105,$BV105,$CG105,0,$BY105,$BX105,$BZ105,$AJ105,1,12)*$CB105,0)</f>
        <v>#NAME?</v>
      </c>
      <c r="BI105" s="370" t="e">
        <f aca="false">xSPRDOPT($BW105,$BV105,$CG105,2*LN(1+CA105/2),$BY105,$BX105,$BZ105,$AJ105,1,9)</f>
        <v>#NAME?</v>
      </c>
      <c r="BJ105" s="370" t="e">
        <f aca="false">xSPRDOPT($BW105,$BV105,$CG105,0,$BY105,$BX105,$BZ105,$AJ105,1,6)*$CB105</f>
        <v>#NAME?</v>
      </c>
      <c r="BK105" s="370" t="e">
        <f aca="false">xSPRDOPT($BW105,$BV105,$CG105,0,$BY105,$BX105,$BZ105,$AJ105,1,5)*$CB105</f>
        <v>#NAME?</v>
      </c>
      <c r="BL105" s="370" t="e">
        <f aca="false">xSPRDOPT(BW105,BV105,CG105,0,BY105,BX105,BZ105,AJ105,1,2)*CB105</f>
        <v>#NAME?</v>
      </c>
      <c r="BM105" s="370" t="e">
        <f aca="false">xSPRDOPT(BW105,BV105,CG105,0,BY105,BX105,BZ105,AJ105,1,1)*CB105</f>
        <v>#NAME?</v>
      </c>
      <c r="BN105" s="370" t="e">
        <f aca="false">IF(AH105&lt;&gt;0,xSPRDOPT($BW105,$BV105,$CG105,2*LN(1+CA105/2),$BY105,$BX105,$BZ105,$AJ105,1,8)+(AJ105/365.25)*CH105/AH105,0)</f>
        <v>#VALUE!</v>
      </c>
      <c r="BO105" s="370" t="e">
        <f aca="false">xSPRDOPT($BW105,$BV105,$CG105,0,$BY105,$BX105,$BZ105,$AJ105,1,0)</f>
        <v>#NAME?</v>
      </c>
      <c r="BP105" s="370"/>
      <c r="BQ105" s="370"/>
      <c r="BR105" s="370"/>
      <c r="BS105" s="370"/>
      <c r="BV105" s="508" t="n">
        <v>4.0460358056266</v>
      </c>
      <c r="BW105" s="369" t="n">
        <v>4.3395</v>
      </c>
      <c r="BX105" s="370" t="n">
        <v>0.242147712665171</v>
      </c>
      <c r="BY105" s="370" t="n">
        <v>0.242147712665171</v>
      </c>
      <c r="BZ105" s="370" t="n">
        <v>1</v>
      </c>
      <c r="CA105" s="370" t="n">
        <v>0.0580100911627719</v>
      </c>
      <c r="CB105" s="370" t="n">
        <v>0.669992509061986</v>
      </c>
      <c r="CC105" s="505" t="n">
        <v>0.008</v>
      </c>
      <c r="CD105" s="505" t="n">
        <v>0.0075</v>
      </c>
      <c r="CE105" s="505" t="n">
        <v>0.4</v>
      </c>
      <c r="CF105" s="505" t="n">
        <v>0</v>
      </c>
      <c r="CG105" s="505" t="n">
        <v>0.0364</v>
      </c>
      <c r="CH105" s="505" t="n">
        <v>7.65781338082578</v>
      </c>
      <c r="CI105" s="505" t="n">
        <v>3.9395</v>
      </c>
      <c r="CJ105" s="505"/>
      <c r="CK105" s="505"/>
      <c r="CL105" s="505"/>
      <c r="CM105" s="505"/>
    </row>
    <row r="106" customFormat="false" ht="12.75" hidden="false" customHeight="false" outlineLevel="0" collapsed="false">
      <c r="A106" s="500"/>
      <c r="B106" s="500"/>
      <c r="D106" s="361" t="e">
        <f aca="false">D105+AH105</f>
        <v>#VALUE!</v>
      </c>
      <c r="F106" s="362" t="e">
        <f aca="false">VLOOKUP(AG106,$AL$4:$AS$15,2)</f>
        <v>#VALUE!</v>
      </c>
      <c r="G106" s="362" t="e">
        <f aca="false">F106*$AU106</f>
        <v>#VALUE!</v>
      </c>
      <c r="H106" s="363" t="e">
        <f aca="false">(AL106+AM106+AN106)/(1-(AR106))</f>
        <v>#VALUE!</v>
      </c>
      <c r="I106" s="363" t="e">
        <f aca="false">(AL106+AO106+AP106)</f>
        <v>#VALUE!</v>
      </c>
      <c r="K106" s="363" t="e">
        <f aca="false">MAX(((I106-H106)-AQ106)*AU106*AH106,0)</f>
        <v>#VALUE!</v>
      </c>
      <c r="L106" s="501" t="e">
        <f aca="false">MAX(Q106-K106,0)</f>
        <v>#VALUE!</v>
      </c>
      <c r="N106" s="502" t="e">
        <f aca="false">SQRT(($AX106^2*($AH106/2)+$AW106^2*$AI106)/(($AH106/2)+$AI106))</f>
        <v>#VALUE!</v>
      </c>
      <c r="O106" s="502" t="e">
        <f aca="false">SQRT(($AY106^2*($AH106/2)+$AW106^2*$AI106)/(($AH106/2)+$AI106))</f>
        <v>#VALUE!</v>
      </c>
      <c r="P106" s="371" t="e">
        <f aca="false">(VLOOKUP(AI106,CorrelationTwo,2)*(AW106^2)*AI106+VLOOKUP(D106,CorrelationOne,$AK$9)*AX106*AY106*(AH106/2))/((AI106+(AH106/2))*O106*N106)*AF106</f>
        <v>#VALUE!</v>
      </c>
      <c r="Q106" s="501" t="e">
        <f aca="false">xSPRDOPT(I106,H106,AQ106,0,O106,N106,P106,D106-$G$5,1,0)*AH106*AU106</f>
        <v>#VALUE!</v>
      </c>
      <c r="R106" s="501"/>
      <c r="S106" s="365" t="e">
        <f aca="false">-T106/(1-AR106)</f>
        <v>#VALUE!</v>
      </c>
      <c r="T106" s="365" t="e">
        <f aca="false">xSPRDOPT(I106,H106,AQ106,AT106,O106,N106,P106,D106-$G$5,1,1)*AF106*F106*AH106</f>
        <v>#VALUE!</v>
      </c>
      <c r="U106" s="501"/>
      <c r="V106" s="503" t="e">
        <f aca="false">VLOOKUP($AG106,$AL$4:$AS$15,8)*AH106*AU106</f>
        <v>#VALUE!</v>
      </c>
      <c r="W106" s="503"/>
      <c r="X106" s="504" t="e">
        <f aca="false">((BM106*BC106)+(BL106*BB106))*AH106*F106</f>
        <v>#VALUE!</v>
      </c>
      <c r="Y106" s="504" t="e">
        <f aca="false">($F106*$AH106)*((($BG106/2)*($BC106)^2)+(($BF106/2)*($BB106)^2)+($BH106*$BC106*$BB106))</f>
        <v>#VALUE!</v>
      </c>
      <c r="Z106" s="504" t="e">
        <f aca="false">($BI106*$F106*$AH106*($G$5-$BV$5))/365.25</f>
        <v>#VALUE!</v>
      </c>
      <c r="AA106" s="504" t="e">
        <f aca="false">(($BK106*$BE106)+($BJ106*$BD106))*$F106*$AH106*$AF106</f>
        <v>#VALUE!</v>
      </c>
      <c r="AB106" s="504" t="e">
        <f aca="false">BN106*(AT106-CA106)*F106*AH106</f>
        <v>#VALUE!</v>
      </c>
      <c r="AC106" s="504" t="e">
        <f aca="false">BO106*CB106*F106*AH106*CA106*($G$5-$BV$5)/365.25</f>
        <v>#NAME?</v>
      </c>
      <c r="AF106" s="378" t="e">
        <f aca="false">IF(AND(D106&gt;=$G$7,D106&lt;=$G$8),1,0)</f>
        <v>#VALUE!</v>
      </c>
      <c r="AG106" s="378" t="e">
        <f aca="false">MONTH(D106)</f>
        <v>#VALUE!</v>
      </c>
      <c r="AH106" s="378" t="e">
        <f aca="false">(EOMONTH(D106,0)-EOMONTH(D106-DAY(D106),0))*AF106</f>
        <v>#VALUE!</v>
      </c>
      <c r="AI106" s="378" t="e">
        <f aca="false">AI105+AH105</f>
        <v>#VALUE!</v>
      </c>
      <c r="AJ106" s="378" t="e">
        <f aca="false">D106-$BV$5</f>
        <v>#VALUE!</v>
      </c>
      <c r="AL106" s="369" t="e">
        <f aca="false">VLOOKUP($D106,CurveTbl,$AK$4)</f>
        <v>#VALUE!</v>
      </c>
      <c r="AM106" s="505" t="e">
        <f aca="false">VLOOKUP($D106,CurveTbl,$AH$3)</f>
        <v>#VALUE!</v>
      </c>
      <c r="AN106" s="505" t="e">
        <f aca="false">VLOOKUP($D106,CurveTbl,$AH$4)+VLOOKUP($AG106,$AL$3:$AS$15,6)</f>
        <v>#VALUE!</v>
      </c>
      <c r="AO106" s="505" t="e">
        <f aca="false">VLOOKUP($D106,CurveTbl,$AH$5)</f>
        <v>#VALUE!</v>
      </c>
      <c r="AP106" s="505" t="e">
        <f aca="false">VLOOKUP($D106,CurveTbl,$AH$6)+VLOOKUP($AG106,$AL$3:$AS$15,7)</f>
        <v>#VALUE!</v>
      </c>
      <c r="AQ106" s="369" t="e">
        <f aca="false">VLOOKUP($AG106,$AL$4:$AS$15,3)+VLOOKUP($AG106,$AL$4:$AS$15,5)+($AH$10*VLOOKUP(D106,GRITable,2))</f>
        <v>#VALUE!</v>
      </c>
      <c r="AR106" s="370" t="e">
        <f aca="false">VLOOKUP($AG106,$AL$4:$AS$15,4)</f>
        <v>#VALUE!</v>
      </c>
      <c r="AS106" s="369" t="e">
        <f aca="false">(AL106+AM106+AN106)</f>
        <v>#VALUE!</v>
      </c>
      <c r="AT106" s="370" t="e">
        <f aca="false">VLOOKUP(D106,CurveTbl,$AK$6)</f>
        <v>#VALUE!</v>
      </c>
      <c r="AU106" s="370" t="e">
        <f aca="false">(1+$AT106/2)^(-2*($D106-$G$5)/365.25)*$AF106</f>
        <v>#VALUE!</v>
      </c>
      <c r="AV106" s="506" t="e">
        <f aca="false">ROUND((F106/(1-AR106))-F106,0)*AF106*AH106*AU106</f>
        <v>#VALUE!</v>
      </c>
      <c r="AW106" s="370" t="e">
        <f aca="false">VLOOKUP($D106,CurveTbl,$AK$8)</f>
        <v>#VALUE!</v>
      </c>
      <c r="AX106" s="370" t="e">
        <f aca="false">VLOOKUP($D106,CurveTbl,$AH$7)</f>
        <v>#VALUE!</v>
      </c>
      <c r="AY106" s="370" t="e">
        <f aca="false">VLOOKUP($D106,CurveTbl,$AH$8)</f>
        <v>#VALUE!</v>
      </c>
      <c r="AZ106" s="370"/>
      <c r="BA106" s="507"/>
      <c r="BB106" s="505" t="e">
        <f aca="false">$H106-$BV106</f>
        <v>#VALUE!</v>
      </c>
      <c r="BC106" s="505" t="e">
        <f aca="false">I106-BW106</f>
        <v>#VALUE!</v>
      </c>
      <c r="BD106" s="370" t="e">
        <f aca="false">N106-BX106</f>
        <v>#VALUE!</v>
      </c>
      <c r="BE106" s="370" t="e">
        <f aca="false">O106-BY106</f>
        <v>#VALUE!</v>
      </c>
      <c r="BF106" s="370" t="e">
        <f aca="false">xSPRDOPT($BW106,$BV106,$CG106,0,$BY106,$BX106,$BZ106,$AJ106,1,4)*$CB106</f>
        <v>#NAME?</v>
      </c>
      <c r="BG106" s="370" t="e">
        <f aca="false">xSPRDOPT($BW106,$BV106,$CG106,0,$BY106,$BX106,$BZ106,$AJ106,1,3)*$CB106</f>
        <v>#NAME?</v>
      </c>
      <c r="BH106" s="370" t="e">
        <f aca="false">IF(OR(BF106&lt;&gt;0,BG106&lt;&gt;0),xSPRDOPT($BW106,$BV106,$CG106,0,$BY106,$BX106,$BZ106,$AJ106,1,12)*$CB106,0)</f>
        <v>#NAME?</v>
      </c>
      <c r="BI106" s="370" t="e">
        <f aca="false">xSPRDOPT($BW106,$BV106,$CG106,2*LN(1+CA106/2),$BY106,$BX106,$BZ106,$AJ106,1,9)</f>
        <v>#NAME?</v>
      </c>
      <c r="BJ106" s="370" t="e">
        <f aca="false">xSPRDOPT($BW106,$BV106,$CG106,0,$BY106,$BX106,$BZ106,$AJ106,1,6)*$CB106</f>
        <v>#NAME?</v>
      </c>
      <c r="BK106" s="370" t="e">
        <f aca="false">xSPRDOPT($BW106,$BV106,$CG106,0,$BY106,$BX106,$BZ106,$AJ106,1,5)*$CB106</f>
        <v>#NAME?</v>
      </c>
      <c r="BL106" s="370" t="e">
        <f aca="false">xSPRDOPT(BW106,BV106,CG106,0,BY106,BX106,BZ106,AJ106,1,2)*CB106</f>
        <v>#NAME?</v>
      </c>
      <c r="BM106" s="370" t="e">
        <f aca="false">xSPRDOPT(BW106,BV106,CG106,0,BY106,BX106,BZ106,AJ106,1,1)*CB106</f>
        <v>#NAME?</v>
      </c>
      <c r="BN106" s="370" t="e">
        <f aca="false">IF(AH106&lt;&gt;0,xSPRDOPT($BW106,$BV106,$CG106,2*LN(1+CA106/2),$BY106,$BX106,$BZ106,$AJ106,1,8)+(AJ106/365.25)*CH106/AH106,0)</f>
        <v>#VALUE!</v>
      </c>
      <c r="BO106" s="370" t="e">
        <f aca="false">xSPRDOPT($BW106,$BV106,$CG106,0,$BY106,$BX106,$BZ106,$AJ106,1,0)</f>
        <v>#NAME?</v>
      </c>
      <c r="BP106" s="370"/>
      <c r="BQ106" s="370"/>
      <c r="BR106" s="370"/>
      <c r="BS106" s="370"/>
      <c r="BV106" s="508" t="n">
        <v>4.0997442455243</v>
      </c>
      <c r="BW106" s="369" t="n">
        <v>4.342</v>
      </c>
      <c r="BX106" s="370" t="n">
        <v>0.242005948234525</v>
      </c>
      <c r="BY106" s="370" t="n">
        <v>0.242005948234525</v>
      </c>
      <c r="BZ106" s="370" t="n">
        <v>1</v>
      </c>
      <c r="CA106" s="370" t="n">
        <v>0.0581602801293144</v>
      </c>
      <c r="CB106" s="370" t="n">
        <v>0.666059185357402</v>
      </c>
      <c r="CC106" s="505" t="n">
        <v>0.008</v>
      </c>
      <c r="CD106" s="505" t="n">
        <v>0.0075</v>
      </c>
      <c r="CE106" s="505" t="n">
        <v>0.35</v>
      </c>
      <c r="CF106" s="505" t="n">
        <v>0</v>
      </c>
      <c r="CG106" s="505" t="n">
        <v>0.0364</v>
      </c>
      <c r="CH106" s="505" t="n">
        <v>7.6128566708795</v>
      </c>
      <c r="CI106" s="505" t="n">
        <v>3.992</v>
      </c>
      <c r="CJ106" s="505"/>
      <c r="CK106" s="505"/>
      <c r="CL106" s="505"/>
      <c r="CM106" s="505"/>
    </row>
    <row r="107" customFormat="false" ht="12.75" hidden="false" customHeight="false" outlineLevel="0" collapsed="false">
      <c r="A107" s="500"/>
      <c r="B107" s="500"/>
      <c r="D107" s="361" t="e">
        <f aca="false">D106+AH106</f>
        <v>#VALUE!</v>
      </c>
      <c r="F107" s="362" t="e">
        <f aca="false">VLOOKUP(AG107,$AL$4:$AS$15,2)</f>
        <v>#VALUE!</v>
      </c>
      <c r="G107" s="362" t="e">
        <f aca="false">F107*$AU107</f>
        <v>#VALUE!</v>
      </c>
      <c r="H107" s="363" t="e">
        <f aca="false">(AL107+AM107+AN107)/(1-(AR107))</f>
        <v>#VALUE!</v>
      </c>
      <c r="I107" s="363" t="e">
        <f aca="false">(AL107+AO107+AP107)</f>
        <v>#VALUE!</v>
      </c>
      <c r="K107" s="363" t="e">
        <f aca="false">MAX(((I107-H107)-AQ107)*AU107*AH107,0)</f>
        <v>#VALUE!</v>
      </c>
      <c r="L107" s="501" t="e">
        <f aca="false">MAX(Q107-K107,0)</f>
        <v>#VALUE!</v>
      </c>
      <c r="N107" s="502" t="e">
        <f aca="false">SQRT(($AX107^2*($AH107/2)+$AW107^2*$AI107)/(($AH107/2)+$AI107))</f>
        <v>#VALUE!</v>
      </c>
      <c r="O107" s="502" t="e">
        <f aca="false">SQRT(($AY107^2*($AH107/2)+$AW107^2*$AI107)/(($AH107/2)+$AI107))</f>
        <v>#VALUE!</v>
      </c>
      <c r="P107" s="371" t="e">
        <f aca="false">(VLOOKUP(AI107,CorrelationTwo,2)*(AW107^2)*AI107+VLOOKUP(D107,CorrelationOne,$AK$9)*AX107*AY107*(AH107/2))/((AI107+(AH107/2))*O107*N107)*AF107</f>
        <v>#VALUE!</v>
      </c>
      <c r="Q107" s="501" t="e">
        <f aca="false">xSPRDOPT(I107,H107,AQ107,0,O107,N107,P107,D107-$G$5,1,0)*AH107*AU107</f>
        <v>#VALUE!</v>
      </c>
      <c r="R107" s="501"/>
      <c r="S107" s="365" t="e">
        <f aca="false">-T107/(1-AR107)</f>
        <v>#VALUE!</v>
      </c>
      <c r="T107" s="365" t="e">
        <f aca="false">xSPRDOPT(I107,H107,AQ107,AT107,O107,N107,P107,D107-$G$5,1,1)*AF107*F107*AH107</f>
        <v>#VALUE!</v>
      </c>
      <c r="U107" s="501"/>
      <c r="V107" s="503" t="e">
        <f aca="false">VLOOKUP($AG107,$AL$4:$AS$15,8)*AH107*AU107</f>
        <v>#VALUE!</v>
      </c>
      <c r="W107" s="503"/>
      <c r="X107" s="504" t="e">
        <f aca="false">((BM107*BC107)+(BL107*BB107))*AH107*F107</f>
        <v>#VALUE!</v>
      </c>
      <c r="Y107" s="504" t="e">
        <f aca="false">($F107*$AH107)*((($BG107/2)*($BC107)^2)+(($BF107/2)*($BB107)^2)+($BH107*$BC107*$BB107))</f>
        <v>#VALUE!</v>
      </c>
      <c r="Z107" s="504" t="e">
        <f aca="false">($BI107*$F107*$AH107*($G$5-$BV$5))/365.25</f>
        <v>#VALUE!</v>
      </c>
      <c r="AA107" s="504" t="e">
        <f aca="false">(($BK107*$BE107)+($BJ107*$BD107))*$F107*$AH107*$AF107</f>
        <v>#VALUE!</v>
      </c>
      <c r="AB107" s="504" t="e">
        <f aca="false">BN107*(AT107-CA107)*F107*AH107</f>
        <v>#VALUE!</v>
      </c>
      <c r="AC107" s="504" t="e">
        <f aca="false">BO107*CB107*F107*AH107*CA107*($G$5-$BV$5)/365.25</f>
        <v>#NAME?</v>
      </c>
      <c r="AF107" s="378" t="e">
        <f aca="false">IF(AND(D107&gt;=$G$7,D107&lt;=$G$8),1,0)</f>
        <v>#VALUE!</v>
      </c>
      <c r="AG107" s="378" t="e">
        <f aca="false">MONTH(D107)</f>
        <v>#VALUE!</v>
      </c>
      <c r="AH107" s="378" t="e">
        <f aca="false">(EOMONTH(D107,0)-EOMONTH(D107-DAY(D107),0))*AF107</f>
        <v>#VALUE!</v>
      </c>
      <c r="AI107" s="378" t="e">
        <f aca="false">AI106+AH106</f>
        <v>#VALUE!</v>
      </c>
      <c r="AJ107" s="378" t="e">
        <f aca="false">D107-$BV$5</f>
        <v>#VALUE!</v>
      </c>
      <c r="AL107" s="369" t="e">
        <f aca="false">VLOOKUP($D107,CurveTbl,$AK$4)</f>
        <v>#VALUE!</v>
      </c>
      <c r="AM107" s="505" t="e">
        <f aca="false">VLOOKUP($D107,CurveTbl,$AH$3)</f>
        <v>#VALUE!</v>
      </c>
      <c r="AN107" s="505" t="e">
        <f aca="false">VLOOKUP($D107,CurveTbl,$AH$4)+VLOOKUP($AG107,$AL$3:$AS$15,6)</f>
        <v>#VALUE!</v>
      </c>
      <c r="AO107" s="505" t="e">
        <f aca="false">VLOOKUP($D107,CurveTbl,$AH$5)</f>
        <v>#VALUE!</v>
      </c>
      <c r="AP107" s="505" t="e">
        <f aca="false">VLOOKUP($D107,CurveTbl,$AH$6)+VLOOKUP($AG107,$AL$3:$AS$15,7)</f>
        <v>#VALUE!</v>
      </c>
      <c r="AQ107" s="369" t="e">
        <f aca="false">VLOOKUP($AG107,$AL$4:$AS$15,3)+VLOOKUP($AG107,$AL$4:$AS$15,5)+($AH$10*VLOOKUP(D107,GRITable,2))</f>
        <v>#VALUE!</v>
      </c>
      <c r="AR107" s="370" t="e">
        <f aca="false">VLOOKUP($AG107,$AL$4:$AS$15,4)</f>
        <v>#VALUE!</v>
      </c>
      <c r="AS107" s="369" t="e">
        <f aca="false">(AL107+AM107+AN107)</f>
        <v>#VALUE!</v>
      </c>
      <c r="AT107" s="370" t="e">
        <f aca="false">VLOOKUP(D107,CurveTbl,$AK$6)</f>
        <v>#VALUE!</v>
      </c>
      <c r="AU107" s="370" t="e">
        <f aca="false">(1+$AT107/2)^(-2*($D107-$G$5)/365.25)*$AF107</f>
        <v>#VALUE!</v>
      </c>
      <c r="AV107" s="506" t="e">
        <f aca="false">ROUND((F107/(1-AR107))-F107,0)*AF107*AH107*AU107</f>
        <v>#VALUE!</v>
      </c>
      <c r="AW107" s="370" t="e">
        <f aca="false">VLOOKUP($D107,CurveTbl,$AK$8)</f>
        <v>#VALUE!</v>
      </c>
      <c r="AX107" s="370" t="e">
        <f aca="false">VLOOKUP($D107,CurveTbl,$AH$7)</f>
        <v>#VALUE!</v>
      </c>
      <c r="AY107" s="370" t="e">
        <f aca="false">VLOOKUP($D107,CurveTbl,$AH$8)</f>
        <v>#VALUE!</v>
      </c>
      <c r="AZ107" s="370"/>
      <c r="BA107" s="507"/>
      <c r="BB107" s="505" t="e">
        <f aca="false">$H107-$BV107</f>
        <v>#VALUE!</v>
      </c>
      <c r="BC107" s="505" t="e">
        <f aca="false">I107-BW107</f>
        <v>#VALUE!</v>
      </c>
      <c r="BD107" s="370" t="e">
        <f aca="false">N107-BX107</f>
        <v>#VALUE!</v>
      </c>
      <c r="BE107" s="370" t="e">
        <f aca="false">O107-BY107</f>
        <v>#VALUE!</v>
      </c>
      <c r="BF107" s="370" t="e">
        <f aca="false">xSPRDOPT($BW107,$BV107,$CG107,0,$BY107,$BX107,$BZ107,$AJ107,1,4)*$CB107</f>
        <v>#NAME?</v>
      </c>
      <c r="BG107" s="370" t="e">
        <f aca="false">xSPRDOPT($BW107,$BV107,$CG107,0,$BY107,$BX107,$BZ107,$AJ107,1,3)*$CB107</f>
        <v>#NAME?</v>
      </c>
      <c r="BH107" s="370" t="e">
        <f aca="false">IF(OR(BF107&lt;&gt;0,BG107&lt;&gt;0),xSPRDOPT($BW107,$BV107,$CG107,0,$BY107,$BX107,$BZ107,$AJ107,1,12)*$CB107,0)</f>
        <v>#NAME?</v>
      </c>
      <c r="BI107" s="370" t="e">
        <f aca="false">xSPRDOPT($BW107,$BV107,$CG107,2*LN(1+CA107/2),$BY107,$BX107,$BZ107,$AJ107,1,9)</f>
        <v>#NAME?</v>
      </c>
      <c r="BJ107" s="370" t="e">
        <f aca="false">xSPRDOPT($BW107,$BV107,$CG107,0,$BY107,$BX107,$BZ107,$AJ107,1,6)*$CB107</f>
        <v>#NAME?</v>
      </c>
      <c r="BK107" s="370" t="e">
        <f aca="false">xSPRDOPT($BW107,$BV107,$CG107,0,$BY107,$BX107,$BZ107,$AJ107,1,5)*$CB107</f>
        <v>#NAME?</v>
      </c>
      <c r="BL107" s="370" t="e">
        <f aca="false">xSPRDOPT(BW107,BV107,CG107,0,BY107,BX107,BZ107,AJ107,1,2)*CB107</f>
        <v>#NAME?</v>
      </c>
      <c r="BM107" s="370" t="e">
        <f aca="false">xSPRDOPT(BW107,BV107,CG107,0,BY107,BX107,BZ107,AJ107,1,1)*CB107</f>
        <v>#NAME?</v>
      </c>
      <c r="BN107" s="370" t="e">
        <f aca="false">IF(AH107&lt;&gt;0,xSPRDOPT($BW107,$BV107,$CG107,2*LN(1+CA107/2),$BY107,$BX107,$BZ107,$AJ107,1,8)+(AJ107/365.25)*CH107/AH107,0)</f>
        <v>#VALUE!</v>
      </c>
      <c r="BO107" s="370" t="e">
        <f aca="false">xSPRDOPT($BW107,$BV107,$CG107,0,$BY107,$BX107,$BZ107,$AJ107,1,0)</f>
        <v>#NAME?</v>
      </c>
      <c r="BP107" s="370"/>
      <c r="BQ107" s="370"/>
      <c r="BR107" s="370"/>
      <c r="BS107" s="370"/>
      <c r="BV107" s="508" t="n">
        <v>4.01278772378517</v>
      </c>
      <c r="BW107" s="369" t="n">
        <v>4.257</v>
      </c>
      <c r="BX107" s="370" t="n">
        <v>0.238376176108012</v>
      </c>
      <c r="BY107" s="370" t="n">
        <v>0.238376176108012</v>
      </c>
      <c r="BZ107" s="370" t="n">
        <v>1</v>
      </c>
      <c r="CA107" s="370" t="n">
        <v>0.0582693930542924</v>
      </c>
      <c r="CB107" s="370" t="n">
        <v>0.662322195804784</v>
      </c>
      <c r="CC107" s="505" t="n">
        <v>0.008</v>
      </c>
      <c r="CD107" s="505" t="n">
        <v>0.0075</v>
      </c>
      <c r="CE107" s="505" t="n">
        <v>0.35</v>
      </c>
      <c r="CF107" s="505" t="n">
        <v>0</v>
      </c>
      <c r="CG107" s="505" t="n">
        <v>0.0364</v>
      </c>
      <c r="CH107" s="505" t="n">
        <v>6.83754942061027</v>
      </c>
      <c r="CI107" s="505" t="n">
        <v>3.907</v>
      </c>
      <c r="CJ107" s="505"/>
      <c r="CK107" s="505"/>
      <c r="CL107" s="505"/>
      <c r="CM107" s="505"/>
    </row>
    <row r="108" customFormat="false" ht="12.75" hidden="false" customHeight="false" outlineLevel="0" collapsed="false">
      <c r="A108" s="500"/>
      <c r="B108" s="500"/>
      <c r="D108" s="361" t="e">
        <f aca="false">D107+AH107</f>
        <v>#VALUE!</v>
      </c>
      <c r="F108" s="362" t="e">
        <f aca="false">VLOOKUP(AG108,$AL$4:$AS$15,2)</f>
        <v>#VALUE!</v>
      </c>
      <c r="G108" s="362" t="e">
        <f aca="false">F108*$AU108</f>
        <v>#VALUE!</v>
      </c>
      <c r="H108" s="363" t="e">
        <f aca="false">(AL108+AM108+AN108)/(1-(AR108))</f>
        <v>#VALUE!</v>
      </c>
      <c r="I108" s="363" t="e">
        <f aca="false">(AL108+AO108+AP108)</f>
        <v>#VALUE!</v>
      </c>
      <c r="K108" s="363" t="e">
        <f aca="false">MAX(((I108-H108)-AQ108)*AU108*AH108,0)</f>
        <v>#VALUE!</v>
      </c>
      <c r="L108" s="501" t="e">
        <f aca="false">MAX(Q108-K108,0)</f>
        <v>#VALUE!</v>
      </c>
      <c r="N108" s="502" t="e">
        <f aca="false">SQRT(($AX108^2*($AH108/2)+$AW108^2*$AI108)/(($AH108/2)+$AI108))</f>
        <v>#VALUE!</v>
      </c>
      <c r="O108" s="502" t="e">
        <f aca="false">SQRT(($AY108^2*($AH108/2)+$AW108^2*$AI108)/(($AH108/2)+$AI108))</f>
        <v>#VALUE!</v>
      </c>
      <c r="P108" s="371" t="e">
        <f aca="false">(VLOOKUP(AI108,CorrelationTwo,2)*(AW108^2)*AI108+VLOOKUP(D108,CorrelationOne,$AK$9)*AX108*AY108*(AH108/2))/((AI108+(AH108/2))*O108*N108)*AF108</f>
        <v>#VALUE!</v>
      </c>
      <c r="Q108" s="501" t="e">
        <f aca="false">xSPRDOPT(I108,H108,AQ108,0,O108,N108,P108,D108-$G$5,1,0)*AH108*AU108</f>
        <v>#VALUE!</v>
      </c>
      <c r="R108" s="501"/>
      <c r="S108" s="365" t="e">
        <f aca="false">-T108/(1-AR108)</f>
        <v>#VALUE!</v>
      </c>
      <c r="T108" s="365" t="e">
        <f aca="false">xSPRDOPT(I108,H108,AQ108,AT108,O108,N108,P108,D108-$G$5,1,1)*AF108*F108*AH108</f>
        <v>#VALUE!</v>
      </c>
      <c r="U108" s="501"/>
      <c r="V108" s="503" t="e">
        <f aca="false">VLOOKUP($AG108,$AL$4:$AS$15,8)*AH108*AU108</f>
        <v>#VALUE!</v>
      </c>
      <c r="W108" s="503"/>
      <c r="X108" s="504" t="e">
        <f aca="false">((BM108*BC108)+(BL108*BB108))*AH108*F108</f>
        <v>#VALUE!</v>
      </c>
      <c r="Y108" s="504" t="e">
        <f aca="false">($F108*$AH108)*((($BG108/2)*($BC108)^2)+(($BF108/2)*($BB108)^2)+($BH108*$BC108*$BB108))</f>
        <v>#VALUE!</v>
      </c>
      <c r="Z108" s="504" t="e">
        <f aca="false">($BI108*$F108*$AH108*($G$5-$BV$5))/365.25</f>
        <v>#VALUE!</v>
      </c>
      <c r="AA108" s="504" t="e">
        <f aca="false">(($BK108*$BE108)+($BJ108*$BD108))*$F108*$AH108*$AF108</f>
        <v>#VALUE!</v>
      </c>
      <c r="AB108" s="504" t="e">
        <f aca="false">BN108*(AT108-CA108)*F108*AH108</f>
        <v>#VALUE!</v>
      </c>
      <c r="AC108" s="504" t="e">
        <f aca="false">BO108*CB108*F108*AH108*CA108*($G$5-$BV$5)/365.25</f>
        <v>#NAME?</v>
      </c>
      <c r="AF108" s="378" t="e">
        <f aca="false">IF(AND(D108&gt;=$G$7,D108&lt;=$G$8),1,0)</f>
        <v>#VALUE!</v>
      </c>
      <c r="AG108" s="378" t="e">
        <f aca="false">MONTH(D108)</f>
        <v>#VALUE!</v>
      </c>
      <c r="AH108" s="378" t="e">
        <f aca="false">(EOMONTH(D108,0)-EOMONTH(D108-DAY(D108),0))*AF108</f>
        <v>#VALUE!</v>
      </c>
      <c r="AI108" s="378" t="e">
        <f aca="false">AI107+AH107</f>
        <v>#VALUE!</v>
      </c>
      <c r="AJ108" s="378" t="e">
        <f aca="false">D108-$BV$5</f>
        <v>#VALUE!</v>
      </c>
      <c r="AL108" s="369" t="e">
        <f aca="false">VLOOKUP($D108,CurveTbl,$AK$4)</f>
        <v>#VALUE!</v>
      </c>
      <c r="AM108" s="505" t="e">
        <f aca="false">VLOOKUP($D108,CurveTbl,$AH$3)</f>
        <v>#VALUE!</v>
      </c>
      <c r="AN108" s="505" t="e">
        <f aca="false">VLOOKUP($D108,CurveTbl,$AH$4)+VLOOKUP($AG108,$AL$3:$AS$15,6)</f>
        <v>#VALUE!</v>
      </c>
      <c r="AO108" s="505" t="e">
        <f aca="false">VLOOKUP($D108,CurveTbl,$AH$5)</f>
        <v>#VALUE!</v>
      </c>
      <c r="AP108" s="505" t="e">
        <f aca="false">VLOOKUP($D108,CurveTbl,$AH$6)+VLOOKUP($AG108,$AL$3:$AS$15,7)</f>
        <v>#VALUE!</v>
      </c>
      <c r="AQ108" s="369" t="e">
        <f aca="false">VLOOKUP($AG108,$AL$4:$AS$15,3)+VLOOKUP($AG108,$AL$4:$AS$15,5)+($AH$10*VLOOKUP(D108,GRITable,2))</f>
        <v>#VALUE!</v>
      </c>
      <c r="AR108" s="370" t="e">
        <f aca="false">VLOOKUP($AG108,$AL$4:$AS$15,4)</f>
        <v>#VALUE!</v>
      </c>
      <c r="AS108" s="369" t="e">
        <f aca="false">(AL108+AM108+AN108)</f>
        <v>#VALUE!</v>
      </c>
      <c r="AT108" s="370" t="e">
        <f aca="false">VLOOKUP(D108,CurveTbl,$AK$6)</f>
        <v>#VALUE!</v>
      </c>
      <c r="AU108" s="370" t="e">
        <f aca="false">(1+$AT108/2)^(-2*($D108-$G$5)/365.25)*$AF108</f>
        <v>#VALUE!</v>
      </c>
      <c r="AV108" s="506" t="e">
        <f aca="false">ROUND((F108/(1-AR108))-F108,0)*AF108*AH108*AU108</f>
        <v>#VALUE!</v>
      </c>
      <c r="AW108" s="370" t="e">
        <f aca="false">VLOOKUP($D108,CurveTbl,$AK$8)</f>
        <v>#VALUE!</v>
      </c>
      <c r="AX108" s="370" t="e">
        <f aca="false">VLOOKUP($D108,CurveTbl,$AH$7)</f>
        <v>#VALUE!</v>
      </c>
      <c r="AY108" s="370" t="e">
        <f aca="false">VLOOKUP($D108,CurveTbl,$AH$8)</f>
        <v>#VALUE!</v>
      </c>
      <c r="AZ108" s="370"/>
      <c r="BA108" s="507"/>
      <c r="BB108" s="505" t="e">
        <f aca="false">$H108-$BV108</f>
        <v>#VALUE!</v>
      </c>
      <c r="BC108" s="505" t="e">
        <f aca="false">I108-BW108</f>
        <v>#VALUE!</v>
      </c>
      <c r="BD108" s="370" t="e">
        <f aca="false">N108-BX108</f>
        <v>#VALUE!</v>
      </c>
      <c r="BE108" s="370" t="e">
        <f aca="false">O108-BY108</f>
        <v>#VALUE!</v>
      </c>
      <c r="BF108" s="370" t="e">
        <f aca="false">xSPRDOPT($BW108,$BV108,$CG108,0,$BY108,$BX108,$BZ108,$AJ108,1,4)*$CB108</f>
        <v>#NAME?</v>
      </c>
      <c r="BG108" s="370" t="e">
        <f aca="false">xSPRDOPT($BW108,$BV108,$CG108,0,$BY108,$BX108,$BZ108,$AJ108,1,3)*$CB108</f>
        <v>#NAME?</v>
      </c>
      <c r="BH108" s="370" t="e">
        <f aca="false">IF(OR(BF108&lt;&gt;0,BG108&lt;&gt;0),xSPRDOPT($BW108,$BV108,$CG108,0,$BY108,$BX108,$BZ108,$AJ108,1,12)*$CB108,0)</f>
        <v>#NAME?</v>
      </c>
      <c r="BI108" s="370" t="e">
        <f aca="false">xSPRDOPT($BW108,$BV108,$CG108,2*LN(1+CA108/2),$BY108,$BX108,$BZ108,$AJ108,1,9)</f>
        <v>#NAME?</v>
      </c>
      <c r="BJ108" s="370" t="e">
        <f aca="false">xSPRDOPT($BW108,$BV108,$CG108,0,$BY108,$BX108,$BZ108,$AJ108,1,6)*$CB108</f>
        <v>#NAME?</v>
      </c>
      <c r="BK108" s="370" t="e">
        <f aca="false">xSPRDOPT($BW108,$BV108,$CG108,0,$BY108,$BX108,$BZ108,$AJ108,1,5)*$CB108</f>
        <v>#NAME?</v>
      </c>
      <c r="BL108" s="370" t="e">
        <f aca="false">xSPRDOPT(BW108,BV108,CG108,0,BY108,BX108,BZ108,AJ108,1,2)*CB108</f>
        <v>#NAME?</v>
      </c>
      <c r="BM108" s="370" t="e">
        <f aca="false">xSPRDOPT(BW108,BV108,CG108,0,BY108,BX108,BZ108,AJ108,1,1)*CB108</f>
        <v>#NAME?</v>
      </c>
      <c r="BN108" s="370" t="e">
        <f aca="false">IF(AH108&lt;&gt;0,xSPRDOPT($BW108,$BV108,$CG108,2*LN(1+CA108/2),$BY108,$BX108,$BZ108,$AJ108,1,8)+(AJ108/365.25)*CH108/AH108,0)</f>
        <v>#VALUE!</v>
      </c>
      <c r="BO108" s="370" t="e">
        <f aca="false">xSPRDOPT($BW108,$BV108,$CG108,0,$BY108,$BX108,$BZ108,$AJ108,1,0)</f>
        <v>#NAME?</v>
      </c>
      <c r="BP108" s="370"/>
      <c r="BQ108" s="370"/>
      <c r="BR108" s="370"/>
      <c r="BS108" s="370"/>
      <c r="BV108" s="508" t="n">
        <v>3.8849104859335</v>
      </c>
      <c r="BW108" s="369" t="n">
        <v>4.177</v>
      </c>
      <c r="BX108" s="370" t="n">
        <v>0.226732369690698</v>
      </c>
      <c r="BY108" s="370" t="n">
        <v>0.226732369690698</v>
      </c>
      <c r="BZ108" s="370" t="n">
        <v>1</v>
      </c>
      <c r="CA108" s="370" t="n">
        <v>0.058367946667353</v>
      </c>
      <c r="CB108" s="370" t="n">
        <v>0.658954704378408</v>
      </c>
      <c r="CC108" s="505" t="n">
        <v>0.013</v>
      </c>
      <c r="CD108" s="505" t="n">
        <v>0.0075</v>
      </c>
      <c r="CE108" s="505" t="n">
        <v>0.4</v>
      </c>
      <c r="CF108" s="505" t="n">
        <v>0</v>
      </c>
      <c r="CG108" s="505" t="n">
        <v>0.0364</v>
      </c>
      <c r="CH108" s="505" t="n">
        <v>7.53165458463389</v>
      </c>
      <c r="CI108" s="505" t="n">
        <v>3.777</v>
      </c>
      <c r="CJ108" s="505"/>
      <c r="CK108" s="505"/>
      <c r="CL108" s="505"/>
      <c r="CM108" s="505"/>
    </row>
    <row r="109" customFormat="false" ht="12.75" hidden="false" customHeight="false" outlineLevel="0" collapsed="false">
      <c r="A109" s="500"/>
      <c r="B109" s="500"/>
      <c r="D109" s="361" t="e">
        <f aca="false">D108+AH108</f>
        <v>#VALUE!</v>
      </c>
      <c r="F109" s="362" t="e">
        <f aca="false">VLOOKUP(AG109,$AL$4:$AS$15,2)</f>
        <v>#VALUE!</v>
      </c>
      <c r="G109" s="362" t="e">
        <f aca="false">F109*$AU109</f>
        <v>#VALUE!</v>
      </c>
      <c r="H109" s="363" t="e">
        <f aca="false">(AL109+AM109+AN109)/(1-(AR109))</f>
        <v>#VALUE!</v>
      </c>
      <c r="I109" s="363" t="e">
        <f aca="false">(AL109+AO109+AP109)</f>
        <v>#VALUE!</v>
      </c>
      <c r="K109" s="363" t="e">
        <f aca="false">MAX(((I109-H109)-AQ109)*AU109*AH109,0)</f>
        <v>#VALUE!</v>
      </c>
      <c r="L109" s="501" t="e">
        <f aca="false">MAX(Q109-K109,0)</f>
        <v>#VALUE!</v>
      </c>
      <c r="N109" s="502" t="e">
        <f aca="false">SQRT(($AX109^2*($AH109/2)+$AW109^2*$AI109)/(($AH109/2)+$AI109))</f>
        <v>#VALUE!</v>
      </c>
      <c r="O109" s="502" t="e">
        <f aca="false">SQRT(($AY109^2*($AH109/2)+$AW109^2*$AI109)/(($AH109/2)+$AI109))</f>
        <v>#VALUE!</v>
      </c>
      <c r="P109" s="371" t="e">
        <f aca="false">(VLOOKUP(AI109,CorrelationTwo,2)*(AW109^2)*AI109+VLOOKUP(D109,CorrelationOne,$AK$9)*AX109*AY109*(AH109/2))/((AI109+(AH109/2))*O109*N109)*AF109</f>
        <v>#VALUE!</v>
      </c>
      <c r="Q109" s="501" t="e">
        <f aca="false">xSPRDOPT(I109,H109,AQ109,0,O109,N109,P109,D109-$G$5,1,0)*AH109*AU109</f>
        <v>#VALUE!</v>
      </c>
      <c r="R109" s="501"/>
      <c r="S109" s="365" t="e">
        <f aca="false">-T109/(1-AR109)</f>
        <v>#VALUE!</v>
      </c>
      <c r="T109" s="365" t="e">
        <f aca="false">xSPRDOPT(I109,H109,AQ109,AT109,O109,N109,P109,D109-$G$5,1,1)*AF109*F109*AH109</f>
        <v>#VALUE!</v>
      </c>
      <c r="U109" s="501"/>
      <c r="V109" s="503" t="e">
        <f aca="false">VLOOKUP($AG109,$AL$4:$AS$15,8)*AH109*AU109</f>
        <v>#VALUE!</v>
      </c>
      <c r="W109" s="503"/>
      <c r="X109" s="504" t="e">
        <f aca="false">((BM109*BC109)+(BL109*BB109))*AH109*F109</f>
        <v>#VALUE!</v>
      </c>
      <c r="Y109" s="504" t="e">
        <f aca="false">($F109*$AH109)*((($BG109/2)*($BC109)^2)+(($BF109/2)*($BB109)^2)+($BH109*$BC109*$BB109))</f>
        <v>#VALUE!</v>
      </c>
      <c r="Z109" s="504" t="e">
        <f aca="false">($BI109*$F109*$AH109*($G$5-$BV$5))/365.25</f>
        <v>#VALUE!</v>
      </c>
      <c r="AA109" s="504" t="e">
        <f aca="false">(($BK109*$BE109)+($BJ109*$BD109))*$F109*$AH109*$AF109</f>
        <v>#VALUE!</v>
      </c>
      <c r="AB109" s="504" t="e">
        <f aca="false">BN109*(AT109-CA109)*F109*AH109</f>
        <v>#VALUE!</v>
      </c>
      <c r="AC109" s="504" t="e">
        <f aca="false">BO109*CB109*F109*AH109*CA109*($G$5-$BV$5)/365.25</f>
        <v>#NAME?</v>
      </c>
      <c r="AF109" s="378" t="e">
        <f aca="false">IF(AND(D109&gt;=$G$7,D109&lt;=$G$8),1,0)</f>
        <v>#VALUE!</v>
      </c>
      <c r="AG109" s="378" t="e">
        <f aca="false">MONTH(D109)</f>
        <v>#VALUE!</v>
      </c>
      <c r="AH109" s="378" t="e">
        <f aca="false">(EOMONTH(D109,0)-EOMONTH(D109-DAY(D109),0))*AF109</f>
        <v>#VALUE!</v>
      </c>
      <c r="AI109" s="378" t="e">
        <f aca="false">AI108+AH108</f>
        <v>#VALUE!</v>
      </c>
      <c r="AJ109" s="378" t="e">
        <f aca="false">D109-$BV$5</f>
        <v>#VALUE!</v>
      </c>
      <c r="AL109" s="369" t="e">
        <f aca="false">VLOOKUP($D109,CurveTbl,$AK$4)</f>
        <v>#VALUE!</v>
      </c>
      <c r="AM109" s="505" t="e">
        <f aca="false">VLOOKUP($D109,CurveTbl,$AH$3)</f>
        <v>#VALUE!</v>
      </c>
      <c r="AN109" s="505" t="e">
        <f aca="false">VLOOKUP($D109,CurveTbl,$AH$4)+VLOOKUP($AG109,$AL$3:$AS$15,6)</f>
        <v>#VALUE!</v>
      </c>
      <c r="AO109" s="505" t="e">
        <f aca="false">VLOOKUP($D109,CurveTbl,$AH$5)</f>
        <v>#VALUE!</v>
      </c>
      <c r="AP109" s="505" t="e">
        <f aca="false">VLOOKUP($D109,CurveTbl,$AH$6)+VLOOKUP($AG109,$AL$3:$AS$15,7)</f>
        <v>#VALUE!</v>
      </c>
      <c r="AQ109" s="369" t="e">
        <f aca="false">VLOOKUP($AG109,$AL$4:$AS$15,3)+VLOOKUP($AG109,$AL$4:$AS$15,5)+($AH$10*VLOOKUP(D109,GRITable,2))</f>
        <v>#VALUE!</v>
      </c>
      <c r="AR109" s="370" t="e">
        <f aca="false">VLOOKUP($AG109,$AL$4:$AS$15,4)</f>
        <v>#VALUE!</v>
      </c>
      <c r="AS109" s="369" t="e">
        <f aca="false">(AL109+AM109+AN109)</f>
        <v>#VALUE!</v>
      </c>
      <c r="AT109" s="370" t="e">
        <f aca="false">VLOOKUP(D109,CurveTbl,$AK$6)</f>
        <v>#VALUE!</v>
      </c>
      <c r="AU109" s="370" t="e">
        <f aca="false">(1+$AT109/2)^(-2*($D109-$G$5)/365.25)*$AF109</f>
        <v>#VALUE!</v>
      </c>
      <c r="AV109" s="506" t="e">
        <f aca="false">ROUND((F109/(1-AR109))-F109,0)*AF109*AH109*AU109</f>
        <v>#VALUE!</v>
      </c>
      <c r="AW109" s="370" t="e">
        <f aca="false">VLOOKUP($D109,CurveTbl,$AK$8)</f>
        <v>#VALUE!</v>
      </c>
      <c r="AX109" s="370" t="e">
        <f aca="false">VLOOKUP($D109,CurveTbl,$AH$7)</f>
        <v>#VALUE!</v>
      </c>
      <c r="AY109" s="370" t="e">
        <f aca="false">VLOOKUP($D109,CurveTbl,$AH$8)</f>
        <v>#VALUE!</v>
      </c>
      <c r="AZ109" s="370"/>
      <c r="BA109" s="507"/>
      <c r="BB109" s="505" t="e">
        <f aca="false">$H109-$BV109</f>
        <v>#VALUE!</v>
      </c>
      <c r="BC109" s="505" t="e">
        <f aca="false">I109-BW109</f>
        <v>#VALUE!</v>
      </c>
      <c r="BD109" s="370" t="e">
        <f aca="false">N109-BX109</f>
        <v>#VALUE!</v>
      </c>
      <c r="BE109" s="370" t="e">
        <f aca="false">O109-BY109</f>
        <v>#VALUE!</v>
      </c>
      <c r="BF109" s="370" t="e">
        <f aca="false">xSPRDOPT($BW109,$BV109,$CG109,0,$BY109,$BX109,$BZ109,$AJ109,1,4)*$CB109</f>
        <v>#NAME?</v>
      </c>
      <c r="BG109" s="370" t="e">
        <f aca="false">xSPRDOPT($BW109,$BV109,$CG109,0,$BY109,$BX109,$BZ109,$AJ109,1,3)*$CB109</f>
        <v>#NAME?</v>
      </c>
      <c r="BH109" s="370" t="e">
        <f aca="false">IF(OR(BF109&lt;&gt;0,BG109&lt;&gt;0),xSPRDOPT($BW109,$BV109,$CG109,0,$BY109,$BX109,$BZ109,$AJ109,1,12)*$CB109,0)</f>
        <v>#NAME?</v>
      </c>
      <c r="BI109" s="370" t="e">
        <f aca="false">xSPRDOPT($BW109,$BV109,$CG109,2*LN(1+CA109/2),$BY109,$BX109,$BZ109,$AJ109,1,9)</f>
        <v>#NAME?</v>
      </c>
      <c r="BJ109" s="370" t="e">
        <f aca="false">xSPRDOPT($BW109,$BV109,$CG109,0,$BY109,$BX109,$BZ109,$AJ109,1,6)*$CB109</f>
        <v>#NAME?</v>
      </c>
      <c r="BK109" s="370" t="e">
        <f aca="false">xSPRDOPT($BW109,$BV109,$CG109,0,$BY109,$BX109,$BZ109,$AJ109,1,5)*$CB109</f>
        <v>#NAME?</v>
      </c>
      <c r="BL109" s="370" t="e">
        <f aca="false">xSPRDOPT(BW109,BV109,CG109,0,BY109,BX109,BZ109,AJ109,1,2)*CB109</f>
        <v>#NAME?</v>
      </c>
      <c r="BM109" s="370" t="e">
        <f aca="false">xSPRDOPT(BW109,BV109,CG109,0,BY109,BX109,BZ109,AJ109,1,1)*CB109</f>
        <v>#NAME?</v>
      </c>
      <c r="BN109" s="370" t="e">
        <f aca="false">IF(AH109&lt;&gt;0,xSPRDOPT($BW109,$BV109,$CG109,2*LN(1+CA109/2),$BY109,$BX109,$BZ109,$AJ109,1,8)+(AJ109/365.25)*CH109/AH109,0)</f>
        <v>#VALUE!</v>
      </c>
      <c r="BO109" s="370" t="e">
        <f aca="false">xSPRDOPT($BW109,$BV109,$CG109,0,$BY109,$BX109,$BZ109,$AJ109,1,0)</f>
        <v>#NAME?</v>
      </c>
      <c r="BP109" s="370"/>
      <c r="BQ109" s="370"/>
      <c r="BR109" s="370"/>
      <c r="BS109" s="370"/>
      <c r="BV109" s="508" t="n">
        <v>3.69820971867008</v>
      </c>
      <c r="BW109" s="369" t="n">
        <v>4.192</v>
      </c>
      <c r="BX109" s="370" t="n">
        <v>0.204137845082131</v>
      </c>
      <c r="BY109" s="370" t="n">
        <v>0.204137845082131</v>
      </c>
      <c r="BZ109" s="370" t="n">
        <v>1</v>
      </c>
      <c r="CA109" s="370" t="n">
        <v>0.0584770595998663</v>
      </c>
      <c r="CB109" s="370" t="n">
        <v>0.655235182244367</v>
      </c>
      <c r="CC109" s="505" t="n">
        <v>0.013</v>
      </c>
      <c r="CD109" s="505" t="n">
        <v>0.01</v>
      </c>
      <c r="CE109" s="505" t="n">
        <v>0.6</v>
      </c>
      <c r="CF109" s="505" t="n">
        <v>0</v>
      </c>
      <c r="CG109" s="505" t="n">
        <v>0.0364</v>
      </c>
      <c r="CH109" s="505" t="n">
        <v>7.24755635080494</v>
      </c>
      <c r="CI109" s="505" t="n">
        <v>3.592</v>
      </c>
      <c r="CJ109" s="505"/>
      <c r="CK109" s="505"/>
      <c r="CL109" s="505"/>
      <c r="CM109" s="505"/>
    </row>
    <row r="110" customFormat="false" ht="12.75" hidden="false" customHeight="false" outlineLevel="0" collapsed="false">
      <c r="A110" s="500"/>
      <c r="B110" s="500"/>
      <c r="D110" s="361" t="e">
        <f aca="false">D109+AH109</f>
        <v>#VALUE!</v>
      </c>
      <c r="F110" s="362" t="e">
        <f aca="false">VLOOKUP(AG110,$AL$4:$AS$15,2)</f>
        <v>#VALUE!</v>
      </c>
      <c r="G110" s="362" t="e">
        <f aca="false">F110*$AU110</f>
        <v>#VALUE!</v>
      </c>
      <c r="H110" s="363" t="e">
        <f aca="false">(AL110+AM110+AN110)/(1-(AR110))</f>
        <v>#VALUE!</v>
      </c>
      <c r="I110" s="363" t="e">
        <f aca="false">(AL110+AO110+AP110)</f>
        <v>#VALUE!</v>
      </c>
      <c r="K110" s="363" t="e">
        <f aca="false">MAX(((I110-H110)-AQ110)*AU110*AH110,0)</f>
        <v>#VALUE!</v>
      </c>
      <c r="L110" s="501" t="e">
        <f aca="false">MAX(Q110-K110,0)</f>
        <v>#VALUE!</v>
      </c>
      <c r="N110" s="502" t="e">
        <f aca="false">SQRT(($AX110^2*($AH110/2)+$AW110^2*$AI110)/(($AH110/2)+$AI110))</f>
        <v>#VALUE!</v>
      </c>
      <c r="O110" s="502" t="e">
        <f aca="false">SQRT(($AY110^2*($AH110/2)+$AW110^2*$AI110)/(($AH110/2)+$AI110))</f>
        <v>#VALUE!</v>
      </c>
      <c r="P110" s="371" t="e">
        <f aca="false">(VLOOKUP(AI110,CorrelationTwo,2)*(AW110^2)*AI110+VLOOKUP(D110,CorrelationOne,$AK$9)*AX110*AY110*(AH110/2))/((AI110+(AH110/2))*O110*N110)*AF110</f>
        <v>#VALUE!</v>
      </c>
      <c r="Q110" s="501" t="e">
        <f aca="false">xSPRDOPT(I110,H110,AQ110,0,O110,N110,P110,D110-$G$5,1,0)*AH110*AU110</f>
        <v>#VALUE!</v>
      </c>
      <c r="R110" s="501"/>
      <c r="S110" s="365" t="e">
        <f aca="false">-T110/(1-AR110)</f>
        <v>#VALUE!</v>
      </c>
      <c r="T110" s="365" t="e">
        <f aca="false">xSPRDOPT(I110,H110,AQ110,AT110,O110,N110,P110,D110-$G$5,1,1)*AF110*F110*AH110</f>
        <v>#VALUE!</v>
      </c>
      <c r="U110" s="501"/>
      <c r="V110" s="503" t="e">
        <f aca="false">VLOOKUP($AG110,$AL$4:$AS$15,8)*AH110*AU110</f>
        <v>#VALUE!</v>
      </c>
      <c r="W110" s="503"/>
      <c r="X110" s="504" t="e">
        <f aca="false">((BM110*BC110)+(BL110*BB110))*AH110*F110</f>
        <v>#VALUE!</v>
      </c>
      <c r="Y110" s="504" t="e">
        <f aca="false">($F110*$AH110)*((($BG110/2)*($BC110)^2)+(($BF110/2)*($BB110)^2)+($BH110*$BC110*$BB110))</f>
        <v>#VALUE!</v>
      </c>
      <c r="Z110" s="504" t="e">
        <f aca="false">($BI110*$F110*$AH110*($G$5-$BV$5))/365.25</f>
        <v>#VALUE!</v>
      </c>
      <c r="AA110" s="504" t="e">
        <f aca="false">(($BK110*$BE110)+($BJ110*$BD110))*$F110*$AH110*$AF110</f>
        <v>#VALUE!</v>
      </c>
      <c r="AB110" s="504" t="e">
        <f aca="false">BN110*(AT110-CA110)*F110*AH110</f>
        <v>#VALUE!</v>
      </c>
      <c r="AC110" s="504" t="e">
        <f aca="false">BO110*CB110*F110*AH110*CA110*($G$5-$BV$5)/365.25</f>
        <v>#NAME?</v>
      </c>
      <c r="AF110" s="378" t="e">
        <f aca="false">IF(AND(D110&gt;=$G$7,D110&lt;=$G$8),1,0)</f>
        <v>#VALUE!</v>
      </c>
      <c r="AG110" s="378" t="e">
        <f aca="false">MONTH(D110)</f>
        <v>#VALUE!</v>
      </c>
      <c r="AH110" s="378" t="e">
        <f aca="false">(EOMONTH(D110,0)-EOMONTH(D110-DAY(D110),0))*AF110</f>
        <v>#VALUE!</v>
      </c>
      <c r="AI110" s="378" t="e">
        <f aca="false">AI109+AH109</f>
        <v>#VALUE!</v>
      </c>
      <c r="AJ110" s="378" t="e">
        <f aca="false">D110-$BV$5</f>
        <v>#VALUE!</v>
      </c>
      <c r="AL110" s="369" t="e">
        <f aca="false">VLOOKUP($D110,CurveTbl,$AK$4)</f>
        <v>#VALUE!</v>
      </c>
      <c r="AM110" s="505" t="e">
        <f aca="false">VLOOKUP($D110,CurveTbl,$AH$3)</f>
        <v>#VALUE!</v>
      </c>
      <c r="AN110" s="505" t="e">
        <f aca="false">VLOOKUP($D110,CurveTbl,$AH$4)+VLOOKUP($AG110,$AL$3:$AS$15,6)</f>
        <v>#VALUE!</v>
      </c>
      <c r="AO110" s="505" t="e">
        <f aca="false">VLOOKUP($D110,CurveTbl,$AH$5)</f>
        <v>#VALUE!</v>
      </c>
      <c r="AP110" s="505" t="e">
        <f aca="false">VLOOKUP($D110,CurveTbl,$AH$6)+VLOOKUP($AG110,$AL$3:$AS$15,7)</f>
        <v>#VALUE!</v>
      </c>
      <c r="AQ110" s="369" t="e">
        <f aca="false">VLOOKUP($AG110,$AL$4:$AS$15,3)+VLOOKUP($AG110,$AL$4:$AS$15,5)+($AH$10*VLOOKUP(D110,GRITable,2))</f>
        <v>#VALUE!</v>
      </c>
      <c r="AR110" s="370" t="e">
        <f aca="false">VLOOKUP($AG110,$AL$4:$AS$15,4)</f>
        <v>#VALUE!</v>
      </c>
      <c r="AS110" s="369" t="e">
        <f aca="false">(AL110+AM110+AN110)</f>
        <v>#VALUE!</v>
      </c>
      <c r="AT110" s="370" t="e">
        <f aca="false">VLOOKUP(D110,CurveTbl,$AK$6)</f>
        <v>#VALUE!</v>
      </c>
      <c r="AU110" s="370" t="e">
        <f aca="false">(1+$AT110/2)^(-2*($D110-$G$5)/365.25)*$AF110</f>
        <v>#VALUE!</v>
      </c>
      <c r="AV110" s="506" t="e">
        <f aca="false">ROUND((F110/(1-AR110))-F110,0)*AF110*AH110*AU110</f>
        <v>#VALUE!</v>
      </c>
      <c r="AW110" s="370" t="e">
        <f aca="false">VLOOKUP($D110,CurveTbl,$AK$8)</f>
        <v>#VALUE!</v>
      </c>
      <c r="AX110" s="370" t="e">
        <f aca="false">VLOOKUP($D110,CurveTbl,$AH$7)</f>
        <v>#VALUE!</v>
      </c>
      <c r="AY110" s="370" t="e">
        <f aca="false">VLOOKUP($D110,CurveTbl,$AH$8)</f>
        <v>#VALUE!</v>
      </c>
      <c r="AZ110" s="370"/>
      <c r="BA110" s="507"/>
      <c r="BB110" s="505" t="e">
        <f aca="false">$H110-$BV110</f>
        <v>#VALUE!</v>
      </c>
      <c r="BC110" s="505" t="e">
        <f aca="false">I110-BW110</f>
        <v>#VALUE!</v>
      </c>
      <c r="BD110" s="370" t="e">
        <f aca="false">N110-BX110</f>
        <v>#VALUE!</v>
      </c>
      <c r="BE110" s="370" t="e">
        <f aca="false">O110-BY110</f>
        <v>#VALUE!</v>
      </c>
      <c r="BF110" s="370" t="e">
        <f aca="false">xSPRDOPT($BW110,$BV110,$CG110,0,$BY110,$BX110,$BZ110,$AJ110,1,4)*$CB110</f>
        <v>#NAME?</v>
      </c>
      <c r="BG110" s="370" t="e">
        <f aca="false">xSPRDOPT($BW110,$BV110,$CG110,0,$BY110,$BX110,$BZ110,$AJ110,1,3)*$CB110</f>
        <v>#NAME?</v>
      </c>
      <c r="BH110" s="370" t="e">
        <f aca="false">IF(OR(BF110&lt;&gt;0,BG110&lt;&gt;0),xSPRDOPT($BW110,$BV110,$CG110,0,$BY110,$BX110,$BZ110,$AJ110,1,12)*$CB110,0)</f>
        <v>#NAME?</v>
      </c>
      <c r="BI110" s="370" t="e">
        <f aca="false">xSPRDOPT($BW110,$BV110,$CG110,2*LN(1+CA110/2),$BY110,$BX110,$BZ110,$AJ110,1,9)</f>
        <v>#NAME?</v>
      </c>
      <c r="BJ110" s="370" t="e">
        <f aca="false">xSPRDOPT($BW110,$BV110,$CG110,0,$BY110,$BX110,$BZ110,$AJ110,1,6)*$CB110</f>
        <v>#NAME?</v>
      </c>
      <c r="BK110" s="370" t="e">
        <f aca="false">xSPRDOPT($BW110,$BV110,$CG110,0,$BY110,$BX110,$BZ110,$AJ110,1,5)*$CB110</f>
        <v>#NAME?</v>
      </c>
      <c r="BL110" s="370" t="e">
        <f aca="false">xSPRDOPT(BW110,BV110,CG110,0,BY110,BX110,BZ110,AJ110,1,2)*CB110</f>
        <v>#NAME?</v>
      </c>
      <c r="BM110" s="370" t="e">
        <f aca="false">xSPRDOPT(BW110,BV110,CG110,0,BY110,BX110,BZ110,AJ110,1,1)*CB110</f>
        <v>#NAME?</v>
      </c>
      <c r="BN110" s="370" t="e">
        <f aca="false">IF(AH110&lt;&gt;0,xSPRDOPT($BW110,$BV110,$CG110,2*LN(1+CA110/2),$BY110,$BX110,$BZ110,$AJ110,1,8)+(AJ110/365.25)*CH110/AH110,0)</f>
        <v>#VALUE!</v>
      </c>
      <c r="BO110" s="370" t="e">
        <f aca="false">xSPRDOPT($BW110,$BV110,$CG110,0,$BY110,$BX110,$BZ110,$AJ110,1,0)</f>
        <v>#NAME?</v>
      </c>
      <c r="BP110" s="370"/>
      <c r="BQ110" s="370"/>
      <c r="BR110" s="370"/>
      <c r="BS110" s="370"/>
      <c r="BV110" s="508" t="n">
        <v>3.69565217391304</v>
      </c>
      <c r="BW110" s="369" t="n">
        <v>4.337</v>
      </c>
      <c r="BX110" s="370" t="n">
        <v>0.204767556883322</v>
      </c>
      <c r="BY110" s="370" t="n">
        <v>0.204767556883322</v>
      </c>
      <c r="BZ110" s="370" t="n">
        <v>1</v>
      </c>
      <c r="CA110" s="370" t="n">
        <v>0.0585826527641324</v>
      </c>
      <c r="CB110" s="370" t="n">
        <v>0.651644496236389</v>
      </c>
      <c r="CC110" s="505" t="n">
        <v>0.0155</v>
      </c>
      <c r="CD110" s="505" t="n">
        <v>0.01</v>
      </c>
      <c r="CE110" s="505" t="n">
        <v>0.75</v>
      </c>
      <c r="CF110" s="505" t="n">
        <v>0</v>
      </c>
      <c r="CG110" s="505" t="n">
        <v>0.0364</v>
      </c>
      <c r="CH110" s="505" t="n">
        <v>7.44810109863305</v>
      </c>
      <c r="CI110" s="505" t="n">
        <v>3.587</v>
      </c>
      <c r="CJ110" s="505"/>
      <c r="CK110" s="505"/>
      <c r="CL110" s="505"/>
      <c r="CM110" s="505"/>
    </row>
    <row r="111" customFormat="false" ht="12.75" hidden="false" customHeight="false" outlineLevel="0" collapsed="false">
      <c r="A111" s="500"/>
      <c r="B111" s="500"/>
      <c r="D111" s="361" t="e">
        <f aca="false">D110+AH110</f>
        <v>#VALUE!</v>
      </c>
      <c r="F111" s="362" t="e">
        <f aca="false">VLOOKUP(AG111,$AL$4:$AS$15,2)</f>
        <v>#VALUE!</v>
      </c>
      <c r="G111" s="362" t="e">
        <f aca="false">F111*$AU111</f>
        <v>#VALUE!</v>
      </c>
      <c r="H111" s="363" t="e">
        <f aca="false">(AL111+AM111+AN111)/(1-(AR111))</f>
        <v>#VALUE!</v>
      </c>
      <c r="I111" s="363" t="e">
        <f aca="false">(AL111+AO111+AP111)</f>
        <v>#VALUE!</v>
      </c>
      <c r="K111" s="363" t="e">
        <f aca="false">MAX(((I111-H111)-AQ111)*AU111*AH111,0)</f>
        <v>#VALUE!</v>
      </c>
      <c r="L111" s="501" t="e">
        <f aca="false">MAX(Q111-K111,0)</f>
        <v>#VALUE!</v>
      </c>
      <c r="N111" s="502" t="e">
        <f aca="false">SQRT(($AX111^2*($AH111/2)+$AW111^2*$AI111)/(($AH111/2)+$AI111))</f>
        <v>#VALUE!</v>
      </c>
      <c r="O111" s="502" t="e">
        <f aca="false">SQRT(($AY111^2*($AH111/2)+$AW111^2*$AI111)/(($AH111/2)+$AI111))</f>
        <v>#VALUE!</v>
      </c>
      <c r="P111" s="371" t="e">
        <f aca="false">(VLOOKUP(AI111,CorrelationTwo,2)*(AW111^2)*AI111+VLOOKUP(D111,CorrelationOne,$AK$9)*AX111*AY111*(AH111/2))/((AI111+(AH111/2))*O111*N111)*AF111</f>
        <v>#VALUE!</v>
      </c>
      <c r="Q111" s="501" t="e">
        <f aca="false">xSPRDOPT(I111,H111,AQ111,0,O111,N111,P111,D111-$G$5,1,0)*AH111*AU111</f>
        <v>#VALUE!</v>
      </c>
      <c r="R111" s="501"/>
      <c r="S111" s="365" t="e">
        <f aca="false">-T111/(1-AR111)</f>
        <v>#VALUE!</v>
      </c>
      <c r="T111" s="365" t="e">
        <f aca="false">xSPRDOPT(I111,H111,AQ111,AT111,O111,N111,P111,D111-$G$5,1,1)*AF111*F111*AH111</f>
        <v>#VALUE!</v>
      </c>
      <c r="U111" s="501"/>
      <c r="V111" s="503" t="e">
        <f aca="false">VLOOKUP($AG111,$AL$4:$AS$15,8)*AH111*AU111</f>
        <v>#VALUE!</v>
      </c>
      <c r="W111" s="503"/>
      <c r="X111" s="504" t="e">
        <f aca="false">((BM111*BC111)+(BL111*BB111))*AH111*F111</f>
        <v>#VALUE!</v>
      </c>
      <c r="Y111" s="504" t="e">
        <f aca="false">($F111*$AH111)*((($BG111/2)*($BC111)^2)+(($BF111/2)*($BB111)^2)+($BH111*$BC111*$BB111))</f>
        <v>#VALUE!</v>
      </c>
      <c r="Z111" s="504" t="e">
        <f aca="false">($BI111*$F111*$AH111*($G$5-$BV$5))/365.25</f>
        <v>#VALUE!</v>
      </c>
      <c r="AA111" s="504" t="e">
        <f aca="false">(($BK111*$BE111)+($BJ111*$BD111))*$F111*$AH111*$AF111</f>
        <v>#VALUE!</v>
      </c>
      <c r="AB111" s="504" t="e">
        <f aca="false">BN111*(AT111-CA111)*F111*AH111</f>
        <v>#VALUE!</v>
      </c>
      <c r="AC111" s="504" t="e">
        <f aca="false">BO111*CB111*F111*AH111*CA111*($G$5-$BV$5)/365.25</f>
        <v>#NAME?</v>
      </c>
      <c r="AF111" s="378" t="e">
        <f aca="false">IF(AND(D111&gt;=$G$7,D111&lt;=$G$8),1,0)</f>
        <v>#VALUE!</v>
      </c>
      <c r="AG111" s="378" t="e">
        <f aca="false">MONTH(D111)</f>
        <v>#VALUE!</v>
      </c>
      <c r="AH111" s="378" t="e">
        <f aca="false">(EOMONTH(D111,0)-EOMONTH(D111-DAY(D111),0))*AF111</f>
        <v>#VALUE!</v>
      </c>
      <c r="AI111" s="378" t="e">
        <f aca="false">AI110+AH110</f>
        <v>#VALUE!</v>
      </c>
      <c r="AJ111" s="378" t="e">
        <f aca="false">D111-$BV$5</f>
        <v>#VALUE!</v>
      </c>
      <c r="AL111" s="369" t="e">
        <f aca="false">VLOOKUP($D111,CurveTbl,$AK$4)</f>
        <v>#VALUE!</v>
      </c>
      <c r="AM111" s="505" t="e">
        <f aca="false">VLOOKUP($D111,CurveTbl,$AH$3)</f>
        <v>#VALUE!</v>
      </c>
      <c r="AN111" s="505" t="e">
        <f aca="false">VLOOKUP($D111,CurveTbl,$AH$4)+VLOOKUP($AG111,$AL$3:$AS$15,6)</f>
        <v>#VALUE!</v>
      </c>
      <c r="AO111" s="505" t="e">
        <f aca="false">VLOOKUP($D111,CurveTbl,$AH$5)</f>
        <v>#VALUE!</v>
      </c>
      <c r="AP111" s="505" t="e">
        <f aca="false">VLOOKUP($D111,CurveTbl,$AH$6)+VLOOKUP($AG111,$AL$3:$AS$15,7)</f>
        <v>#VALUE!</v>
      </c>
      <c r="AQ111" s="369" t="e">
        <f aca="false">VLOOKUP($AG111,$AL$4:$AS$15,3)+VLOOKUP($AG111,$AL$4:$AS$15,5)+($AH$10*VLOOKUP(D111,GRITable,2))</f>
        <v>#VALUE!</v>
      </c>
      <c r="AR111" s="370" t="e">
        <f aca="false">VLOOKUP($AG111,$AL$4:$AS$15,4)</f>
        <v>#VALUE!</v>
      </c>
      <c r="AS111" s="369" t="e">
        <f aca="false">(AL111+AM111+AN111)</f>
        <v>#VALUE!</v>
      </c>
      <c r="AT111" s="370" t="e">
        <f aca="false">VLOOKUP(D111,CurveTbl,$AK$6)</f>
        <v>#VALUE!</v>
      </c>
      <c r="AU111" s="370" t="e">
        <f aca="false">(1+$AT111/2)^(-2*($D111-$G$5)/365.25)*$AF111</f>
        <v>#VALUE!</v>
      </c>
      <c r="AV111" s="506" t="e">
        <f aca="false">ROUND((F111/(1-AR111))-F111,0)*AF111*AH111*AU111</f>
        <v>#VALUE!</v>
      </c>
      <c r="AW111" s="370" t="e">
        <f aca="false">VLOOKUP($D111,CurveTbl,$AK$8)</f>
        <v>#VALUE!</v>
      </c>
      <c r="AX111" s="370" t="e">
        <f aca="false">VLOOKUP($D111,CurveTbl,$AH$7)</f>
        <v>#VALUE!</v>
      </c>
      <c r="AY111" s="370" t="e">
        <f aca="false">VLOOKUP($D111,CurveTbl,$AH$8)</f>
        <v>#VALUE!</v>
      </c>
      <c r="AZ111" s="370"/>
      <c r="BA111" s="507"/>
      <c r="BB111" s="505" t="e">
        <f aca="false">$H111-$BV111</f>
        <v>#VALUE!</v>
      </c>
      <c r="BC111" s="505" t="e">
        <f aca="false">I111-BW111</f>
        <v>#VALUE!</v>
      </c>
      <c r="BD111" s="370" t="e">
        <f aca="false">N111-BX111</f>
        <v>#VALUE!</v>
      </c>
      <c r="BE111" s="370" t="e">
        <f aca="false">O111-BY111</f>
        <v>#VALUE!</v>
      </c>
      <c r="BF111" s="370" t="e">
        <f aca="false">xSPRDOPT($BW111,$BV111,$CG111,0,$BY111,$BX111,$BZ111,$AJ111,1,4)*$CB111</f>
        <v>#NAME?</v>
      </c>
      <c r="BG111" s="370" t="e">
        <f aca="false">xSPRDOPT($BW111,$BV111,$CG111,0,$BY111,$BX111,$BZ111,$AJ111,1,3)*$CB111</f>
        <v>#NAME?</v>
      </c>
      <c r="BH111" s="370" t="e">
        <f aca="false">IF(OR(BF111&lt;&gt;0,BG111&lt;&gt;0),xSPRDOPT($BW111,$BV111,$CG111,0,$BY111,$BX111,$BZ111,$AJ111,1,12)*$CB111,0)</f>
        <v>#NAME?</v>
      </c>
      <c r="BI111" s="370" t="e">
        <f aca="false">xSPRDOPT($BW111,$BV111,$CG111,2*LN(1+CA111/2),$BY111,$BX111,$BZ111,$AJ111,1,9)</f>
        <v>#NAME?</v>
      </c>
      <c r="BJ111" s="370" t="e">
        <f aca="false">xSPRDOPT($BW111,$BV111,$CG111,0,$BY111,$BX111,$BZ111,$AJ111,1,6)*$CB111</f>
        <v>#NAME?</v>
      </c>
      <c r="BK111" s="370" t="e">
        <f aca="false">xSPRDOPT($BW111,$BV111,$CG111,0,$BY111,$BX111,$BZ111,$AJ111,1,5)*$CB111</f>
        <v>#NAME?</v>
      </c>
      <c r="BL111" s="370" t="e">
        <f aca="false">xSPRDOPT(BW111,BV111,CG111,0,BY111,BX111,BZ111,AJ111,1,2)*CB111</f>
        <v>#NAME?</v>
      </c>
      <c r="BM111" s="370" t="e">
        <f aca="false">xSPRDOPT(BW111,BV111,CG111,0,BY111,BX111,BZ111,AJ111,1,1)*CB111</f>
        <v>#NAME?</v>
      </c>
      <c r="BN111" s="370" t="e">
        <f aca="false">IF(AH111&lt;&gt;0,xSPRDOPT($BW111,$BV111,$CG111,2*LN(1+CA111/2),$BY111,$BX111,$BZ111,$AJ111,1,8)+(AJ111/365.25)*CH111/AH111,0)</f>
        <v>#VALUE!</v>
      </c>
      <c r="BO111" s="370" t="e">
        <f aca="false">xSPRDOPT($BW111,$BV111,$CG111,0,$BY111,$BX111,$BZ111,$AJ111,1,0)</f>
        <v>#NAME?</v>
      </c>
      <c r="BP111" s="370"/>
      <c r="BQ111" s="370"/>
      <c r="BR111" s="370"/>
      <c r="BS111" s="370"/>
      <c r="BV111" s="508" t="n">
        <v>3.73145780051151</v>
      </c>
      <c r="BW111" s="369" t="n">
        <v>4.472</v>
      </c>
      <c r="BX111" s="370" t="n">
        <v>0.204670509183521</v>
      </c>
      <c r="BY111" s="370" t="n">
        <v>0.204670509183521</v>
      </c>
      <c r="BZ111" s="370" t="n">
        <v>1</v>
      </c>
      <c r="CA111" s="370" t="n">
        <v>0.0586917657044355</v>
      </c>
      <c r="CB111" s="370" t="n">
        <v>0.647943346263286</v>
      </c>
      <c r="CC111" s="505" t="n">
        <v>0.0155</v>
      </c>
      <c r="CD111" s="505" t="n">
        <v>0.01</v>
      </c>
      <c r="CE111" s="505" t="n">
        <v>0.85</v>
      </c>
      <c r="CF111" s="505" t="n">
        <v>0</v>
      </c>
      <c r="CG111" s="505" t="n">
        <v>0.0364</v>
      </c>
      <c r="CH111" s="505" t="n">
        <v>7.1669013530182</v>
      </c>
      <c r="CI111" s="505" t="n">
        <v>3.622</v>
      </c>
      <c r="CJ111" s="505"/>
      <c r="CK111" s="505"/>
      <c r="CL111" s="505"/>
      <c r="CM111" s="505"/>
    </row>
    <row r="112" customFormat="false" ht="12.75" hidden="false" customHeight="false" outlineLevel="0" collapsed="false">
      <c r="A112" s="500"/>
      <c r="B112" s="500"/>
      <c r="D112" s="361" t="e">
        <f aca="false">D111+AH111</f>
        <v>#VALUE!</v>
      </c>
      <c r="F112" s="362" t="e">
        <f aca="false">VLOOKUP(AG112,$AL$4:$AS$15,2)</f>
        <v>#VALUE!</v>
      </c>
      <c r="G112" s="362" t="e">
        <f aca="false">F112*$AU112</f>
        <v>#VALUE!</v>
      </c>
      <c r="H112" s="363" t="e">
        <f aca="false">(AL112+AM112+AN112)/(1-(AR112))</f>
        <v>#VALUE!</v>
      </c>
      <c r="I112" s="363" t="e">
        <f aca="false">(AL112+AO112+AP112)</f>
        <v>#VALUE!</v>
      </c>
      <c r="K112" s="363" t="e">
        <f aca="false">MAX(((I112-H112)-AQ112)*AU112*AH112,0)</f>
        <v>#VALUE!</v>
      </c>
      <c r="L112" s="501" t="e">
        <f aca="false">MAX(Q112-K112,0)</f>
        <v>#VALUE!</v>
      </c>
      <c r="N112" s="502" t="e">
        <f aca="false">SQRT(($AX112^2*($AH112/2)+$AW112^2*$AI112)/(($AH112/2)+$AI112))</f>
        <v>#VALUE!</v>
      </c>
      <c r="O112" s="502" t="e">
        <f aca="false">SQRT(($AY112^2*($AH112/2)+$AW112^2*$AI112)/(($AH112/2)+$AI112))</f>
        <v>#VALUE!</v>
      </c>
      <c r="P112" s="371" t="e">
        <f aca="false">(VLOOKUP(AI112,CorrelationTwo,2)*(AW112^2)*AI112+VLOOKUP(D112,CorrelationOne,$AK$9)*AX112*AY112*(AH112/2))/((AI112+(AH112/2))*O112*N112)*AF112</f>
        <v>#VALUE!</v>
      </c>
      <c r="Q112" s="501" t="e">
        <f aca="false">xSPRDOPT(I112,H112,AQ112,0,O112,N112,P112,D112-$G$5,1,0)*AH112*AU112</f>
        <v>#VALUE!</v>
      </c>
      <c r="R112" s="501"/>
      <c r="S112" s="365" t="e">
        <f aca="false">-T112/(1-AR112)</f>
        <v>#VALUE!</v>
      </c>
      <c r="T112" s="365" t="e">
        <f aca="false">xSPRDOPT(I112,H112,AQ112,AT112,O112,N112,P112,D112-$G$5,1,1)*AF112*F112*AH112</f>
        <v>#VALUE!</v>
      </c>
      <c r="U112" s="501"/>
      <c r="V112" s="503" t="e">
        <f aca="false">VLOOKUP($AG112,$AL$4:$AS$15,8)*AH112*AU112</f>
        <v>#VALUE!</v>
      </c>
      <c r="W112" s="503"/>
      <c r="X112" s="504" t="e">
        <f aca="false">((BM112*BC112)+(BL112*BB112))*AH112*F112</f>
        <v>#VALUE!</v>
      </c>
      <c r="Y112" s="504" t="e">
        <f aca="false">($F112*$AH112)*((($BG112/2)*($BC112)^2)+(($BF112/2)*($BB112)^2)+($BH112*$BC112*$BB112))</f>
        <v>#VALUE!</v>
      </c>
      <c r="Z112" s="504" t="e">
        <f aca="false">($BI112*$F112*$AH112*($G$5-$BV$5))/365.25</f>
        <v>#VALUE!</v>
      </c>
      <c r="AA112" s="504" t="e">
        <f aca="false">(($BK112*$BE112)+($BJ112*$BD112))*$F112*$AH112*$AF112</f>
        <v>#VALUE!</v>
      </c>
      <c r="AB112" s="504" t="e">
        <f aca="false">BN112*(AT112-CA112)*F112*AH112</f>
        <v>#VALUE!</v>
      </c>
      <c r="AC112" s="504" t="e">
        <f aca="false">BO112*CB112*F112*AH112*CA112*($G$5-$BV$5)/365.25</f>
        <v>#NAME?</v>
      </c>
      <c r="AF112" s="378" t="e">
        <f aca="false">IF(AND(D112&gt;=$G$7,D112&lt;=$G$8),1,0)</f>
        <v>#VALUE!</v>
      </c>
      <c r="AG112" s="378" t="e">
        <f aca="false">MONTH(D112)</f>
        <v>#VALUE!</v>
      </c>
      <c r="AH112" s="378" t="e">
        <f aca="false">(EOMONTH(D112,0)-EOMONTH(D112-DAY(D112),0))*AF112</f>
        <v>#VALUE!</v>
      </c>
      <c r="AI112" s="378" t="e">
        <f aca="false">AI111+AH111</f>
        <v>#VALUE!</v>
      </c>
      <c r="AJ112" s="378" t="e">
        <f aca="false">D112-$BV$5</f>
        <v>#VALUE!</v>
      </c>
      <c r="AL112" s="369" t="e">
        <f aca="false">VLOOKUP($D112,CurveTbl,$AK$4)</f>
        <v>#VALUE!</v>
      </c>
      <c r="AM112" s="505" t="e">
        <f aca="false">VLOOKUP($D112,CurveTbl,$AH$3)</f>
        <v>#VALUE!</v>
      </c>
      <c r="AN112" s="505" t="e">
        <f aca="false">VLOOKUP($D112,CurveTbl,$AH$4)+VLOOKUP($AG112,$AL$3:$AS$15,6)</f>
        <v>#VALUE!</v>
      </c>
      <c r="AO112" s="505" t="e">
        <f aca="false">VLOOKUP($D112,CurveTbl,$AH$5)</f>
        <v>#VALUE!</v>
      </c>
      <c r="AP112" s="505" t="e">
        <f aca="false">VLOOKUP($D112,CurveTbl,$AH$6)+VLOOKUP($AG112,$AL$3:$AS$15,7)</f>
        <v>#VALUE!</v>
      </c>
      <c r="AQ112" s="369" t="e">
        <f aca="false">VLOOKUP($AG112,$AL$4:$AS$15,3)+VLOOKUP($AG112,$AL$4:$AS$15,5)+($AH$10*VLOOKUP(D112,GRITable,2))</f>
        <v>#VALUE!</v>
      </c>
      <c r="AR112" s="370" t="e">
        <f aca="false">VLOOKUP($AG112,$AL$4:$AS$15,4)</f>
        <v>#VALUE!</v>
      </c>
      <c r="AS112" s="369" t="e">
        <f aca="false">(AL112+AM112+AN112)</f>
        <v>#VALUE!</v>
      </c>
      <c r="AT112" s="370" t="e">
        <f aca="false">VLOOKUP(D112,CurveTbl,$AK$6)</f>
        <v>#VALUE!</v>
      </c>
      <c r="AU112" s="370" t="e">
        <f aca="false">(1+$AT112/2)^(-2*($D112-$G$5)/365.25)*$AF112</f>
        <v>#VALUE!</v>
      </c>
      <c r="AV112" s="506" t="e">
        <f aca="false">ROUND((F112/(1-AR112))-F112,0)*AF112*AH112*AU112</f>
        <v>#VALUE!</v>
      </c>
      <c r="AW112" s="370" t="e">
        <f aca="false">VLOOKUP($D112,CurveTbl,$AK$8)</f>
        <v>#VALUE!</v>
      </c>
      <c r="AX112" s="370" t="e">
        <f aca="false">VLOOKUP($D112,CurveTbl,$AH$7)</f>
        <v>#VALUE!</v>
      </c>
      <c r="AY112" s="370" t="e">
        <f aca="false">VLOOKUP($D112,CurveTbl,$AH$8)</f>
        <v>#VALUE!</v>
      </c>
      <c r="AZ112" s="370"/>
      <c r="BA112" s="507"/>
      <c r="BB112" s="505" t="e">
        <f aca="false">$H112-$BV112</f>
        <v>#VALUE!</v>
      </c>
      <c r="BC112" s="505" t="e">
        <f aca="false">I112-BW112</f>
        <v>#VALUE!</v>
      </c>
      <c r="BD112" s="370" t="e">
        <f aca="false">N112-BX112</f>
        <v>#VALUE!</v>
      </c>
      <c r="BE112" s="370" t="e">
        <f aca="false">O112-BY112</f>
        <v>#VALUE!</v>
      </c>
      <c r="BF112" s="370" t="e">
        <f aca="false">xSPRDOPT($BW112,$BV112,$CG112,0,$BY112,$BX112,$BZ112,$AJ112,1,4)*$CB112</f>
        <v>#NAME?</v>
      </c>
      <c r="BG112" s="370" t="e">
        <f aca="false">xSPRDOPT($BW112,$BV112,$CG112,0,$BY112,$BX112,$BZ112,$AJ112,1,3)*$CB112</f>
        <v>#NAME?</v>
      </c>
      <c r="BH112" s="370" t="e">
        <f aca="false">IF(OR(BF112&lt;&gt;0,BG112&lt;&gt;0),xSPRDOPT($BW112,$BV112,$CG112,0,$BY112,$BX112,$BZ112,$AJ112,1,12)*$CB112,0)</f>
        <v>#NAME?</v>
      </c>
      <c r="BI112" s="370" t="e">
        <f aca="false">xSPRDOPT($BW112,$BV112,$CG112,2*LN(1+CA112/2),$BY112,$BX112,$BZ112,$AJ112,1,9)</f>
        <v>#NAME?</v>
      </c>
      <c r="BJ112" s="370" t="e">
        <f aca="false">xSPRDOPT($BW112,$BV112,$CG112,0,$BY112,$BX112,$BZ112,$AJ112,1,6)*$CB112</f>
        <v>#NAME?</v>
      </c>
      <c r="BK112" s="370" t="e">
        <f aca="false">xSPRDOPT($BW112,$BV112,$CG112,0,$BY112,$BX112,$BZ112,$AJ112,1,5)*$CB112</f>
        <v>#NAME?</v>
      </c>
      <c r="BL112" s="370" t="e">
        <f aca="false">xSPRDOPT(BW112,BV112,CG112,0,BY112,BX112,BZ112,AJ112,1,2)*CB112</f>
        <v>#NAME?</v>
      </c>
      <c r="BM112" s="370" t="e">
        <f aca="false">xSPRDOPT(BW112,BV112,CG112,0,BY112,BX112,BZ112,AJ112,1,1)*CB112</f>
        <v>#NAME?</v>
      </c>
      <c r="BN112" s="370" t="e">
        <f aca="false">IF(AH112&lt;&gt;0,xSPRDOPT($BW112,$BV112,$CG112,2*LN(1+CA112/2),$BY112,$BX112,$BZ112,$AJ112,1,8)+(AJ112/365.25)*CH112/AH112,0)</f>
        <v>#VALUE!</v>
      </c>
      <c r="BO112" s="370" t="e">
        <f aca="false">xSPRDOPT($BW112,$BV112,$CG112,0,$BY112,$BX112,$BZ112,$AJ112,1,0)</f>
        <v>#NAME?</v>
      </c>
      <c r="BP112" s="370"/>
      <c r="BQ112" s="370"/>
      <c r="BR112" s="370"/>
      <c r="BS112" s="370"/>
      <c r="BV112" s="508" t="n">
        <v>3.77237851662404</v>
      </c>
      <c r="BW112" s="369" t="n">
        <v>4.712</v>
      </c>
      <c r="BX112" s="370" t="n">
        <v>0.205365714454194</v>
      </c>
      <c r="BY112" s="370" t="n">
        <v>0.205365714454194</v>
      </c>
      <c r="BZ112" s="370" t="n">
        <v>1</v>
      </c>
      <c r="CA112" s="370" t="n">
        <v>0.0587973588762392</v>
      </c>
      <c r="CB112" s="370" t="n">
        <v>0.644370590893921</v>
      </c>
      <c r="CC112" s="505" t="n">
        <v>0.0155</v>
      </c>
      <c r="CD112" s="505" t="n">
        <v>0.01</v>
      </c>
      <c r="CE112" s="505" t="n">
        <v>1.05</v>
      </c>
      <c r="CF112" s="505" t="n">
        <v>0</v>
      </c>
      <c r="CG112" s="505" t="n">
        <v>0.0364</v>
      </c>
      <c r="CH112" s="505" t="n">
        <v>7.36496254274025</v>
      </c>
      <c r="CI112" s="505" t="n">
        <v>3.662</v>
      </c>
      <c r="CJ112" s="505"/>
      <c r="CK112" s="505"/>
      <c r="CL112" s="505"/>
      <c r="CM112" s="505"/>
    </row>
    <row r="113" customFormat="false" ht="12.75" hidden="false" customHeight="false" outlineLevel="0" collapsed="false">
      <c r="A113" s="500"/>
      <c r="B113" s="500"/>
      <c r="D113" s="361" t="e">
        <f aca="false">D112+AH112</f>
        <v>#VALUE!</v>
      </c>
      <c r="F113" s="362" t="e">
        <f aca="false">VLOOKUP(AG113,$AL$4:$AS$15,2)</f>
        <v>#VALUE!</v>
      </c>
      <c r="G113" s="362" t="e">
        <f aca="false">F113*$AU113</f>
        <v>#VALUE!</v>
      </c>
      <c r="H113" s="363" t="e">
        <f aca="false">(AL113+AM113+AN113)/(1-(AR113))</f>
        <v>#VALUE!</v>
      </c>
      <c r="I113" s="363" t="e">
        <f aca="false">(AL113+AO113+AP113)</f>
        <v>#VALUE!</v>
      </c>
      <c r="K113" s="363" t="e">
        <f aca="false">MAX(((I113-H113)-AQ113)*AU113*AH113,0)</f>
        <v>#VALUE!</v>
      </c>
      <c r="L113" s="501" t="e">
        <f aca="false">MAX(Q113-K113,0)</f>
        <v>#VALUE!</v>
      </c>
      <c r="N113" s="502" t="e">
        <f aca="false">SQRT(($AX113^2*($AH113/2)+$AW113^2*$AI113)/(($AH113/2)+$AI113))</f>
        <v>#VALUE!</v>
      </c>
      <c r="O113" s="502" t="e">
        <f aca="false">SQRT(($AY113^2*($AH113/2)+$AW113^2*$AI113)/(($AH113/2)+$AI113))</f>
        <v>#VALUE!</v>
      </c>
      <c r="P113" s="371" t="e">
        <f aca="false">(VLOOKUP(AI113,CorrelationTwo,2)*(AW113^2)*AI113+VLOOKUP(D113,CorrelationOne,$AK$9)*AX113*AY113*(AH113/2))/((AI113+(AH113/2))*O113*N113)*AF113</f>
        <v>#VALUE!</v>
      </c>
      <c r="Q113" s="501" t="e">
        <f aca="false">xSPRDOPT(I113,H113,AQ113,0,O113,N113,P113,D113-$G$5,1,0)*AH113*AU113</f>
        <v>#VALUE!</v>
      </c>
      <c r="R113" s="501"/>
      <c r="S113" s="365" t="e">
        <f aca="false">-T113/(1-AR113)</f>
        <v>#VALUE!</v>
      </c>
      <c r="T113" s="365" t="e">
        <f aca="false">xSPRDOPT(I113,H113,AQ113,AT113,O113,N113,P113,D113-$G$5,1,1)*AF113*F113*AH113</f>
        <v>#VALUE!</v>
      </c>
      <c r="U113" s="501"/>
      <c r="V113" s="503" t="e">
        <f aca="false">VLOOKUP($AG113,$AL$4:$AS$15,8)*AH113*AU113</f>
        <v>#VALUE!</v>
      </c>
      <c r="W113" s="503"/>
      <c r="X113" s="504" t="e">
        <f aca="false">((BM113*BC113)+(BL113*BB113))*AH113*F113</f>
        <v>#VALUE!</v>
      </c>
      <c r="Y113" s="504" t="e">
        <f aca="false">($F113*$AH113)*((($BG113/2)*($BC113)^2)+(($BF113/2)*($BB113)^2)+($BH113*$BC113*$BB113))</f>
        <v>#VALUE!</v>
      </c>
      <c r="Z113" s="504" t="e">
        <f aca="false">($BI113*$F113*$AH113*($G$5-$BV$5))/365.25</f>
        <v>#VALUE!</v>
      </c>
      <c r="AA113" s="504" t="e">
        <f aca="false">(($BK113*$BE113)+($BJ113*$BD113))*$F113*$AH113*$AF113</f>
        <v>#VALUE!</v>
      </c>
      <c r="AB113" s="504" t="e">
        <f aca="false">BN113*(AT113-CA113)*F113*AH113</f>
        <v>#VALUE!</v>
      </c>
      <c r="AC113" s="504" t="e">
        <f aca="false">BO113*CB113*F113*AH113*CA113*($G$5-$BV$5)/365.25</f>
        <v>#NAME?</v>
      </c>
      <c r="AF113" s="378" t="e">
        <f aca="false">IF(AND(D113&gt;=$G$7,D113&lt;=$G$8),1,0)</f>
        <v>#VALUE!</v>
      </c>
      <c r="AG113" s="378" t="e">
        <f aca="false">MONTH(D113)</f>
        <v>#VALUE!</v>
      </c>
      <c r="AH113" s="378" t="e">
        <f aca="false">(EOMONTH(D113,0)-EOMONTH(D113-DAY(D113),0))*AF113</f>
        <v>#VALUE!</v>
      </c>
      <c r="AI113" s="378" t="e">
        <f aca="false">AI112+AH112</f>
        <v>#VALUE!</v>
      </c>
      <c r="AJ113" s="378" t="e">
        <f aca="false">D113-$BV$5</f>
        <v>#VALUE!</v>
      </c>
      <c r="AL113" s="369" t="e">
        <f aca="false">VLOOKUP($D113,CurveTbl,$AK$4)</f>
        <v>#VALUE!</v>
      </c>
      <c r="AM113" s="505" t="e">
        <f aca="false">VLOOKUP($D113,CurveTbl,$AH$3)</f>
        <v>#VALUE!</v>
      </c>
      <c r="AN113" s="505" t="e">
        <f aca="false">VLOOKUP($D113,CurveTbl,$AH$4)+VLOOKUP($AG113,$AL$3:$AS$15,6)</f>
        <v>#VALUE!</v>
      </c>
      <c r="AO113" s="505" t="e">
        <f aca="false">VLOOKUP($D113,CurveTbl,$AH$5)</f>
        <v>#VALUE!</v>
      </c>
      <c r="AP113" s="505" t="e">
        <f aca="false">VLOOKUP($D113,CurveTbl,$AH$6)+VLOOKUP($AG113,$AL$3:$AS$15,7)</f>
        <v>#VALUE!</v>
      </c>
      <c r="AQ113" s="369" t="e">
        <f aca="false">VLOOKUP($AG113,$AL$4:$AS$15,3)+VLOOKUP($AG113,$AL$4:$AS$15,5)+($AH$10*VLOOKUP(D113,GRITable,2))</f>
        <v>#VALUE!</v>
      </c>
      <c r="AR113" s="370" t="e">
        <f aca="false">VLOOKUP($AG113,$AL$4:$AS$15,4)</f>
        <v>#VALUE!</v>
      </c>
      <c r="AS113" s="369" t="e">
        <f aca="false">(AL113+AM113+AN113)</f>
        <v>#VALUE!</v>
      </c>
      <c r="AT113" s="370" t="e">
        <f aca="false">VLOOKUP(D113,CurveTbl,$AK$6)</f>
        <v>#VALUE!</v>
      </c>
      <c r="AU113" s="370" t="e">
        <f aca="false">(1+$AT113/2)^(-2*($D113-$G$5)/365.25)*$AF113</f>
        <v>#VALUE!</v>
      </c>
      <c r="AV113" s="506" t="e">
        <f aca="false">ROUND((F113/(1-AR113))-F113,0)*AF113*AH113*AU113</f>
        <v>#VALUE!</v>
      </c>
      <c r="AW113" s="370" t="e">
        <f aca="false">VLOOKUP($D113,CurveTbl,$AK$8)</f>
        <v>#VALUE!</v>
      </c>
      <c r="AX113" s="370" t="e">
        <f aca="false">VLOOKUP($D113,CurveTbl,$AH$7)</f>
        <v>#VALUE!</v>
      </c>
      <c r="AY113" s="370" t="e">
        <f aca="false">VLOOKUP($D113,CurveTbl,$AH$8)</f>
        <v>#VALUE!</v>
      </c>
      <c r="AZ113" s="370"/>
      <c r="BA113" s="507"/>
      <c r="BB113" s="505" t="e">
        <f aca="false">$H113-$BV113</f>
        <v>#VALUE!</v>
      </c>
      <c r="BC113" s="505" t="e">
        <f aca="false">I113-BW113</f>
        <v>#VALUE!</v>
      </c>
      <c r="BD113" s="370" t="e">
        <f aca="false">N113-BX113</f>
        <v>#VALUE!</v>
      </c>
      <c r="BE113" s="370" t="e">
        <f aca="false">O113-BY113</f>
        <v>#VALUE!</v>
      </c>
      <c r="BF113" s="370" t="e">
        <f aca="false">xSPRDOPT($BW113,$BV113,$CG113,0,$BY113,$BX113,$BZ113,$AJ113,1,4)*$CB113</f>
        <v>#NAME?</v>
      </c>
      <c r="BG113" s="370" t="e">
        <f aca="false">xSPRDOPT($BW113,$BV113,$CG113,0,$BY113,$BX113,$BZ113,$AJ113,1,3)*$CB113</f>
        <v>#NAME?</v>
      </c>
      <c r="BH113" s="370" t="e">
        <f aca="false">IF(OR(BF113&lt;&gt;0,BG113&lt;&gt;0),xSPRDOPT($BW113,$BV113,$CG113,0,$BY113,$BX113,$BZ113,$AJ113,1,12)*$CB113,0)</f>
        <v>#NAME?</v>
      </c>
      <c r="BI113" s="370" t="e">
        <f aca="false">xSPRDOPT($BW113,$BV113,$CG113,2*LN(1+CA113/2),$BY113,$BX113,$BZ113,$AJ113,1,9)</f>
        <v>#NAME?</v>
      </c>
      <c r="BJ113" s="370" t="e">
        <f aca="false">xSPRDOPT($BW113,$BV113,$CG113,0,$BY113,$BX113,$BZ113,$AJ113,1,6)*$CB113</f>
        <v>#NAME?</v>
      </c>
      <c r="BK113" s="370" t="e">
        <f aca="false">xSPRDOPT($BW113,$BV113,$CG113,0,$BY113,$BX113,$BZ113,$AJ113,1,5)*$CB113</f>
        <v>#NAME?</v>
      </c>
      <c r="BL113" s="370" t="e">
        <f aca="false">xSPRDOPT(BW113,BV113,CG113,0,BY113,BX113,BZ113,AJ113,1,2)*CB113</f>
        <v>#NAME?</v>
      </c>
      <c r="BM113" s="370" t="e">
        <f aca="false">xSPRDOPT(BW113,BV113,CG113,0,BY113,BX113,BZ113,AJ113,1,1)*CB113</f>
        <v>#NAME?</v>
      </c>
      <c r="BN113" s="370" t="e">
        <f aca="false">IF(AH113&lt;&gt;0,xSPRDOPT($BW113,$BV113,$CG113,2*LN(1+CA113/2),$BY113,$BX113,$BZ113,$AJ113,1,8)+(AJ113/365.25)*CH113/AH113,0)</f>
        <v>#VALUE!</v>
      </c>
      <c r="BO113" s="370" t="e">
        <f aca="false">xSPRDOPT($BW113,$BV113,$CG113,0,$BY113,$BX113,$BZ113,$AJ113,1,0)</f>
        <v>#NAME?</v>
      </c>
      <c r="BP113" s="370"/>
      <c r="BQ113" s="370"/>
      <c r="BR113" s="370"/>
      <c r="BS113" s="370"/>
      <c r="BV113" s="508" t="n">
        <v>3.80818414322251</v>
      </c>
      <c r="BW113" s="369" t="n">
        <v>4.752</v>
      </c>
      <c r="BX113" s="370" t="n">
        <v>0.206040077123141</v>
      </c>
      <c r="BY113" s="370" t="n">
        <v>0.206040077123141</v>
      </c>
      <c r="BZ113" s="370" t="n">
        <v>1</v>
      </c>
      <c r="CA113" s="370" t="n">
        <v>0.0589064718243306</v>
      </c>
      <c r="CB113" s="370" t="n">
        <v>0.640688123536613</v>
      </c>
      <c r="CC113" s="505" t="n">
        <v>0.0105</v>
      </c>
      <c r="CD113" s="505" t="n">
        <v>0.01</v>
      </c>
      <c r="CE113" s="505" t="n">
        <v>1.05</v>
      </c>
      <c r="CF113" s="505" t="n">
        <v>0</v>
      </c>
      <c r="CG113" s="505" t="n">
        <v>0.0364</v>
      </c>
      <c r="CH113" s="505" t="n">
        <v>7.32287304558642</v>
      </c>
      <c r="CI113" s="505" t="n">
        <v>3.702</v>
      </c>
      <c r="CJ113" s="505"/>
      <c r="CK113" s="505"/>
      <c r="CL113" s="505"/>
      <c r="CM113" s="505"/>
    </row>
    <row r="114" customFormat="false" ht="12.75" hidden="false" customHeight="false" outlineLevel="0" collapsed="false">
      <c r="A114" s="500"/>
      <c r="B114" s="500"/>
      <c r="D114" s="361" t="e">
        <f aca="false">D113+AH113</f>
        <v>#VALUE!</v>
      </c>
      <c r="F114" s="362" t="e">
        <f aca="false">VLOOKUP(AG114,$AL$4:$AS$15,2)</f>
        <v>#VALUE!</v>
      </c>
      <c r="G114" s="362" t="e">
        <f aca="false">F114*$AU114</f>
        <v>#VALUE!</v>
      </c>
      <c r="H114" s="363" t="e">
        <f aca="false">(AL114+AM114+AN114)/(1-(AR114))</f>
        <v>#VALUE!</v>
      </c>
      <c r="I114" s="363" t="e">
        <f aca="false">(AL114+AO114+AP114)</f>
        <v>#VALUE!</v>
      </c>
      <c r="K114" s="363" t="e">
        <f aca="false">MAX(((I114-H114)-AQ114)*AU114*AH114,0)</f>
        <v>#VALUE!</v>
      </c>
      <c r="L114" s="501" t="e">
        <f aca="false">MAX(Q114-K114,0)</f>
        <v>#VALUE!</v>
      </c>
      <c r="N114" s="502" t="e">
        <f aca="false">SQRT(($AX114^2*($AH114/2)+$AW114^2*$AI114)/(($AH114/2)+$AI114))</f>
        <v>#VALUE!</v>
      </c>
      <c r="O114" s="502" t="e">
        <f aca="false">SQRT(($AY114^2*($AH114/2)+$AW114^2*$AI114)/(($AH114/2)+$AI114))</f>
        <v>#VALUE!</v>
      </c>
      <c r="P114" s="371" t="e">
        <f aca="false">(VLOOKUP(AI114,CorrelationTwo,2)*(AW114^2)*AI114+VLOOKUP(D114,CorrelationOne,$AK$9)*AX114*AY114*(AH114/2))/((AI114+(AH114/2))*O114*N114)*AF114</f>
        <v>#VALUE!</v>
      </c>
      <c r="Q114" s="501" t="e">
        <f aca="false">xSPRDOPT(I114,H114,AQ114,0,O114,N114,P114,D114-$G$5,1,0)*AH114*AU114</f>
        <v>#VALUE!</v>
      </c>
      <c r="R114" s="501"/>
      <c r="S114" s="365" t="e">
        <f aca="false">-T114/(1-AR114)</f>
        <v>#VALUE!</v>
      </c>
      <c r="T114" s="365" t="e">
        <f aca="false">xSPRDOPT(I114,H114,AQ114,AT114,O114,N114,P114,D114-$G$5,1,1)*AF114*F114*AH114</f>
        <v>#VALUE!</v>
      </c>
      <c r="U114" s="501"/>
      <c r="V114" s="503" t="e">
        <f aca="false">VLOOKUP($AG114,$AL$4:$AS$15,8)*AH114*AU114</f>
        <v>#VALUE!</v>
      </c>
      <c r="W114" s="503"/>
      <c r="X114" s="504" t="e">
        <f aca="false">((BM114*BC114)+(BL114*BB114))*AH114*F114</f>
        <v>#VALUE!</v>
      </c>
      <c r="Y114" s="504" t="e">
        <f aca="false">($F114*$AH114)*((($BG114/2)*($BC114)^2)+(($BF114/2)*($BB114)^2)+($BH114*$BC114*$BB114))</f>
        <v>#VALUE!</v>
      </c>
      <c r="Z114" s="504" t="e">
        <f aca="false">($BI114*$F114*$AH114*($G$5-$BV$5))/365.25</f>
        <v>#VALUE!</v>
      </c>
      <c r="AA114" s="504" t="e">
        <f aca="false">(($BK114*$BE114)+($BJ114*$BD114))*$F114*$AH114*$AF114</f>
        <v>#VALUE!</v>
      </c>
      <c r="AB114" s="504" t="e">
        <f aca="false">BN114*(AT114-CA114)*F114*AH114</f>
        <v>#VALUE!</v>
      </c>
      <c r="AC114" s="504" t="e">
        <f aca="false">BO114*CB114*F114*AH114*CA114*($G$5-$BV$5)/365.25</f>
        <v>#NAME?</v>
      </c>
      <c r="AF114" s="378" t="e">
        <f aca="false">IF(AND(D114&gt;=$G$7,D114&lt;=$G$8),1,0)</f>
        <v>#VALUE!</v>
      </c>
      <c r="AG114" s="378" t="e">
        <f aca="false">MONTH(D114)</f>
        <v>#VALUE!</v>
      </c>
      <c r="AH114" s="378" t="e">
        <f aca="false">(EOMONTH(D114,0)-EOMONTH(D114-DAY(D114),0))*AF114</f>
        <v>#VALUE!</v>
      </c>
      <c r="AI114" s="378" t="e">
        <f aca="false">AI113+AH113</f>
        <v>#VALUE!</v>
      </c>
      <c r="AJ114" s="378" t="e">
        <f aca="false">D114-$BV$5</f>
        <v>#VALUE!</v>
      </c>
      <c r="AL114" s="369" t="e">
        <f aca="false">VLOOKUP($D114,CurveTbl,$AK$4)</f>
        <v>#VALUE!</v>
      </c>
      <c r="AM114" s="505" t="e">
        <f aca="false">VLOOKUP($D114,CurveTbl,$AH$3)</f>
        <v>#VALUE!</v>
      </c>
      <c r="AN114" s="505" t="e">
        <f aca="false">VLOOKUP($D114,CurveTbl,$AH$4)+VLOOKUP($AG114,$AL$3:$AS$15,6)</f>
        <v>#VALUE!</v>
      </c>
      <c r="AO114" s="505" t="e">
        <f aca="false">VLOOKUP($D114,CurveTbl,$AH$5)</f>
        <v>#VALUE!</v>
      </c>
      <c r="AP114" s="505" t="e">
        <f aca="false">VLOOKUP($D114,CurveTbl,$AH$6)+VLOOKUP($AG114,$AL$3:$AS$15,7)</f>
        <v>#VALUE!</v>
      </c>
      <c r="AQ114" s="369" t="e">
        <f aca="false">VLOOKUP($AG114,$AL$4:$AS$15,3)+VLOOKUP($AG114,$AL$4:$AS$15,5)+($AH$10*VLOOKUP(D114,GRITable,2))</f>
        <v>#VALUE!</v>
      </c>
      <c r="AR114" s="370" t="e">
        <f aca="false">VLOOKUP($AG114,$AL$4:$AS$15,4)</f>
        <v>#VALUE!</v>
      </c>
      <c r="AS114" s="369" t="e">
        <f aca="false">(AL114+AM114+AN114)</f>
        <v>#VALUE!</v>
      </c>
      <c r="AT114" s="370" t="e">
        <f aca="false">VLOOKUP(D114,CurveTbl,$AK$6)</f>
        <v>#VALUE!</v>
      </c>
      <c r="AU114" s="370" t="e">
        <f aca="false">(1+$AT114/2)^(-2*($D114-$G$5)/365.25)*$AF114</f>
        <v>#VALUE!</v>
      </c>
      <c r="AV114" s="506" t="e">
        <f aca="false">ROUND((F114/(1-AR114))-F114,0)*AF114*AH114*AU114</f>
        <v>#VALUE!</v>
      </c>
      <c r="AW114" s="370" t="e">
        <f aca="false">VLOOKUP($D114,CurveTbl,$AK$8)</f>
        <v>#VALUE!</v>
      </c>
      <c r="AX114" s="370" t="e">
        <f aca="false">VLOOKUP($D114,CurveTbl,$AH$7)</f>
        <v>#VALUE!</v>
      </c>
      <c r="AY114" s="370" t="e">
        <f aca="false">VLOOKUP($D114,CurveTbl,$AH$8)</f>
        <v>#VALUE!</v>
      </c>
      <c r="AZ114" s="370"/>
      <c r="BA114" s="507"/>
      <c r="BB114" s="505" t="e">
        <f aca="false">$H114-$BV114</f>
        <v>#VALUE!</v>
      </c>
      <c r="BC114" s="505" t="e">
        <f aca="false">I114-BW114</f>
        <v>#VALUE!</v>
      </c>
      <c r="BD114" s="370" t="e">
        <f aca="false">N114-BX114</f>
        <v>#VALUE!</v>
      </c>
      <c r="BE114" s="370" t="e">
        <f aca="false">O114-BY114</f>
        <v>#VALUE!</v>
      </c>
      <c r="BF114" s="370" t="e">
        <f aca="false">xSPRDOPT($BW114,$BV114,$CG114,0,$BY114,$BX114,$BZ114,$AJ114,1,4)*$CB114</f>
        <v>#NAME?</v>
      </c>
      <c r="BG114" s="370" t="e">
        <f aca="false">xSPRDOPT($BW114,$BV114,$CG114,0,$BY114,$BX114,$BZ114,$AJ114,1,3)*$CB114</f>
        <v>#NAME?</v>
      </c>
      <c r="BH114" s="370" t="e">
        <f aca="false">IF(OR(BF114&lt;&gt;0,BG114&lt;&gt;0),xSPRDOPT($BW114,$BV114,$CG114,0,$BY114,$BX114,$BZ114,$AJ114,1,12)*$CB114,0)</f>
        <v>#NAME?</v>
      </c>
      <c r="BI114" s="370" t="e">
        <f aca="false">xSPRDOPT($BW114,$BV114,$CG114,2*LN(1+CA114/2),$BY114,$BX114,$BZ114,$AJ114,1,9)</f>
        <v>#NAME?</v>
      </c>
      <c r="BJ114" s="370" t="e">
        <f aca="false">xSPRDOPT($BW114,$BV114,$CG114,0,$BY114,$BX114,$BZ114,$AJ114,1,6)*$CB114</f>
        <v>#NAME?</v>
      </c>
      <c r="BK114" s="370" t="e">
        <f aca="false">xSPRDOPT($BW114,$BV114,$CG114,0,$BY114,$BX114,$BZ114,$AJ114,1,5)*$CB114</f>
        <v>#NAME?</v>
      </c>
      <c r="BL114" s="370" t="e">
        <f aca="false">xSPRDOPT(BW114,BV114,CG114,0,BY114,BX114,BZ114,AJ114,1,2)*CB114</f>
        <v>#NAME?</v>
      </c>
      <c r="BM114" s="370" t="e">
        <f aca="false">xSPRDOPT(BW114,BV114,CG114,0,BY114,BX114,BZ114,AJ114,1,1)*CB114</f>
        <v>#NAME?</v>
      </c>
      <c r="BN114" s="370" t="e">
        <f aca="false">IF(AH114&lt;&gt;0,xSPRDOPT($BW114,$BV114,$CG114,2*LN(1+CA114/2),$BY114,$BX114,$BZ114,$AJ114,1,8)+(AJ114/365.25)*CH114/AH114,0)</f>
        <v>#VALUE!</v>
      </c>
      <c r="BO114" s="370" t="e">
        <f aca="false">xSPRDOPT($BW114,$BV114,$CG114,0,$BY114,$BX114,$BZ114,$AJ114,1,0)</f>
        <v>#NAME?</v>
      </c>
      <c r="BP114" s="370"/>
      <c r="BQ114" s="370"/>
      <c r="BR114" s="370"/>
      <c r="BS114" s="370"/>
      <c r="BV114" s="508" t="n">
        <v>3.80306905370844</v>
      </c>
      <c r="BW114" s="369" t="n">
        <v>4.447</v>
      </c>
      <c r="BX114" s="370" t="n">
        <v>0.205890241545619</v>
      </c>
      <c r="BY114" s="370" t="n">
        <v>0.205890241545619</v>
      </c>
      <c r="BZ114" s="370" t="n">
        <v>1</v>
      </c>
      <c r="CA114" s="370" t="n">
        <v>0.0590155847763798</v>
      </c>
      <c r="CB114" s="370" t="n">
        <v>0.637015267207259</v>
      </c>
      <c r="CC114" s="505" t="n">
        <v>0.0105</v>
      </c>
      <c r="CD114" s="505" t="n">
        <v>0.01</v>
      </c>
      <c r="CE114" s="505" t="n">
        <v>0.75</v>
      </c>
      <c r="CF114" s="505" t="n">
        <v>0</v>
      </c>
      <c r="CG114" s="505" t="n">
        <v>0.0364</v>
      </c>
      <c r="CH114" s="505" t="n">
        <v>7.04602587057949</v>
      </c>
      <c r="CI114" s="505" t="n">
        <v>3.697</v>
      </c>
      <c r="CJ114" s="505"/>
      <c r="CK114" s="505"/>
      <c r="CL114" s="505"/>
      <c r="CM114" s="505"/>
    </row>
    <row r="115" customFormat="false" ht="12.75" hidden="false" customHeight="false" outlineLevel="0" collapsed="false">
      <c r="A115" s="500"/>
      <c r="B115" s="500"/>
      <c r="D115" s="361" t="e">
        <f aca="false">D114+AH114</f>
        <v>#VALUE!</v>
      </c>
      <c r="F115" s="362" t="e">
        <f aca="false">VLOOKUP(AG115,$AL$4:$AS$15,2)</f>
        <v>#VALUE!</v>
      </c>
      <c r="G115" s="362" t="e">
        <f aca="false">F115*$AU115</f>
        <v>#VALUE!</v>
      </c>
      <c r="H115" s="363" t="e">
        <f aca="false">(AL115+AM115+AN115)/(1-(AR115))</f>
        <v>#VALUE!</v>
      </c>
      <c r="I115" s="363" t="e">
        <f aca="false">(AL115+AO115+AP115)</f>
        <v>#VALUE!</v>
      </c>
      <c r="K115" s="363" t="e">
        <f aca="false">MAX(((I115-H115)-AQ115)*AU115*AH115,0)</f>
        <v>#VALUE!</v>
      </c>
      <c r="L115" s="501" t="e">
        <f aca="false">MAX(Q115-K115,0)</f>
        <v>#VALUE!</v>
      </c>
      <c r="N115" s="502" t="e">
        <f aca="false">SQRT(($AX115^2*($AH115/2)+$AW115^2*$AI115)/(($AH115/2)+$AI115))</f>
        <v>#VALUE!</v>
      </c>
      <c r="O115" s="502" t="e">
        <f aca="false">SQRT(($AY115^2*($AH115/2)+$AW115^2*$AI115)/(($AH115/2)+$AI115))</f>
        <v>#VALUE!</v>
      </c>
      <c r="P115" s="371" t="e">
        <f aca="false">(VLOOKUP(AI115,CorrelationTwo,2)*(AW115^2)*AI115+VLOOKUP(D115,CorrelationOne,$AK$9)*AX115*AY115*(AH115/2))/((AI115+(AH115/2))*O115*N115)*AF115</f>
        <v>#VALUE!</v>
      </c>
      <c r="Q115" s="501" t="e">
        <f aca="false">xSPRDOPT(I115,H115,AQ115,0,O115,N115,P115,D115-$G$5,1,0)*AH115*AU115</f>
        <v>#VALUE!</v>
      </c>
      <c r="R115" s="501"/>
      <c r="S115" s="365" t="e">
        <f aca="false">-T115/(1-AR115)</f>
        <v>#VALUE!</v>
      </c>
      <c r="T115" s="365" t="e">
        <f aca="false">xSPRDOPT(I115,H115,AQ115,AT115,O115,N115,P115,D115-$G$5,1,1)*AF115*F115*AH115</f>
        <v>#VALUE!</v>
      </c>
      <c r="U115" s="501"/>
      <c r="V115" s="503" t="e">
        <f aca="false">VLOOKUP($AG115,$AL$4:$AS$15,8)*AH115*AU115</f>
        <v>#VALUE!</v>
      </c>
      <c r="W115" s="503"/>
      <c r="X115" s="504" t="e">
        <f aca="false">((BM115*BC115)+(BL115*BB115))*AH115*F115</f>
        <v>#VALUE!</v>
      </c>
      <c r="Y115" s="504" t="e">
        <f aca="false">($F115*$AH115)*((($BG115/2)*($BC115)^2)+(($BF115/2)*($BB115)^2)+($BH115*$BC115*$BB115))</f>
        <v>#VALUE!</v>
      </c>
      <c r="Z115" s="504" t="e">
        <f aca="false">($BI115*$F115*$AH115*($G$5-$BV$5))/365.25</f>
        <v>#VALUE!</v>
      </c>
      <c r="AA115" s="504" t="e">
        <f aca="false">(($BK115*$BE115)+($BJ115*$BD115))*$F115*$AH115*$AF115</f>
        <v>#VALUE!</v>
      </c>
      <c r="AB115" s="504" t="e">
        <f aca="false">BN115*(AT115-CA115)*F115*AH115</f>
        <v>#VALUE!</v>
      </c>
      <c r="AC115" s="504" t="e">
        <f aca="false">BO115*CB115*F115*AH115*CA115*($G$5-$BV$5)/365.25</f>
        <v>#NAME?</v>
      </c>
      <c r="AF115" s="378" t="e">
        <f aca="false">IF(AND(D115&gt;=$G$7,D115&lt;=$G$8),1,0)</f>
        <v>#VALUE!</v>
      </c>
      <c r="AG115" s="378" t="e">
        <f aca="false">MONTH(D115)</f>
        <v>#VALUE!</v>
      </c>
      <c r="AH115" s="378" t="e">
        <f aca="false">(EOMONTH(D115,0)-EOMONTH(D115-DAY(D115),0))*AF115</f>
        <v>#VALUE!</v>
      </c>
      <c r="AI115" s="378" t="e">
        <f aca="false">AI114+AH114</f>
        <v>#VALUE!</v>
      </c>
      <c r="AJ115" s="378" t="e">
        <f aca="false">D115-$BV$5</f>
        <v>#VALUE!</v>
      </c>
      <c r="AL115" s="369" t="e">
        <f aca="false">VLOOKUP($D115,CurveTbl,$AK$4)</f>
        <v>#VALUE!</v>
      </c>
      <c r="AM115" s="505" t="e">
        <f aca="false">VLOOKUP($D115,CurveTbl,$AH$3)</f>
        <v>#VALUE!</v>
      </c>
      <c r="AN115" s="505" t="e">
        <f aca="false">VLOOKUP($D115,CurveTbl,$AH$4)+VLOOKUP($AG115,$AL$3:$AS$15,6)</f>
        <v>#VALUE!</v>
      </c>
      <c r="AO115" s="505" t="e">
        <f aca="false">VLOOKUP($D115,CurveTbl,$AH$5)</f>
        <v>#VALUE!</v>
      </c>
      <c r="AP115" s="505" t="e">
        <f aca="false">VLOOKUP($D115,CurveTbl,$AH$6)+VLOOKUP($AG115,$AL$3:$AS$15,7)</f>
        <v>#VALUE!</v>
      </c>
      <c r="AQ115" s="369" t="e">
        <f aca="false">VLOOKUP($AG115,$AL$4:$AS$15,3)+VLOOKUP($AG115,$AL$4:$AS$15,5)+($AH$10*VLOOKUP(D115,GRITable,2))</f>
        <v>#VALUE!</v>
      </c>
      <c r="AR115" s="370" t="e">
        <f aca="false">VLOOKUP($AG115,$AL$4:$AS$15,4)</f>
        <v>#VALUE!</v>
      </c>
      <c r="AS115" s="369" t="e">
        <f aca="false">(AL115+AM115+AN115)</f>
        <v>#VALUE!</v>
      </c>
      <c r="AT115" s="370" t="e">
        <f aca="false">VLOOKUP(D115,CurveTbl,$AK$6)</f>
        <v>#VALUE!</v>
      </c>
      <c r="AU115" s="370" t="e">
        <f aca="false">(1+$AT115/2)^(-2*($D115-$G$5)/365.25)*$AF115</f>
        <v>#VALUE!</v>
      </c>
      <c r="AV115" s="506" t="e">
        <f aca="false">ROUND((F115/(1-AR115))-F115,0)*AF115*AH115*AU115</f>
        <v>#VALUE!</v>
      </c>
      <c r="AW115" s="370" t="e">
        <f aca="false">VLOOKUP($D115,CurveTbl,$AK$8)</f>
        <v>#VALUE!</v>
      </c>
      <c r="AX115" s="370" t="e">
        <f aca="false">VLOOKUP($D115,CurveTbl,$AH$7)</f>
        <v>#VALUE!</v>
      </c>
      <c r="AY115" s="370" t="e">
        <f aca="false">VLOOKUP($D115,CurveTbl,$AH$8)</f>
        <v>#VALUE!</v>
      </c>
      <c r="AZ115" s="370"/>
      <c r="BA115" s="507"/>
      <c r="BB115" s="505" t="e">
        <f aca="false">$H115-$BV115</f>
        <v>#VALUE!</v>
      </c>
      <c r="BC115" s="505" t="e">
        <f aca="false">I115-BW115</f>
        <v>#VALUE!</v>
      </c>
      <c r="BD115" s="370" t="e">
        <f aca="false">N115-BX115</f>
        <v>#VALUE!</v>
      </c>
      <c r="BE115" s="370" t="e">
        <f aca="false">O115-BY115</f>
        <v>#VALUE!</v>
      </c>
      <c r="BF115" s="370" t="e">
        <f aca="false">xSPRDOPT($BW115,$BV115,$CG115,0,$BY115,$BX115,$BZ115,$AJ115,1,4)*$CB115</f>
        <v>#NAME?</v>
      </c>
      <c r="BG115" s="370" t="e">
        <f aca="false">xSPRDOPT($BW115,$BV115,$CG115,0,$BY115,$BX115,$BZ115,$AJ115,1,3)*$CB115</f>
        <v>#NAME?</v>
      </c>
      <c r="BH115" s="370" t="e">
        <f aca="false">IF(OR(BF115&lt;&gt;0,BG115&lt;&gt;0),xSPRDOPT($BW115,$BV115,$CG115,0,$BY115,$BX115,$BZ115,$AJ115,1,12)*$CB115,0)</f>
        <v>#NAME?</v>
      </c>
      <c r="BI115" s="370" t="e">
        <f aca="false">xSPRDOPT($BW115,$BV115,$CG115,2*LN(1+CA115/2),$BY115,$BX115,$BZ115,$AJ115,1,9)</f>
        <v>#NAME?</v>
      </c>
      <c r="BJ115" s="370" t="e">
        <f aca="false">xSPRDOPT($BW115,$BV115,$CG115,0,$BY115,$BX115,$BZ115,$AJ115,1,6)*$CB115</f>
        <v>#NAME?</v>
      </c>
      <c r="BK115" s="370" t="e">
        <f aca="false">xSPRDOPT($BW115,$BV115,$CG115,0,$BY115,$BX115,$BZ115,$AJ115,1,5)*$CB115</f>
        <v>#NAME?</v>
      </c>
      <c r="BL115" s="370" t="e">
        <f aca="false">xSPRDOPT(BW115,BV115,CG115,0,BY115,BX115,BZ115,AJ115,1,2)*CB115</f>
        <v>#NAME?</v>
      </c>
      <c r="BM115" s="370" t="e">
        <f aca="false">xSPRDOPT(BW115,BV115,CG115,0,BY115,BX115,BZ115,AJ115,1,1)*CB115</f>
        <v>#NAME?</v>
      </c>
      <c r="BN115" s="370" t="e">
        <f aca="false">IF(AH115&lt;&gt;0,xSPRDOPT($BW115,$BV115,$CG115,2*LN(1+CA115/2),$BY115,$BX115,$BZ115,$AJ115,1,8)+(AJ115/365.25)*CH115/AH115,0)</f>
        <v>#VALUE!</v>
      </c>
      <c r="BO115" s="370" t="e">
        <f aca="false">xSPRDOPT($BW115,$BV115,$CG115,0,$BY115,$BX115,$BZ115,$AJ115,1,0)</f>
        <v>#NAME?</v>
      </c>
      <c r="BP115" s="370"/>
      <c r="BQ115" s="370"/>
      <c r="BR115" s="370"/>
      <c r="BS115" s="370"/>
      <c r="BV115" s="508" t="n">
        <v>3.83589743589744</v>
      </c>
      <c r="BW115" s="369" t="n">
        <v>4.172</v>
      </c>
      <c r="BX115" s="370" t="n">
        <v>0.206719493972041</v>
      </c>
      <c r="BY115" s="370" t="n">
        <v>0.206719493972041</v>
      </c>
      <c r="BZ115" s="370" t="n">
        <v>1</v>
      </c>
      <c r="CA115" s="370" t="n">
        <v>0.0591211779595508</v>
      </c>
      <c r="CB115" s="370" t="n">
        <v>0.633470113882277</v>
      </c>
      <c r="CC115" s="505" t="n">
        <v>0.008</v>
      </c>
      <c r="CD115" s="505" t="n">
        <v>0.01</v>
      </c>
      <c r="CE115" s="505" t="n">
        <v>0.45</v>
      </c>
      <c r="CF115" s="505" t="n">
        <v>0</v>
      </c>
      <c r="CG115" s="505" t="n">
        <v>0.0364</v>
      </c>
      <c r="CH115" s="505" t="n">
        <v>7.24037336064026</v>
      </c>
      <c r="CI115" s="505" t="n">
        <v>3.722</v>
      </c>
      <c r="CJ115" s="505"/>
      <c r="CK115" s="505"/>
      <c r="CL115" s="505"/>
      <c r="CM115" s="505"/>
    </row>
    <row r="116" customFormat="false" ht="12.75" hidden="false" customHeight="false" outlineLevel="0" collapsed="false">
      <c r="A116" s="500"/>
      <c r="B116" s="500"/>
      <c r="D116" s="361" t="e">
        <f aca="false">D115+AH115</f>
        <v>#VALUE!</v>
      </c>
      <c r="F116" s="362" t="e">
        <f aca="false">VLOOKUP(AG116,$AL$4:$AS$15,2)</f>
        <v>#VALUE!</v>
      </c>
      <c r="G116" s="362" t="e">
        <f aca="false">F116*$AU116</f>
        <v>#VALUE!</v>
      </c>
      <c r="H116" s="363" t="e">
        <f aca="false">(AL116+AM116+AN116)/(1-(AR116))</f>
        <v>#VALUE!</v>
      </c>
      <c r="I116" s="363" t="e">
        <f aca="false">(AL116+AO116+AP116)</f>
        <v>#VALUE!</v>
      </c>
      <c r="K116" s="363" t="e">
        <f aca="false">MAX(((I116-H116)-AQ116)*AU116*AH116,0)</f>
        <v>#VALUE!</v>
      </c>
      <c r="L116" s="501" t="e">
        <f aca="false">MAX(Q116-K116,0)</f>
        <v>#VALUE!</v>
      </c>
      <c r="N116" s="502" t="e">
        <f aca="false">SQRT(($AX116^2*($AH116/2)+$AW116^2*$AI116)/(($AH116/2)+$AI116))</f>
        <v>#VALUE!</v>
      </c>
      <c r="O116" s="502" t="e">
        <f aca="false">SQRT(($AY116^2*($AH116/2)+$AW116^2*$AI116)/(($AH116/2)+$AI116))</f>
        <v>#VALUE!</v>
      </c>
      <c r="P116" s="371" t="e">
        <f aca="false">(VLOOKUP(AI116,CorrelationTwo,2)*(AW116^2)*AI116+VLOOKUP(D116,CorrelationOne,$AK$9)*AX116*AY116*(AH116/2))/((AI116+(AH116/2))*O116*N116)*AF116</f>
        <v>#VALUE!</v>
      </c>
      <c r="Q116" s="501" t="e">
        <f aca="false">xSPRDOPT(I116,H116,AQ116,0,O116,N116,P116,D116-$G$5,1,0)*AH116*AU116</f>
        <v>#VALUE!</v>
      </c>
      <c r="R116" s="501"/>
      <c r="S116" s="365" t="e">
        <f aca="false">-T116/(1-AR116)</f>
        <v>#VALUE!</v>
      </c>
      <c r="T116" s="365" t="e">
        <f aca="false">xSPRDOPT(I116,H116,AQ116,AT116,O116,N116,P116,D116-$G$5,1,1)*AF116*F116*AH116</f>
        <v>#VALUE!</v>
      </c>
      <c r="U116" s="501"/>
      <c r="V116" s="503" t="e">
        <f aca="false">VLOOKUP($AG116,$AL$4:$AS$15,8)*AH116*AU116</f>
        <v>#VALUE!</v>
      </c>
      <c r="W116" s="503"/>
      <c r="X116" s="504" t="e">
        <f aca="false">((BM116*BC116)+(BL116*BB116))*AH116*F116</f>
        <v>#VALUE!</v>
      </c>
      <c r="Y116" s="504" t="e">
        <f aca="false">($F116*$AH116)*((($BG116/2)*($BC116)^2)+(($BF116/2)*($BB116)^2)+($BH116*$BC116*$BB116))</f>
        <v>#VALUE!</v>
      </c>
      <c r="Z116" s="504" t="e">
        <f aca="false">($BI116*$F116*$AH116*($G$5-$BV$5))/365.25</f>
        <v>#VALUE!</v>
      </c>
      <c r="AA116" s="504" t="e">
        <f aca="false">(($BK116*$BE116)+($BJ116*$BD116))*$F116*$AH116*$AF116</f>
        <v>#VALUE!</v>
      </c>
      <c r="AB116" s="504" t="e">
        <f aca="false">BN116*(AT116-CA116)*F116*AH116</f>
        <v>#VALUE!</v>
      </c>
      <c r="AC116" s="504" t="e">
        <f aca="false">BO116*CB116*F116*AH116*CA116*($G$5-$BV$5)/365.25</f>
        <v>#NAME?</v>
      </c>
      <c r="AF116" s="378" t="e">
        <f aca="false">IF(AND(D116&gt;=$G$7,D116&lt;=$G$8),1,0)</f>
        <v>#VALUE!</v>
      </c>
      <c r="AG116" s="378" t="e">
        <f aca="false">MONTH(D116)</f>
        <v>#VALUE!</v>
      </c>
      <c r="AH116" s="378" t="e">
        <f aca="false">(EOMONTH(D116,0)-EOMONTH(D116-DAY(D116),0))*AF116</f>
        <v>#VALUE!</v>
      </c>
      <c r="AI116" s="378" t="e">
        <f aca="false">AI115+AH115</f>
        <v>#VALUE!</v>
      </c>
      <c r="AJ116" s="378" t="e">
        <f aca="false">D116-$BV$5</f>
        <v>#VALUE!</v>
      </c>
      <c r="AL116" s="369" t="e">
        <f aca="false">VLOOKUP($D116,CurveTbl,$AK$4)</f>
        <v>#VALUE!</v>
      </c>
      <c r="AM116" s="505" t="e">
        <f aca="false">VLOOKUP($D116,CurveTbl,$AH$3)</f>
        <v>#VALUE!</v>
      </c>
      <c r="AN116" s="505" t="e">
        <f aca="false">VLOOKUP($D116,CurveTbl,$AH$4)+VLOOKUP($AG116,$AL$3:$AS$15,6)</f>
        <v>#VALUE!</v>
      </c>
      <c r="AO116" s="505" t="e">
        <f aca="false">VLOOKUP($D116,CurveTbl,$AH$5)</f>
        <v>#VALUE!</v>
      </c>
      <c r="AP116" s="505" t="e">
        <f aca="false">VLOOKUP($D116,CurveTbl,$AH$6)+VLOOKUP($AG116,$AL$3:$AS$15,7)</f>
        <v>#VALUE!</v>
      </c>
      <c r="AQ116" s="369" t="e">
        <f aca="false">VLOOKUP($AG116,$AL$4:$AS$15,3)+VLOOKUP($AG116,$AL$4:$AS$15,5)+($AH$10*VLOOKUP(D116,GRITable,2))</f>
        <v>#VALUE!</v>
      </c>
      <c r="AR116" s="370" t="e">
        <f aca="false">VLOOKUP($AG116,$AL$4:$AS$15,4)</f>
        <v>#VALUE!</v>
      </c>
      <c r="AS116" s="369" t="e">
        <f aca="false">(AL116+AM116+AN116)</f>
        <v>#VALUE!</v>
      </c>
      <c r="AT116" s="370" t="e">
        <f aca="false">VLOOKUP(D116,CurveTbl,$AK$6)</f>
        <v>#VALUE!</v>
      </c>
      <c r="AU116" s="370" t="e">
        <f aca="false">(1+$AT116/2)^(-2*($D116-$G$5)/365.25)*$AF116</f>
        <v>#VALUE!</v>
      </c>
      <c r="AV116" s="506" t="e">
        <f aca="false">ROUND((F116/(1-AR116))-F116,0)*AF116*AH116*AU116</f>
        <v>#VALUE!</v>
      </c>
      <c r="AW116" s="370" t="e">
        <f aca="false">VLOOKUP($D116,CurveTbl,$AK$8)</f>
        <v>#VALUE!</v>
      </c>
      <c r="AX116" s="370" t="e">
        <f aca="false">VLOOKUP($D116,CurveTbl,$AH$7)</f>
        <v>#VALUE!</v>
      </c>
      <c r="AY116" s="370" t="e">
        <f aca="false">VLOOKUP($D116,CurveTbl,$AH$8)</f>
        <v>#VALUE!</v>
      </c>
      <c r="AZ116" s="370"/>
      <c r="BA116" s="507"/>
      <c r="BB116" s="505" t="e">
        <f aca="false">$H116-$BV116</f>
        <v>#VALUE!</v>
      </c>
      <c r="BC116" s="505" t="e">
        <f aca="false">I116-BW116</f>
        <v>#VALUE!</v>
      </c>
      <c r="BD116" s="370" t="e">
        <f aca="false">N116-BX116</f>
        <v>#VALUE!</v>
      </c>
      <c r="BE116" s="370" t="e">
        <f aca="false">O116-BY116</f>
        <v>#VALUE!</v>
      </c>
      <c r="BF116" s="370" t="e">
        <f aca="false">xSPRDOPT($BW116,$BV116,$CG116,0,$BY116,$BX116,$BZ116,$AJ116,1,4)*$CB116</f>
        <v>#NAME?</v>
      </c>
      <c r="BG116" s="370" t="e">
        <f aca="false">xSPRDOPT($BW116,$BV116,$CG116,0,$BY116,$BX116,$BZ116,$AJ116,1,3)*$CB116</f>
        <v>#NAME?</v>
      </c>
      <c r="BH116" s="370" t="e">
        <f aca="false">IF(OR(BF116&lt;&gt;0,BG116&lt;&gt;0),xSPRDOPT($BW116,$BV116,$CG116,0,$BY116,$BX116,$BZ116,$AJ116,1,12)*$CB116,0)</f>
        <v>#NAME?</v>
      </c>
      <c r="BI116" s="370" t="e">
        <f aca="false">xSPRDOPT($BW116,$BV116,$CG116,2*LN(1+CA116/2),$BY116,$BX116,$BZ116,$AJ116,1,9)</f>
        <v>#NAME?</v>
      </c>
      <c r="BJ116" s="370" t="e">
        <f aca="false">xSPRDOPT($BW116,$BV116,$CG116,0,$BY116,$BX116,$BZ116,$AJ116,1,6)*$CB116</f>
        <v>#NAME?</v>
      </c>
      <c r="BK116" s="370" t="e">
        <f aca="false">xSPRDOPT($BW116,$BV116,$CG116,0,$BY116,$BX116,$BZ116,$AJ116,1,5)*$CB116</f>
        <v>#NAME?</v>
      </c>
      <c r="BL116" s="370" t="e">
        <f aca="false">xSPRDOPT(BW116,BV116,CG116,0,BY116,BX116,BZ116,AJ116,1,2)*CB116</f>
        <v>#NAME?</v>
      </c>
      <c r="BM116" s="370" t="e">
        <f aca="false">xSPRDOPT(BW116,BV116,CG116,0,BY116,BX116,BZ116,AJ116,1,1)*CB116</f>
        <v>#NAME?</v>
      </c>
      <c r="BN116" s="370" t="e">
        <f aca="false">IF(AH116&lt;&gt;0,xSPRDOPT($BW116,$BV116,$CG116,2*LN(1+CA116/2),$BY116,$BX116,$BZ116,$AJ116,1,8)+(AJ116/365.25)*CH116/AH116,0)</f>
        <v>#VALUE!</v>
      </c>
      <c r="BO116" s="370" t="e">
        <f aca="false">xSPRDOPT($BW116,$BV116,$CG116,0,$BY116,$BX116,$BZ116,$AJ116,1,0)</f>
        <v>#NAME?</v>
      </c>
      <c r="BP116" s="370"/>
      <c r="BQ116" s="370"/>
      <c r="BR116" s="370"/>
      <c r="BS116" s="370"/>
      <c r="BV116" s="508" t="n">
        <v>3.98005115089514</v>
      </c>
      <c r="BW116" s="369" t="n">
        <v>4.324</v>
      </c>
      <c r="BX116" s="370" t="n">
        <v>0.210025991209217</v>
      </c>
      <c r="BY116" s="370" t="n">
        <v>0.210025991209217</v>
      </c>
      <c r="BZ116" s="370" t="n">
        <v>1</v>
      </c>
      <c r="CA116" s="370" t="n">
        <v>0.0592302909193876</v>
      </c>
      <c r="CB116" s="370" t="n">
        <v>0.629816394276475</v>
      </c>
      <c r="CC116" s="505" t="n">
        <v>0.009</v>
      </c>
      <c r="CD116" s="505" t="n">
        <v>0.0075</v>
      </c>
      <c r="CE116" s="505" t="n">
        <v>0.45</v>
      </c>
      <c r="CF116" s="505" t="n">
        <v>0</v>
      </c>
      <c r="CG116" s="505" t="n">
        <v>0.0364</v>
      </c>
      <c r="CH116" s="505" t="n">
        <v>6.96639913709209</v>
      </c>
      <c r="CI116" s="505" t="n">
        <v>3.874</v>
      </c>
      <c r="CJ116" s="505"/>
      <c r="CK116" s="505"/>
      <c r="CL116" s="505"/>
      <c r="CM116" s="505"/>
    </row>
    <row r="117" customFormat="false" ht="12.75" hidden="false" customHeight="false" outlineLevel="0" collapsed="false">
      <c r="A117" s="500"/>
      <c r="B117" s="500"/>
      <c r="D117" s="361" t="e">
        <f aca="false">D116+AH116</f>
        <v>#VALUE!</v>
      </c>
      <c r="F117" s="362" t="e">
        <f aca="false">VLOOKUP(AG117,$AL$4:$AS$15,2)</f>
        <v>#VALUE!</v>
      </c>
      <c r="G117" s="362" t="e">
        <f aca="false">F117*$AU117</f>
        <v>#VALUE!</v>
      </c>
      <c r="H117" s="363" t="e">
        <f aca="false">(AL117+AM117+AN117)/(1-(AR117))</f>
        <v>#VALUE!</v>
      </c>
      <c r="I117" s="363" t="e">
        <f aca="false">(AL117+AO117+AP117)</f>
        <v>#VALUE!</v>
      </c>
      <c r="K117" s="363" t="e">
        <f aca="false">MAX(((I117-H117)-AQ117)*AU117*AH117,0)</f>
        <v>#VALUE!</v>
      </c>
      <c r="L117" s="501" t="e">
        <f aca="false">MAX(Q117-K117,0)</f>
        <v>#VALUE!</v>
      </c>
      <c r="N117" s="502" t="e">
        <f aca="false">SQRT(($AX117^2*($AH117/2)+$AW117^2*$AI117)/(($AH117/2)+$AI117))</f>
        <v>#VALUE!</v>
      </c>
      <c r="O117" s="502" t="e">
        <f aca="false">SQRT(($AY117^2*($AH117/2)+$AW117^2*$AI117)/(($AH117/2)+$AI117))</f>
        <v>#VALUE!</v>
      </c>
      <c r="P117" s="371" t="e">
        <f aca="false">(VLOOKUP(AI117,CorrelationTwo,2)*(AW117^2)*AI117+VLOOKUP(D117,CorrelationOne,$AK$9)*AX117*AY117*(AH117/2))/((AI117+(AH117/2))*O117*N117)*AF117</f>
        <v>#VALUE!</v>
      </c>
      <c r="Q117" s="501" t="e">
        <f aca="false">xSPRDOPT(I117,H117,AQ117,0,O117,N117,P117,D117-$G$5,1,0)*AH117*AU117</f>
        <v>#VALUE!</v>
      </c>
      <c r="R117" s="501"/>
      <c r="S117" s="365" t="e">
        <f aca="false">-T117/(1-AR117)</f>
        <v>#VALUE!</v>
      </c>
      <c r="T117" s="365" t="e">
        <f aca="false">xSPRDOPT(I117,H117,AQ117,AT117,O117,N117,P117,D117-$G$5,1,1)*AF117*F117*AH117</f>
        <v>#VALUE!</v>
      </c>
      <c r="U117" s="501"/>
      <c r="V117" s="503" t="e">
        <f aca="false">VLOOKUP($AG117,$AL$4:$AS$15,8)*AH117*AU117</f>
        <v>#VALUE!</v>
      </c>
      <c r="W117" s="503"/>
      <c r="X117" s="504" t="e">
        <f aca="false">((BM117*BC117)+(BL117*BB117))*AH117*F117</f>
        <v>#VALUE!</v>
      </c>
      <c r="Y117" s="504" t="e">
        <f aca="false">($F117*$AH117)*((($BG117/2)*($BC117)^2)+(($BF117/2)*($BB117)^2)+($BH117*$BC117*$BB117))</f>
        <v>#VALUE!</v>
      </c>
      <c r="Z117" s="504" t="e">
        <f aca="false">($BI117*$F117*$AH117*($G$5-$BV$5))/365.25</f>
        <v>#VALUE!</v>
      </c>
      <c r="AA117" s="504" t="e">
        <f aca="false">(($BK117*$BE117)+($BJ117*$BD117))*$F117*$AH117*$AF117</f>
        <v>#VALUE!</v>
      </c>
      <c r="AB117" s="504" t="e">
        <f aca="false">BN117*(AT117-CA117)*F117*AH117</f>
        <v>#VALUE!</v>
      </c>
      <c r="AC117" s="504" t="e">
        <f aca="false">BO117*CB117*F117*AH117*CA117*($G$5-$BV$5)/365.25</f>
        <v>#NAME?</v>
      </c>
      <c r="AF117" s="378" t="e">
        <f aca="false">IF(AND(D117&gt;=$G$7,D117&lt;=$G$8),1,0)</f>
        <v>#VALUE!</v>
      </c>
      <c r="AG117" s="378" t="e">
        <f aca="false">MONTH(D117)</f>
        <v>#VALUE!</v>
      </c>
      <c r="AH117" s="378" t="e">
        <f aca="false">(EOMONTH(D117,0)-EOMONTH(D117-DAY(D117),0))*AF117</f>
        <v>#VALUE!</v>
      </c>
      <c r="AI117" s="378" t="e">
        <f aca="false">AI116+AH116</f>
        <v>#VALUE!</v>
      </c>
      <c r="AJ117" s="378" t="e">
        <f aca="false">D117-$BV$5</f>
        <v>#VALUE!</v>
      </c>
      <c r="AL117" s="369" t="e">
        <f aca="false">VLOOKUP($D117,CurveTbl,$AK$4)</f>
        <v>#VALUE!</v>
      </c>
      <c r="AM117" s="505" t="e">
        <f aca="false">VLOOKUP($D117,CurveTbl,$AH$3)</f>
        <v>#VALUE!</v>
      </c>
      <c r="AN117" s="505" t="e">
        <f aca="false">VLOOKUP($D117,CurveTbl,$AH$4)+VLOOKUP($AG117,$AL$3:$AS$15,6)</f>
        <v>#VALUE!</v>
      </c>
      <c r="AO117" s="505" t="e">
        <f aca="false">VLOOKUP($D117,CurveTbl,$AH$5)</f>
        <v>#VALUE!</v>
      </c>
      <c r="AP117" s="505" t="e">
        <f aca="false">VLOOKUP($D117,CurveTbl,$AH$6)+VLOOKUP($AG117,$AL$3:$AS$15,7)</f>
        <v>#VALUE!</v>
      </c>
      <c r="AQ117" s="369" t="e">
        <f aca="false">VLOOKUP($AG117,$AL$4:$AS$15,3)+VLOOKUP($AG117,$AL$4:$AS$15,5)+($AH$10*VLOOKUP(D117,GRITable,2))</f>
        <v>#VALUE!</v>
      </c>
      <c r="AR117" s="370" t="e">
        <f aca="false">VLOOKUP($AG117,$AL$4:$AS$15,4)</f>
        <v>#VALUE!</v>
      </c>
      <c r="AS117" s="369" t="e">
        <f aca="false">(AL117+AM117+AN117)</f>
        <v>#VALUE!</v>
      </c>
      <c r="AT117" s="370" t="e">
        <f aca="false">VLOOKUP(D117,CurveTbl,$AK$6)</f>
        <v>#VALUE!</v>
      </c>
      <c r="AU117" s="370" t="e">
        <f aca="false">(1+$AT117/2)^(-2*($D117-$G$5)/365.25)*$AF117</f>
        <v>#VALUE!</v>
      </c>
      <c r="AV117" s="506" t="e">
        <f aca="false">ROUND((F117/(1-AR117))-F117,0)*AF117*AH117*AU117</f>
        <v>#VALUE!</v>
      </c>
      <c r="AW117" s="370" t="e">
        <f aca="false">VLOOKUP($D117,CurveTbl,$AK$8)</f>
        <v>#VALUE!</v>
      </c>
      <c r="AX117" s="370" t="e">
        <f aca="false">VLOOKUP($D117,CurveTbl,$AH$7)</f>
        <v>#VALUE!</v>
      </c>
      <c r="AY117" s="370" t="e">
        <f aca="false">VLOOKUP($D117,CurveTbl,$AH$8)</f>
        <v>#VALUE!</v>
      </c>
      <c r="AZ117" s="370"/>
      <c r="BA117" s="507"/>
      <c r="BB117" s="505" t="e">
        <f aca="false">$H117-$BV117</f>
        <v>#VALUE!</v>
      </c>
      <c r="BC117" s="505" t="e">
        <f aca="false">I117-BW117</f>
        <v>#VALUE!</v>
      </c>
      <c r="BD117" s="370" t="e">
        <f aca="false">N117-BX117</f>
        <v>#VALUE!</v>
      </c>
      <c r="BE117" s="370" t="e">
        <f aca="false">O117-BY117</f>
        <v>#VALUE!</v>
      </c>
      <c r="BF117" s="370" t="e">
        <f aca="false">xSPRDOPT($BW117,$BV117,$CG117,0,$BY117,$BX117,$BZ117,$AJ117,1,4)*$CB117</f>
        <v>#NAME?</v>
      </c>
      <c r="BG117" s="370" t="e">
        <f aca="false">xSPRDOPT($BW117,$BV117,$CG117,0,$BY117,$BX117,$BZ117,$AJ117,1,3)*$CB117</f>
        <v>#NAME?</v>
      </c>
      <c r="BH117" s="370" t="e">
        <f aca="false">IF(OR(BF117&lt;&gt;0,BG117&lt;&gt;0),xSPRDOPT($BW117,$BV117,$CG117,0,$BY117,$BX117,$BZ117,$AJ117,1,12)*$CB117,0)</f>
        <v>#NAME?</v>
      </c>
      <c r="BI117" s="370" t="e">
        <f aca="false">xSPRDOPT($BW117,$BV117,$CG117,2*LN(1+CA117/2),$BY117,$BX117,$BZ117,$AJ117,1,9)</f>
        <v>#NAME?</v>
      </c>
      <c r="BJ117" s="370" t="e">
        <f aca="false">xSPRDOPT($BW117,$BV117,$CG117,0,$BY117,$BX117,$BZ117,$AJ117,1,6)*$CB117</f>
        <v>#NAME?</v>
      </c>
      <c r="BK117" s="370" t="e">
        <f aca="false">xSPRDOPT($BW117,$BV117,$CG117,0,$BY117,$BX117,$BZ117,$AJ117,1,5)*$CB117</f>
        <v>#NAME?</v>
      </c>
      <c r="BL117" s="370" t="e">
        <f aca="false">xSPRDOPT(BW117,BV117,CG117,0,BY117,BX117,BZ117,AJ117,1,2)*CB117</f>
        <v>#NAME?</v>
      </c>
      <c r="BM117" s="370" t="e">
        <f aca="false">xSPRDOPT(BW117,BV117,CG117,0,BY117,BX117,BZ117,AJ117,1,1)*CB117</f>
        <v>#NAME?</v>
      </c>
      <c r="BN117" s="370" t="e">
        <f aca="false">IF(AH117&lt;&gt;0,xSPRDOPT($BW117,$BV117,$CG117,2*LN(1+CA117/2),$BY117,$BX117,$BZ117,$AJ117,1,8)+(AJ117/365.25)*CH117/AH117,0)</f>
        <v>#VALUE!</v>
      </c>
      <c r="BO117" s="370" t="e">
        <f aca="false">xSPRDOPT($BW117,$BV117,$CG117,0,$BY117,$BX117,$BZ117,$AJ117,1,0)</f>
        <v>#NAME?</v>
      </c>
      <c r="BP117" s="370"/>
      <c r="BQ117" s="370"/>
      <c r="BR117" s="370"/>
      <c r="BS117" s="370"/>
      <c r="BV117" s="508" t="n">
        <v>4.12634271099744</v>
      </c>
      <c r="BW117" s="369" t="n">
        <v>4.417</v>
      </c>
      <c r="BX117" s="370" t="n">
        <v>0.214683408913159</v>
      </c>
      <c r="BY117" s="370" t="n">
        <v>0.214683408913159</v>
      </c>
      <c r="BZ117" s="370" t="n">
        <v>1</v>
      </c>
      <c r="CA117" s="370" t="n">
        <v>0.0593358841100948</v>
      </c>
      <c r="CB117" s="370" t="n">
        <v>0.626289902430493</v>
      </c>
      <c r="CC117" s="505" t="n">
        <v>0.009</v>
      </c>
      <c r="CD117" s="505" t="n">
        <v>0.0075</v>
      </c>
      <c r="CE117" s="505" t="n">
        <v>0.4</v>
      </c>
      <c r="CF117" s="505" t="n">
        <v>0</v>
      </c>
      <c r="CG117" s="505" t="n">
        <v>0.0364</v>
      </c>
      <c r="CH117" s="505" t="n">
        <v>7.1583056978098</v>
      </c>
      <c r="CI117" s="505" t="n">
        <v>4.017</v>
      </c>
      <c r="CJ117" s="505"/>
      <c r="CK117" s="505"/>
      <c r="CL117" s="505"/>
      <c r="CM117" s="505"/>
    </row>
    <row r="118" customFormat="false" ht="12.75" hidden="false" customHeight="false" outlineLevel="0" collapsed="false">
      <c r="A118" s="500"/>
      <c r="B118" s="500"/>
      <c r="D118" s="361" t="e">
        <f aca="false">D117+AH117</f>
        <v>#VALUE!</v>
      </c>
      <c r="F118" s="362" t="e">
        <f aca="false">VLOOKUP(AG118,$AL$4:$AS$15,2)</f>
        <v>#VALUE!</v>
      </c>
      <c r="G118" s="362" t="e">
        <f aca="false">F118*$AU118</f>
        <v>#VALUE!</v>
      </c>
      <c r="H118" s="363" t="e">
        <f aca="false">(AL118+AM118+AN118)/(1-(AR118))</f>
        <v>#VALUE!</v>
      </c>
      <c r="I118" s="363" t="e">
        <f aca="false">(AL118+AO118+AP118)</f>
        <v>#VALUE!</v>
      </c>
      <c r="K118" s="363" t="e">
        <f aca="false">MAX(((I118-H118)-AQ118)*AU118*AH118,0)</f>
        <v>#VALUE!</v>
      </c>
      <c r="L118" s="501" t="e">
        <f aca="false">MAX(Q118-K118,0)</f>
        <v>#VALUE!</v>
      </c>
      <c r="N118" s="502" t="e">
        <f aca="false">SQRT(($AX118^2*($AH118/2)+$AW118^2*$AI118)/(($AH118/2)+$AI118))</f>
        <v>#VALUE!</v>
      </c>
      <c r="O118" s="502" t="e">
        <f aca="false">SQRT(($AY118^2*($AH118/2)+$AW118^2*$AI118)/(($AH118/2)+$AI118))</f>
        <v>#VALUE!</v>
      </c>
      <c r="P118" s="371" t="e">
        <f aca="false">(VLOOKUP(AI118,CorrelationTwo,2)*(AW118^2)*AI118+VLOOKUP(D118,CorrelationOne,$AK$9)*AX118*AY118*(AH118/2))/((AI118+(AH118/2))*O118*N118)*AF118</f>
        <v>#VALUE!</v>
      </c>
      <c r="Q118" s="501" t="e">
        <f aca="false">xSPRDOPT(I118,H118,AQ118,0,O118,N118,P118,D118-$G$5,1,0)*AH118*AU118</f>
        <v>#VALUE!</v>
      </c>
      <c r="R118" s="501"/>
      <c r="S118" s="365" t="e">
        <f aca="false">-T118/(1-AR118)</f>
        <v>#VALUE!</v>
      </c>
      <c r="T118" s="365" t="e">
        <f aca="false">xSPRDOPT(I118,H118,AQ118,AT118,O118,N118,P118,D118-$G$5,1,1)*AF118*F118*AH118</f>
        <v>#VALUE!</v>
      </c>
      <c r="U118" s="501"/>
      <c r="V118" s="503" t="e">
        <f aca="false">VLOOKUP($AG118,$AL$4:$AS$15,8)*AH118*AU118</f>
        <v>#VALUE!</v>
      </c>
      <c r="W118" s="503"/>
      <c r="X118" s="504" t="e">
        <f aca="false">((BM118*BC118)+(BL118*BB118))*AH118*F118</f>
        <v>#VALUE!</v>
      </c>
      <c r="Y118" s="504" t="e">
        <f aca="false">($F118*$AH118)*((($BG118/2)*($BC118)^2)+(($BF118/2)*($BB118)^2)+($BH118*$BC118*$BB118))</f>
        <v>#VALUE!</v>
      </c>
      <c r="Z118" s="504" t="e">
        <f aca="false">($BI118*$F118*$AH118*($G$5-$BV$5))/365.25</f>
        <v>#VALUE!</v>
      </c>
      <c r="AA118" s="504" t="e">
        <f aca="false">(($BK118*$BE118)+($BJ118*$BD118))*$F118*$AH118*$AF118</f>
        <v>#VALUE!</v>
      </c>
      <c r="AB118" s="504" t="e">
        <f aca="false">BN118*(AT118-CA118)*F118*AH118</f>
        <v>#VALUE!</v>
      </c>
      <c r="AC118" s="504" t="e">
        <f aca="false">BO118*CB118*F118*AH118*CA118*($G$5-$BV$5)/365.25</f>
        <v>#NAME?</v>
      </c>
      <c r="AF118" s="378" t="e">
        <f aca="false">IF(AND(D118&gt;=$G$7,D118&lt;=$G$8),1,0)</f>
        <v>#VALUE!</v>
      </c>
      <c r="AG118" s="378" t="e">
        <f aca="false">MONTH(D118)</f>
        <v>#VALUE!</v>
      </c>
      <c r="AH118" s="378" t="e">
        <f aca="false">(EOMONTH(D118,0)-EOMONTH(D118-DAY(D118),0))*AF118</f>
        <v>#VALUE!</v>
      </c>
      <c r="AI118" s="378" t="e">
        <f aca="false">AI117+AH117</f>
        <v>#VALUE!</v>
      </c>
      <c r="AJ118" s="378" t="e">
        <f aca="false">D118-$BV$5</f>
        <v>#VALUE!</v>
      </c>
      <c r="AL118" s="369" t="e">
        <f aca="false">VLOOKUP($D118,CurveTbl,$AK$4)</f>
        <v>#VALUE!</v>
      </c>
      <c r="AM118" s="505" t="e">
        <f aca="false">VLOOKUP($D118,CurveTbl,$AH$3)</f>
        <v>#VALUE!</v>
      </c>
      <c r="AN118" s="505" t="e">
        <f aca="false">VLOOKUP($D118,CurveTbl,$AH$4)+VLOOKUP($AG118,$AL$3:$AS$15,6)</f>
        <v>#VALUE!</v>
      </c>
      <c r="AO118" s="505" t="e">
        <f aca="false">VLOOKUP($D118,CurveTbl,$AH$5)</f>
        <v>#VALUE!</v>
      </c>
      <c r="AP118" s="505" t="e">
        <f aca="false">VLOOKUP($D118,CurveTbl,$AH$6)+VLOOKUP($AG118,$AL$3:$AS$15,7)</f>
        <v>#VALUE!</v>
      </c>
      <c r="AQ118" s="369" t="e">
        <f aca="false">VLOOKUP($AG118,$AL$4:$AS$15,3)+VLOOKUP($AG118,$AL$4:$AS$15,5)+($AH$10*VLOOKUP(D118,GRITable,2))</f>
        <v>#VALUE!</v>
      </c>
      <c r="AR118" s="370" t="e">
        <f aca="false">VLOOKUP($AG118,$AL$4:$AS$15,4)</f>
        <v>#VALUE!</v>
      </c>
      <c r="AS118" s="369" t="e">
        <f aca="false">(AL118+AM118+AN118)</f>
        <v>#VALUE!</v>
      </c>
      <c r="AT118" s="370" t="e">
        <f aca="false">VLOOKUP(D118,CurveTbl,$AK$6)</f>
        <v>#VALUE!</v>
      </c>
      <c r="AU118" s="370" t="e">
        <f aca="false">(1+$AT118/2)^(-2*($D118-$G$5)/365.25)*$AF118</f>
        <v>#VALUE!</v>
      </c>
      <c r="AV118" s="506" t="e">
        <f aca="false">ROUND((F118/(1-AR118))-F118,0)*AF118*AH118*AU118</f>
        <v>#VALUE!</v>
      </c>
      <c r="AW118" s="370" t="e">
        <f aca="false">VLOOKUP($D118,CurveTbl,$AK$8)</f>
        <v>#VALUE!</v>
      </c>
      <c r="AX118" s="370" t="e">
        <f aca="false">VLOOKUP($D118,CurveTbl,$AH$7)</f>
        <v>#VALUE!</v>
      </c>
      <c r="AY118" s="370" t="e">
        <f aca="false">VLOOKUP($D118,CurveTbl,$AH$8)</f>
        <v>#VALUE!</v>
      </c>
      <c r="AZ118" s="370"/>
      <c r="BA118" s="507"/>
      <c r="BB118" s="505" t="e">
        <f aca="false">$H118-$BV118</f>
        <v>#VALUE!</v>
      </c>
      <c r="BC118" s="505" t="e">
        <f aca="false">I118-BW118</f>
        <v>#VALUE!</v>
      </c>
      <c r="BD118" s="370" t="e">
        <f aca="false">N118-BX118</f>
        <v>#VALUE!</v>
      </c>
      <c r="BE118" s="370" t="e">
        <f aca="false">O118-BY118</f>
        <v>#VALUE!</v>
      </c>
      <c r="BF118" s="370" t="e">
        <f aca="false">xSPRDOPT($BW118,$BV118,$CG118,0,$BY118,$BX118,$BZ118,$AJ118,1,4)*$CB118</f>
        <v>#NAME?</v>
      </c>
      <c r="BG118" s="370" t="e">
        <f aca="false">xSPRDOPT($BW118,$BV118,$CG118,0,$BY118,$BX118,$BZ118,$AJ118,1,3)*$CB118</f>
        <v>#NAME?</v>
      </c>
      <c r="BH118" s="370" t="e">
        <f aca="false">IF(OR(BF118&lt;&gt;0,BG118&lt;&gt;0),xSPRDOPT($BW118,$BV118,$CG118,0,$BY118,$BX118,$BZ118,$AJ118,1,12)*$CB118,0)</f>
        <v>#NAME?</v>
      </c>
      <c r="BI118" s="370" t="e">
        <f aca="false">xSPRDOPT($BW118,$BV118,$CG118,2*LN(1+CA118/2),$BY118,$BX118,$BZ118,$AJ118,1,9)</f>
        <v>#NAME?</v>
      </c>
      <c r="BJ118" s="370" t="e">
        <f aca="false">xSPRDOPT($BW118,$BV118,$CG118,0,$BY118,$BX118,$BZ118,$AJ118,1,6)*$CB118</f>
        <v>#NAME?</v>
      </c>
      <c r="BK118" s="370" t="e">
        <f aca="false">xSPRDOPT($BW118,$BV118,$CG118,0,$BY118,$BX118,$BZ118,$AJ118,1,5)*$CB118</f>
        <v>#NAME?</v>
      </c>
      <c r="BL118" s="370" t="e">
        <f aca="false">xSPRDOPT(BW118,BV118,CG118,0,BY118,BX118,BZ118,AJ118,1,2)*CB118</f>
        <v>#NAME?</v>
      </c>
      <c r="BM118" s="370" t="e">
        <f aca="false">xSPRDOPT(BW118,BV118,CG118,0,BY118,BX118,BZ118,AJ118,1,1)*CB118</f>
        <v>#NAME?</v>
      </c>
      <c r="BN118" s="370" t="e">
        <f aca="false">IF(AH118&lt;&gt;0,xSPRDOPT($BW118,$BV118,$CG118,2*LN(1+CA118/2),$BY118,$BX118,$BZ118,$AJ118,1,8)+(AJ118/365.25)*CH118/AH118,0)</f>
        <v>#VALUE!</v>
      </c>
      <c r="BO118" s="370" t="e">
        <f aca="false">xSPRDOPT($BW118,$BV118,$CG118,0,$BY118,$BX118,$BZ118,$AJ118,1,0)</f>
        <v>#NAME?</v>
      </c>
      <c r="BP118" s="370"/>
      <c r="BQ118" s="370"/>
      <c r="BR118" s="370"/>
      <c r="BS118" s="370"/>
      <c r="BV118" s="508" t="n">
        <v>4.18260869565217</v>
      </c>
      <c r="BW118" s="369" t="n">
        <v>4.422</v>
      </c>
      <c r="BX118" s="370" t="n">
        <v>0.214559208298488</v>
      </c>
      <c r="BY118" s="370" t="n">
        <v>0.214559208298488</v>
      </c>
      <c r="BZ118" s="370" t="n">
        <v>1</v>
      </c>
      <c r="CA118" s="370" t="n">
        <v>0.0594449970777187</v>
      </c>
      <c r="CB118" s="370" t="n">
        <v>0.622655611282526</v>
      </c>
      <c r="CC118" s="505" t="n">
        <v>0.009</v>
      </c>
      <c r="CD118" s="505" t="n">
        <v>0.0075</v>
      </c>
      <c r="CE118" s="505" t="n">
        <v>0.35</v>
      </c>
      <c r="CF118" s="505" t="n">
        <v>0</v>
      </c>
      <c r="CG118" s="505" t="n">
        <v>0.0364</v>
      </c>
      <c r="CH118" s="505" t="n">
        <v>7.11676684027588</v>
      </c>
      <c r="CI118" s="505" t="n">
        <v>4.072</v>
      </c>
      <c r="CJ118" s="505"/>
      <c r="CK118" s="505"/>
      <c r="CL118" s="505"/>
      <c r="CM118" s="505"/>
    </row>
    <row r="119" customFormat="false" ht="12.75" hidden="false" customHeight="false" outlineLevel="0" collapsed="false">
      <c r="A119" s="500"/>
      <c r="B119" s="500"/>
      <c r="D119" s="361" t="e">
        <f aca="false">D118+AH118</f>
        <v>#VALUE!</v>
      </c>
      <c r="F119" s="362" t="e">
        <f aca="false">VLOOKUP(AG119,$AL$4:$AS$15,2)</f>
        <v>#VALUE!</v>
      </c>
      <c r="G119" s="362" t="e">
        <f aca="false">F119*$AU119</f>
        <v>#VALUE!</v>
      </c>
      <c r="H119" s="363" t="e">
        <f aca="false">(AL119+AM119+AN119)/(1-(AR119))</f>
        <v>#VALUE!</v>
      </c>
      <c r="I119" s="363" t="e">
        <f aca="false">(AL119+AO119+AP119)</f>
        <v>#VALUE!</v>
      </c>
      <c r="K119" s="363" t="e">
        <f aca="false">MAX(((I119-H119)-AQ119)*AU119*AH119,0)</f>
        <v>#VALUE!</v>
      </c>
      <c r="L119" s="501" t="e">
        <f aca="false">MAX(Q119-K119,0)</f>
        <v>#VALUE!</v>
      </c>
      <c r="N119" s="502" t="e">
        <f aca="false">SQRT(($AX119^2*($AH119/2)+$AW119^2*$AI119)/(($AH119/2)+$AI119))</f>
        <v>#VALUE!</v>
      </c>
      <c r="O119" s="502" t="e">
        <f aca="false">SQRT(($AY119^2*($AH119/2)+$AW119^2*$AI119)/(($AH119/2)+$AI119))</f>
        <v>#VALUE!</v>
      </c>
      <c r="P119" s="371" t="e">
        <f aca="false">(VLOOKUP(AI119,CorrelationTwo,2)*(AW119^2)*AI119+VLOOKUP(D119,CorrelationOne,$AK$9)*AX119*AY119*(AH119/2))/((AI119+(AH119/2))*O119*N119)*AF119</f>
        <v>#VALUE!</v>
      </c>
      <c r="Q119" s="501" t="e">
        <f aca="false">xSPRDOPT(I119,H119,AQ119,0,O119,N119,P119,D119-$G$5,1,0)*AH119*AU119</f>
        <v>#VALUE!</v>
      </c>
      <c r="R119" s="501"/>
      <c r="S119" s="365" t="e">
        <f aca="false">-T119/(1-AR119)</f>
        <v>#VALUE!</v>
      </c>
      <c r="T119" s="365" t="e">
        <f aca="false">xSPRDOPT(I119,H119,AQ119,AT119,O119,N119,P119,D119-$G$5,1,1)*AF119*F119*AH119</f>
        <v>#VALUE!</v>
      </c>
      <c r="U119" s="501"/>
      <c r="V119" s="503" t="e">
        <f aca="false">VLOOKUP($AG119,$AL$4:$AS$15,8)*AH119*AU119</f>
        <v>#VALUE!</v>
      </c>
      <c r="W119" s="503"/>
      <c r="X119" s="504" t="e">
        <f aca="false">((BM119*BC119)+(BL119*BB119))*AH119*F119</f>
        <v>#VALUE!</v>
      </c>
      <c r="Y119" s="504" t="e">
        <f aca="false">($F119*$AH119)*((($BG119/2)*($BC119)^2)+(($BF119/2)*($BB119)^2)+($BH119*$BC119*$BB119))</f>
        <v>#VALUE!</v>
      </c>
      <c r="Z119" s="504" t="e">
        <f aca="false">($BI119*$F119*$AH119*($G$5-$BV$5))/365.25</f>
        <v>#VALUE!</v>
      </c>
      <c r="AA119" s="504" t="e">
        <f aca="false">(($BK119*$BE119)+($BJ119*$BD119))*$F119*$AH119*$AF119</f>
        <v>#VALUE!</v>
      </c>
      <c r="AB119" s="504" t="e">
        <f aca="false">BN119*(AT119-CA119)*F119*AH119</f>
        <v>#VALUE!</v>
      </c>
      <c r="AC119" s="504" t="e">
        <f aca="false">BO119*CB119*F119*AH119*CA119*($G$5-$BV$5)/365.25</f>
        <v>#NAME?</v>
      </c>
      <c r="AF119" s="378" t="e">
        <f aca="false">IF(AND(D119&gt;=$G$7,D119&lt;=$G$8),1,0)</f>
        <v>#VALUE!</v>
      </c>
      <c r="AG119" s="378" t="e">
        <f aca="false">MONTH(D119)</f>
        <v>#VALUE!</v>
      </c>
      <c r="AH119" s="378" t="e">
        <f aca="false">(EOMONTH(D119,0)-EOMONTH(D119-DAY(D119),0))*AF119</f>
        <v>#VALUE!</v>
      </c>
      <c r="AI119" s="378" t="e">
        <f aca="false">AI118+AH118</f>
        <v>#VALUE!</v>
      </c>
      <c r="AJ119" s="378" t="e">
        <f aca="false">D119-$BV$5</f>
        <v>#VALUE!</v>
      </c>
      <c r="AL119" s="369" t="e">
        <f aca="false">VLOOKUP($D119,CurveTbl,$AK$4)</f>
        <v>#VALUE!</v>
      </c>
      <c r="AM119" s="505" t="e">
        <f aca="false">VLOOKUP($D119,CurveTbl,$AH$3)</f>
        <v>#VALUE!</v>
      </c>
      <c r="AN119" s="505" t="e">
        <f aca="false">VLOOKUP($D119,CurveTbl,$AH$4)+VLOOKUP($AG119,$AL$3:$AS$15,6)</f>
        <v>#VALUE!</v>
      </c>
      <c r="AO119" s="505" t="e">
        <f aca="false">VLOOKUP($D119,CurveTbl,$AH$5)</f>
        <v>#VALUE!</v>
      </c>
      <c r="AP119" s="505" t="e">
        <f aca="false">VLOOKUP($D119,CurveTbl,$AH$6)+VLOOKUP($AG119,$AL$3:$AS$15,7)</f>
        <v>#VALUE!</v>
      </c>
      <c r="AQ119" s="369" t="e">
        <f aca="false">VLOOKUP($AG119,$AL$4:$AS$15,3)+VLOOKUP($AG119,$AL$4:$AS$15,5)+($AH$10*VLOOKUP(D119,GRITable,2))</f>
        <v>#VALUE!</v>
      </c>
      <c r="AR119" s="370" t="e">
        <f aca="false">VLOOKUP($AG119,$AL$4:$AS$15,4)</f>
        <v>#VALUE!</v>
      </c>
      <c r="AS119" s="369" t="e">
        <f aca="false">(AL119+AM119+AN119)</f>
        <v>#VALUE!</v>
      </c>
      <c r="AT119" s="370" t="e">
        <f aca="false">VLOOKUP(D119,CurveTbl,$AK$6)</f>
        <v>#VALUE!</v>
      </c>
      <c r="AU119" s="370" t="e">
        <f aca="false">(1+$AT119/2)^(-2*($D119-$G$5)/365.25)*$AF119</f>
        <v>#VALUE!</v>
      </c>
      <c r="AV119" s="506" t="e">
        <f aca="false">ROUND((F119/(1-AR119))-F119,0)*AF119*AH119*AU119</f>
        <v>#VALUE!</v>
      </c>
      <c r="AW119" s="370" t="e">
        <f aca="false">VLOOKUP($D119,CurveTbl,$AK$8)</f>
        <v>#VALUE!</v>
      </c>
      <c r="AX119" s="370" t="e">
        <f aca="false">VLOOKUP($D119,CurveTbl,$AH$7)</f>
        <v>#VALUE!</v>
      </c>
      <c r="AY119" s="370" t="e">
        <f aca="false">VLOOKUP($D119,CurveTbl,$AH$8)</f>
        <v>#VALUE!</v>
      </c>
      <c r="AZ119" s="370"/>
      <c r="BA119" s="507"/>
      <c r="BB119" s="505" t="e">
        <f aca="false">$H119-$BV119</f>
        <v>#VALUE!</v>
      </c>
      <c r="BC119" s="505" t="e">
        <f aca="false">I119-BW119</f>
        <v>#VALUE!</v>
      </c>
      <c r="BD119" s="370" t="e">
        <f aca="false">N119-BX119</f>
        <v>#VALUE!</v>
      </c>
      <c r="BE119" s="370" t="e">
        <f aca="false">O119-BY119</f>
        <v>#VALUE!</v>
      </c>
      <c r="BF119" s="370" t="e">
        <f aca="false">xSPRDOPT($BW119,$BV119,$CG119,0,$BY119,$BX119,$BZ119,$AJ119,1,4)*$CB119</f>
        <v>#NAME?</v>
      </c>
      <c r="BG119" s="370" t="e">
        <f aca="false">xSPRDOPT($BW119,$BV119,$CG119,0,$BY119,$BX119,$BZ119,$AJ119,1,3)*$CB119</f>
        <v>#NAME?</v>
      </c>
      <c r="BH119" s="370" t="e">
        <f aca="false">IF(OR(BF119&lt;&gt;0,BG119&lt;&gt;0),xSPRDOPT($BW119,$BV119,$CG119,0,$BY119,$BX119,$BZ119,$AJ119,1,12)*$CB119,0)</f>
        <v>#NAME?</v>
      </c>
      <c r="BI119" s="370" t="e">
        <f aca="false">xSPRDOPT($BW119,$BV119,$CG119,2*LN(1+CA119/2),$BY119,$BX119,$BZ119,$AJ119,1,9)</f>
        <v>#NAME?</v>
      </c>
      <c r="BJ119" s="370" t="e">
        <f aca="false">xSPRDOPT($BW119,$BV119,$CG119,0,$BY119,$BX119,$BZ119,$AJ119,1,6)*$CB119</f>
        <v>#NAME?</v>
      </c>
      <c r="BK119" s="370" t="e">
        <f aca="false">xSPRDOPT($BW119,$BV119,$CG119,0,$BY119,$BX119,$BZ119,$AJ119,1,5)*$CB119</f>
        <v>#NAME?</v>
      </c>
      <c r="BL119" s="370" t="e">
        <f aca="false">xSPRDOPT(BW119,BV119,CG119,0,BY119,BX119,BZ119,AJ119,1,2)*CB119</f>
        <v>#NAME?</v>
      </c>
      <c r="BM119" s="370" t="e">
        <f aca="false">xSPRDOPT(BW119,BV119,CG119,0,BY119,BX119,BZ119,AJ119,1,1)*CB119</f>
        <v>#NAME?</v>
      </c>
      <c r="BN119" s="370" t="e">
        <f aca="false">IF(AH119&lt;&gt;0,xSPRDOPT($BW119,$BV119,$CG119,2*LN(1+CA119/2),$BY119,$BX119,$BZ119,$AJ119,1,8)+(AJ119/365.25)*CH119/AH119,0)</f>
        <v>#VALUE!</v>
      </c>
      <c r="BO119" s="370" t="e">
        <f aca="false">xSPRDOPT($BW119,$BV119,$CG119,0,$BY119,$BX119,$BZ119,$AJ119,1,0)</f>
        <v>#NAME?</v>
      </c>
      <c r="BP119" s="370"/>
      <c r="BQ119" s="370"/>
      <c r="BR119" s="370"/>
      <c r="BS119" s="370"/>
      <c r="BV119" s="508" t="n">
        <v>4.09565217391304</v>
      </c>
      <c r="BW119" s="369" t="n">
        <v>4.337</v>
      </c>
      <c r="BX119" s="370" t="n">
        <v>0.210956186358244</v>
      </c>
      <c r="BY119" s="370" t="n">
        <v>0.210956186358244</v>
      </c>
      <c r="BZ119" s="370" t="n">
        <v>1</v>
      </c>
      <c r="CA119" s="370" t="n">
        <v>0.0595541100492993</v>
      </c>
      <c r="CB119" s="370" t="n">
        <v>0.619031303025002</v>
      </c>
      <c r="CC119" s="505" t="n">
        <v>0.009</v>
      </c>
      <c r="CD119" s="505" t="n">
        <v>0.0075</v>
      </c>
      <c r="CE119" s="505" t="n">
        <v>0.35</v>
      </c>
      <c r="CF119" s="505" t="n">
        <v>0</v>
      </c>
      <c r="CG119" s="505" t="n">
        <v>0.0364</v>
      </c>
      <c r="CH119" s="505" t="n">
        <v>6.39063155990892</v>
      </c>
      <c r="CI119" s="505" t="n">
        <v>3.987</v>
      </c>
      <c r="CJ119" s="505"/>
      <c r="CK119" s="505"/>
      <c r="CL119" s="505"/>
      <c r="CM119" s="505"/>
    </row>
    <row r="120" customFormat="false" ht="12.75" hidden="false" customHeight="false" outlineLevel="0" collapsed="false">
      <c r="A120" s="500"/>
      <c r="B120" s="500"/>
      <c r="D120" s="361" t="e">
        <f aca="false">D119+AH119</f>
        <v>#VALUE!</v>
      </c>
      <c r="F120" s="362" t="e">
        <f aca="false">VLOOKUP(AG120,$AL$4:$AS$15,2)</f>
        <v>#VALUE!</v>
      </c>
      <c r="G120" s="362" t="e">
        <f aca="false">F120*$AU120</f>
        <v>#VALUE!</v>
      </c>
      <c r="H120" s="363" t="e">
        <f aca="false">(AL120+AM120+AN120)/(1-(AR120))</f>
        <v>#VALUE!</v>
      </c>
      <c r="I120" s="363" t="e">
        <f aca="false">(AL120+AO120+AP120)</f>
        <v>#VALUE!</v>
      </c>
      <c r="K120" s="363" t="e">
        <f aca="false">MAX(((I120-H120)-AQ120)*AU120*AH120,0)</f>
        <v>#VALUE!</v>
      </c>
      <c r="L120" s="501" t="e">
        <f aca="false">MAX(Q120-K120,0)</f>
        <v>#VALUE!</v>
      </c>
      <c r="N120" s="502" t="e">
        <f aca="false">SQRT(($AX120^2*($AH120/2)+$AW120^2*$AI120)/(($AH120/2)+$AI120))</f>
        <v>#VALUE!</v>
      </c>
      <c r="O120" s="502" t="e">
        <f aca="false">SQRT(($AY120^2*($AH120/2)+$AW120^2*$AI120)/(($AH120/2)+$AI120))</f>
        <v>#VALUE!</v>
      </c>
      <c r="P120" s="371" t="e">
        <f aca="false">(VLOOKUP(AI120,CorrelationTwo,2)*(AW120^2)*AI120+VLOOKUP(D120,CorrelationOne,$AK$9)*AX120*AY120*(AH120/2))/((AI120+(AH120/2))*O120*N120)*AF120</f>
        <v>#VALUE!</v>
      </c>
      <c r="Q120" s="501" t="e">
        <f aca="false">xSPRDOPT(I120,H120,AQ120,0,O120,N120,P120,D120-$G$5,1,0)*AH120*AU120</f>
        <v>#VALUE!</v>
      </c>
      <c r="R120" s="501"/>
      <c r="S120" s="365" t="e">
        <f aca="false">-T120/(1-AR120)</f>
        <v>#VALUE!</v>
      </c>
      <c r="T120" s="365" t="e">
        <f aca="false">xSPRDOPT(I120,H120,AQ120,AT120,O120,N120,P120,D120-$G$5,1,1)*AF120*F120*AH120</f>
        <v>#VALUE!</v>
      </c>
      <c r="U120" s="501"/>
      <c r="V120" s="503" t="e">
        <f aca="false">VLOOKUP($AG120,$AL$4:$AS$15,8)*AH120*AU120</f>
        <v>#VALUE!</v>
      </c>
      <c r="W120" s="503"/>
      <c r="X120" s="504" t="e">
        <f aca="false">((BM120*BC120)+(BL120*BB120))*AH120*F120</f>
        <v>#VALUE!</v>
      </c>
      <c r="Y120" s="504" t="e">
        <f aca="false">($F120*$AH120)*((($BG120/2)*($BC120)^2)+(($BF120/2)*($BB120)^2)+($BH120*$BC120*$BB120))</f>
        <v>#VALUE!</v>
      </c>
      <c r="Z120" s="504" t="e">
        <f aca="false">($BI120*$F120*$AH120*($G$5-$BV$5))/365.25</f>
        <v>#VALUE!</v>
      </c>
      <c r="AA120" s="504" t="e">
        <f aca="false">(($BK120*$BE120)+($BJ120*$BD120))*$F120*$AH120*$AF120</f>
        <v>#VALUE!</v>
      </c>
      <c r="AB120" s="504" t="e">
        <f aca="false">BN120*(AT120-CA120)*F120*AH120</f>
        <v>#VALUE!</v>
      </c>
      <c r="AC120" s="504" t="e">
        <f aca="false">BO120*CB120*F120*AH120*CA120*($G$5-$BV$5)/365.25</f>
        <v>#NAME?</v>
      </c>
      <c r="AF120" s="378" t="e">
        <f aca="false">IF(AND(D120&gt;=$G$7,D120&lt;=$G$8),1,0)</f>
        <v>#VALUE!</v>
      </c>
      <c r="AG120" s="378" t="e">
        <f aca="false">MONTH(D120)</f>
        <v>#VALUE!</v>
      </c>
      <c r="AH120" s="378" t="e">
        <f aca="false">(EOMONTH(D120,0)-EOMONTH(D120-DAY(D120),0))*AF120</f>
        <v>#VALUE!</v>
      </c>
      <c r="AI120" s="378" t="e">
        <f aca="false">AI119+AH119</f>
        <v>#VALUE!</v>
      </c>
      <c r="AJ120" s="378" t="e">
        <f aca="false">D120-$BV$5</f>
        <v>#VALUE!</v>
      </c>
      <c r="AL120" s="369" t="e">
        <f aca="false">VLOOKUP($D120,CurveTbl,$AK$4)</f>
        <v>#VALUE!</v>
      </c>
      <c r="AM120" s="505" t="e">
        <f aca="false">VLOOKUP($D120,CurveTbl,$AH$3)</f>
        <v>#VALUE!</v>
      </c>
      <c r="AN120" s="505" t="e">
        <f aca="false">VLOOKUP($D120,CurveTbl,$AH$4)+VLOOKUP($AG120,$AL$3:$AS$15,6)</f>
        <v>#VALUE!</v>
      </c>
      <c r="AO120" s="505" t="e">
        <f aca="false">VLOOKUP($D120,CurveTbl,$AH$5)</f>
        <v>#VALUE!</v>
      </c>
      <c r="AP120" s="505" t="e">
        <f aca="false">VLOOKUP($D120,CurveTbl,$AH$6)+VLOOKUP($AG120,$AL$3:$AS$15,7)</f>
        <v>#VALUE!</v>
      </c>
      <c r="AQ120" s="369" t="e">
        <f aca="false">VLOOKUP($AG120,$AL$4:$AS$15,3)+VLOOKUP($AG120,$AL$4:$AS$15,5)+($AH$10*VLOOKUP(D120,GRITable,2))</f>
        <v>#VALUE!</v>
      </c>
      <c r="AR120" s="370" t="e">
        <f aca="false">VLOOKUP($AG120,$AL$4:$AS$15,4)</f>
        <v>#VALUE!</v>
      </c>
      <c r="AS120" s="369" t="e">
        <f aca="false">(AL120+AM120+AN120)</f>
        <v>#VALUE!</v>
      </c>
      <c r="AT120" s="370" t="e">
        <f aca="false">VLOOKUP(D120,CurveTbl,$AK$6)</f>
        <v>#VALUE!</v>
      </c>
      <c r="AU120" s="370" t="e">
        <f aca="false">(1+$AT120/2)^(-2*($D120-$G$5)/365.25)*$AF120</f>
        <v>#VALUE!</v>
      </c>
      <c r="AV120" s="506" t="e">
        <f aca="false">ROUND((F120/(1-AR120))-F120,0)*AF120*AH120*AU120</f>
        <v>#VALUE!</v>
      </c>
      <c r="AW120" s="370" t="e">
        <f aca="false">VLOOKUP($D120,CurveTbl,$AK$8)</f>
        <v>#VALUE!</v>
      </c>
      <c r="AX120" s="370" t="e">
        <f aca="false">VLOOKUP($D120,CurveTbl,$AH$7)</f>
        <v>#VALUE!</v>
      </c>
      <c r="AY120" s="370" t="e">
        <f aca="false">VLOOKUP($D120,CurveTbl,$AH$8)</f>
        <v>#VALUE!</v>
      </c>
      <c r="AZ120" s="370"/>
      <c r="BA120" s="507"/>
      <c r="BB120" s="505" t="e">
        <f aca="false">$H120-$BV120</f>
        <v>#VALUE!</v>
      </c>
      <c r="BC120" s="505" t="e">
        <f aca="false">I120-BW120</f>
        <v>#VALUE!</v>
      </c>
      <c r="BD120" s="370" t="e">
        <f aca="false">N120-BX120</f>
        <v>#VALUE!</v>
      </c>
      <c r="BE120" s="370" t="e">
        <f aca="false">O120-BY120</f>
        <v>#VALUE!</v>
      </c>
      <c r="BF120" s="370" t="e">
        <f aca="false">xSPRDOPT($BW120,$BV120,$CG120,0,$BY120,$BX120,$BZ120,$AJ120,1,4)*$CB120</f>
        <v>#NAME?</v>
      </c>
      <c r="BG120" s="370" t="e">
        <f aca="false">xSPRDOPT($BW120,$BV120,$CG120,0,$BY120,$BX120,$BZ120,$AJ120,1,3)*$CB120</f>
        <v>#NAME?</v>
      </c>
      <c r="BH120" s="370" t="e">
        <f aca="false">IF(OR(BF120&lt;&gt;0,BG120&lt;&gt;0),xSPRDOPT($BW120,$BV120,$CG120,0,$BY120,$BX120,$BZ120,$AJ120,1,12)*$CB120,0)</f>
        <v>#NAME?</v>
      </c>
      <c r="BI120" s="370" t="e">
        <f aca="false">xSPRDOPT($BW120,$BV120,$CG120,2*LN(1+CA120/2),$BY120,$BX120,$BZ120,$AJ120,1,9)</f>
        <v>#NAME?</v>
      </c>
      <c r="BJ120" s="370" t="e">
        <f aca="false">xSPRDOPT($BW120,$BV120,$CG120,0,$BY120,$BX120,$BZ120,$AJ120,1,6)*$CB120</f>
        <v>#NAME?</v>
      </c>
      <c r="BK120" s="370" t="e">
        <f aca="false">xSPRDOPT($BW120,$BV120,$CG120,0,$BY120,$BX120,$BZ120,$AJ120,1,5)*$CB120</f>
        <v>#NAME?</v>
      </c>
      <c r="BL120" s="370" t="e">
        <f aca="false">xSPRDOPT(BW120,BV120,CG120,0,BY120,BX120,BZ120,AJ120,1,2)*CB120</f>
        <v>#NAME?</v>
      </c>
      <c r="BM120" s="370" t="e">
        <f aca="false">xSPRDOPT(BW120,BV120,CG120,0,BY120,BX120,BZ120,AJ120,1,1)*CB120</f>
        <v>#NAME?</v>
      </c>
      <c r="BN120" s="370" t="e">
        <f aca="false">IF(AH120&lt;&gt;0,xSPRDOPT($BW120,$BV120,$CG120,2*LN(1+CA120/2),$BY120,$BX120,$BZ120,$AJ120,1,8)+(AJ120/365.25)*CH120/AH120,0)</f>
        <v>#VALUE!</v>
      </c>
      <c r="BO120" s="370" t="e">
        <f aca="false">xSPRDOPT($BW120,$BV120,$CG120,0,$BY120,$BX120,$BZ120,$AJ120,1,0)</f>
        <v>#NAME?</v>
      </c>
      <c r="BP120" s="370"/>
      <c r="BQ120" s="370"/>
      <c r="BR120" s="370"/>
      <c r="BS120" s="370"/>
      <c r="BV120" s="508" t="n">
        <v>3.96777493606138</v>
      </c>
      <c r="BW120" s="369" t="n">
        <v>4.257</v>
      </c>
      <c r="BX120" s="370" t="n">
        <v>0.201796316103394</v>
      </c>
      <c r="BY120" s="370" t="n">
        <v>0.201796316103394</v>
      </c>
      <c r="BZ120" s="370" t="n">
        <v>1</v>
      </c>
      <c r="CA120" s="370" t="n">
        <v>0.0596526637044499</v>
      </c>
      <c r="CB120" s="370" t="n">
        <v>0.615766375058788</v>
      </c>
      <c r="CC120" s="505" t="n">
        <v>0.014</v>
      </c>
      <c r="CD120" s="505" t="n">
        <v>0.0075</v>
      </c>
      <c r="CE120" s="505" t="n">
        <v>0.4</v>
      </c>
      <c r="CF120" s="505" t="n">
        <v>0</v>
      </c>
      <c r="CG120" s="505" t="n">
        <v>0.0364</v>
      </c>
      <c r="CH120" s="505" t="n">
        <v>7.03802493700943</v>
      </c>
      <c r="CI120" s="505" t="n">
        <v>3.857</v>
      </c>
      <c r="CJ120" s="505"/>
      <c r="CK120" s="505"/>
      <c r="CL120" s="505"/>
      <c r="CM120" s="505"/>
    </row>
    <row r="121" customFormat="false" ht="12.75" hidden="false" customHeight="false" outlineLevel="0" collapsed="false">
      <c r="A121" s="500"/>
      <c r="B121" s="500"/>
      <c r="D121" s="361" t="e">
        <f aca="false">D120+AH120</f>
        <v>#VALUE!</v>
      </c>
      <c r="F121" s="362" t="e">
        <f aca="false">VLOOKUP(AG121,$AL$4:$AS$15,2)</f>
        <v>#VALUE!</v>
      </c>
      <c r="G121" s="362" t="e">
        <f aca="false">F121*$AU121</f>
        <v>#VALUE!</v>
      </c>
      <c r="H121" s="363" t="e">
        <f aca="false">(AL121+AM121+AN121)/(1-(AR121))</f>
        <v>#VALUE!</v>
      </c>
      <c r="I121" s="363" t="e">
        <f aca="false">(AL121+AO121+AP121)</f>
        <v>#VALUE!</v>
      </c>
      <c r="K121" s="363" t="e">
        <f aca="false">MAX(((I121-H121)-AQ121)*AU121*AH121,0)</f>
        <v>#VALUE!</v>
      </c>
      <c r="L121" s="501" t="e">
        <f aca="false">MAX(Q121-K121,0)</f>
        <v>#VALUE!</v>
      </c>
      <c r="N121" s="502" t="e">
        <f aca="false">SQRT(($AX121^2*($AH121/2)+$AW121^2*$AI121)/(($AH121/2)+$AI121))</f>
        <v>#VALUE!</v>
      </c>
      <c r="O121" s="502" t="e">
        <f aca="false">SQRT(($AY121^2*($AH121/2)+$AW121^2*$AI121)/(($AH121/2)+$AI121))</f>
        <v>#VALUE!</v>
      </c>
      <c r="P121" s="371" t="e">
        <f aca="false">(VLOOKUP(AI121,CorrelationTwo,2)*(AW121^2)*AI121+VLOOKUP(D121,CorrelationOne,$AK$9)*AX121*AY121*(AH121/2))/((AI121+(AH121/2))*O121*N121)*AF121</f>
        <v>#VALUE!</v>
      </c>
      <c r="Q121" s="501" t="e">
        <f aca="false">xSPRDOPT(I121,H121,AQ121,0,O121,N121,P121,D121-$G$5,1,0)*AH121*AU121</f>
        <v>#VALUE!</v>
      </c>
      <c r="R121" s="501"/>
      <c r="S121" s="365" t="e">
        <f aca="false">-T121/(1-AR121)</f>
        <v>#VALUE!</v>
      </c>
      <c r="T121" s="365" t="e">
        <f aca="false">xSPRDOPT(I121,H121,AQ121,AT121,O121,N121,P121,D121-$G$5,1,1)*AF121*F121*AH121</f>
        <v>#VALUE!</v>
      </c>
      <c r="U121" s="501"/>
      <c r="V121" s="503" t="e">
        <f aca="false">VLOOKUP($AG121,$AL$4:$AS$15,8)*AH121*AU121</f>
        <v>#VALUE!</v>
      </c>
      <c r="W121" s="503"/>
      <c r="X121" s="504" t="e">
        <f aca="false">((BM121*BC121)+(BL121*BB121))*AH121*F121</f>
        <v>#VALUE!</v>
      </c>
      <c r="Y121" s="504" t="e">
        <f aca="false">($F121*$AH121)*((($BG121/2)*($BC121)^2)+(($BF121/2)*($BB121)^2)+($BH121*$BC121*$BB121))</f>
        <v>#VALUE!</v>
      </c>
      <c r="Z121" s="504" t="e">
        <f aca="false">($BI121*$F121*$AH121*($G$5-$BV$5))/365.25</f>
        <v>#VALUE!</v>
      </c>
      <c r="AA121" s="504" t="e">
        <f aca="false">(($BK121*$BE121)+($BJ121*$BD121))*$F121*$AH121*$AF121</f>
        <v>#VALUE!</v>
      </c>
      <c r="AB121" s="504" t="e">
        <f aca="false">BN121*(AT121-CA121)*F121*AH121</f>
        <v>#VALUE!</v>
      </c>
      <c r="AC121" s="504" t="e">
        <f aca="false">BO121*CB121*F121*AH121*CA121*($G$5-$BV$5)/365.25</f>
        <v>#NAME?</v>
      </c>
      <c r="AF121" s="378" t="e">
        <f aca="false">IF(AND(D121&gt;=$G$7,D121&lt;=$G$8),1,0)</f>
        <v>#VALUE!</v>
      </c>
      <c r="AG121" s="378" t="e">
        <f aca="false">MONTH(D121)</f>
        <v>#VALUE!</v>
      </c>
      <c r="AH121" s="378" t="e">
        <f aca="false">(EOMONTH(D121,0)-EOMONTH(D121-DAY(D121),0))*AF121</f>
        <v>#VALUE!</v>
      </c>
      <c r="AI121" s="378" t="e">
        <f aca="false">AI120+AH120</f>
        <v>#VALUE!</v>
      </c>
      <c r="AJ121" s="378" t="e">
        <f aca="false">D121-$BV$5</f>
        <v>#VALUE!</v>
      </c>
      <c r="AL121" s="369" t="e">
        <f aca="false">VLOOKUP($D121,CurveTbl,$AK$4)</f>
        <v>#VALUE!</v>
      </c>
      <c r="AM121" s="505" t="e">
        <f aca="false">VLOOKUP($D121,CurveTbl,$AH$3)</f>
        <v>#VALUE!</v>
      </c>
      <c r="AN121" s="505" t="e">
        <f aca="false">VLOOKUP($D121,CurveTbl,$AH$4)+VLOOKUP($AG121,$AL$3:$AS$15,6)</f>
        <v>#VALUE!</v>
      </c>
      <c r="AO121" s="505" t="e">
        <f aca="false">VLOOKUP($D121,CurveTbl,$AH$5)</f>
        <v>#VALUE!</v>
      </c>
      <c r="AP121" s="505" t="e">
        <f aca="false">VLOOKUP($D121,CurveTbl,$AH$6)+VLOOKUP($AG121,$AL$3:$AS$15,7)</f>
        <v>#VALUE!</v>
      </c>
      <c r="AQ121" s="369" t="e">
        <f aca="false">VLOOKUP($AG121,$AL$4:$AS$15,3)+VLOOKUP($AG121,$AL$4:$AS$15,5)+($AH$10*VLOOKUP(D121,GRITable,2))</f>
        <v>#VALUE!</v>
      </c>
      <c r="AR121" s="370" t="e">
        <f aca="false">VLOOKUP($AG121,$AL$4:$AS$15,4)</f>
        <v>#VALUE!</v>
      </c>
      <c r="AS121" s="369" t="e">
        <f aca="false">(AL121+AM121+AN121)</f>
        <v>#VALUE!</v>
      </c>
      <c r="AT121" s="370" t="e">
        <f aca="false">VLOOKUP(D121,CurveTbl,$AK$6)</f>
        <v>#VALUE!</v>
      </c>
      <c r="AU121" s="370" t="e">
        <f aca="false">(1+$AT121/2)^(-2*($D121-$G$5)/365.25)*$AF121</f>
        <v>#VALUE!</v>
      </c>
      <c r="AV121" s="506" t="e">
        <f aca="false">ROUND((F121/(1-AR121))-F121,0)*AF121*AH121*AU121</f>
        <v>#VALUE!</v>
      </c>
      <c r="AW121" s="370" t="e">
        <f aca="false">VLOOKUP($D121,CurveTbl,$AK$8)</f>
        <v>#VALUE!</v>
      </c>
      <c r="AX121" s="370" t="e">
        <f aca="false">VLOOKUP($D121,CurveTbl,$AH$7)</f>
        <v>#VALUE!</v>
      </c>
      <c r="AY121" s="370" t="e">
        <f aca="false">VLOOKUP($D121,CurveTbl,$AH$8)</f>
        <v>#VALUE!</v>
      </c>
      <c r="AZ121" s="370"/>
      <c r="BA121" s="507"/>
      <c r="BB121" s="505" t="e">
        <f aca="false">$H121-$BV121</f>
        <v>#VALUE!</v>
      </c>
      <c r="BC121" s="505" t="e">
        <f aca="false">I121-BW121</f>
        <v>#VALUE!</v>
      </c>
      <c r="BD121" s="370" t="e">
        <f aca="false">N121-BX121</f>
        <v>#VALUE!</v>
      </c>
      <c r="BE121" s="370" t="e">
        <f aca="false">O121-BY121</f>
        <v>#VALUE!</v>
      </c>
      <c r="BF121" s="370" t="e">
        <f aca="false">xSPRDOPT($BW121,$BV121,$CG121,0,$BY121,$BX121,$BZ121,$AJ121,1,4)*$CB121</f>
        <v>#NAME?</v>
      </c>
      <c r="BG121" s="370" t="e">
        <f aca="false">xSPRDOPT($BW121,$BV121,$CG121,0,$BY121,$BX121,$BZ121,$AJ121,1,3)*$CB121</f>
        <v>#NAME?</v>
      </c>
      <c r="BH121" s="370" t="e">
        <f aca="false">IF(OR(BF121&lt;&gt;0,BG121&lt;&gt;0),xSPRDOPT($BW121,$BV121,$CG121,0,$BY121,$BX121,$BZ121,$AJ121,1,12)*$CB121,0)</f>
        <v>#NAME?</v>
      </c>
      <c r="BI121" s="370" t="e">
        <f aca="false">xSPRDOPT($BW121,$BV121,$CG121,2*LN(1+CA121/2),$BY121,$BX121,$BZ121,$AJ121,1,9)</f>
        <v>#NAME?</v>
      </c>
      <c r="BJ121" s="370" t="e">
        <f aca="false">xSPRDOPT($BW121,$BV121,$CG121,0,$BY121,$BX121,$BZ121,$AJ121,1,6)*$CB121</f>
        <v>#NAME?</v>
      </c>
      <c r="BK121" s="370" t="e">
        <f aca="false">xSPRDOPT($BW121,$BV121,$CG121,0,$BY121,$BX121,$BZ121,$AJ121,1,5)*$CB121</f>
        <v>#NAME?</v>
      </c>
      <c r="BL121" s="370" t="e">
        <f aca="false">xSPRDOPT(BW121,BV121,CG121,0,BY121,BX121,BZ121,AJ121,1,2)*CB121</f>
        <v>#NAME?</v>
      </c>
      <c r="BM121" s="370" t="e">
        <f aca="false">xSPRDOPT(BW121,BV121,CG121,0,BY121,BX121,BZ121,AJ121,1,1)*CB121</f>
        <v>#NAME?</v>
      </c>
      <c r="BN121" s="370" t="e">
        <f aca="false">IF(AH121&lt;&gt;0,xSPRDOPT($BW121,$BV121,$CG121,2*LN(1+CA121/2),$BY121,$BX121,$BZ121,$AJ121,1,8)+(AJ121/365.25)*CH121/AH121,0)</f>
        <v>#VALUE!</v>
      </c>
      <c r="BO121" s="370" t="e">
        <f aca="false">xSPRDOPT($BW121,$BV121,$CG121,0,$BY121,$BX121,$BZ121,$AJ121,1,0)</f>
        <v>#NAME?</v>
      </c>
      <c r="BP121" s="370"/>
      <c r="BQ121" s="370"/>
      <c r="BR121" s="370"/>
      <c r="BS121" s="370"/>
      <c r="BV121" s="508" t="n">
        <v>3.78107416879795</v>
      </c>
      <c r="BW121" s="369" t="n">
        <v>4.272</v>
      </c>
      <c r="BX121" s="370" t="n">
        <v>0.191599438484527</v>
      </c>
      <c r="BY121" s="370" t="n">
        <v>0.191599438484527</v>
      </c>
      <c r="BZ121" s="370" t="n">
        <v>1</v>
      </c>
      <c r="CA121" s="370" t="n">
        <v>0.059761776683561</v>
      </c>
      <c r="CB121" s="370" t="n">
        <v>0.612161265817447</v>
      </c>
      <c r="CC121" s="505" t="n">
        <v>0.014</v>
      </c>
      <c r="CD121" s="505" t="n">
        <v>0.01</v>
      </c>
      <c r="CE121" s="505" t="n">
        <v>0.6</v>
      </c>
      <c r="CF121" s="505" t="n">
        <v>0</v>
      </c>
      <c r="CG121" s="505" t="n">
        <v>0.0364</v>
      </c>
      <c r="CH121" s="505" t="n">
        <v>6.77111576120678</v>
      </c>
      <c r="CI121" s="505" t="n">
        <v>3.672</v>
      </c>
      <c r="CJ121" s="505"/>
      <c r="CK121" s="505"/>
      <c r="CL121" s="505"/>
      <c r="CM121" s="505"/>
    </row>
    <row r="122" customFormat="false" ht="12.75" hidden="false" customHeight="false" outlineLevel="0" collapsed="false">
      <c r="A122" s="500"/>
      <c r="B122" s="500"/>
      <c r="D122" s="361" t="e">
        <f aca="false">D121+AH121</f>
        <v>#VALUE!</v>
      </c>
      <c r="F122" s="362" t="e">
        <f aca="false">VLOOKUP(AG122,$AL$4:$AS$15,2)</f>
        <v>#VALUE!</v>
      </c>
      <c r="G122" s="362" t="e">
        <f aca="false">F122*$AU122</f>
        <v>#VALUE!</v>
      </c>
      <c r="H122" s="363" t="e">
        <f aca="false">(AL122+AM122+AN122)/(1-(AR122))</f>
        <v>#VALUE!</v>
      </c>
      <c r="I122" s="363" t="e">
        <f aca="false">(AL122+AO122+AP122)</f>
        <v>#VALUE!</v>
      </c>
      <c r="K122" s="363" t="e">
        <f aca="false">MAX(((I122-H122)-AQ122)*AU122*AH122,0)</f>
        <v>#VALUE!</v>
      </c>
      <c r="L122" s="501" t="e">
        <f aca="false">MAX(Q122-K122,0)</f>
        <v>#VALUE!</v>
      </c>
      <c r="N122" s="502" t="e">
        <f aca="false">SQRT(($AX122^2*($AH122/2)+$AW122^2*$AI122)/(($AH122/2)+$AI122))</f>
        <v>#VALUE!</v>
      </c>
      <c r="O122" s="502" t="e">
        <f aca="false">SQRT(($AY122^2*($AH122/2)+$AW122^2*$AI122)/(($AH122/2)+$AI122))</f>
        <v>#VALUE!</v>
      </c>
      <c r="P122" s="371" t="e">
        <f aca="false">(VLOOKUP(AI122,CorrelationTwo,2)*(AW122^2)*AI122+VLOOKUP(D122,CorrelationOne,$AK$9)*AX122*AY122*(AH122/2))/((AI122+(AH122/2))*O122*N122)*AF122</f>
        <v>#VALUE!</v>
      </c>
      <c r="Q122" s="501" t="e">
        <f aca="false">xSPRDOPT(I122,H122,AQ122,0,O122,N122,P122,D122-$G$5,1,0)*AH122*AU122</f>
        <v>#VALUE!</v>
      </c>
      <c r="R122" s="501"/>
      <c r="S122" s="365" t="e">
        <f aca="false">-T122/(1-AR122)</f>
        <v>#VALUE!</v>
      </c>
      <c r="T122" s="365" t="e">
        <f aca="false">xSPRDOPT(I122,H122,AQ122,AT122,O122,N122,P122,D122-$G$5,1,1)*AF122*F122*AH122</f>
        <v>#VALUE!</v>
      </c>
      <c r="U122" s="501"/>
      <c r="V122" s="503" t="e">
        <f aca="false">VLOOKUP($AG122,$AL$4:$AS$15,8)*AH122*AU122</f>
        <v>#VALUE!</v>
      </c>
      <c r="W122" s="503"/>
      <c r="X122" s="504" t="e">
        <f aca="false">((BM122*BC122)+(BL122*BB122))*AH122*F122</f>
        <v>#VALUE!</v>
      </c>
      <c r="Y122" s="504" t="e">
        <f aca="false">($F122*$AH122)*((($BG122/2)*($BC122)^2)+(($BF122/2)*($BB122)^2)+($BH122*$BC122*$BB122))</f>
        <v>#VALUE!</v>
      </c>
      <c r="Z122" s="504" t="e">
        <f aca="false">($BI122*$F122*$AH122*($G$5-$BV$5))/365.25</f>
        <v>#VALUE!</v>
      </c>
      <c r="AA122" s="504" t="e">
        <f aca="false">(($BK122*$BE122)+($BJ122*$BD122))*$F122*$AH122*$AF122</f>
        <v>#VALUE!</v>
      </c>
      <c r="AB122" s="504" t="e">
        <f aca="false">BN122*(AT122-CA122)*F122*AH122</f>
        <v>#VALUE!</v>
      </c>
      <c r="AC122" s="504" t="e">
        <f aca="false">BO122*CB122*F122*AH122*CA122*($G$5-$BV$5)/365.25</f>
        <v>#NAME?</v>
      </c>
      <c r="AF122" s="378" t="e">
        <f aca="false">IF(AND(D122&gt;=$G$7,D122&lt;=$G$8),1,0)</f>
        <v>#VALUE!</v>
      </c>
      <c r="AG122" s="378" t="e">
        <f aca="false">MONTH(D122)</f>
        <v>#VALUE!</v>
      </c>
      <c r="AH122" s="378" t="e">
        <f aca="false">(EOMONTH(D122,0)-EOMONTH(D122-DAY(D122),0))*AF122</f>
        <v>#VALUE!</v>
      </c>
      <c r="AI122" s="378" t="e">
        <f aca="false">AI121+AH121</f>
        <v>#VALUE!</v>
      </c>
      <c r="AJ122" s="378" t="e">
        <f aca="false">D122-$BV$5</f>
        <v>#VALUE!</v>
      </c>
      <c r="AL122" s="369" t="e">
        <f aca="false">VLOOKUP($D122,CurveTbl,$AK$4)</f>
        <v>#VALUE!</v>
      </c>
      <c r="AM122" s="505" t="e">
        <f aca="false">VLOOKUP($D122,CurveTbl,$AH$3)</f>
        <v>#VALUE!</v>
      </c>
      <c r="AN122" s="505" t="e">
        <f aca="false">VLOOKUP($D122,CurveTbl,$AH$4)+VLOOKUP($AG122,$AL$3:$AS$15,6)</f>
        <v>#VALUE!</v>
      </c>
      <c r="AO122" s="505" t="e">
        <f aca="false">VLOOKUP($D122,CurveTbl,$AH$5)</f>
        <v>#VALUE!</v>
      </c>
      <c r="AP122" s="505" t="e">
        <f aca="false">VLOOKUP($D122,CurveTbl,$AH$6)+VLOOKUP($AG122,$AL$3:$AS$15,7)</f>
        <v>#VALUE!</v>
      </c>
      <c r="AQ122" s="369" t="e">
        <f aca="false">VLOOKUP($AG122,$AL$4:$AS$15,3)+VLOOKUP($AG122,$AL$4:$AS$15,5)+($AH$10*VLOOKUP(D122,GRITable,2))</f>
        <v>#VALUE!</v>
      </c>
      <c r="AR122" s="370" t="e">
        <f aca="false">VLOOKUP($AG122,$AL$4:$AS$15,4)</f>
        <v>#VALUE!</v>
      </c>
      <c r="AS122" s="369" t="e">
        <f aca="false">(AL122+AM122+AN122)</f>
        <v>#VALUE!</v>
      </c>
      <c r="AT122" s="370" t="e">
        <f aca="false">VLOOKUP(D122,CurveTbl,$AK$6)</f>
        <v>#VALUE!</v>
      </c>
      <c r="AU122" s="370" t="e">
        <f aca="false">(1+$AT122/2)^(-2*($D122-$G$5)/365.25)*$AF122</f>
        <v>#VALUE!</v>
      </c>
      <c r="AV122" s="506" t="e">
        <f aca="false">ROUND((F122/(1-AR122))-F122,0)*AF122*AH122*AU122</f>
        <v>#VALUE!</v>
      </c>
      <c r="AW122" s="370" t="e">
        <f aca="false">VLOOKUP($D122,CurveTbl,$AK$8)</f>
        <v>#VALUE!</v>
      </c>
      <c r="AX122" s="370" t="e">
        <f aca="false">VLOOKUP($D122,CurveTbl,$AH$7)</f>
        <v>#VALUE!</v>
      </c>
      <c r="AY122" s="370" t="e">
        <f aca="false">VLOOKUP($D122,CurveTbl,$AH$8)</f>
        <v>#VALUE!</v>
      </c>
      <c r="AZ122" s="370"/>
      <c r="BA122" s="507"/>
      <c r="BB122" s="505" t="e">
        <f aca="false">$H122-$BV122</f>
        <v>#VALUE!</v>
      </c>
      <c r="BC122" s="505" t="e">
        <f aca="false">I122-BW122</f>
        <v>#VALUE!</v>
      </c>
      <c r="BD122" s="370" t="e">
        <f aca="false">N122-BX122</f>
        <v>#VALUE!</v>
      </c>
      <c r="BE122" s="370" t="e">
        <f aca="false">O122-BY122</f>
        <v>#VALUE!</v>
      </c>
      <c r="BF122" s="370" t="e">
        <f aca="false">xSPRDOPT($BW122,$BV122,$CG122,0,$BY122,$BX122,$BZ122,$AJ122,1,4)*$CB122</f>
        <v>#NAME?</v>
      </c>
      <c r="BG122" s="370" t="e">
        <f aca="false">xSPRDOPT($BW122,$BV122,$CG122,0,$BY122,$BX122,$BZ122,$AJ122,1,3)*$CB122</f>
        <v>#NAME?</v>
      </c>
      <c r="BH122" s="370" t="e">
        <f aca="false">IF(OR(BF122&lt;&gt;0,BG122&lt;&gt;0),xSPRDOPT($BW122,$BV122,$CG122,0,$BY122,$BX122,$BZ122,$AJ122,1,12)*$CB122,0)</f>
        <v>#NAME?</v>
      </c>
      <c r="BI122" s="370" t="e">
        <f aca="false">xSPRDOPT($BW122,$BV122,$CG122,2*LN(1+CA122/2),$BY122,$BX122,$BZ122,$AJ122,1,9)</f>
        <v>#NAME?</v>
      </c>
      <c r="BJ122" s="370" t="e">
        <f aca="false">xSPRDOPT($BW122,$BV122,$CG122,0,$BY122,$BX122,$BZ122,$AJ122,1,6)*$CB122</f>
        <v>#NAME?</v>
      </c>
      <c r="BK122" s="370" t="e">
        <f aca="false">xSPRDOPT($BW122,$BV122,$CG122,0,$BY122,$BX122,$BZ122,$AJ122,1,5)*$CB122</f>
        <v>#NAME?</v>
      </c>
      <c r="BL122" s="370" t="e">
        <f aca="false">xSPRDOPT(BW122,BV122,CG122,0,BY122,BX122,BZ122,AJ122,1,2)*CB122</f>
        <v>#NAME?</v>
      </c>
      <c r="BM122" s="370" t="e">
        <f aca="false">xSPRDOPT(BW122,BV122,CG122,0,BY122,BX122,BZ122,AJ122,1,1)*CB122</f>
        <v>#NAME?</v>
      </c>
      <c r="BN122" s="370" t="e">
        <f aca="false">IF(AH122&lt;&gt;0,xSPRDOPT($BW122,$BV122,$CG122,2*LN(1+CA122/2),$BY122,$BX122,$BZ122,$AJ122,1,8)+(AJ122/365.25)*CH122/AH122,0)</f>
        <v>#VALUE!</v>
      </c>
      <c r="BO122" s="370" t="e">
        <f aca="false">xSPRDOPT($BW122,$BV122,$CG122,0,$BY122,$BX122,$BZ122,$AJ122,1,0)</f>
        <v>#NAME?</v>
      </c>
      <c r="BP122" s="370"/>
      <c r="BQ122" s="370"/>
      <c r="BR122" s="370"/>
      <c r="BS122" s="370"/>
      <c r="BV122" s="508" t="n">
        <v>3.77851662404092</v>
      </c>
      <c r="BW122" s="369" t="n">
        <v>4.417</v>
      </c>
      <c r="BX122" s="370" t="n">
        <v>0.187278075460974</v>
      </c>
      <c r="BY122" s="370" t="n">
        <v>0.187278075460974</v>
      </c>
      <c r="BZ122" s="370" t="n">
        <v>1</v>
      </c>
      <c r="CA122" s="370" t="n">
        <v>0.0598673698929186</v>
      </c>
      <c r="CB122" s="370" t="n">
        <v>0.60868215242211</v>
      </c>
      <c r="CC122" s="505" t="n">
        <v>0.0165</v>
      </c>
      <c r="CD122" s="505" t="n">
        <v>0.01</v>
      </c>
      <c r="CE122" s="505" t="n">
        <v>0.75</v>
      </c>
      <c r="CF122" s="505" t="n">
        <v>0</v>
      </c>
      <c r="CG122" s="505" t="n">
        <v>0.0364</v>
      </c>
      <c r="CH122" s="505" t="n">
        <v>6.95705439753899</v>
      </c>
      <c r="CI122" s="505" t="n">
        <v>3.667</v>
      </c>
      <c r="CJ122" s="505"/>
      <c r="CK122" s="505"/>
      <c r="CL122" s="505"/>
      <c r="CM122" s="505"/>
    </row>
    <row r="123" customFormat="false" ht="12.75" hidden="false" customHeight="false" outlineLevel="0" collapsed="false">
      <c r="A123" s="500"/>
      <c r="B123" s="500"/>
      <c r="D123" s="361" t="e">
        <f aca="false">D122+AH122</f>
        <v>#VALUE!</v>
      </c>
      <c r="F123" s="362" t="e">
        <f aca="false">VLOOKUP(AG123,$AL$4:$AS$15,2)</f>
        <v>#VALUE!</v>
      </c>
      <c r="G123" s="362" t="e">
        <f aca="false">F123*$AU123</f>
        <v>#VALUE!</v>
      </c>
      <c r="H123" s="363" t="e">
        <f aca="false">(AL123+AM123+AN123)/(1-(AR123))</f>
        <v>#VALUE!</v>
      </c>
      <c r="I123" s="363" t="e">
        <f aca="false">(AL123+AO123+AP123)</f>
        <v>#VALUE!</v>
      </c>
      <c r="K123" s="363" t="e">
        <f aca="false">MAX(((I123-H123)-AQ123)*AU123*AH123,0)</f>
        <v>#VALUE!</v>
      </c>
      <c r="L123" s="501" t="e">
        <f aca="false">MAX(Q123-K123,0)</f>
        <v>#VALUE!</v>
      </c>
      <c r="N123" s="502" t="e">
        <f aca="false">SQRT(($AX123^2*($AH123/2)+$AW123^2*$AI123)/(($AH123/2)+$AI123))</f>
        <v>#VALUE!</v>
      </c>
      <c r="O123" s="502" t="e">
        <f aca="false">SQRT(($AY123^2*($AH123/2)+$AW123^2*$AI123)/(($AH123/2)+$AI123))</f>
        <v>#VALUE!</v>
      </c>
      <c r="P123" s="371" t="e">
        <f aca="false">(VLOOKUP(AI123,CorrelationTwo,2)*(AW123^2)*AI123+VLOOKUP(D123,CorrelationOne,$AK$9)*AX123*AY123*(AH123/2))/((AI123+(AH123/2))*O123*N123)*AF123</f>
        <v>#VALUE!</v>
      </c>
      <c r="Q123" s="501" t="e">
        <f aca="false">xSPRDOPT(I123,H123,AQ123,0,O123,N123,P123,D123-$G$5,1,0)*AH123*AU123</f>
        <v>#VALUE!</v>
      </c>
      <c r="R123" s="501"/>
      <c r="S123" s="365" t="e">
        <f aca="false">-T123/(1-AR123)</f>
        <v>#VALUE!</v>
      </c>
      <c r="T123" s="365" t="e">
        <f aca="false">xSPRDOPT(I123,H123,AQ123,AT123,O123,N123,P123,D123-$G$5,1,1)*AF123*F123*AH123</f>
        <v>#VALUE!</v>
      </c>
      <c r="U123" s="501"/>
      <c r="V123" s="503" t="e">
        <f aca="false">VLOOKUP($AG123,$AL$4:$AS$15,8)*AH123*AU123</f>
        <v>#VALUE!</v>
      </c>
      <c r="W123" s="503"/>
      <c r="X123" s="504" t="e">
        <f aca="false">((BM123*BC123)+(BL123*BB123))*AH123*F123</f>
        <v>#VALUE!</v>
      </c>
      <c r="Y123" s="504" t="e">
        <f aca="false">($F123*$AH123)*((($BG123/2)*($BC123)^2)+(($BF123/2)*($BB123)^2)+($BH123*$BC123*$BB123))</f>
        <v>#VALUE!</v>
      </c>
      <c r="Z123" s="504" t="e">
        <f aca="false">($BI123*$F123*$AH123*($G$5-$BV$5))/365.25</f>
        <v>#VALUE!</v>
      </c>
      <c r="AA123" s="504" t="e">
        <f aca="false">(($BK123*$BE123)+($BJ123*$BD123))*$F123*$AH123*$AF123</f>
        <v>#VALUE!</v>
      </c>
      <c r="AB123" s="504" t="e">
        <f aca="false">BN123*(AT123-CA123)*F123*AH123</f>
        <v>#VALUE!</v>
      </c>
      <c r="AC123" s="504" t="e">
        <f aca="false">BO123*CB123*F123*AH123*CA123*($G$5-$BV$5)/365.25</f>
        <v>#NAME?</v>
      </c>
      <c r="AF123" s="378" t="e">
        <f aca="false">IF(AND(D123&gt;=$G$7,D123&lt;=$G$8),1,0)</f>
        <v>#VALUE!</v>
      </c>
      <c r="AG123" s="378" t="e">
        <f aca="false">MONTH(D123)</f>
        <v>#VALUE!</v>
      </c>
      <c r="AH123" s="378" t="e">
        <f aca="false">(EOMONTH(D123,0)-EOMONTH(D123-DAY(D123),0))*AF123</f>
        <v>#VALUE!</v>
      </c>
      <c r="AI123" s="378" t="e">
        <f aca="false">AI122+AH122</f>
        <v>#VALUE!</v>
      </c>
      <c r="AJ123" s="378" t="e">
        <f aca="false">D123-$BV$5</f>
        <v>#VALUE!</v>
      </c>
      <c r="AL123" s="369" t="e">
        <f aca="false">VLOOKUP($D123,CurveTbl,$AK$4)</f>
        <v>#VALUE!</v>
      </c>
      <c r="AM123" s="505" t="e">
        <f aca="false">VLOOKUP($D123,CurveTbl,$AH$3)</f>
        <v>#VALUE!</v>
      </c>
      <c r="AN123" s="505" t="e">
        <f aca="false">VLOOKUP($D123,CurveTbl,$AH$4)+VLOOKUP($AG123,$AL$3:$AS$15,6)</f>
        <v>#VALUE!</v>
      </c>
      <c r="AO123" s="505" t="e">
        <f aca="false">VLOOKUP($D123,CurveTbl,$AH$5)</f>
        <v>#VALUE!</v>
      </c>
      <c r="AP123" s="505" t="e">
        <f aca="false">VLOOKUP($D123,CurveTbl,$AH$6)+VLOOKUP($AG123,$AL$3:$AS$15,7)</f>
        <v>#VALUE!</v>
      </c>
      <c r="AQ123" s="369" t="e">
        <f aca="false">VLOOKUP($AG123,$AL$4:$AS$15,3)+VLOOKUP($AG123,$AL$4:$AS$15,5)+($AH$10*VLOOKUP(D123,GRITable,2))</f>
        <v>#VALUE!</v>
      </c>
      <c r="AR123" s="370" t="e">
        <f aca="false">VLOOKUP($AG123,$AL$4:$AS$15,4)</f>
        <v>#VALUE!</v>
      </c>
      <c r="AS123" s="369" t="e">
        <f aca="false">(AL123+AM123+AN123)</f>
        <v>#VALUE!</v>
      </c>
      <c r="AT123" s="370" t="e">
        <f aca="false">VLOOKUP(D123,CurveTbl,$AK$6)</f>
        <v>#VALUE!</v>
      </c>
      <c r="AU123" s="370" t="e">
        <f aca="false">(1+$AT123/2)^(-2*($D123-$G$5)/365.25)*$AF123</f>
        <v>#VALUE!</v>
      </c>
      <c r="AV123" s="506" t="e">
        <f aca="false">ROUND((F123/(1-AR123))-F123,0)*AF123*AH123*AU123</f>
        <v>#VALUE!</v>
      </c>
      <c r="AW123" s="370" t="e">
        <f aca="false">VLOOKUP($D123,CurveTbl,$AK$8)</f>
        <v>#VALUE!</v>
      </c>
      <c r="AX123" s="370" t="e">
        <f aca="false">VLOOKUP($D123,CurveTbl,$AH$7)</f>
        <v>#VALUE!</v>
      </c>
      <c r="AY123" s="370" t="e">
        <f aca="false">VLOOKUP($D123,CurveTbl,$AH$8)</f>
        <v>#VALUE!</v>
      </c>
      <c r="AZ123" s="370"/>
      <c r="BA123" s="507"/>
      <c r="BB123" s="505" t="e">
        <f aca="false">$H123-$BV123</f>
        <v>#VALUE!</v>
      </c>
      <c r="BC123" s="505" t="e">
        <f aca="false">I123-BW123</f>
        <v>#VALUE!</v>
      </c>
      <c r="BD123" s="370" t="e">
        <f aca="false">N123-BX123</f>
        <v>#VALUE!</v>
      </c>
      <c r="BE123" s="370" t="e">
        <f aca="false">O123-BY123</f>
        <v>#VALUE!</v>
      </c>
      <c r="BF123" s="370" t="e">
        <f aca="false">xSPRDOPT($BW123,$BV123,$CG123,0,$BY123,$BX123,$BZ123,$AJ123,1,4)*$CB123</f>
        <v>#NAME?</v>
      </c>
      <c r="BG123" s="370" t="e">
        <f aca="false">xSPRDOPT($BW123,$BV123,$CG123,0,$BY123,$BX123,$BZ123,$AJ123,1,3)*$CB123</f>
        <v>#NAME?</v>
      </c>
      <c r="BH123" s="370" t="e">
        <f aca="false">IF(OR(BF123&lt;&gt;0,BG123&lt;&gt;0),xSPRDOPT($BW123,$BV123,$CG123,0,$BY123,$BX123,$BZ123,$AJ123,1,12)*$CB123,0)</f>
        <v>#NAME?</v>
      </c>
      <c r="BI123" s="370" t="e">
        <f aca="false">xSPRDOPT($BW123,$BV123,$CG123,2*LN(1+CA123/2),$BY123,$BX123,$BZ123,$AJ123,1,9)</f>
        <v>#NAME?</v>
      </c>
      <c r="BJ123" s="370" t="e">
        <f aca="false">xSPRDOPT($BW123,$BV123,$CG123,0,$BY123,$BX123,$BZ123,$AJ123,1,6)*$CB123</f>
        <v>#NAME?</v>
      </c>
      <c r="BK123" s="370" t="e">
        <f aca="false">xSPRDOPT($BW123,$BV123,$CG123,0,$BY123,$BX123,$BZ123,$AJ123,1,5)*$CB123</f>
        <v>#NAME?</v>
      </c>
      <c r="BL123" s="370" t="e">
        <f aca="false">xSPRDOPT(BW123,BV123,CG123,0,BY123,BX123,BZ123,AJ123,1,2)*CB123</f>
        <v>#NAME?</v>
      </c>
      <c r="BM123" s="370" t="e">
        <f aca="false">xSPRDOPT(BW123,BV123,CG123,0,BY123,BX123,BZ123,AJ123,1,1)*CB123</f>
        <v>#NAME?</v>
      </c>
      <c r="BN123" s="370" t="e">
        <f aca="false">IF(AH123&lt;&gt;0,xSPRDOPT($BW123,$BV123,$CG123,2*LN(1+CA123/2),$BY123,$BX123,$BZ123,$AJ123,1,8)+(AJ123/365.25)*CH123/AH123,0)</f>
        <v>#VALUE!</v>
      </c>
      <c r="BO123" s="370" t="e">
        <f aca="false">xSPRDOPT($BW123,$BV123,$CG123,0,$BY123,$BX123,$BZ123,$AJ123,1,0)</f>
        <v>#NAME?</v>
      </c>
      <c r="BP123" s="370"/>
      <c r="BQ123" s="370"/>
      <c r="BR123" s="370"/>
      <c r="BS123" s="370"/>
      <c r="BV123" s="508" t="n">
        <v>3.81432225063939</v>
      </c>
      <c r="BW123" s="369" t="n">
        <v>4.552</v>
      </c>
      <c r="BX123" s="370" t="n">
        <v>0.187183495476366</v>
      </c>
      <c r="BY123" s="370" t="n">
        <v>0.187183495476366</v>
      </c>
      <c r="BZ123" s="370" t="n">
        <v>1</v>
      </c>
      <c r="CA123" s="370" t="n">
        <v>0.0599764828798142</v>
      </c>
      <c r="CB123" s="370" t="n">
        <v>0.605097161740692</v>
      </c>
      <c r="CC123" s="505" t="n">
        <v>0.0165</v>
      </c>
      <c r="CD123" s="505" t="n">
        <v>0.01</v>
      </c>
      <c r="CE123" s="505" t="n">
        <v>0.85</v>
      </c>
      <c r="CF123" s="505" t="n">
        <v>0</v>
      </c>
      <c r="CG123" s="505" t="n">
        <v>0.0364</v>
      </c>
      <c r="CH123" s="505" t="n">
        <v>6.69297970601379</v>
      </c>
      <c r="CI123" s="505" t="n">
        <v>3.702</v>
      </c>
      <c r="CJ123" s="505"/>
      <c r="CK123" s="505"/>
      <c r="CL123" s="505"/>
      <c r="CM123" s="505"/>
    </row>
    <row r="124" customFormat="false" ht="12.75" hidden="false" customHeight="false" outlineLevel="0" collapsed="false">
      <c r="A124" s="500"/>
      <c r="B124" s="500"/>
      <c r="D124" s="361" t="e">
        <f aca="false">D123+AH123</f>
        <v>#VALUE!</v>
      </c>
      <c r="F124" s="362" t="e">
        <f aca="false">VLOOKUP(AG124,$AL$4:$AS$15,2)</f>
        <v>#VALUE!</v>
      </c>
      <c r="G124" s="362" t="e">
        <f aca="false">F124*$AU124</f>
        <v>#VALUE!</v>
      </c>
      <c r="H124" s="363" t="e">
        <f aca="false">(AL124+AM124+AN124)/(1-(AR124))</f>
        <v>#VALUE!</v>
      </c>
      <c r="I124" s="363" t="e">
        <f aca="false">(AL124+AO124+AP124)</f>
        <v>#VALUE!</v>
      </c>
      <c r="K124" s="363" t="e">
        <f aca="false">MAX(((I124-H124)-AQ124)*AU124*AH124,0)</f>
        <v>#VALUE!</v>
      </c>
      <c r="L124" s="501" t="e">
        <f aca="false">MAX(Q124-K124,0)</f>
        <v>#VALUE!</v>
      </c>
      <c r="N124" s="502" t="e">
        <f aca="false">SQRT(($AX124^2*($AH124/2)+$AW124^2*$AI124)/(($AH124/2)+$AI124))</f>
        <v>#VALUE!</v>
      </c>
      <c r="O124" s="502" t="e">
        <f aca="false">SQRT(($AY124^2*($AH124/2)+$AW124^2*$AI124)/(($AH124/2)+$AI124))</f>
        <v>#VALUE!</v>
      </c>
      <c r="P124" s="371" t="e">
        <f aca="false">(VLOOKUP(AI124,CorrelationTwo,2)*(AW124^2)*AI124+VLOOKUP(D124,CorrelationOne,$AK$9)*AX124*AY124*(AH124/2))/((AI124+(AH124/2))*O124*N124)*AF124</f>
        <v>#VALUE!</v>
      </c>
      <c r="Q124" s="501" t="e">
        <f aca="false">xSPRDOPT(I124,H124,AQ124,0,O124,N124,P124,D124-$G$5,1,0)*AH124*AU124</f>
        <v>#VALUE!</v>
      </c>
      <c r="R124" s="501"/>
      <c r="S124" s="365" t="e">
        <f aca="false">-T124/(1-AR124)</f>
        <v>#VALUE!</v>
      </c>
      <c r="T124" s="365" t="e">
        <f aca="false">xSPRDOPT(I124,H124,AQ124,AT124,O124,N124,P124,D124-$G$5,1,1)*AF124*F124*AH124</f>
        <v>#VALUE!</v>
      </c>
      <c r="U124" s="501"/>
      <c r="V124" s="503" t="e">
        <f aca="false">VLOOKUP($AG124,$AL$4:$AS$15,8)*AH124*AU124</f>
        <v>#VALUE!</v>
      </c>
      <c r="W124" s="503"/>
      <c r="X124" s="504" t="e">
        <f aca="false">((BM124*BC124)+(BL124*BB124))*AH124*F124</f>
        <v>#VALUE!</v>
      </c>
      <c r="Y124" s="504" t="e">
        <f aca="false">($F124*$AH124)*((($BG124/2)*($BC124)^2)+(($BF124/2)*($BB124)^2)+($BH124*$BC124*$BB124))</f>
        <v>#VALUE!</v>
      </c>
      <c r="Z124" s="504" t="e">
        <f aca="false">($BI124*$F124*$AH124*($G$5-$BV$5))/365.25</f>
        <v>#VALUE!</v>
      </c>
      <c r="AA124" s="504" t="e">
        <f aca="false">(($BK124*$BE124)+($BJ124*$BD124))*$F124*$AH124*$AF124</f>
        <v>#VALUE!</v>
      </c>
      <c r="AB124" s="504" t="e">
        <f aca="false">BN124*(AT124-CA124)*F124*AH124</f>
        <v>#VALUE!</v>
      </c>
      <c r="AC124" s="504" t="e">
        <f aca="false">BO124*CB124*F124*AH124*CA124*($G$5-$BV$5)/365.25</f>
        <v>#NAME?</v>
      </c>
      <c r="AF124" s="378" t="e">
        <f aca="false">IF(AND(D124&gt;=$G$7,D124&lt;=$G$8),1,0)</f>
        <v>#VALUE!</v>
      </c>
      <c r="AG124" s="378" t="e">
        <f aca="false">MONTH(D124)</f>
        <v>#VALUE!</v>
      </c>
      <c r="AH124" s="378" t="e">
        <f aca="false">(EOMONTH(D124,0)-EOMONTH(D124-DAY(D124),0))*AF124</f>
        <v>#VALUE!</v>
      </c>
      <c r="AI124" s="378" t="e">
        <f aca="false">AI123+AH123</f>
        <v>#VALUE!</v>
      </c>
      <c r="AJ124" s="378" t="e">
        <f aca="false">D124-$BV$5</f>
        <v>#VALUE!</v>
      </c>
      <c r="AL124" s="369" t="e">
        <f aca="false">VLOOKUP($D124,CurveTbl,$AK$4)</f>
        <v>#VALUE!</v>
      </c>
      <c r="AM124" s="505" t="e">
        <f aca="false">VLOOKUP($D124,CurveTbl,$AH$3)</f>
        <v>#VALUE!</v>
      </c>
      <c r="AN124" s="505" t="e">
        <f aca="false">VLOOKUP($D124,CurveTbl,$AH$4)+VLOOKUP($AG124,$AL$3:$AS$15,6)</f>
        <v>#VALUE!</v>
      </c>
      <c r="AO124" s="505" t="e">
        <f aca="false">VLOOKUP($D124,CurveTbl,$AH$5)</f>
        <v>#VALUE!</v>
      </c>
      <c r="AP124" s="505" t="e">
        <f aca="false">VLOOKUP($D124,CurveTbl,$AH$6)+VLOOKUP($AG124,$AL$3:$AS$15,7)</f>
        <v>#VALUE!</v>
      </c>
      <c r="AQ124" s="369" t="e">
        <f aca="false">VLOOKUP($AG124,$AL$4:$AS$15,3)+VLOOKUP($AG124,$AL$4:$AS$15,5)+($AH$10*VLOOKUP(D124,GRITable,2))</f>
        <v>#VALUE!</v>
      </c>
      <c r="AR124" s="370" t="e">
        <f aca="false">VLOOKUP($AG124,$AL$4:$AS$15,4)</f>
        <v>#VALUE!</v>
      </c>
      <c r="AS124" s="369" t="e">
        <f aca="false">(AL124+AM124+AN124)</f>
        <v>#VALUE!</v>
      </c>
      <c r="AT124" s="370" t="e">
        <f aca="false">VLOOKUP(D124,CurveTbl,$AK$6)</f>
        <v>#VALUE!</v>
      </c>
      <c r="AU124" s="370" t="e">
        <f aca="false">(1+$AT124/2)^(-2*($D124-$G$5)/365.25)*$AF124</f>
        <v>#VALUE!</v>
      </c>
      <c r="AV124" s="506" t="e">
        <f aca="false">ROUND((F124/(1-AR124))-F124,0)*AF124*AH124*AU124</f>
        <v>#VALUE!</v>
      </c>
      <c r="AW124" s="370" t="e">
        <f aca="false">VLOOKUP($D124,CurveTbl,$AK$8)</f>
        <v>#VALUE!</v>
      </c>
      <c r="AX124" s="370" t="e">
        <f aca="false">VLOOKUP($D124,CurveTbl,$AH$7)</f>
        <v>#VALUE!</v>
      </c>
      <c r="AY124" s="370" t="e">
        <f aca="false">VLOOKUP($D124,CurveTbl,$AH$8)</f>
        <v>#VALUE!</v>
      </c>
      <c r="AZ124" s="370"/>
      <c r="BA124" s="507"/>
      <c r="BB124" s="505" t="e">
        <f aca="false">$H124-$BV124</f>
        <v>#VALUE!</v>
      </c>
      <c r="BC124" s="505" t="e">
        <f aca="false">I124-BW124</f>
        <v>#VALUE!</v>
      </c>
      <c r="BD124" s="370" t="e">
        <f aca="false">N124-BX124</f>
        <v>#VALUE!</v>
      </c>
      <c r="BE124" s="370" t="e">
        <f aca="false">O124-BY124</f>
        <v>#VALUE!</v>
      </c>
      <c r="BF124" s="370" t="e">
        <f aca="false">xSPRDOPT($BW124,$BV124,$CG124,0,$BY124,$BX124,$BZ124,$AJ124,1,4)*$CB124</f>
        <v>#NAME?</v>
      </c>
      <c r="BG124" s="370" t="e">
        <f aca="false">xSPRDOPT($BW124,$BV124,$CG124,0,$BY124,$BX124,$BZ124,$AJ124,1,3)*$CB124</f>
        <v>#NAME?</v>
      </c>
      <c r="BH124" s="370" t="e">
        <f aca="false">IF(OR(BF124&lt;&gt;0,BG124&lt;&gt;0),xSPRDOPT($BW124,$BV124,$CG124,0,$BY124,$BX124,$BZ124,$AJ124,1,12)*$CB124,0)</f>
        <v>#NAME?</v>
      </c>
      <c r="BI124" s="370" t="e">
        <f aca="false">xSPRDOPT($BW124,$BV124,$CG124,2*LN(1+CA124/2),$BY124,$BX124,$BZ124,$AJ124,1,9)</f>
        <v>#NAME?</v>
      </c>
      <c r="BJ124" s="370" t="e">
        <f aca="false">xSPRDOPT($BW124,$BV124,$CG124,0,$BY124,$BX124,$BZ124,$AJ124,1,6)*$CB124</f>
        <v>#NAME?</v>
      </c>
      <c r="BK124" s="370" t="e">
        <f aca="false">xSPRDOPT($BW124,$BV124,$CG124,0,$BY124,$BX124,$BZ124,$AJ124,1,5)*$CB124</f>
        <v>#NAME?</v>
      </c>
      <c r="BL124" s="370" t="e">
        <f aca="false">xSPRDOPT(BW124,BV124,CG124,0,BY124,BX124,BZ124,AJ124,1,2)*CB124</f>
        <v>#NAME?</v>
      </c>
      <c r="BM124" s="370" t="e">
        <f aca="false">xSPRDOPT(BW124,BV124,CG124,0,BY124,BX124,BZ124,AJ124,1,1)*CB124</f>
        <v>#NAME?</v>
      </c>
      <c r="BN124" s="370" t="e">
        <f aca="false">IF(AH124&lt;&gt;0,xSPRDOPT($BW124,$BV124,$CG124,2*LN(1+CA124/2),$BY124,$BX124,$BZ124,$AJ124,1,8)+(AJ124/365.25)*CH124/AH124,0)</f>
        <v>#VALUE!</v>
      </c>
      <c r="BO124" s="370" t="e">
        <f aca="false">xSPRDOPT($BW124,$BV124,$CG124,0,$BY124,$BX124,$BZ124,$AJ124,1,0)</f>
        <v>#NAME?</v>
      </c>
      <c r="BP124" s="370"/>
      <c r="BQ124" s="370"/>
      <c r="BR124" s="370"/>
      <c r="BS124" s="370"/>
      <c r="BV124" s="508" t="n">
        <v>3.85524296675192</v>
      </c>
      <c r="BW124" s="369" t="n">
        <v>4.792</v>
      </c>
      <c r="BX124" s="370" t="n">
        <v>0.187859841218423</v>
      </c>
      <c r="BY124" s="370" t="n">
        <v>0.187859841218423</v>
      </c>
      <c r="BZ124" s="370" t="n">
        <v>1</v>
      </c>
      <c r="CA124" s="370" t="n">
        <v>0.0600820760967058</v>
      </c>
      <c r="CB124" s="370" t="n">
        <v>0.601637647462967</v>
      </c>
      <c r="CC124" s="505" t="n">
        <v>0.0165</v>
      </c>
      <c r="CD124" s="505" t="n">
        <v>0.01</v>
      </c>
      <c r="CE124" s="505" t="n">
        <v>1.05</v>
      </c>
      <c r="CF124" s="505" t="n">
        <v>0</v>
      </c>
      <c r="CG124" s="505" t="n">
        <v>0.0364</v>
      </c>
      <c r="CH124" s="505" t="n">
        <v>6.87653781920747</v>
      </c>
      <c r="CI124" s="505" t="n">
        <v>3.742</v>
      </c>
      <c r="CJ124" s="505"/>
      <c r="CK124" s="505"/>
      <c r="CL124" s="505"/>
      <c r="CM124" s="505"/>
    </row>
    <row r="125" customFormat="false" ht="12.75" hidden="false" customHeight="false" outlineLevel="0" collapsed="false">
      <c r="A125" s="500"/>
      <c r="B125" s="500"/>
      <c r="D125" s="361" t="e">
        <f aca="false">D124+AH124</f>
        <v>#VALUE!</v>
      </c>
      <c r="F125" s="362" t="e">
        <f aca="false">VLOOKUP(AG125,$AL$4:$AS$15,2)</f>
        <v>#VALUE!</v>
      </c>
      <c r="G125" s="362" t="e">
        <f aca="false">F125*$AU125</f>
        <v>#VALUE!</v>
      </c>
      <c r="H125" s="363" t="e">
        <f aca="false">(AL125+AM125+AN125)/(1-(AR125))</f>
        <v>#VALUE!</v>
      </c>
      <c r="I125" s="363" t="e">
        <f aca="false">(AL125+AO125+AP125)</f>
        <v>#VALUE!</v>
      </c>
      <c r="K125" s="363" t="e">
        <f aca="false">MAX(((I125-H125)-AQ125)*AU125*AH125,0)</f>
        <v>#VALUE!</v>
      </c>
      <c r="L125" s="501" t="e">
        <f aca="false">MAX(Q125-K125,0)</f>
        <v>#VALUE!</v>
      </c>
      <c r="N125" s="502" t="e">
        <f aca="false">SQRT(($AX125^2*($AH125/2)+$AW125^2*$AI125)/(($AH125/2)+$AI125))</f>
        <v>#VALUE!</v>
      </c>
      <c r="O125" s="502" t="e">
        <f aca="false">SQRT(($AY125^2*($AH125/2)+$AW125^2*$AI125)/(($AH125/2)+$AI125))</f>
        <v>#VALUE!</v>
      </c>
      <c r="P125" s="371" t="e">
        <f aca="false">(VLOOKUP(AI125,CorrelationTwo,2)*(AW125^2)*AI125+VLOOKUP(D125,CorrelationOne,$AK$9)*AX125*AY125*(AH125/2))/((AI125+(AH125/2))*O125*N125)*AF125</f>
        <v>#VALUE!</v>
      </c>
      <c r="Q125" s="501" t="e">
        <f aca="false">xSPRDOPT(I125,H125,AQ125,0,O125,N125,P125,D125-$G$5,1,0)*AH125*AU125</f>
        <v>#VALUE!</v>
      </c>
      <c r="R125" s="501"/>
      <c r="S125" s="365" t="e">
        <f aca="false">-T125/(1-AR125)</f>
        <v>#VALUE!</v>
      </c>
      <c r="T125" s="365" t="e">
        <f aca="false">xSPRDOPT(I125,H125,AQ125,AT125,O125,N125,P125,D125-$G$5,1,1)*AF125*F125*AH125</f>
        <v>#VALUE!</v>
      </c>
      <c r="U125" s="501"/>
      <c r="V125" s="503" t="e">
        <f aca="false">VLOOKUP($AG125,$AL$4:$AS$15,8)*AH125*AU125</f>
        <v>#VALUE!</v>
      </c>
      <c r="W125" s="503"/>
      <c r="X125" s="504" t="e">
        <f aca="false">((BM125*BC125)+(BL125*BB125))*AH125*F125</f>
        <v>#VALUE!</v>
      </c>
      <c r="Y125" s="504" t="e">
        <f aca="false">($F125*$AH125)*((($BG125/2)*($BC125)^2)+(($BF125/2)*($BB125)^2)+($BH125*$BC125*$BB125))</f>
        <v>#VALUE!</v>
      </c>
      <c r="Z125" s="504" t="e">
        <f aca="false">($BI125*$F125*$AH125*($G$5-$BV$5))/365.25</f>
        <v>#VALUE!</v>
      </c>
      <c r="AA125" s="504" t="e">
        <f aca="false">(($BK125*$BE125)+($BJ125*$BD125))*$F125*$AH125*$AF125</f>
        <v>#VALUE!</v>
      </c>
      <c r="AB125" s="504" t="e">
        <f aca="false">BN125*(AT125-CA125)*F125*AH125</f>
        <v>#VALUE!</v>
      </c>
      <c r="AC125" s="504" t="e">
        <f aca="false">BO125*CB125*F125*AH125*CA125*($G$5-$BV$5)/365.25</f>
        <v>#NAME?</v>
      </c>
      <c r="AF125" s="378" t="e">
        <f aca="false">IF(AND(D125&gt;=$G$7,D125&lt;=$G$8),1,0)</f>
        <v>#VALUE!</v>
      </c>
      <c r="AG125" s="378" t="e">
        <f aca="false">MONTH(D125)</f>
        <v>#VALUE!</v>
      </c>
      <c r="AH125" s="378" t="e">
        <f aca="false">(EOMONTH(D125,0)-EOMONTH(D125-DAY(D125),0))*AF125</f>
        <v>#VALUE!</v>
      </c>
      <c r="AI125" s="378" t="e">
        <f aca="false">AI124+AH124</f>
        <v>#VALUE!</v>
      </c>
      <c r="AJ125" s="378" t="e">
        <f aca="false">D125-$BV$5</f>
        <v>#VALUE!</v>
      </c>
      <c r="AL125" s="369" t="e">
        <f aca="false">VLOOKUP($D125,CurveTbl,$AK$4)</f>
        <v>#VALUE!</v>
      </c>
      <c r="AM125" s="505" t="e">
        <f aca="false">VLOOKUP($D125,CurveTbl,$AH$3)</f>
        <v>#VALUE!</v>
      </c>
      <c r="AN125" s="505" t="e">
        <f aca="false">VLOOKUP($D125,CurveTbl,$AH$4)+VLOOKUP($AG125,$AL$3:$AS$15,6)</f>
        <v>#VALUE!</v>
      </c>
      <c r="AO125" s="505" t="e">
        <f aca="false">VLOOKUP($D125,CurveTbl,$AH$5)</f>
        <v>#VALUE!</v>
      </c>
      <c r="AP125" s="505" t="e">
        <f aca="false">VLOOKUP($D125,CurveTbl,$AH$6)+VLOOKUP($AG125,$AL$3:$AS$15,7)</f>
        <v>#VALUE!</v>
      </c>
      <c r="AQ125" s="369" t="e">
        <f aca="false">VLOOKUP($AG125,$AL$4:$AS$15,3)+VLOOKUP($AG125,$AL$4:$AS$15,5)+($AH$10*VLOOKUP(D125,GRITable,2))</f>
        <v>#VALUE!</v>
      </c>
      <c r="AR125" s="370" t="e">
        <f aca="false">VLOOKUP($AG125,$AL$4:$AS$15,4)</f>
        <v>#VALUE!</v>
      </c>
      <c r="AS125" s="369" t="e">
        <f aca="false">(AL125+AM125+AN125)</f>
        <v>#VALUE!</v>
      </c>
      <c r="AT125" s="370" t="e">
        <f aca="false">VLOOKUP(D125,CurveTbl,$AK$6)</f>
        <v>#VALUE!</v>
      </c>
      <c r="AU125" s="370" t="e">
        <f aca="false">(1+$AT125/2)^(-2*($D125-$G$5)/365.25)*$AF125</f>
        <v>#VALUE!</v>
      </c>
      <c r="AV125" s="506" t="e">
        <f aca="false">ROUND((F125/(1-AR125))-F125,0)*AF125*AH125*AU125</f>
        <v>#VALUE!</v>
      </c>
      <c r="AW125" s="370" t="e">
        <f aca="false">VLOOKUP($D125,CurveTbl,$AK$8)</f>
        <v>#VALUE!</v>
      </c>
      <c r="AX125" s="370" t="e">
        <f aca="false">VLOOKUP($D125,CurveTbl,$AH$7)</f>
        <v>#VALUE!</v>
      </c>
      <c r="AY125" s="370" t="e">
        <f aca="false">VLOOKUP($D125,CurveTbl,$AH$8)</f>
        <v>#VALUE!</v>
      </c>
      <c r="AZ125" s="370"/>
      <c r="BA125" s="507"/>
      <c r="BB125" s="505" t="e">
        <f aca="false">$H125-$BV125</f>
        <v>#VALUE!</v>
      </c>
      <c r="BC125" s="505" t="e">
        <f aca="false">I125-BW125</f>
        <v>#VALUE!</v>
      </c>
      <c r="BD125" s="370" t="e">
        <f aca="false">N125-BX125</f>
        <v>#VALUE!</v>
      </c>
      <c r="BE125" s="370" t="e">
        <f aca="false">O125-BY125</f>
        <v>#VALUE!</v>
      </c>
      <c r="BF125" s="370" t="e">
        <f aca="false">xSPRDOPT($BW125,$BV125,$CG125,0,$BY125,$BX125,$BZ125,$AJ125,1,4)*$CB125</f>
        <v>#NAME?</v>
      </c>
      <c r="BG125" s="370" t="e">
        <f aca="false">xSPRDOPT($BW125,$BV125,$CG125,0,$BY125,$BX125,$BZ125,$AJ125,1,3)*$CB125</f>
        <v>#NAME?</v>
      </c>
      <c r="BH125" s="370" t="e">
        <f aca="false">IF(OR(BF125&lt;&gt;0,BG125&lt;&gt;0),xSPRDOPT($BW125,$BV125,$CG125,0,$BY125,$BX125,$BZ125,$AJ125,1,12)*$CB125,0)</f>
        <v>#NAME?</v>
      </c>
      <c r="BI125" s="370" t="e">
        <f aca="false">xSPRDOPT($BW125,$BV125,$CG125,2*LN(1+CA125/2),$BY125,$BX125,$BZ125,$AJ125,1,9)</f>
        <v>#NAME?</v>
      </c>
      <c r="BJ125" s="370" t="e">
        <f aca="false">xSPRDOPT($BW125,$BV125,$CG125,0,$BY125,$BX125,$BZ125,$AJ125,1,6)*$CB125</f>
        <v>#NAME?</v>
      </c>
      <c r="BK125" s="370" t="e">
        <f aca="false">xSPRDOPT($BW125,$BV125,$CG125,0,$BY125,$BX125,$BZ125,$AJ125,1,5)*$CB125</f>
        <v>#NAME?</v>
      </c>
      <c r="BL125" s="370" t="e">
        <f aca="false">xSPRDOPT(BW125,BV125,CG125,0,BY125,BX125,BZ125,AJ125,1,2)*CB125</f>
        <v>#NAME?</v>
      </c>
      <c r="BM125" s="370" t="e">
        <f aca="false">xSPRDOPT(BW125,BV125,CG125,0,BY125,BX125,BZ125,AJ125,1,1)*CB125</f>
        <v>#NAME?</v>
      </c>
      <c r="BN125" s="370" t="e">
        <f aca="false">IF(AH125&lt;&gt;0,xSPRDOPT($BW125,$BV125,$CG125,2*LN(1+CA125/2),$BY125,$BX125,$BZ125,$AJ125,1,8)+(AJ125/365.25)*CH125/AH125,0)</f>
        <v>#VALUE!</v>
      </c>
      <c r="BO125" s="370" t="e">
        <f aca="false">xSPRDOPT($BW125,$BV125,$CG125,0,$BY125,$BX125,$BZ125,$AJ125,1,0)</f>
        <v>#NAME?</v>
      </c>
      <c r="BP125" s="370"/>
      <c r="BQ125" s="370"/>
      <c r="BR125" s="370"/>
      <c r="BS125" s="370"/>
      <c r="BV125" s="508" t="n">
        <v>3.89104859335038</v>
      </c>
      <c r="BW125" s="369" t="n">
        <v>4.832</v>
      </c>
      <c r="BX125" s="370" t="n">
        <v>0.188514694534003</v>
      </c>
      <c r="BY125" s="370" t="n">
        <v>0.188514694534003</v>
      </c>
      <c r="BZ125" s="370" t="n">
        <v>1</v>
      </c>
      <c r="CA125" s="370" t="n">
        <v>0.0601911890913853</v>
      </c>
      <c r="CB125" s="370" t="n">
        <v>0.598073041197802</v>
      </c>
      <c r="CC125" s="505" t="n">
        <v>0.0115</v>
      </c>
      <c r="CD125" s="505" t="n">
        <v>0.01</v>
      </c>
      <c r="CE125" s="505" t="n">
        <v>1.05</v>
      </c>
      <c r="CF125" s="505" t="n">
        <v>0</v>
      </c>
      <c r="CG125" s="505" t="n">
        <v>0.0364</v>
      </c>
      <c r="CH125" s="505" t="n">
        <v>6.83579543897851</v>
      </c>
      <c r="CI125" s="505" t="n">
        <v>3.782</v>
      </c>
      <c r="CJ125" s="505"/>
      <c r="CK125" s="505"/>
      <c r="CL125" s="505"/>
      <c r="CM125" s="505"/>
    </row>
    <row r="126" customFormat="false" ht="12.75" hidden="false" customHeight="false" outlineLevel="0" collapsed="false">
      <c r="A126" s="500"/>
      <c r="B126" s="500"/>
      <c r="D126" s="361" t="e">
        <f aca="false">D125+AH125</f>
        <v>#VALUE!</v>
      </c>
      <c r="F126" s="362" t="e">
        <f aca="false">VLOOKUP(AG126,$AL$4:$AS$15,2)</f>
        <v>#VALUE!</v>
      </c>
      <c r="G126" s="362" t="e">
        <f aca="false">F126*$AU126</f>
        <v>#VALUE!</v>
      </c>
      <c r="H126" s="363" t="e">
        <f aca="false">(AL126+AM126+AN126)/(1-(AR126))</f>
        <v>#VALUE!</v>
      </c>
      <c r="I126" s="363" t="e">
        <f aca="false">(AL126+AO126+AP126)</f>
        <v>#VALUE!</v>
      </c>
      <c r="K126" s="363" t="e">
        <f aca="false">MAX(((I126-H126)-AQ126)*AU126*AH126,0)</f>
        <v>#VALUE!</v>
      </c>
      <c r="L126" s="501" t="e">
        <f aca="false">MAX(Q126-K126,0)</f>
        <v>#VALUE!</v>
      </c>
      <c r="N126" s="502" t="e">
        <f aca="false">SQRT(($AX126^2*($AH126/2)+$AW126^2*$AI126)/(($AH126/2)+$AI126))</f>
        <v>#VALUE!</v>
      </c>
      <c r="O126" s="502" t="e">
        <f aca="false">SQRT(($AY126^2*($AH126/2)+$AW126^2*$AI126)/(($AH126/2)+$AI126))</f>
        <v>#VALUE!</v>
      </c>
      <c r="P126" s="371" t="e">
        <f aca="false">(VLOOKUP(AI126,CorrelationTwo,2)*(AW126^2)*AI126+VLOOKUP(D126,CorrelationOne,$AK$9)*AX126*AY126*(AH126/2))/((AI126+(AH126/2))*O126*N126)*AF126</f>
        <v>#VALUE!</v>
      </c>
      <c r="Q126" s="501" t="e">
        <f aca="false">xSPRDOPT(I126,H126,AQ126,0,O126,N126,P126,D126-$G$5,1,0)*AH126*AU126</f>
        <v>#VALUE!</v>
      </c>
      <c r="R126" s="501"/>
      <c r="S126" s="365" t="e">
        <f aca="false">-T126/(1-AR126)</f>
        <v>#VALUE!</v>
      </c>
      <c r="T126" s="365" t="e">
        <f aca="false">xSPRDOPT(I126,H126,AQ126,AT126,O126,N126,P126,D126-$G$5,1,1)*AF126*F126*AH126</f>
        <v>#VALUE!</v>
      </c>
      <c r="U126" s="501"/>
      <c r="V126" s="503" t="e">
        <f aca="false">VLOOKUP($AG126,$AL$4:$AS$15,8)*AH126*AU126</f>
        <v>#VALUE!</v>
      </c>
      <c r="W126" s="503"/>
      <c r="X126" s="504" t="e">
        <f aca="false">((BM126*BC126)+(BL126*BB126))*AH126*F126</f>
        <v>#VALUE!</v>
      </c>
      <c r="Y126" s="504" t="e">
        <f aca="false">($F126*$AH126)*((($BG126/2)*($BC126)^2)+(($BF126/2)*($BB126)^2)+($BH126*$BC126*$BB126))</f>
        <v>#VALUE!</v>
      </c>
      <c r="Z126" s="504" t="e">
        <f aca="false">($BI126*$F126*$AH126*($G$5-$BV$5))/365.25</f>
        <v>#VALUE!</v>
      </c>
      <c r="AA126" s="504" t="e">
        <f aca="false">(($BK126*$BE126)+($BJ126*$BD126))*$F126*$AH126*$AF126</f>
        <v>#VALUE!</v>
      </c>
      <c r="AB126" s="504" t="e">
        <f aca="false">BN126*(AT126-CA126)*F126*AH126</f>
        <v>#VALUE!</v>
      </c>
      <c r="AC126" s="504" t="e">
        <f aca="false">BO126*CB126*F126*AH126*CA126*($G$5-$BV$5)/365.25</f>
        <v>#NAME?</v>
      </c>
      <c r="AF126" s="378" t="e">
        <f aca="false">IF(AND(D126&gt;=$G$7,D126&lt;=$G$8),1,0)</f>
        <v>#VALUE!</v>
      </c>
      <c r="AG126" s="378" t="e">
        <f aca="false">MONTH(D126)</f>
        <v>#VALUE!</v>
      </c>
      <c r="AH126" s="378" t="e">
        <f aca="false">(EOMONTH(D126,0)-EOMONTH(D126-DAY(D126),0))*AF126</f>
        <v>#VALUE!</v>
      </c>
      <c r="AI126" s="378" t="e">
        <f aca="false">AI125+AH125</f>
        <v>#VALUE!</v>
      </c>
      <c r="AJ126" s="378" t="e">
        <f aca="false">D126-$BV$5</f>
        <v>#VALUE!</v>
      </c>
      <c r="AL126" s="369" t="e">
        <f aca="false">VLOOKUP($D126,CurveTbl,$AK$4)</f>
        <v>#VALUE!</v>
      </c>
      <c r="AM126" s="505" t="e">
        <f aca="false">VLOOKUP($D126,CurveTbl,$AH$3)</f>
        <v>#VALUE!</v>
      </c>
      <c r="AN126" s="505" t="e">
        <f aca="false">VLOOKUP($D126,CurveTbl,$AH$4)+VLOOKUP($AG126,$AL$3:$AS$15,6)</f>
        <v>#VALUE!</v>
      </c>
      <c r="AO126" s="505" t="e">
        <f aca="false">VLOOKUP($D126,CurveTbl,$AH$5)</f>
        <v>#VALUE!</v>
      </c>
      <c r="AP126" s="505" t="e">
        <f aca="false">VLOOKUP($D126,CurveTbl,$AH$6)+VLOOKUP($AG126,$AL$3:$AS$15,7)</f>
        <v>#VALUE!</v>
      </c>
      <c r="AQ126" s="369" t="e">
        <f aca="false">VLOOKUP($AG126,$AL$4:$AS$15,3)+VLOOKUP($AG126,$AL$4:$AS$15,5)+($AH$10*VLOOKUP(D126,GRITable,2))</f>
        <v>#VALUE!</v>
      </c>
      <c r="AR126" s="370" t="e">
        <f aca="false">VLOOKUP($AG126,$AL$4:$AS$15,4)</f>
        <v>#VALUE!</v>
      </c>
      <c r="AS126" s="369" t="e">
        <f aca="false">(AL126+AM126+AN126)</f>
        <v>#VALUE!</v>
      </c>
      <c r="AT126" s="370" t="e">
        <f aca="false">VLOOKUP(D126,CurveTbl,$AK$6)</f>
        <v>#VALUE!</v>
      </c>
      <c r="AU126" s="370" t="e">
        <f aca="false">(1+$AT126/2)^(-2*($D126-$G$5)/365.25)*$AF126</f>
        <v>#VALUE!</v>
      </c>
      <c r="AV126" s="506" t="e">
        <f aca="false">ROUND((F126/(1-AR126))-F126,0)*AF126*AH126*AU126</f>
        <v>#VALUE!</v>
      </c>
      <c r="AW126" s="370" t="e">
        <f aca="false">VLOOKUP($D126,CurveTbl,$AK$8)</f>
        <v>#VALUE!</v>
      </c>
      <c r="AX126" s="370" t="e">
        <f aca="false">VLOOKUP($D126,CurveTbl,$AH$7)</f>
        <v>#VALUE!</v>
      </c>
      <c r="AY126" s="370" t="e">
        <f aca="false">VLOOKUP($D126,CurveTbl,$AH$8)</f>
        <v>#VALUE!</v>
      </c>
      <c r="AZ126" s="370"/>
      <c r="BA126" s="507"/>
      <c r="BB126" s="505" t="e">
        <f aca="false">$H126-$BV126</f>
        <v>#VALUE!</v>
      </c>
      <c r="BC126" s="505" t="e">
        <f aca="false">I126-BW126</f>
        <v>#VALUE!</v>
      </c>
      <c r="BD126" s="370" t="e">
        <f aca="false">N126-BX126</f>
        <v>#VALUE!</v>
      </c>
      <c r="BE126" s="370" t="e">
        <f aca="false">O126-BY126</f>
        <v>#VALUE!</v>
      </c>
      <c r="BF126" s="370" t="e">
        <f aca="false">xSPRDOPT($BW126,$BV126,$CG126,0,$BY126,$BX126,$BZ126,$AJ126,1,4)*$CB126</f>
        <v>#NAME?</v>
      </c>
      <c r="BG126" s="370" t="e">
        <f aca="false">xSPRDOPT($BW126,$BV126,$CG126,0,$BY126,$BX126,$BZ126,$AJ126,1,3)*$CB126</f>
        <v>#NAME?</v>
      </c>
      <c r="BH126" s="370" t="e">
        <f aca="false">IF(OR(BF126&lt;&gt;0,BG126&lt;&gt;0),xSPRDOPT($BW126,$BV126,$CG126,0,$BY126,$BX126,$BZ126,$AJ126,1,12)*$CB126,0)</f>
        <v>#NAME?</v>
      </c>
      <c r="BI126" s="370" t="e">
        <f aca="false">xSPRDOPT($BW126,$BV126,$CG126,2*LN(1+CA126/2),$BY126,$BX126,$BZ126,$AJ126,1,9)</f>
        <v>#NAME?</v>
      </c>
      <c r="BJ126" s="370" t="e">
        <f aca="false">xSPRDOPT($BW126,$BV126,$CG126,0,$BY126,$BX126,$BZ126,$AJ126,1,6)*$CB126</f>
        <v>#NAME?</v>
      </c>
      <c r="BK126" s="370" t="e">
        <f aca="false">xSPRDOPT($BW126,$BV126,$CG126,0,$BY126,$BX126,$BZ126,$AJ126,1,5)*$CB126</f>
        <v>#NAME?</v>
      </c>
      <c r="BL126" s="370" t="e">
        <f aca="false">xSPRDOPT(BW126,BV126,CG126,0,BY126,BX126,BZ126,AJ126,1,2)*CB126</f>
        <v>#NAME?</v>
      </c>
      <c r="BM126" s="370" t="e">
        <f aca="false">xSPRDOPT(BW126,BV126,CG126,0,BY126,BX126,BZ126,AJ126,1,1)*CB126</f>
        <v>#NAME?</v>
      </c>
      <c r="BN126" s="370" t="e">
        <f aca="false">IF(AH126&lt;&gt;0,xSPRDOPT($BW126,$BV126,$CG126,2*LN(1+CA126/2),$BY126,$BX126,$BZ126,$AJ126,1,8)+(AJ126/365.25)*CH126/AH126,0)</f>
        <v>#VALUE!</v>
      </c>
      <c r="BO126" s="370" t="e">
        <f aca="false">xSPRDOPT($BW126,$BV126,$CG126,0,$BY126,$BX126,$BZ126,$AJ126,1,0)</f>
        <v>#NAME?</v>
      </c>
      <c r="BP126" s="370"/>
      <c r="BQ126" s="370"/>
      <c r="BR126" s="370"/>
      <c r="BS126" s="370"/>
      <c r="BV126" s="508" t="n">
        <v>3.88593350383632</v>
      </c>
      <c r="BW126" s="369" t="n">
        <v>4.527</v>
      </c>
      <c r="BX126" s="370" t="n">
        <v>0.188370182130685</v>
      </c>
      <c r="BY126" s="370" t="n">
        <v>0.188370182130685</v>
      </c>
      <c r="BZ126" s="370" t="n">
        <v>1</v>
      </c>
      <c r="CA126" s="370" t="n">
        <v>0.0603003020900204</v>
      </c>
      <c r="CB126" s="370" t="n">
        <v>0.594518893732445</v>
      </c>
      <c r="CC126" s="505" t="n">
        <v>0.0115</v>
      </c>
      <c r="CD126" s="505" t="n">
        <v>0.01</v>
      </c>
      <c r="CE126" s="505" t="n">
        <v>0.75</v>
      </c>
      <c r="CF126" s="505" t="n">
        <v>0</v>
      </c>
      <c r="CG126" s="505" t="n">
        <v>0.0364</v>
      </c>
      <c r="CH126" s="505" t="n">
        <v>6.57597348357457</v>
      </c>
      <c r="CI126" s="505" t="n">
        <v>3.777</v>
      </c>
      <c r="CJ126" s="505"/>
      <c r="CK126" s="505"/>
      <c r="CL126" s="505"/>
      <c r="CM126" s="505"/>
    </row>
    <row r="127" customFormat="false" ht="12.75" hidden="false" customHeight="false" outlineLevel="0" collapsed="false">
      <c r="A127" s="500"/>
      <c r="B127" s="500"/>
      <c r="D127" s="361" t="e">
        <f aca="false">D126+AH126</f>
        <v>#VALUE!</v>
      </c>
      <c r="F127" s="362" t="e">
        <f aca="false">VLOOKUP(AG127,$AL$4:$AS$15,2)</f>
        <v>#VALUE!</v>
      </c>
      <c r="G127" s="362" t="e">
        <f aca="false">F127*$AU127</f>
        <v>#VALUE!</v>
      </c>
      <c r="H127" s="363" t="e">
        <f aca="false">(AL127+AM127+AN127)/(1-(AR127))</f>
        <v>#VALUE!</v>
      </c>
      <c r="I127" s="363" t="e">
        <f aca="false">(AL127+AO127+AP127)</f>
        <v>#VALUE!</v>
      </c>
      <c r="K127" s="363" t="e">
        <f aca="false">MAX(((I127-H127)-AQ127)*AU127*AH127,0)</f>
        <v>#VALUE!</v>
      </c>
      <c r="L127" s="501" t="e">
        <f aca="false">MAX(Q127-K127,0)</f>
        <v>#VALUE!</v>
      </c>
      <c r="N127" s="502" t="e">
        <f aca="false">SQRT(($AX127^2*($AH127/2)+$AW127^2*$AI127)/(($AH127/2)+$AI127))</f>
        <v>#VALUE!</v>
      </c>
      <c r="O127" s="502" t="e">
        <f aca="false">SQRT(($AY127^2*($AH127/2)+$AW127^2*$AI127)/(($AH127/2)+$AI127))</f>
        <v>#VALUE!</v>
      </c>
      <c r="P127" s="371" t="e">
        <f aca="false">(VLOOKUP(AI127,CorrelationTwo,2)*(AW127^2)*AI127+VLOOKUP(D127,CorrelationOne,$AK$9)*AX127*AY127*(AH127/2))/((AI127+(AH127/2))*O127*N127)*AF127</f>
        <v>#VALUE!</v>
      </c>
      <c r="Q127" s="501" t="e">
        <f aca="false">xSPRDOPT(I127,H127,AQ127,0,O127,N127,P127,D127-$G$5,1,0)*AH127*AU127</f>
        <v>#VALUE!</v>
      </c>
      <c r="R127" s="501"/>
      <c r="S127" s="365" t="e">
        <f aca="false">-T127/(1-AR127)</f>
        <v>#VALUE!</v>
      </c>
      <c r="T127" s="365" t="e">
        <f aca="false">xSPRDOPT(I127,H127,AQ127,AT127,O127,N127,P127,D127-$G$5,1,1)*AF127*F127*AH127</f>
        <v>#VALUE!</v>
      </c>
      <c r="U127" s="501"/>
      <c r="V127" s="503" t="e">
        <f aca="false">VLOOKUP($AG127,$AL$4:$AS$15,8)*AH127*AU127</f>
        <v>#VALUE!</v>
      </c>
      <c r="W127" s="503"/>
      <c r="X127" s="504" t="e">
        <f aca="false">((BM127*BC127)+(BL127*BB127))*AH127*F127</f>
        <v>#VALUE!</v>
      </c>
      <c r="Y127" s="504" t="e">
        <f aca="false">($F127*$AH127)*((($BG127/2)*($BC127)^2)+(($BF127/2)*($BB127)^2)+($BH127*$BC127*$BB127))</f>
        <v>#VALUE!</v>
      </c>
      <c r="Z127" s="504" t="e">
        <f aca="false">($BI127*$F127*$AH127*($G$5-$BV$5))/365.25</f>
        <v>#VALUE!</v>
      </c>
      <c r="AA127" s="504" t="e">
        <f aca="false">(($BK127*$BE127)+($BJ127*$BD127))*$F127*$AH127*$AF127</f>
        <v>#VALUE!</v>
      </c>
      <c r="AB127" s="504" t="e">
        <f aca="false">BN127*(AT127-CA127)*F127*AH127</f>
        <v>#VALUE!</v>
      </c>
      <c r="AC127" s="504" t="e">
        <f aca="false">BO127*CB127*F127*AH127*CA127*($G$5-$BV$5)/365.25</f>
        <v>#NAME?</v>
      </c>
      <c r="AF127" s="378" t="e">
        <f aca="false">IF(AND(D127&gt;=$G$7,D127&lt;=$G$8),1,0)</f>
        <v>#VALUE!</v>
      </c>
      <c r="AG127" s="378" t="e">
        <f aca="false">MONTH(D127)</f>
        <v>#VALUE!</v>
      </c>
      <c r="AH127" s="378" t="e">
        <f aca="false">(EOMONTH(D127,0)-EOMONTH(D127-DAY(D127),0))*AF127</f>
        <v>#VALUE!</v>
      </c>
      <c r="AI127" s="378" t="e">
        <f aca="false">AI126+AH126</f>
        <v>#VALUE!</v>
      </c>
      <c r="AJ127" s="378" t="e">
        <f aca="false">D127-$BV$5</f>
        <v>#VALUE!</v>
      </c>
      <c r="AL127" s="369" t="e">
        <f aca="false">VLOOKUP($D127,CurveTbl,$AK$4)</f>
        <v>#VALUE!</v>
      </c>
      <c r="AM127" s="505" t="e">
        <f aca="false">VLOOKUP($D127,CurveTbl,$AH$3)</f>
        <v>#VALUE!</v>
      </c>
      <c r="AN127" s="505" t="e">
        <f aca="false">VLOOKUP($D127,CurveTbl,$AH$4)+VLOOKUP($AG127,$AL$3:$AS$15,6)</f>
        <v>#VALUE!</v>
      </c>
      <c r="AO127" s="505" t="e">
        <f aca="false">VLOOKUP($D127,CurveTbl,$AH$5)</f>
        <v>#VALUE!</v>
      </c>
      <c r="AP127" s="505" t="e">
        <f aca="false">VLOOKUP($D127,CurveTbl,$AH$6)+VLOOKUP($AG127,$AL$3:$AS$15,7)</f>
        <v>#VALUE!</v>
      </c>
      <c r="AQ127" s="369" t="e">
        <f aca="false">VLOOKUP($AG127,$AL$4:$AS$15,3)+VLOOKUP($AG127,$AL$4:$AS$15,5)+($AH$10*VLOOKUP(D127,GRITable,2))</f>
        <v>#VALUE!</v>
      </c>
      <c r="AR127" s="370" t="e">
        <f aca="false">VLOOKUP($AG127,$AL$4:$AS$15,4)</f>
        <v>#VALUE!</v>
      </c>
      <c r="AS127" s="369" t="e">
        <f aca="false">(AL127+AM127+AN127)</f>
        <v>#VALUE!</v>
      </c>
      <c r="AT127" s="370" t="e">
        <f aca="false">VLOOKUP(D127,CurveTbl,$AK$6)</f>
        <v>#VALUE!</v>
      </c>
      <c r="AU127" s="370" t="e">
        <f aca="false">(1+$AT127/2)^(-2*($D127-$G$5)/365.25)*$AF127</f>
        <v>#VALUE!</v>
      </c>
      <c r="AV127" s="506" t="e">
        <f aca="false">ROUND((F127/(1-AR127))-F127,0)*AF127*AH127*AU127</f>
        <v>#VALUE!</v>
      </c>
      <c r="AW127" s="370" t="e">
        <f aca="false">VLOOKUP($D127,CurveTbl,$AK$8)</f>
        <v>#VALUE!</v>
      </c>
      <c r="AX127" s="370" t="e">
        <f aca="false">VLOOKUP($D127,CurveTbl,$AH$7)</f>
        <v>#VALUE!</v>
      </c>
      <c r="AY127" s="370" t="e">
        <f aca="false">VLOOKUP($D127,CurveTbl,$AH$8)</f>
        <v>#VALUE!</v>
      </c>
      <c r="AZ127" s="370"/>
      <c r="BA127" s="507"/>
      <c r="BB127" s="505" t="e">
        <f aca="false">$H127-$BV127</f>
        <v>#VALUE!</v>
      </c>
      <c r="BC127" s="505" t="e">
        <f aca="false">I127-BW127</f>
        <v>#VALUE!</v>
      </c>
      <c r="BD127" s="370" t="e">
        <f aca="false">N127-BX127</f>
        <v>#VALUE!</v>
      </c>
      <c r="BE127" s="370" t="e">
        <f aca="false">O127-BY127</f>
        <v>#VALUE!</v>
      </c>
      <c r="BF127" s="370" t="e">
        <f aca="false">xSPRDOPT($BW127,$BV127,$CG127,0,$BY127,$BX127,$BZ127,$AJ127,1,4)*$CB127</f>
        <v>#NAME?</v>
      </c>
      <c r="BG127" s="370" t="e">
        <f aca="false">xSPRDOPT($BW127,$BV127,$CG127,0,$BY127,$BX127,$BZ127,$AJ127,1,3)*$CB127</f>
        <v>#NAME?</v>
      </c>
      <c r="BH127" s="370" t="e">
        <f aca="false">IF(OR(BF127&lt;&gt;0,BG127&lt;&gt;0),xSPRDOPT($BW127,$BV127,$CG127,0,$BY127,$BX127,$BZ127,$AJ127,1,12)*$CB127,0)</f>
        <v>#NAME?</v>
      </c>
      <c r="BI127" s="370" t="e">
        <f aca="false">xSPRDOPT($BW127,$BV127,$CG127,2*LN(1+CA127/2),$BY127,$BX127,$BZ127,$AJ127,1,9)</f>
        <v>#NAME?</v>
      </c>
      <c r="BJ127" s="370" t="e">
        <f aca="false">xSPRDOPT($BW127,$BV127,$CG127,0,$BY127,$BX127,$BZ127,$AJ127,1,6)*$CB127</f>
        <v>#NAME?</v>
      </c>
      <c r="BK127" s="370" t="e">
        <f aca="false">xSPRDOPT($BW127,$BV127,$CG127,0,$BY127,$BX127,$BZ127,$AJ127,1,5)*$CB127</f>
        <v>#NAME?</v>
      </c>
      <c r="BL127" s="370" t="e">
        <f aca="false">xSPRDOPT(BW127,BV127,CG127,0,BY127,BX127,BZ127,AJ127,1,2)*CB127</f>
        <v>#NAME?</v>
      </c>
      <c r="BM127" s="370" t="e">
        <f aca="false">xSPRDOPT(BW127,BV127,CG127,0,BY127,BX127,BZ127,AJ127,1,1)*CB127</f>
        <v>#NAME?</v>
      </c>
      <c r="BN127" s="370" t="e">
        <f aca="false">IF(AH127&lt;&gt;0,xSPRDOPT($BW127,$BV127,$CG127,2*LN(1+CA127/2),$BY127,$BX127,$BZ127,$AJ127,1,8)+(AJ127/365.25)*CH127/AH127,0)</f>
        <v>#VALUE!</v>
      </c>
      <c r="BO127" s="370" t="e">
        <f aca="false">xSPRDOPT($BW127,$BV127,$CG127,0,$BY127,$BX127,$BZ127,$AJ127,1,0)</f>
        <v>#NAME?</v>
      </c>
      <c r="BP127" s="370"/>
      <c r="BQ127" s="370"/>
      <c r="BR127" s="370"/>
      <c r="BS127" s="370"/>
      <c r="BV127" s="508" t="n">
        <v>3.91897435897436</v>
      </c>
      <c r="BW127" s="369" t="n">
        <v>4.252</v>
      </c>
      <c r="BX127" s="370" t="n">
        <v>0.189179922029742</v>
      </c>
      <c r="BY127" s="370" t="n">
        <v>0.189179922029742</v>
      </c>
      <c r="BZ127" s="370" t="n">
        <v>1</v>
      </c>
      <c r="CA127" s="370" t="n">
        <v>0.0604058953182713</v>
      </c>
      <c r="CB127" s="370" t="n">
        <v>0.591089416313839</v>
      </c>
      <c r="CC127" s="505" t="n">
        <v>0.009</v>
      </c>
      <c r="CD127" s="505" t="n">
        <v>0.01</v>
      </c>
      <c r="CE127" s="505" t="n">
        <v>0.45</v>
      </c>
      <c r="CF127" s="505" t="n">
        <v>0</v>
      </c>
      <c r="CG127" s="505" t="n">
        <v>0.0364</v>
      </c>
      <c r="CH127" s="505" t="n">
        <v>6.75597470164229</v>
      </c>
      <c r="CI127" s="505" t="n">
        <v>3.802</v>
      </c>
      <c r="CJ127" s="505"/>
      <c r="CK127" s="505"/>
      <c r="CL127" s="505"/>
      <c r="CM127" s="505"/>
    </row>
    <row r="128" customFormat="false" ht="12.75" hidden="false" customHeight="false" outlineLevel="0" collapsed="false">
      <c r="A128" s="500"/>
      <c r="B128" s="500"/>
      <c r="D128" s="361" t="e">
        <f aca="false">D127+AH127</f>
        <v>#VALUE!</v>
      </c>
      <c r="F128" s="362" t="e">
        <f aca="false">VLOOKUP(AG128,$AL$4:$AS$15,2)</f>
        <v>#VALUE!</v>
      </c>
      <c r="G128" s="362" t="e">
        <f aca="false">F128*$AU128</f>
        <v>#VALUE!</v>
      </c>
      <c r="H128" s="363" t="e">
        <f aca="false">(AL128+AM128+AN128)/(1-(AR128))</f>
        <v>#VALUE!</v>
      </c>
      <c r="I128" s="363" t="e">
        <f aca="false">(AL128+AO128+AP128)</f>
        <v>#VALUE!</v>
      </c>
      <c r="K128" s="363" t="e">
        <f aca="false">MAX(((I128-H128)-AQ128)*AU128*AH128,0)</f>
        <v>#VALUE!</v>
      </c>
      <c r="L128" s="501" t="e">
        <f aca="false">MAX(Q128-K128,0)</f>
        <v>#VALUE!</v>
      </c>
      <c r="N128" s="502" t="e">
        <f aca="false">SQRT(($AX128^2*($AH128/2)+$AW128^2*$AI128)/(($AH128/2)+$AI128))</f>
        <v>#VALUE!</v>
      </c>
      <c r="O128" s="502" t="e">
        <f aca="false">SQRT(($AY128^2*($AH128/2)+$AW128^2*$AI128)/(($AH128/2)+$AI128))</f>
        <v>#VALUE!</v>
      </c>
      <c r="P128" s="371" t="e">
        <f aca="false">(VLOOKUP(AI128,CorrelationTwo,2)*(AW128^2)*AI128+VLOOKUP(D128,CorrelationOne,$AK$9)*AX128*AY128*(AH128/2))/((AI128+(AH128/2))*O128*N128)*AF128</f>
        <v>#VALUE!</v>
      </c>
      <c r="Q128" s="501" t="e">
        <f aca="false">xSPRDOPT(I128,H128,AQ128,0,O128,N128,P128,D128-$G$5,1,0)*AH128*AU128</f>
        <v>#VALUE!</v>
      </c>
      <c r="R128" s="501"/>
      <c r="S128" s="365" t="e">
        <f aca="false">-T128/(1-AR128)</f>
        <v>#VALUE!</v>
      </c>
      <c r="T128" s="365" t="e">
        <f aca="false">xSPRDOPT(I128,H128,AQ128,AT128,O128,N128,P128,D128-$G$5,1,1)*AF128*F128*AH128</f>
        <v>#VALUE!</v>
      </c>
      <c r="U128" s="501"/>
      <c r="V128" s="503" t="e">
        <f aca="false">VLOOKUP($AG128,$AL$4:$AS$15,8)*AH128*AU128</f>
        <v>#VALUE!</v>
      </c>
      <c r="W128" s="503"/>
      <c r="X128" s="504" t="e">
        <f aca="false">((BM128*BC128)+(BL128*BB128))*AH128*F128</f>
        <v>#VALUE!</v>
      </c>
      <c r="Y128" s="504" t="e">
        <f aca="false">($F128*$AH128)*((($BG128/2)*($BC128)^2)+(($BF128/2)*($BB128)^2)+($BH128*$BC128*$BB128))</f>
        <v>#VALUE!</v>
      </c>
      <c r="Z128" s="504" t="e">
        <f aca="false">($BI128*$F128*$AH128*($G$5-$BV$5))/365.25</f>
        <v>#VALUE!</v>
      </c>
      <c r="AA128" s="504" t="e">
        <f aca="false">(($BK128*$BE128)+($BJ128*$BD128))*$F128*$AH128*$AF128</f>
        <v>#VALUE!</v>
      </c>
      <c r="AB128" s="504" t="e">
        <f aca="false">BN128*(AT128-CA128)*F128*AH128</f>
        <v>#VALUE!</v>
      </c>
      <c r="AC128" s="504" t="e">
        <f aca="false">BO128*CB128*F128*AH128*CA128*($G$5-$BV$5)/365.25</f>
        <v>#NAME?</v>
      </c>
      <c r="AF128" s="378" t="e">
        <f aca="false">IF(AND(D128&gt;=$G$7,D128&lt;=$G$8),1,0)</f>
        <v>#VALUE!</v>
      </c>
      <c r="AG128" s="378" t="e">
        <f aca="false">MONTH(D128)</f>
        <v>#VALUE!</v>
      </c>
      <c r="AH128" s="378" t="e">
        <f aca="false">(EOMONTH(D128,0)-EOMONTH(D128-DAY(D128),0))*AF128</f>
        <v>#VALUE!</v>
      </c>
      <c r="AI128" s="378" t="e">
        <f aca="false">AI127+AH127</f>
        <v>#VALUE!</v>
      </c>
      <c r="AJ128" s="378" t="e">
        <f aca="false">D128-$BV$5</f>
        <v>#VALUE!</v>
      </c>
      <c r="AL128" s="369" t="e">
        <f aca="false">VLOOKUP($D128,CurveTbl,$AK$4)</f>
        <v>#VALUE!</v>
      </c>
      <c r="AM128" s="505" t="e">
        <f aca="false">VLOOKUP($D128,CurveTbl,$AH$3)</f>
        <v>#VALUE!</v>
      </c>
      <c r="AN128" s="505" t="e">
        <f aca="false">VLOOKUP($D128,CurveTbl,$AH$4)+VLOOKUP($AG128,$AL$3:$AS$15,6)</f>
        <v>#VALUE!</v>
      </c>
      <c r="AO128" s="505" t="e">
        <f aca="false">VLOOKUP($D128,CurveTbl,$AH$5)</f>
        <v>#VALUE!</v>
      </c>
      <c r="AP128" s="505" t="e">
        <f aca="false">VLOOKUP($D128,CurveTbl,$AH$6)+VLOOKUP($AG128,$AL$3:$AS$15,7)</f>
        <v>#VALUE!</v>
      </c>
      <c r="AQ128" s="369" t="e">
        <f aca="false">VLOOKUP($AG128,$AL$4:$AS$15,3)+VLOOKUP($AG128,$AL$4:$AS$15,5)+($AH$10*VLOOKUP(D128,GRITable,2))</f>
        <v>#VALUE!</v>
      </c>
      <c r="AR128" s="370" t="e">
        <f aca="false">VLOOKUP($AG128,$AL$4:$AS$15,4)</f>
        <v>#VALUE!</v>
      </c>
      <c r="AS128" s="369" t="e">
        <f aca="false">(AL128+AM128+AN128)</f>
        <v>#VALUE!</v>
      </c>
      <c r="AT128" s="370" t="e">
        <f aca="false">VLOOKUP(D128,CurveTbl,$AK$6)</f>
        <v>#VALUE!</v>
      </c>
      <c r="AU128" s="370" t="e">
        <f aca="false">(1+$AT128/2)^(-2*($D128-$G$5)/365.25)*$AF128</f>
        <v>#VALUE!</v>
      </c>
      <c r="AV128" s="506" t="e">
        <f aca="false">ROUND((F128/(1-AR128))-F128,0)*AF128*AH128*AU128</f>
        <v>#VALUE!</v>
      </c>
      <c r="AW128" s="370" t="e">
        <f aca="false">VLOOKUP($D128,CurveTbl,$AK$8)</f>
        <v>#VALUE!</v>
      </c>
      <c r="AX128" s="370" t="e">
        <f aca="false">VLOOKUP($D128,CurveTbl,$AH$7)</f>
        <v>#VALUE!</v>
      </c>
      <c r="AY128" s="370" t="e">
        <f aca="false">VLOOKUP($D128,CurveTbl,$AH$8)</f>
        <v>#VALUE!</v>
      </c>
      <c r="AZ128" s="370"/>
      <c r="BA128" s="507"/>
      <c r="BB128" s="505" t="e">
        <f aca="false">$H128-$BV128</f>
        <v>#VALUE!</v>
      </c>
      <c r="BC128" s="505" t="e">
        <f aca="false">I128-BW128</f>
        <v>#VALUE!</v>
      </c>
      <c r="BD128" s="370" t="e">
        <f aca="false">N128-BX128</f>
        <v>#VALUE!</v>
      </c>
      <c r="BE128" s="370" t="e">
        <f aca="false">O128-BY128</f>
        <v>#VALUE!</v>
      </c>
      <c r="BF128" s="370" t="e">
        <f aca="false">xSPRDOPT($BW128,$BV128,$CG128,0,$BY128,$BX128,$BZ128,$AJ128,1,4)*$CB128</f>
        <v>#NAME?</v>
      </c>
      <c r="BG128" s="370" t="e">
        <f aca="false">xSPRDOPT($BW128,$BV128,$CG128,0,$BY128,$BX128,$BZ128,$AJ128,1,3)*$CB128</f>
        <v>#NAME?</v>
      </c>
      <c r="BH128" s="370" t="e">
        <f aca="false">IF(OR(BF128&lt;&gt;0,BG128&lt;&gt;0),xSPRDOPT($BW128,$BV128,$CG128,0,$BY128,$BX128,$BZ128,$AJ128,1,12)*$CB128,0)</f>
        <v>#NAME?</v>
      </c>
      <c r="BI128" s="370" t="e">
        <f aca="false">xSPRDOPT($BW128,$BV128,$CG128,2*LN(1+CA128/2),$BY128,$BX128,$BZ128,$AJ128,1,9)</f>
        <v>#NAME?</v>
      </c>
      <c r="BJ128" s="370" t="e">
        <f aca="false">xSPRDOPT($BW128,$BV128,$CG128,0,$BY128,$BX128,$BZ128,$AJ128,1,6)*$CB128</f>
        <v>#NAME?</v>
      </c>
      <c r="BK128" s="370" t="e">
        <f aca="false">xSPRDOPT($BW128,$BV128,$CG128,0,$BY128,$BX128,$BZ128,$AJ128,1,5)*$CB128</f>
        <v>#NAME?</v>
      </c>
      <c r="BL128" s="370" t="e">
        <f aca="false">xSPRDOPT(BW128,BV128,CG128,0,BY128,BX128,BZ128,AJ128,1,2)*CB128</f>
        <v>#NAME?</v>
      </c>
      <c r="BM128" s="370" t="e">
        <f aca="false">xSPRDOPT(BW128,BV128,CG128,0,BY128,BX128,BZ128,AJ128,1,1)*CB128</f>
        <v>#NAME?</v>
      </c>
      <c r="BN128" s="370" t="e">
        <f aca="false">IF(AH128&lt;&gt;0,xSPRDOPT($BW128,$BV128,$CG128,2*LN(1+CA128/2),$BY128,$BX128,$BZ128,$AJ128,1,8)+(AJ128/365.25)*CH128/AH128,0)</f>
        <v>#VALUE!</v>
      </c>
      <c r="BO128" s="370" t="e">
        <f aca="false">xSPRDOPT($BW128,$BV128,$CG128,0,$BY128,$BX128,$BZ128,$AJ128,1,0)</f>
        <v>#NAME?</v>
      </c>
      <c r="BP128" s="370"/>
      <c r="BQ128" s="370"/>
      <c r="BR128" s="370"/>
      <c r="BS128" s="370"/>
      <c r="BV128" s="508" t="n">
        <v>4.06291560102302</v>
      </c>
      <c r="BW128" s="369" t="n">
        <v>4.404</v>
      </c>
      <c r="BX128" s="370" t="n">
        <v>0.192388054585258</v>
      </c>
      <c r="BY128" s="370" t="n">
        <v>0.192388054585258</v>
      </c>
      <c r="BZ128" s="370" t="n">
        <v>1</v>
      </c>
      <c r="CA128" s="370" t="n">
        <v>0.060515008324689</v>
      </c>
      <c r="CB128" s="370" t="n">
        <v>0.587556040199822</v>
      </c>
      <c r="CC128" s="505" t="n">
        <v>0.01</v>
      </c>
      <c r="CD128" s="505" t="n">
        <v>0.0075</v>
      </c>
      <c r="CE128" s="505" t="n">
        <v>0.45</v>
      </c>
      <c r="CF128" s="505" t="n">
        <v>0</v>
      </c>
      <c r="CG128" s="505" t="n">
        <v>0.0364</v>
      </c>
      <c r="CH128" s="505" t="n">
        <v>6.49895736065023</v>
      </c>
      <c r="CI128" s="505" t="n">
        <v>3.954</v>
      </c>
      <c r="CJ128" s="505"/>
      <c r="CK128" s="505"/>
      <c r="CL128" s="505"/>
      <c r="CM128" s="505"/>
    </row>
    <row r="129" customFormat="false" ht="12.75" hidden="false" customHeight="false" outlineLevel="0" collapsed="false">
      <c r="A129" s="500"/>
      <c r="B129" s="500"/>
      <c r="D129" s="361" t="e">
        <f aca="false">D128+AH128</f>
        <v>#VALUE!</v>
      </c>
      <c r="F129" s="362" t="e">
        <f aca="false">VLOOKUP(AG129,$AL$4:$AS$15,2)</f>
        <v>#VALUE!</v>
      </c>
      <c r="G129" s="362" t="e">
        <f aca="false">F129*$AU129</f>
        <v>#VALUE!</v>
      </c>
      <c r="H129" s="363" t="e">
        <f aca="false">(AL129+AM129+AN129)/(1-(AR129))</f>
        <v>#VALUE!</v>
      </c>
      <c r="I129" s="363" t="e">
        <f aca="false">(AL129+AO129+AP129)</f>
        <v>#VALUE!</v>
      </c>
      <c r="K129" s="363" t="e">
        <f aca="false">MAX(((I129-H129)-AQ129)*AU129*AH129,0)</f>
        <v>#VALUE!</v>
      </c>
      <c r="L129" s="501" t="e">
        <f aca="false">MAX(Q129-K129,0)</f>
        <v>#VALUE!</v>
      </c>
      <c r="N129" s="502" t="e">
        <f aca="false">SQRT(($AX129^2*($AH129/2)+$AW129^2*$AI129)/(($AH129/2)+$AI129))</f>
        <v>#VALUE!</v>
      </c>
      <c r="O129" s="502" t="e">
        <f aca="false">SQRT(($AY129^2*($AH129/2)+$AW129^2*$AI129)/(($AH129/2)+$AI129))</f>
        <v>#VALUE!</v>
      </c>
      <c r="P129" s="371" t="e">
        <f aca="false">(VLOOKUP(AI129,CorrelationTwo,2)*(AW129^2)*AI129+VLOOKUP(D129,CorrelationOne,$AK$9)*AX129*AY129*(AH129/2))/((AI129+(AH129/2))*O129*N129)*AF129</f>
        <v>#VALUE!</v>
      </c>
      <c r="Q129" s="501" t="e">
        <f aca="false">xSPRDOPT(I129,H129,AQ129,0,O129,N129,P129,D129-$G$5,1,0)*AH129*AU129</f>
        <v>#VALUE!</v>
      </c>
      <c r="R129" s="501"/>
      <c r="S129" s="365" t="e">
        <f aca="false">-T129/(1-AR129)</f>
        <v>#VALUE!</v>
      </c>
      <c r="T129" s="365" t="e">
        <f aca="false">xSPRDOPT(I129,H129,AQ129,AT129,O129,N129,P129,D129-$G$5,1,1)*AF129*F129*AH129</f>
        <v>#VALUE!</v>
      </c>
      <c r="U129" s="501"/>
      <c r="V129" s="503" t="e">
        <f aca="false">VLOOKUP($AG129,$AL$4:$AS$15,8)*AH129*AU129</f>
        <v>#VALUE!</v>
      </c>
      <c r="W129" s="503"/>
      <c r="X129" s="504" t="e">
        <f aca="false">((BM129*BC129)+(BL129*BB129))*AH129*F129</f>
        <v>#VALUE!</v>
      </c>
      <c r="Y129" s="504" t="e">
        <f aca="false">($F129*$AH129)*((($BG129/2)*($BC129)^2)+(($BF129/2)*($BB129)^2)+($BH129*$BC129*$BB129))</f>
        <v>#VALUE!</v>
      </c>
      <c r="Z129" s="504" t="e">
        <f aca="false">($BI129*$F129*$AH129*($G$5-$BV$5))/365.25</f>
        <v>#VALUE!</v>
      </c>
      <c r="AA129" s="504" t="e">
        <f aca="false">(($BK129*$BE129)+($BJ129*$BD129))*$F129*$AH129*$AF129</f>
        <v>#VALUE!</v>
      </c>
      <c r="AB129" s="504" t="e">
        <f aca="false">BN129*(AT129-CA129)*F129*AH129</f>
        <v>#VALUE!</v>
      </c>
      <c r="AC129" s="504" t="e">
        <f aca="false">BO129*CB129*F129*AH129*CA129*($G$5-$BV$5)/365.25</f>
        <v>#NAME?</v>
      </c>
      <c r="AF129" s="378" t="e">
        <f aca="false">IF(AND(D129&gt;=$G$7,D129&lt;=$G$8),1,0)</f>
        <v>#VALUE!</v>
      </c>
      <c r="AG129" s="378" t="e">
        <f aca="false">MONTH(D129)</f>
        <v>#VALUE!</v>
      </c>
      <c r="AH129" s="378" t="e">
        <f aca="false">(EOMONTH(D129,0)-EOMONTH(D129-DAY(D129),0))*AF129</f>
        <v>#VALUE!</v>
      </c>
      <c r="AI129" s="378" t="e">
        <f aca="false">AI128+AH128</f>
        <v>#VALUE!</v>
      </c>
      <c r="AJ129" s="378" t="e">
        <f aca="false">D129-$BV$5</f>
        <v>#VALUE!</v>
      </c>
      <c r="AL129" s="369" t="e">
        <f aca="false">VLOOKUP($D129,CurveTbl,$AK$4)</f>
        <v>#VALUE!</v>
      </c>
      <c r="AM129" s="505" t="e">
        <f aca="false">VLOOKUP($D129,CurveTbl,$AH$3)</f>
        <v>#VALUE!</v>
      </c>
      <c r="AN129" s="505" t="e">
        <f aca="false">VLOOKUP($D129,CurveTbl,$AH$4)+VLOOKUP($AG129,$AL$3:$AS$15,6)</f>
        <v>#VALUE!</v>
      </c>
      <c r="AO129" s="505" t="e">
        <f aca="false">VLOOKUP($D129,CurveTbl,$AH$5)</f>
        <v>#VALUE!</v>
      </c>
      <c r="AP129" s="505" t="e">
        <f aca="false">VLOOKUP($D129,CurveTbl,$AH$6)+VLOOKUP($AG129,$AL$3:$AS$15,7)</f>
        <v>#VALUE!</v>
      </c>
      <c r="AQ129" s="369" t="e">
        <f aca="false">VLOOKUP($AG129,$AL$4:$AS$15,3)+VLOOKUP($AG129,$AL$4:$AS$15,5)+($AH$10*VLOOKUP(D129,GRITable,2))</f>
        <v>#VALUE!</v>
      </c>
      <c r="AR129" s="370" t="e">
        <f aca="false">VLOOKUP($AG129,$AL$4:$AS$15,4)</f>
        <v>#VALUE!</v>
      </c>
      <c r="AS129" s="369" t="e">
        <f aca="false">(AL129+AM129+AN129)</f>
        <v>#VALUE!</v>
      </c>
      <c r="AT129" s="370" t="e">
        <f aca="false">VLOOKUP(D129,CurveTbl,$AK$6)</f>
        <v>#VALUE!</v>
      </c>
      <c r="AU129" s="370" t="e">
        <f aca="false">(1+$AT129/2)^(-2*($D129-$G$5)/365.25)*$AF129</f>
        <v>#VALUE!</v>
      </c>
      <c r="AV129" s="506" t="e">
        <f aca="false">ROUND((F129/(1-AR129))-F129,0)*AF129*AH129*AU129</f>
        <v>#VALUE!</v>
      </c>
      <c r="AW129" s="370" t="e">
        <f aca="false">VLOOKUP($D129,CurveTbl,$AK$8)</f>
        <v>#VALUE!</v>
      </c>
      <c r="AX129" s="370" t="e">
        <f aca="false">VLOOKUP($D129,CurveTbl,$AH$7)</f>
        <v>#VALUE!</v>
      </c>
      <c r="AY129" s="370" t="e">
        <f aca="false">VLOOKUP($D129,CurveTbl,$AH$8)</f>
        <v>#VALUE!</v>
      </c>
      <c r="AZ129" s="370"/>
      <c r="BA129" s="507"/>
      <c r="BB129" s="505" t="e">
        <f aca="false">$H129-$BV129</f>
        <v>#VALUE!</v>
      </c>
      <c r="BC129" s="505" t="e">
        <f aca="false">I129-BW129</f>
        <v>#VALUE!</v>
      </c>
      <c r="BD129" s="370" t="e">
        <f aca="false">N129-BX129</f>
        <v>#VALUE!</v>
      </c>
      <c r="BE129" s="370" t="e">
        <f aca="false">O129-BY129</f>
        <v>#VALUE!</v>
      </c>
      <c r="BF129" s="370" t="e">
        <f aca="false">xSPRDOPT($BW129,$BV129,$CG129,0,$BY129,$BX129,$BZ129,$AJ129,1,4)*$CB129</f>
        <v>#NAME?</v>
      </c>
      <c r="BG129" s="370" t="e">
        <f aca="false">xSPRDOPT($BW129,$BV129,$CG129,0,$BY129,$BX129,$BZ129,$AJ129,1,3)*$CB129</f>
        <v>#NAME?</v>
      </c>
      <c r="BH129" s="370" t="e">
        <f aca="false">IF(OR(BF129&lt;&gt;0,BG129&lt;&gt;0),xSPRDOPT($BW129,$BV129,$CG129,0,$BY129,$BX129,$BZ129,$AJ129,1,12)*$CB129,0)</f>
        <v>#NAME?</v>
      </c>
      <c r="BI129" s="370" t="e">
        <f aca="false">xSPRDOPT($BW129,$BV129,$CG129,2*LN(1+CA129/2),$BY129,$BX129,$BZ129,$AJ129,1,9)</f>
        <v>#NAME?</v>
      </c>
      <c r="BJ129" s="370" t="e">
        <f aca="false">xSPRDOPT($BW129,$BV129,$CG129,0,$BY129,$BX129,$BZ129,$AJ129,1,6)*$CB129</f>
        <v>#NAME?</v>
      </c>
      <c r="BK129" s="370" t="e">
        <f aca="false">xSPRDOPT($BW129,$BV129,$CG129,0,$BY129,$BX129,$BZ129,$AJ129,1,5)*$CB129</f>
        <v>#NAME?</v>
      </c>
      <c r="BL129" s="370" t="e">
        <f aca="false">xSPRDOPT(BW129,BV129,CG129,0,BY129,BX129,BZ129,AJ129,1,2)*CB129</f>
        <v>#NAME?</v>
      </c>
      <c r="BM129" s="370" t="e">
        <f aca="false">xSPRDOPT(BW129,BV129,CG129,0,BY129,BX129,BZ129,AJ129,1,1)*CB129</f>
        <v>#NAME?</v>
      </c>
      <c r="BN129" s="370" t="e">
        <f aca="false">IF(AH129&lt;&gt;0,xSPRDOPT($BW129,$BV129,$CG129,2*LN(1+CA129/2),$BY129,$BX129,$BZ129,$AJ129,1,8)+(AJ129/365.25)*CH129/AH129,0)</f>
        <v>#VALUE!</v>
      </c>
      <c r="BO129" s="370" t="e">
        <f aca="false">xSPRDOPT($BW129,$BV129,$CG129,0,$BY129,$BX129,$BZ129,$AJ129,1,0)</f>
        <v>#NAME?</v>
      </c>
      <c r="BP129" s="370"/>
      <c r="BQ129" s="370"/>
      <c r="BR129" s="370"/>
      <c r="BS129" s="370"/>
      <c r="BV129" s="508" t="n">
        <v>4.20920716112532</v>
      </c>
      <c r="BW129" s="369" t="n">
        <v>4.497</v>
      </c>
      <c r="BX129" s="370" t="n">
        <v>0.196915452401372</v>
      </c>
      <c r="BY129" s="370" t="n">
        <v>0.196915452401372</v>
      </c>
      <c r="BZ129" s="370" t="n">
        <v>1</v>
      </c>
      <c r="CA129" s="370" t="n">
        <v>0.0606206015604713</v>
      </c>
      <c r="CB129" s="370" t="n">
        <v>0.58414678463779</v>
      </c>
      <c r="CC129" s="505" t="n">
        <v>0.01</v>
      </c>
      <c r="CD129" s="505" t="n">
        <v>0.0075</v>
      </c>
      <c r="CE129" s="505" t="n">
        <v>0.4</v>
      </c>
      <c r="CF129" s="505" t="n">
        <v>0</v>
      </c>
      <c r="CG129" s="505" t="n">
        <v>0.0364</v>
      </c>
      <c r="CH129" s="505" t="n">
        <v>6.67662250437455</v>
      </c>
      <c r="CI129" s="505" t="n">
        <v>4.097</v>
      </c>
      <c r="CJ129" s="505"/>
      <c r="CK129" s="505"/>
      <c r="CL129" s="505"/>
      <c r="CM129" s="505"/>
    </row>
    <row r="130" customFormat="false" ht="12.75" hidden="false" customHeight="false" outlineLevel="0" collapsed="false">
      <c r="A130" s="500"/>
      <c r="B130" s="500"/>
      <c r="D130" s="361" t="e">
        <f aca="false">D129+AH129</f>
        <v>#VALUE!</v>
      </c>
      <c r="F130" s="362" t="e">
        <f aca="false">VLOOKUP(AG130,$AL$4:$AS$15,2)</f>
        <v>#VALUE!</v>
      </c>
      <c r="G130" s="362" t="e">
        <f aca="false">F130*$AU130</f>
        <v>#VALUE!</v>
      </c>
      <c r="H130" s="363" t="e">
        <f aca="false">(AL130+AM130+AN130)/(1-(AR130))</f>
        <v>#VALUE!</v>
      </c>
      <c r="I130" s="363" t="e">
        <f aca="false">(AL130+AO130+AP130)</f>
        <v>#VALUE!</v>
      </c>
      <c r="K130" s="363" t="e">
        <f aca="false">MAX(((I130-H130)-AQ130)*AU130*AH130,0)</f>
        <v>#VALUE!</v>
      </c>
      <c r="L130" s="501" t="e">
        <f aca="false">MAX(Q130-K130,0)</f>
        <v>#VALUE!</v>
      </c>
      <c r="N130" s="502" t="e">
        <f aca="false">SQRT(($AX130^2*($AH130/2)+$AW130^2*$AI130)/(($AH130/2)+$AI130))</f>
        <v>#VALUE!</v>
      </c>
      <c r="O130" s="502" t="e">
        <f aca="false">SQRT(($AY130^2*($AH130/2)+$AW130^2*$AI130)/(($AH130/2)+$AI130))</f>
        <v>#VALUE!</v>
      </c>
      <c r="P130" s="371" t="e">
        <f aca="false">(VLOOKUP(AI130,CorrelationTwo,2)*(AW130^2)*AI130+VLOOKUP(D130,CorrelationOne,$AK$9)*AX130*AY130*(AH130/2))/((AI130+(AH130/2))*O130*N130)*AF130</f>
        <v>#VALUE!</v>
      </c>
      <c r="Q130" s="501" t="e">
        <f aca="false">xSPRDOPT(I130,H130,AQ130,0,O130,N130,P130,D130-$G$5,1,0)*AH130*AU130</f>
        <v>#VALUE!</v>
      </c>
      <c r="R130" s="501"/>
      <c r="S130" s="365" t="e">
        <f aca="false">-T130/(1-AR130)</f>
        <v>#VALUE!</v>
      </c>
      <c r="T130" s="365" t="e">
        <f aca="false">xSPRDOPT(I130,H130,AQ130,AT130,O130,N130,P130,D130-$G$5,1,1)*AF130*F130*AH130</f>
        <v>#VALUE!</v>
      </c>
      <c r="U130" s="501"/>
      <c r="V130" s="503" t="e">
        <f aca="false">VLOOKUP($AG130,$AL$4:$AS$15,8)*AH130*AU130</f>
        <v>#VALUE!</v>
      </c>
      <c r="W130" s="503"/>
      <c r="X130" s="504" t="e">
        <f aca="false">((BM130*BC130)+(BL130*BB130))*AH130*F130</f>
        <v>#VALUE!</v>
      </c>
      <c r="Y130" s="504" t="e">
        <f aca="false">($F130*$AH130)*((($BG130/2)*($BC130)^2)+(($BF130/2)*($BB130)^2)+($BH130*$BC130*$BB130))</f>
        <v>#VALUE!</v>
      </c>
      <c r="Z130" s="504" t="e">
        <f aca="false">($BI130*$F130*$AH130*($G$5-$BV$5))/365.25</f>
        <v>#VALUE!</v>
      </c>
      <c r="AA130" s="504" t="e">
        <f aca="false">(($BK130*$BE130)+($BJ130*$BD130))*$F130*$AH130*$AF130</f>
        <v>#VALUE!</v>
      </c>
      <c r="AB130" s="504" t="e">
        <f aca="false">BN130*(AT130-CA130)*F130*AH130</f>
        <v>#VALUE!</v>
      </c>
      <c r="AC130" s="504" t="e">
        <f aca="false">BO130*CB130*F130*AH130*CA130*($G$5-$BV$5)/365.25</f>
        <v>#NAME?</v>
      </c>
      <c r="AF130" s="378" t="e">
        <f aca="false">IF(AND(D130&gt;=$G$7,D130&lt;=$G$8),1,0)</f>
        <v>#VALUE!</v>
      </c>
      <c r="AG130" s="378" t="e">
        <f aca="false">MONTH(D130)</f>
        <v>#VALUE!</v>
      </c>
      <c r="AH130" s="378" t="e">
        <f aca="false">(EOMONTH(D130,0)-EOMONTH(D130-DAY(D130),0))*AF130</f>
        <v>#VALUE!</v>
      </c>
      <c r="AI130" s="378" t="e">
        <f aca="false">AI129+AH129</f>
        <v>#VALUE!</v>
      </c>
      <c r="AJ130" s="378" t="e">
        <f aca="false">D130-$BV$5</f>
        <v>#VALUE!</v>
      </c>
      <c r="AL130" s="369" t="e">
        <f aca="false">VLOOKUP($D130,CurveTbl,$AK$4)</f>
        <v>#VALUE!</v>
      </c>
      <c r="AM130" s="505" t="e">
        <f aca="false">VLOOKUP($D130,CurveTbl,$AH$3)</f>
        <v>#VALUE!</v>
      </c>
      <c r="AN130" s="505" t="e">
        <f aca="false">VLOOKUP($D130,CurveTbl,$AH$4)+VLOOKUP($AG130,$AL$3:$AS$15,6)</f>
        <v>#VALUE!</v>
      </c>
      <c r="AO130" s="505" t="e">
        <f aca="false">VLOOKUP($D130,CurveTbl,$AH$5)</f>
        <v>#VALUE!</v>
      </c>
      <c r="AP130" s="505" t="e">
        <f aca="false">VLOOKUP($D130,CurveTbl,$AH$6)+VLOOKUP($AG130,$AL$3:$AS$15,7)</f>
        <v>#VALUE!</v>
      </c>
      <c r="AQ130" s="369" t="e">
        <f aca="false">VLOOKUP($AG130,$AL$4:$AS$15,3)+VLOOKUP($AG130,$AL$4:$AS$15,5)+($AH$10*VLOOKUP(D130,GRITable,2))</f>
        <v>#VALUE!</v>
      </c>
      <c r="AR130" s="370" t="e">
        <f aca="false">VLOOKUP($AG130,$AL$4:$AS$15,4)</f>
        <v>#VALUE!</v>
      </c>
      <c r="AS130" s="369" t="e">
        <f aca="false">(AL130+AM130+AN130)</f>
        <v>#VALUE!</v>
      </c>
      <c r="AT130" s="370" t="e">
        <f aca="false">VLOOKUP(D130,CurveTbl,$AK$6)</f>
        <v>#VALUE!</v>
      </c>
      <c r="AU130" s="370" t="e">
        <f aca="false">(1+$AT130/2)^(-2*($D130-$G$5)/365.25)*$AF130</f>
        <v>#VALUE!</v>
      </c>
      <c r="AV130" s="506" t="e">
        <f aca="false">ROUND((F130/(1-AR130))-F130,0)*AF130*AH130*AU130</f>
        <v>#VALUE!</v>
      </c>
      <c r="AW130" s="370" t="e">
        <f aca="false">VLOOKUP($D130,CurveTbl,$AK$8)</f>
        <v>#VALUE!</v>
      </c>
      <c r="AX130" s="370" t="e">
        <f aca="false">VLOOKUP($D130,CurveTbl,$AH$7)</f>
        <v>#VALUE!</v>
      </c>
      <c r="AY130" s="370" t="e">
        <f aca="false">VLOOKUP($D130,CurveTbl,$AH$8)</f>
        <v>#VALUE!</v>
      </c>
      <c r="AZ130" s="370"/>
      <c r="BA130" s="507"/>
      <c r="BB130" s="505" t="e">
        <f aca="false">$H130-$BV130</f>
        <v>#VALUE!</v>
      </c>
      <c r="BC130" s="505" t="e">
        <f aca="false">I130-BW130</f>
        <v>#VALUE!</v>
      </c>
      <c r="BD130" s="370" t="e">
        <f aca="false">N130-BX130</f>
        <v>#VALUE!</v>
      </c>
      <c r="BE130" s="370" t="e">
        <f aca="false">O130-BY130</f>
        <v>#VALUE!</v>
      </c>
      <c r="BF130" s="370" t="e">
        <f aca="false">xSPRDOPT($BW130,$BV130,$CG130,0,$BY130,$BX130,$BZ130,$AJ130,1,4)*$CB130</f>
        <v>#NAME?</v>
      </c>
      <c r="BG130" s="370" t="e">
        <f aca="false">xSPRDOPT($BW130,$BV130,$CG130,0,$BY130,$BX130,$BZ130,$AJ130,1,3)*$CB130</f>
        <v>#NAME?</v>
      </c>
      <c r="BH130" s="370" t="e">
        <f aca="false">IF(OR(BF130&lt;&gt;0,BG130&lt;&gt;0),xSPRDOPT($BW130,$BV130,$CG130,0,$BY130,$BX130,$BZ130,$AJ130,1,12)*$CB130,0)</f>
        <v>#NAME?</v>
      </c>
      <c r="BI130" s="370" t="e">
        <f aca="false">xSPRDOPT($BW130,$BV130,$CG130,2*LN(1+CA130/2),$BY130,$BX130,$BZ130,$AJ130,1,9)</f>
        <v>#NAME?</v>
      </c>
      <c r="BJ130" s="370" t="e">
        <f aca="false">xSPRDOPT($BW130,$BV130,$CG130,0,$BY130,$BX130,$BZ130,$AJ130,1,6)*$CB130</f>
        <v>#NAME?</v>
      </c>
      <c r="BK130" s="370" t="e">
        <f aca="false">xSPRDOPT($BW130,$BV130,$CG130,0,$BY130,$BX130,$BZ130,$AJ130,1,5)*$CB130</f>
        <v>#NAME?</v>
      </c>
      <c r="BL130" s="370" t="e">
        <f aca="false">xSPRDOPT(BW130,BV130,CG130,0,BY130,BX130,BZ130,AJ130,1,2)*CB130</f>
        <v>#NAME?</v>
      </c>
      <c r="BM130" s="370" t="e">
        <f aca="false">xSPRDOPT(BW130,BV130,CG130,0,BY130,BX130,BZ130,AJ130,1,1)*CB130</f>
        <v>#NAME?</v>
      </c>
      <c r="BN130" s="370" t="e">
        <f aca="false">IF(AH130&lt;&gt;0,xSPRDOPT($BW130,$BV130,$CG130,2*LN(1+CA130/2),$BY130,$BX130,$BZ130,$AJ130,1,8)+(AJ130/365.25)*CH130/AH130,0)</f>
        <v>#VALUE!</v>
      </c>
      <c r="BO130" s="370" t="e">
        <f aca="false">xSPRDOPT($BW130,$BV130,$CG130,0,$BY130,$BX130,$BZ130,$AJ130,1,0)</f>
        <v>#NAME?</v>
      </c>
      <c r="BP130" s="370"/>
      <c r="BQ130" s="370"/>
      <c r="BR130" s="370"/>
      <c r="BS130" s="370"/>
      <c r="BV130" s="508" t="n">
        <v>4.26803069053708</v>
      </c>
      <c r="BW130" s="369" t="n">
        <v>4.5045</v>
      </c>
      <c r="BX130" s="370" t="n">
        <v>0.196807546501361</v>
      </c>
      <c r="BY130" s="370" t="n">
        <v>0.196807546501361</v>
      </c>
      <c r="BZ130" s="370" t="n">
        <v>1</v>
      </c>
      <c r="CA130" s="370" t="n">
        <v>0.0607297145746708</v>
      </c>
      <c r="CB130" s="370" t="n">
        <v>0.580634427153095</v>
      </c>
      <c r="CC130" s="505" t="n">
        <v>0.01</v>
      </c>
      <c r="CD130" s="505" t="n">
        <v>0.0075</v>
      </c>
      <c r="CE130" s="505" t="n">
        <v>0.35</v>
      </c>
      <c r="CF130" s="505" t="n">
        <v>0</v>
      </c>
      <c r="CG130" s="505" t="n">
        <v>0.0364</v>
      </c>
      <c r="CH130" s="505" t="n">
        <v>6.63647731203173</v>
      </c>
      <c r="CI130" s="505" t="n">
        <v>4.1545</v>
      </c>
      <c r="CJ130" s="505"/>
      <c r="CK130" s="505"/>
      <c r="CL130" s="505"/>
      <c r="CM130" s="505"/>
    </row>
    <row r="131" customFormat="false" ht="12.75" hidden="false" customHeight="false" outlineLevel="0" collapsed="false">
      <c r="A131" s="500"/>
      <c r="B131" s="500"/>
      <c r="D131" s="361" t="e">
        <f aca="false">D130+AH130</f>
        <v>#VALUE!</v>
      </c>
      <c r="F131" s="362" t="e">
        <f aca="false">VLOOKUP(AG131,$AL$4:$AS$15,2)</f>
        <v>#VALUE!</v>
      </c>
      <c r="G131" s="362" t="e">
        <f aca="false">F131*$AU131</f>
        <v>#VALUE!</v>
      </c>
      <c r="H131" s="363" t="e">
        <f aca="false">(AL131+AM131+AN131)/(1-(AR131))</f>
        <v>#VALUE!</v>
      </c>
      <c r="I131" s="363" t="e">
        <f aca="false">(AL131+AO131+AP131)</f>
        <v>#VALUE!</v>
      </c>
      <c r="K131" s="363" t="e">
        <f aca="false">MAX(((I131-H131)-AQ131)*AU131*AH131,0)</f>
        <v>#VALUE!</v>
      </c>
      <c r="L131" s="501" t="e">
        <f aca="false">MAX(Q131-K131,0)</f>
        <v>#VALUE!</v>
      </c>
      <c r="N131" s="502" t="e">
        <f aca="false">SQRT(($AX131^2*($AH131/2)+$AW131^2*$AI131)/(($AH131/2)+$AI131))</f>
        <v>#VALUE!</v>
      </c>
      <c r="O131" s="502" t="e">
        <f aca="false">SQRT(($AY131^2*($AH131/2)+$AW131^2*$AI131)/(($AH131/2)+$AI131))</f>
        <v>#VALUE!</v>
      </c>
      <c r="P131" s="371" t="e">
        <f aca="false">(VLOOKUP(AI131,CorrelationTwo,2)*(AW131^2)*AI131+VLOOKUP(D131,CorrelationOne,$AK$9)*AX131*AY131*(AH131/2))/((AI131+(AH131/2))*O131*N131)*AF131</f>
        <v>#VALUE!</v>
      </c>
      <c r="Q131" s="501" t="e">
        <f aca="false">xSPRDOPT(I131,H131,AQ131,0,O131,N131,P131,D131-$G$5,1,0)*AH131*AU131</f>
        <v>#VALUE!</v>
      </c>
      <c r="R131" s="501"/>
      <c r="S131" s="365" t="e">
        <f aca="false">-T131/(1-AR131)</f>
        <v>#VALUE!</v>
      </c>
      <c r="T131" s="365" t="e">
        <f aca="false">xSPRDOPT(I131,H131,AQ131,AT131,O131,N131,P131,D131-$G$5,1,1)*AF131*F131*AH131</f>
        <v>#VALUE!</v>
      </c>
      <c r="U131" s="501"/>
      <c r="V131" s="503" t="e">
        <f aca="false">VLOOKUP($AG131,$AL$4:$AS$15,8)*AH131*AU131</f>
        <v>#VALUE!</v>
      </c>
      <c r="W131" s="503"/>
      <c r="X131" s="504" t="e">
        <f aca="false">((BM131*BC131)+(BL131*BB131))*AH131*F131</f>
        <v>#VALUE!</v>
      </c>
      <c r="Y131" s="504" t="e">
        <f aca="false">($F131*$AH131)*((($BG131/2)*($BC131)^2)+(($BF131/2)*($BB131)^2)+($BH131*$BC131*$BB131))</f>
        <v>#VALUE!</v>
      </c>
      <c r="Z131" s="504" t="e">
        <f aca="false">($BI131*$F131*$AH131*($G$5-$BV$5))/365.25</f>
        <v>#VALUE!</v>
      </c>
      <c r="AA131" s="504" t="e">
        <f aca="false">(($BK131*$BE131)+($BJ131*$BD131))*$F131*$AH131*$AF131</f>
        <v>#VALUE!</v>
      </c>
      <c r="AB131" s="504" t="e">
        <f aca="false">BN131*(AT131-CA131)*F131*AH131</f>
        <v>#VALUE!</v>
      </c>
      <c r="AC131" s="504" t="e">
        <f aca="false">BO131*CB131*F131*AH131*CA131*($G$5-$BV$5)/365.25</f>
        <v>#NAME?</v>
      </c>
      <c r="AF131" s="378" t="e">
        <f aca="false">IF(AND(D131&gt;=$G$7,D131&lt;=$G$8),1,0)</f>
        <v>#VALUE!</v>
      </c>
      <c r="AG131" s="378" t="e">
        <f aca="false">MONTH(D131)</f>
        <v>#VALUE!</v>
      </c>
      <c r="AH131" s="378" t="e">
        <f aca="false">(EOMONTH(D131,0)-EOMONTH(D131-DAY(D131),0))*AF131</f>
        <v>#VALUE!</v>
      </c>
      <c r="AI131" s="378" t="e">
        <f aca="false">AI130+AH130</f>
        <v>#VALUE!</v>
      </c>
      <c r="AJ131" s="378" t="e">
        <f aca="false">D131-$BV$5</f>
        <v>#VALUE!</v>
      </c>
      <c r="AL131" s="369" t="e">
        <f aca="false">VLOOKUP($D131,CurveTbl,$AK$4)</f>
        <v>#VALUE!</v>
      </c>
      <c r="AM131" s="505" t="e">
        <f aca="false">VLOOKUP($D131,CurveTbl,$AH$3)</f>
        <v>#VALUE!</v>
      </c>
      <c r="AN131" s="505" t="e">
        <f aca="false">VLOOKUP($D131,CurveTbl,$AH$4)+VLOOKUP($AG131,$AL$3:$AS$15,6)</f>
        <v>#VALUE!</v>
      </c>
      <c r="AO131" s="505" t="e">
        <f aca="false">VLOOKUP($D131,CurveTbl,$AH$5)</f>
        <v>#VALUE!</v>
      </c>
      <c r="AP131" s="505" t="e">
        <f aca="false">VLOOKUP($D131,CurveTbl,$AH$6)+VLOOKUP($AG131,$AL$3:$AS$15,7)</f>
        <v>#VALUE!</v>
      </c>
      <c r="AQ131" s="369" t="e">
        <f aca="false">VLOOKUP($AG131,$AL$4:$AS$15,3)+VLOOKUP($AG131,$AL$4:$AS$15,5)+($AH$10*VLOOKUP(D131,GRITable,2))</f>
        <v>#VALUE!</v>
      </c>
      <c r="AR131" s="370" t="e">
        <f aca="false">VLOOKUP($AG131,$AL$4:$AS$15,4)</f>
        <v>#VALUE!</v>
      </c>
      <c r="AS131" s="369" t="e">
        <f aca="false">(AL131+AM131+AN131)</f>
        <v>#VALUE!</v>
      </c>
      <c r="AT131" s="370" t="e">
        <f aca="false">VLOOKUP(D131,CurveTbl,$AK$6)</f>
        <v>#VALUE!</v>
      </c>
      <c r="AU131" s="370" t="e">
        <f aca="false">(1+$AT131/2)^(-2*($D131-$G$5)/365.25)*$AF131</f>
        <v>#VALUE!</v>
      </c>
      <c r="AV131" s="506" t="e">
        <f aca="false">ROUND((F131/(1-AR131))-F131,0)*AF131*AH131*AU131</f>
        <v>#VALUE!</v>
      </c>
      <c r="AW131" s="370" t="e">
        <f aca="false">VLOOKUP($D131,CurveTbl,$AK$8)</f>
        <v>#VALUE!</v>
      </c>
      <c r="AX131" s="370" t="e">
        <f aca="false">VLOOKUP($D131,CurveTbl,$AH$7)</f>
        <v>#VALUE!</v>
      </c>
      <c r="AY131" s="370" t="e">
        <f aca="false">VLOOKUP($D131,CurveTbl,$AH$8)</f>
        <v>#VALUE!</v>
      </c>
      <c r="AZ131" s="370"/>
      <c r="BA131" s="507"/>
      <c r="BB131" s="505" t="e">
        <f aca="false">$H131-$BV131</f>
        <v>#VALUE!</v>
      </c>
      <c r="BC131" s="505" t="e">
        <f aca="false">I131-BW131</f>
        <v>#VALUE!</v>
      </c>
      <c r="BD131" s="370" t="e">
        <f aca="false">N131-BX131</f>
        <v>#VALUE!</v>
      </c>
      <c r="BE131" s="370" t="e">
        <f aca="false">O131-BY131</f>
        <v>#VALUE!</v>
      </c>
      <c r="BF131" s="370" t="e">
        <f aca="false">xSPRDOPT($BW131,$BV131,$CG131,0,$BY131,$BX131,$BZ131,$AJ131,1,4)*$CB131</f>
        <v>#NAME?</v>
      </c>
      <c r="BG131" s="370" t="e">
        <f aca="false">xSPRDOPT($BW131,$BV131,$CG131,0,$BY131,$BX131,$BZ131,$AJ131,1,3)*$CB131</f>
        <v>#NAME?</v>
      </c>
      <c r="BH131" s="370" t="e">
        <f aca="false">IF(OR(BF131&lt;&gt;0,BG131&lt;&gt;0),xSPRDOPT($BW131,$BV131,$CG131,0,$BY131,$BX131,$BZ131,$AJ131,1,12)*$CB131,0)</f>
        <v>#NAME?</v>
      </c>
      <c r="BI131" s="370" t="e">
        <f aca="false">xSPRDOPT($BW131,$BV131,$CG131,2*LN(1+CA131/2),$BY131,$BX131,$BZ131,$AJ131,1,9)</f>
        <v>#NAME?</v>
      </c>
      <c r="BJ131" s="370" t="e">
        <f aca="false">xSPRDOPT($BW131,$BV131,$CG131,0,$BY131,$BX131,$BZ131,$AJ131,1,6)*$CB131</f>
        <v>#NAME?</v>
      </c>
      <c r="BK131" s="370" t="e">
        <f aca="false">xSPRDOPT($BW131,$BV131,$CG131,0,$BY131,$BX131,$BZ131,$AJ131,1,5)*$CB131</f>
        <v>#NAME?</v>
      </c>
      <c r="BL131" s="370" t="e">
        <f aca="false">xSPRDOPT(BW131,BV131,CG131,0,BY131,BX131,BZ131,AJ131,1,2)*CB131</f>
        <v>#NAME?</v>
      </c>
      <c r="BM131" s="370" t="e">
        <f aca="false">xSPRDOPT(BW131,BV131,CG131,0,BY131,BX131,BZ131,AJ131,1,1)*CB131</f>
        <v>#NAME?</v>
      </c>
      <c r="BN131" s="370" t="e">
        <f aca="false">IF(AH131&lt;&gt;0,xSPRDOPT($BW131,$BV131,$CG131,2*LN(1+CA131/2),$BY131,$BX131,$BZ131,$AJ131,1,8)+(AJ131/365.25)*CH131/AH131,0)</f>
        <v>#VALUE!</v>
      </c>
      <c r="BO131" s="370" t="e">
        <f aca="false">xSPRDOPT($BW131,$BV131,$CG131,0,$BY131,$BX131,$BZ131,$AJ131,1,0)</f>
        <v>#NAME?</v>
      </c>
      <c r="BP131" s="370"/>
      <c r="BQ131" s="370"/>
      <c r="BR131" s="370"/>
      <c r="BS131" s="370"/>
      <c r="BV131" s="508" t="n">
        <v>4.18107416879795</v>
      </c>
      <c r="BW131" s="369" t="n">
        <v>4.4195</v>
      </c>
      <c r="BX131" s="370" t="n">
        <v>0.195604382943905</v>
      </c>
      <c r="BY131" s="370" t="n">
        <v>0.195604382943905</v>
      </c>
      <c r="BZ131" s="370" t="n">
        <v>1</v>
      </c>
      <c r="CA131" s="370" t="n">
        <v>0.0608388275928244</v>
      </c>
      <c r="CB131" s="370" t="n">
        <v>0.577132843667708</v>
      </c>
      <c r="CC131" s="505" t="n">
        <v>0.01</v>
      </c>
      <c r="CD131" s="505" t="n">
        <v>0.0075</v>
      </c>
      <c r="CE131" s="505" t="n">
        <v>0.35</v>
      </c>
      <c r="CF131" s="505" t="n">
        <v>0</v>
      </c>
      <c r="CG131" s="505" t="n">
        <v>0.0364</v>
      </c>
      <c r="CH131" s="505" t="n">
        <v>5.95808862488795</v>
      </c>
      <c r="CI131" s="505" t="n">
        <v>4.0695</v>
      </c>
      <c r="CJ131" s="505"/>
      <c r="CK131" s="505"/>
      <c r="CL131" s="505"/>
      <c r="CM131" s="505"/>
    </row>
    <row r="132" customFormat="false" ht="12.75" hidden="false" customHeight="false" outlineLevel="0" collapsed="false">
      <c r="A132" s="500"/>
      <c r="B132" s="500"/>
      <c r="D132" s="361" t="e">
        <f aca="false">D131+AH131</f>
        <v>#VALUE!</v>
      </c>
      <c r="F132" s="362" t="e">
        <f aca="false">VLOOKUP(AG132,$AL$4:$AS$15,2)</f>
        <v>#VALUE!</v>
      </c>
      <c r="G132" s="362" t="e">
        <f aca="false">F132*$AU132</f>
        <v>#VALUE!</v>
      </c>
      <c r="H132" s="363" t="e">
        <f aca="false">(AL132+AM132+AN132)/(1-(AR132))</f>
        <v>#VALUE!</v>
      </c>
      <c r="I132" s="363" t="e">
        <f aca="false">(AL132+AO132+AP132)</f>
        <v>#VALUE!</v>
      </c>
      <c r="K132" s="363" t="e">
        <f aca="false">MAX(((I132-H132)-AQ132)*AU132*AH132,0)</f>
        <v>#VALUE!</v>
      </c>
      <c r="L132" s="501" t="e">
        <f aca="false">MAX(Q132-K132,0)</f>
        <v>#VALUE!</v>
      </c>
      <c r="N132" s="502" t="e">
        <f aca="false">SQRT(($AX132^2*($AH132/2)+$AW132^2*$AI132)/(($AH132/2)+$AI132))</f>
        <v>#VALUE!</v>
      </c>
      <c r="O132" s="502" t="e">
        <f aca="false">SQRT(($AY132^2*($AH132/2)+$AW132^2*$AI132)/(($AH132/2)+$AI132))</f>
        <v>#VALUE!</v>
      </c>
      <c r="P132" s="371" t="e">
        <f aca="false">(VLOOKUP(AI132,CorrelationTwo,2)*(AW132^2)*AI132+VLOOKUP(D132,CorrelationOne,$AK$9)*AX132*AY132*(AH132/2))/((AI132+(AH132/2))*O132*N132)*AF132</f>
        <v>#VALUE!</v>
      </c>
      <c r="Q132" s="501" t="e">
        <f aca="false">xSPRDOPT(I132,H132,AQ132,0,O132,N132,P132,D132-$G$5,1,0)*AH132*AU132</f>
        <v>#VALUE!</v>
      </c>
      <c r="R132" s="501"/>
      <c r="S132" s="365" t="e">
        <f aca="false">-T132/(1-AR132)</f>
        <v>#VALUE!</v>
      </c>
      <c r="T132" s="365" t="e">
        <f aca="false">xSPRDOPT(I132,H132,AQ132,AT132,O132,N132,P132,D132-$G$5,1,1)*AF132*F132*AH132</f>
        <v>#VALUE!</v>
      </c>
      <c r="U132" s="501"/>
      <c r="V132" s="503" t="e">
        <f aca="false">VLOOKUP($AG132,$AL$4:$AS$15,8)*AH132*AU132</f>
        <v>#VALUE!</v>
      </c>
      <c r="W132" s="503"/>
      <c r="X132" s="504" t="e">
        <f aca="false">((BM132*BC132)+(BL132*BB132))*AH132*F132</f>
        <v>#VALUE!</v>
      </c>
      <c r="Y132" s="504" t="e">
        <f aca="false">($F132*$AH132)*((($BG132/2)*($BC132)^2)+(($BF132/2)*($BB132)^2)+($BH132*$BC132*$BB132))</f>
        <v>#VALUE!</v>
      </c>
      <c r="Z132" s="504" t="e">
        <f aca="false">($BI132*$F132*$AH132*($G$5-$BV$5))/365.25</f>
        <v>#VALUE!</v>
      </c>
      <c r="AA132" s="504" t="e">
        <f aca="false">(($BK132*$BE132)+($BJ132*$BD132))*$F132*$AH132*$AF132</f>
        <v>#VALUE!</v>
      </c>
      <c r="AB132" s="504" t="e">
        <f aca="false">BN132*(AT132-CA132)*F132*AH132</f>
        <v>#VALUE!</v>
      </c>
      <c r="AC132" s="504" t="e">
        <f aca="false">BO132*CB132*F132*AH132*CA132*($G$5-$BV$5)/365.25</f>
        <v>#NAME?</v>
      </c>
      <c r="AF132" s="378" t="e">
        <f aca="false">IF(AND(D132&gt;=$G$7,D132&lt;=$G$8),1,0)</f>
        <v>#VALUE!</v>
      </c>
      <c r="AG132" s="378" t="e">
        <f aca="false">MONTH(D132)</f>
        <v>#VALUE!</v>
      </c>
      <c r="AH132" s="378" t="e">
        <f aca="false">(EOMONTH(D132,0)-EOMONTH(D132-DAY(D132),0))*AF132</f>
        <v>#VALUE!</v>
      </c>
      <c r="AI132" s="378" t="e">
        <f aca="false">AI131+AH131</f>
        <v>#VALUE!</v>
      </c>
      <c r="AJ132" s="378" t="e">
        <f aca="false">D132-$BV$5</f>
        <v>#VALUE!</v>
      </c>
      <c r="AL132" s="369" t="e">
        <f aca="false">VLOOKUP($D132,CurveTbl,$AK$4)</f>
        <v>#VALUE!</v>
      </c>
      <c r="AM132" s="505" t="e">
        <f aca="false">VLOOKUP($D132,CurveTbl,$AH$3)</f>
        <v>#VALUE!</v>
      </c>
      <c r="AN132" s="505" t="e">
        <f aca="false">VLOOKUP($D132,CurveTbl,$AH$4)+VLOOKUP($AG132,$AL$3:$AS$15,6)</f>
        <v>#VALUE!</v>
      </c>
      <c r="AO132" s="505" t="e">
        <f aca="false">VLOOKUP($D132,CurveTbl,$AH$5)</f>
        <v>#VALUE!</v>
      </c>
      <c r="AP132" s="505" t="e">
        <f aca="false">VLOOKUP($D132,CurveTbl,$AH$6)+VLOOKUP($AG132,$AL$3:$AS$15,7)</f>
        <v>#VALUE!</v>
      </c>
      <c r="AQ132" s="369" t="e">
        <f aca="false">VLOOKUP($AG132,$AL$4:$AS$15,3)+VLOOKUP($AG132,$AL$4:$AS$15,5)+($AH$10*VLOOKUP(D132,GRITable,2))</f>
        <v>#VALUE!</v>
      </c>
      <c r="AR132" s="370" t="e">
        <f aca="false">VLOOKUP($AG132,$AL$4:$AS$15,4)</f>
        <v>#VALUE!</v>
      </c>
      <c r="AS132" s="369" t="e">
        <f aca="false">(AL132+AM132+AN132)</f>
        <v>#VALUE!</v>
      </c>
      <c r="AT132" s="370" t="e">
        <f aca="false">VLOOKUP(D132,CurveTbl,$AK$6)</f>
        <v>#VALUE!</v>
      </c>
      <c r="AU132" s="370" t="e">
        <f aca="false">(1+$AT132/2)^(-2*($D132-$G$5)/365.25)*$AF132</f>
        <v>#VALUE!</v>
      </c>
      <c r="AV132" s="506" t="e">
        <f aca="false">ROUND((F132/(1-AR132))-F132,0)*AF132*AH132*AU132</f>
        <v>#VALUE!</v>
      </c>
      <c r="AW132" s="370" t="e">
        <f aca="false">VLOOKUP($D132,CurveTbl,$AK$8)</f>
        <v>#VALUE!</v>
      </c>
      <c r="AX132" s="370" t="e">
        <f aca="false">VLOOKUP($D132,CurveTbl,$AH$7)</f>
        <v>#VALUE!</v>
      </c>
      <c r="AY132" s="370" t="e">
        <f aca="false">VLOOKUP($D132,CurveTbl,$AH$8)</f>
        <v>#VALUE!</v>
      </c>
      <c r="AZ132" s="370"/>
      <c r="BA132" s="507"/>
      <c r="BB132" s="505" t="e">
        <f aca="false">$H132-$BV132</f>
        <v>#VALUE!</v>
      </c>
      <c r="BC132" s="505" t="e">
        <f aca="false">I132-BW132</f>
        <v>#VALUE!</v>
      </c>
      <c r="BD132" s="370" t="e">
        <f aca="false">N132-BX132</f>
        <v>#VALUE!</v>
      </c>
      <c r="BE132" s="370" t="e">
        <f aca="false">O132-BY132</f>
        <v>#VALUE!</v>
      </c>
      <c r="BF132" s="370" t="e">
        <f aca="false">xSPRDOPT($BW132,$BV132,$CG132,0,$BY132,$BX132,$BZ132,$AJ132,1,4)*$CB132</f>
        <v>#NAME?</v>
      </c>
      <c r="BG132" s="370" t="e">
        <f aca="false">xSPRDOPT($BW132,$BV132,$CG132,0,$BY132,$BX132,$BZ132,$AJ132,1,3)*$CB132</f>
        <v>#NAME?</v>
      </c>
      <c r="BH132" s="370" t="e">
        <f aca="false">IF(OR(BF132&lt;&gt;0,BG132&lt;&gt;0),xSPRDOPT($BW132,$BV132,$CG132,0,$BY132,$BX132,$BZ132,$AJ132,1,12)*$CB132,0)</f>
        <v>#NAME?</v>
      </c>
      <c r="BI132" s="370" t="e">
        <f aca="false">xSPRDOPT($BW132,$BV132,$CG132,2*LN(1+CA132/2),$BY132,$BX132,$BZ132,$AJ132,1,9)</f>
        <v>#NAME?</v>
      </c>
      <c r="BJ132" s="370" t="e">
        <f aca="false">xSPRDOPT($BW132,$BV132,$CG132,0,$BY132,$BX132,$BZ132,$AJ132,1,6)*$CB132</f>
        <v>#NAME?</v>
      </c>
      <c r="BK132" s="370" t="e">
        <f aca="false">xSPRDOPT($BW132,$BV132,$CG132,0,$BY132,$BX132,$BZ132,$AJ132,1,5)*$CB132</f>
        <v>#NAME?</v>
      </c>
      <c r="BL132" s="370" t="e">
        <f aca="false">xSPRDOPT(BW132,BV132,CG132,0,BY132,BX132,BZ132,AJ132,1,2)*CB132</f>
        <v>#NAME?</v>
      </c>
      <c r="BM132" s="370" t="e">
        <f aca="false">xSPRDOPT(BW132,BV132,CG132,0,BY132,BX132,BZ132,AJ132,1,1)*CB132</f>
        <v>#NAME?</v>
      </c>
      <c r="BN132" s="370" t="e">
        <f aca="false">IF(AH132&lt;&gt;0,xSPRDOPT($BW132,$BV132,$CG132,2*LN(1+CA132/2),$BY132,$BX132,$BZ132,$AJ132,1,8)+(AJ132/365.25)*CH132/AH132,0)</f>
        <v>#VALUE!</v>
      </c>
      <c r="BO132" s="370" t="e">
        <f aca="false">xSPRDOPT($BW132,$BV132,$CG132,0,$BY132,$BX132,$BZ132,$AJ132,1,0)</f>
        <v>#NAME?</v>
      </c>
      <c r="BP132" s="370"/>
      <c r="BQ132" s="370"/>
      <c r="BR132" s="370"/>
      <c r="BS132" s="370"/>
      <c r="BV132" s="508" t="n">
        <v>4.05319693094629</v>
      </c>
      <c r="BW132" s="369" t="n">
        <v>4.3395</v>
      </c>
      <c r="BX132" s="370" t="n">
        <v>0.186631432537997</v>
      </c>
      <c r="BY132" s="370" t="n">
        <v>0.186631432537997</v>
      </c>
      <c r="BZ132" s="370" t="n">
        <v>1</v>
      </c>
      <c r="CA132" s="370" t="n">
        <v>0.0609373812900396</v>
      </c>
      <c r="CB132" s="370" t="n">
        <v>0.573979434335047</v>
      </c>
      <c r="CC132" s="505" t="n">
        <v>0.015</v>
      </c>
      <c r="CD132" s="505" t="n">
        <v>0.0075</v>
      </c>
      <c r="CE132" s="505" t="n">
        <v>0.4</v>
      </c>
      <c r="CF132" s="505" t="n">
        <v>0</v>
      </c>
      <c r="CG132" s="505" t="n">
        <v>0.0364</v>
      </c>
      <c r="CH132" s="505" t="n">
        <v>6.56041274061929</v>
      </c>
      <c r="CI132" s="505" t="n">
        <v>3.9395</v>
      </c>
      <c r="CJ132" s="505"/>
      <c r="CK132" s="505"/>
      <c r="CL132" s="505"/>
      <c r="CM132" s="505"/>
    </row>
    <row r="133" customFormat="false" ht="12.75" hidden="false" customHeight="false" outlineLevel="0" collapsed="false">
      <c r="A133" s="500"/>
      <c r="B133" s="500"/>
      <c r="D133" s="361" t="e">
        <f aca="false">D132+AH132</f>
        <v>#VALUE!</v>
      </c>
      <c r="F133" s="362" t="e">
        <f aca="false">VLOOKUP(AG133,$AL$4:$AS$15,2)</f>
        <v>#VALUE!</v>
      </c>
      <c r="G133" s="362" t="e">
        <f aca="false">F133*$AU133</f>
        <v>#VALUE!</v>
      </c>
      <c r="H133" s="363" t="e">
        <f aca="false">(AL133+AM133+AN133)/(1-(AR133))</f>
        <v>#VALUE!</v>
      </c>
      <c r="I133" s="363" t="e">
        <f aca="false">(AL133+AO133+AP133)</f>
        <v>#VALUE!</v>
      </c>
      <c r="K133" s="363" t="e">
        <f aca="false">MAX(((I133-H133)-AQ133)*AU133*AH133,0)</f>
        <v>#VALUE!</v>
      </c>
      <c r="L133" s="501" t="e">
        <f aca="false">MAX(Q133-K133,0)</f>
        <v>#VALUE!</v>
      </c>
      <c r="N133" s="502" t="e">
        <f aca="false">SQRT(($AX133^2*($AH133/2)+$AW133^2*$AI133)/(($AH133/2)+$AI133))</f>
        <v>#VALUE!</v>
      </c>
      <c r="O133" s="502" t="e">
        <f aca="false">SQRT(($AY133^2*($AH133/2)+$AW133^2*$AI133)/(($AH133/2)+$AI133))</f>
        <v>#VALUE!</v>
      </c>
      <c r="P133" s="371" t="e">
        <f aca="false">(VLOOKUP(AI133,CorrelationTwo,2)*(AW133^2)*AI133+VLOOKUP(D133,CorrelationOne,$AK$9)*AX133*AY133*(AH133/2))/((AI133+(AH133/2))*O133*N133)*AF133</f>
        <v>#VALUE!</v>
      </c>
      <c r="Q133" s="501" t="e">
        <f aca="false">xSPRDOPT(I133,H133,AQ133,0,O133,N133,P133,D133-$G$5,1,0)*AH133*AU133</f>
        <v>#VALUE!</v>
      </c>
      <c r="R133" s="501"/>
      <c r="S133" s="365" t="e">
        <f aca="false">-T133/(1-AR133)</f>
        <v>#VALUE!</v>
      </c>
      <c r="T133" s="365" t="e">
        <f aca="false">xSPRDOPT(I133,H133,AQ133,AT133,O133,N133,P133,D133-$G$5,1,1)*AF133*F133*AH133</f>
        <v>#VALUE!</v>
      </c>
      <c r="U133" s="501"/>
      <c r="V133" s="503" t="e">
        <f aca="false">VLOOKUP($AG133,$AL$4:$AS$15,8)*AH133*AU133</f>
        <v>#VALUE!</v>
      </c>
      <c r="W133" s="503"/>
      <c r="X133" s="504" t="e">
        <f aca="false">((BM133*BC133)+(BL133*BB133))*AH133*F133</f>
        <v>#VALUE!</v>
      </c>
      <c r="Y133" s="504" t="e">
        <f aca="false">($F133*$AH133)*((($BG133/2)*($BC133)^2)+(($BF133/2)*($BB133)^2)+($BH133*$BC133*$BB133))</f>
        <v>#VALUE!</v>
      </c>
      <c r="Z133" s="504" t="e">
        <f aca="false">($BI133*$F133*$AH133*($G$5-$BV$5))/365.25</f>
        <v>#VALUE!</v>
      </c>
      <c r="AA133" s="504" t="e">
        <f aca="false">(($BK133*$BE133)+($BJ133*$BD133))*$F133*$AH133*$AF133</f>
        <v>#VALUE!</v>
      </c>
      <c r="AB133" s="504" t="e">
        <f aca="false">BN133*(AT133-CA133)*F133*AH133</f>
        <v>#VALUE!</v>
      </c>
      <c r="AC133" s="504" t="e">
        <f aca="false">BO133*CB133*F133*AH133*CA133*($G$5-$BV$5)/365.25</f>
        <v>#NAME?</v>
      </c>
      <c r="AF133" s="378" t="e">
        <f aca="false">IF(AND(D133&gt;=$G$7,D133&lt;=$G$8),1,0)</f>
        <v>#VALUE!</v>
      </c>
      <c r="AG133" s="378" t="e">
        <f aca="false">MONTH(D133)</f>
        <v>#VALUE!</v>
      </c>
      <c r="AH133" s="378" t="e">
        <f aca="false">(EOMONTH(D133,0)-EOMONTH(D133-DAY(D133),0))*AF133</f>
        <v>#VALUE!</v>
      </c>
      <c r="AI133" s="378" t="e">
        <f aca="false">AI132+AH132</f>
        <v>#VALUE!</v>
      </c>
      <c r="AJ133" s="378" t="e">
        <f aca="false">D133-$BV$5</f>
        <v>#VALUE!</v>
      </c>
      <c r="AL133" s="369" t="e">
        <f aca="false">VLOOKUP($D133,CurveTbl,$AK$4)</f>
        <v>#VALUE!</v>
      </c>
      <c r="AM133" s="505" t="e">
        <f aca="false">VLOOKUP($D133,CurveTbl,$AH$3)</f>
        <v>#VALUE!</v>
      </c>
      <c r="AN133" s="505" t="e">
        <f aca="false">VLOOKUP($D133,CurveTbl,$AH$4)+VLOOKUP($AG133,$AL$3:$AS$15,6)</f>
        <v>#VALUE!</v>
      </c>
      <c r="AO133" s="505" t="e">
        <f aca="false">VLOOKUP($D133,CurveTbl,$AH$5)</f>
        <v>#VALUE!</v>
      </c>
      <c r="AP133" s="505" t="e">
        <f aca="false">VLOOKUP($D133,CurveTbl,$AH$6)+VLOOKUP($AG133,$AL$3:$AS$15,7)</f>
        <v>#VALUE!</v>
      </c>
      <c r="AQ133" s="369" t="e">
        <f aca="false">VLOOKUP($AG133,$AL$4:$AS$15,3)+VLOOKUP($AG133,$AL$4:$AS$15,5)+($AH$10*VLOOKUP(D133,GRITable,2))</f>
        <v>#VALUE!</v>
      </c>
      <c r="AR133" s="370" t="e">
        <f aca="false">VLOOKUP($AG133,$AL$4:$AS$15,4)</f>
        <v>#VALUE!</v>
      </c>
      <c r="AS133" s="369" t="e">
        <f aca="false">(AL133+AM133+AN133)</f>
        <v>#VALUE!</v>
      </c>
      <c r="AT133" s="370" t="e">
        <f aca="false">VLOOKUP(D133,CurveTbl,$AK$6)</f>
        <v>#VALUE!</v>
      </c>
      <c r="AU133" s="370" t="e">
        <f aca="false">(1+$AT133/2)^(-2*($D133-$G$5)/365.25)*$AF133</f>
        <v>#VALUE!</v>
      </c>
      <c r="AV133" s="506" t="e">
        <f aca="false">ROUND((F133/(1-AR133))-F133,0)*AF133*AH133*AU133</f>
        <v>#VALUE!</v>
      </c>
      <c r="AW133" s="370" t="e">
        <f aca="false">VLOOKUP($D133,CurveTbl,$AK$8)</f>
        <v>#VALUE!</v>
      </c>
      <c r="AX133" s="370" t="e">
        <f aca="false">VLOOKUP($D133,CurveTbl,$AH$7)</f>
        <v>#VALUE!</v>
      </c>
      <c r="AY133" s="370" t="e">
        <f aca="false">VLOOKUP($D133,CurveTbl,$AH$8)</f>
        <v>#VALUE!</v>
      </c>
      <c r="AZ133" s="370"/>
      <c r="BA133" s="507"/>
      <c r="BB133" s="505" t="e">
        <f aca="false">$H133-$BV133</f>
        <v>#VALUE!</v>
      </c>
      <c r="BC133" s="505" t="e">
        <f aca="false">I133-BW133</f>
        <v>#VALUE!</v>
      </c>
      <c r="BD133" s="370" t="e">
        <f aca="false">N133-BX133</f>
        <v>#VALUE!</v>
      </c>
      <c r="BE133" s="370" t="e">
        <f aca="false">O133-BY133</f>
        <v>#VALUE!</v>
      </c>
      <c r="BF133" s="370" t="e">
        <f aca="false">xSPRDOPT($BW133,$BV133,$CG133,0,$BY133,$BX133,$BZ133,$AJ133,1,4)*$CB133</f>
        <v>#NAME?</v>
      </c>
      <c r="BG133" s="370" t="e">
        <f aca="false">xSPRDOPT($BW133,$BV133,$CG133,0,$BY133,$BX133,$BZ133,$AJ133,1,3)*$CB133</f>
        <v>#NAME?</v>
      </c>
      <c r="BH133" s="370" t="e">
        <f aca="false">IF(OR(BF133&lt;&gt;0,BG133&lt;&gt;0),xSPRDOPT($BW133,$BV133,$CG133,0,$BY133,$BX133,$BZ133,$AJ133,1,12)*$CB133,0)</f>
        <v>#NAME?</v>
      </c>
      <c r="BI133" s="370" t="e">
        <f aca="false">xSPRDOPT($BW133,$BV133,$CG133,2*LN(1+CA133/2),$BY133,$BX133,$BZ133,$AJ133,1,9)</f>
        <v>#NAME?</v>
      </c>
      <c r="BJ133" s="370" t="e">
        <f aca="false">xSPRDOPT($BW133,$BV133,$CG133,0,$BY133,$BX133,$BZ133,$AJ133,1,6)*$CB133</f>
        <v>#NAME?</v>
      </c>
      <c r="BK133" s="370" t="e">
        <f aca="false">xSPRDOPT($BW133,$BV133,$CG133,0,$BY133,$BX133,$BZ133,$AJ133,1,5)*$CB133</f>
        <v>#NAME?</v>
      </c>
      <c r="BL133" s="370" t="e">
        <f aca="false">xSPRDOPT(BW133,BV133,CG133,0,BY133,BX133,BZ133,AJ133,1,2)*CB133</f>
        <v>#NAME?</v>
      </c>
      <c r="BM133" s="370" t="e">
        <f aca="false">xSPRDOPT(BW133,BV133,CG133,0,BY133,BX133,BZ133,AJ133,1,1)*CB133</f>
        <v>#NAME?</v>
      </c>
      <c r="BN133" s="370" t="e">
        <f aca="false">IF(AH133&lt;&gt;0,xSPRDOPT($BW133,$BV133,$CG133,2*LN(1+CA133/2),$BY133,$BX133,$BZ133,$AJ133,1,8)+(AJ133/365.25)*CH133/AH133,0)</f>
        <v>#VALUE!</v>
      </c>
      <c r="BO133" s="370" t="e">
        <f aca="false">xSPRDOPT($BW133,$BV133,$CG133,0,$BY133,$BX133,$BZ133,$AJ133,1,0)</f>
        <v>#NAME?</v>
      </c>
      <c r="BP133" s="370"/>
      <c r="BQ133" s="370"/>
      <c r="BR133" s="370"/>
      <c r="BS133" s="370"/>
      <c r="BV133" s="508" t="n">
        <v>3.86649616368286</v>
      </c>
      <c r="BW133" s="369" t="n">
        <v>4.3545</v>
      </c>
      <c r="BX133" s="370" t="n">
        <v>0.181552445102182</v>
      </c>
      <c r="BY133" s="370" t="n">
        <v>0.181552445102182</v>
      </c>
      <c r="BZ133" s="370" t="n">
        <v>1</v>
      </c>
      <c r="CA133" s="370" t="n">
        <v>0.0610464943157187</v>
      </c>
      <c r="CB133" s="370" t="n">
        <v>0.570498523907659</v>
      </c>
      <c r="CC133" s="505" t="n">
        <v>0.015</v>
      </c>
      <c r="CD133" s="505" t="n">
        <v>0.01</v>
      </c>
      <c r="CE133" s="505" t="n">
        <v>0.6</v>
      </c>
      <c r="CF133" s="505" t="n">
        <v>0</v>
      </c>
      <c r="CG133" s="505" t="n">
        <v>0.0364</v>
      </c>
      <c r="CH133" s="505" t="n">
        <v>6.31028417294262</v>
      </c>
      <c r="CI133" s="505" t="n">
        <v>3.7545</v>
      </c>
      <c r="CJ133" s="505"/>
      <c r="CK133" s="505"/>
      <c r="CL133" s="505"/>
      <c r="CM133" s="505"/>
    </row>
    <row r="134" customFormat="false" ht="12.75" hidden="false" customHeight="false" outlineLevel="0" collapsed="false">
      <c r="A134" s="500"/>
      <c r="B134" s="500"/>
      <c r="D134" s="361" t="e">
        <f aca="false">D133+AH133</f>
        <v>#VALUE!</v>
      </c>
      <c r="F134" s="362" t="e">
        <f aca="false">VLOOKUP(AG134,$AL$4:$AS$15,2)</f>
        <v>#VALUE!</v>
      </c>
      <c r="G134" s="362" t="e">
        <f aca="false">F134*$AU134</f>
        <v>#VALUE!</v>
      </c>
      <c r="H134" s="363" t="e">
        <f aca="false">(AL134+AM134+AN134)/(1-(AR134))</f>
        <v>#VALUE!</v>
      </c>
      <c r="I134" s="363" t="e">
        <f aca="false">(AL134+AO134+AP134)</f>
        <v>#VALUE!</v>
      </c>
      <c r="K134" s="363" t="e">
        <f aca="false">MAX(((I134-H134)-AQ134)*AU134*AH134,0)</f>
        <v>#VALUE!</v>
      </c>
      <c r="L134" s="501" t="e">
        <f aca="false">MAX(Q134-K134,0)</f>
        <v>#VALUE!</v>
      </c>
      <c r="N134" s="502" t="e">
        <f aca="false">SQRT(($AX134^2*($AH134/2)+$AW134^2*$AI134)/(($AH134/2)+$AI134))</f>
        <v>#VALUE!</v>
      </c>
      <c r="O134" s="502" t="e">
        <f aca="false">SQRT(($AY134^2*($AH134/2)+$AW134^2*$AI134)/(($AH134/2)+$AI134))</f>
        <v>#VALUE!</v>
      </c>
      <c r="P134" s="371" t="e">
        <f aca="false">(VLOOKUP(AI134,CorrelationTwo,2)*(AW134^2)*AI134+VLOOKUP(D134,CorrelationOne,$AK$9)*AX134*AY134*(AH134/2))/((AI134+(AH134/2))*O134*N134)*AF134</f>
        <v>#VALUE!</v>
      </c>
      <c r="Q134" s="501" t="e">
        <f aca="false">xSPRDOPT(I134,H134,AQ134,0,O134,N134,P134,D134-$G$5,1,0)*AH134*AU134</f>
        <v>#VALUE!</v>
      </c>
      <c r="R134" s="501"/>
      <c r="S134" s="365" t="e">
        <f aca="false">-T134/(1-AR134)</f>
        <v>#VALUE!</v>
      </c>
      <c r="T134" s="365" t="e">
        <f aca="false">xSPRDOPT(I134,H134,AQ134,AT134,O134,N134,P134,D134-$G$5,1,1)*AF134*F134*AH134</f>
        <v>#VALUE!</v>
      </c>
      <c r="U134" s="501"/>
      <c r="V134" s="503" t="e">
        <f aca="false">VLOOKUP($AG134,$AL$4:$AS$15,8)*AH134*AU134</f>
        <v>#VALUE!</v>
      </c>
      <c r="W134" s="503"/>
      <c r="X134" s="504" t="e">
        <f aca="false">((BM134*BC134)+(BL134*BB134))*AH134*F134</f>
        <v>#VALUE!</v>
      </c>
      <c r="Y134" s="504" t="e">
        <f aca="false">($F134*$AH134)*((($BG134/2)*($BC134)^2)+(($BF134/2)*($BB134)^2)+($BH134*$BC134*$BB134))</f>
        <v>#VALUE!</v>
      </c>
      <c r="Z134" s="504" t="e">
        <f aca="false">($BI134*$F134*$AH134*($G$5-$BV$5))/365.25</f>
        <v>#VALUE!</v>
      </c>
      <c r="AA134" s="504" t="e">
        <f aca="false">(($BK134*$BE134)+($BJ134*$BD134))*$F134*$AH134*$AF134</f>
        <v>#VALUE!</v>
      </c>
      <c r="AB134" s="504" t="e">
        <f aca="false">BN134*(AT134-CA134)*F134*AH134</f>
        <v>#VALUE!</v>
      </c>
      <c r="AC134" s="504" t="e">
        <f aca="false">BO134*CB134*F134*AH134*CA134*($G$5-$BV$5)/365.25</f>
        <v>#NAME?</v>
      </c>
      <c r="AF134" s="378" t="e">
        <f aca="false">IF(AND(D134&gt;=$G$7,D134&lt;=$G$8),1,0)</f>
        <v>#VALUE!</v>
      </c>
      <c r="AG134" s="378" t="e">
        <f aca="false">MONTH(D134)</f>
        <v>#VALUE!</v>
      </c>
      <c r="AH134" s="378" t="e">
        <f aca="false">(EOMONTH(D134,0)-EOMONTH(D134-DAY(D134),0))*AF134</f>
        <v>#VALUE!</v>
      </c>
      <c r="AI134" s="378" t="e">
        <f aca="false">AI133+AH133</f>
        <v>#VALUE!</v>
      </c>
      <c r="AJ134" s="378" t="e">
        <f aca="false">D134-$BV$5</f>
        <v>#VALUE!</v>
      </c>
      <c r="AL134" s="369" t="e">
        <f aca="false">VLOOKUP($D134,CurveTbl,$AK$4)</f>
        <v>#VALUE!</v>
      </c>
      <c r="AM134" s="505" t="e">
        <f aca="false">VLOOKUP($D134,CurveTbl,$AH$3)</f>
        <v>#VALUE!</v>
      </c>
      <c r="AN134" s="505" t="e">
        <f aca="false">VLOOKUP($D134,CurveTbl,$AH$4)+VLOOKUP($AG134,$AL$3:$AS$15,6)</f>
        <v>#VALUE!</v>
      </c>
      <c r="AO134" s="505" t="e">
        <f aca="false">VLOOKUP($D134,CurveTbl,$AH$5)</f>
        <v>#VALUE!</v>
      </c>
      <c r="AP134" s="505" t="e">
        <f aca="false">VLOOKUP($D134,CurveTbl,$AH$6)+VLOOKUP($AG134,$AL$3:$AS$15,7)</f>
        <v>#VALUE!</v>
      </c>
      <c r="AQ134" s="369" t="e">
        <f aca="false">VLOOKUP($AG134,$AL$4:$AS$15,3)+VLOOKUP($AG134,$AL$4:$AS$15,5)+($AH$10*VLOOKUP(D134,GRITable,2))</f>
        <v>#VALUE!</v>
      </c>
      <c r="AR134" s="370" t="e">
        <f aca="false">VLOOKUP($AG134,$AL$4:$AS$15,4)</f>
        <v>#VALUE!</v>
      </c>
      <c r="AS134" s="369" t="e">
        <f aca="false">(AL134+AM134+AN134)</f>
        <v>#VALUE!</v>
      </c>
      <c r="AT134" s="370" t="e">
        <f aca="false">VLOOKUP(D134,CurveTbl,$AK$6)</f>
        <v>#VALUE!</v>
      </c>
      <c r="AU134" s="370" t="e">
        <f aca="false">(1+$AT134/2)^(-2*($D134-$G$5)/365.25)*$AF134</f>
        <v>#VALUE!</v>
      </c>
      <c r="AV134" s="506" t="e">
        <f aca="false">ROUND((F134/(1-AR134))-F134,0)*AF134*AH134*AU134</f>
        <v>#VALUE!</v>
      </c>
      <c r="AW134" s="370" t="e">
        <f aca="false">VLOOKUP($D134,CurveTbl,$AK$8)</f>
        <v>#VALUE!</v>
      </c>
      <c r="AX134" s="370" t="e">
        <f aca="false">VLOOKUP($D134,CurveTbl,$AH$7)</f>
        <v>#VALUE!</v>
      </c>
      <c r="AY134" s="370" t="e">
        <f aca="false">VLOOKUP($D134,CurveTbl,$AH$8)</f>
        <v>#VALUE!</v>
      </c>
      <c r="AZ134" s="370"/>
      <c r="BA134" s="507"/>
      <c r="BB134" s="505" t="e">
        <f aca="false">$H134-$BV134</f>
        <v>#VALUE!</v>
      </c>
      <c r="BC134" s="505" t="e">
        <f aca="false">I134-BW134</f>
        <v>#VALUE!</v>
      </c>
      <c r="BD134" s="370" t="e">
        <f aca="false">N134-BX134</f>
        <v>#VALUE!</v>
      </c>
      <c r="BE134" s="370" t="e">
        <f aca="false">O134-BY134</f>
        <v>#VALUE!</v>
      </c>
      <c r="BF134" s="370" t="e">
        <f aca="false">xSPRDOPT($BW134,$BV134,$CG134,0,$BY134,$BX134,$BZ134,$AJ134,1,4)*$CB134</f>
        <v>#NAME?</v>
      </c>
      <c r="BG134" s="370" t="e">
        <f aca="false">xSPRDOPT($BW134,$BV134,$CG134,0,$BY134,$BX134,$BZ134,$AJ134,1,3)*$CB134</f>
        <v>#NAME?</v>
      </c>
      <c r="BH134" s="370" t="e">
        <f aca="false">IF(OR(BF134&lt;&gt;0,BG134&lt;&gt;0),xSPRDOPT($BW134,$BV134,$CG134,0,$BY134,$BX134,$BZ134,$AJ134,1,12)*$CB134,0)</f>
        <v>#NAME?</v>
      </c>
      <c r="BI134" s="370" t="e">
        <f aca="false">xSPRDOPT($BW134,$BV134,$CG134,2*LN(1+CA134/2),$BY134,$BX134,$BZ134,$AJ134,1,9)</f>
        <v>#NAME?</v>
      </c>
      <c r="BJ134" s="370" t="e">
        <f aca="false">xSPRDOPT($BW134,$BV134,$CG134,0,$BY134,$BX134,$BZ134,$AJ134,1,6)*$CB134</f>
        <v>#NAME?</v>
      </c>
      <c r="BK134" s="370" t="e">
        <f aca="false">xSPRDOPT($BW134,$BV134,$CG134,0,$BY134,$BX134,$BZ134,$AJ134,1,5)*$CB134</f>
        <v>#NAME?</v>
      </c>
      <c r="BL134" s="370" t="e">
        <f aca="false">xSPRDOPT(BW134,BV134,CG134,0,BY134,BX134,BZ134,AJ134,1,2)*CB134</f>
        <v>#NAME?</v>
      </c>
      <c r="BM134" s="370" t="e">
        <f aca="false">xSPRDOPT(BW134,BV134,CG134,0,BY134,BX134,BZ134,AJ134,1,1)*CB134</f>
        <v>#NAME?</v>
      </c>
      <c r="BN134" s="370" t="e">
        <f aca="false">IF(AH134&lt;&gt;0,xSPRDOPT($BW134,$BV134,$CG134,2*LN(1+CA134/2),$BY134,$BX134,$BZ134,$AJ134,1,8)+(AJ134/365.25)*CH134/AH134,0)</f>
        <v>#VALUE!</v>
      </c>
      <c r="BO134" s="370" t="e">
        <f aca="false">xSPRDOPT($BW134,$BV134,$CG134,0,$BY134,$BX134,$BZ134,$AJ134,1,0)</f>
        <v>#NAME?</v>
      </c>
      <c r="BP134" s="370"/>
      <c r="BQ134" s="370"/>
      <c r="BR134" s="370"/>
      <c r="BS134" s="370"/>
      <c r="BV134" s="508" t="n">
        <v>3.86393861892583</v>
      </c>
      <c r="BW134" s="369" t="n">
        <v>4.4995</v>
      </c>
      <c r="BX134" s="370" t="n">
        <v>0.182116247404418</v>
      </c>
      <c r="BY134" s="370" t="n">
        <v>0.182116247404418</v>
      </c>
      <c r="BZ134" s="370" t="n">
        <v>1</v>
      </c>
      <c r="CA134" s="370" t="n">
        <v>0.0611520875701412</v>
      </c>
      <c r="CB134" s="370" t="n">
        <v>0.567140324661096</v>
      </c>
      <c r="CC134" s="505" t="n">
        <v>0.0175</v>
      </c>
      <c r="CD134" s="505" t="n">
        <v>0.01</v>
      </c>
      <c r="CE134" s="505" t="n">
        <v>0.75</v>
      </c>
      <c r="CF134" s="505" t="n">
        <v>0</v>
      </c>
      <c r="CG134" s="505" t="n">
        <v>0.0364</v>
      </c>
      <c r="CH134" s="505" t="n">
        <v>6.48224376877893</v>
      </c>
      <c r="CI134" s="505" t="n">
        <v>3.7495</v>
      </c>
      <c r="CJ134" s="505"/>
      <c r="CK134" s="505"/>
      <c r="CL134" s="505"/>
      <c r="CM134" s="505"/>
    </row>
    <row r="135" customFormat="false" ht="12.75" hidden="false" customHeight="false" outlineLevel="0" collapsed="false">
      <c r="A135" s="500"/>
      <c r="B135" s="500"/>
      <c r="D135" s="361" t="e">
        <f aca="false">D134+AH134</f>
        <v>#VALUE!</v>
      </c>
      <c r="F135" s="362" t="e">
        <f aca="false">VLOOKUP(AG135,$AL$4:$AS$15,2)</f>
        <v>#VALUE!</v>
      </c>
      <c r="G135" s="362" t="e">
        <f aca="false">F135*$AU135</f>
        <v>#VALUE!</v>
      </c>
      <c r="H135" s="363" t="e">
        <f aca="false">(AL135+AM135+AN135)/(1-(AR135))</f>
        <v>#VALUE!</v>
      </c>
      <c r="I135" s="363" t="e">
        <f aca="false">(AL135+AO135+AP135)</f>
        <v>#VALUE!</v>
      </c>
      <c r="K135" s="363" t="e">
        <f aca="false">MAX(((I135-H135)-AQ135)*AU135*AH135,0)</f>
        <v>#VALUE!</v>
      </c>
      <c r="L135" s="501" t="e">
        <f aca="false">MAX(Q135-K135,0)</f>
        <v>#VALUE!</v>
      </c>
      <c r="N135" s="502" t="e">
        <f aca="false">SQRT(($AX135^2*($AH135/2)+$AW135^2*$AI135)/(($AH135/2)+$AI135))</f>
        <v>#VALUE!</v>
      </c>
      <c r="O135" s="502" t="e">
        <f aca="false">SQRT(($AY135^2*($AH135/2)+$AW135^2*$AI135)/(($AH135/2)+$AI135))</f>
        <v>#VALUE!</v>
      </c>
      <c r="P135" s="371" t="e">
        <f aca="false">(VLOOKUP(AI135,CorrelationTwo,2)*(AW135^2)*AI135+VLOOKUP(D135,CorrelationOne,$AK$9)*AX135*AY135*(AH135/2))/((AI135+(AH135/2))*O135*N135)*AF135</f>
        <v>#VALUE!</v>
      </c>
      <c r="Q135" s="501" t="e">
        <f aca="false">xSPRDOPT(I135,H135,AQ135,0,O135,N135,P135,D135-$G$5,1,0)*AH135*AU135</f>
        <v>#VALUE!</v>
      </c>
      <c r="R135" s="501"/>
      <c r="S135" s="365" t="e">
        <f aca="false">-T135/(1-AR135)</f>
        <v>#VALUE!</v>
      </c>
      <c r="T135" s="365" t="e">
        <f aca="false">xSPRDOPT(I135,H135,AQ135,AT135,O135,N135,P135,D135-$G$5,1,1)*AF135*F135*AH135</f>
        <v>#VALUE!</v>
      </c>
      <c r="U135" s="501"/>
      <c r="V135" s="503" t="e">
        <f aca="false">VLOOKUP($AG135,$AL$4:$AS$15,8)*AH135*AU135</f>
        <v>#VALUE!</v>
      </c>
      <c r="W135" s="503"/>
      <c r="X135" s="504" t="e">
        <f aca="false">((BM135*BC135)+(BL135*BB135))*AH135*F135</f>
        <v>#VALUE!</v>
      </c>
      <c r="Y135" s="504" t="e">
        <f aca="false">($F135*$AH135)*((($BG135/2)*($BC135)^2)+(($BF135/2)*($BB135)^2)+($BH135*$BC135*$BB135))</f>
        <v>#VALUE!</v>
      </c>
      <c r="Z135" s="504" t="e">
        <f aca="false">($BI135*$F135*$AH135*($G$5-$BV$5))/365.25</f>
        <v>#VALUE!</v>
      </c>
      <c r="AA135" s="504" t="e">
        <f aca="false">(($BK135*$BE135)+($BJ135*$BD135))*$F135*$AH135*$AF135</f>
        <v>#VALUE!</v>
      </c>
      <c r="AB135" s="504" t="e">
        <f aca="false">BN135*(AT135-CA135)*F135*AH135</f>
        <v>#VALUE!</v>
      </c>
      <c r="AC135" s="504" t="e">
        <f aca="false">BO135*CB135*F135*AH135*CA135*($G$5-$BV$5)/365.25</f>
        <v>#NAME?</v>
      </c>
      <c r="AF135" s="378" t="e">
        <f aca="false">IF(AND(D135&gt;=$G$7,D135&lt;=$G$8),1,0)</f>
        <v>#VALUE!</v>
      </c>
      <c r="AG135" s="378" t="e">
        <f aca="false">MONTH(D135)</f>
        <v>#VALUE!</v>
      </c>
      <c r="AH135" s="378" t="e">
        <f aca="false">(EOMONTH(D135,0)-EOMONTH(D135-DAY(D135),0))*AF135</f>
        <v>#VALUE!</v>
      </c>
      <c r="AI135" s="378" t="e">
        <f aca="false">AI134+AH134</f>
        <v>#VALUE!</v>
      </c>
      <c r="AJ135" s="378" t="e">
        <f aca="false">D135-$BV$5</f>
        <v>#VALUE!</v>
      </c>
      <c r="AL135" s="369" t="e">
        <f aca="false">VLOOKUP($D135,CurveTbl,$AK$4)</f>
        <v>#VALUE!</v>
      </c>
      <c r="AM135" s="505" t="e">
        <f aca="false">VLOOKUP($D135,CurveTbl,$AH$3)</f>
        <v>#VALUE!</v>
      </c>
      <c r="AN135" s="505" t="e">
        <f aca="false">VLOOKUP($D135,CurveTbl,$AH$4)+VLOOKUP($AG135,$AL$3:$AS$15,6)</f>
        <v>#VALUE!</v>
      </c>
      <c r="AO135" s="505" t="e">
        <f aca="false">VLOOKUP($D135,CurveTbl,$AH$5)</f>
        <v>#VALUE!</v>
      </c>
      <c r="AP135" s="505" t="e">
        <f aca="false">VLOOKUP($D135,CurveTbl,$AH$6)+VLOOKUP($AG135,$AL$3:$AS$15,7)</f>
        <v>#VALUE!</v>
      </c>
      <c r="AQ135" s="369" t="e">
        <f aca="false">VLOOKUP($AG135,$AL$4:$AS$15,3)+VLOOKUP($AG135,$AL$4:$AS$15,5)+($AH$10*VLOOKUP(D135,GRITable,2))</f>
        <v>#VALUE!</v>
      </c>
      <c r="AR135" s="370" t="e">
        <f aca="false">VLOOKUP($AG135,$AL$4:$AS$15,4)</f>
        <v>#VALUE!</v>
      </c>
      <c r="AS135" s="369" t="e">
        <f aca="false">(AL135+AM135+AN135)</f>
        <v>#VALUE!</v>
      </c>
      <c r="AT135" s="370" t="e">
        <f aca="false">VLOOKUP(D135,CurveTbl,$AK$6)</f>
        <v>#VALUE!</v>
      </c>
      <c r="AU135" s="370" t="e">
        <f aca="false">(1+$AT135/2)^(-2*($D135-$G$5)/365.25)*$AF135</f>
        <v>#VALUE!</v>
      </c>
      <c r="AV135" s="506" t="e">
        <f aca="false">ROUND((F135/(1-AR135))-F135,0)*AF135*AH135*AU135</f>
        <v>#VALUE!</v>
      </c>
      <c r="AW135" s="370" t="e">
        <f aca="false">VLOOKUP($D135,CurveTbl,$AK$8)</f>
        <v>#VALUE!</v>
      </c>
      <c r="AX135" s="370" t="e">
        <f aca="false">VLOOKUP($D135,CurveTbl,$AH$7)</f>
        <v>#VALUE!</v>
      </c>
      <c r="AY135" s="370" t="e">
        <f aca="false">VLOOKUP($D135,CurveTbl,$AH$8)</f>
        <v>#VALUE!</v>
      </c>
      <c r="AZ135" s="370"/>
      <c r="BA135" s="507"/>
      <c r="BB135" s="505" t="e">
        <f aca="false">$H135-$BV135</f>
        <v>#VALUE!</v>
      </c>
      <c r="BC135" s="505" t="e">
        <f aca="false">I135-BW135</f>
        <v>#VALUE!</v>
      </c>
      <c r="BD135" s="370" t="e">
        <f aca="false">N135-BX135</f>
        <v>#VALUE!</v>
      </c>
      <c r="BE135" s="370" t="e">
        <f aca="false">O135-BY135</f>
        <v>#VALUE!</v>
      </c>
      <c r="BF135" s="370" t="e">
        <f aca="false">xSPRDOPT($BW135,$BV135,$CG135,0,$BY135,$BX135,$BZ135,$AJ135,1,4)*$CB135</f>
        <v>#NAME?</v>
      </c>
      <c r="BG135" s="370" t="e">
        <f aca="false">xSPRDOPT($BW135,$BV135,$CG135,0,$BY135,$BX135,$BZ135,$AJ135,1,3)*$CB135</f>
        <v>#NAME?</v>
      </c>
      <c r="BH135" s="370" t="e">
        <f aca="false">IF(OR(BF135&lt;&gt;0,BG135&lt;&gt;0),xSPRDOPT($BW135,$BV135,$CG135,0,$BY135,$BX135,$BZ135,$AJ135,1,12)*$CB135,0)</f>
        <v>#NAME?</v>
      </c>
      <c r="BI135" s="370" t="e">
        <f aca="false">xSPRDOPT($BW135,$BV135,$CG135,2*LN(1+CA135/2),$BY135,$BX135,$BZ135,$AJ135,1,9)</f>
        <v>#NAME?</v>
      </c>
      <c r="BJ135" s="370" t="e">
        <f aca="false">xSPRDOPT($BW135,$BV135,$CG135,0,$BY135,$BX135,$BZ135,$AJ135,1,6)*$CB135</f>
        <v>#NAME?</v>
      </c>
      <c r="BK135" s="370" t="e">
        <f aca="false">xSPRDOPT($BW135,$BV135,$CG135,0,$BY135,$BX135,$BZ135,$AJ135,1,5)*$CB135</f>
        <v>#NAME?</v>
      </c>
      <c r="BL135" s="370" t="e">
        <f aca="false">xSPRDOPT(BW135,BV135,CG135,0,BY135,BX135,BZ135,AJ135,1,2)*CB135</f>
        <v>#NAME?</v>
      </c>
      <c r="BM135" s="370" t="e">
        <f aca="false">xSPRDOPT(BW135,BV135,CG135,0,BY135,BX135,BZ135,AJ135,1,1)*CB135</f>
        <v>#NAME?</v>
      </c>
      <c r="BN135" s="370" t="e">
        <f aca="false">IF(AH135&lt;&gt;0,xSPRDOPT($BW135,$BV135,$CG135,2*LN(1+CA135/2),$BY135,$BX135,$BZ135,$AJ135,1,8)+(AJ135/365.25)*CH135/AH135,0)</f>
        <v>#VALUE!</v>
      </c>
      <c r="BO135" s="370" t="e">
        <f aca="false">xSPRDOPT($BW135,$BV135,$CG135,0,$BY135,$BX135,$BZ135,$AJ135,1,0)</f>
        <v>#NAME?</v>
      </c>
      <c r="BP135" s="370"/>
      <c r="BQ135" s="370"/>
      <c r="BR135" s="370"/>
      <c r="BS135" s="370"/>
      <c r="BV135" s="508" t="n">
        <v>3.8997442455243</v>
      </c>
      <c r="BW135" s="369" t="n">
        <v>4.6345</v>
      </c>
      <c r="BX135" s="370" t="n">
        <v>0.18203046654872</v>
      </c>
      <c r="BY135" s="370" t="n">
        <v>0.18203046654872</v>
      </c>
      <c r="BZ135" s="370" t="n">
        <v>1</v>
      </c>
      <c r="CA135" s="370" t="n">
        <v>0.0612612006036004</v>
      </c>
      <c r="CB135" s="370" t="n">
        <v>0.56368101330405</v>
      </c>
      <c r="CC135" s="505" t="n">
        <v>0.0175</v>
      </c>
      <c r="CD135" s="505" t="n">
        <v>0.01</v>
      </c>
      <c r="CE135" s="505" t="n">
        <v>0.85</v>
      </c>
      <c r="CF135" s="505" t="n">
        <v>0</v>
      </c>
      <c r="CG135" s="505" t="n">
        <v>0.0364</v>
      </c>
      <c r="CH135" s="505" t="n">
        <v>6.2348756881561</v>
      </c>
      <c r="CI135" s="505" t="n">
        <v>3.7845</v>
      </c>
      <c r="CJ135" s="505"/>
      <c r="CK135" s="505"/>
      <c r="CL135" s="505"/>
      <c r="CM135" s="505"/>
    </row>
    <row r="136" customFormat="false" ht="12.75" hidden="false" customHeight="false" outlineLevel="0" collapsed="false">
      <c r="A136" s="500"/>
      <c r="B136" s="500"/>
      <c r="D136" s="361" t="e">
        <f aca="false">D135+AH135</f>
        <v>#VALUE!</v>
      </c>
      <c r="F136" s="362" t="e">
        <f aca="false">VLOOKUP(AG136,$AL$4:$AS$15,2)</f>
        <v>#VALUE!</v>
      </c>
      <c r="G136" s="362" t="e">
        <f aca="false">F136*$AU136</f>
        <v>#VALUE!</v>
      </c>
      <c r="H136" s="363" t="e">
        <f aca="false">(AL136+AM136+AN136)/(1-(AR136))</f>
        <v>#VALUE!</v>
      </c>
      <c r="I136" s="363" t="e">
        <f aca="false">(AL136+AO136+AP136)</f>
        <v>#VALUE!</v>
      </c>
      <c r="K136" s="363" t="e">
        <f aca="false">MAX(((I136-H136)-AQ136)*AU136*AH136,0)</f>
        <v>#VALUE!</v>
      </c>
      <c r="L136" s="501" t="e">
        <f aca="false">MAX(Q136-K136,0)</f>
        <v>#VALUE!</v>
      </c>
      <c r="N136" s="502" t="e">
        <f aca="false">SQRT(($AX136^2*($AH136/2)+$AW136^2*$AI136)/(($AH136/2)+$AI136))</f>
        <v>#VALUE!</v>
      </c>
      <c r="O136" s="502" t="e">
        <f aca="false">SQRT(($AY136^2*($AH136/2)+$AW136^2*$AI136)/(($AH136/2)+$AI136))</f>
        <v>#VALUE!</v>
      </c>
      <c r="P136" s="371" t="e">
        <f aca="false">(VLOOKUP(AI136,CorrelationTwo,2)*(AW136^2)*AI136+VLOOKUP(D136,CorrelationOne,$AK$9)*AX136*AY136*(AH136/2))/((AI136+(AH136/2))*O136*N136)*AF136</f>
        <v>#VALUE!</v>
      </c>
      <c r="Q136" s="501" t="e">
        <f aca="false">xSPRDOPT(I136,H136,AQ136,0,O136,N136,P136,D136-$G$5,1,0)*AH136*AU136</f>
        <v>#VALUE!</v>
      </c>
      <c r="R136" s="501"/>
      <c r="S136" s="365" t="e">
        <f aca="false">-T136/(1-AR136)</f>
        <v>#VALUE!</v>
      </c>
      <c r="T136" s="365" t="e">
        <f aca="false">xSPRDOPT(I136,H136,AQ136,AT136,O136,N136,P136,D136-$G$5,1,1)*AF136*F136*AH136</f>
        <v>#VALUE!</v>
      </c>
      <c r="U136" s="501"/>
      <c r="V136" s="503" t="e">
        <f aca="false">VLOOKUP($AG136,$AL$4:$AS$15,8)*AH136*AU136</f>
        <v>#VALUE!</v>
      </c>
      <c r="W136" s="503"/>
      <c r="X136" s="504" t="e">
        <f aca="false">((BM136*BC136)+(BL136*BB136))*AH136*F136</f>
        <v>#VALUE!</v>
      </c>
      <c r="Y136" s="504" t="e">
        <f aca="false">($F136*$AH136)*((($BG136/2)*($BC136)^2)+(($BF136/2)*($BB136)^2)+($BH136*$BC136*$BB136))</f>
        <v>#VALUE!</v>
      </c>
      <c r="Z136" s="504" t="e">
        <f aca="false">($BI136*$F136*$AH136*($G$5-$BV$5))/365.25</f>
        <v>#VALUE!</v>
      </c>
      <c r="AA136" s="504" t="e">
        <f aca="false">(($BK136*$BE136)+($BJ136*$BD136))*$F136*$AH136*$AF136</f>
        <v>#VALUE!</v>
      </c>
      <c r="AB136" s="504" t="e">
        <f aca="false">BN136*(AT136-CA136)*F136*AH136</f>
        <v>#VALUE!</v>
      </c>
      <c r="AC136" s="504" t="e">
        <f aca="false">BO136*CB136*F136*AH136*CA136*($G$5-$BV$5)/365.25</f>
        <v>#NAME?</v>
      </c>
      <c r="AF136" s="378" t="e">
        <f aca="false">IF(AND(D136&gt;=$G$7,D136&lt;=$G$8),1,0)</f>
        <v>#VALUE!</v>
      </c>
      <c r="AG136" s="378" t="e">
        <f aca="false">MONTH(D136)</f>
        <v>#VALUE!</v>
      </c>
      <c r="AH136" s="378" t="e">
        <f aca="false">(EOMONTH(D136,0)-EOMONTH(D136-DAY(D136),0))*AF136</f>
        <v>#VALUE!</v>
      </c>
      <c r="AI136" s="378" t="e">
        <f aca="false">AI135+AH135</f>
        <v>#VALUE!</v>
      </c>
      <c r="AJ136" s="378" t="e">
        <f aca="false">D136-$BV$5</f>
        <v>#VALUE!</v>
      </c>
      <c r="AL136" s="369" t="e">
        <f aca="false">VLOOKUP($D136,CurveTbl,$AK$4)</f>
        <v>#VALUE!</v>
      </c>
      <c r="AM136" s="505" t="e">
        <f aca="false">VLOOKUP($D136,CurveTbl,$AH$3)</f>
        <v>#VALUE!</v>
      </c>
      <c r="AN136" s="505" t="e">
        <f aca="false">VLOOKUP($D136,CurveTbl,$AH$4)+VLOOKUP($AG136,$AL$3:$AS$15,6)</f>
        <v>#VALUE!</v>
      </c>
      <c r="AO136" s="505" t="e">
        <f aca="false">VLOOKUP($D136,CurveTbl,$AH$5)</f>
        <v>#VALUE!</v>
      </c>
      <c r="AP136" s="505" t="e">
        <f aca="false">VLOOKUP($D136,CurveTbl,$AH$6)+VLOOKUP($AG136,$AL$3:$AS$15,7)</f>
        <v>#VALUE!</v>
      </c>
      <c r="AQ136" s="369" t="e">
        <f aca="false">VLOOKUP($AG136,$AL$4:$AS$15,3)+VLOOKUP($AG136,$AL$4:$AS$15,5)+($AH$10*VLOOKUP(D136,GRITable,2))</f>
        <v>#VALUE!</v>
      </c>
      <c r="AR136" s="370" t="e">
        <f aca="false">VLOOKUP($AG136,$AL$4:$AS$15,4)</f>
        <v>#VALUE!</v>
      </c>
      <c r="AS136" s="369" t="e">
        <f aca="false">(AL136+AM136+AN136)</f>
        <v>#VALUE!</v>
      </c>
      <c r="AT136" s="370" t="e">
        <f aca="false">VLOOKUP(D136,CurveTbl,$AK$6)</f>
        <v>#VALUE!</v>
      </c>
      <c r="AU136" s="370" t="e">
        <f aca="false">(1+$AT136/2)^(-2*($D136-$G$5)/365.25)*$AF136</f>
        <v>#VALUE!</v>
      </c>
      <c r="AV136" s="506" t="e">
        <f aca="false">ROUND((F136/(1-AR136))-F136,0)*AF136*AH136*AU136</f>
        <v>#VALUE!</v>
      </c>
      <c r="AW136" s="370" t="e">
        <f aca="false">VLOOKUP($D136,CurveTbl,$AK$8)</f>
        <v>#VALUE!</v>
      </c>
      <c r="AX136" s="370" t="e">
        <f aca="false">VLOOKUP($D136,CurveTbl,$AH$7)</f>
        <v>#VALUE!</v>
      </c>
      <c r="AY136" s="370" t="e">
        <f aca="false">VLOOKUP($D136,CurveTbl,$AH$8)</f>
        <v>#VALUE!</v>
      </c>
      <c r="AZ136" s="370"/>
      <c r="BA136" s="507"/>
      <c r="BB136" s="505" t="e">
        <f aca="false">$H136-$BV136</f>
        <v>#VALUE!</v>
      </c>
      <c r="BC136" s="505" t="e">
        <f aca="false">I136-BW136</f>
        <v>#VALUE!</v>
      </c>
      <c r="BD136" s="370" t="e">
        <f aca="false">N136-BX136</f>
        <v>#VALUE!</v>
      </c>
      <c r="BE136" s="370" t="e">
        <f aca="false">O136-BY136</f>
        <v>#VALUE!</v>
      </c>
      <c r="BF136" s="370" t="e">
        <f aca="false">xSPRDOPT($BW136,$BV136,$CG136,0,$BY136,$BX136,$BZ136,$AJ136,1,4)*$CB136</f>
        <v>#NAME?</v>
      </c>
      <c r="BG136" s="370" t="e">
        <f aca="false">xSPRDOPT($BW136,$BV136,$CG136,0,$BY136,$BX136,$BZ136,$AJ136,1,3)*$CB136</f>
        <v>#NAME?</v>
      </c>
      <c r="BH136" s="370" t="e">
        <f aca="false">IF(OR(BF136&lt;&gt;0,BG136&lt;&gt;0),xSPRDOPT($BW136,$BV136,$CG136,0,$BY136,$BX136,$BZ136,$AJ136,1,12)*$CB136,0)</f>
        <v>#NAME?</v>
      </c>
      <c r="BI136" s="370" t="e">
        <f aca="false">xSPRDOPT($BW136,$BV136,$CG136,2*LN(1+CA136/2),$BY136,$BX136,$BZ136,$AJ136,1,9)</f>
        <v>#NAME?</v>
      </c>
      <c r="BJ136" s="370" t="e">
        <f aca="false">xSPRDOPT($BW136,$BV136,$CG136,0,$BY136,$BX136,$BZ136,$AJ136,1,6)*$CB136</f>
        <v>#NAME?</v>
      </c>
      <c r="BK136" s="370" t="e">
        <f aca="false">xSPRDOPT($BW136,$BV136,$CG136,0,$BY136,$BX136,$BZ136,$AJ136,1,5)*$CB136</f>
        <v>#NAME?</v>
      </c>
      <c r="BL136" s="370" t="e">
        <f aca="false">xSPRDOPT(BW136,BV136,CG136,0,BY136,BX136,BZ136,AJ136,1,2)*CB136</f>
        <v>#NAME?</v>
      </c>
      <c r="BM136" s="370" t="e">
        <f aca="false">xSPRDOPT(BW136,BV136,CG136,0,BY136,BX136,BZ136,AJ136,1,1)*CB136</f>
        <v>#NAME?</v>
      </c>
      <c r="BN136" s="370" t="e">
        <f aca="false">IF(AH136&lt;&gt;0,xSPRDOPT($BW136,$BV136,$CG136,2*LN(1+CA136/2),$BY136,$BX136,$BZ136,$AJ136,1,8)+(AJ136/365.25)*CH136/AH136,0)</f>
        <v>#VALUE!</v>
      </c>
      <c r="BO136" s="370" t="e">
        <f aca="false">xSPRDOPT($BW136,$BV136,$CG136,0,$BY136,$BX136,$BZ136,$AJ136,1,0)</f>
        <v>#NAME?</v>
      </c>
      <c r="BP136" s="370"/>
      <c r="BQ136" s="370"/>
      <c r="BR136" s="370"/>
      <c r="BS136" s="370"/>
      <c r="BV136" s="508" t="n">
        <v>3.94066496163683</v>
      </c>
      <c r="BW136" s="369" t="n">
        <v>4.8745</v>
      </c>
      <c r="BX136" s="370" t="n">
        <v>0.182656082088337</v>
      </c>
      <c r="BY136" s="370" t="n">
        <v>0.182656082088337</v>
      </c>
      <c r="BZ136" s="370" t="n">
        <v>1</v>
      </c>
      <c r="CA136" s="370" t="n">
        <v>0.0613667938655507</v>
      </c>
      <c r="CB136" s="370" t="n">
        <v>0.560343824569886</v>
      </c>
      <c r="CC136" s="505" t="n">
        <v>0.0175</v>
      </c>
      <c r="CD136" s="505" t="n">
        <v>0.01</v>
      </c>
      <c r="CE136" s="505" t="n">
        <v>1.05</v>
      </c>
      <c r="CF136" s="505" t="n">
        <v>0</v>
      </c>
      <c r="CG136" s="505" t="n">
        <v>0.0364</v>
      </c>
      <c r="CH136" s="505" t="n">
        <v>6.40456181168642</v>
      </c>
      <c r="CI136" s="505" t="n">
        <v>3.8245</v>
      </c>
      <c r="CJ136" s="505"/>
      <c r="CK136" s="505"/>
      <c r="CL136" s="505"/>
      <c r="CM136" s="505"/>
    </row>
    <row r="137" customFormat="false" ht="12.75" hidden="false" customHeight="false" outlineLevel="0" collapsed="false">
      <c r="A137" s="500"/>
      <c r="B137" s="500"/>
      <c r="D137" s="361" t="e">
        <f aca="false">D136+AH136</f>
        <v>#VALUE!</v>
      </c>
      <c r="F137" s="362" t="e">
        <f aca="false">VLOOKUP(AG137,$AL$4:$AS$15,2)</f>
        <v>#VALUE!</v>
      </c>
      <c r="G137" s="362" t="e">
        <f aca="false">F137*$AU137</f>
        <v>#VALUE!</v>
      </c>
      <c r="H137" s="363" t="e">
        <f aca="false">(AL137+AM137+AN137)/(1-(AR137))</f>
        <v>#VALUE!</v>
      </c>
      <c r="I137" s="363" t="e">
        <f aca="false">(AL137+AO137+AP137)</f>
        <v>#VALUE!</v>
      </c>
      <c r="K137" s="363" t="e">
        <f aca="false">MAX(((I137-H137)-AQ137)*AU137*AH137,0)</f>
        <v>#VALUE!</v>
      </c>
      <c r="L137" s="501" t="e">
        <f aca="false">MAX(Q137-K137,0)</f>
        <v>#VALUE!</v>
      </c>
      <c r="N137" s="502" t="e">
        <f aca="false">SQRT(($AX137^2*($AH137/2)+$AW137^2*$AI137)/(($AH137/2)+$AI137))</f>
        <v>#VALUE!</v>
      </c>
      <c r="O137" s="502" t="e">
        <f aca="false">SQRT(($AY137^2*($AH137/2)+$AW137^2*$AI137)/(($AH137/2)+$AI137))</f>
        <v>#VALUE!</v>
      </c>
      <c r="P137" s="371" t="e">
        <f aca="false">(VLOOKUP(AI137,CorrelationTwo,2)*(AW137^2)*AI137+VLOOKUP(D137,CorrelationOne,$AK$9)*AX137*AY137*(AH137/2))/((AI137+(AH137/2))*O137*N137)*AF137</f>
        <v>#VALUE!</v>
      </c>
      <c r="Q137" s="501" t="e">
        <f aca="false">xSPRDOPT(I137,H137,AQ137,0,O137,N137,P137,D137-$G$5,1,0)*AH137*AU137</f>
        <v>#VALUE!</v>
      </c>
      <c r="R137" s="501"/>
      <c r="S137" s="365" t="e">
        <f aca="false">-T137/(1-AR137)</f>
        <v>#VALUE!</v>
      </c>
      <c r="T137" s="365" t="e">
        <f aca="false">xSPRDOPT(I137,H137,AQ137,AT137,O137,N137,P137,D137-$G$5,1,1)*AF137*F137*AH137</f>
        <v>#VALUE!</v>
      </c>
      <c r="U137" s="501"/>
      <c r="V137" s="503" t="e">
        <f aca="false">VLOOKUP($AG137,$AL$4:$AS$15,8)*AH137*AU137</f>
        <v>#VALUE!</v>
      </c>
      <c r="W137" s="503"/>
      <c r="X137" s="504" t="e">
        <f aca="false">((BM137*BC137)+(BL137*BB137))*AH137*F137</f>
        <v>#VALUE!</v>
      </c>
      <c r="Y137" s="504" t="e">
        <f aca="false">($F137*$AH137)*((($BG137/2)*($BC137)^2)+(($BF137/2)*($BB137)^2)+($BH137*$BC137*$BB137))</f>
        <v>#VALUE!</v>
      </c>
      <c r="Z137" s="504" t="e">
        <f aca="false">($BI137*$F137*$AH137*($G$5-$BV$5))/365.25</f>
        <v>#VALUE!</v>
      </c>
      <c r="AA137" s="504" t="e">
        <f aca="false">(($BK137*$BE137)+($BJ137*$BD137))*$F137*$AH137*$AF137</f>
        <v>#VALUE!</v>
      </c>
      <c r="AB137" s="504" t="e">
        <f aca="false">BN137*(AT137-CA137)*F137*AH137</f>
        <v>#VALUE!</v>
      </c>
      <c r="AC137" s="504" t="e">
        <f aca="false">BO137*CB137*F137*AH137*CA137*($G$5-$BV$5)/365.25</f>
        <v>#NAME?</v>
      </c>
      <c r="AF137" s="378" t="e">
        <f aca="false">IF(AND(D137&gt;=$G$7,D137&lt;=$G$8),1,0)</f>
        <v>#VALUE!</v>
      </c>
      <c r="AG137" s="378" t="e">
        <f aca="false">MONTH(D137)</f>
        <v>#VALUE!</v>
      </c>
      <c r="AH137" s="378" t="e">
        <f aca="false">(EOMONTH(D137,0)-EOMONTH(D137-DAY(D137),0))*AF137</f>
        <v>#VALUE!</v>
      </c>
      <c r="AI137" s="378" t="e">
        <f aca="false">AI136+AH136</f>
        <v>#VALUE!</v>
      </c>
      <c r="AJ137" s="378" t="e">
        <f aca="false">D137-$BV$5</f>
        <v>#VALUE!</v>
      </c>
      <c r="AL137" s="369" t="e">
        <f aca="false">VLOOKUP($D137,CurveTbl,$AK$4)</f>
        <v>#VALUE!</v>
      </c>
      <c r="AM137" s="505" t="e">
        <f aca="false">VLOOKUP($D137,CurveTbl,$AH$3)</f>
        <v>#VALUE!</v>
      </c>
      <c r="AN137" s="505" t="e">
        <f aca="false">VLOOKUP($D137,CurveTbl,$AH$4)+VLOOKUP($AG137,$AL$3:$AS$15,6)</f>
        <v>#VALUE!</v>
      </c>
      <c r="AO137" s="505" t="e">
        <f aca="false">VLOOKUP($D137,CurveTbl,$AH$5)</f>
        <v>#VALUE!</v>
      </c>
      <c r="AP137" s="505" t="e">
        <f aca="false">VLOOKUP($D137,CurveTbl,$AH$6)+VLOOKUP($AG137,$AL$3:$AS$15,7)</f>
        <v>#VALUE!</v>
      </c>
      <c r="AQ137" s="369" t="e">
        <f aca="false">VLOOKUP($AG137,$AL$4:$AS$15,3)+VLOOKUP($AG137,$AL$4:$AS$15,5)+($AH$10*VLOOKUP(D137,GRITable,2))</f>
        <v>#VALUE!</v>
      </c>
      <c r="AR137" s="370" t="e">
        <f aca="false">VLOOKUP($AG137,$AL$4:$AS$15,4)</f>
        <v>#VALUE!</v>
      </c>
      <c r="AS137" s="369" t="e">
        <f aca="false">(AL137+AM137+AN137)</f>
        <v>#VALUE!</v>
      </c>
      <c r="AT137" s="370" t="e">
        <f aca="false">VLOOKUP(D137,CurveTbl,$AK$6)</f>
        <v>#VALUE!</v>
      </c>
      <c r="AU137" s="370" t="e">
        <f aca="false">(1+$AT137/2)^(-2*($D137-$G$5)/365.25)*$AF137</f>
        <v>#VALUE!</v>
      </c>
      <c r="AV137" s="506" t="e">
        <f aca="false">ROUND((F137/(1-AR137))-F137,0)*AF137*AH137*AU137</f>
        <v>#VALUE!</v>
      </c>
      <c r="AW137" s="370" t="e">
        <f aca="false">VLOOKUP($D137,CurveTbl,$AK$8)</f>
        <v>#VALUE!</v>
      </c>
      <c r="AX137" s="370" t="e">
        <f aca="false">VLOOKUP($D137,CurveTbl,$AH$7)</f>
        <v>#VALUE!</v>
      </c>
      <c r="AY137" s="370" t="e">
        <f aca="false">VLOOKUP($D137,CurveTbl,$AH$8)</f>
        <v>#VALUE!</v>
      </c>
      <c r="AZ137" s="370"/>
      <c r="BA137" s="507"/>
      <c r="BB137" s="505" t="e">
        <f aca="false">$H137-$BV137</f>
        <v>#VALUE!</v>
      </c>
      <c r="BC137" s="505" t="e">
        <f aca="false">I137-BW137</f>
        <v>#VALUE!</v>
      </c>
      <c r="BD137" s="370" t="e">
        <f aca="false">N137-BX137</f>
        <v>#VALUE!</v>
      </c>
      <c r="BE137" s="370" t="e">
        <f aca="false">O137-BY137</f>
        <v>#VALUE!</v>
      </c>
      <c r="BF137" s="370" t="e">
        <f aca="false">xSPRDOPT($BW137,$BV137,$CG137,0,$BY137,$BX137,$BZ137,$AJ137,1,4)*$CB137</f>
        <v>#NAME?</v>
      </c>
      <c r="BG137" s="370" t="e">
        <f aca="false">xSPRDOPT($BW137,$BV137,$CG137,0,$BY137,$BX137,$BZ137,$AJ137,1,3)*$CB137</f>
        <v>#NAME?</v>
      </c>
      <c r="BH137" s="370" t="e">
        <f aca="false">IF(OR(BF137&lt;&gt;0,BG137&lt;&gt;0),xSPRDOPT($BW137,$BV137,$CG137,0,$BY137,$BX137,$BZ137,$AJ137,1,12)*$CB137,0)</f>
        <v>#NAME?</v>
      </c>
      <c r="BI137" s="370" t="e">
        <f aca="false">xSPRDOPT($BW137,$BV137,$CG137,2*LN(1+CA137/2),$BY137,$BX137,$BZ137,$AJ137,1,9)</f>
        <v>#NAME?</v>
      </c>
      <c r="BJ137" s="370" t="e">
        <f aca="false">xSPRDOPT($BW137,$BV137,$CG137,0,$BY137,$BX137,$BZ137,$AJ137,1,6)*$CB137</f>
        <v>#NAME?</v>
      </c>
      <c r="BK137" s="370" t="e">
        <f aca="false">xSPRDOPT($BW137,$BV137,$CG137,0,$BY137,$BX137,$BZ137,$AJ137,1,5)*$CB137</f>
        <v>#NAME?</v>
      </c>
      <c r="BL137" s="370" t="e">
        <f aca="false">xSPRDOPT(BW137,BV137,CG137,0,BY137,BX137,BZ137,AJ137,1,2)*CB137</f>
        <v>#NAME?</v>
      </c>
      <c r="BM137" s="370" t="e">
        <f aca="false">xSPRDOPT(BW137,BV137,CG137,0,BY137,BX137,BZ137,AJ137,1,1)*CB137</f>
        <v>#NAME?</v>
      </c>
      <c r="BN137" s="370" t="e">
        <f aca="false">IF(AH137&lt;&gt;0,xSPRDOPT($BW137,$BV137,$CG137,2*LN(1+CA137/2),$BY137,$BX137,$BZ137,$AJ137,1,8)+(AJ137/365.25)*CH137/AH137,0)</f>
        <v>#VALUE!</v>
      </c>
      <c r="BO137" s="370" t="e">
        <f aca="false">xSPRDOPT($BW137,$BV137,$CG137,0,$BY137,$BX137,$BZ137,$AJ137,1,0)</f>
        <v>#NAME?</v>
      </c>
      <c r="BP137" s="370"/>
      <c r="BQ137" s="370"/>
      <c r="BR137" s="370"/>
      <c r="BS137" s="370"/>
      <c r="BV137" s="508" t="n">
        <v>3.97647058823529</v>
      </c>
      <c r="BW137" s="369" t="n">
        <v>4.9145</v>
      </c>
      <c r="BX137" s="370" t="n">
        <v>0.18326252251491</v>
      </c>
      <c r="BY137" s="370" t="n">
        <v>0.18326252251491</v>
      </c>
      <c r="BZ137" s="370" t="n">
        <v>1</v>
      </c>
      <c r="CA137" s="370" t="n">
        <v>0.0614759069067894</v>
      </c>
      <c r="CB137" s="370" t="n">
        <v>0.556906334032708</v>
      </c>
      <c r="CC137" s="505" t="n">
        <v>0.0125</v>
      </c>
      <c r="CD137" s="505" t="n">
        <v>0.01</v>
      </c>
      <c r="CE137" s="505" t="n">
        <v>1.05</v>
      </c>
      <c r="CF137" s="505" t="n">
        <v>0</v>
      </c>
      <c r="CG137" s="505" t="n">
        <v>0.0364</v>
      </c>
      <c r="CH137" s="505" t="n">
        <v>6.36527232609364</v>
      </c>
      <c r="CI137" s="505" t="n">
        <v>3.8645</v>
      </c>
      <c r="CJ137" s="505"/>
      <c r="CK137" s="505"/>
      <c r="CL137" s="505"/>
      <c r="CM137" s="505"/>
    </row>
    <row r="138" customFormat="false" ht="12.75" hidden="false" customHeight="false" outlineLevel="0" collapsed="false">
      <c r="A138" s="500"/>
      <c r="B138" s="500"/>
      <c r="D138" s="361" t="e">
        <f aca="false">D137+AH137</f>
        <v>#VALUE!</v>
      </c>
      <c r="F138" s="362" t="e">
        <f aca="false">VLOOKUP(AG138,$AL$4:$AS$15,2)</f>
        <v>#VALUE!</v>
      </c>
      <c r="G138" s="362" t="e">
        <f aca="false">F138*$AU138</f>
        <v>#VALUE!</v>
      </c>
      <c r="H138" s="363" t="e">
        <f aca="false">(AL138+AM138+AN138)/(1-(AR138))</f>
        <v>#VALUE!</v>
      </c>
      <c r="I138" s="363" t="e">
        <f aca="false">(AL138+AO138+AP138)</f>
        <v>#VALUE!</v>
      </c>
      <c r="K138" s="363" t="e">
        <f aca="false">MAX(((I138-H138)-AQ138)*AU138*AH138,0)</f>
        <v>#VALUE!</v>
      </c>
      <c r="L138" s="501" t="e">
        <f aca="false">MAX(Q138-K138,0)</f>
        <v>#VALUE!</v>
      </c>
      <c r="N138" s="502" t="e">
        <f aca="false">SQRT(($AX138^2*($AH138/2)+$AW138^2*$AI138)/(($AH138/2)+$AI138))</f>
        <v>#VALUE!</v>
      </c>
      <c r="O138" s="502" t="e">
        <f aca="false">SQRT(($AY138^2*($AH138/2)+$AW138^2*$AI138)/(($AH138/2)+$AI138))</f>
        <v>#VALUE!</v>
      </c>
      <c r="P138" s="371" t="e">
        <f aca="false">(VLOOKUP(AI138,CorrelationTwo,2)*(AW138^2)*AI138+VLOOKUP(D138,CorrelationOne,$AK$9)*AX138*AY138*(AH138/2))/((AI138+(AH138/2))*O138*N138)*AF138</f>
        <v>#VALUE!</v>
      </c>
      <c r="Q138" s="501" t="e">
        <f aca="false">xSPRDOPT(I138,H138,AQ138,0,O138,N138,P138,D138-$G$5,1,0)*AH138*AU138</f>
        <v>#VALUE!</v>
      </c>
      <c r="R138" s="501"/>
      <c r="S138" s="365" t="e">
        <f aca="false">-T138/(1-AR138)</f>
        <v>#VALUE!</v>
      </c>
      <c r="T138" s="365" t="e">
        <f aca="false">xSPRDOPT(I138,H138,AQ138,AT138,O138,N138,P138,D138-$G$5,1,1)*AF138*F138*AH138</f>
        <v>#VALUE!</v>
      </c>
      <c r="U138" s="501"/>
      <c r="V138" s="503" t="e">
        <f aca="false">VLOOKUP($AG138,$AL$4:$AS$15,8)*AH138*AU138</f>
        <v>#VALUE!</v>
      </c>
      <c r="W138" s="503"/>
      <c r="X138" s="504" t="e">
        <f aca="false">((BM138*BC138)+(BL138*BB138))*AH138*F138</f>
        <v>#VALUE!</v>
      </c>
      <c r="Y138" s="504" t="e">
        <f aca="false">($F138*$AH138)*((($BG138/2)*($BC138)^2)+(($BF138/2)*($BB138)^2)+($BH138*$BC138*$BB138))</f>
        <v>#VALUE!</v>
      </c>
      <c r="Z138" s="504" t="e">
        <f aca="false">($BI138*$F138*$AH138*($G$5-$BV$5))/365.25</f>
        <v>#VALUE!</v>
      </c>
      <c r="AA138" s="504" t="e">
        <f aca="false">(($BK138*$BE138)+($BJ138*$BD138))*$F138*$AH138*$AF138</f>
        <v>#VALUE!</v>
      </c>
      <c r="AB138" s="504" t="e">
        <f aca="false">BN138*(AT138-CA138)*F138*AH138</f>
        <v>#VALUE!</v>
      </c>
      <c r="AC138" s="504" t="e">
        <f aca="false">BO138*CB138*F138*AH138*CA138*($G$5-$BV$5)/365.25</f>
        <v>#NAME?</v>
      </c>
      <c r="AF138" s="378" t="e">
        <f aca="false">IF(AND(D138&gt;=$G$7,D138&lt;=$G$8),1,0)</f>
        <v>#VALUE!</v>
      </c>
      <c r="AG138" s="378" t="e">
        <f aca="false">MONTH(D138)</f>
        <v>#VALUE!</v>
      </c>
      <c r="AH138" s="378" t="e">
        <f aca="false">(EOMONTH(D138,0)-EOMONTH(D138-DAY(D138),0))*AF138</f>
        <v>#VALUE!</v>
      </c>
      <c r="AI138" s="378" t="e">
        <f aca="false">AI137+AH137</f>
        <v>#VALUE!</v>
      </c>
      <c r="AJ138" s="378" t="e">
        <f aca="false">D138-$BV$5</f>
        <v>#VALUE!</v>
      </c>
      <c r="AL138" s="369" t="e">
        <f aca="false">VLOOKUP($D138,CurveTbl,$AK$4)</f>
        <v>#VALUE!</v>
      </c>
      <c r="AM138" s="505" t="e">
        <f aca="false">VLOOKUP($D138,CurveTbl,$AH$3)</f>
        <v>#VALUE!</v>
      </c>
      <c r="AN138" s="505" t="e">
        <f aca="false">VLOOKUP($D138,CurveTbl,$AH$4)+VLOOKUP($AG138,$AL$3:$AS$15,6)</f>
        <v>#VALUE!</v>
      </c>
      <c r="AO138" s="505" t="e">
        <f aca="false">VLOOKUP($D138,CurveTbl,$AH$5)</f>
        <v>#VALUE!</v>
      </c>
      <c r="AP138" s="505" t="e">
        <f aca="false">VLOOKUP($D138,CurveTbl,$AH$6)+VLOOKUP($AG138,$AL$3:$AS$15,7)</f>
        <v>#VALUE!</v>
      </c>
      <c r="AQ138" s="369" t="e">
        <f aca="false">VLOOKUP($AG138,$AL$4:$AS$15,3)+VLOOKUP($AG138,$AL$4:$AS$15,5)+($AH$10*VLOOKUP(D138,GRITable,2))</f>
        <v>#VALUE!</v>
      </c>
      <c r="AR138" s="370" t="e">
        <f aca="false">VLOOKUP($AG138,$AL$4:$AS$15,4)</f>
        <v>#VALUE!</v>
      </c>
      <c r="AS138" s="369" t="e">
        <f aca="false">(AL138+AM138+AN138)</f>
        <v>#VALUE!</v>
      </c>
      <c r="AT138" s="370" t="e">
        <f aca="false">VLOOKUP(D138,CurveTbl,$AK$6)</f>
        <v>#VALUE!</v>
      </c>
      <c r="AU138" s="370" t="e">
        <f aca="false">(1+$AT138/2)^(-2*($D138-$G$5)/365.25)*$AF138</f>
        <v>#VALUE!</v>
      </c>
      <c r="AV138" s="506" t="e">
        <f aca="false">ROUND((F138/(1-AR138))-F138,0)*AF138*AH138*AU138</f>
        <v>#VALUE!</v>
      </c>
      <c r="AW138" s="370" t="e">
        <f aca="false">VLOOKUP($D138,CurveTbl,$AK$8)</f>
        <v>#VALUE!</v>
      </c>
      <c r="AX138" s="370" t="e">
        <f aca="false">VLOOKUP($D138,CurveTbl,$AH$7)</f>
        <v>#VALUE!</v>
      </c>
      <c r="AY138" s="370" t="e">
        <f aca="false">VLOOKUP($D138,CurveTbl,$AH$8)</f>
        <v>#VALUE!</v>
      </c>
      <c r="AZ138" s="370"/>
      <c r="BA138" s="507"/>
      <c r="BB138" s="505" t="e">
        <f aca="false">$H138-$BV138</f>
        <v>#VALUE!</v>
      </c>
      <c r="BC138" s="505" t="e">
        <f aca="false">I138-BW138</f>
        <v>#VALUE!</v>
      </c>
      <c r="BD138" s="370" t="e">
        <f aca="false">N138-BX138</f>
        <v>#VALUE!</v>
      </c>
      <c r="BE138" s="370" t="e">
        <f aca="false">O138-BY138</f>
        <v>#VALUE!</v>
      </c>
      <c r="BF138" s="370" t="e">
        <f aca="false">xSPRDOPT($BW138,$BV138,$CG138,0,$BY138,$BX138,$BZ138,$AJ138,1,4)*$CB138</f>
        <v>#NAME?</v>
      </c>
      <c r="BG138" s="370" t="e">
        <f aca="false">xSPRDOPT($BW138,$BV138,$CG138,0,$BY138,$BX138,$BZ138,$AJ138,1,3)*$CB138</f>
        <v>#NAME?</v>
      </c>
      <c r="BH138" s="370" t="e">
        <f aca="false">IF(OR(BF138&lt;&gt;0,BG138&lt;&gt;0),xSPRDOPT($BW138,$BV138,$CG138,0,$BY138,$BX138,$BZ138,$AJ138,1,12)*$CB138,0)</f>
        <v>#NAME?</v>
      </c>
      <c r="BI138" s="370" t="e">
        <f aca="false">xSPRDOPT($BW138,$BV138,$CG138,2*LN(1+CA138/2),$BY138,$BX138,$BZ138,$AJ138,1,9)</f>
        <v>#NAME?</v>
      </c>
      <c r="BJ138" s="370" t="e">
        <f aca="false">xSPRDOPT($BW138,$BV138,$CG138,0,$BY138,$BX138,$BZ138,$AJ138,1,6)*$CB138</f>
        <v>#NAME?</v>
      </c>
      <c r="BK138" s="370" t="e">
        <f aca="false">xSPRDOPT($BW138,$BV138,$CG138,0,$BY138,$BX138,$BZ138,$AJ138,1,5)*$CB138</f>
        <v>#NAME?</v>
      </c>
      <c r="BL138" s="370" t="e">
        <f aca="false">xSPRDOPT(BW138,BV138,CG138,0,BY138,BX138,BZ138,AJ138,1,2)*CB138</f>
        <v>#NAME?</v>
      </c>
      <c r="BM138" s="370" t="e">
        <f aca="false">xSPRDOPT(BW138,BV138,CG138,0,BY138,BX138,BZ138,AJ138,1,1)*CB138</f>
        <v>#NAME?</v>
      </c>
      <c r="BN138" s="370" t="e">
        <f aca="false">IF(AH138&lt;&gt;0,xSPRDOPT($BW138,$BV138,$CG138,2*LN(1+CA138/2),$BY138,$BX138,$BZ138,$AJ138,1,8)+(AJ138/365.25)*CH138/AH138,0)</f>
        <v>#VALUE!</v>
      </c>
      <c r="BO138" s="370" t="e">
        <f aca="false">xSPRDOPT($BW138,$BV138,$CG138,0,$BY138,$BX138,$BZ138,$AJ138,1,0)</f>
        <v>#NAME?</v>
      </c>
      <c r="BP138" s="370"/>
      <c r="BQ138" s="370"/>
      <c r="BR138" s="370"/>
      <c r="BS138" s="370"/>
      <c r="BV138" s="508" t="n">
        <v>3.97135549872123</v>
      </c>
      <c r="BW138" s="369" t="n">
        <v>4.6095</v>
      </c>
      <c r="BX138" s="370" t="n">
        <v>0.183131383341065</v>
      </c>
      <c r="BY138" s="370" t="n">
        <v>0.183131383341065</v>
      </c>
      <c r="BZ138" s="370" t="n">
        <v>1</v>
      </c>
      <c r="CA138" s="370" t="n">
        <v>0.0615850199519805</v>
      </c>
      <c r="CB138" s="370" t="n">
        <v>0.553480015409716</v>
      </c>
      <c r="CC138" s="505" t="n">
        <v>0.0125</v>
      </c>
      <c r="CD138" s="505" t="n">
        <v>0.01</v>
      </c>
      <c r="CE138" s="505" t="n">
        <v>0.75</v>
      </c>
      <c r="CF138" s="505" t="n">
        <v>0</v>
      </c>
      <c r="CG138" s="505" t="n">
        <v>0.0364</v>
      </c>
      <c r="CH138" s="505" t="n">
        <v>6.12204245044687</v>
      </c>
      <c r="CI138" s="505" t="n">
        <v>3.8595</v>
      </c>
      <c r="CJ138" s="505"/>
      <c r="CK138" s="505"/>
      <c r="CL138" s="505"/>
      <c r="CM138" s="505"/>
    </row>
    <row r="139" customFormat="false" ht="12.75" hidden="false" customHeight="false" outlineLevel="0" collapsed="false">
      <c r="A139" s="500"/>
      <c r="B139" s="500"/>
      <c r="D139" s="361" t="e">
        <f aca="false">D138+AH138</f>
        <v>#VALUE!</v>
      </c>
      <c r="F139" s="362" t="e">
        <f aca="false">VLOOKUP(AG139,$AL$4:$AS$15,2)</f>
        <v>#VALUE!</v>
      </c>
      <c r="G139" s="362" t="e">
        <f aca="false">F139*$AU139</f>
        <v>#VALUE!</v>
      </c>
      <c r="H139" s="363" t="e">
        <f aca="false">(AL139+AM139+AN139)/(1-(AR139))</f>
        <v>#VALUE!</v>
      </c>
      <c r="I139" s="363" t="e">
        <f aca="false">(AL139+AO139+AP139)</f>
        <v>#VALUE!</v>
      </c>
      <c r="K139" s="363" t="e">
        <f aca="false">MAX(((I139-H139)-AQ139)*AU139*AH139,0)</f>
        <v>#VALUE!</v>
      </c>
      <c r="L139" s="501" t="e">
        <f aca="false">MAX(Q139-K139,0)</f>
        <v>#VALUE!</v>
      </c>
      <c r="N139" s="502" t="e">
        <f aca="false">SQRT(($AX139^2*($AH139/2)+$AW139^2*$AI139)/(($AH139/2)+$AI139))</f>
        <v>#VALUE!</v>
      </c>
      <c r="O139" s="502" t="e">
        <f aca="false">SQRT(($AY139^2*($AH139/2)+$AW139^2*$AI139)/(($AH139/2)+$AI139))</f>
        <v>#VALUE!</v>
      </c>
      <c r="P139" s="371" t="e">
        <f aca="false">(VLOOKUP(AI139,CorrelationTwo,2)*(AW139^2)*AI139+VLOOKUP(D139,CorrelationOne,$AK$9)*AX139*AY139*(AH139/2))/((AI139+(AH139/2))*O139*N139)*AF139</f>
        <v>#VALUE!</v>
      </c>
      <c r="Q139" s="501" t="e">
        <f aca="false">xSPRDOPT(I139,H139,AQ139,0,O139,N139,P139,D139-$G$5,1,0)*AH139*AU139</f>
        <v>#VALUE!</v>
      </c>
      <c r="R139" s="501"/>
      <c r="S139" s="365" t="e">
        <f aca="false">-T139/(1-AR139)</f>
        <v>#VALUE!</v>
      </c>
      <c r="T139" s="365" t="e">
        <f aca="false">xSPRDOPT(I139,H139,AQ139,AT139,O139,N139,P139,D139-$G$5,1,1)*AF139*F139*AH139</f>
        <v>#VALUE!</v>
      </c>
      <c r="U139" s="501"/>
      <c r="V139" s="503" t="e">
        <f aca="false">VLOOKUP($AG139,$AL$4:$AS$15,8)*AH139*AU139</f>
        <v>#VALUE!</v>
      </c>
      <c r="W139" s="503"/>
      <c r="X139" s="504" t="e">
        <f aca="false">((BM139*BC139)+(BL139*BB139))*AH139*F139</f>
        <v>#VALUE!</v>
      </c>
      <c r="Y139" s="504" t="e">
        <f aca="false">($F139*$AH139)*((($BG139/2)*($BC139)^2)+(($BF139/2)*($BB139)^2)+($BH139*$BC139*$BB139))</f>
        <v>#VALUE!</v>
      </c>
      <c r="Z139" s="504" t="e">
        <f aca="false">($BI139*$F139*$AH139*($G$5-$BV$5))/365.25</f>
        <v>#VALUE!</v>
      </c>
      <c r="AA139" s="504" t="e">
        <f aca="false">(($BK139*$BE139)+($BJ139*$BD139))*$F139*$AH139*$AF139</f>
        <v>#VALUE!</v>
      </c>
      <c r="AB139" s="504" t="e">
        <f aca="false">BN139*(AT139-CA139)*F139*AH139</f>
        <v>#VALUE!</v>
      </c>
      <c r="AC139" s="504" t="e">
        <f aca="false">BO139*CB139*F139*AH139*CA139*($G$5-$BV$5)/365.25</f>
        <v>#NAME?</v>
      </c>
      <c r="AF139" s="378" t="e">
        <f aca="false">IF(AND(D139&gt;=$G$7,D139&lt;=$G$8),1,0)</f>
        <v>#VALUE!</v>
      </c>
      <c r="AG139" s="378" t="e">
        <f aca="false">MONTH(D139)</f>
        <v>#VALUE!</v>
      </c>
      <c r="AH139" s="378" t="e">
        <f aca="false">(EOMONTH(D139,0)-EOMONTH(D139-DAY(D139),0))*AF139</f>
        <v>#VALUE!</v>
      </c>
      <c r="AI139" s="378" t="e">
        <f aca="false">AI138+AH138</f>
        <v>#VALUE!</v>
      </c>
      <c r="AJ139" s="378" t="e">
        <f aca="false">D139-$BV$5</f>
        <v>#VALUE!</v>
      </c>
      <c r="AL139" s="369" t="e">
        <f aca="false">VLOOKUP($D139,CurveTbl,$AK$4)</f>
        <v>#VALUE!</v>
      </c>
      <c r="AM139" s="505" t="e">
        <f aca="false">VLOOKUP($D139,CurveTbl,$AH$3)</f>
        <v>#VALUE!</v>
      </c>
      <c r="AN139" s="505" t="e">
        <f aca="false">VLOOKUP($D139,CurveTbl,$AH$4)+VLOOKUP($AG139,$AL$3:$AS$15,6)</f>
        <v>#VALUE!</v>
      </c>
      <c r="AO139" s="505" t="e">
        <f aca="false">VLOOKUP($D139,CurveTbl,$AH$5)</f>
        <v>#VALUE!</v>
      </c>
      <c r="AP139" s="505" t="e">
        <f aca="false">VLOOKUP($D139,CurveTbl,$AH$6)+VLOOKUP($AG139,$AL$3:$AS$15,7)</f>
        <v>#VALUE!</v>
      </c>
      <c r="AQ139" s="369" t="e">
        <f aca="false">VLOOKUP($AG139,$AL$4:$AS$15,3)+VLOOKUP($AG139,$AL$4:$AS$15,5)+($AH$10*VLOOKUP(D139,GRITable,2))</f>
        <v>#VALUE!</v>
      </c>
      <c r="AR139" s="370" t="e">
        <f aca="false">VLOOKUP($AG139,$AL$4:$AS$15,4)</f>
        <v>#VALUE!</v>
      </c>
      <c r="AS139" s="369" t="e">
        <f aca="false">(AL139+AM139+AN139)</f>
        <v>#VALUE!</v>
      </c>
      <c r="AT139" s="370" t="e">
        <f aca="false">VLOOKUP(D139,CurveTbl,$AK$6)</f>
        <v>#VALUE!</v>
      </c>
      <c r="AU139" s="370" t="e">
        <f aca="false">(1+$AT139/2)^(-2*($D139-$G$5)/365.25)*$AF139</f>
        <v>#VALUE!</v>
      </c>
      <c r="AV139" s="506" t="e">
        <f aca="false">ROUND((F139/(1-AR139))-F139,0)*AF139*AH139*AU139</f>
        <v>#VALUE!</v>
      </c>
      <c r="AW139" s="370" t="e">
        <f aca="false">VLOOKUP($D139,CurveTbl,$AK$8)</f>
        <v>#VALUE!</v>
      </c>
      <c r="AX139" s="370" t="e">
        <f aca="false">VLOOKUP($D139,CurveTbl,$AH$7)</f>
        <v>#VALUE!</v>
      </c>
      <c r="AY139" s="370" t="e">
        <f aca="false">VLOOKUP($D139,CurveTbl,$AH$8)</f>
        <v>#VALUE!</v>
      </c>
      <c r="AZ139" s="370"/>
      <c r="BA139" s="507"/>
      <c r="BB139" s="505" t="e">
        <f aca="false">$H139-$BV139</f>
        <v>#VALUE!</v>
      </c>
      <c r="BC139" s="505" t="e">
        <f aca="false">I139-BW139</f>
        <v>#VALUE!</v>
      </c>
      <c r="BD139" s="370" t="e">
        <f aca="false">N139-BX139</f>
        <v>#VALUE!</v>
      </c>
      <c r="BE139" s="370" t="e">
        <f aca="false">O139-BY139</f>
        <v>#VALUE!</v>
      </c>
      <c r="BF139" s="370" t="e">
        <f aca="false">xSPRDOPT($BW139,$BV139,$CG139,0,$BY139,$BX139,$BZ139,$AJ139,1,4)*$CB139</f>
        <v>#NAME?</v>
      </c>
      <c r="BG139" s="370" t="e">
        <f aca="false">xSPRDOPT($BW139,$BV139,$CG139,0,$BY139,$BX139,$BZ139,$AJ139,1,3)*$CB139</f>
        <v>#NAME?</v>
      </c>
      <c r="BH139" s="370" t="e">
        <f aca="false">IF(OR(BF139&lt;&gt;0,BG139&lt;&gt;0),xSPRDOPT($BW139,$BV139,$CG139,0,$BY139,$BX139,$BZ139,$AJ139,1,12)*$CB139,0)</f>
        <v>#NAME?</v>
      </c>
      <c r="BI139" s="370" t="e">
        <f aca="false">xSPRDOPT($BW139,$BV139,$CG139,2*LN(1+CA139/2),$BY139,$BX139,$BZ139,$AJ139,1,9)</f>
        <v>#NAME?</v>
      </c>
      <c r="BJ139" s="370" t="e">
        <f aca="false">xSPRDOPT($BW139,$BV139,$CG139,0,$BY139,$BX139,$BZ139,$AJ139,1,6)*$CB139</f>
        <v>#NAME?</v>
      </c>
      <c r="BK139" s="370" t="e">
        <f aca="false">xSPRDOPT($BW139,$BV139,$CG139,0,$BY139,$BX139,$BZ139,$AJ139,1,5)*$CB139</f>
        <v>#NAME?</v>
      </c>
      <c r="BL139" s="370" t="e">
        <f aca="false">xSPRDOPT(BW139,BV139,CG139,0,BY139,BX139,BZ139,AJ139,1,2)*CB139</f>
        <v>#NAME?</v>
      </c>
      <c r="BM139" s="370" t="e">
        <f aca="false">xSPRDOPT(BW139,BV139,CG139,0,BY139,BX139,BZ139,AJ139,1,1)*CB139</f>
        <v>#NAME?</v>
      </c>
      <c r="BN139" s="370" t="e">
        <f aca="false">IF(AH139&lt;&gt;0,xSPRDOPT($BW139,$BV139,$CG139,2*LN(1+CA139/2),$BY139,$BX139,$BZ139,$AJ139,1,8)+(AJ139/365.25)*CH139/AH139,0)</f>
        <v>#VALUE!</v>
      </c>
      <c r="BO139" s="370" t="e">
        <f aca="false">xSPRDOPT($BW139,$BV139,$CG139,0,$BY139,$BX139,$BZ139,$AJ139,1,0)</f>
        <v>#NAME?</v>
      </c>
      <c r="BP139" s="370"/>
      <c r="BQ139" s="370"/>
      <c r="BR139" s="370"/>
      <c r="BS139" s="370"/>
      <c r="BV139" s="508" t="n">
        <v>4.00461538461538</v>
      </c>
      <c r="BW139" s="369" t="n">
        <v>4.3345</v>
      </c>
      <c r="BX139" s="370" t="n">
        <v>0.183883254655507</v>
      </c>
      <c r="BY139" s="370" t="n">
        <v>0.183883254655507</v>
      </c>
      <c r="BZ139" s="370" t="n">
        <v>1</v>
      </c>
      <c r="CA139" s="370" t="n">
        <v>0.0616906132252839</v>
      </c>
      <c r="CB139" s="370" t="n">
        <v>0.550174911622432</v>
      </c>
      <c r="CC139" s="505" t="n">
        <v>0.01</v>
      </c>
      <c r="CD139" s="505" t="n">
        <v>0.01</v>
      </c>
      <c r="CE139" s="505" t="n">
        <v>0.45</v>
      </c>
      <c r="CF139" s="505" t="n">
        <v>0</v>
      </c>
      <c r="CG139" s="505" t="n">
        <v>0.0364</v>
      </c>
      <c r="CH139" s="505" t="n">
        <v>6.28833418737091</v>
      </c>
      <c r="CI139" s="505" t="n">
        <v>3.8845</v>
      </c>
      <c r="CJ139" s="505"/>
      <c r="CK139" s="505"/>
      <c r="CL139" s="505"/>
      <c r="CM139" s="505"/>
    </row>
    <row r="140" customFormat="false" ht="12.75" hidden="false" customHeight="false" outlineLevel="0" collapsed="false">
      <c r="A140" s="500"/>
      <c r="B140" s="500"/>
      <c r="D140" s="361" t="e">
        <f aca="false">D139+AH139</f>
        <v>#VALUE!</v>
      </c>
      <c r="F140" s="362" t="e">
        <f aca="false">VLOOKUP(AG140,$AL$4:$AS$15,2)</f>
        <v>#VALUE!</v>
      </c>
      <c r="G140" s="362" t="e">
        <f aca="false">F140*$AU140</f>
        <v>#VALUE!</v>
      </c>
      <c r="H140" s="363" t="e">
        <f aca="false">(AL140+AM140+AN140)/(1-(AR140))</f>
        <v>#VALUE!</v>
      </c>
      <c r="I140" s="363" t="e">
        <f aca="false">(AL140+AO140+AP140)</f>
        <v>#VALUE!</v>
      </c>
      <c r="K140" s="363" t="e">
        <f aca="false">MAX(((I140-H140)-AQ140)*AU140*AH140,0)</f>
        <v>#VALUE!</v>
      </c>
      <c r="L140" s="501" t="e">
        <f aca="false">MAX(Q140-K140,0)</f>
        <v>#VALUE!</v>
      </c>
      <c r="N140" s="502" t="e">
        <f aca="false">SQRT(($AX140^2*($AH140/2)+$AW140^2*$AI140)/(($AH140/2)+$AI140))</f>
        <v>#VALUE!</v>
      </c>
      <c r="O140" s="502" t="e">
        <f aca="false">SQRT(($AY140^2*($AH140/2)+$AW140^2*$AI140)/(($AH140/2)+$AI140))</f>
        <v>#VALUE!</v>
      </c>
      <c r="P140" s="371" t="e">
        <f aca="false">(VLOOKUP(AI140,CorrelationTwo,2)*(AW140^2)*AI140+VLOOKUP(D140,CorrelationOne,$AK$9)*AX140*AY140*(AH140/2))/((AI140+(AH140/2))*O140*N140)*AF140</f>
        <v>#VALUE!</v>
      </c>
      <c r="Q140" s="501" t="e">
        <f aca="false">xSPRDOPT(I140,H140,AQ140,0,O140,N140,P140,D140-$G$5,1,0)*AH140*AU140</f>
        <v>#VALUE!</v>
      </c>
      <c r="R140" s="501"/>
      <c r="S140" s="365" t="e">
        <f aca="false">-T140/(1-AR140)</f>
        <v>#VALUE!</v>
      </c>
      <c r="T140" s="365" t="e">
        <f aca="false">xSPRDOPT(I140,H140,AQ140,AT140,O140,N140,P140,D140-$G$5,1,1)*AF140*F140*AH140</f>
        <v>#VALUE!</v>
      </c>
      <c r="U140" s="501"/>
      <c r="V140" s="503" t="e">
        <f aca="false">VLOOKUP($AG140,$AL$4:$AS$15,8)*AH140*AU140</f>
        <v>#VALUE!</v>
      </c>
      <c r="W140" s="503"/>
      <c r="X140" s="504" t="e">
        <f aca="false">((BM140*BC140)+(BL140*BB140))*AH140*F140</f>
        <v>#VALUE!</v>
      </c>
      <c r="Y140" s="504" t="e">
        <f aca="false">($F140*$AH140)*((($BG140/2)*($BC140)^2)+(($BF140/2)*($BB140)^2)+($BH140*$BC140*$BB140))</f>
        <v>#VALUE!</v>
      </c>
      <c r="Z140" s="504" t="e">
        <f aca="false">($BI140*$F140*$AH140*($G$5-$BV$5))/365.25</f>
        <v>#VALUE!</v>
      </c>
      <c r="AA140" s="504" t="e">
        <f aca="false">(($BK140*$BE140)+($BJ140*$BD140))*$F140*$AH140*$AF140</f>
        <v>#VALUE!</v>
      </c>
      <c r="AB140" s="504" t="e">
        <f aca="false">BN140*(AT140-CA140)*F140*AH140</f>
        <v>#VALUE!</v>
      </c>
      <c r="AC140" s="504" t="e">
        <f aca="false">BO140*CB140*F140*AH140*CA140*($G$5-$BV$5)/365.25</f>
        <v>#NAME?</v>
      </c>
      <c r="AF140" s="378" t="e">
        <f aca="false">IF(AND(D140&gt;=$G$7,D140&lt;=$G$8),1,0)</f>
        <v>#VALUE!</v>
      </c>
      <c r="AG140" s="378" t="e">
        <f aca="false">MONTH(D140)</f>
        <v>#VALUE!</v>
      </c>
      <c r="AH140" s="378" t="e">
        <f aca="false">(EOMONTH(D140,0)-EOMONTH(D140-DAY(D140),0))*AF140</f>
        <v>#VALUE!</v>
      </c>
      <c r="AI140" s="378" t="e">
        <f aca="false">AI139+AH139</f>
        <v>#VALUE!</v>
      </c>
      <c r="AJ140" s="378" t="e">
        <f aca="false">D140-$BV$5</f>
        <v>#VALUE!</v>
      </c>
      <c r="AL140" s="369" t="e">
        <f aca="false">VLOOKUP($D140,CurveTbl,$AK$4)</f>
        <v>#VALUE!</v>
      </c>
      <c r="AM140" s="505" t="e">
        <f aca="false">VLOOKUP($D140,CurveTbl,$AH$3)</f>
        <v>#VALUE!</v>
      </c>
      <c r="AN140" s="505" t="e">
        <f aca="false">VLOOKUP($D140,CurveTbl,$AH$4)+VLOOKUP($AG140,$AL$3:$AS$15,6)</f>
        <v>#VALUE!</v>
      </c>
      <c r="AO140" s="505" t="e">
        <f aca="false">VLOOKUP($D140,CurveTbl,$AH$5)</f>
        <v>#VALUE!</v>
      </c>
      <c r="AP140" s="505" t="e">
        <f aca="false">VLOOKUP($D140,CurveTbl,$AH$6)+VLOOKUP($AG140,$AL$3:$AS$15,7)</f>
        <v>#VALUE!</v>
      </c>
      <c r="AQ140" s="369" t="e">
        <f aca="false">VLOOKUP($AG140,$AL$4:$AS$15,3)+VLOOKUP($AG140,$AL$4:$AS$15,5)+($AH$10*VLOOKUP(D140,GRITable,2))</f>
        <v>#VALUE!</v>
      </c>
      <c r="AR140" s="370" t="e">
        <f aca="false">VLOOKUP($AG140,$AL$4:$AS$15,4)</f>
        <v>#VALUE!</v>
      </c>
      <c r="AS140" s="369" t="e">
        <f aca="false">(AL140+AM140+AN140)</f>
        <v>#VALUE!</v>
      </c>
      <c r="AT140" s="370" t="e">
        <f aca="false">VLOOKUP(D140,CurveTbl,$AK$6)</f>
        <v>#VALUE!</v>
      </c>
      <c r="AU140" s="370" t="e">
        <f aca="false">(1+$AT140/2)^(-2*($D140-$G$5)/365.25)*$AF140</f>
        <v>#VALUE!</v>
      </c>
      <c r="AV140" s="506" t="e">
        <f aca="false">ROUND((F140/(1-AR140))-F140,0)*AF140*AH140*AU140</f>
        <v>#VALUE!</v>
      </c>
      <c r="AW140" s="370" t="e">
        <f aca="false">VLOOKUP($D140,CurveTbl,$AK$8)</f>
        <v>#VALUE!</v>
      </c>
      <c r="AX140" s="370" t="e">
        <f aca="false">VLOOKUP($D140,CurveTbl,$AH$7)</f>
        <v>#VALUE!</v>
      </c>
      <c r="AY140" s="370" t="e">
        <f aca="false">VLOOKUP($D140,CurveTbl,$AH$8)</f>
        <v>#VALUE!</v>
      </c>
      <c r="AZ140" s="370"/>
      <c r="BA140" s="507"/>
      <c r="BB140" s="505" t="e">
        <f aca="false">$H140-$BV140</f>
        <v>#VALUE!</v>
      </c>
      <c r="BC140" s="505" t="e">
        <f aca="false">I140-BW140</f>
        <v>#VALUE!</v>
      </c>
      <c r="BD140" s="370" t="e">
        <f aca="false">N140-BX140</f>
        <v>#VALUE!</v>
      </c>
      <c r="BE140" s="370" t="e">
        <f aca="false">O140-BY140</f>
        <v>#VALUE!</v>
      </c>
      <c r="BF140" s="370" t="e">
        <f aca="false">xSPRDOPT($BW140,$BV140,$CG140,0,$BY140,$BX140,$BZ140,$AJ140,1,4)*$CB140</f>
        <v>#NAME?</v>
      </c>
      <c r="BG140" s="370" t="e">
        <f aca="false">xSPRDOPT($BW140,$BV140,$CG140,0,$BY140,$BX140,$BZ140,$AJ140,1,3)*$CB140</f>
        <v>#NAME?</v>
      </c>
      <c r="BH140" s="370" t="e">
        <f aca="false">IF(OR(BF140&lt;&gt;0,BG140&lt;&gt;0),xSPRDOPT($BW140,$BV140,$CG140,0,$BY140,$BX140,$BZ140,$AJ140,1,12)*$CB140,0)</f>
        <v>#NAME?</v>
      </c>
      <c r="BI140" s="370" t="e">
        <f aca="false">xSPRDOPT($BW140,$BV140,$CG140,2*LN(1+CA140/2),$BY140,$BX140,$BZ140,$AJ140,1,9)</f>
        <v>#NAME?</v>
      </c>
      <c r="BJ140" s="370" t="e">
        <f aca="false">xSPRDOPT($BW140,$BV140,$CG140,0,$BY140,$BX140,$BZ140,$AJ140,1,6)*$CB140</f>
        <v>#NAME?</v>
      </c>
      <c r="BK140" s="370" t="e">
        <f aca="false">xSPRDOPT($BW140,$BV140,$CG140,0,$BY140,$BX140,$BZ140,$AJ140,1,5)*$CB140</f>
        <v>#NAME?</v>
      </c>
      <c r="BL140" s="370" t="e">
        <f aca="false">xSPRDOPT(BW140,BV140,CG140,0,BY140,BX140,BZ140,AJ140,1,2)*CB140</f>
        <v>#NAME?</v>
      </c>
      <c r="BM140" s="370" t="e">
        <f aca="false">xSPRDOPT(BW140,BV140,CG140,0,BY140,BX140,BZ140,AJ140,1,1)*CB140</f>
        <v>#NAME?</v>
      </c>
      <c r="BN140" s="370" t="e">
        <f aca="false">IF(AH140&lt;&gt;0,xSPRDOPT($BW140,$BV140,$CG140,2*LN(1+CA140/2),$BY140,$BX140,$BZ140,$AJ140,1,8)+(AJ140/365.25)*CH140/AH140,0)</f>
        <v>#VALUE!</v>
      </c>
      <c r="BO140" s="370" t="e">
        <f aca="false">xSPRDOPT($BW140,$BV140,$CG140,0,$BY140,$BX140,$BZ140,$AJ140,1,0)</f>
        <v>#NAME?</v>
      </c>
      <c r="BP140" s="370"/>
      <c r="BQ140" s="370"/>
      <c r="BR140" s="370"/>
      <c r="BS140" s="370"/>
      <c r="BV140" s="508" t="n">
        <v>4.14833759590793</v>
      </c>
      <c r="BW140" s="369" t="n">
        <v>4.4865</v>
      </c>
      <c r="BX140" s="370" t="n">
        <v>0.186855293374985</v>
      </c>
      <c r="BY140" s="370" t="n">
        <v>0.186855293374985</v>
      </c>
      <c r="BZ140" s="370" t="n">
        <v>1</v>
      </c>
      <c r="CA140" s="370" t="n">
        <v>0.0617997262782532</v>
      </c>
      <c r="CB140" s="370" t="n">
        <v>0.546770734487206</v>
      </c>
      <c r="CC140" s="505" t="n">
        <v>0.011</v>
      </c>
      <c r="CD140" s="505" t="n">
        <v>0.0075</v>
      </c>
      <c r="CE140" s="505" t="n">
        <v>0.45</v>
      </c>
      <c r="CF140" s="505" t="n">
        <v>0</v>
      </c>
      <c r="CG140" s="505" t="n">
        <v>0.0364</v>
      </c>
      <c r="CH140" s="505" t="n">
        <v>6.04783109416298</v>
      </c>
      <c r="CI140" s="505" t="n">
        <v>4.0365</v>
      </c>
      <c r="CJ140" s="505"/>
      <c r="CK140" s="505"/>
      <c r="CL140" s="505"/>
      <c r="CM140" s="505"/>
    </row>
    <row r="141" customFormat="false" ht="12.75" hidden="false" customHeight="false" outlineLevel="0" collapsed="false">
      <c r="A141" s="500"/>
      <c r="B141" s="500"/>
      <c r="D141" s="361" t="e">
        <f aca="false">D140+AH140</f>
        <v>#VALUE!</v>
      </c>
      <c r="F141" s="362" t="e">
        <f aca="false">VLOOKUP(AG141,$AL$4:$AS$15,2)</f>
        <v>#VALUE!</v>
      </c>
      <c r="G141" s="362" t="e">
        <f aca="false">F141*$AU141</f>
        <v>#VALUE!</v>
      </c>
      <c r="H141" s="363" t="e">
        <f aca="false">(AL141+AM141+AN141)/(1-(AR141))</f>
        <v>#VALUE!</v>
      </c>
      <c r="I141" s="363" t="e">
        <f aca="false">(AL141+AO141+AP141)</f>
        <v>#VALUE!</v>
      </c>
      <c r="K141" s="363" t="e">
        <f aca="false">MAX(((I141-H141)-AQ141)*AU141*AH141,0)</f>
        <v>#VALUE!</v>
      </c>
      <c r="L141" s="501" t="e">
        <f aca="false">MAX(Q141-K141,0)</f>
        <v>#VALUE!</v>
      </c>
      <c r="N141" s="502" t="e">
        <f aca="false">SQRT(($AX141^2*($AH141/2)+$AW141^2*$AI141)/(($AH141/2)+$AI141))</f>
        <v>#VALUE!</v>
      </c>
      <c r="O141" s="502" t="e">
        <f aca="false">SQRT(($AY141^2*($AH141/2)+$AW141^2*$AI141)/(($AH141/2)+$AI141))</f>
        <v>#VALUE!</v>
      </c>
      <c r="P141" s="371" t="e">
        <f aca="false">(VLOOKUP(AI141,CorrelationTwo,2)*(AW141^2)*AI141+VLOOKUP(D141,CorrelationOne,$AK$9)*AX141*AY141*(AH141/2))/((AI141+(AH141/2))*O141*N141)*AF141</f>
        <v>#VALUE!</v>
      </c>
      <c r="Q141" s="501" t="e">
        <f aca="false">xSPRDOPT(I141,H141,AQ141,0,O141,N141,P141,D141-$G$5,1,0)*AH141*AU141</f>
        <v>#VALUE!</v>
      </c>
      <c r="R141" s="501"/>
      <c r="S141" s="365" t="e">
        <f aca="false">-T141/(1-AR141)</f>
        <v>#VALUE!</v>
      </c>
      <c r="T141" s="365" t="e">
        <f aca="false">xSPRDOPT(I141,H141,AQ141,AT141,O141,N141,P141,D141-$G$5,1,1)*AF141*F141*AH141</f>
        <v>#VALUE!</v>
      </c>
      <c r="U141" s="501"/>
      <c r="V141" s="503" t="e">
        <f aca="false">VLOOKUP($AG141,$AL$4:$AS$15,8)*AH141*AU141</f>
        <v>#VALUE!</v>
      </c>
      <c r="W141" s="503"/>
      <c r="X141" s="504" t="e">
        <f aca="false">((BM141*BC141)+(BL141*BB141))*AH141*F141</f>
        <v>#VALUE!</v>
      </c>
      <c r="Y141" s="504" t="e">
        <f aca="false">($F141*$AH141)*((($BG141/2)*($BC141)^2)+(($BF141/2)*($BB141)^2)+($BH141*$BC141*$BB141))</f>
        <v>#VALUE!</v>
      </c>
      <c r="Z141" s="504" t="e">
        <f aca="false">($BI141*$F141*$AH141*($G$5-$BV$5))/365.25</f>
        <v>#VALUE!</v>
      </c>
      <c r="AA141" s="504" t="e">
        <f aca="false">(($BK141*$BE141)+($BJ141*$BD141))*$F141*$AH141*$AF141</f>
        <v>#VALUE!</v>
      </c>
      <c r="AB141" s="504" t="e">
        <f aca="false">BN141*(AT141-CA141)*F141*AH141</f>
        <v>#VALUE!</v>
      </c>
      <c r="AC141" s="504" t="e">
        <f aca="false">BO141*CB141*F141*AH141*CA141*($G$5-$BV$5)/365.25</f>
        <v>#NAME?</v>
      </c>
      <c r="AF141" s="378" t="e">
        <f aca="false">IF(AND(D141&gt;=$G$7,D141&lt;=$G$8),1,0)</f>
        <v>#VALUE!</v>
      </c>
      <c r="AG141" s="378" t="e">
        <f aca="false">MONTH(D141)</f>
        <v>#VALUE!</v>
      </c>
      <c r="AH141" s="378" t="e">
        <f aca="false">(EOMONTH(D141,0)-EOMONTH(D141-DAY(D141),0))*AF141</f>
        <v>#VALUE!</v>
      </c>
      <c r="AI141" s="378" t="e">
        <f aca="false">AI140+AH140</f>
        <v>#VALUE!</v>
      </c>
      <c r="AJ141" s="378" t="e">
        <f aca="false">D141-$BV$5</f>
        <v>#VALUE!</v>
      </c>
      <c r="AL141" s="369" t="e">
        <f aca="false">VLOOKUP($D141,CurveTbl,$AK$4)</f>
        <v>#VALUE!</v>
      </c>
      <c r="AM141" s="505" t="e">
        <f aca="false">VLOOKUP($D141,CurveTbl,$AH$3)</f>
        <v>#VALUE!</v>
      </c>
      <c r="AN141" s="505" t="e">
        <f aca="false">VLOOKUP($D141,CurveTbl,$AH$4)+VLOOKUP($AG141,$AL$3:$AS$15,6)</f>
        <v>#VALUE!</v>
      </c>
      <c r="AO141" s="505" t="e">
        <f aca="false">VLOOKUP($D141,CurveTbl,$AH$5)</f>
        <v>#VALUE!</v>
      </c>
      <c r="AP141" s="505" t="e">
        <f aca="false">VLOOKUP($D141,CurveTbl,$AH$6)+VLOOKUP($AG141,$AL$3:$AS$15,7)</f>
        <v>#VALUE!</v>
      </c>
      <c r="AQ141" s="369" t="e">
        <f aca="false">VLOOKUP($AG141,$AL$4:$AS$15,3)+VLOOKUP($AG141,$AL$4:$AS$15,5)+($AH$10*VLOOKUP(D141,GRITable,2))</f>
        <v>#VALUE!</v>
      </c>
      <c r="AR141" s="370" t="e">
        <f aca="false">VLOOKUP($AG141,$AL$4:$AS$15,4)</f>
        <v>#VALUE!</v>
      </c>
      <c r="AS141" s="369" t="e">
        <f aca="false">(AL141+AM141+AN141)</f>
        <v>#VALUE!</v>
      </c>
      <c r="AT141" s="370" t="e">
        <f aca="false">VLOOKUP(D141,CurveTbl,$AK$6)</f>
        <v>#VALUE!</v>
      </c>
      <c r="AU141" s="370" t="e">
        <f aca="false">(1+$AT141/2)^(-2*($D141-$G$5)/365.25)*$AF141</f>
        <v>#VALUE!</v>
      </c>
      <c r="AV141" s="506" t="e">
        <f aca="false">ROUND((F141/(1-AR141))-F141,0)*AF141*AH141*AU141</f>
        <v>#VALUE!</v>
      </c>
      <c r="AW141" s="370" t="e">
        <f aca="false">VLOOKUP($D141,CurveTbl,$AK$8)</f>
        <v>#VALUE!</v>
      </c>
      <c r="AX141" s="370" t="e">
        <f aca="false">VLOOKUP($D141,CurveTbl,$AH$7)</f>
        <v>#VALUE!</v>
      </c>
      <c r="AY141" s="370" t="e">
        <f aca="false">VLOOKUP($D141,CurveTbl,$AH$8)</f>
        <v>#VALUE!</v>
      </c>
      <c r="AZ141" s="370"/>
      <c r="BA141" s="507"/>
      <c r="BB141" s="505" t="e">
        <f aca="false">$H141-$BV141</f>
        <v>#VALUE!</v>
      </c>
      <c r="BC141" s="505" t="e">
        <f aca="false">I141-BW141</f>
        <v>#VALUE!</v>
      </c>
      <c r="BD141" s="370" t="e">
        <f aca="false">N141-BX141</f>
        <v>#VALUE!</v>
      </c>
      <c r="BE141" s="370" t="e">
        <f aca="false">O141-BY141</f>
        <v>#VALUE!</v>
      </c>
      <c r="BF141" s="370" t="e">
        <f aca="false">xSPRDOPT($BW141,$BV141,$CG141,0,$BY141,$BX141,$BZ141,$AJ141,1,4)*$CB141</f>
        <v>#NAME?</v>
      </c>
      <c r="BG141" s="370" t="e">
        <f aca="false">xSPRDOPT($BW141,$BV141,$CG141,0,$BY141,$BX141,$BZ141,$AJ141,1,3)*$CB141</f>
        <v>#NAME?</v>
      </c>
      <c r="BH141" s="370" t="e">
        <f aca="false">IF(OR(BF141&lt;&gt;0,BG141&lt;&gt;0),xSPRDOPT($BW141,$BV141,$CG141,0,$BY141,$BX141,$BZ141,$AJ141,1,12)*$CB141,0)</f>
        <v>#NAME?</v>
      </c>
      <c r="BI141" s="370" t="e">
        <f aca="false">xSPRDOPT($BW141,$BV141,$CG141,2*LN(1+CA141/2),$BY141,$BX141,$BZ141,$AJ141,1,9)</f>
        <v>#NAME?</v>
      </c>
      <c r="BJ141" s="370" t="e">
        <f aca="false">xSPRDOPT($BW141,$BV141,$CG141,0,$BY141,$BX141,$BZ141,$AJ141,1,6)*$CB141</f>
        <v>#NAME?</v>
      </c>
      <c r="BK141" s="370" t="e">
        <f aca="false">xSPRDOPT($BW141,$BV141,$CG141,0,$BY141,$BX141,$BZ141,$AJ141,1,5)*$CB141</f>
        <v>#NAME?</v>
      </c>
      <c r="BL141" s="370" t="e">
        <f aca="false">xSPRDOPT(BW141,BV141,CG141,0,BY141,BX141,BZ141,AJ141,1,2)*CB141</f>
        <v>#NAME?</v>
      </c>
      <c r="BM141" s="370" t="e">
        <f aca="false">xSPRDOPT(BW141,BV141,CG141,0,BY141,BX141,BZ141,AJ141,1,1)*CB141</f>
        <v>#NAME?</v>
      </c>
      <c r="BN141" s="370" t="e">
        <f aca="false">IF(AH141&lt;&gt;0,xSPRDOPT($BW141,$BV141,$CG141,2*LN(1+CA141/2),$BY141,$BX141,$BZ141,$AJ141,1,8)+(AJ141/365.25)*CH141/AH141,0)</f>
        <v>#VALUE!</v>
      </c>
      <c r="BO141" s="370" t="e">
        <f aca="false">xSPRDOPT($BW141,$BV141,$CG141,0,$BY141,$BX141,$BZ141,$AJ141,1,0)</f>
        <v>#NAME?</v>
      </c>
      <c r="BP141" s="370"/>
      <c r="BQ141" s="370"/>
      <c r="BR141" s="370"/>
      <c r="BS141" s="370"/>
      <c r="BV141" s="508" t="n">
        <v>4.29462915601023</v>
      </c>
      <c r="BW141" s="369" t="n">
        <v>4.5795</v>
      </c>
      <c r="BX141" s="370" t="n">
        <v>0.191060008023015</v>
      </c>
      <c r="BY141" s="370" t="n">
        <v>0.191060008023015</v>
      </c>
      <c r="BZ141" s="370" t="n">
        <v>1</v>
      </c>
      <c r="CA141" s="370" t="n">
        <v>0.0619053195590835</v>
      </c>
      <c r="CB141" s="370" t="n">
        <v>0.543487157306605</v>
      </c>
      <c r="CC141" s="505" t="n">
        <v>0.011</v>
      </c>
      <c r="CD141" s="505" t="n">
        <v>0.0075</v>
      </c>
      <c r="CE141" s="505" t="n">
        <v>0.4</v>
      </c>
      <c r="CF141" s="505" t="n">
        <v>0</v>
      </c>
      <c r="CG141" s="505" t="n">
        <v>0.0364</v>
      </c>
      <c r="CH141" s="505" t="n">
        <v>6.2118951618673</v>
      </c>
      <c r="CI141" s="505" t="n">
        <v>4.1795</v>
      </c>
      <c r="CJ141" s="505"/>
      <c r="CK141" s="505"/>
      <c r="CL141" s="505"/>
      <c r="CM141" s="505"/>
    </row>
    <row r="142" customFormat="false" ht="12.75" hidden="false" customHeight="false" outlineLevel="0" collapsed="false">
      <c r="A142" s="500"/>
      <c r="B142" s="500"/>
      <c r="D142" s="361" t="e">
        <f aca="false">D141+AH141</f>
        <v>#VALUE!</v>
      </c>
      <c r="F142" s="362" t="e">
        <f aca="false">VLOOKUP(AG142,$AL$4:$AS$15,2)</f>
        <v>#VALUE!</v>
      </c>
      <c r="G142" s="362" t="e">
        <f aca="false">F142*$AU142</f>
        <v>#VALUE!</v>
      </c>
      <c r="H142" s="363" t="e">
        <f aca="false">(AL142+AM142+AN142)/(1-(AR142))</f>
        <v>#VALUE!</v>
      </c>
      <c r="I142" s="363" t="e">
        <f aca="false">(AL142+AO142+AP142)</f>
        <v>#VALUE!</v>
      </c>
      <c r="K142" s="363" t="e">
        <f aca="false">MAX(((I142-H142)-AQ142)*AU142*AH142,0)</f>
        <v>#VALUE!</v>
      </c>
      <c r="L142" s="501" t="e">
        <f aca="false">MAX(Q142-K142,0)</f>
        <v>#VALUE!</v>
      </c>
      <c r="N142" s="502" t="e">
        <f aca="false">SQRT(($AX142^2*($AH142/2)+$AW142^2*$AI142)/(($AH142/2)+$AI142))</f>
        <v>#VALUE!</v>
      </c>
      <c r="O142" s="502" t="e">
        <f aca="false">SQRT(($AY142^2*($AH142/2)+$AW142^2*$AI142)/(($AH142/2)+$AI142))</f>
        <v>#VALUE!</v>
      </c>
      <c r="P142" s="371" t="e">
        <f aca="false">(VLOOKUP(AI142,CorrelationTwo,2)*(AW142^2)*AI142+VLOOKUP(D142,CorrelationOne,$AK$9)*AX142*AY142*(AH142/2))/((AI142+(AH142/2))*O142*N142)*AF142</f>
        <v>#VALUE!</v>
      </c>
      <c r="Q142" s="501" t="e">
        <f aca="false">xSPRDOPT(I142,H142,AQ142,0,O142,N142,P142,D142-$G$5,1,0)*AH142*AU142</f>
        <v>#VALUE!</v>
      </c>
      <c r="R142" s="501"/>
      <c r="S142" s="365" t="e">
        <f aca="false">-T142/(1-AR142)</f>
        <v>#VALUE!</v>
      </c>
      <c r="T142" s="365" t="e">
        <f aca="false">xSPRDOPT(I142,H142,AQ142,AT142,O142,N142,P142,D142-$G$5,1,1)*AF142*F142*AH142</f>
        <v>#VALUE!</v>
      </c>
      <c r="U142" s="501"/>
      <c r="V142" s="503" t="e">
        <f aca="false">VLOOKUP($AG142,$AL$4:$AS$15,8)*AH142*AU142</f>
        <v>#VALUE!</v>
      </c>
      <c r="W142" s="503"/>
      <c r="X142" s="504" t="e">
        <f aca="false">((BM142*BC142)+(BL142*BB142))*AH142*F142</f>
        <v>#VALUE!</v>
      </c>
      <c r="Y142" s="504" t="e">
        <f aca="false">($F142*$AH142)*((($BG142/2)*($BC142)^2)+(($BF142/2)*($BB142)^2)+($BH142*$BC142*$BB142))</f>
        <v>#VALUE!</v>
      </c>
      <c r="Z142" s="504" t="e">
        <f aca="false">($BI142*$F142*$AH142*($G$5-$BV$5))/365.25</f>
        <v>#VALUE!</v>
      </c>
      <c r="AA142" s="504" t="e">
        <f aca="false">(($BK142*$BE142)+($BJ142*$BD142))*$F142*$AH142*$AF142</f>
        <v>#VALUE!</v>
      </c>
      <c r="AB142" s="504" t="e">
        <f aca="false">BN142*(AT142-CA142)*F142*AH142</f>
        <v>#VALUE!</v>
      </c>
      <c r="AC142" s="504" t="e">
        <f aca="false">BO142*CB142*F142*AH142*CA142*($G$5-$BV$5)/365.25</f>
        <v>#NAME?</v>
      </c>
      <c r="AF142" s="378" t="e">
        <f aca="false">IF(AND(D142&gt;=$G$7,D142&lt;=$G$8),1,0)</f>
        <v>#VALUE!</v>
      </c>
      <c r="AG142" s="378" t="e">
        <f aca="false">MONTH(D142)</f>
        <v>#VALUE!</v>
      </c>
      <c r="AH142" s="378" t="e">
        <f aca="false">(EOMONTH(D142,0)-EOMONTH(D142-DAY(D142),0))*AF142</f>
        <v>#VALUE!</v>
      </c>
      <c r="AI142" s="378" t="e">
        <f aca="false">AI141+AH141</f>
        <v>#VALUE!</v>
      </c>
      <c r="AJ142" s="378" t="e">
        <f aca="false">D142-$BV$5</f>
        <v>#VALUE!</v>
      </c>
      <c r="AL142" s="369" t="e">
        <f aca="false">VLOOKUP($D142,CurveTbl,$AK$4)</f>
        <v>#VALUE!</v>
      </c>
      <c r="AM142" s="505" t="e">
        <f aca="false">VLOOKUP($D142,CurveTbl,$AH$3)</f>
        <v>#VALUE!</v>
      </c>
      <c r="AN142" s="505" t="e">
        <f aca="false">VLOOKUP($D142,CurveTbl,$AH$4)+VLOOKUP($AG142,$AL$3:$AS$15,6)</f>
        <v>#VALUE!</v>
      </c>
      <c r="AO142" s="505" t="e">
        <f aca="false">VLOOKUP($D142,CurveTbl,$AH$5)</f>
        <v>#VALUE!</v>
      </c>
      <c r="AP142" s="505" t="e">
        <f aca="false">VLOOKUP($D142,CurveTbl,$AH$6)+VLOOKUP($AG142,$AL$3:$AS$15,7)</f>
        <v>#VALUE!</v>
      </c>
      <c r="AQ142" s="369" t="e">
        <f aca="false">VLOOKUP($AG142,$AL$4:$AS$15,3)+VLOOKUP($AG142,$AL$4:$AS$15,5)+($AH$10*VLOOKUP(D142,GRITable,2))</f>
        <v>#VALUE!</v>
      </c>
      <c r="AR142" s="370" t="e">
        <f aca="false">VLOOKUP($AG142,$AL$4:$AS$15,4)</f>
        <v>#VALUE!</v>
      </c>
      <c r="AS142" s="369" t="e">
        <f aca="false">(AL142+AM142+AN142)</f>
        <v>#VALUE!</v>
      </c>
      <c r="AT142" s="370" t="e">
        <f aca="false">VLOOKUP(D142,CurveTbl,$AK$6)</f>
        <v>#VALUE!</v>
      </c>
      <c r="AU142" s="370" t="e">
        <f aca="false">(1+$AT142/2)^(-2*($D142-$G$5)/365.25)*$AF142</f>
        <v>#VALUE!</v>
      </c>
      <c r="AV142" s="506" t="e">
        <f aca="false">ROUND((F142/(1-AR142))-F142,0)*AF142*AH142*AU142</f>
        <v>#VALUE!</v>
      </c>
      <c r="AW142" s="370" t="e">
        <f aca="false">VLOOKUP($D142,CurveTbl,$AK$8)</f>
        <v>#VALUE!</v>
      </c>
      <c r="AX142" s="370" t="e">
        <f aca="false">VLOOKUP($D142,CurveTbl,$AH$7)</f>
        <v>#VALUE!</v>
      </c>
      <c r="AY142" s="370" t="e">
        <f aca="false">VLOOKUP($D142,CurveTbl,$AH$8)</f>
        <v>#VALUE!</v>
      </c>
      <c r="AZ142" s="370"/>
      <c r="BA142" s="507"/>
      <c r="BB142" s="505" t="e">
        <f aca="false">$H142-$BV142</f>
        <v>#VALUE!</v>
      </c>
      <c r="BC142" s="505" t="e">
        <f aca="false">I142-BW142</f>
        <v>#VALUE!</v>
      </c>
      <c r="BD142" s="370" t="e">
        <f aca="false">N142-BX142</f>
        <v>#VALUE!</v>
      </c>
      <c r="BE142" s="370" t="e">
        <f aca="false">O142-BY142</f>
        <v>#VALUE!</v>
      </c>
      <c r="BF142" s="370" t="e">
        <f aca="false">xSPRDOPT($BW142,$BV142,$CG142,0,$BY142,$BX142,$BZ142,$AJ142,1,4)*$CB142</f>
        <v>#NAME?</v>
      </c>
      <c r="BG142" s="370" t="e">
        <f aca="false">xSPRDOPT($BW142,$BV142,$CG142,0,$BY142,$BX142,$BZ142,$AJ142,1,3)*$CB142</f>
        <v>#NAME?</v>
      </c>
      <c r="BH142" s="370" t="e">
        <f aca="false">IF(OR(BF142&lt;&gt;0,BG142&lt;&gt;0),xSPRDOPT($BW142,$BV142,$CG142,0,$BY142,$BX142,$BZ142,$AJ142,1,12)*$CB142,0)</f>
        <v>#NAME?</v>
      </c>
      <c r="BI142" s="370" t="e">
        <f aca="false">xSPRDOPT($BW142,$BV142,$CG142,2*LN(1+CA142/2),$BY142,$BX142,$BZ142,$AJ142,1,9)</f>
        <v>#NAME?</v>
      </c>
      <c r="BJ142" s="370" t="e">
        <f aca="false">xSPRDOPT($BW142,$BV142,$CG142,0,$BY142,$BX142,$BZ142,$AJ142,1,6)*$CB142</f>
        <v>#NAME?</v>
      </c>
      <c r="BK142" s="370" t="e">
        <f aca="false">xSPRDOPT($BW142,$BV142,$CG142,0,$BY142,$BX142,$BZ142,$AJ142,1,5)*$CB142</f>
        <v>#NAME?</v>
      </c>
      <c r="BL142" s="370" t="e">
        <f aca="false">xSPRDOPT(BW142,BV142,CG142,0,BY142,BX142,BZ142,AJ142,1,2)*CB142</f>
        <v>#NAME?</v>
      </c>
      <c r="BM142" s="370" t="e">
        <f aca="false">xSPRDOPT(BW142,BV142,CG142,0,BY142,BX142,BZ142,AJ142,1,1)*CB142</f>
        <v>#NAME?</v>
      </c>
      <c r="BN142" s="370" t="e">
        <f aca="false">IF(AH142&lt;&gt;0,xSPRDOPT($BW142,$BV142,$CG142,2*LN(1+CA142/2),$BY142,$BX142,$BZ142,$AJ142,1,8)+(AJ142/365.25)*CH142/AH142,0)</f>
        <v>#VALUE!</v>
      </c>
      <c r="BO142" s="370" t="e">
        <f aca="false">xSPRDOPT($BW142,$BV142,$CG142,0,$BY142,$BX142,$BZ142,$AJ142,1,0)</f>
        <v>#NAME?</v>
      </c>
      <c r="BP142" s="370"/>
      <c r="BQ142" s="370"/>
      <c r="BR142" s="370"/>
      <c r="BS142" s="370"/>
      <c r="BV142" s="508" t="n">
        <v>4.35601023017903</v>
      </c>
      <c r="BW142" s="369" t="n">
        <v>4.5895</v>
      </c>
      <c r="BX142" s="370" t="n">
        <v>0.190969649777324</v>
      </c>
      <c r="BY142" s="370" t="n">
        <v>0.190969649777324</v>
      </c>
      <c r="BZ142" s="370" t="n">
        <v>1</v>
      </c>
      <c r="CA142" s="370" t="n">
        <v>0.0619856778870891</v>
      </c>
      <c r="CB142" s="370" t="n">
        <v>0.540257281799625</v>
      </c>
      <c r="CC142" s="505" t="n">
        <v>0.011</v>
      </c>
      <c r="CD142" s="505" t="n">
        <v>0.0075</v>
      </c>
      <c r="CE142" s="505" t="n">
        <v>0.35</v>
      </c>
      <c r="CF142" s="505" t="n">
        <v>0</v>
      </c>
      <c r="CG142" s="505" t="n">
        <v>0.0364</v>
      </c>
      <c r="CH142" s="505" t="n">
        <v>6.17497865378517</v>
      </c>
      <c r="CI142" s="505" t="n">
        <v>4.2395</v>
      </c>
      <c r="CJ142" s="505"/>
      <c r="CK142" s="505"/>
      <c r="CL142" s="505"/>
      <c r="CM142" s="505"/>
    </row>
    <row r="143" customFormat="false" ht="12.75" hidden="false" customHeight="false" outlineLevel="0" collapsed="false">
      <c r="A143" s="500"/>
      <c r="B143" s="500"/>
      <c r="D143" s="361" t="e">
        <f aca="false">D142+AH142</f>
        <v>#VALUE!</v>
      </c>
      <c r="F143" s="362" t="e">
        <f aca="false">VLOOKUP(AG143,$AL$4:$AS$15,2)</f>
        <v>#VALUE!</v>
      </c>
      <c r="G143" s="362" t="e">
        <f aca="false">F143*$AU143</f>
        <v>#VALUE!</v>
      </c>
      <c r="H143" s="363" t="e">
        <f aca="false">(AL143+AM143+AN143)/(1-(AR143))</f>
        <v>#VALUE!</v>
      </c>
      <c r="I143" s="363" t="e">
        <f aca="false">(AL143+AO143+AP143)</f>
        <v>#VALUE!</v>
      </c>
      <c r="K143" s="363" t="e">
        <f aca="false">MAX(((I143-H143)-AQ143)*AU143*AH143,0)</f>
        <v>#VALUE!</v>
      </c>
      <c r="L143" s="501" t="e">
        <f aca="false">MAX(Q143-K143,0)</f>
        <v>#VALUE!</v>
      </c>
      <c r="N143" s="502" t="e">
        <f aca="false">SQRT(($AX143^2*($AH143/2)+$AW143^2*$AI143)/(($AH143/2)+$AI143))</f>
        <v>#VALUE!</v>
      </c>
      <c r="O143" s="502" t="e">
        <f aca="false">SQRT(($AY143^2*($AH143/2)+$AW143^2*$AI143)/(($AH143/2)+$AI143))</f>
        <v>#VALUE!</v>
      </c>
      <c r="P143" s="371" t="e">
        <f aca="false">(VLOOKUP(AI143,CorrelationTwo,2)*(AW143^2)*AI143+VLOOKUP(D143,CorrelationOne,$AK$9)*AX143*AY143*(AH143/2))/((AI143+(AH143/2))*O143*N143)*AF143</f>
        <v>#VALUE!</v>
      </c>
      <c r="Q143" s="501" t="e">
        <f aca="false">xSPRDOPT(I143,H143,AQ143,0,O143,N143,P143,D143-$G$5,1,0)*AH143*AU143</f>
        <v>#VALUE!</v>
      </c>
      <c r="R143" s="501"/>
      <c r="S143" s="365" t="e">
        <f aca="false">-T143/(1-AR143)</f>
        <v>#VALUE!</v>
      </c>
      <c r="T143" s="365" t="e">
        <f aca="false">xSPRDOPT(I143,H143,AQ143,AT143,O143,N143,P143,D143-$G$5,1,1)*AF143*F143*AH143</f>
        <v>#VALUE!</v>
      </c>
      <c r="U143" s="501"/>
      <c r="V143" s="503" t="e">
        <f aca="false">VLOOKUP($AG143,$AL$4:$AS$15,8)*AH143*AU143</f>
        <v>#VALUE!</v>
      </c>
      <c r="W143" s="503"/>
      <c r="X143" s="504" t="e">
        <f aca="false">((BM143*BC143)+(BL143*BB143))*AH143*F143</f>
        <v>#VALUE!</v>
      </c>
      <c r="Y143" s="504" t="e">
        <f aca="false">($F143*$AH143)*((($BG143/2)*($BC143)^2)+(($BF143/2)*($BB143)^2)+($BH143*$BC143*$BB143))</f>
        <v>#VALUE!</v>
      </c>
      <c r="Z143" s="504" t="e">
        <f aca="false">($BI143*$F143*$AH143*($G$5-$BV$5))/365.25</f>
        <v>#VALUE!</v>
      </c>
      <c r="AA143" s="504" t="e">
        <f aca="false">(($BK143*$BE143)+($BJ143*$BD143))*$F143*$AH143*$AF143</f>
        <v>#VALUE!</v>
      </c>
      <c r="AB143" s="504" t="e">
        <f aca="false">BN143*(AT143-CA143)*F143*AH143</f>
        <v>#VALUE!</v>
      </c>
      <c r="AC143" s="504" t="e">
        <f aca="false">BO143*CB143*F143*AH143*CA143*($G$5-$BV$5)/365.25</f>
        <v>#NAME?</v>
      </c>
      <c r="AF143" s="378" t="e">
        <f aca="false">IF(AND(D143&gt;=$G$7,D143&lt;=$G$8),1,0)</f>
        <v>#VALUE!</v>
      </c>
      <c r="AG143" s="378" t="e">
        <f aca="false">MONTH(D143)</f>
        <v>#VALUE!</v>
      </c>
      <c r="AH143" s="378" t="e">
        <f aca="false">(EOMONTH(D143,0)-EOMONTH(D143-DAY(D143),0))*AF143</f>
        <v>#VALUE!</v>
      </c>
      <c r="AI143" s="378" t="e">
        <f aca="false">AI142+AH142</f>
        <v>#VALUE!</v>
      </c>
      <c r="AJ143" s="378" t="e">
        <f aca="false">D143-$BV$5</f>
        <v>#VALUE!</v>
      </c>
      <c r="AL143" s="369" t="e">
        <f aca="false">VLOOKUP($D143,CurveTbl,$AK$4)</f>
        <v>#VALUE!</v>
      </c>
      <c r="AM143" s="505" t="e">
        <f aca="false">VLOOKUP($D143,CurveTbl,$AH$3)</f>
        <v>#VALUE!</v>
      </c>
      <c r="AN143" s="505" t="e">
        <f aca="false">VLOOKUP($D143,CurveTbl,$AH$4)+VLOOKUP($AG143,$AL$3:$AS$15,6)</f>
        <v>#VALUE!</v>
      </c>
      <c r="AO143" s="505" t="e">
        <f aca="false">VLOOKUP($D143,CurveTbl,$AH$5)</f>
        <v>#VALUE!</v>
      </c>
      <c r="AP143" s="505" t="e">
        <f aca="false">VLOOKUP($D143,CurveTbl,$AH$6)+VLOOKUP($AG143,$AL$3:$AS$15,7)</f>
        <v>#VALUE!</v>
      </c>
      <c r="AQ143" s="369" t="e">
        <f aca="false">VLOOKUP($AG143,$AL$4:$AS$15,3)+VLOOKUP($AG143,$AL$4:$AS$15,5)+($AH$10*VLOOKUP(D143,GRITable,2))</f>
        <v>#VALUE!</v>
      </c>
      <c r="AR143" s="370" t="e">
        <f aca="false">VLOOKUP($AG143,$AL$4:$AS$15,4)</f>
        <v>#VALUE!</v>
      </c>
      <c r="AS143" s="369" t="e">
        <f aca="false">(AL143+AM143+AN143)</f>
        <v>#VALUE!</v>
      </c>
      <c r="AT143" s="370" t="e">
        <f aca="false">VLOOKUP(D143,CurveTbl,$AK$6)</f>
        <v>#VALUE!</v>
      </c>
      <c r="AU143" s="370" t="e">
        <f aca="false">(1+$AT143/2)^(-2*($D143-$G$5)/365.25)*$AF143</f>
        <v>#VALUE!</v>
      </c>
      <c r="AV143" s="506" t="e">
        <f aca="false">ROUND((F143/(1-AR143))-F143,0)*AF143*AH143*AU143</f>
        <v>#VALUE!</v>
      </c>
      <c r="AW143" s="370" t="e">
        <f aca="false">VLOOKUP($D143,CurveTbl,$AK$8)</f>
        <v>#VALUE!</v>
      </c>
      <c r="AX143" s="370" t="e">
        <f aca="false">VLOOKUP($D143,CurveTbl,$AH$7)</f>
        <v>#VALUE!</v>
      </c>
      <c r="AY143" s="370" t="e">
        <f aca="false">VLOOKUP($D143,CurveTbl,$AH$8)</f>
        <v>#VALUE!</v>
      </c>
      <c r="AZ143" s="370"/>
      <c r="BA143" s="507"/>
      <c r="BB143" s="505" t="e">
        <f aca="false">$H143-$BV143</f>
        <v>#VALUE!</v>
      </c>
      <c r="BC143" s="505" t="e">
        <f aca="false">I143-BW143</f>
        <v>#VALUE!</v>
      </c>
      <c r="BD143" s="370" t="e">
        <f aca="false">N143-BX143</f>
        <v>#VALUE!</v>
      </c>
      <c r="BE143" s="370" t="e">
        <f aca="false">O143-BY143</f>
        <v>#VALUE!</v>
      </c>
      <c r="BF143" s="370" t="e">
        <f aca="false">xSPRDOPT($BW143,$BV143,$CG143,0,$BY143,$BX143,$BZ143,$AJ143,1,4)*$CB143</f>
        <v>#NAME?</v>
      </c>
      <c r="BG143" s="370" t="e">
        <f aca="false">xSPRDOPT($BW143,$BV143,$CG143,0,$BY143,$BX143,$BZ143,$AJ143,1,3)*$CB143</f>
        <v>#NAME?</v>
      </c>
      <c r="BH143" s="370" t="e">
        <f aca="false">IF(OR(BF143&lt;&gt;0,BG143&lt;&gt;0),xSPRDOPT($BW143,$BV143,$CG143,0,$BY143,$BX143,$BZ143,$AJ143,1,12)*$CB143,0)</f>
        <v>#NAME?</v>
      </c>
      <c r="BI143" s="370" t="e">
        <f aca="false">xSPRDOPT($BW143,$BV143,$CG143,2*LN(1+CA143/2),$BY143,$BX143,$BZ143,$AJ143,1,9)</f>
        <v>#NAME?</v>
      </c>
      <c r="BJ143" s="370" t="e">
        <f aca="false">xSPRDOPT($BW143,$BV143,$CG143,0,$BY143,$BX143,$BZ143,$AJ143,1,6)*$CB143</f>
        <v>#NAME?</v>
      </c>
      <c r="BK143" s="370" t="e">
        <f aca="false">xSPRDOPT($BW143,$BV143,$CG143,0,$BY143,$BX143,$BZ143,$AJ143,1,5)*$CB143</f>
        <v>#NAME?</v>
      </c>
      <c r="BL143" s="370" t="e">
        <f aca="false">xSPRDOPT(BW143,BV143,CG143,0,BY143,BX143,BZ143,AJ143,1,2)*CB143</f>
        <v>#NAME?</v>
      </c>
      <c r="BM143" s="370" t="e">
        <f aca="false">xSPRDOPT(BW143,BV143,CG143,0,BY143,BX143,BZ143,AJ143,1,1)*CB143</f>
        <v>#NAME?</v>
      </c>
      <c r="BN143" s="370" t="e">
        <f aca="false">IF(AH143&lt;&gt;0,xSPRDOPT($BW143,$BV143,$CG143,2*LN(1+CA143/2),$BY143,$BX143,$BZ143,$AJ143,1,8)+(AJ143/365.25)*CH143/AH143,0)</f>
        <v>#VALUE!</v>
      </c>
      <c r="BO143" s="370" t="e">
        <f aca="false">xSPRDOPT($BW143,$BV143,$CG143,0,$BY143,$BX143,$BZ143,$AJ143,1,0)</f>
        <v>#NAME?</v>
      </c>
      <c r="BP143" s="370"/>
      <c r="BQ143" s="370"/>
      <c r="BR143" s="370"/>
      <c r="BS143" s="370"/>
      <c r="BV143" s="508" t="n">
        <v>4.2690537084399</v>
      </c>
      <c r="BW143" s="369" t="n">
        <v>4.5045</v>
      </c>
      <c r="BX143" s="370" t="n">
        <v>0.185494081031441</v>
      </c>
      <c r="BY143" s="370" t="n">
        <v>0.185494081031441</v>
      </c>
      <c r="BZ143" s="370" t="n">
        <v>1</v>
      </c>
      <c r="CA143" s="370" t="n">
        <v>0.0620262219712964</v>
      </c>
      <c r="CB143" s="370" t="n">
        <v>0.537250486753795</v>
      </c>
      <c r="CC143" s="505" t="n">
        <v>0.011</v>
      </c>
      <c r="CD143" s="505" t="n">
        <v>0.0075</v>
      </c>
      <c r="CE143" s="505" t="n">
        <v>0.35</v>
      </c>
      <c r="CF143" s="505" t="n">
        <v>0</v>
      </c>
      <c r="CG143" s="505" t="n">
        <v>0.0364</v>
      </c>
      <c r="CH143" s="505" t="n">
        <v>5.7444433795176</v>
      </c>
      <c r="CI143" s="505" t="n">
        <v>4.1545</v>
      </c>
      <c r="CJ143" s="505"/>
      <c r="CK143" s="505"/>
      <c r="CL143" s="505"/>
      <c r="CM143" s="505"/>
    </row>
    <row r="144" customFormat="false" ht="12.75" hidden="false" customHeight="false" outlineLevel="0" collapsed="false">
      <c r="A144" s="500"/>
      <c r="B144" s="500"/>
      <c r="D144" s="361" t="e">
        <f aca="false">D143+AH143</f>
        <v>#VALUE!</v>
      </c>
      <c r="F144" s="362" t="e">
        <f aca="false">VLOOKUP(AG144,$AL$4:$AS$15,2)</f>
        <v>#VALUE!</v>
      </c>
      <c r="G144" s="362" t="e">
        <f aca="false">F144*$AU144</f>
        <v>#VALUE!</v>
      </c>
      <c r="H144" s="363" t="e">
        <f aca="false">(AL144+AM144+AN144)/(1-(AR144))</f>
        <v>#VALUE!</v>
      </c>
      <c r="I144" s="363" t="e">
        <f aca="false">(AL144+AO144+AP144)</f>
        <v>#VALUE!</v>
      </c>
      <c r="K144" s="363" t="e">
        <f aca="false">MAX(((I144-H144)-AQ144)*AU144*AH144,0)</f>
        <v>#VALUE!</v>
      </c>
      <c r="L144" s="501" t="e">
        <f aca="false">MAX(Q144-K144,0)</f>
        <v>#VALUE!</v>
      </c>
      <c r="N144" s="502" t="e">
        <f aca="false">SQRT(($AX144^2*($AH144/2)+$AW144^2*$AI144)/(($AH144/2)+$AI144))</f>
        <v>#VALUE!</v>
      </c>
      <c r="O144" s="502" t="e">
        <f aca="false">SQRT(($AY144^2*($AH144/2)+$AW144^2*$AI144)/(($AH144/2)+$AI144))</f>
        <v>#VALUE!</v>
      </c>
      <c r="P144" s="371" t="e">
        <f aca="false">(VLOOKUP(AI144,CorrelationTwo,2)*(AW144^2)*AI144+VLOOKUP(D144,CorrelationOne,$AK$9)*AX144*AY144*(AH144/2))/((AI144+(AH144/2))*O144*N144)*AF144</f>
        <v>#VALUE!</v>
      </c>
      <c r="Q144" s="501" t="e">
        <f aca="false">xSPRDOPT(I144,H144,AQ144,0,O144,N144,P144,D144-$G$5,1,0)*AH144*AU144</f>
        <v>#VALUE!</v>
      </c>
      <c r="R144" s="501"/>
      <c r="S144" s="365" t="e">
        <f aca="false">-T144/(1-AR144)</f>
        <v>#VALUE!</v>
      </c>
      <c r="T144" s="365" t="e">
        <f aca="false">xSPRDOPT(I144,H144,AQ144,AT144,O144,N144,P144,D144-$G$5,1,1)*AF144*F144*AH144</f>
        <v>#VALUE!</v>
      </c>
      <c r="U144" s="501"/>
      <c r="V144" s="503" t="e">
        <f aca="false">VLOOKUP($AG144,$AL$4:$AS$15,8)*AH144*AU144</f>
        <v>#VALUE!</v>
      </c>
      <c r="W144" s="503"/>
      <c r="X144" s="504" t="e">
        <f aca="false">((BM144*BC144)+(BL144*BB144))*AH144*F144</f>
        <v>#VALUE!</v>
      </c>
      <c r="Y144" s="504" t="e">
        <f aca="false">($F144*$AH144)*((($BG144/2)*($BC144)^2)+(($BF144/2)*($BB144)^2)+($BH144*$BC144*$BB144))</f>
        <v>#VALUE!</v>
      </c>
      <c r="Z144" s="504" t="e">
        <f aca="false">($BI144*$F144*$AH144*($G$5-$BV$5))/365.25</f>
        <v>#VALUE!</v>
      </c>
      <c r="AA144" s="504" t="e">
        <f aca="false">(($BK144*$BE144)+($BJ144*$BD144))*$F144*$AH144*$AF144</f>
        <v>#VALUE!</v>
      </c>
      <c r="AB144" s="504" t="e">
        <f aca="false">BN144*(AT144-CA144)*F144*AH144</f>
        <v>#VALUE!</v>
      </c>
      <c r="AC144" s="504" t="e">
        <f aca="false">BO144*CB144*F144*AH144*CA144*($G$5-$BV$5)/365.25</f>
        <v>#NAME?</v>
      </c>
      <c r="AF144" s="378" t="e">
        <f aca="false">IF(AND(D144&gt;=$G$7,D144&lt;=$G$8),1,0)</f>
        <v>#VALUE!</v>
      </c>
      <c r="AG144" s="378" t="e">
        <f aca="false">MONTH(D144)</f>
        <v>#VALUE!</v>
      </c>
      <c r="AH144" s="378" t="e">
        <f aca="false">(EOMONTH(D144,0)-EOMONTH(D144-DAY(D144),0))*AF144</f>
        <v>#VALUE!</v>
      </c>
      <c r="AI144" s="378" t="e">
        <f aca="false">AI143+AH143</f>
        <v>#VALUE!</v>
      </c>
      <c r="AJ144" s="378" t="e">
        <f aca="false">D144-$BV$5</f>
        <v>#VALUE!</v>
      </c>
      <c r="AL144" s="369" t="e">
        <f aca="false">VLOOKUP($D144,CurveTbl,$AK$4)</f>
        <v>#VALUE!</v>
      </c>
      <c r="AM144" s="505" t="e">
        <f aca="false">VLOOKUP($D144,CurveTbl,$AH$3)</f>
        <v>#VALUE!</v>
      </c>
      <c r="AN144" s="505" t="e">
        <f aca="false">VLOOKUP($D144,CurveTbl,$AH$4)+VLOOKUP($AG144,$AL$3:$AS$15,6)</f>
        <v>#VALUE!</v>
      </c>
      <c r="AO144" s="505" t="e">
        <f aca="false">VLOOKUP($D144,CurveTbl,$AH$5)</f>
        <v>#VALUE!</v>
      </c>
      <c r="AP144" s="505" t="e">
        <f aca="false">VLOOKUP($D144,CurveTbl,$AH$6)+VLOOKUP($AG144,$AL$3:$AS$15,7)</f>
        <v>#VALUE!</v>
      </c>
      <c r="AQ144" s="369" t="e">
        <f aca="false">VLOOKUP($AG144,$AL$4:$AS$15,3)+VLOOKUP($AG144,$AL$4:$AS$15,5)+($AH$10*VLOOKUP(D144,GRITable,2))</f>
        <v>#VALUE!</v>
      </c>
      <c r="AR144" s="370" t="e">
        <f aca="false">VLOOKUP($AG144,$AL$4:$AS$15,4)</f>
        <v>#VALUE!</v>
      </c>
      <c r="AS144" s="369" t="e">
        <f aca="false">(AL144+AM144+AN144)</f>
        <v>#VALUE!</v>
      </c>
      <c r="AT144" s="370" t="e">
        <f aca="false">VLOOKUP(D144,CurveTbl,$AK$6)</f>
        <v>#VALUE!</v>
      </c>
      <c r="AU144" s="370" t="e">
        <f aca="false">(1+$AT144/2)^(-2*($D144-$G$5)/365.25)*$AF144</f>
        <v>#VALUE!</v>
      </c>
      <c r="AV144" s="506" t="e">
        <f aca="false">ROUND((F144/(1-AR144))-F144,0)*AF144*AH144*AU144</f>
        <v>#VALUE!</v>
      </c>
      <c r="AW144" s="370" t="e">
        <f aca="false">VLOOKUP($D144,CurveTbl,$AK$8)</f>
        <v>#VALUE!</v>
      </c>
      <c r="AX144" s="370" t="e">
        <f aca="false">VLOOKUP($D144,CurveTbl,$AH$7)</f>
        <v>#VALUE!</v>
      </c>
      <c r="AY144" s="370" t="e">
        <f aca="false">VLOOKUP($D144,CurveTbl,$AH$8)</f>
        <v>#VALUE!</v>
      </c>
      <c r="AZ144" s="370"/>
      <c r="BA144" s="507"/>
      <c r="BB144" s="505" t="e">
        <f aca="false">$H144-$BV144</f>
        <v>#VALUE!</v>
      </c>
      <c r="BC144" s="505" t="e">
        <f aca="false">I144-BW144</f>
        <v>#VALUE!</v>
      </c>
      <c r="BD144" s="370" t="e">
        <f aca="false">N144-BX144</f>
        <v>#VALUE!</v>
      </c>
      <c r="BE144" s="370" t="e">
        <f aca="false">O144-BY144</f>
        <v>#VALUE!</v>
      </c>
      <c r="BF144" s="370" t="e">
        <f aca="false">xSPRDOPT($BW144,$BV144,$CG144,0,$BY144,$BX144,$BZ144,$AJ144,1,4)*$CB144</f>
        <v>#NAME?</v>
      </c>
      <c r="BG144" s="370" t="e">
        <f aca="false">xSPRDOPT($BW144,$BV144,$CG144,0,$BY144,$BX144,$BZ144,$AJ144,1,3)*$CB144</f>
        <v>#NAME?</v>
      </c>
      <c r="BH144" s="370" t="e">
        <f aca="false">IF(OR(BF144&lt;&gt;0,BG144&lt;&gt;0),xSPRDOPT($BW144,$BV144,$CG144,0,$BY144,$BX144,$BZ144,$AJ144,1,12)*$CB144,0)</f>
        <v>#NAME?</v>
      </c>
      <c r="BI144" s="370" t="e">
        <f aca="false">xSPRDOPT($BW144,$BV144,$CG144,2*LN(1+CA144/2),$BY144,$BX144,$BZ144,$AJ144,1,9)</f>
        <v>#NAME?</v>
      </c>
      <c r="BJ144" s="370" t="e">
        <f aca="false">xSPRDOPT($BW144,$BV144,$CG144,0,$BY144,$BX144,$BZ144,$AJ144,1,6)*$CB144</f>
        <v>#NAME?</v>
      </c>
      <c r="BK144" s="370" t="e">
        <f aca="false">xSPRDOPT($BW144,$BV144,$CG144,0,$BY144,$BX144,$BZ144,$AJ144,1,5)*$CB144</f>
        <v>#NAME?</v>
      </c>
      <c r="BL144" s="370" t="e">
        <f aca="false">xSPRDOPT(BW144,BV144,CG144,0,BY144,BX144,BZ144,AJ144,1,2)*CB144</f>
        <v>#NAME?</v>
      </c>
      <c r="BM144" s="370" t="e">
        <f aca="false">xSPRDOPT(BW144,BV144,CG144,0,BY144,BX144,BZ144,AJ144,1,1)*CB144</f>
        <v>#NAME?</v>
      </c>
      <c r="BN144" s="370" t="e">
        <f aca="false">IF(AH144&lt;&gt;0,xSPRDOPT($BW144,$BV144,$CG144,2*LN(1+CA144/2),$BY144,$BX144,$BZ144,$AJ144,1,8)+(AJ144/365.25)*CH144/AH144,0)</f>
        <v>#VALUE!</v>
      </c>
      <c r="BO144" s="370" t="e">
        <f aca="false">xSPRDOPT($BW144,$BV144,$CG144,0,$BY144,$BX144,$BZ144,$AJ144,1,0)</f>
        <v>#NAME?</v>
      </c>
      <c r="BP144" s="370"/>
      <c r="BQ144" s="370"/>
      <c r="BR144" s="370"/>
      <c r="BS144" s="370"/>
      <c r="BV144" s="508" t="n">
        <v>4.14117647058824</v>
      </c>
      <c r="BW144" s="369" t="n">
        <v>4.4245</v>
      </c>
      <c r="BX144" s="370" t="n">
        <v>0.176375158405229</v>
      </c>
      <c r="BY144" s="370" t="n">
        <v>0.176375158405229</v>
      </c>
      <c r="BZ144" s="370" t="n">
        <v>1</v>
      </c>
      <c r="CA144" s="370" t="n">
        <v>0.0620641503086294</v>
      </c>
      <c r="CB144" s="370" t="n">
        <v>0.534449604013035</v>
      </c>
      <c r="CC144" s="505" t="n">
        <v>0.016</v>
      </c>
      <c r="CD144" s="505" t="n">
        <v>0.0075</v>
      </c>
      <c r="CE144" s="505" t="n">
        <v>0.4</v>
      </c>
      <c r="CF144" s="505" t="n">
        <v>0</v>
      </c>
      <c r="CG144" s="505" t="n">
        <v>0.0364</v>
      </c>
      <c r="CH144" s="505" t="n">
        <v>6.10859863898778</v>
      </c>
      <c r="CI144" s="505" t="n">
        <v>4.0245</v>
      </c>
      <c r="CJ144" s="505"/>
      <c r="CK144" s="505"/>
      <c r="CL144" s="505"/>
      <c r="CM144" s="505"/>
    </row>
    <row r="145" customFormat="false" ht="12.75" hidden="false" customHeight="false" outlineLevel="0" collapsed="false">
      <c r="A145" s="500"/>
      <c r="B145" s="500"/>
      <c r="D145" s="361" t="e">
        <f aca="false">D144+AH144</f>
        <v>#VALUE!</v>
      </c>
      <c r="F145" s="362" t="e">
        <f aca="false">VLOOKUP(AG145,$AL$4:$AS$15,2)</f>
        <v>#VALUE!</v>
      </c>
      <c r="G145" s="362" t="e">
        <f aca="false">F145*$AU145</f>
        <v>#VALUE!</v>
      </c>
      <c r="H145" s="363" t="e">
        <f aca="false">(AL145+AM145+AN145)/(1-(AR145))</f>
        <v>#VALUE!</v>
      </c>
      <c r="I145" s="363" t="e">
        <f aca="false">(AL145+AO145+AP145)</f>
        <v>#VALUE!</v>
      </c>
      <c r="K145" s="363" t="e">
        <f aca="false">MAX(((I145-H145)-AQ145)*AU145*AH145,0)</f>
        <v>#VALUE!</v>
      </c>
      <c r="L145" s="501" t="e">
        <f aca="false">MAX(Q145-K145,0)</f>
        <v>#VALUE!</v>
      </c>
      <c r="N145" s="502" t="e">
        <f aca="false">SQRT(($AX145^2*($AH145/2)+$AW145^2*$AI145)/(($AH145/2)+$AI145))</f>
        <v>#VALUE!</v>
      </c>
      <c r="O145" s="502" t="e">
        <f aca="false">SQRT(($AY145^2*($AH145/2)+$AW145^2*$AI145)/(($AH145/2)+$AI145))</f>
        <v>#VALUE!</v>
      </c>
      <c r="P145" s="371" t="e">
        <f aca="false">(VLOOKUP(AI145,CorrelationTwo,2)*(AW145^2)*AI145+VLOOKUP(D145,CorrelationOne,$AK$9)*AX145*AY145*(AH145/2))/((AI145+(AH145/2))*O145*N145)*AF145</f>
        <v>#VALUE!</v>
      </c>
      <c r="Q145" s="501" t="e">
        <f aca="false">xSPRDOPT(I145,H145,AQ145,0,O145,N145,P145,D145-$G$5,1,0)*AH145*AU145</f>
        <v>#VALUE!</v>
      </c>
      <c r="R145" s="501"/>
      <c r="S145" s="365" t="e">
        <f aca="false">-T145/(1-AR145)</f>
        <v>#VALUE!</v>
      </c>
      <c r="T145" s="365" t="e">
        <f aca="false">xSPRDOPT(I145,H145,AQ145,AT145,O145,N145,P145,D145-$G$5,1,1)*AF145*F145*AH145</f>
        <v>#VALUE!</v>
      </c>
      <c r="U145" s="501"/>
      <c r="V145" s="503" t="e">
        <f aca="false">VLOOKUP($AG145,$AL$4:$AS$15,8)*AH145*AU145</f>
        <v>#VALUE!</v>
      </c>
      <c r="W145" s="503"/>
      <c r="X145" s="504" t="e">
        <f aca="false">((BM145*BC145)+(BL145*BB145))*AH145*F145</f>
        <v>#VALUE!</v>
      </c>
      <c r="Y145" s="504" t="e">
        <f aca="false">($F145*$AH145)*((($BG145/2)*($BC145)^2)+(($BF145/2)*($BB145)^2)+($BH145*$BC145*$BB145))</f>
        <v>#VALUE!</v>
      </c>
      <c r="Z145" s="504" t="e">
        <f aca="false">($BI145*$F145*$AH145*($G$5-$BV$5))/365.25</f>
        <v>#VALUE!</v>
      </c>
      <c r="AA145" s="504" t="e">
        <f aca="false">(($BK145*$BE145)+($BJ145*$BD145))*$F145*$AH145*$AF145</f>
        <v>#VALUE!</v>
      </c>
      <c r="AB145" s="504" t="e">
        <f aca="false">BN145*(AT145-CA145)*F145*AH145</f>
        <v>#VALUE!</v>
      </c>
      <c r="AC145" s="504" t="e">
        <f aca="false">BO145*CB145*F145*AH145*CA145*($G$5-$BV$5)/365.25</f>
        <v>#NAME?</v>
      </c>
      <c r="AF145" s="378" t="e">
        <f aca="false">IF(AND(D145&gt;=$G$7,D145&lt;=$G$8),1,0)</f>
        <v>#VALUE!</v>
      </c>
      <c r="AG145" s="378" t="e">
        <f aca="false">MONTH(D145)</f>
        <v>#VALUE!</v>
      </c>
      <c r="AH145" s="378" t="e">
        <f aca="false">(EOMONTH(D145,0)-EOMONTH(D145-DAY(D145),0))*AF145</f>
        <v>#VALUE!</v>
      </c>
      <c r="AI145" s="378" t="e">
        <f aca="false">AI144+AH144</f>
        <v>#VALUE!</v>
      </c>
      <c r="AJ145" s="378" t="e">
        <f aca="false">D145-$BV$5</f>
        <v>#VALUE!</v>
      </c>
      <c r="AL145" s="369" t="e">
        <f aca="false">VLOOKUP($D145,CurveTbl,$AK$4)</f>
        <v>#VALUE!</v>
      </c>
      <c r="AM145" s="505" t="e">
        <f aca="false">VLOOKUP($D145,CurveTbl,$AH$3)</f>
        <v>#VALUE!</v>
      </c>
      <c r="AN145" s="505" t="e">
        <f aca="false">VLOOKUP($D145,CurveTbl,$AH$4)+VLOOKUP($AG145,$AL$3:$AS$15,6)</f>
        <v>#VALUE!</v>
      </c>
      <c r="AO145" s="505" t="e">
        <f aca="false">VLOOKUP($D145,CurveTbl,$AH$5)</f>
        <v>#VALUE!</v>
      </c>
      <c r="AP145" s="505" t="e">
        <f aca="false">VLOOKUP($D145,CurveTbl,$AH$6)+VLOOKUP($AG145,$AL$3:$AS$15,7)</f>
        <v>#VALUE!</v>
      </c>
      <c r="AQ145" s="369" t="e">
        <f aca="false">VLOOKUP($AG145,$AL$4:$AS$15,3)+VLOOKUP($AG145,$AL$4:$AS$15,5)+($AH$10*VLOOKUP(D145,GRITable,2))</f>
        <v>#VALUE!</v>
      </c>
      <c r="AR145" s="370" t="e">
        <f aca="false">VLOOKUP($AG145,$AL$4:$AS$15,4)</f>
        <v>#VALUE!</v>
      </c>
      <c r="AS145" s="369" t="e">
        <f aca="false">(AL145+AM145+AN145)</f>
        <v>#VALUE!</v>
      </c>
      <c r="AT145" s="370" t="e">
        <f aca="false">VLOOKUP(D145,CurveTbl,$AK$6)</f>
        <v>#VALUE!</v>
      </c>
      <c r="AU145" s="370" t="e">
        <f aca="false">(1+$AT145/2)^(-2*($D145-$G$5)/365.25)*$AF145</f>
        <v>#VALUE!</v>
      </c>
      <c r="AV145" s="506" t="e">
        <f aca="false">ROUND((F145/(1-AR145))-F145,0)*AF145*AH145*AU145</f>
        <v>#VALUE!</v>
      </c>
      <c r="AW145" s="370" t="e">
        <f aca="false">VLOOKUP($D145,CurveTbl,$AK$8)</f>
        <v>#VALUE!</v>
      </c>
      <c r="AX145" s="370" t="e">
        <f aca="false">VLOOKUP($D145,CurveTbl,$AH$7)</f>
        <v>#VALUE!</v>
      </c>
      <c r="AY145" s="370" t="e">
        <f aca="false">VLOOKUP($D145,CurveTbl,$AH$8)</f>
        <v>#VALUE!</v>
      </c>
      <c r="AZ145" s="370"/>
      <c r="BA145" s="507"/>
      <c r="BB145" s="505" t="e">
        <f aca="false">$H145-$BV145</f>
        <v>#VALUE!</v>
      </c>
      <c r="BC145" s="505" t="e">
        <f aca="false">I145-BW145</f>
        <v>#VALUE!</v>
      </c>
      <c r="BD145" s="370" t="e">
        <f aca="false">N145-BX145</f>
        <v>#VALUE!</v>
      </c>
      <c r="BE145" s="370" t="e">
        <f aca="false">O145-BY145</f>
        <v>#VALUE!</v>
      </c>
      <c r="BF145" s="370" t="e">
        <f aca="false">xSPRDOPT($BW145,$BV145,$CG145,0,$BY145,$BX145,$BZ145,$AJ145,1,4)*$CB145</f>
        <v>#NAME?</v>
      </c>
      <c r="BG145" s="370" t="e">
        <f aca="false">xSPRDOPT($BW145,$BV145,$CG145,0,$BY145,$BX145,$BZ145,$AJ145,1,3)*$CB145</f>
        <v>#NAME?</v>
      </c>
      <c r="BH145" s="370" t="e">
        <f aca="false">IF(OR(BF145&lt;&gt;0,BG145&lt;&gt;0),xSPRDOPT($BW145,$BV145,$CG145,0,$BY145,$BX145,$BZ145,$AJ145,1,12)*$CB145,0)</f>
        <v>#NAME?</v>
      </c>
      <c r="BI145" s="370" t="e">
        <f aca="false">xSPRDOPT($BW145,$BV145,$CG145,2*LN(1+CA145/2),$BY145,$BX145,$BZ145,$AJ145,1,9)</f>
        <v>#NAME?</v>
      </c>
      <c r="BJ145" s="370" t="e">
        <f aca="false">xSPRDOPT($BW145,$BV145,$CG145,0,$BY145,$BX145,$BZ145,$AJ145,1,6)*$CB145</f>
        <v>#NAME?</v>
      </c>
      <c r="BK145" s="370" t="e">
        <f aca="false">xSPRDOPT($BW145,$BV145,$CG145,0,$BY145,$BX145,$BZ145,$AJ145,1,5)*$CB145</f>
        <v>#NAME?</v>
      </c>
      <c r="BL145" s="370" t="e">
        <f aca="false">xSPRDOPT(BW145,BV145,CG145,0,BY145,BX145,BZ145,AJ145,1,2)*CB145</f>
        <v>#NAME?</v>
      </c>
      <c r="BM145" s="370" t="e">
        <f aca="false">xSPRDOPT(BW145,BV145,CG145,0,BY145,BX145,BZ145,AJ145,1,1)*CB145</f>
        <v>#NAME?</v>
      </c>
      <c r="BN145" s="370" t="e">
        <f aca="false">IF(AH145&lt;&gt;0,xSPRDOPT($BW145,$BV145,$CG145,2*LN(1+CA145/2),$BY145,$BX145,$BZ145,$AJ145,1,8)+(AJ145/365.25)*CH145/AH145,0)</f>
        <v>#VALUE!</v>
      </c>
      <c r="BO145" s="370" t="e">
        <f aca="false">xSPRDOPT($BW145,$BV145,$CG145,0,$BY145,$BX145,$BZ145,$AJ145,1,0)</f>
        <v>#NAME?</v>
      </c>
      <c r="BP145" s="370"/>
      <c r="BQ145" s="370"/>
      <c r="BR145" s="370"/>
      <c r="BS145" s="370"/>
      <c r="BV145" s="508" t="n">
        <v>3.95447570332481</v>
      </c>
      <c r="BW145" s="369" t="n">
        <v>4.4395</v>
      </c>
      <c r="BX145" s="370" t="n">
        <v>0.171524893805288</v>
      </c>
      <c r="BY145" s="370" t="n">
        <v>0.171524893805288</v>
      </c>
      <c r="BZ145" s="370" t="n">
        <v>1</v>
      </c>
      <c r="CA145" s="370" t="n">
        <v>0.0621046943938932</v>
      </c>
      <c r="CB145" s="370" t="n">
        <v>0.531468273217913</v>
      </c>
      <c r="CC145" s="505" t="n">
        <v>0.016</v>
      </c>
      <c r="CD145" s="505" t="n">
        <v>0.01</v>
      </c>
      <c r="CE145" s="505" t="n">
        <v>0.6</v>
      </c>
      <c r="CF145" s="505" t="n">
        <v>0</v>
      </c>
      <c r="CG145" s="505" t="n">
        <v>0.0364</v>
      </c>
      <c r="CH145" s="505" t="n">
        <v>5.87857057006333</v>
      </c>
      <c r="CI145" s="505" t="n">
        <v>3.8395</v>
      </c>
      <c r="CJ145" s="505"/>
      <c r="CK145" s="505"/>
      <c r="CL145" s="505"/>
      <c r="CM145" s="505"/>
    </row>
    <row r="146" customFormat="false" ht="12.75" hidden="false" customHeight="false" outlineLevel="0" collapsed="false">
      <c r="A146" s="500"/>
      <c r="B146" s="500"/>
      <c r="D146" s="361" t="e">
        <f aca="false">D145+AH145</f>
        <v>#VALUE!</v>
      </c>
      <c r="F146" s="362" t="e">
        <f aca="false">VLOOKUP(AG146,$AL$4:$AS$15,2)</f>
        <v>#VALUE!</v>
      </c>
      <c r="G146" s="362" t="e">
        <f aca="false">F146*$AU146</f>
        <v>#VALUE!</v>
      </c>
      <c r="H146" s="363" t="e">
        <f aca="false">(AL146+AM146+AN146)/(1-(AR146))</f>
        <v>#VALUE!</v>
      </c>
      <c r="I146" s="363" t="e">
        <f aca="false">(AL146+AO146+AP146)</f>
        <v>#VALUE!</v>
      </c>
      <c r="K146" s="363" t="e">
        <f aca="false">MAX(((I146-H146)-AQ146)*AU146*AH146,0)</f>
        <v>#VALUE!</v>
      </c>
      <c r="L146" s="501" t="e">
        <f aca="false">MAX(Q146-K146,0)</f>
        <v>#VALUE!</v>
      </c>
      <c r="N146" s="502" t="e">
        <f aca="false">SQRT(($AX146^2*($AH146/2)+$AW146^2*$AI146)/(($AH146/2)+$AI146))</f>
        <v>#VALUE!</v>
      </c>
      <c r="O146" s="502" t="e">
        <f aca="false">SQRT(($AY146^2*($AH146/2)+$AW146^2*$AI146)/(($AH146/2)+$AI146))</f>
        <v>#VALUE!</v>
      </c>
      <c r="P146" s="371" t="e">
        <f aca="false">(VLOOKUP(AI146,CorrelationTwo,2)*(AW146^2)*AI146+VLOOKUP(D146,CorrelationOne,$AK$9)*AX146*AY146*(AH146/2))/((AI146+(AH146/2))*O146*N146)*AF146</f>
        <v>#VALUE!</v>
      </c>
      <c r="Q146" s="501" t="e">
        <f aca="false">xSPRDOPT(I146,H146,AQ146,0,O146,N146,P146,D146-$G$5,1,0)*AH146*AU146</f>
        <v>#VALUE!</v>
      </c>
      <c r="R146" s="501"/>
      <c r="S146" s="365" t="e">
        <f aca="false">-T146/(1-AR146)</f>
        <v>#VALUE!</v>
      </c>
      <c r="T146" s="365" t="e">
        <f aca="false">xSPRDOPT(I146,H146,AQ146,AT146,O146,N146,P146,D146-$G$5,1,1)*AF146*F146*AH146</f>
        <v>#VALUE!</v>
      </c>
      <c r="U146" s="501"/>
      <c r="V146" s="503" t="e">
        <f aca="false">VLOOKUP($AG146,$AL$4:$AS$15,8)*AH146*AU146</f>
        <v>#VALUE!</v>
      </c>
      <c r="W146" s="503"/>
      <c r="X146" s="504" t="e">
        <f aca="false">((BM146*BC146)+(BL146*BB146))*AH146*F146</f>
        <v>#VALUE!</v>
      </c>
      <c r="Y146" s="504" t="e">
        <f aca="false">($F146*$AH146)*((($BG146/2)*($BC146)^2)+(($BF146/2)*($BB146)^2)+($BH146*$BC146*$BB146))</f>
        <v>#VALUE!</v>
      </c>
      <c r="Z146" s="504" t="e">
        <f aca="false">($BI146*$F146*$AH146*($G$5-$BV$5))/365.25</f>
        <v>#VALUE!</v>
      </c>
      <c r="AA146" s="504" t="e">
        <f aca="false">(($BK146*$BE146)+($BJ146*$BD146))*$F146*$AH146*$AF146</f>
        <v>#VALUE!</v>
      </c>
      <c r="AB146" s="504" t="e">
        <f aca="false">BN146*(AT146-CA146)*F146*AH146</f>
        <v>#VALUE!</v>
      </c>
      <c r="AC146" s="504" t="e">
        <f aca="false">BO146*CB146*F146*AH146*CA146*($G$5-$BV$5)/365.25</f>
        <v>#NAME?</v>
      </c>
      <c r="AF146" s="378" t="e">
        <f aca="false">IF(AND(D146&gt;=$G$7,D146&lt;=$G$8),1,0)</f>
        <v>#VALUE!</v>
      </c>
      <c r="AG146" s="378" t="e">
        <f aca="false">MONTH(D146)</f>
        <v>#VALUE!</v>
      </c>
      <c r="AH146" s="378" t="e">
        <f aca="false">(EOMONTH(D146,0)-EOMONTH(D146-DAY(D146),0))*AF146</f>
        <v>#VALUE!</v>
      </c>
      <c r="AI146" s="378" t="e">
        <f aca="false">AI145+AH145</f>
        <v>#VALUE!</v>
      </c>
      <c r="AJ146" s="378" t="e">
        <f aca="false">D146-$BV$5</f>
        <v>#VALUE!</v>
      </c>
      <c r="AL146" s="369" t="e">
        <f aca="false">VLOOKUP($D146,CurveTbl,$AK$4)</f>
        <v>#VALUE!</v>
      </c>
      <c r="AM146" s="505" t="e">
        <f aca="false">VLOOKUP($D146,CurveTbl,$AH$3)</f>
        <v>#VALUE!</v>
      </c>
      <c r="AN146" s="505" t="e">
        <f aca="false">VLOOKUP($D146,CurveTbl,$AH$4)+VLOOKUP($AG146,$AL$3:$AS$15,6)</f>
        <v>#VALUE!</v>
      </c>
      <c r="AO146" s="505" t="e">
        <f aca="false">VLOOKUP($D146,CurveTbl,$AH$5)</f>
        <v>#VALUE!</v>
      </c>
      <c r="AP146" s="505" t="e">
        <f aca="false">VLOOKUP($D146,CurveTbl,$AH$6)+VLOOKUP($AG146,$AL$3:$AS$15,7)</f>
        <v>#VALUE!</v>
      </c>
      <c r="AQ146" s="369" t="e">
        <f aca="false">VLOOKUP($AG146,$AL$4:$AS$15,3)+VLOOKUP($AG146,$AL$4:$AS$15,5)+($AH$10*VLOOKUP(D146,GRITable,2))</f>
        <v>#VALUE!</v>
      </c>
      <c r="AR146" s="370" t="e">
        <f aca="false">VLOOKUP($AG146,$AL$4:$AS$15,4)</f>
        <v>#VALUE!</v>
      </c>
      <c r="AS146" s="369" t="e">
        <f aca="false">(AL146+AM146+AN146)</f>
        <v>#VALUE!</v>
      </c>
      <c r="AT146" s="370" t="e">
        <f aca="false">VLOOKUP(D146,CurveTbl,$AK$6)</f>
        <v>#VALUE!</v>
      </c>
      <c r="AU146" s="370" t="e">
        <f aca="false">(1+$AT146/2)^(-2*($D146-$G$5)/365.25)*$AF146</f>
        <v>#VALUE!</v>
      </c>
      <c r="AV146" s="506" t="e">
        <f aca="false">ROUND((F146/(1-AR146))-F146,0)*AF146*AH146*AU146</f>
        <v>#VALUE!</v>
      </c>
      <c r="AW146" s="370" t="e">
        <f aca="false">VLOOKUP($D146,CurveTbl,$AK$8)</f>
        <v>#VALUE!</v>
      </c>
      <c r="AX146" s="370" t="e">
        <f aca="false">VLOOKUP($D146,CurveTbl,$AH$7)</f>
        <v>#VALUE!</v>
      </c>
      <c r="AY146" s="370" t="e">
        <f aca="false">VLOOKUP($D146,CurveTbl,$AH$8)</f>
        <v>#VALUE!</v>
      </c>
      <c r="AZ146" s="370"/>
      <c r="BA146" s="507"/>
      <c r="BB146" s="505" t="e">
        <f aca="false">$H146-$BV146</f>
        <v>#VALUE!</v>
      </c>
      <c r="BC146" s="505" t="e">
        <f aca="false">I146-BW146</f>
        <v>#VALUE!</v>
      </c>
      <c r="BD146" s="370" t="e">
        <f aca="false">N146-BX146</f>
        <v>#VALUE!</v>
      </c>
      <c r="BE146" s="370" t="e">
        <f aca="false">O146-BY146</f>
        <v>#VALUE!</v>
      </c>
      <c r="BF146" s="370" t="e">
        <f aca="false">xSPRDOPT($BW146,$BV146,$CG146,0,$BY146,$BX146,$BZ146,$AJ146,1,4)*$CB146</f>
        <v>#NAME?</v>
      </c>
      <c r="BG146" s="370" t="e">
        <f aca="false">xSPRDOPT($BW146,$BV146,$CG146,0,$BY146,$BX146,$BZ146,$AJ146,1,3)*$CB146</f>
        <v>#NAME?</v>
      </c>
      <c r="BH146" s="370" t="e">
        <f aca="false">IF(OR(BF146&lt;&gt;0,BG146&lt;&gt;0),xSPRDOPT($BW146,$BV146,$CG146,0,$BY146,$BX146,$BZ146,$AJ146,1,12)*$CB146,0)</f>
        <v>#NAME?</v>
      </c>
      <c r="BI146" s="370" t="e">
        <f aca="false">xSPRDOPT($BW146,$BV146,$CG146,2*LN(1+CA146/2),$BY146,$BX146,$BZ146,$AJ146,1,9)</f>
        <v>#NAME?</v>
      </c>
      <c r="BJ146" s="370" t="e">
        <f aca="false">xSPRDOPT($BW146,$BV146,$CG146,0,$BY146,$BX146,$BZ146,$AJ146,1,6)*$CB146</f>
        <v>#NAME?</v>
      </c>
      <c r="BK146" s="370" t="e">
        <f aca="false">xSPRDOPT($BW146,$BV146,$CG146,0,$BY146,$BX146,$BZ146,$AJ146,1,5)*$CB146</f>
        <v>#NAME?</v>
      </c>
      <c r="BL146" s="370" t="e">
        <f aca="false">xSPRDOPT(BW146,BV146,CG146,0,BY146,BX146,BZ146,AJ146,1,2)*CB146</f>
        <v>#NAME?</v>
      </c>
      <c r="BM146" s="370" t="e">
        <f aca="false">xSPRDOPT(BW146,BV146,CG146,0,BY146,BX146,BZ146,AJ146,1,1)*CB146</f>
        <v>#NAME?</v>
      </c>
      <c r="BN146" s="370" t="e">
        <f aca="false">IF(AH146&lt;&gt;0,xSPRDOPT($BW146,$BV146,$CG146,2*LN(1+CA146/2),$BY146,$BX146,$BZ146,$AJ146,1,8)+(AJ146/365.25)*CH146/AH146,0)</f>
        <v>#VALUE!</v>
      </c>
      <c r="BO146" s="370" t="e">
        <f aca="false">xSPRDOPT($BW146,$BV146,$CG146,0,$BY146,$BX146,$BZ146,$AJ146,1,0)</f>
        <v>#NAME?</v>
      </c>
      <c r="BP146" s="370"/>
      <c r="BQ146" s="370"/>
      <c r="BR146" s="370"/>
      <c r="BS146" s="370"/>
      <c r="BV146" s="508" t="n">
        <v>3.95191815856777</v>
      </c>
      <c r="BW146" s="369" t="n">
        <v>4.5845</v>
      </c>
      <c r="BX146" s="370" t="n">
        <v>0.172066545553685</v>
      </c>
      <c r="BY146" s="370" t="n">
        <v>0.172066545553685</v>
      </c>
      <c r="BZ146" s="370" t="n">
        <v>1</v>
      </c>
      <c r="CA146" s="370" t="n">
        <v>0.0621439306059584</v>
      </c>
      <c r="CB146" s="370" t="n">
        <v>0.528595594634583</v>
      </c>
      <c r="CC146" s="505" t="n">
        <v>0.0185</v>
      </c>
      <c r="CD146" s="505" t="n">
        <v>0.01</v>
      </c>
      <c r="CE146" s="505" t="n">
        <v>0.75</v>
      </c>
      <c r="CF146" s="505" t="n">
        <v>0</v>
      </c>
      <c r="CG146" s="505" t="n">
        <v>0.0364</v>
      </c>
      <c r="CH146" s="505" t="n">
        <v>6.04168906799489</v>
      </c>
      <c r="CI146" s="505" t="n">
        <v>3.8345</v>
      </c>
      <c r="CJ146" s="505"/>
      <c r="CK146" s="505"/>
      <c r="CL146" s="505"/>
      <c r="CM146" s="505"/>
    </row>
    <row r="147" customFormat="false" ht="12.75" hidden="false" customHeight="false" outlineLevel="0" collapsed="false">
      <c r="A147" s="500"/>
      <c r="B147" s="500"/>
      <c r="D147" s="361" t="e">
        <f aca="false">D146+AH146</f>
        <v>#VALUE!</v>
      </c>
      <c r="F147" s="362" t="e">
        <f aca="false">VLOOKUP(AG147,$AL$4:$AS$15,2)</f>
        <v>#VALUE!</v>
      </c>
      <c r="G147" s="362" t="e">
        <f aca="false">F147*$AU147</f>
        <v>#VALUE!</v>
      </c>
      <c r="H147" s="363" t="e">
        <f aca="false">(AL147+AM147+AN147)/(1-(AR147))</f>
        <v>#VALUE!</v>
      </c>
      <c r="I147" s="363" t="e">
        <f aca="false">(AL147+AO147+AP147)</f>
        <v>#VALUE!</v>
      </c>
      <c r="K147" s="363" t="e">
        <f aca="false">MAX(((I147-H147)-AQ147)*AU147*AH147,0)</f>
        <v>#VALUE!</v>
      </c>
      <c r="L147" s="501" t="e">
        <f aca="false">MAX(Q147-K147,0)</f>
        <v>#VALUE!</v>
      </c>
      <c r="N147" s="502" t="e">
        <f aca="false">SQRT(($AX147^2*($AH147/2)+$AW147^2*$AI147)/(($AH147/2)+$AI147))</f>
        <v>#VALUE!</v>
      </c>
      <c r="O147" s="502" t="e">
        <f aca="false">SQRT(($AY147^2*($AH147/2)+$AW147^2*$AI147)/(($AH147/2)+$AI147))</f>
        <v>#VALUE!</v>
      </c>
      <c r="P147" s="371" t="e">
        <f aca="false">(VLOOKUP(AI147,CorrelationTwo,2)*(AW147^2)*AI147+VLOOKUP(D147,CorrelationOne,$AK$9)*AX147*AY147*(AH147/2))/((AI147+(AH147/2))*O147*N147)*AF147</f>
        <v>#VALUE!</v>
      </c>
      <c r="Q147" s="501" t="e">
        <f aca="false">xSPRDOPT(I147,H147,AQ147,0,O147,N147,P147,D147-$G$5,1,0)*AH147*AU147</f>
        <v>#VALUE!</v>
      </c>
      <c r="R147" s="501"/>
      <c r="S147" s="365" t="e">
        <f aca="false">-T147/(1-AR147)</f>
        <v>#VALUE!</v>
      </c>
      <c r="T147" s="365" t="e">
        <f aca="false">xSPRDOPT(I147,H147,AQ147,AT147,O147,N147,P147,D147-$G$5,1,1)*AF147*F147*AH147</f>
        <v>#VALUE!</v>
      </c>
      <c r="U147" s="501"/>
      <c r="V147" s="503" t="e">
        <f aca="false">VLOOKUP($AG147,$AL$4:$AS$15,8)*AH147*AU147</f>
        <v>#VALUE!</v>
      </c>
      <c r="W147" s="503"/>
      <c r="X147" s="504" t="e">
        <f aca="false">((BM147*BC147)+(BL147*BB147))*AH147*F147</f>
        <v>#VALUE!</v>
      </c>
      <c r="Y147" s="504" t="e">
        <f aca="false">($F147*$AH147)*((($BG147/2)*($BC147)^2)+(($BF147/2)*($BB147)^2)+($BH147*$BC147*$BB147))</f>
        <v>#VALUE!</v>
      </c>
      <c r="Z147" s="504" t="e">
        <f aca="false">($BI147*$F147*$AH147*($G$5-$BV$5))/365.25</f>
        <v>#VALUE!</v>
      </c>
      <c r="AA147" s="504" t="e">
        <f aca="false">(($BK147*$BE147)+($BJ147*$BD147))*$F147*$AH147*$AF147</f>
        <v>#VALUE!</v>
      </c>
      <c r="AB147" s="504" t="e">
        <f aca="false">BN147*(AT147-CA147)*F147*AH147</f>
        <v>#VALUE!</v>
      </c>
      <c r="AC147" s="504" t="e">
        <f aca="false">BO147*CB147*F147*AH147*CA147*($G$5-$BV$5)/365.25</f>
        <v>#NAME?</v>
      </c>
      <c r="AF147" s="378" t="e">
        <f aca="false">IF(AND(D147&gt;=$G$7,D147&lt;=$G$8),1,0)</f>
        <v>#VALUE!</v>
      </c>
      <c r="AG147" s="378" t="e">
        <f aca="false">MONTH(D147)</f>
        <v>#VALUE!</v>
      </c>
      <c r="AH147" s="378" t="e">
        <f aca="false">(EOMONTH(D147,0)-EOMONTH(D147-DAY(D147),0))*AF147</f>
        <v>#VALUE!</v>
      </c>
      <c r="AI147" s="378" t="e">
        <f aca="false">AI146+AH146</f>
        <v>#VALUE!</v>
      </c>
      <c r="AJ147" s="378" t="e">
        <f aca="false">D147-$BV$5</f>
        <v>#VALUE!</v>
      </c>
      <c r="AL147" s="369" t="e">
        <f aca="false">VLOOKUP($D147,CurveTbl,$AK$4)</f>
        <v>#VALUE!</v>
      </c>
      <c r="AM147" s="505" t="e">
        <f aca="false">VLOOKUP($D147,CurveTbl,$AH$3)</f>
        <v>#VALUE!</v>
      </c>
      <c r="AN147" s="505" t="e">
        <f aca="false">VLOOKUP($D147,CurveTbl,$AH$4)+VLOOKUP($AG147,$AL$3:$AS$15,6)</f>
        <v>#VALUE!</v>
      </c>
      <c r="AO147" s="505" t="e">
        <f aca="false">VLOOKUP($D147,CurveTbl,$AH$5)</f>
        <v>#VALUE!</v>
      </c>
      <c r="AP147" s="505" t="e">
        <f aca="false">VLOOKUP($D147,CurveTbl,$AH$6)+VLOOKUP($AG147,$AL$3:$AS$15,7)</f>
        <v>#VALUE!</v>
      </c>
      <c r="AQ147" s="369" t="e">
        <f aca="false">VLOOKUP($AG147,$AL$4:$AS$15,3)+VLOOKUP($AG147,$AL$4:$AS$15,5)+($AH$10*VLOOKUP(D147,GRITable,2))</f>
        <v>#VALUE!</v>
      </c>
      <c r="AR147" s="370" t="e">
        <f aca="false">VLOOKUP($AG147,$AL$4:$AS$15,4)</f>
        <v>#VALUE!</v>
      </c>
      <c r="AS147" s="369" t="e">
        <f aca="false">(AL147+AM147+AN147)</f>
        <v>#VALUE!</v>
      </c>
      <c r="AT147" s="370" t="e">
        <f aca="false">VLOOKUP(D147,CurveTbl,$AK$6)</f>
        <v>#VALUE!</v>
      </c>
      <c r="AU147" s="370" t="e">
        <f aca="false">(1+$AT147/2)^(-2*($D147-$G$5)/365.25)*$AF147</f>
        <v>#VALUE!</v>
      </c>
      <c r="AV147" s="506" t="e">
        <f aca="false">ROUND((F147/(1-AR147))-F147,0)*AF147*AH147*AU147</f>
        <v>#VALUE!</v>
      </c>
      <c r="AW147" s="370" t="e">
        <f aca="false">VLOOKUP($D147,CurveTbl,$AK$8)</f>
        <v>#VALUE!</v>
      </c>
      <c r="AX147" s="370" t="e">
        <f aca="false">VLOOKUP($D147,CurveTbl,$AH$7)</f>
        <v>#VALUE!</v>
      </c>
      <c r="AY147" s="370" t="e">
        <f aca="false">VLOOKUP($D147,CurveTbl,$AH$8)</f>
        <v>#VALUE!</v>
      </c>
      <c r="AZ147" s="370"/>
      <c r="BA147" s="507"/>
      <c r="BB147" s="505" t="e">
        <f aca="false">$H147-$BV147</f>
        <v>#VALUE!</v>
      </c>
      <c r="BC147" s="505" t="e">
        <f aca="false">I147-BW147</f>
        <v>#VALUE!</v>
      </c>
      <c r="BD147" s="370" t="e">
        <f aca="false">N147-BX147</f>
        <v>#VALUE!</v>
      </c>
      <c r="BE147" s="370" t="e">
        <f aca="false">O147-BY147</f>
        <v>#VALUE!</v>
      </c>
      <c r="BF147" s="370" t="e">
        <f aca="false">xSPRDOPT($BW147,$BV147,$CG147,0,$BY147,$BX147,$BZ147,$AJ147,1,4)*$CB147</f>
        <v>#NAME?</v>
      </c>
      <c r="BG147" s="370" t="e">
        <f aca="false">xSPRDOPT($BW147,$BV147,$CG147,0,$BY147,$BX147,$BZ147,$AJ147,1,3)*$CB147</f>
        <v>#NAME?</v>
      </c>
      <c r="BH147" s="370" t="e">
        <f aca="false">IF(OR(BF147&lt;&gt;0,BG147&lt;&gt;0),xSPRDOPT($BW147,$BV147,$CG147,0,$BY147,$BX147,$BZ147,$AJ147,1,12)*$CB147,0)</f>
        <v>#NAME?</v>
      </c>
      <c r="BI147" s="370" t="e">
        <f aca="false">xSPRDOPT($BW147,$BV147,$CG147,2*LN(1+CA147/2),$BY147,$BX147,$BZ147,$AJ147,1,9)</f>
        <v>#NAME?</v>
      </c>
      <c r="BJ147" s="370" t="e">
        <f aca="false">xSPRDOPT($BW147,$BV147,$CG147,0,$BY147,$BX147,$BZ147,$AJ147,1,6)*$CB147</f>
        <v>#NAME?</v>
      </c>
      <c r="BK147" s="370" t="e">
        <f aca="false">xSPRDOPT($BW147,$BV147,$CG147,0,$BY147,$BX147,$BZ147,$AJ147,1,5)*$CB147</f>
        <v>#NAME?</v>
      </c>
      <c r="BL147" s="370" t="e">
        <f aca="false">xSPRDOPT(BW147,BV147,CG147,0,BY147,BX147,BZ147,AJ147,1,2)*CB147</f>
        <v>#NAME?</v>
      </c>
      <c r="BM147" s="370" t="e">
        <f aca="false">xSPRDOPT(BW147,BV147,CG147,0,BY147,BX147,BZ147,AJ147,1,1)*CB147</f>
        <v>#NAME?</v>
      </c>
      <c r="BN147" s="370" t="e">
        <f aca="false">IF(AH147&lt;&gt;0,xSPRDOPT($BW147,$BV147,$CG147,2*LN(1+CA147/2),$BY147,$BX147,$BZ147,$AJ147,1,8)+(AJ147/365.25)*CH147/AH147,0)</f>
        <v>#VALUE!</v>
      </c>
      <c r="BO147" s="370" t="e">
        <f aca="false">xSPRDOPT($BW147,$BV147,$CG147,0,$BY147,$BX147,$BZ147,$AJ147,1,0)</f>
        <v>#NAME?</v>
      </c>
      <c r="BP147" s="370"/>
      <c r="BQ147" s="370"/>
      <c r="BR147" s="370"/>
      <c r="BS147" s="370"/>
      <c r="BV147" s="508" t="n">
        <v>3.98772378516624</v>
      </c>
      <c r="BW147" s="369" t="n">
        <v>4.7195</v>
      </c>
      <c r="BX147" s="370" t="n">
        <v>0.171984462087058</v>
      </c>
      <c r="BY147" s="370" t="n">
        <v>0.171984462087058</v>
      </c>
      <c r="BZ147" s="370" t="n">
        <v>1</v>
      </c>
      <c r="CA147" s="370" t="n">
        <v>0.0621844746922955</v>
      </c>
      <c r="CB147" s="370" t="n">
        <v>0.525640023623946</v>
      </c>
      <c r="CC147" s="505" t="n">
        <v>0.0185</v>
      </c>
      <c r="CD147" s="505" t="n">
        <v>0.01</v>
      </c>
      <c r="CE147" s="505" t="n">
        <v>0.85</v>
      </c>
      <c r="CF147" s="505" t="n">
        <v>0</v>
      </c>
      <c r="CG147" s="505" t="n">
        <v>0.0364</v>
      </c>
      <c r="CH147" s="505" t="n">
        <v>5.81410430130447</v>
      </c>
      <c r="CI147" s="505" t="n">
        <v>3.8695</v>
      </c>
      <c r="CJ147" s="505"/>
      <c r="CK147" s="505"/>
      <c r="CL147" s="505"/>
      <c r="CM147" s="505"/>
    </row>
    <row r="148" customFormat="false" ht="12.75" hidden="false" customHeight="false" outlineLevel="0" collapsed="false">
      <c r="A148" s="500"/>
      <c r="B148" s="500"/>
      <c r="D148" s="361" t="e">
        <f aca="false">D147+AH147</f>
        <v>#VALUE!</v>
      </c>
      <c r="F148" s="362" t="e">
        <f aca="false">VLOOKUP(AG148,$AL$4:$AS$15,2)</f>
        <v>#VALUE!</v>
      </c>
      <c r="G148" s="362" t="e">
        <f aca="false">F148*$AU148</f>
        <v>#VALUE!</v>
      </c>
      <c r="H148" s="363" t="e">
        <f aca="false">(AL148+AM148+AN148)/(1-(AR148))</f>
        <v>#VALUE!</v>
      </c>
      <c r="I148" s="363" t="e">
        <f aca="false">(AL148+AO148+AP148)</f>
        <v>#VALUE!</v>
      </c>
      <c r="K148" s="363" t="e">
        <f aca="false">MAX(((I148-H148)-AQ148)*AU148*AH148,0)</f>
        <v>#VALUE!</v>
      </c>
      <c r="L148" s="501" t="e">
        <f aca="false">MAX(Q148-K148,0)</f>
        <v>#VALUE!</v>
      </c>
      <c r="N148" s="502" t="e">
        <f aca="false">SQRT(($AX148^2*($AH148/2)+$AW148^2*$AI148)/(($AH148/2)+$AI148))</f>
        <v>#VALUE!</v>
      </c>
      <c r="O148" s="502" t="e">
        <f aca="false">SQRT(($AY148^2*($AH148/2)+$AW148^2*$AI148)/(($AH148/2)+$AI148))</f>
        <v>#VALUE!</v>
      </c>
      <c r="P148" s="371" t="e">
        <f aca="false">(VLOOKUP(AI148,CorrelationTwo,2)*(AW148^2)*AI148+VLOOKUP(D148,CorrelationOne,$AK$9)*AX148*AY148*(AH148/2))/((AI148+(AH148/2))*O148*N148)*AF148</f>
        <v>#VALUE!</v>
      </c>
      <c r="Q148" s="501" t="e">
        <f aca="false">xSPRDOPT(I148,H148,AQ148,0,O148,N148,P148,D148-$G$5,1,0)*AH148*AU148</f>
        <v>#VALUE!</v>
      </c>
      <c r="R148" s="501"/>
      <c r="S148" s="365" t="e">
        <f aca="false">-T148/(1-AR148)</f>
        <v>#VALUE!</v>
      </c>
      <c r="T148" s="365" t="e">
        <f aca="false">xSPRDOPT(I148,H148,AQ148,AT148,O148,N148,P148,D148-$G$5,1,1)*AF148*F148*AH148</f>
        <v>#VALUE!</v>
      </c>
      <c r="U148" s="501"/>
      <c r="V148" s="503" t="e">
        <f aca="false">VLOOKUP($AG148,$AL$4:$AS$15,8)*AH148*AU148</f>
        <v>#VALUE!</v>
      </c>
      <c r="W148" s="503"/>
      <c r="X148" s="504" t="e">
        <f aca="false">((BM148*BC148)+(BL148*BB148))*AH148*F148</f>
        <v>#VALUE!</v>
      </c>
      <c r="Y148" s="504" t="e">
        <f aca="false">($F148*$AH148)*((($BG148/2)*($BC148)^2)+(($BF148/2)*($BB148)^2)+($BH148*$BC148*$BB148))</f>
        <v>#VALUE!</v>
      </c>
      <c r="Z148" s="504" t="e">
        <f aca="false">($BI148*$F148*$AH148*($G$5-$BV$5))/365.25</f>
        <v>#VALUE!</v>
      </c>
      <c r="AA148" s="504" t="e">
        <f aca="false">(($BK148*$BE148)+($BJ148*$BD148))*$F148*$AH148*$AF148</f>
        <v>#VALUE!</v>
      </c>
      <c r="AB148" s="504" t="e">
        <f aca="false">BN148*(AT148-CA148)*F148*AH148</f>
        <v>#VALUE!</v>
      </c>
      <c r="AC148" s="504" t="e">
        <f aca="false">BO148*CB148*F148*AH148*CA148*($G$5-$BV$5)/365.25</f>
        <v>#NAME?</v>
      </c>
      <c r="AF148" s="378" t="e">
        <f aca="false">IF(AND(D148&gt;=$G$7,D148&lt;=$G$8),1,0)</f>
        <v>#VALUE!</v>
      </c>
      <c r="AG148" s="378" t="e">
        <f aca="false">MONTH(D148)</f>
        <v>#VALUE!</v>
      </c>
      <c r="AH148" s="378" t="e">
        <f aca="false">(EOMONTH(D148,0)-EOMONTH(D148-DAY(D148),0))*AF148</f>
        <v>#VALUE!</v>
      </c>
      <c r="AI148" s="378" t="e">
        <f aca="false">AI147+AH147</f>
        <v>#VALUE!</v>
      </c>
      <c r="AJ148" s="378" t="e">
        <f aca="false">D148-$BV$5</f>
        <v>#VALUE!</v>
      </c>
      <c r="AL148" s="369" t="e">
        <f aca="false">VLOOKUP($D148,CurveTbl,$AK$4)</f>
        <v>#VALUE!</v>
      </c>
      <c r="AM148" s="505" t="e">
        <f aca="false">VLOOKUP($D148,CurveTbl,$AH$3)</f>
        <v>#VALUE!</v>
      </c>
      <c r="AN148" s="505" t="e">
        <f aca="false">VLOOKUP($D148,CurveTbl,$AH$4)+VLOOKUP($AG148,$AL$3:$AS$15,6)</f>
        <v>#VALUE!</v>
      </c>
      <c r="AO148" s="505" t="e">
        <f aca="false">VLOOKUP($D148,CurveTbl,$AH$5)</f>
        <v>#VALUE!</v>
      </c>
      <c r="AP148" s="505" t="e">
        <f aca="false">VLOOKUP($D148,CurveTbl,$AH$6)+VLOOKUP($AG148,$AL$3:$AS$15,7)</f>
        <v>#VALUE!</v>
      </c>
      <c r="AQ148" s="369" t="e">
        <f aca="false">VLOOKUP($AG148,$AL$4:$AS$15,3)+VLOOKUP($AG148,$AL$4:$AS$15,5)+($AH$10*VLOOKUP(D148,GRITable,2))</f>
        <v>#VALUE!</v>
      </c>
      <c r="AR148" s="370" t="e">
        <f aca="false">VLOOKUP($AG148,$AL$4:$AS$15,4)</f>
        <v>#VALUE!</v>
      </c>
      <c r="AS148" s="369" t="e">
        <f aca="false">(AL148+AM148+AN148)</f>
        <v>#VALUE!</v>
      </c>
      <c r="AT148" s="370" t="e">
        <f aca="false">VLOOKUP(D148,CurveTbl,$AK$6)</f>
        <v>#VALUE!</v>
      </c>
      <c r="AU148" s="370" t="e">
        <f aca="false">(1+$AT148/2)^(-2*($D148-$G$5)/365.25)*$AF148</f>
        <v>#VALUE!</v>
      </c>
      <c r="AV148" s="506" t="e">
        <f aca="false">ROUND((F148/(1-AR148))-F148,0)*AF148*AH148*AU148</f>
        <v>#VALUE!</v>
      </c>
      <c r="AW148" s="370" t="e">
        <f aca="false">VLOOKUP($D148,CurveTbl,$AK$8)</f>
        <v>#VALUE!</v>
      </c>
      <c r="AX148" s="370" t="e">
        <f aca="false">VLOOKUP($D148,CurveTbl,$AH$7)</f>
        <v>#VALUE!</v>
      </c>
      <c r="AY148" s="370" t="e">
        <f aca="false">VLOOKUP($D148,CurveTbl,$AH$8)</f>
        <v>#VALUE!</v>
      </c>
      <c r="AZ148" s="370"/>
      <c r="BA148" s="507"/>
      <c r="BB148" s="505" t="e">
        <f aca="false">$H148-$BV148</f>
        <v>#VALUE!</v>
      </c>
      <c r="BC148" s="505" t="e">
        <f aca="false">I148-BW148</f>
        <v>#VALUE!</v>
      </c>
      <c r="BD148" s="370" t="e">
        <f aca="false">N148-BX148</f>
        <v>#VALUE!</v>
      </c>
      <c r="BE148" s="370" t="e">
        <f aca="false">O148-BY148</f>
        <v>#VALUE!</v>
      </c>
      <c r="BF148" s="370" t="e">
        <f aca="false">xSPRDOPT($BW148,$BV148,$CG148,0,$BY148,$BX148,$BZ148,$AJ148,1,4)*$CB148</f>
        <v>#NAME?</v>
      </c>
      <c r="BG148" s="370" t="e">
        <f aca="false">xSPRDOPT($BW148,$BV148,$CG148,0,$BY148,$BX148,$BZ148,$AJ148,1,3)*$CB148</f>
        <v>#NAME?</v>
      </c>
      <c r="BH148" s="370" t="e">
        <f aca="false">IF(OR(BF148&lt;&gt;0,BG148&lt;&gt;0),xSPRDOPT($BW148,$BV148,$CG148,0,$BY148,$BX148,$BZ148,$AJ148,1,12)*$CB148,0)</f>
        <v>#NAME?</v>
      </c>
      <c r="BI148" s="370" t="e">
        <f aca="false">xSPRDOPT($BW148,$BV148,$CG148,2*LN(1+CA148/2),$BY148,$BX148,$BZ148,$AJ148,1,9)</f>
        <v>#NAME?</v>
      </c>
      <c r="BJ148" s="370" t="e">
        <f aca="false">xSPRDOPT($BW148,$BV148,$CG148,0,$BY148,$BX148,$BZ148,$AJ148,1,6)*$CB148</f>
        <v>#NAME?</v>
      </c>
      <c r="BK148" s="370" t="e">
        <f aca="false">xSPRDOPT($BW148,$BV148,$CG148,0,$BY148,$BX148,$BZ148,$AJ148,1,5)*$CB148</f>
        <v>#NAME?</v>
      </c>
      <c r="BL148" s="370" t="e">
        <f aca="false">xSPRDOPT(BW148,BV148,CG148,0,BY148,BX148,BZ148,AJ148,1,2)*CB148</f>
        <v>#NAME?</v>
      </c>
      <c r="BM148" s="370" t="e">
        <f aca="false">xSPRDOPT(BW148,BV148,CG148,0,BY148,BX148,BZ148,AJ148,1,1)*CB148</f>
        <v>#NAME?</v>
      </c>
      <c r="BN148" s="370" t="e">
        <f aca="false">IF(AH148&lt;&gt;0,xSPRDOPT($BW148,$BV148,$CG148,2*LN(1+CA148/2),$BY148,$BX148,$BZ148,$AJ148,1,8)+(AJ148/365.25)*CH148/AH148,0)</f>
        <v>#VALUE!</v>
      </c>
      <c r="BO148" s="370" t="e">
        <f aca="false">xSPRDOPT($BW148,$BV148,$CG148,0,$BY148,$BX148,$BZ148,$AJ148,1,0)</f>
        <v>#NAME?</v>
      </c>
      <c r="BP148" s="370"/>
      <c r="BQ148" s="370"/>
      <c r="BR148" s="370"/>
      <c r="BS148" s="370"/>
      <c r="BV148" s="508" t="n">
        <v>4.02864450127877</v>
      </c>
      <c r="BW148" s="369" t="n">
        <v>4.9595</v>
      </c>
      <c r="BX148" s="370" t="n">
        <v>0.172586543685796</v>
      </c>
      <c r="BY148" s="370" t="n">
        <v>0.172586543685796</v>
      </c>
      <c r="BZ148" s="370" t="n">
        <v>1</v>
      </c>
      <c r="CA148" s="370" t="n">
        <v>0.0622237109053994</v>
      </c>
      <c r="CB148" s="370" t="n">
        <v>0.522792210785026</v>
      </c>
      <c r="CC148" s="505" t="n">
        <v>0.0185</v>
      </c>
      <c r="CD148" s="505" t="n">
        <v>0.01</v>
      </c>
      <c r="CE148" s="505" t="n">
        <v>1.05</v>
      </c>
      <c r="CF148" s="505" t="n">
        <v>0</v>
      </c>
      <c r="CG148" s="505" t="n">
        <v>0.0364</v>
      </c>
      <c r="CH148" s="505" t="n">
        <v>5.97535813160961</v>
      </c>
      <c r="CI148" s="505" t="n">
        <v>3.9095</v>
      </c>
      <c r="CJ148" s="505"/>
      <c r="CK148" s="505"/>
      <c r="CL148" s="505"/>
      <c r="CM148" s="505"/>
    </row>
    <row r="149" customFormat="false" ht="12.75" hidden="false" customHeight="false" outlineLevel="0" collapsed="false">
      <c r="A149" s="500"/>
      <c r="B149" s="500"/>
      <c r="D149" s="361" t="e">
        <f aca="false">D148+AH148</f>
        <v>#VALUE!</v>
      </c>
      <c r="F149" s="362" t="e">
        <f aca="false">VLOOKUP(AG149,$AL$4:$AS$15,2)</f>
        <v>#VALUE!</v>
      </c>
      <c r="G149" s="362" t="e">
        <f aca="false">F149*$AU149</f>
        <v>#VALUE!</v>
      </c>
      <c r="H149" s="363" t="e">
        <f aca="false">(AL149+AM149+AN149)/(1-(AR149))</f>
        <v>#VALUE!</v>
      </c>
      <c r="I149" s="363" t="e">
        <f aca="false">(AL149+AO149+AP149)</f>
        <v>#VALUE!</v>
      </c>
      <c r="K149" s="363" t="e">
        <f aca="false">MAX(((I149-H149)-AQ149)*AU149*AH149,0)</f>
        <v>#VALUE!</v>
      </c>
      <c r="L149" s="501" t="e">
        <f aca="false">MAX(Q149-K149,0)</f>
        <v>#VALUE!</v>
      </c>
      <c r="N149" s="502" t="e">
        <f aca="false">SQRT(($AX149^2*($AH149/2)+$AW149^2*$AI149)/(($AH149/2)+$AI149))</f>
        <v>#VALUE!</v>
      </c>
      <c r="O149" s="502" t="e">
        <f aca="false">SQRT(($AY149^2*($AH149/2)+$AW149^2*$AI149)/(($AH149/2)+$AI149))</f>
        <v>#VALUE!</v>
      </c>
      <c r="P149" s="371" t="e">
        <f aca="false">(VLOOKUP(AI149,CorrelationTwo,2)*(AW149^2)*AI149+VLOOKUP(D149,CorrelationOne,$AK$9)*AX149*AY149*(AH149/2))/((AI149+(AH149/2))*O149*N149)*AF149</f>
        <v>#VALUE!</v>
      </c>
      <c r="Q149" s="501" t="e">
        <f aca="false">xSPRDOPT(I149,H149,AQ149,0,O149,N149,P149,D149-$G$5,1,0)*AH149*AU149</f>
        <v>#VALUE!</v>
      </c>
      <c r="R149" s="501"/>
      <c r="S149" s="365" t="e">
        <f aca="false">-T149/(1-AR149)</f>
        <v>#VALUE!</v>
      </c>
      <c r="T149" s="365" t="e">
        <f aca="false">xSPRDOPT(I149,H149,AQ149,AT149,O149,N149,P149,D149-$G$5,1,1)*AF149*F149*AH149</f>
        <v>#VALUE!</v>
      </c>
      <c r="U149" s="501"/>
      <c r="V149" s="503" t="e">
        <f aca="false">VLOOKUP($AG149,$AL$4:$AS$15,8)*AH149*AU149</f>
        <v>#VALUE!</v>
      </c>
      <c r="W149" s="503"/>
      <c r="X149" s="504" t="e">
        <f aca="false">((BM149*BC149)+(BL149*BB149))*AH149*F149</f>
        <v>#VALUE!</v>
      </c>
      <c r="Y149" s="504" t="e">
        <f aca="false">($F149*$AH149)*((($BG149/2)*($BC149)^2)+(($BF149/2)*($BB149)^2)+($BH149*$BC149*$BB149))</f>
        <v>#VALUE!</v>
      </c>
      <c r="Z149" s="504" t="e">
        <f aca="false">($BI149*$F149*$AH149*($G$5-$BV$5))/365.25</f>
        <v>#VALUE!</v>
      </c>
      <c r="AA149" s="504" t="e">
        <f aca="false">(($BK149*$BE149)+($BJ149*$BD149))*$F149*$AH149*$AF149</f>
        <v>#VALUE!</v>
      </c>
      <c r="AB149" s="504" t="e">
        <f aca="false">BN149*(AT149-CA149)*F149*AH149</f>
        <v>#VALUE!</v>
      </c>
      <c r="AC149" s="504" t="e">
        <f aca="false">BO149*CB149*F149*AH149*CA149*($G$5-$BV$5)/365.25</f>
        <v>#NAME?</v>
      </c>
      <c r="AF149" s="378" t="e">
        <f aca="false">IF(AND(D149&gt;=$G$7,D149&lt;=$G$8),1,0)</f>
        <v>#VALUE!</v>
      </c>
      <c r="AG149" s="378" t="e">
        <f aca="false">MONTH(D149)</f>
        <v>#VALUE!</v>
      </c>
      <c r="AH149" s="378" t="e">
        <f aca="false">(EOMONTH(D149,0)-EOMONTH(D149-DAY(D149),0))*AF149</f>
        <v>#VALUE!</v>
      </c>
      <c r="AI149" s="378" t="e">
        <f aca="false">AI148+AH148</f>
        <v>#VALUE!</v>
      </c>
      <c r="AJ149" s="378" t="e">
        <f aca="false">D149-$BV$5</f>
        <v>#VALUE!</v>
      </c>
      <c r="AL149" s="369" t="e">
        <f aca="false">VLOOKUP($D149,CurveTbl,$AK$4)</f>
        <v>#VALUE!</v>
      </c>
      <c r="AM149" s="505" t="e">
        <f aca="false">VLOOKUP($D149,CurveTbl,$AH$3)</f>
        <v>#VALUE!</v>
      </c>
      <c r="AN149" s="505" t="e">
        <f aca="false">VLOOKUP($D149,CurveTbl,$AH$4)+VLOOKUP($AG149,$AL$3:$AS$15,6)</f>
        <v>#VALUE!</v>
      </c>
      <c r="AO149" s="505" t="e">
        <f aca="false">VLOOKUP($D149,CurveTbl,$AH$5)</f>
        <v>#VALUE!</v>
      </c>
      <c r="AP149" s="505" t="e">
        <f aca="false">VLOOKUP($D149,CurveTbl,$AH$6)+VLOOKUP($AG149,$AL$3:$AS$15,7)</f>
        <v>#VALUE!</v>
      </c>
      <c r="AQ149" s="369" t="e">
        <f aca="false">VLOOKUP($AG149,$AL$4:$AS$15,3)+VLOOKUP($AG149,$AL$4:$AS$15,5)+($AH$10*VLOOKUP(D149,GRITable,2))</f>
        <v>#VALUE!</v>
      </c>
      <c r="AR149" s="370" t="e">
        <f aca="false">VLOOKUP($AG149,$AL$4:$AS$15,4)</f>
        <v>#VALUE!</v>
      </c>
      <c r="AS149" s="369" t="e">
        <f aca="false">(AL149+AM149+AN149)</f>
        <v>#VALUE!</v>
      </c>
      <c r="AT149" s="370" t="e">
        <f aca="false">VLOOKUP(D149,CurveTbl,$AK$6)</f>
        <v>#VALUE!</v>
      </c>
      <c r="AU149" s="370" t="e">
        <f aca="false">(1+$AT149/2)^(-2*($D149-$G$5)/365.25)*$AF149</f>
        <v>#VALUE!</v>
      </c>
      <c r="AV149" s="506" t="e">
        <f aca="false">ROUND((F149/(1-AR149))-F149,0)*AF149*AH149*AU149</f>
        <v>#VALUE!</v>
      </c>
      <c r="AW149" s="370" t="e">
        <f aca="false">VLOOKUP($D149,CurveTbl,$AK$8)</f>
        <v>#VALUE!</v>
      </c>
      <c r="AX149" s="370" t="e">
        <f aca="false">VLOOKUP($D149,CurveTbl,$AH$7)</f>
        <v>#VALUE!</v>
      </c>
      <c r="AY149" s="370" t="e">
        <f aca="false">VLOOKUP($D149,CurveTbl,$AH$8)</f>
        <v>#VALUE!</v>
      </c>
      <c r="AZ149" s="370"/>
      <c r="BA149" s="507"/>
      <c r="BB149" s="505" t="e">
        <f aca="false">$H149-$BV149</f>
        <v>#VALUE!</v>
      </c>
      <c r="BC149" s="505" t="e">
        <f aca="false">I149-BW149</f>
        <v>#VALUE!</v>
      </c>
      <c r="BD149" s="370" t="e">
        <f aca="false">N149-BX149</f>
        <v>#VALUE!</v>
      </c>
      <c r="BE149" s="370" t="e">
        <f aca="false">O149-BY149</f>
        <v>#VALUE!</v>
      </c>
      <c r="BF149" s="370" t="e">
        <f aca="false">xSPRDOPT($BW149,$BV149,$CG149,0,$BY149,$BX149,$BZ149,$AJ149,1,4)*$CB149</f>
        <v>#NAME?</v>
      </c>
      <c r="BG149" s="370" t="e">
        <f aca="false">xSPRDOPT($BW149,$BV149,$CG149,0,$BY149,$BX149,$BZ149,$AJ149,1,3)*$CB149</f>
        <v>#NAME?</v>
      </c>
      <c r="BH149" s="370" t="e">
        <f aca="false">IF(OR(BF149&lt;&gt;0,BG149&lt;&gt;0),xSPRDOPT($BW149,$BV149,$CG149,0,$BY149,$BX149,$BZ149,$AJ149,1,12)*$CB149,0)</f>
        <v>#NAME?</v>
      </c>
      <c r="BI149" s="370" t="e">
        <f aca="false">xSPRDOPT($BW149,$BV149,$CG149,2*LN(1+CA149/2),$BY149,$BX149,$BZ149,$AJ149,1,9)</f>
        <v>#NAME?</v>
      </c>
      <c r="BJ149" s="370" t="e">
        <f aca="false">xSPRDOPT($BW149,$BV149,$CG149,0,$BY149,$BX149,$BZ149,$AJ149,1,6)*$CB149</f>
        <v>#NAME?</v>
      </c>
      <c r="BK149" s="370" t="e">
        <f aca="false">xSPRDOPT($BW149,$BV149,$CG149,0,$BY149,$BX149,$BZ149,$AJ149,1,5)*$CB149</f>
        <v>#NAME?</v>
      </c>
      <c r="BL149" s="370" t="e">
        <f aca="false">xSPRDOPT(BW149,BV149,CG149,0,BY149,BX149,BZ149,AJ149,1,2)*CB149</f>
        <v>#NAME?</v>
      </c>
      <c r="BM149" s="370" t="e">
        <f aca="false">xSPRDOPT(BW149,BV149,CG149,0,BY149,BX149,BZ149,AJ149,1,1)*CB149</f>
        <v>#NAME?</v>
      </c>
      <c r="BN149" s="370" t="e">
        <f aca="false">IF(AH149&lt;&gt;0,xSPRDOPT($BW149,$BV149,$CG149,2*LN(1+CA149/2),$BY149,$BX149,$BZ149,$AJ149,1,8)+(AJ149/365.25)*CH149/AH149,0)</f>
        <v>#VALUE!</v>
      </c>
      <c r="BO149" s="370" t="e">
        <f aca="false">xSPRDOPT($BW149,$BV149,$CG149,0,$BY149,$BX149,$BZ149,$AJ149,1,0)</f>
        <v>#NAME?</v>
      </c>
      <c r="BP149" s="370"/>
      <c r="BQ149" s="370"/>
      <c r="BR149" s="370"/>
      <c r="BS149" s="370"/>
      <c r="BV149" s="508" t="n">
        <v>4.06445012787724</v>
      </c>
      <c r="BW149" s="369" t="n">
        <v>4.9995</v>
      </c>
      <c r="BX149" s="370" t="n">
        <v>0.173169867474553</v>
      </c>
      <c r="BY149" s="370" t="n">
        <v>0.173169867474553</v>
      </c>
      <c r="BZ149" s="370" t="n">
        <v>1</v>
      </c>
      <c r="CA149" s="370" t="n">
        <v>0.0622642549928103</v>
      </c>
      <c r="CB149" s="370" t="n">
        <v>0.519862269053445</v>
      </c>
      <c r="CC149" s="505" t="n">
        <v>0.0135</v>
      </c>
      <c r="CD149" s="505" t="n">
        <v>0.01</v>
      </c>
      <c r="CE149" s="505" t="n">
        <v>1.05</v>
      </c>
      <c r="CF149" s="505" t="n">
        <v>0</v>
      </c>
      <c r="CG149" s="505" t="n">
        <v>0.0364</v>
      </c>
      <c r="CH149" s="505" t="n">
        <v>5.94186977660016</v>
      </c>
      <c r="CI149" s="505" t="n">
        <v>3.9495</v>
      </c>
      <c r="CJ149" s="505"/>
      <c r="CK149" s="505"/>
      <c r="CL149" s="505"/>
      <c r="CM149" s="505"/>
    </row>
    <row r="150" customFormat="false" ht="12.75" hidden="false" customHeight="false" outlineLevel="0" collapsed="false">
      <c r="A150" s="500"/>
      <c r="B150" s="500"/>
      <c r="D150" s="361" t="e">
        <f aca="false">D149+AH149</f>
        <v>#VALUE!</v>
      </c>
      <c r="F150" s="362" t="e">
        <f aca="false">VLOOKUP(AG150,$AL$4:$AS$15,2)</f>
        <v>#VALUE!</v>
      </c>
      <c r="G150" s="362" t="e">
        <f aca="false">F150*$AU150</f>
        <v>#VALUE!</v>
      </c>
      <c r="H150" s="363" t="e">
        <f aca="false">(AL150+AM150+AN150)/(1-(AR150))</f>
        <v>#VALUE!</v>
      </c>
      <c r="I150" s="363" t="e">
        <f aca="false">(AL150+AO150+AP150)</f>
        <v>#VALUE!</v>
      </c>
      <c r="K150" s="363" t="e">
        <f aca="false">MAX(((I150-H150)-AQ150)*AU150*AH150,0)</f>
        <v>#VALUE!</v>
      </c>
      <c r="L150" s="501" t="e">
        <f aca="false">MAX(Q150-K150,0)</f>
        <v>#VALUE!</v>
      </c>
      <c r="N150" s="502" t="e">
        <f aca="false">SQRT(($AX150^2*($AH150/2)+$AW150^2*$AI150)/(($AH150/2)+$AI150))</f>
        <v>#VALUE!</v>
      </c>
      <c r="O150" s="502" t="e">
        <f aca="false">SQRT(($AY150^2*($AH150/2)+$AW150^2*$AI150)/(($AH150/2)+$AI150))</f>
        <v>#VALUE!</v>
      </c>
      <c r="P150" s="371" t="e">
        <f aca="false">(VLOOKUP(AI150,CorrelationTwo,2)*(AW150^2)*AI150+VLOOKUP(D150,CorrelationOne,$AK$9)*AX150*AY150*(AH150/2))/((AI150+(AH150/2))*O150*N150)*AF150</f>
        <v>#VALUE!</v>
      </c>
      <c r="Q150" s="501" t="e">
        <f aca="false">xSPRDOPT(I150,H150,AQ150,0,O150,N150,P150,D150-$G$5,1,0)*AH150*AU150</f>
        <v>#VALUE!</v>
      </c>
      <c r="R150" s="501"/>
      <c r="S150" s="365" t="e">
        <f aca="false">-T150/(1-AR150)</f>
        <v>#VALUE!</v>
      </c>
      <c r="T150" s="365" t="e">
        <f aca="false">xSPRDOPT(I150,H150,AQ150,AT150,O150,N150,P150,D150-$G$5,1,1)*AF150*F150*AH150</f>
        <v>#VALUE!</v>
      </c>
      <c r="U150" s="501"/>
      <c r="V150" s="503" t="e">
        <f aca="false">VLOOKUP($AG150,$AL$4:$AS$15,8)*AH150*AU150</f>
        <v>#VALUE!</v>
      </c>
      <c r="W150" s="503"/>
      <c r="X150" s="504" t="e">
        <f aca="false">((BM150*BC150)+(BL150*BB150))*AH150*F150</f>
        <v>#VALUE!</v>
      </c>
      <c r="Y150" s="504" t="e">
        <f aca="false">($F150*$AH150)*((($BG150/2)*($BC150)^2)+(($BF150/2)*($BB150)^2)+($BH150*$BC150*$BB150))</f>
        <v>#VALUE!</v>
      </c>
      <c r="Z150" s="504" t="e">
        <f aca="false">($BI150*$F150*$AH150*($G$5-$BV$5))/365.25</f>
        <v>#VALUE!</v>
      </c>
      <c r="AA150" s="504" t="e">
        <f aca="false">(($BK150*$BE150)+($BJ150*$BD150))*$F150*$AH150*$AF150</f>
        <v>#VALUE!</v>
      </c>
      <c r="AB150" s="504" t="e">
        <f aca="false">BN150*(AT150-CA150)*F150*AH150</f>
        <v>#VALUE!</v>
      </c>
      <c r="AC150" s="504" t="e">
        <f aca="false">BO150*CB150*F150*AH150*CA150*($G$5-$BV$5)/365.25</f>
        <v>#NAME?</v>
      </c>
      <c r="AF150" s="378" t="e">
        <f aca="false">IF(AND(D150&gt;=$G$7,D150&lt;=$G$8),1,0)</f>
        <v>#VALUE!</v>
      </c>
      <c r="AG150" s="378" t="e">
        <f aca="false">MONTH(D150)</f>
        <v>#VALUE!</v>
      </c>
      <c r="AH150" s="378" t="e">
        <f aca="false">(EOMONTH(D150,0)-EOMONTH(D150-DAY(D150),0))*AF150</f>
        <v>#VALUE!</v>
      </c>
      <c r="AI150" s="378" t="e">
        <f aca="false">AI149+AH149</f>
        <v>#VALUE!</v>
      </c>
      <c r="AJ150" s="378" t="e">
        <f aca="false">D150-$BV$5</f>
        <v>#VALUE!</v>
      </c>
      <c r="AL150" s="369" t="e">
        <f aca="false">VLOOKUP($D150,CurveTbl,$AK$4)</f>
        <v>#VALUE!</v>
      </c>
      <c r="AM150" s="505" t="e">
        <f aca="false">VLOOKUP($D150,CurveTbl,$AH$3)</f>
        <v>#VALUE!</v>
      </c>
      <c r="AN150" s="505" t="e">
        <f aca="false">VLOOKUP($D150,CurveTbl,$AH$4)+VLOOKUP($AG150,$AL$3:$AS$15,6)</f>
        <v>#VALUE!</v>
      </c>
      <c r="AO150" s="505" t="e">
        <f aca="false">VLOOKUP($D150,CurveTbl,$AH$5)</f>
        <v>#VALUE!</v>
      </c>
      <c r="AP150" s="505" t="e">
        <f aca="false">VLOOKUP($D150,CurveTbl,$AH$6)+VLOOKUP($AG150,$AL$3:$AS$15,7)</f>
        <v>#VALUE!</v>
      </c>
      <c r="AQ150" s="369" t="e">
        <f aca="false">VLOOKUP($AG150,$AL$4:$AS$15,3)+VLOOKUP($AG150,$AL$4:$AS$15,5)+($AH$10*VLOOKUP(D150,GRITable,2))</f>
        <v>#VALUE!</v>
      </c>
      <c r="AR150" s="370" t="e">
        <f aca="false">VLOOKUP($AG150,$AL$4:$AS$15,4)</f>
        <v>#VALUE!</v>
      </c>
      <c r="AS150" s="369" t="e">
        <f aca="false">(AL150+AM150+AN150)</f>
        <v>#VALUE!</v>
      </c>
      <c r="AT150" s="370" t="e">
        <f aca="false">VLOOKUP(D150,CurveTbl,$AK$6)</f>
        <v>#VALUE!</v>
      </c>
      <c r="AU150" s="370" t="e">
        <f aca="false">(1+$AT150/2)^(-2*($D150-$G$5)/365.25)*$AF150</f>
        <v>#VALUE!</v>
      </c>
      <c r="AV150" s="506" t="e">
        <f aca="false">ROUND((F150/(1-AR150))-F150,0)*AF150*AH150*AU150</f>
        <v>#VALUE!</v>
      </c>
      <c r="AW150" s="370" t="e">
        <f aca="false">VLOOKUP($D150,CurveTbl,$AK$8)</f>
        <v>#VALUE!</v>
      </c>
      <c r="AX150" s="370" t="e">
        <f aca="false">VLOOKUP($D150,CurveTbl,$AH$7)</f>
        <v>#VALUE!</v>
      </c>
      <c r="AY150" s="370" t="e">
        <f aca="false">VLOOKUP($D150,CurveTbl,$AH$8)</f>
        <v>#VALUE!</v>
      </c>
      <c r="AZ150" s="370"/>
      <c r="BA150" s="507"/>
      <c r="BB150" s="505" t="e">
        <f aca="false">$H150-$BV150</f>
        <v>#VALUE!</v>
      </c>
      <c r="BC150" s="505" t="e">
        <f aca="false">I150-BW150</f>
        <v>#VALUE!</v>
      </c>
      <c r="BD150" s="370" t="e">
        <f aca="false">N150-BX150</f>
        <v>#VALUE!</v>
      </c>
      <c r="BE150" s="370" t="e">
        <f aca="false">O150-BY150</f>
        <v>#VALUE!</v>
      </c>
      <c r="BF150" s="370" t="e">
        <f aca="false">xSPRDOPT($BW150,$BV150,$CG150,0,$BY150,$BX150,$BZ150,$AJ150,1,4)*$CB150</f>
        <v>#NAME?</v>
      </c>
      <c r="BG150" s="370" t="e">
        <f aca="false">xSPRDOPT($BW150,$BV150,$CG150,0,$BY150,$BX150,$BZ150,$AJ150,1,3)*$CB150</f>
        <v>#NAME?</v>
      </c>
      <c r="BH150" s="370" t="e">
        <f aca="false">IF(OR(BF150&lt;&gt;0,BG150&lt;&gt;0),xSPRDOPT($BW150,$BV150,$CG150,0,$BY150,$BX150,$BZ150,$AJ150,1,12)*$CB150,0)</f>
        <v>#NAME?</v>
      </c>
      <c r="BI150" s="370" t="e">
        <f aca="false">xSPRDOPT($BW150,$BV150,$CG150,2*LN(1+CA150/2),$BY150,$BX150,$BZ150,$AJ150,1,9)</f>
        <v>#NAME?</v>
      </c>
      <c r="BJ150" s="370" t="e">
        <f aca="false">xSPRDOPT($BW150,$BV150,$CG150,0,$BY150,$BX150,$BZ150,$AJ150,1,6)*$CB150</f>
        <v>#NAME?</v>
      </c>
      <c r="BK150" s="370" t="e">
        <f aca="false">xSPRDOPT($BW150,$BV150,$CG150,0,$BY150,$BX150,$BZ150,$AJ150,1,5)*$CB150</f>
        <v>#NAME?</v>
      </c>
      <c r="BL150" s="370" t="e">
        <f aca="false">xSPRDOPT(BW150,BV150,CG150,0,BY150,BX150,BZ150,AJ150,1,2)*CB150</f>
        <v>#NAME?</v>
      </c>
      <c r="BM150" s="370" t="e">
        <f aca="false">xSPRDOPT(BW150,BV150,CG150,0,BY150,BX150,BZ150,AJ150,1,1)*CB150</f>
        <v>#NAME?</v>
      </c>
      <c r="BN150" s="370" t="e">
        <f aca="false">IF(AH150&lt;&gt;0,xSPRDOPT($BW150,$BV150,$CG150,2*LN(1+CA150/2),$BY150,$BX150,$BZ150,$AJ150,1,8)+(AJ150/365.25)*CH150/AH150,0)</f>
        <v>#VALUE!</v>
      </c>
      <c r="BO150" s="370" t="e">
        <f aca="false">xSPRDOPT($BW150,$BV150,$CG150,0,$BY150,$BX150,$BZ150,$AJ150,1,0)</f>
        <v>#NAME?</v>
      </c>
      <c r="BP150" s="370"/>
      <c r="BQ150" s="370"/>
      <c r="BR150" s="370"/>
      <c r="BS150" s="370"/>
      <c r="BV150" s="508" t="n">
        <v>4.05933503836317</v>
      </c>
      <c r="BW150" s="369" t="n">
        <v>4.6945</v>
      </c>
      <c r="BX150" s="370" t="n">
        <v>0.173044909187099</v>
      </c>
      <c r="BY150" s="370" t="n">
        <v>0.173044909187099</v>
      </c>
      <c r="BZ150" s="370" t="n">
        <v>1</v>
      </c>
      <c r="CA150" s="370" t="n">
        <v>0.0623047990807666</v>
      </c>
      <c r="CB150" s="370" t="n">
        <v>0.516945301845763</v>
      </c>
      <c r="CC150" s="505" t="n">
        <v>0.0135</v>
      </c>
      <c r="CD150" s="505" t="n">
        <v>0.01</v>
      </c>
      <c r="CE150" s="505" t="n">
        <v>0.75</v>
      </c>
      <c r="CF150" s="505" t="n">
        <v>0</v>
      </c>
      <c r="CG150" s="505" t="n">
        <v>0.0364</v>
      </c>
      <c r="CH150" s="505" t="n">
        <v>5.71793198371599</v>
      </c>
      <c r="CI150" s="505" t="n">
        <v>3.9445</v>
      </c>
      <c r="CJ150" s="505"/>
      <c r="CK150" s="505"/>
      <c r="CL150" s="505"/>
      <c r="CM150" s="505"/>
    </row>
    <row r="151" customFormat="false" ht="12.75" hidden="false" customHeight="false" outlineLevel="0" collapsed="false">
      <c r="A151" s="500"/>
      <c r="B151" s="500"/>
      <c r="D151" s="361" t="e">
        <f aca="false">D150+AH150</f>
        <v>#VALUE!</v>
      </c>
      <c r="F151" s="362" t="e">
        <f aca="false">VLOOKUP(AG151,$AL$4:$AS$15,2)</f>
        <v>#VALUE!</v>
      </c>
      <c r="G151" s="362" t="e">
        <f aca="false">F151*$AU151</f>
        <v>#VALUE!</v>
      </c>
      <c r="H151" s="363" t="e">
        <f aca="false">(AL151+AM151+AN151)/(1-(AR151))</f>
        <v>#VALUE!</v>
      </c>
      <c r="I151" s="363" t="e">
        <f aca="false">(AL151+AO151+AP151)</f>
        <v>#VALUE!</v>
      </c>
      <c r="K151" s="363" t="e">
        <f aca="false">MAX(((I151-H151)-AQ151)*AU151*AH151,0)</f>
        <v>#VALUE!</v>
      </c>
      <c r="L151" s="501" t="e">
        <f aca="false">MAX(Q151-K151,0)</f>
        <v>#VALUE!</v>
      </c>
      <c r="N151" s="502" t="e">
        <f aca="false">SQRT(($AX151^2*($AH151/2)+$AW151^2*$AI151)/(($AH151/2)+$AI151))</f>
        <v>#VALUE!</v>
      </c>
      <c r="O151" s="502" t="e">
        <f aca="false">SQRT(($AY151^2*($AH151/2)+$AW151^2*$AI151)/(($AH151/2)+$AI151))</f>
        <v>#VALUE!</v>
      </c>
      <c r="P151" s="371" t="e">
        <f aca="false">(VLOOKUP(AI151,CorrelationTwo,2)*(AW151^2)*AI151+VLOOKUP(D151,CorrelationOne,$AK$9)*AX151*AY151*(AH151/2))/((AI151+(AH151/2))*O151*N151)*AF151</f>
        <v>#VALUE!</v>
      </c>
      <c r="Q151" s="501" t="e">
        <f aca="false">xSPRDOPT(I151,H151,AQ151,0,O151,N151,P151,D151-$G$5,1,0)*AH151*AU151</f>
        <v>#VALUE!</v>
      </c>
      <c r="R151" s="501"/>
      <c r="S151" s="365" t="e">
        <f aca="false">-T151/(1-AR151)</f>
        <v>#VALUE!</v>
      </c>
      <c r="T151" s="365" t="e">
        <f aca="false">xSPRDOPT(I151,H151,AQ151,AT151,O151,N151,P151,D151-$G$5,1,1)*AF151*F151*AH151</f>
        <v>#VALUE!</v>
      </c>
      <c r="U151" s="501"/>
      <c r="V151" s="503" t="e">
        <f aca="false">VLOOKUP($AG151,$AL$4:$AS$15,8)*AH151*AU151</f>
        <v>#VALUE!</v>
      </c>
      <c r="W151" s="503"/>
      <c r="X151" s="504" t="e">
        <f aca="false">((BM151*BC151)+(BL151*BB151))*AH151*F151</f>
        <v>#VALUE!</v>
      </c>
      <c r="Y151" s="504" t="e">
        <f aca="false">($F151*$AH151)*((($BG151/2)*($BC151)^2)+(($BF151/2)*($BB151)^2)+($BH151*$BC151*$BB151))</f>
        <v>#VALUE!</v>
      </c>
      <c r="Z151" s="504" t="e">
        <f aca="false">($BI151*$F151*$AH151*($G$5-$BV$5))/365.25</f>
        <v>#VALUE!</v>
      </c>
      <c r="AA151" s="504" t="e">
        <f aca="false">(($BK151*$BE151)+($BJ151*$BD151))*$F151*$AH151*$AF151</f>
        <v>#VALUE!</v>
      </c>
      <c r="AB151" s="504" t="e">
        <f aca="false">BN151*(AT151-CA151)*F151*AH151</f>
        <v>#VALUE!</v>
      </c>
      <c r="AC151" s="504" t="e">
        <f aca="false">BO151*CB151*F151*AH151*CA151*($G$5-$BV$5)/365.25</f>
        <v>#NAME?</v>
      </c>
      <c r="AF151" s="378" t="e">
        <f aca="false">IF(AND(D151&gt;=$G$7,D151&lt;=$G$8),1,0)</f>
        <v>#VALUE!</v>
      </c>
      <c r="AG151" s="378" t="e">
        <f aca="false">MONTH(D151)</f>
        <v>#VALUE!</v>
      </c>
      <c r="AH151" s="378" t="e">
        <f aca="false">(EOMONTH(D151,0)-EOMONTH(D151-DAY(D151),0))*AF151</f>
        <v>#VALUE!</v>
      </c>
      <c r="AI151" s="378" t="e">
        <f aca="false">AI150+AH150</f>
        <v>#VALUE!</v>
      </c>
      <c r="AJ151" s="378" t="e">
        <f aca="false">D151-$BV$5</f>
        <v>#VALUE!</v>
      </c>
      <c r="AL151" s="369" t="e">
        <f aca="false">VLOOKUP($D151,CurveTbl,$AK$4)</f>
        <v>#VALUE!</v>
      </c>
      <c r="AM151" s="505" t="e">
        <f aca="false">VLOOKUP($D151,CurveTbl,$AH$3)</f>
        <v>#VALUE!</v>
      </c>
      <c r="AN151" s="505" t="e">
        <f aca="false">VLOOKUP($D151,CurveTbl,$AH$4)+VLOOKUP($AG151,$AL$3:$AS$15,6)</f>
        <v>#VALUE!</v>
      </c>
      <c r="AO151" s="505" t="e">
        <f aca="false">VLOOKUP($D151,CurveTbl,$AH$5)</f>
        <v>#VALUE!</v>
      </c>
      <c r="AP151" s="505" t="e">
        <f aca="false">VLOOKUP($D151,CurveTbl,$AH$6)+VLOOKUP($AG151,$AL$3:$AS$15,7)</f>
        <v>#VALUE!</v>
      </c>
      <c r="AQ151" s="369" t="e">
        <f aca="false">VLOOKUP($AG151,$AL$4:$AS$15,3)+VLOOKUP($AG151,$AL$4:$AS$15,5)+($AH$10*VLOOKUP(D151,GRITable,2))</f>
        <v>#VALUE!</v>
      </c>
      <c r="AR151" s="370" t="e">
        <f aca="false">VLOOKUP($AG151,$AL$4:$AS$15,4)</f>
        <v>#VALUE!</v>
      </c>
      <c r="AS151" s="369" t="e">
        <f aca="false">(AL151+AM151+AN151)</f>
        <v>#VALUE!</v>
      </c>
      <c r="AT151" s="370" t="e">
        <f aca="false">VLOOKUP(D151,CurveTbl,$AK$6)</f>
        <v>#VALUE!</v>
      </c>
      <c r="AU151" s="370" t="e">
        <f aca="false">(1+$AT151/2)^(-2*($D151-$G$5)/365.25)*$AF151</f>
        <v>#VALUE!</v>
      </c>
      <c r="AV151" s="506" t="e">
        <f aca="false">ROUND((F151/(1-AR151))-F151,0)*AF151*AH151*AU151</f>
        <v>#VALUE!</v>
      </c>
      <c r="AW151" s="370" t="e">
        <f aca="false">VLOOKUP($D151,CurveTbl,$AK$8)</f>
        <v>#VALUE!</v>
      </c>
      <c r="AX151" s="370" t="e">
        <f aca="false">VLOOKUP($D151,CurveTbl,$AH$7)</f>
        <v>#VALUE!</v>
      </c>
      <c r="AY151" s="370" t="e">
        <f aca="false">VLOOKUP($D151,CurveTbl,$AH$8)</f>
        <v>#VALUE!</v>
      </c>
      <c r="AZ151" s="370"/>
      <c r="BA151" s="507"/>
      <c r="BB151" s="505" t="e">
        <f aca="false">$H151-$BV151</f>
        <v>#VALUE!</v>
      </c>
      <c r="BC151" s="505" t="e">
        <f aca="false">I151-BW151</f>
        <v>#VALUE!</v>
      </c>
      <c r="BD151" s="370" t="e">
        <f aca="false">N151-BX151</f>
        <v>#VALUE!</v>
      </c>
      <c r="BE151" s="370" t="e">
        <f aca="false">O151-BY151</f>
        <v>#VALUE!</v>
      </c>
      <c r="BF151" s="370" t="e">
        <f aca="false">xSPRDOPT($BW151,$BV151,$CG151,0,$BY151,$BX151,$BZ151,$AJ151,1,4)*$CB151</f>
        <v>#NAME?</v>
      </c>
      <c r="BG151" s="370" t="e">
        <f aca="false">xSPRDOPT($BW151,$BV151,$CG151,0,$BY151,$BX151,$BZ151,$AJ151,1,3)*$CB151</f>
        <v>#NAME?</v>
      </c>
      <c r="BH151" s="370" t="e">
        <f aca="false">IF(OR(BF151&lt;&gt;0,BG151&lt;&gt;0),xSPRDOPT($BW151,$BV151,$CG151,0,$BY151,$BX151,$BZ151,$AJ151,1,12)*$CB151,0)</f>
        <v>#NAME?</v>
      </c>
      <c r="BI151" s="370" t="e">
        <f aca="false">xSPRDOPT($BW151,$BV151,$CG151,2*LN(1+CA151/2),$BY151,$BX151,$BZ151,$AJ151,1,9)</f>
        <v>#NAME?</v>
      </c>
      <c r="BJ151" s="370" t="e">
        <f aca="false">xSPRDOPT($BW151,$BV151,$CG151,0,$BY151,$BX151,$BZ151,$AJ151,1,6)*$CB151</f>
        <v>#NAME?</v>
      </c>
      <c r="BK151" s="370" t="e">
        <f aca="false">xSPRDOPT($BW151,$BV151,$CG151,0,$BY151,$BX151,$BZ151,$AJ151,1,5)*$CB151</f>
        <v>#NAME?</v>
      </c>
      <c r="BL151" s="370" t="e">
        <f aca="false">xSPRDOPT(BW151,BV151,CG151,0,BY151,BX151,BZ151,AJ151,1,2)*CB151</f>
        <v>#NAME?</v>
      </c>
      <c r="BM151" s="370" t="e">
        <f aca="false">xSPRDOPT(BW151,BV151,CG151,0,BY151,BX151,BZ151,AJ151,1,1)*CB151</f>
        <v>#NAME?</v>
      </c>
      <c r="BN151" s="370" t="e">
        <f aca="false">IF(AH151&lt;&gt;0,xSPRDOPT($BW151,$BV151,$CG151,2*LN(1+CA151/2),$BY151,$BX151,$BZ151,$AJ151,1,8)+(AJ151/365.25)*CH151/AH151,0)</f>
        <v>#VALUE!</v>
      </c>
      <c r="BO151" s="370" t="e">
        <f aca="false">xSPRDOPT($BW151,$BV151,$CG151,0,$BY151,$BX151,$BZ151,$AJ151,1,0)</f>
        <v>#NAME?</v>
      </c>
      <c r="BP151" s="370"/>
      <c r="BQ151" s="370"/>
      <c r="BR151" s="370"/>
      <c r="BS151" s="370"/>
      <c r="BV151" s="508" t="n">
        <v>4.09282051282051</v>
      </c>
      <c r="BW151" s="369" t="n">
        <v>4.4195</v>
      </c>
      <c r="BX151" s="370" t="n">
        <v>0.173770353845936</v>
      </c>
      <c r="BY151" s="370" t="n">
        <v>0.173770353845936</v>
      </c>
      <c r="BZ151" s="370" t="n">
        <v>1</v>
      </c>
      <c r="CA151" s="370" t="n">
        <v>0.0623440352954372</v>
      </c>
      <c r="CB151" s="370" t="n">
        <v>0.514134751882013</v>
      </c>
      <c r="CC151" s="505" t="n">
        <v>0.011</v>
      </c>
      <c r="CD151" s="505" t="n">
        <v>0.01</v>
      </c>
      <c r="CE151" s="505" t="n">
        <v>0.45</v>
      </c>
      <c r="CF151" s="505" t="n">
        <v>0</v>
      </c>
      <c r="CG151" s="505" t="n">
        <v>0.0364</v>
      </c>
      <c r="CH151" s="505" t="n">
        <v>5.87640597358585</v>
      </c>
      <c r="CI151" s="505" t="n">
        <v>3.9695</v>
      </c>
      <c r="CJ151" s="505"/>
      <c r="CK151" s="505"/>
      <c r="CL151" s="505"/>
      <c r="CM151" s="505"/>
    </row>
    <row r="152" customFormat="false" ht="12.75" hidden="false" customHeight="false" outlineLevel="0" collapsed="false">
      <c r="A152" s="500"/>
      <c r="B152" s="500"/>
      <c r="D152" s="361" t="e">
        <f aca="false">D151+AH151</f>
        <v>#VALUE!</v>
      </c>
      <c r="F152" s="362" t="e">
        <f aca="false">VLOOKUP(AG152,$AL$4:$AS$15,2)</f>
        <v>#VALUE!</v>
      </c>
      <c r="G152" s="362" t="e">
        <f aca="false">F152*$AU152</f>
        <v>#VALUE!</v>
      </c>
      <c r="H152" s="363" t="e">
        <f aca="false">(AL152+AM152+AN152)/(1-(AR152))</f>
        <v>#VALUE!</v>
      </c>
      <c r="I152" s="363" t="e">
        <f aca="false">(AL152+AO152+AP152)</f>
        <v>#VALUE!</v>
      </c>
      <c r="K152" s="363" t="e">
        <f aca="false">MAX(((I152-H152)-AQ152)*AU152*AH152,0)</f>
        <v>#VALUE!</v>
      </c>
      <c r="L152" s="501" t="e">
        <f aca="false">MAX(Q152-K152,0)</f>
        <v>#VALUE!</v>
      </c>
      <c r="N152" s="502" t="e">
        <f aca="false">SQRT(($AX152^2*($AH152/2)+$AW152^2*$AI152)/(($AH152/2)+$AI152))</f>
        <v>#VALUE!</v>
      </c>
      <c r="O152" s="502" t="e">
        <f aca="false">SQRT(($AY152^2*($AH152/2)+$AW152^2*$AI152)/(($AH152/2)+$AI152))</f>
        <v>#VALUE!</v>
      </c>
      <c r="P152" s="371" t="e">
        <f aca="false">(VLOOKUP(AI152,CorrelationTwo,2)*(AW152^2)*AI152+VLOOKUP(D152,CorrelationOne,$AK$9)*AX152*AY152*(AH152/2))/((AI152+(AH152/2))*O152*N152)*AF152</f>
        <v>#VALUE!</v>
      </c>
      <c r="Q152" s="501" t="e">
        <f aca="false">xSPRDOPT(I152,H152,AQ152,0,O152,N152,P152,D152-$G$5,1,0)*AH152*AU152</f>
        <v>#VALUE!</v>
      </c>
      <c r="R152" s="501"/>
      <c r="S152" s="365" t="e">
        <f aca="false">-T152/(1-AR152)</f>
        <v>#VALUE!</v>
      </c>
      <c r="T152" s="365" t="e">
        <f aca="false">xSPRDOPT(I152,H152,AQ152,AT152,O152,N152,P152,D152-$G$5,1,1)*AF152*F152*AH152</f>
        <v>#VALUE!</v>
      </c>
      <c r="U152" s="501"/>
      <c r="V152" s="503" t="e">
        <f aca="false">VLOOKUP($AG152,$AL$4:$AS$15,8)*AH152*AU152</f>
        <v>#VALUE!</v>
      </c>
      <c r="W152" s="503"/>
      <c r="X152" s="504" t="e">
        <f aca="false">((BM152*BC152)+(BL152*BB152))*AH152*F152</f>
        <v>#VALUE!</v>
      </c>
      <c r="Y152" s="504" t="e">
        <f aca="false">($F152*$AH152)*((($BG152/2)*($BC152)^2)+(($BF152/2)*($BB152)^2)+($BH152*$BC152*$BB152))</f>
        <v>#VALUE!</v>
      </c>
      <c r="Z152" s="504" t="e">
        <f aca="false">($BI152*$F152*$AH152*($G$5-$BV$5))/365.25</f>
        <v>#VALUE!</v>
      </c>
      <c r="AA152" s="504" t="e">
        <f aca="false">(($BK152*$BE152)+($BJ152*$BD152))*$F152*$AH152*$AF152</f>
        <v>#VALUE!</v>
      </c>
      <c r="AB152" s="504" t="e">
        <f aca="false">BN152*(AT152-CA152)*F152*AH152</f>
        <v>#VALUE!</v>
      </c>
      <c r="AC152" s="504" t="e">
        <f aca="false">BO152*CB152*F152*AH152*CA152*($G$5-$BV$5)/365.25</f>
        <v>#NAME?</v>
      </c>
      <c r="AF152" s="378" t="e">
        <f aca="false">IF(AND(D152&gt;=$G$7,D152&lt;=$G$8),1,0)</f>
        <v>#VALUE!</v>
      </c>
      <c r="AG152" s="378" t="e">
        <f aca="false">MONTH(D152)</f>
        <v>#VALUE!</v>
      </c>
      <c r="AH152" s="378" t="e">
        <f aca="false">(EOMONTH(D152,0)-EOMONTH(D152-DAY(D152),0))*AF152</f>
        <v>#VALUE!</v>
      </c>
      <c r="AI152" s="378" t="e">
        <f aca="false">AI151+AH151</f>
        <v>#VALUE!</v>
      </c>
      <c r="AJ152" s="378" t="e">
        <f aca="false">D152-$BV$5</f>
        <v>#VALUE!</v>
      </c>
      <c r="AL152" s="369" t="e">
        <f aca="false">VLOOKUP($D152,CurveTbl,$AK$4)</f>
        <v>#VALUE!</v>
      </c>
      <c r="AM152" s="505" t="e">
        <f aca="false">VLOOKUP($D152,CurveTbl,$AH$3)</f>
        <v>#VALUE!</v>
      </c>
      <c r="AN152" s="505" t="e">
        <f aca="false">VLOOKUP($D152,CurveTbl,$AH$4)+VLOOKUP($AG152,$AL$3:$AS$15,6)</f>
        <v>#VALUE!</v>
      </c>
      <c r="AO152" s="505" t="e">
        <f aca="false">VLOOKUP($D152,CurveTbl,$AH$5)</f>
        <v>#VALUE!</v>
      </c>
      <c r="AP152" s="505" t="e">
        <f aca="false">VLOOKUP($D152,CurveTbl,$AH$6)+VLOOKUP($AG152,$AL$3:$AS$15,7)</f>
        <v>#VALUE!</v>
      </c>
      <c r="AQ152" s="369" t="e">
        <f aca="false">VLOOKUP($AG152,$AL$4:$AS$15,3)+VLOOKUP($AG152,$AL$4:$AS$15,5)+($AH$10*VLOOKUP(D152,GRITable,2))</f>
        <v>#VALUE!</v>
      </c>
      <c r="AR152" s="370" t="e">
        <f aca="false">VLOOKUP($AG152,$AL$4:$AS$15,4)</f>
        <v>#VALUE!</v>
      </c>
      <c r="AS152" s="369" t="e">
        <f aca="false">(AL152+AM152+AN152)</f>
        <v>#VALUE!</v>
      </c>
      <c r="AT152" s="370" t="e">
        <f aca="false">VLOOKUP(D152,CurveTbl,$AK$6)</f>
        <v>#VALUE!</v>
      </c>
      <c r="AU152" s="370" t="e">
        <f aca="false">(1+$AT152/2)^(-2*($D152-$G$5)/365.25)*$AF152</f>
        <v>#VALUE!</v>
      </c>
      <c r="AV152" s="506" t="e">
        <f aca="false">ROUND((F152/(1-AR152))-F152,0)*AF152*AH152*AU152</f>
        <v>#VALUE!</v>
      </c>
      <c r="AW152" s="370" t="e">
        <f aca="false">VLOOKUP($D152,CurveTbl,$AK$8)</f>
        <v>#VALUE!</v>
      </c>
      <c r="AX152" s="370" t="e">
        <f aca="false">VLOOKUP($D152,CurveTbl,$AH$7)</f>
        <v>#VALUE!</v>
      </c>
      <c r="AY152" s="370" t="e">
        <f aca="false">VLOOKUP($D152,CurveTbl,$AH$8)</f>
        <v>#VALUE!</v>
      </c>
      <c r="AZ152" s="370"/>
      <c r="BA152" s="507"/>
      <c r="BB152" s="505" t="e">
        <f aca="false">$H152-$BV152</f>
        <v>#VALUE!</v>
      </c>
      <c r="BC152" s="505" t="e">
        <f aca="false">I152-BW152</f>
        <v>#VALUE!</v>
      </c>
      <c r="BD152" s="370" t="e">
        <f aca="false">N152-BX152</f>
        <v>#VALUE!</v>
      </c>
      <c r="BE152" s="370" t="e">
        <f aca="false">O152-BY152</f>
        <v>#VALUE!</v>
      </c>
      <c r="BF152" s="370" t="e">
        <f aca="false">xSPRDOPT($BW152,$BV152,$CG152,0,$BY152,$BX152,$BZ152,$AJ152,1,4)*$CB152</f>
        <v>#NAME?</v>
      </c>
      <c r="BG152" s="370" t="e">
        <f aca="false">xSPRDOPT($BW152,$BV152,$CG152,0,$BY152,$BX152,$BZ152,$AJ152,1,3)*$CB152</f>
        <v>#NAME?</v>
      </c>
      <c r="BH152" s="370" t="e">
        <f aca="false">IF(OR(BF152&lt;&gt;0,BG152&lt;&gt;0),xSPRDOPT($BW152,$BV152,$CG152,0,$BY152,$BX152,$BZ152,$AJ152,1,12)*$CB152,0)</f>
        <v>#NAME?</v>
      </c>
      <c r="BI152" s="370" t="e">
        <f aca="false">xSPRDOPT($BW152,$BV152,$CG152,2*LN(1+CA152/2),$BY152,$BX152,$BZ152,$AJ152,1,9)</f>
        <v>#NAME?</v>
      </c>
      <c r="BJ152" s="370" t="e">
        <f aca="false">xSPRDOPT($BW152,$BV152,$CG152,0,$BY152,$BX152,$BZ152,$AJ152,1,6)*$CB152</f>
        <v>#NAME?</v>
      </c>
      <c r="BK152" s="370" t="e">
        <f aca="false">xSPRDOPT($BW152,$BV152,$CG152,0,$BY152,$BX152,$BZ152,$AJ152,1,5)*$CB152</f>
        <v>#NAME?</v>
      </c>
      <c r="BL152" s="370" t="e">
        <f aca="false">xSPRDOPT(BW152,BV152,CG152,0,BY152,BX152,BZ152,AJ152,1,2)*CB152</f>
        <v>#NAME?</v>
      </c>
      <c r="BM152" s="370" t="e">
        <f aca="false">xSPRDOPT(BW152,BV152,CG152,0,BY152,BX152,BZ152,AJ152,1,1)*CB152</f>
        <v>#NAME?</v>
      </c>
      <c r="BN152" s="370" t="e">
        <f aca="false">IF(AH152&lt;&gt;0,xSPRDOPT($BW152,$BV152,$CG152,2*LN(1+CA152/2),$BY152,$BX152,$BZ152,$AJ152,1,8)+(AJ152/365.25)*CH152/AH152,0)</f>
        <v>#VALUE!</v>
      </c>
      <c r="BO152" s="370" t="e">
        <f aca="false">xSPRDOPT($BW152,$BV152,$CG152,0,$BY152,$BX152,$BZ152,$AJ152,1,0)</f>
        <v>#NAME?</v>
      </c>
      <c r="BP152" s="370"/>
      <c r="BQ152" s="370"/>
      <c r="BR152" s="370"/>
      <c r="BS152" s="370"/>
      <c r="BV152" s="508" t="n">
        <v>4.23631713554987</v>
      </c>
      <c r="BW152" s="369" t="n">
        <v>4.5715</v>
      </c>
      <c r="BX152" s="370" t="n">
        <v>0.17662776797846</v>
      </c>
      <c r="BY152" s="370" t="n">
        <v>0.17662776797846</v>
      </c>
      <c r="BZ152" s="370" t="n">
        <v>1</v>
      </c>
      <c r="CA152" s="370" t="n">
        <v>0.0623845793844673</v>
      </c>
      <c r="CB152" s="370" t="n">
        <v>0.511243216085401</v>
      </c>
      <c r="CC152" s="505" t="n">
        <v>0.012</v>
      </c>
      <c r="CD152" s="505" t="n">
        <v>0.0075</v>
      </c>
      <c r="CE152" s="505" t="n">
        <v>0.45</v>
      </c>
      <c r="CF152" s="505" t="n">
        <v>0</v>
      </c>
      <c r="CG152" s="505" t="n">
        <v>0.0364</v>
      </c>
      <c r="CH152" s="505" t="n">
        <v>5.65486121312063</v>
      </c>
      <c r="CI152" s="505" t="n">
        <v>4.1215</v>
      </c>
      <c r="CJ152" s="505"/>
      <c r="CK152" s="505"/>
      <c r="CL152" s="505"/>
      <c r="CM152" s="505"/>
    </row>
    <row r="153" customFormat="false" ht="12.75" hidden="false" customHeight="false" outlineLevel="0" collapsed="false">
      <c r="A153" s="500"/>
      <c r="B153" s="500"/>
      <c r="D153" s="361" t="e">
        <f aca="false">D152+AH152</f>
        <v>#VALUE!</v>
      </c>
      <c r="F153" s="362" t="e">
        <f aca="false">VLOOKUP(AG153,$AL$4:$AS$15,2)</f>
        <v>#VALUE!</v>
      </c>
      <c r="G153" s="362" t="e">
        <f aca="false">F153*$AU153</f>
        <v>#VALUE!</v>
      </c>
      <c r="H153" s="363" t="e">
        <f aca="false">(AL153+AM153+AN153)/(1-(AR153))</f>
        <v>#VALUE!</v>
      </c>
      <c r="I153" s="363" t="e">
        <f aca="false">(AL153+AO153+AP153)</f>
        <v>#VALUE!</v>
      </c>
      <c r="K153" s="363" t="e">
        <f aca="false">MAX(((I153-H153)-AQ153)*AU153*AH153,0)</f>
        <v>#VALUE!</v>
      </c>
      <c r="L153" s="501" t="e">
        <f aca="false">MAX(Q153-K153,0)</f>
        <v>#VALUE!</v>
      </c>
      <c r="N153" s="502" t="e">
        <f aca="false">SQRT(($AX153^2*($AH153/2)+$AW153^2*$AI153)/(($AH153/2)+$AI153))</f>
        <v>#VALUE!</v>
      </c>
      <c r="O153" s="502" t="e">
        <f aca="false">SQRT(($AY153^2*($AH153/2)+$AW153^2*$AI153)/(($AH153/2)+$AI153))</f>
        <v>#VALUE!</v>
      </c>
      <c r="P153" s="371" t="e">
        <f aca="false">(VLOOKUP(AI153,CorrelationTwo,2)*(AW153^2)*AI153+VLOOKUP(D153,CorrelationOne,$AK$9)*AX153*AY153*(AH153/2))/((AI153+(AH153/2))*O153*N153)*AF153</f>
        <v>#VALUE!</v>
      </c>
      <c r="Q153" s="501" t="e">
        <f aca="false">xSPRDOPT(I153,H153,AQ153,0,O153,N153,P153,D153-$G$5,1,0)*AH153*AU153</f>
        <v>#VALUE!</v>
      </c>
      <c r="R153" s="501"/>
      <c r="S153" s="365" t="e">
        <f aca="false">-T153/(1-AR153)</f>
        <v>#VALUE!</v>
      </c>
      <c r="T153" s="365" t="e">
        <f aca="false">xSPRDOPT(I153,H153,AQ153,AT153,O153,N153,P153,D153-$G$5,1,1)*AF153*F153*AH153</f>
        <v>#VALUE!</v>
      </c>
      <c r="U153" s="501"/>
      <c r="V153" s="503" t="e">
        <f aca="false">VLOOKUP($AG153,$AL$4:$AS$15,8)*AH153*AU153</f>
        <v>#VALUE!</v>
      </c>
      <c r="W153" s="503"/>
      <c r="X153" s="504" t="e">
        <f aca="false">((BM153*BC153)+(BL153*BB153))*AH153*F153</f>
        <v>#VALUE!</v>
      </c>
      <c r="Y153" s="504" t="e">
        <f aca="false">($F153*$AH153)*((($BG153/2)*($BC153)^2)+(($BF153/2)*($BB153)^2)+($BH153*$BC153*$BB153))</f>
        <v>#VALUE!</v>
      </c>
      <c r="Z153" s="504" t="e">
        <f aca="false">($BI153*$F153*$AH153*($G$5-$BV$5))/365.25</f>
        <v>#VALUE!</v>
      </c>
      <c r="AA153" s="504" t="e">
        <f aca="false">(($BK153*$BE153)+($BJ153*$BD153))*$F153*$AH153*$AF153</f>
        <v>#VALUE!</v>
      </c>
      <c r="AB153" s="504" t="e">
        <f aca="false">BN153*(AT153-CA153)*F153*AH153</f>
        <v>#VALUE!</v>
      </c>
      <c r="AC153" s="504" t="e">
        <f aca="false">BO153*CB153*F153*AH153*CA153*($G$5-$BV$5)/365.25</f>
        <v>#NAME?</v>
      </c>
      <c r="AF153" s="378" t="e">
        <f aca="false">IF(AND(D153&gt;=$G$7,D153&lt;=$G$8),1,0)</f>
        <v>#VALUE!</v>
      </c>
      <c r="AG153" s="378" t="e">
        <f aca="false">MONTH(D153)</f>
        <v>#VALUE!</v>
      </c>
      <c r="AH153" s="378" t="e">
        <f aca="false">(EOMONTH(D153,0)-EOMONTH(D153-DAY(D153),0))*AF153</f>
        <v>#VALUE!</v>
      </c>
      <c r="AI153" s="378" t="e">
        <f aca="false">AI152+AH152</f>
        <v>#VALUE!</v>
      </c>
      <c r="AJ153" s="378" t="e">
        <f aca="false">D153-$BV$5</f>
        <v>#VALUE!</v>
      </c>
      <c r="AL153" s="369" t="e">
        <f aca="false">VLOOKUP($D153,CurveTbl,$AK$4)</f>
        <v>#VALUE!</v>
      </c>
      <c r="AM153" s="505" t="e">
        <f aca="false">VLOOKUP($D153,CurveTbl,$AH$3)</f>
        <v>#VALUE!</v>
      </c>
      <c r="AN153" s="505" t="e">
        <f aca="false">VLOOKUP($D153,CurveTbl,$AH$4)+VLOOKUP($AG153,$AL$3:$AS$15,6)</f>
        <v>#VALUE!</v>
      </c>
      <c r="AO153" s="505" t="e">
        <f aca="false">VLOOKUP($D153,CurveTbl,$AH$5)</f>
        <v>#VALUE!</v>
      </c>
      <c r="AP153" s="505" t="e">
        <f aca="false">VLOOKUP($D153,CurveTbl,$AH$6)+VLOOKUP($AG153,$AL$3:$AS$15,7)</f>
        <v>#VALUE!</v>
      </c>
      <c r="AQ153" s="369" t="e">
        <f aca="false">VLOOKUP($AG153,$AL$4:$AS$15,3)+VLOOKUP($AG153,$AL$4:$AS$15,5)+($AH$10*VLOOKUP(D153,GRITable,2))</f>
        <v>#VALUE!</v>
      </c>
      <c r="AR153" s="370" t="e">
        <f aca="false">VLOOKUP($AG153,$AL$4:$AS$15,4)</f>
        <v>#VALUE!</v>
      </c>
      <c r="AS153" s="369" t="e">
        <f aca="false">(AL153+AM153+AN153)</f>
        <v>#VALUE!</v>
      </c>
      <c r="AT153" s="370" t="e">
        <f aca="false">VLOOKUP(D153,CurveTbl,$AK$6)</f>
        <v>#VALUE!</v>
      </c>
      <c r="AU153" s="370" t="e">
        <f aca="false">(1+$AT153/2)^(-2*($D153-$G$5)/365.25)*$AF153</f>
        <v>#VALUE!</v>
      </c>
      <c r="AV153" s="506" t="e">
        <f aca="false">ROUND((F153/(1-AR153))-F153,0)*AF153*AH153*AU153</f>
        <v>#VALUE!</v>
      </c>
      <c r="AW153" s="370" t="e">
        <f aca="false">VLOOKUP($D153,CurveTbl,$AK$8)</f>
        <v>#VALUE!</v>
      </c>
      <c r="AX153" s="370" t="e">
        <f aca="false">VLOOKUP($D153,CurveTbl,$AH$7)</f>
        <v>#VALUE!</v>
      </c>
      <c r="AY153" s="370" t="e">
        <f aca="false">VLOOKUP($D153,CurveTbl,$AH$8)</f>
        <v>#VALUE!</v>
      </c>
      <c r="AZ153" s="370"/>
      <c r="BA153" s="507"/>
      <c r="BB153" s="505" t="e">
        <f aca="false">$H153-$BV153</f>
        <v>#VALUE!</v>
      </c>
      <c r="BC153" s="505" t="e">
        <f aca="false">I153-BW153</f>
        <v>#VALUE!</v>
      </c>
      <c r="BD153" s="370" t="e">
        <f aca="false">N153-BX153</f>
        <v>#VALUE!</v>
      </c>
      <c r="BE153" s="370" t="e">
        <f aca="false">O153-BY153</f>
        <v>#VALUE!</v>
      </c>
      <c r="BF153" s="370" t="e">
        <f aca="false">xSPRDOPT($BW153,$BV153,$CG153,0,$BY153,$BX153,$BZ153,$AJ153,1,4)*$CB153</f>
        <v>#NAME?</v>
      </c>
      <c r="BG153" s="370" t="e">
        <f aca="false">xSPRDOPT($BW153,$BV153,$CG153,0,$BY153,$BX153,$BZ153,$AJ153,1,3)*$CB153</f>
        <v>#NAME?</v>
      </c>
      <c r="BH153" s="370" t="e">
        <f aca="false">IF(OR(BF153&lt;&gt;0,BG153&lt;&gt;0),xSPRDOPT($BW153,$BV153,$CG153,0,$BY153,$BX153,$BZ153,$AJ153,1,12)*$CB153,0)</f>
        <v>#NAME?</v>
      </c>
      <c r="BI153" s="370" t="e">
        <f aca="false">xSPRDOPT($BW153,$BV153,$CG153,2*LN(1+CA153/2),$BY153,$BX153,$BZ153,$AJ153,1,9)</f>
        <v>#NAME?</v>
      </c>
      <c r="BJ153" s="370" t="e">
        <f aca="false">xSPRDOPT($BW153,$BV153,$CG153,0,$BY153,$BX153,$BZ153,$AJ153,1,6)*$CB153</f>
        <v>#NAME?</v>
      </c>
      <c r="BK153" s="370" t="e">
        <f aca="false">xSPRDOPT($BW153,$BV153,$CG153,0,$BY153,$BX153,$BZ153,$AJ153,1,5)*$CB153</f>
        <v>#NAME?</v>
      </c>
      <c r="BL153" s="370" t="e">
        <f aca="false">xSPRDOPT(BW153,BV153,CG153,0,BY153,BX153,BZ153,AJ153,1,2)*CB153</f>
        <v>#NAME?</v>
      </c>
      <c r="BM153" s="370" t="e">
        <f aca="false">xSPRDOPT(BW153,BV153,CG153,0,BY153,BX153,BZ153,AJ153,1,1)*CB153</f>
        <v>#NAME?</v>
      </c>
      <c r="BN153" s="370" t="e">
        <f aca="false">IF(AH153&lt;&gt;0,xSPRDOPT($BW153,$BV153,$CG153,2*LN(1+CA153/2),$BY153,$BX153,$BZ153,$AJ153,1,8)+(AJ153/365.25)*CH153/AH153,0)</f>
        <v>#VALUE!</v>
      </c>
      <c r="BO153" s="370" t="e">
        <f aca="false">xSPRDOPT($BW153,$BV153,$CG153,0,$BY153,$BX153,$BZ153,$AJ153,1,0)</f>
        <v>#NAME?</v>
      </c>
      <c r="BP153" s="370"/>
      <c r="BQ153" s="370"/>
      <c r="BR153" s="370"/>
      <c r="BS153" s="370"/>
      <c r="BV153" s="508" t="n">
        <v>4.38260869565217</v>
      </c>
      <c r="BW153" s="369" t="n">
        <v>4.6645</v>
      </c>
      <c r="BX153" s="370" t="n">
        <v>0.180676023298199</v>
      </c>
      <c r="BY153" s="370" t="n">
        <v>0.180676023298199</v>
      </c>
      <c r="BZ153" s="370" t="n">
        <v>1</v>
      </c>
      <c r="CA153" s="370" t="n">
        <v>0.0624238156001771</v>
      </c>
      <c r="CB153" s="370" t="n">
        <v>0.508457213425915</v>
      </c>
      <c r="CC153" s="505" t="n">
        <v>0.012</v>
      </c>
      <c r="CD153" s="505" t="n">
        <v>0.0075</v>
      </c>
      <c r="CE153" s="505" t="n">
        <v>0.4</v>
      </c>
      <c r="CF153" s="505" t="n">
        <v>0</v>
      </c>
      <c r="CG153" s="505" t="n">
        <v>0.0364</v>
      </c>
      <c r="CH153" s="505" t="n">
        <v>5.81151341229418</v>
      </c>
      <c r="CI153" s="505" t="n">
        <v>4.2645</v>
      </c>
      <c r="CJ153" s="505"/>
      <c r="CK153" s="505"/>
      <c r="CL153" s="505"/>
      <c r="CM153" s="505"/>
    </row>
    <row r="154" customFormat="false" ht="12.75" hidden="false" customHeight="false" outlineLevel="0" collapsed="false">
      <c r="A154" s="500"/>
      <c r="B154" s="500"/>
      <c r="D154" s="361" t="e">
        <f aca="false">D153+AH153</f>
        <v>#VALUE!</v>
      </c>
      <c r="F154" s="362" t="e">
        <f aca="false">VLOOKUP(AG154,$AL$4:$AS$15,2)</f>
        <v>#VALUE!</v>
      </c>
      <c r="G154" s="362" t="e">
        <f aca="false">F154*$AU154</f>
        <v>#VALUE!</v>
      </c>
      <c r="H154" s="363" t="e">
        <f aca="false">(AL154+AM154+AN154)/(1-(AR154))</f>
        <v>#VALUE!</v>
      </c>
      <c r="I154" s="363" t="e">
        <f aca="false">(AL154+AO154+AP154)</f>
        <v>#VALUE!</v>
      </c>
      <c r="K154" s="363" t="e">
        <f aca="false">MAX(((I154-H154)-AQ154)*AU154*AH154,0)</f>
        <v>#VALUE!</v>
      </c>
      <c r="L154" s="501" t="e">
        <f aca="false">MAX(Q154-K154,0)</f>
        <v>#VALUE!</v>
      </c>
      <c r="N154" s="502" t="e">
        <f aca="false">SQRT(($AX154^2*($AH154/2)+$AW154^2*$AI154)/(($AH154/2)+$AI154))</f>
        <v>#VALUE!</v>
      </c>
      <c r="O154" s="502" t="e">
        <f aca="false">SQRT(($AY154^2*($AH154/2)+$AW154^2*$AI154)/(($AH154/2)+$AI154))</f>
        <v>#VALUE!</v>
      </c>
      <c r="P154" s="371" t="e">
        <f aca="false">(VLOOKUP(AI154,CorrelationTwo,2)*(AW154^2)*AI154+VLOOKUP(D154,CorrelationOne,$AK$9)*AX154*AY154*(AH154/2))/((AI154+(AH154/2))*O154*N154)*AF154</f>
        <v>#VALUE!</v>
      </c>
      <c r="Q154" s="501" t="e">
        <f aca="false">xSPRDOPT(I154,H154,AQ154,0,O154,N154,P154,D154-$G$5,1,0)*AH154*AU154</f>
        <v>#VALUE!</v>
      </c>
      <c r="R154" s="501"/>
      <c r="S154" s="365" t="e">
        <f aca="false">-T154/(1-AR154)</f>
        <v>#VALUE!</v>
      </c>
      <c r="T154" s="365" t="e">
        <f aca="false">xSPRDOPT(I154,H154,AQ154,AT154,O154,N154,P154,D154-$G$5,1,1)*AF154*F154*AH154</f>
        <v>#VALUE!</v>
      </c>
      <c r="U154" s="501"/>
      <c r="V154" s="503" t="e">
        <f aca="false">VLOOKUP($AG154,$AL$4:$AS$15,8)*AH154*AU154</f>
        <v>#VALUE!</v>
      </c>
      <c r="W154" s="503"/>
      <c r="X154" s="504" t="e">
        <f aca="false">((BM154*BC154)+(BL154*BB154))*AH154*F154</f>
        <v>#VALUE!</v>
      </c>
      <c r="Y154" s="504" t="e">
        <f aca="false">($F154*$AH154)*((($BG154/2)*($BC154)^2)+(($BF154/2)*($BB154)^2)+($BH154*$BC154*$BB154))</f>
        <v>#VALUE!</v>
      </c>
      <c r="Z154" s="504" t="e">
        <f aca="false">($BI154*$F154*$AH154*($G$5-$BV$5))/365.25</f>
        <v>#VALUE!</v>
      </c>
      <c r="AA154" s="504" t="e">
        <f aca="false">(($BK154*$BE154)+($BJ154*$BD154))*$F154*$AH154*$AF154</f>
        <v>#VALUE!</v>
      </c>
      <c r="AB154" s="504" t="e">
        <f aca="false">BN154*(AT154-CA154)*F154*AH154</f>
        <v>#VALUE!</v>
      </c>
      <c r="AC154" s="504" t="e">
        <f aca="false">BO154*CB154*F154*AH154*CA154*($G$5-$BV$5)/365.25</f>
        <v>#NAME?</v>
      </c>
      <c r="AF154" s="378" t="e">
        <f aca="false">IF(AND(D154&gt;=$G$7,D154&lt;=$G$8),1,0)</f>
        <v>#VALUE!</v>
      </c>
      <c r="AG154" s="378" t="e">
        <f aca="false">MONTH(D154)</f>
        <v>#VALUE!</v>
      </c>
      <c r="AH154" s="378" t="e">
        <f aca="false">(EOMONTH(D154,0)-EOMONTH(D154-DAY(D154),0))*AF154</f>
        <v>#VALUE!</v>
      </c>
      <c r="AI154" s="378" t="e">
        <f aca="false">AI153+AH153</f>
        <v>#VALUE!</v>
      </c>
      <c r="AJ154" s="378" t="e">
        <f aca="false">D154-$BV$5</f>
        <v>#VALUE!</v>
      </c>
      <c r="AL154" s="369" t="e">
        <f aca="false">VLOOKUP($D154,CurveTbl,$AK$4)</f>
        <v>#VALUE!</v>
      </c>
      <c r="AM154" s="505" t="e">
        <f aca="false">VLOOKUP($D154,CurveTbl,$AH$3)</f>
        <v>#VALUE!</v>
      </c>
      <c r="AN154" s="505" t="e">
        <f aca="false">VLOOKUP($D154,CurveTbl,$AH$4)+VLOOKUP($AG154,$AL$3:$AS$15,6)</f>
        <v>#VALUE!</v>
      </c>
      <c r="AO154" s="505" t="e">
        <f aca="false">VLOOKUP($D154,CurveTbl,$AH$5)</f>
        <v>#VALUE!</v>
      </c>
      <c r="AP154" s="505" t="e">
        <f aca="false">VLOOKUP($D154,CurveTbl,$AH$6)+VLOOKUP($AG154,$AL$3:$AS$15,7)</f>
        <v>#VALUE!</v>
      </c>
      <c r="AQ154" s="369" t="e">
        <f aca="false">VLOOKUP($AG154,$AL$4:$AS$15,3)+VLOOKUP($AG154,$AL$4:$AS$15,5)+($AH$10*VLOOKUP(D154,GRITable,2))</f>
        <v>#VALUE!</v>
      </c>
      <c r="AR154" s="370" t="e">
        <f aca="false">VLOOKUP($AG154,$AL$4:$AS$15,4)</f>
        <v>#VALUE!</v>
      </c>
      <c r="AS154" s="369" t="e">
        <f aca="false">(AL154+AM154+AN154)</f>
        <v>#VALUE!</v>
      </c>
      <c r="AT154" s="370" t="e">
        <f aca="false">VLOOKUP(D154,CurveTbl,$AK$6)</f>
        <v>#VALUE!</v>
      </c>
      <c r="AU154" s="370" t="e">
        <f aca="false">(1+$AT154/2)^(-2*($D154-$G$5)/365.25)*$AF154</f>
        <v>#VALUE!</v>
      </c>
      <c r="AV154" s="506" t="e">
        <f aca="false">ROUND((F154/(1-AR154))-F154,0)*AF154*AH154*AU154</f>
        <v>#VALUE!</v>
      </c>
      <c r="AW154" s="370" t="e">
        <f aca="false">VLOOKUP($D154,CurveTbl,$AK$8)</f>
        <v>#VALUE!</v>
      </c>
      <c r="AX154" s="370" t="e">
        <f aca="false">VLOOKUP($D154,CurveTbl,$AH$7)</f>
        <v>#VALUE!</v>
      </c>
      <c r="AY154" s="370" t="e">
        <f aca="false">VLOOKUP($D154,CurveTbl,$AH$8)</f>
        <v>#VALUE!</v>
      </c>
      <c r="AZ154" s="370"/>
      <c r="BA154" s="507"/>
      <c r="BB154" s="505" t="e">
        <f aca="false">$H154-$BV154</f>
        <v>#VALUE!</v>
      </c>
      <c r="BC154" s="505" t="e">
        <f aca="false">I154-BW154</f>
        <v>#VALUE!</v>
      </c>
      <c r="BD154" s="370" t="e">
        <f aca="false">N154-BX154</f>
        <v>#VALUE!</v>
      </c>
      <c r="BE154" s="370" t="e">
        <f aca="false">O154-BY154</f>
        <v>#VALUE!</v>
      </c>
      <c r="BF154" s="370" t="e">
        <f aca="false">xSPRDOPT($BW154,$BV154,$CG154,0,$BY154,$BX154,$BZ154,$AJ154,1,4)*$CB154</f>
        <v>#NAME?</v>
      </c>
      <c r="BG154" s="370" t="e">
        <f aca="false">xSPRDOPT($BW154,$BV154,$CG154,0,$BY154,$BX154,$BZ154,$AJ154,1,3)*$CB154</f>
        <v>#NAME?</v>
      </c>
      <c r="BH154" s="370" t="e">
        <f aca="false">IF(OR(BF154&lt;&gt;0,BG154&lt;&gt;0),xSPRDOPT($BW154,$BV154,$CG154,0,$BY154,$BX154,$BZ154,$AJ154,1,12)*$CB154,0)</f>
        <v>#NAME?</v>
      </c>
      <c r="BI154" s="370" t="e">
        <f aca="false">xSPRDOPT($BW154,$BV154,$CG154,2*LN(1+CA154/2),$BY154,$BX154,$BZ154,$AJ154,1,9)</f>
        <v>#NAME?</v>
      </c>
      <c r="BJ154" s="370" t="e">
        <f aca="false">xSPRDOPT($BW154,$BV154,$CG154,0,$BY154,$BX154,$BZ154,$AJ154,1,6)*$CB154</f>
        <v>#NAME?</v>
      </c>
      <c r="BK154" s="370" t="e">
        <f aca="false">xSPRDOPT($BW154,$BV154,$CG154,0,$BY154,$BX154,$BZ154,$AJ154,1,5)*$CB154</f>
        <v>#NAME?</v>
      </c>
      <c r="BL154" s="370" t="e">
        <f aca="false">xSPRDOPT(BW154,BV154,CG154,0,BY154,BX154,BZ154,AJ154,1,2)*CB154</f>
        <v>#NAME?</v>
      </c>
      <c r="BM154" s="370" t="e">
        <f aca="false">xSPRDOPT(BW154,BV154,CG154,0,BY154,BX154,BZ154,AJ154,1,1)*CB154</f>
        <v>#NAME?</v>
      </c>
      <c r="BN154" s="370" t="e">
        <f aca="false">IF(AH154&lt;&gt;0,xSPRDOPT($BW154,$BV154,$CG154,2*LN(1+CA154/2),$BY154,$BX154,$BZ154,$AJ154,1,8)+(AJ154/365.25)*CH154/AH154,0)</f>
        <v>#VALUE!</v>
      </c>
      <c r="BO154" s="370" t="e">
        <f aca="false">xSPRDOPT($BW154,$BV154,$CG154,0,$BY154,$BX154,$BZ154,$AJ154,1,0)</f>
        <v>#NAME?</v>
      </c>
      <c r="BP154" s="370"/>
      <c r="BQ154" s="370"/>
      <c r="BR154" s="370"/>
      <c r="BS154" s="370"/>
      <c r="BV154" s="508" t="n">
        <v>4.44398976982097</v>
      </c>
      <c r="BW154" s="369" t="n">
        <v>4.6745</v>
      </c>
      <c r="BX154" s="370" t="n">
        <v>0.180596731872769</v>
      </c>
      <c r="BY154" s="370" t="n">
        <v>0.180596731872769</v>
      </c>
      <c r="BZ154" s="370" t="n">
        <v>1</v>
      </c>
      <c r="CA154" s="370" t="n">
        <v>0.0624643596902805</v>
      </c>
      <c r="CB154" s="370" t="n">
        <v>0.505590977184587</v>
      </c>
      <c r="CC154" s="505" t="n">
        <v>0.012</v>
      </c>
      <c r="CD154" s="505" t="n">
        <v>0.0075</v>
      </c>
      <c r="CE154" s="505" t="n">
        <v>0.35</v>
      </c>
      <c r="CF154" s="505" t="n">
        <v>0</v>
      </c>
      <c r="CG154" s="505" t="n">
        <v>0.0364</v>
      </c>
      <c r="CH154" s="505" t="n">
        <v>5.77875319192667</v>
      </c>
      <c r="CI154" s="505" t="n">
        <v>4.3245</v>
      </c>
      <c r="CJ154" s="505"/>
      <c r="CK154" s="505"/>
      <c r="CL154" s="505"/>
      <c r="CM154" s="505"/>
    </row>
    <row r="155" customFormat="false" ht="12.75" hidden="false" customHeight="false" outlineLevel="0" collapsed="false">
      <c r="A155" s="500"/>
      <c r="B155" s="500"/>
      <c r="D155" s="361" t="e">
        <f aca="false">D154+AH154</f>
        <v>#VALUE!</v>
      </c>
      <c r="F155" s="362" t="e">
        <f aca="false">VLOOKUP(AG155,$AL$4:$AS$15,2)</f>
        <v>#VALUE!</v>
      </c>
      <c r="G155" s="362" t="e">
        <f aca="false">F155*$AU155</f>
        <v>#VALUE!</v>
      </c>
      <c r="H155" s="363" t="e">
        <f aca="false">(AL155+AM155+AN155)/(1-(AR155))</f>
        <v>#VALUE!</v>
      </c>
      <c r="I155" s="363" t="e">
        <f aca="false">(AL155+AO155+AP155)</f>
        <v>#VALUE!</v>
      </c>
      <c r="K155" s="363" t="e">
        <f aca="false">MAX(((I155-H155)-AQ155)*AU155*AH155,0)</f>
        <v>#VALUE!</v>
      </c>
      <c r="L155" s="501" t="e">
        <f aca="false">MAX(Q155-K155,0)</f>
        <v>#VALUE!</v>
      </c>
      <c r="N155" s="502" t="e">
        <f aca="false">SQRT(($AX155^2*($AH155/2)+$AW155^2*$AI155)/(($AH155/2)+$AI155))</f>
        <v>#VALUE!</v>
      </c>
      <c r="O155" s="502" t="e">
        <f aca="false">SQRT(($AY155^2*($AH155/2)+$AW155^2*$AI155)/(($AH155/2)+$AI155))</f>
        <v>#VALUE!</v>
      </c>
      <c r="P155" s="371" t="e">
        <f aca="false">(VLOOKUP(AI155,CorrelationTwo,2)*(AW155^2)*AI155+VLOOKUP(D155,CorrelationOne,$AK$9)*AX155*AY155*(AH155/2))/((AI155+(AH155/2))*O155*N155)*AF155</f>
        <v>#VALUE!</v>
      </c>
      <c r="Q155" s="501" t="e">
        <f aca="false">xSPRDOPT(I155,H155,AQ155,0,O155,N155,P155,D155-$G$5,1,0)*AH155*AU155</f>
        <v>#VALUE!</v>
      </c>
      <c r="R155" s="501"/>
      <c r="S155" s="365" t="e">
        <f aca="false">-T155/(1-AR155)</f>
        <v>#VALUE!</v>
      </c>
      <c r="T155" s="365" t="e">
        <f aca="false">xSPRDOPT(I155,H155,AQ155,AT155,O155,N155,P155,D155-$G$5,1,1)*AF155*F155*AH155</f>
        <v>#VALUE!</v>
      </c>
      <c r="U155" s="501"/>
      <c r="V155" s="503" t="e">
        <f aca="false">VLOOKUP($AG155,$AL$4:$AS$15,8)*AH155*AU155</f>
        <v>#VALUE!</v>
      </c>
      <c r="W155" s="503"/>
      <c r="X155" s="504" t="e">
        <f aca="false">((BM155*BC155)+(BL155*BB155))*AH155*F155</f>
        <v>#VALUE!</v>
      </c>
      <c r="Y155" s="504" t="e">
        <f aca="false">($F155*$AH155)*((($BG155/2)*($BC155)^2)+(($BF155/2)*($BB155)^2)+($BH155*$BC155*$BB155))</f>
        <v>#VALUE!</v>
      </c>
      <c r="Z155" s="504" t="e">
        <f aca="false">($BI155*$F155*$AH155*($G$5-$BV$5))/365.25</f>
        <v>#VALUE!</v>
      </c>
      <c r="AA155" s="504" t="e">
        <f aca="false">(($BK155*$BE155)+($BJ155*$BD155))*$F155*$AH155*$AF155</f>
        <v>#VALUE!</v>
      </c>
      <c r="AB155" s="504" t="e">
        <f aca="false">BN155*(AT155-CA155)*F155*AH155</f>
        <v>#VALUE!</v>
      </c>
      <c r="AC155" s="504" t="e">
        <f aca="false">BO155*CB155*F155*AH155*CA155*($G$5-$BV$5)/365.25</f>
        <v>#NAME?</v>
      </c>
      <c r="AF155" s="378" t="e">
        <f aca="false">IF(AND(D155&gt;=$G$7,D155&lt;=$G$8),1,0)</f>
        <v>#VALUE!</v>
      </c>
      <c r="AG155" s="378" t="e">
        <f aca="false">MONTH(D155)</f>
        <v>#VALUE!</v>
      </c>
      <c r="AH155" s="378" t="e">
        <f aca="false">(EOMONTH(D155,0)-EOMONTH(D155-DAY(D155),0))*AF155</f>
        <v>#VALUE!</v>
      </c>
      <c r="AI155" s="378" t="e">
        <f aca="false">AI154+AH154</f>
        <v>#VALUE!</v>
      </c>
      <c r="AJ155" s="378" t="e">
        <f aca="false">D155-$BV$5</f>
        <v>#VALUE!</v>
      </c>
      <c r="AL155" s="369" t="e">
        <f aca="false">VLOOKUP($D155,CurveTbl,$AK$4)</f>
        <v>#VALUE!</v>
      </c>
      <c r="AM155" s="505" t="e">
        <f aca="false">VLOOKUP($D155,CurveTbl,$AH$3)</f>
        <v>#VALUE!</v>
      </c>
      <c r="AN155" s="505" t="e">
        <f aca="false">VLOOKUP($D155,CurveTbl,$AH$4)+VLOOKUP($AG155,$AL$3:$AS$15,6)</f>
        <v>#VALUE!</v>
      </c>
      <c r="AO155" s="505" t="e">
        <f aca="false">VLOOKUP($D155,CurveTbl,$AH$5)</f>
        <v>#VALUE!</v>
      </c>
      <c r="AP155" s="505" t="e">
        <f aca="false">VLOOKUP($D155,CurveTbl,$AH$6)+VLOOKUP($AG155,$AL$3:$AS$15,7)</f>
        <v>#VALUE!</v>
      </c>
      <c r="AQ155" s="369" t="e">
        <f aca="false">VLOOKUP($AG155,$AL$4:$AS$15,3)+VLOOKUP($AG155,$AL$4:$AS$15,5)+($AH$10*VLOOKUP(D155,GRITable,2))</f>
        <v>#VALUE!</v>
      </c>
      <c r="AR155" s="370" t="e">
        <f aca="false">VLOOKUP($AG155,$AL$4:$AS$15,4)</f>
        <v>#VALUE!</v>
      </c>
      <c r="AS155" s="369" t="e">
        <f aca="false">(AL155+AM155+AN155)</f>
        <v>#VALUE!</v>
      </c>
      <c r="AT155" s="370" t="e">
        <f aca="false">VLOOKUP(D155,CurveTbl,$AK$6)</f>
        <v>#VALUE!</v>
      </c>
      <c r="AU155" s="370" t="e">
        <f aca="false">(1+$AT155/2)^(-2*($D155-$G$5)/365.25)*$AF155</f>
        <v>#VALUE!</v>
      </c>
      <c r="AV155" s="506" t="e">
        <f aca="false">ROUND((F155/(1-AR155))-F155,0)*AF155*AH155*AU155</f>
        <v>#VALUE!</v>
      </c>
      <c r="AW155" s="370" t="e">
        <f aca="false">VLOOKUP($D155,CurveTbl,$AK$8)</f>
        <v>#VALUE!</v>
      </c>
      <c r="AX155" s="370" t="e">
        <f aca="false">VLOOKUP($D155,CurveTbl,$AH$7)</f>
        <v>#VALUE!</v>
      </c>
      <c r="AY155" s="370" t="e">
        <f aca="false">VLOOKUP($D155,CurveTbl,$AH$8)</f>
        <v>#VALUE!</v>
      </c>
      <c r="AZ155" s="370"/>
      <c r="BA155" s="507"/>
      <c r="BB155" s="505" t="e">
        <f aca="false">$H155-$BV155</f>
        <v>#VALUE!</v>
      </c>
      <c r="BC155" s="505" t="e">
        <f aca="false">I155-BW155</f>
        <v>#VALUE!</v>
      </c>
      <c r="BD155" s="370" t="e">
        <f aca="false">N155-BX155</f>
        <v>#VALUE!</v>
      </c>
      <c r="BE155" s="370" t="e">
        <f aca="false">O155-BY155</f>
        <v>#VALUE!</v>
      </c>
      <c r="BF155" s="370" t="e">
        <f aca="false">xSPRDOPT($BW155,$BV155,$CG155,0,$BY155,$BX155,$BZ155,$AJ155,1,4)*$CB155</f>
        <v>#NAME?</v>
      </c>
      <c r="BG155" s="370" t="e">
        <f aca="false">xSPRDOPT($BW155,$BV155,$CG155,0,$BY155,$BX155,$BZ155,$AJ155,1,3)*$CB155</f>
        <v>#NAME?</v>
      </c>
      <c r="BH155" s="370" t="e">
        <f aca="false">IF(OR(BF155&lt;&gt;0,BG155&lt;&gt;0),xSPRDOPT($BW155,$BV155,$CG155,0,$BY155,$BX155,$BZ155,$AJ155,1,12)*$CB155,0)</f>
        <v>#NAME?</v>
      </c>
      <c r="BI155" s="370" t="e">
        <f aca="false">xSPRDOPT($BW155,$BV155,$CG155,2*LN(1+CA155/2),$BY155,$BX155,$BZ155,$AJ155,1,9)</f>
        <v>#NAME?</v>
      </c>
      <c r="BJ155" s="370" t="e">
        <f aca="false">xSPRDOPT($BW155,$BV155,$CG155,0,$BY155,$BX155,$BZ155,$AJ155,1,6)*$CB155</f>
        <v>#NAME?</v>
      </c>
      <c r="BK155" s="370" t="e">
        <f aca="false">xSPRDOPT($BW155,$BV155,$CG155,0,$BY155,$BX155,$BZ155,$AJ155,1,5)*$CB155</f>
        <v>#NAME?</v>
      </c>
      <c r="BL155" s="370" t="e">
        <f aca="false">xSPRDOPT(BW155,BV155,CG155,0,BY155,BX155,BZ155,AJ155,1,2)*CB155</f>
        <v>#NAME?</v>
      </c>
      <c r="BM155" s="370" t="e">
        <f aca="false">xSPRDOPT(BW155,BV155,CG155,0,BY155,BX155,BZ155,AJ155,1,1)*CB155</f>
        <v>#NAME?</v>
      </c>
      <c r="BN155" s="370" t="e">
        <f aca="false">IF(AH155&lt;&gt;0,xSPRDOPT($BW155,$BV155,$CG155,2*LN(1+CA155/2),$BY155,$BX155,$BZ155,$AJ155,1,8)+(AJ155/365.25)*CH155/AH155,0)</f>
        <v>#VALUE!</v>
      </c>
      <c r="BO155" s="370" t="e">
        <f aca="false">xSPRDOPT($BW155,$BV155,$CG155,0,$BY155,$BX155,$BZ155,$AJ155,1,0)</f>
        <v>#NAME?</v>
      </c>
      <c r="BP155" s="370"/>
      <c r="BQ155" s="370"/>
      <c r="BR155" s="370"/>
      <c r="BS155" s="370"/>
      <c r="BV155" s="508" t="n">
        <v>4.35703324808184</v>
      </c>
      <c r="BW155" s="369" t="n">
        <v>4.5895</v>
      </c>
      <c r="BX155" s="370" t="n">
        <v>0.17953102619144</v>
      </c>
      <c r="BY155" s="370" t="n">
        <v>0.17953102619144</v>
      </c>
      <c r="BZ155" s="370" t="n">
        <v>1</v>
      </c>
      <c r="CA155" s="370" t="n">
        <v>0.0625049037809293</v>
      </c>
      <c r="CB155" s="370" t="n">
        <v>0.502737547400931</v>
      </c>
      <c r="CC155" s="505" t="n">
        <v>0.012</v>
      </c>
      <c r="CD155" s="505" t="n">
        <v>0.0075</v>
      </c>
      <c r="CE155" s="505" t="n">
        <v>0.35</v>
      </c>
      <c r="CF155" s="505" t="n">
        <v>0</v>
      </c>
      <c r="CG155" s="505" t="n">
        <v>0.0364</v>
      </c>
      <c r="CH155" s="505" t="n">
        <v>5.19006134434825</v>
      </c>
      <c r="CI155" s="505" t="n">
        <v>4.2395</v>
      </c>
      <c r="CJ155" s="505"/>
      <c r="CK155" s="505"/>
      <c r="CL155" s="505"/>
      <c r="CM155" s="505"/>
    </row>
    <row r="156" customFormat="false" ht="12.75" hidden="false" customHeight="false" outlineLevel="0" collapsed="false">
      <c r="A156" s="500"/>
      <c r="B156" s="500"/>
      <c r="D156" s="361" t="e">
        <f aca="false">D155+AH155</f>
        <v>#VALUE!</v>
      </c>
      <c r="F156" s="362" t="e">
        <f aca="false">VLOOKUP(AG156,$AL$4:$AS$15,2)</f>
        <v>#VALUE!</v>
      </c>
      <c r="G156" s="362" t="e">
        <f aca="false">F156*$AU156</f>
        <v>#VALUE!</v>
      </c>
      <c r="H156" s="363" t="e">
        <f aca="false">(AL156+AM156+AN156)/(1-(AR156))</f>
        <v>#VALUE!</v>
      </c>
      <c r="I156" s="363" t="e">
        <f aca="false">(AL156+AO156+AP156)</f>
        <v>#VALUE!</v>
      </c>
      <c r="K156" s="363" t="e">
        <f aca="false">MAX(((I156-H156)-AQ156)*AU156*AH156,0)</f>
        <v>#VALUE!</v>
      </c>
      <c r="L156" s="501" t="e">
        <f aca="false">MAX(Q156-K156,0)</f>
        <v>#VALUE!</v>
      </c>
      <c r="N156" s="502" t="e">
        <f aca="false">SQRT(($AX156^2*($AH156/2)+$AW156^2*$AI156)/(($AH156/2)+$AI156))</f>
        <v>#VALUE!</v>
      </c>
      <c r="O156" s="502" t="e">
        <f aca="false">SQRT(($AY156^2*($AH156/2)+$AW156^2*$AI156)/(($AH156/2)+$AI156))</f>
        <v>#VALUE!</v>
      </c>
      <c r="P156" s="371" t="e">
        <f aca="false">(VLOOKUP(AI156,CorrelationTwo,2)*(AW156^2)*AI156+VLOOKUP(D156,CorrelationOne,$AK$9)*AX156*AY156*(AH156/2))/((AI156+(AH156/2))*O156*N156)*AF156</f>
        <v>#VALUE!</v>
      </c>
      <c r="Q156" s="501" t="e">
        <f aca="false">xSPRDOPT(I156,H156,AQ156,0,O156,N156,P156,D156-$G$5,1,0)*AH156*AU156</f>
        <v>#VALUE!</v>
      </c>
      <c r="R156" s="501"/>
      <c r="S156" s="365" t="e">
        <f aca="false">-T156/(1-AR156)</f>
        <v>#VALUE!</v>
      </c>
      <c r="T156" s="365" t="e">
        <f aca="false">xSPRDOPT(I156,H156,AQ156,AT156,O156,N156,P156,D156-$G$5,1,1)*AF156*F156*AH156</f>
        <v>#VALUE!</v>
      </c>
      <c r="U156" s="501"/>
      <c r="V156" s="503" t="e">
        <f aca="false">VLOOKUP($AG156,$AL$4:$AS$15,8)*AH156*AU156</f>
        <v>#VALUE!</v>
      </c>
      <c r="W156" s="503"/>
      <c r="X156" s="504" t="e">
        <f aca="false">((BM156*BC156)+(BL156*BB156))*AH156*F156</f>
        <v>#VALUE!</v>
      </c>
      <c r="Y156" s="504" t="e">
        <f aca="false">($F156*$AH156)*((($BG156/2)*($BC156)^2)+(($BF156/2)*($BB156)^2)+($BH156*$BC156*$BB156))</f>
        <v>#VALUE!</v>
      </c>
      <c r="Z156" s="504" t="e">
        <f aca="false">($BI156*$F156*$AH156*($G$5-$BV$5))/365.25</f>
        <v>#VALUE!</v>
      </c>
      <c r="AA156" s="504" t="e">
        <f aca="false">(($BK156*$BE156)+($BJ156*$BD156))*$F156*$AH156*$AF156</f>
        <v>#VALUE!</v>
      </c>
      <c r="AB156" s="504" t="e">
        <f aca="false">BN156*(AT156-CA156)*F156*AH156</f>
        <v>#VALUE!</v>
      </c>
      <c r="AC156" s="504" t="e">
        <f aca="false">BO156*CB156*F156*AH156*CA156*($G$5-$BV$5)/365.25</f>
        <v>#NAME?</v>
      </c>
      <c r="AF156" s="378" t="e">
        <f aca="false">IF(AND(D156&gt;=$G$7,D156&lt;=$G$8),1,0)</f>
        <v>#VALUE!</v>
      </c>
      <c r="AG156" s="378" t="e">
        <f aca="false">MONTH(D156)</f>
        <v>#VALUE!</v>
      </c>
      <c r="AH156" s="378" t="e">
        <f aca="false">(EOMONTH(D156,0)-EOMONTH(D156-DAY(D156),0))*AF156</f>
        <v>#VALUE!</v>
      </c>
      <c r="AI156" s="378" t="e">
        <f aca="false">AI155+AH155</f>
        <v>#VALUE!</v>
      </c>
      <c r="AJ156" s="378" t="e">
        <f aca="false">D156-$BV$5</f>
        <v>#VALUE!</v>
      </c>
      <c r="AL156" s="369" t="e">
        <f aca="false">VLOOKUP($D156,CurveTbl,$AK$4)</f>
        <v>#VALUE!</v>
      </c>
      <c r="AM156" s="505" t="e">
        <f aca="false">VLOOKUP($D156,CurveTbl,$AH$3)</f>
        <v>#VALUE!</v>
      </c>
      <c r="AN156" s="505" t="e">
        <f aca="false">VLOOKUP($D156,CurveTbl,$AH$4)+VLOOKUP($AG156,$AL$3:$AS$15,6)</f>
        <v>#VALUE!</v>
      </c>
      <c r="AO156" s="505" t="e">
        <f aca="false">VLOOKUP($D156,CurveTbl,$AH$5)</f>
        <v>#VALUE!</v>
      </c>
      <c r="AP156" s="505" t="e">
        <f aca="false">VLOOKUP($D156,CurveTbl,$AH$6)+VLOOKUP($AG156,$AL$3:$AS$15,7)</f>
        <v>#VALUE!</v>
      </c>
      <c r="AQ156" s="369" t="e">
        <f aca="false">VLOOKUP($AG156,$AL$4:$AS$15,3)+VLOOKUP($AG156,$AL$4:$AS$15,5)+($AH$10*VLOOKUP(D156,GRITable,2))</f>
        <v>#VALUE!</v>
      </c>
      <c r="AR156" s="370" t="e">
        <f aca="false">VLOOKUP($AG156,$AL$4:$AS$15,4)</f>
        <v>#VALUE!</v>
      </c>
      <c r="AS156" s="369" t="e">
        <f aca="false">(AL156+AM156+AN156)</f>
        <v>#VALUE!</v>
      </c>
      <c r="AT156" s="370" t="e">
        <f aca="false">VLOOKUP(D156,CurveTbl,$AK$6)</f>
        <v>#VALUE!</v>
      </c>
      <c r="AU156" s="370" t="e">
        <f aca="false">(1+$AT156/2)^(-2*($D156-$G$5)/365.25)*$AF156</f>
        <v>#VALUE!</v>
      </c>
      <c r="AV156" s="506" t="e">
        <f aca="false">ROUND((F156/(1-AR156))-F156,0)*AF156*AH156*AU156</f>
        <v>#VALUE!</v>
      </c>
      <c r="AW156" s="370" t="e">
        <f aca="false">VLOOKUP($D156,CurveTbl,$AK$8)</f>
        <v>#VALUE!</v>
      </c>
      <c r="AX156" s="370" t="e">
        <f aca="false">VLOOKUP($D156,CurveTbl,$AH$7)</f>
        <v>#VALUE!</v>
      </c>
      <c r="AY156" s="370" t="e">
        <f aca="false">VLOOKUP($D156,CurveTbl,$AH$8)</f>
        <v>#VALUE!</v>
      </c>
      <c r="AZ156" s="370"/>
      <c r="BA156" s="507"/>
      <c r="BB156" s="505" t="e">
        <f aca="false">$H156-$BV156</f>
        <v>#VALUE!</v>
      </c>
      <c r="BC156" s="505" t="e">
        <f aca="false">I156-BW156</f>
        <v>#VALUE!</v>
      </c>
      <c r="BD156" s="370" t="e">
        <f aca="false">N156-BX156</f>
        <v>#VALUE!</v>
      </c>
      <c r="BE156" s="370" t="e">
        <f aca="false">O156-BY156</f>
        <v>#VALUE!</v>
      </c>
      <c r="BF156" s="370" t="e">
        <f aca="false">xSPRDOPT($BW156,$BV156,$CG156,0,$BY156,$BX156,$BZ156,$AJ156,1,4)*$CB156</f>
        <v>#NAME?</v>
      </c>
      <c r="BG156" s="370" t="e">
        <f aca="false">xSPRDOPT($BW156,$BV156,$CG156,0,$BY156,$BX156,$BZ156,$AJ156,1,3)*$CB156</f>
        <v>#NAME?</v>
      </c>
      <c r="BH156" s="370" t="e">
        <f aca="false">IF(OR(BF156&lt;&gt;0,BG156&lt;&gt;0),xSPRDOPT($BW156,$BV156,$CG156,0,$BY156,$BX156,$BZ156,$AJ156,1,12)*$CB156,0)</f>
        <v>#NAME?</v>
      </c>
      <c r="BI156" s="370" t="e">
        <f aca="false">xSPRDOPT($BW156,$BV156,$CG156,2*LN(1+CA156/2),$BY156,$BX156,$BZ156,$AJ156,1,9)</f>
        <v>#NAME?</v>
      </c>
      <c r="BJ156" s="370" t="e">
        <f aca="false">xSPRDOPT($BW156,$BV156,$CG156,0,$BY156,$BX156,$BZ156,$AJ156,1,6)*$CB156</f>
        <v>#NAME?</v>
      </c>
      <c r="BK156" s="370" t="e">
        <f aca="false">xSPRDOPT($BW156,$BV156,$CG156,0,$BY156,$BX156,$BZ156,$AJ156,1,5)*$CB156</f>
        <v>#NAME?</v>
      </c>
      <c r="BL156" s="370" t="e">
        <f aca="false">xSPRDOPT(BW156,BV156,CG156,0,BY156,BX156,BZ156,AJ156,1,2)*CB156</f>
        <v>#NAME?</v>
      </c>
      <c r="BM156" s="370" t="e">
        <f aca="false">xSPRDOPT(BW156,BV156,CG156,0,BY156,BX156,BZ156,AJ156,1,1)*CB156</f>
        <v>#NAME?</v>
      </c>
      <c r="BN156" s="370" t="e">
        <f aca="false">IF(AH156&lt;&gt;0,xSPRDOPT($BW156,$BV156,$CG156,2*LN(1+CA156/2),$BY156,$BX156,$BZ156,$AJ156,1,8)+(AJ156/365.25)*CH156/AH156,0)</f>
        <v>#VALUE!</v>
      </c>
      <c r="BO156" s="370" t="e">
        <f aca="false">xSPRDOPT($BW156,$BV156,$CG156,0,$BY156,$BX156,$BZ156,$AJ156,1,0)</f>
        <v>#NAME?</v>
      </c>
      <c r="BP156" s="370"/>
      <c r="BQ156" s="370"/>
      <c r="BR156" s="370"/>
      <c r="BS156" s="370"/>
      <c r="BV156" s="508" t="n">
        <v>4.22915601023018</v>
      </c>
      <c r="BW156" s="369" t="n">
        <v>4.5095</v>
      </c>
      <c r="BX156" s="370" t="n">
        <v>0.175818415743171</v>
      </c>
      <c r="BY156" s="370" t="n">
        <v>0.175818415743171</v>
      </c>
      <c r="BZ156" s="370" t="n">
        <v>1</v>
      </c>
      <c r="CA156" s="370" t="n">
        <v>0.0625415242503715</v>
      </c>
      <c r="CB156" s="370" t="n">
        <v>0.50017123492072</v>
      </c>
      <c r="CC156" s="505" t="n">
        <v>0.017</v>
      </c>
      <c r="CD156" s="505" t="n">
        <v>0.0075</v>
      </c>
      <c r="CE156" s="505" t="n">
        <v>0.4</v>
      </c>
      <c r="CF156" s="505" t="n">
        <v>0</v>
      </c>
      <c r="CG156" s="505" t="n">
        <v>0.0364</v>
      </c>
      <c r="CH156" s="505" t="n">
        <v>5.71680716377335</v>
      </c>
      <c r="CI156" s="505" t="n">
        <v>4.1095</v>
      </c>
      <c r="CJ156" s="505"/>
      <c r="CK156" s="505"/>
      <c r="CL156" s="505"/>
      <c r="CM156" s="505"/>
    </row>
    <row r="157" customFormat="false" ht="12.75" hidden="false" customHeight="false" outlineLevel="0" collapsed="false">
      <c r="A157" s="500"/>
      <c r="B157" s="500"/>
      <c r="D157" s="361" t="e">
        <f aca="false">D156+AH156</f>
        <v>#VALUE!</v>
      </c>
      <c r="F157" s="362" t="e">
        <f aca="false">VLOOKUP(AG157,$AL$4:$AS$15,2)</f>
        <v>#VALUE!</v>
      </c>
      <c r="G157" s="362" t="e">
        <f aca="false">F157*$AU157</f>
        <v>#VALUE!</v>
      </c>
      <c r="H157" s="363" t="e">
        <f aca="false">(AL157+AM157+AN157)/(1-(AR157))</f>
        <v>#VALUE!</v>
      </c>
      <c r="I157" s="363" t="e">
        <f aca="false">(AL157+AO157+AP157)</f>
        <v>#VALUE!</v>
      </c>
      <c r="K157" s="363" t="e">
        <f aca="false">MAX(((I157-H157)-AQ157)*AU157*AH157,0)</f>
        <v>#VALUE!</v>
      </c>
      <c r="L157" s="501" t="e">
        <f aca="false">MAX(Q157-K157,0)</f>
        <v>#VALUE!</v>
      </c>
      <c r="N157" s="502" t="e">
        <f aca="false">SQRT(($AX157^2*($AH157/2)+$AW157^2*$AI157)/(($AH157/2)+$AI157))</f>
        <v>#VALUE!</v>
      </c>
      <c r="O157" s="502" t="e">
        <f aca="false">SQRT(($AY157^2*($AH157/2)+$AW157^2*$AI157)/(($AH157/2)+$AI157))</f>
        <v>#VALUE!</v>
      </c>
      <c r="P157" s="371" t="e">
        <f aca="false">(VLOOKUP(AI157,CorrelationTwo,2)*(AW157^2)*AI157+VLOOKUP(D157,CorrelationOne,$AK$9)*AX157*AY157*(AH157/2))/((AI157+(AH157/2))*O157*N157)*AF157</f>
        <v>#VALUE!</v>
      </c>
      <c r="Q157" s="501" t="e">
        <f aca="false">xSPRDOPT(I157,H157,AQ157,0,O157,N157,P157,D157-$G$5,1,0)*AH157*AU157</f>
        <v>#VALUE!</v>
      </c>
      <c r="R157" s="501"/>
      <c r="S157" s="365" t="e">
        <f aca="false">-T157/(1-AR157)</f>
        <v>#VALUE!</v>
      </c>
      <c r="T157" s="365" t="e">
        <f aca="false">xSPRDOPT(I157,H157,AQ157,AT157,O157,N157,P157,D157-$G$5,1,1)*AF157*F157*AH157</f>
        <v>#VALUE!</v>
      </c>
      <c r="U157" s="501"/>
      <c r="V157" s="503" t="e">
        <f aca="false">VLOOKUP($AG157,$AL$4:$AS$15,8)*AH157*AU157</f>
        <v>#VALUE!</v>
      </c>
      <c r="W157" s="503"/>
      <c r="X157" s="504" t="e">
        <f aca="false">((BM157*BC157)+(BL157*BB157))*AH157*F157</f>
        <v>#VALUE!</v>
      </c>
      <c r="Y157" s="504" t="e">
        <f aca="false">($F157*$AH157)*((($BG157/2)*($BC157)^2)+(($BF157/2)*($BB157)^2)+($BH157*$BC157*$BB157))</f>
        <v>#VALUE!</v>
      </c>
      <c r="Z157" s="504" t="e">
        <f aca="false">($BI157*$F157*$AH157*($G$5-$BV$5))/365.25</f>
        <v>#VALUE!</v>
      </c>
      <c r="AA157" s="504" t="e">
        <f aca="false">(($BK157*$BE157)+($BJ157*$BD157))*$F157*$AH157*$AF157</f>
        <v>#VALUE!</v>
      </c>
      <c r="AB157" s="504" t="e">
        <f aca="false">BN157*(AT157-CA157)*F157*AH157</f>
        <v>#VALUE!</v>
      </c>
      <c r="AC157" s="504" t="e">
        <f aca="false">BO157*CB157*F157*AH157*CA157*($G$5-$BV$5)/365.25</f>
        <v>#NAME?</v>
      </c>
      <c r="AF157" s="378" t="e">
        <f aca="false">IF(AND(D157&gt;=$G$7,D157&lt;=$G$8),1,0)</f>
        <v>#VALUE!</v>
      </c>
      <c r="AG157" s="378" t="e">
        <f aca="false">MONTH(D157)</f>
        <v>#VALUE!</v>
      </c>
      <c r="AH157" s="378" t="e">
        <f aca="false">(EOMONTH(D157,0)-EOMONTH(D157-DAY(D157),0))*AF157</f>
        <v>#VALUE!</v>
      </c>
      <c r="AI157" s="378" t="e">
        <f aca="false">AI156+AH156</f>
        <v>#VALUE!</v>
      </c>
      <c r="AJ157" s="378" t="e">
        <f aca="false">D157-$BV$5</f>
        <v>#VALUE!</v>
      </c>
      <c r="AL157" s="369" t="e">
        <f aca="false">VLOOKUP($D157,CurveTbl,$AK$4)</f>
        <v>#VALUE!</v>
      </c>
      <c r="AM157" s="505" t="e">
        <f aca="false">VLOOKUP($D157,CurveTbl,$AH$3)</f>
        <v>#VALUE!</v>
      </c>
      <c r="AN157" s="505" t="e">
        <f aca="false">VLOOKUP($D157,CurveTbl,$AH$4)+VLOOKUP($AG157,$AL$3:$AS$15,6)</f>
        <v>#VALUE!</v>
      </c>
      <c r="AO157" s="505" t="e">
        <f aca="false">VLOOKUP($D157,CurveTbl,$AH$5)</f>
        <v>#VALUE!</v>
      </c>
      <c r="AP157" s="505" t="e">
        <f aca="false">VLOOKUP($D157,CurveTbl,$AH$6)+VLOOKUP($AG157,$AL$3:$AS$15,7)</f>
        <v>#VALUE!</v>
      </c>
      <c r="AQ157" s="369" t="e">
        <f aca="false">VLOOKUP($AG157,$AL$4:$AS$15,3)+VLOOKUP($AG157,$AL$4:$AS$15,5)+($AH$10*VLOOKUP(D157,GRITable,2))</f>
        <v>#VALUE!</v>
      </c>
      <c r="AR157" s="370" t="e">
        <f aca="false">VLOOKUP($AG157,$AL$4:$AS$15,4)</f>
        <v>#VALUE!</v>
      </c>
      <c r="AS157" s="369" t="e">
        <f aca="false">(AL157+AM157+AN157)</f>
        <v>#VALUE!</v>
      </c>
      <c r="AT157" s="370" t="e">
        <f aca="false">VLOOKUP(D157,CurveTbl,$AK$6)</f>
        <v>#VALUE!</v>
      </c>
      <c r="AU157" s="370" t="e">
        <f aca="false">(1+$AT157/2)^(-2*($D157-$G$5)/365.25)*$AF157</f>
        <v>#VALUE!</v>
      </c>
      <c r="AV157" s="506" t="e">
        <f aca="false">ROUND((F157/(1-AR157))-F157,0)*AF157*AH157*AU157</f>
        <v>#VALUE!</v>
      </c>
      <c r="AW157" s="370" t="e">
        <f aca="false">VLOOKUP($D157,CurveTbl,$AK$8)</f>
        <v>#VALUE!</v>
      </c>
      <c r="AX157" s="370" t="e">
        <f aca="false">VLOOKUP($D157,CurveTbl,$AH$7)</f>
        <v>#VALUE!</v>
      </c>
      <c r="AY157" s="370" t="e">
        <f aca="false">VLOOKUP($D157,CurveTbl,$AH$8)</f>
        <v>#VALUE!</v>
      </c>
      <c r="AZ157" s="370"/>
      <c r="BA157" s="507"/>
      <c r="BB157" s="505" t="e">
        <f aca="false">$H157-$BV157</f>
        <v>#VALUE!</v>
      </c>
      <c r="BC157" s="505" t="e">
        <f aca="false">I157-BW157</f>
        <v>#VALUE!</v>
      </c>
      <c r="BD157" s="370" t="e">
        <f aca="false">N157-BX157</f>
        <v>#VALUE!</v>
      </c>
      <c r="BE157" s="370" t="e">
        <f aca="false">O157-BY157</f>
        <v>#VALUE!</v>
      </c>
      <c r="BF157" s="370" t="e">
        <f aca="false">xSPRDOPT($BW157,$BV157,$CG157,0,$BY157,$BX157,$BZ157,$AJ157,1,4)*$CB157</f>
        <v>#NAME?</v>
      </c>
      <c r="BG157" s="370" t="e">
        <f aca="false">xSPRDOPT($BW157,$BV157,$CG157,0,$BY157,$BX157,$BZ157,$AJ157,1,3)*$CB157</f>
        <v>#NAME?</v>
      </c>
      <c r="BH157" s="370" t="e">
        <f aca="false">IF(OR(BF157&lt;&gt;0,BG157&lt;&gt;0),xSPRDOPT($BW157,$BV157,$CG157,0,$BY157,$BX157,$BZ157,$AJ157,1,12)*$CB157,0)</f>
        <v>#NAME?</v>
      </c>
      <c r="BI157" s="370" t="e">
        <f aca="false">xSPRDOPT($BW157,$BV157,$CG157,2*LN(1+CA157/2),$BY157,$BX157,$BZ157,$AJ157,1,9)</f>
        <v>#NAME?</v>
      </c>
      <c r="BJ157" s="370" t="e">
        <f aca="false">xSPRDOPT($BW157,$BV157,$CG157,0,$BY157,$BX157,$BZ157,$AJ157,1,6)*$CB157</f>
        <v>#NAME?</v>
      </c>
      <c r="BK157" s="370" t="e">
        <f aca="false">xSPRDOPT($BW157,$BV157,$CG157,0,$BY157,$BX157,$BZ157,$AJ157,1,5)*$CB157</f>
        <v>#NAME?</v>
      </c>
      <c r="BL157" s="370" t="e">
        <f aca="false">xSPRDOPT(BW157,BV157,CG157,0,BY157,BX157,BZ157,AJ157,1,2)*CB157</f>
        <v>#NAME?</v>
      </c>
      <c r="BM157" s="370" t="e">
        <f aca="false">xSPRDOPT(BW157,BV157,CG157,0,BY157,BX157,BZ157,AJ157,1,1)*CB157</f>
        <v>#NAME?</v>
      </c>
      <c r="BN157" s="370" t="e">
        <f aca="false">IF(AH157&lt;&gt;0,xSPRDOPT($BW157,$BV157,$CG157,2*LN(1+CA157/2),$BY157,$BX157,$BZ157,$AJ157,1,8)+(AJ157/365.25)*CH157/AH157,0)</f>
        <v>#VALUE!</v>
      </c>
      <c r="BO157" s="370" t="e">
        <f aca="false">xSPRDOPT($BW157,$BV157,$CG157,0,$BY157,$BX157,$BZ157,$AJ157,1,0)</f>
        <v>#NAME?</v>
      </c>
      <c r="BP157" s="370"/>
      <c r="BQ157" s="370"/>
      <c r="BR157" s="370"/>
      <c r="BS157" s="370"/>
      <c r="BV157" s="508" t="n">
        <v>4.04245524296675</v>
      </c>
      <c r="BW157" s="369" t="n">
        <v>4.5245</v>
      </c>
      <c r="BX157" s="370" t="n">
        <v>0.171391030376176</v>
      </c>
      <c r="BY157" s="370" t="n">
        <v>0.171391030376176</v>
      </c>
      <c r="BZ157" s="370" t="n">
        <v>1</v>
      </c>
      <c r="CA157" s="370" t="n">
        <v>0.0625820683420586</v>
      </c>
      <c r="CB157" s="370" t="n">
        <v>0.497342084046085</v>
      </c>
      <c r="CC157" s="505" t="n">
        <v>0.017</v>
      </c>
      <c r="CD157" s="505" t="n">
        <v>0.01</v>
      </c>
      <c r="CE157" s="505" t="n">
        <v>0.6</v>
      </c>
      <c r="CF157" s="505" t="n">
        <v>0</v>
      </c>
      <c r="CG157" s="505" t="n">
        <v>0.0364</v>
      </c>
      <c r="CH157" s="505" t="n">
        <v>5.50110079163374</v>
      </c>
      <c r="CI157" s="505" t="n">
        <v>3.9245</v>
      </c>
      <c r="CJ157" s="505"/>
      <c r="CK157" s="505"/>
      <c r="CL157" s="505"/>
      <c r="CM157" s="505"/>
    </row>
    <row r="158" customFormat="false" ht="12.75" hidden="false" customHeight="false" outlineLevel="0" collapsed="false">
      <c r="A158" s="500"/>
      <c r="B158" s="500"/>
      <c r="D158" s="361" t="e">
        <f aca="false">D157+AH157</f>
        <v>#VALUE!</v>
      </c>
      <c r="F158" s="362" t="e">
        <f aca="false">VLOOKUP(AG158,$AL$4:$AS$15,2)</f>
        <v>#VALUE!</v>
      </c>
      <c r="G158" s="362" t="e">
        <f aca="false">F158*$AU158</f>
        <v>#VALUE!</v>
      </c>
      <c r="H158" s="363" t="e">
        <f aca="false">(AL158+AM158+AN158)/(1-(AR158))</f>
        <v>#VALUE!</v>
      </c>
      <c r="I158" s="363" t="e">
        <f aca="false">(AL158+AO158+AP158)</f>
        <v>#VALUE!</v>
      </c>
      <c r="K158" s="363" t="e">
        <f aca="false">MAX(((I158-H158)-AQ158)*AU158*AH158,0)</f>
        <v>#VALUE!</v>
      </c>
      <c r="L158" s="501" t="e">
        <f aca="false">MAX(Q158-K158,0)</f>
        <v>#VALUE!</v>
      </c>
      <c r="N158" s="502" t="e">
        <f aca="false">SQRT(($AX158^2*($AH158/2)+$AW158^2*$AI158)/(($AH158/2)+$AI158))</f>
        <v>#VALUE!</v>
      </c>
      <c r="O158" s="502" t="e">
        <f aca="false">SQRT(($AY158^2*($AH158/2)+$AW158^2*$AI158)/(($AH158/2)+$AI158))</f>
        <v>#VALUE!</v>
      </c>
      <c r="P158" s="371" t="e">
        <f aca="false">(VLOOKUP(AI158,CorrelationTwo,2)*(AW158^2)*AI158+VLOOKUP(D158,CorrelationOne,$AK$9)*AX158*AY158*(AH158/2))/((AI158+(AH158/2))*O158*N158)*AF158</f>
        <v>#VALUE!</v>
      </c>
      <c r="Q158" s="501" t="e">
        <f aca="false">xSPRDOPT(I158,H158,AQ158,0,O158,N158,P158,D158-$G$5,1,0)*AH158*AU158</f>
        <v>#VALUE!</v>
      </c>
      <c r="R158" s="501"/>
      <c r="S158" s="365" t="e">
        <f aca="false">-T158/(1-AR158)</f>
        <v>#VALUE!</v>
      </c>
      <c r="T158" s="365" t="e">
        <f aca="false">xSPRDOPT(I158,H158,AQ158,AT158,O158,N158,P158,D158-$G$5,1,1)*AF158*F158*AH158</f>
        <v>#VALUE!</v>
      </c>
      <c r="U158" s="501"/>
      <c r="V158" s="503" t="e">
        <f aca="false">VLOOKUP($AG158,$AL$4:$AS$15,8)*AH158*AU158</f>
        <v>#VALUE!</v>
      </c>
      <c r="W158" s="503"/>
      <c r="X158" s="504" t="e">
        <f aca="false">((BM158*BC158)+(BL158*BB158))*AH158*F158</f>
        <v>#VALUE!</v>
      </c>
      <c r="Y158" s="504" t="e">
        <f aca="false">($F158*$AH158)*((($BG158/2)*($BC158)^2)+(($BF158/2)*($BB158)^2)+($BH158*$BC158*$BB158))</f>
        <v>#VALUE!</v>
      </c>
      <c r="Z158" s="504" t="e">
        <f aca="false">($BI158*$F158*$AH158*($G$5-$BV$5))/365.25</f>
        <v>#VALUE!</v>
      </c>
      <c r="AA158" s="504" t="e">
        <f aca="false">(($BK158*$BE158)+($BJ158*$BD158))*$F158*$AH158*$AF158</f>
        <v>#VALUE!</v>
      </c>
      <c r="AB158" s="504" t="e">
        <f aca="false">BN158*(AT158-CA158)*F158*AH158</f>
        <v>#VALUE!</v>
      </c>
      <c r="AC158" s="504" t="e">
        <f aca="false">BO158*CB158*F158*AH158*CA158*($G$5-$BV$5)/365.25</f>
        <v>#NAME?</v>
      </c>
      <c r="AF158" s="378" t="e">
        <f aca="false">IF(AND(D158&gt;=$G$7,D158&lt;=$G$8),1,0)</f>
        <v>#VALUE!</v>
      </c>
      <c r="AG158" s="378" t="e">
        <f aca="false">MONTH(D158)</f>
        <v>#VALUE!</v>
      </c>
      <c r="AH158" s="378" t="e">
        <f aca="false">(EOMONTH(D158,0)-EOMONTH(D158-DAY(D158),0))*AF158</f>
        <v>#VALUE!</v>
      </c>
      <c r="AI158" s="378" t="e">
        <f aca="false">AI157+AH157</f>
        <v>#VALUE!</v>
      </c>
      <c r="AJ158" s="378" t="e">
        <f aca="false">D158-$BV$5</f>
        <v>#VALUE!</v>
      </c>
      <c r="AL158" s="369" t="e">
        <f aca="false">VLOOKUP($D158,CurveTbl,$AK$4)</f>
        <v>#VALUE!</v>
      </c>
      <c r="AM158" s="505" t="e">
        <f aca="false">VLOOKUP($D158,CurveTbl,$AH$3)</f>
        <v>#VALUE!</v>
      </c>
      <c r="AN158" s="505" t="e">
        <f aca="false">VLOOKUP($D158,CurveTbl,$AH$4)+VLOOKUP($AG158,$AL$3:$AS$15,6)</f>
        <v>#VALUE!</v>
      </c>
      <c r="AO158" s="505" t="e">
        <f aca="false">VLOOKUP($D158,CurveTbl,$AH$5)</f>
        <v>#VALUE!</v>
      </c>
      <c r="AP158" s="505" t="e">
        <f aca="false">VLOOKUP($D158,CurveTbl,$AH$6)+VLOOKUP($AG158,$AL$3:$AS$15,7)</f>
        <v>#VALUE!</v>
      </c>
      <c r="AQ158" s="369" t="e">
        <f aca="false">VLOOKUP($AG158,$AL$4:$AS$15,3)+VLOOKUP($AG158,$AL$4:$AS$15,5)+($AH$10*VLOOKUP(D158,GRITable,2))</f>
        <v>#VALUE!</v>
      </c>
      <c r="AR158" s="370" t="e">
        <f aca="false">VLOOKUP($AG158,$AL$4:$AS$15,4)</f>
        <v>#VALUE!</v>
      </c>
      <c r="AS158" s="369" t="e">
        <f aca="false">(AL158+AM158+AN158)</f>
        <v>#VALUE!</v>
      </c>
      <c r="AT158" s="370" t="e">
        <f aca="false">VLOOKUP(D158,CurveTbl,$AK$6)</f>
        <v>#VALUE!</v>
      </c>
      <c r="AU158" s="370" t="e">
        <f aca="false">(1+$AT158/2)^(-2*($D158-$G$5)/365.25)*$AF158</f>
        <v>#VALUE!</v>
      </c>
      <c r="AV158" s="506" t="e">
        <f aca="false">ROUND((F158/(1-AR158))-F158,0)*AF158*AH158*AU158</f>
        <v>#VALUE!</v>
      </c>
      <c r="AW158" s="370" t="e">
        <f aca="false">VLOOKUP($D158,CurveTbl,$AK$8)</f>
        <v>#VALUE!</v>
      </c>
      <c r="AX158" s="370" t="e">
        <f aca="false">VLOOKUP($D158,CurveTbl,$AH$7)</f>
        <v>#VALUE!</v>
      </c>
      <c r="AY158" s="370" t="e">
        <f aca="false">VLOOKUP($D158,CurveTbl,$AH$8)</f>
        <v>#VALUE!</v>
      </c>
      <c r="AZ158" s="370"/>
      <c r="BA158" s="507"/>
      <c r="BB158" s="505" t="e">
        <f aca="false">$H158-$BV158</f>
        <v>#VALUE!</v>
      </c>
      <c r="BC158" s="505" t="e">
        <f aca="false">I158-BW158</f>
        <v>#VALUE!</v>
      </c>
      <c r="BD158" s="370" t="e">
        <f aca="false">N158-BX158</f>
        <v>#VALUE!</v>
      </c>
      <c r="BE158" s="370" t="e">
        <f aca="false">O158-BY158</f>
        <v>#VALUE!</v>
      </c>
      <c r="BF158" s="370" t="e">
        <f aca="false">xSPRDOPT($BW158,$BV158,$CG158,0,$BY158,$BX158,$BZ158,$AJ158,1,4)*$CB158</f>
        <v>#NAME?</v>
      </c>
      <c r="BG158" s="370" t="e">
        <f aca="false">xSPRDOPT($BW158,$BV158,$CG158,0,$BY158,$BX158,$BZ158,$AJ158,1,3)*$CB158</f>
        <v>#NAME?</v>
      </c>
      <c r="BH158" s="370" t="e">
        <f aca="false">IF(OR(BF158&lt;&gt;0,BG158&lt;&gt;0),xSPRDOPT($BW158,$BV158,$CG158,0,$BY158,$BX158,$BZ158,$AJ158,1,12)*$CB158,0)</f>
        <v>#NAME?</v>
      </c>
      <c r="BI158" s="370" t="e">
        <f aca="false">xSPRDOPT($BW158,$BV158,$CG158,2*LN(1+CA158/2),$BY158,$BX158,$BZ158,$AJ158,1,9)</f>
        <v>#NAME?</v>
      </c>
      <c r="BJ158" s="370" t="e">
        <f aca="false">xSPRDOPT($BW158,$BV158,$CG158,0,$BY158,$BX158,$BZ158,$AJ158,1,6)*$CB158</f>
        <v>#NAME?</v>
      </c>
      <c r="BK158" s="370" t="e">
        <f aca="false">xSPRDOPT($BW158,$BV158,$CG158,0,$BY158,$BX158,$BZ158,$AJ158,1,5)*$CB158</f>
        <v>#NAME?</v>
      </c>
      <c r="BL158" s="370" t="e">
        <f aca="false">xSPRDOPT(BW158,BV158,CG158,0,BY158,BX158,BZ158,AJ158,1,2)*CB158</f>
        <v>#NAME?</v>
      </c>
      <c r="BM158" s="370" t="e">
        <f aca="false">xSPRDOPT(BW158,BV158,CG158,0,BY158,BX158,BZ158,AJ158,1,1)*CB158</f>
        <v>#NAME?</v>
      </c>
      <c r="BN158" s="370" t="e">
        <f aca="false">IF(AH158&lt;&gt;0,xSPRDOPT($BW158,$BV158,$CG158,2*LN(1+CA158/2),$BY158,$BX158,$BZ158,$AJ158,1,8)+(AJ158/365.25)*CH158/AH158,0)</f>
        <v>#VALUE!</v>
      </c>
      <c r="BO158" s="370" t="e">
        <f aca="false">xSPRDOPT($BW158,$BV158,$CG158,0,$BY158,$BX158,$BZ158,$AJ158,1,0)</f>
        <v>#NAME?</v>
      </c>
      <c r="BP158" s="370"/>
      <c r="BQ158" s="370"/>
      <c r="BR158" s="370"/>
      <c r="BS158" s="370"/>
      <c r="BV158" s="508" t="n">
        <v>4.03989769820972</v>
      </c>
      <c r="BW158" s="369" t="n">
        <v>4.6695</v>
      </c>
      <c r="BX158" s="370" t="n">
        <v>0.171886717780202</v>
      </c>
      <c r="BY158" s="370" t="n">
        <v>0.171886717780202</v>
      </c>
      <c r="BZ158" s="370" t="n">
        <v>1</v>
      </c>
      <c r="CA158" s="370" t="n">
        <v>0.0626213045603396</v>
      </c>
      <c r="CB158" s="370" t="n">
        <v>0.494616295073056</v>
      </c>
      <c r="CC158" s="505" t="n">
        <v>0.0195</v>
      </c>
      <c r="CD158" s="505" t="n">
        <v>0.01</v>
      </c>
      <c r="CE158" s="505" t="n">
        <v>0.75</v>
      </c>
      <c r="CF158" s="505" t="n">
        <v>0</v>
      </c>
      <c r="CG158" s="505" t="n">
        <v>0.0364</v>
      </c>
      <c r="CH158" s="505" t="n">
        <v>5.6533158677965</v>
      </c>
      <c r="CI158" s="505" t="n">
        <v>3.9195</v>
      </c>
      <c r="CJ158" s="505"/>
      <c r="CK158" s="505"/>
      <c r="CL158" s="505"/>
      <c r="CM158" s="505"/>
    </row>
    <row r="159" customFormat="false" ht="12.75" hidden="false" customHeight="false" outlineLevel="0" collapsed="false">
      <c r="A159" s="500"/>
      <c r="B159" s="500"/>
      <c r="D159" s="361" t="e">
        <f aca="false">D158+AH158</f>
        <v>#VALUE!</v>
      </c>
      <c r="F159" s="362" t="e">
        <f aca="false">VLOOKUP(AG159,$AL$4:$AS$15,2)</f>
        <v>#VALUE!</v>
      </c>
      <c r="G159" s="362" t="e">
        <f aca="false">F159*$AU159</f>
        <v>#VALUE!</v>
      </c>
      <c r="H159" s="363" t="e">
        <f aca="false">(AL159+AM159+AN159)/(1-(AR159))</f>
        <v>#VALUE!</v>
      </c>
      <c r="I159" s="363" t="e">
        <f aca="false">(AL159+AO159+AP159)</f>
        <v>#VALUE!</v>
      </c>
      <c r="K159" s="363" t="e">
        <f aca="false">MAX(((I159-H159)-AQ159)*AU159*AH159,0)</f>
        <v>#VALUE!</v>
      </c>
      <c r="L159" s="501" t="e">
        <f aca="false">MAX(Q159-K159,0)</f>
        <v>#VALUE!</v>
      </c>
      <c r="N159" s="502" t="e">
        <f aca="false">SQRT(($AX159^2*($AH159/2)+$AW159^2*$AI159)/(($AH159/2)+$AI159))</f>
        <v>#VALUE!</v>
      </c>
      <c r="O159" s="502" t="e">
        <f aca="false">SQRT(($AY159^2*($AH159/2)+$AW159^2*$AI159)/(($AH159/2)+$AI159))</f>
        <v>#VALUE!</v>
      </c>
      <c r="P159" s="371" t="e">
        <f aca="false">(VLOOKUP(AI159,CorrelationTwo,2)*(AW159^2)*AI159+VLOOKUP(D159,CorrelationOne,$AK$9)*AX159*AY159*(AH159/2))/((AI159+(AH159/2))*O159*N159)*AF159</f>
        <v>#VALUE!</v>
      </c>
      <c r="Q159" s="501" t="e">
        <f aca="false">xSPRDOPT(I159,H159,AQ159,0,O159,N159,P159,D159-$G$5,1,0)*AH159*AU159</f>
        <v>#VALUE!</v>
      </c>
      <c r="R159" s="501"/>
      <c r="S159" s="365" t="e">
        <f aca="false">-T159/(1-AR159)</f>
        <v>#VALUE!</v>
      </c>
      <c r="T159" s="365" t="e">
        <f aca="false">xSPRDOPT(I159,H159,AQ159,AT159,O159,N159,P159,D159-$G$5,1,1)*AF159*F159*AH159</f>
        <v>#VALUE!</v>
      </c>
      <c r="U159" s="501"/>
      <c r="V159" s="503" t="e">
        <f aca="false">VLOOKUP($AG159,$AL$4:$AS$15,8)*AH159*AU159</f>
        <v>#VALUE!</v>
      </c>
      <c r="W159" s="503"/>
      <c r="X159" s="504" t="e">
        <f aca="false">((BM159*BC159)+(BL159*BB159))*AH159*F159</f>
        <v>#VALUE!</v>
      </c>
      <c r="Y159" s="504" t="e">
        <f aca="false">($F159*$AH159)*((($BG159/2)*($BC159)^2)+(($BF159/2)*($BB159)^2)+($BH159*$BC159*$BB159))</f>
        <v>#VALUE!</v>
      </c>
      <c r="Z159" s="504" t="e">
        <f aca="false">($BI159*$F159*$AH159*($G$5-$BV$5))/365.25</f>
        <v>#VALUE!</v>
      </c>
      <c r="AA159" s="504" t="e">
        <f aca="false">(($BK159*$BE159)+($BJ159*$BD159))*$F159*$AH159*$AF159</f>
        <v>#VALUE!</v>
      </c>
      <c r="AB159" s="504" t="e">
        <f aca="false">BN159*(AT159-CA159)*F159*AH159</f>
        <v>#VALUE!</v>
      </c>
      <c r="AC159" s="504" t="e">
        <f aca="false">BO159*CB159*F159*AH159*CA159*($G$5-$BV$5)/365.25</f>
        <v>#NAME?</v>
      </c>
      <c r="AF159" s="378" t="e">
        <f aca="false">IF(AND(D159&gt;=$G$7,D159&lt;=$G$8),1,0)</f>
        <v>#VALUE!</v>
      </c>
      <c r="AG159" s="378" t="e">
        <f aca="false">MONTH(D159)</f>
        <v>#VALUE!</v>
      </c>
      <c r="AH159" s="378" t="e">
        <f aca="false">(EOMONTH(D159,0)-EOMONTH(D159-DAY(D159),0))*AF159</f>
        <v>#VALUE!</v>
      </c>
      <c r="AI159" s="378" t="e">
        <f aca="false">AI158+AH158</f>
        <v>#VALUE!</v>
      </c>
      <c r="AJ159" s="378" t="e">
        <f aca="false">D159-$BV$5</f>
        <v>#VALUE!</v>
      </c>
      <c r="AL159" s="369" t="e">
        <f aca="false">VLOOKUP($D159,CurveTbl,$AK$4)</f>
        <v>#VALUE!</v>
      </c>
      <c r="AM159" s="505" t="e">
        <f aca="false">VLOOKUP($D159,CurveTbl,$AH$3)</f>
        <v>#VALUE!</v>
      </c>
      <c r="AN159" s="505" t="e">
        <f aca="false">VLOOKUP($D159,CurveTbl,$AH$4)+VLOOKUP($AG159,$AL$3:$AS$15,6)</f>
        <v>#VALUE!</v>
      </c>
      <c r="AO159" s="505" t="e">
        <f aca="false">VLOOKUP($D159,CurveTbl,$AH$5)</f>
        <v>#VALUE!</v>
      </c>
      <c r="AP159" s="505" t="e">
        <f aca="false">VLOOKUP($D159,CurveTbl,$AH$6)+VLOOKUP($AG159,$AL$3:$AS$15,7)</f>
        <v>#VALUE!</v>
      </c>
      <c r="AQ159" s="369" t="e">
        <f aca="false">VLOOKUP($AG159,$AL$4:$AS$15,3)+VLOOKUP($AG159,$AL$4:$AS$15,5)+($AH$10*VLOOKUP(D159,GRITable,2))</f>
        <v>#VALUE!</v>
      </c>
      <c r="AR159" s="370" t="e">
        <f aca="false">VLOOKUP($AG159,$AL$4:$AS$15,4)</f>
        <v>#VALUE!</v>
      </c>
      <c r="AS159" s="369" t="e">
        <f aca="false">(AL159+AM159+AN159)</f>
        <v>#VALUE!</v>
      </c>
      <c r="AT159" s="370" t="e">
        <f aca="false">VLOOKUP(D159,CurveTbl,$AK$6)</f>
        <v>#VALUE!</v>
      </c>
      <c r="AU159" s="370" t="e">
        <f aca="false">(1+$AT159/2)^(-2*($D159-$G$5)/365.25)*$AF159</f>
        <v>#VALUE!</v>
      </c>
      <c r="AV159" s="506" t="e">
        <f aca="false">ROUND((F159/(1-AR159))-F159,0)*AF159*AH159*AU159</f>
        <v>#VALUE!</v>
      </c>
      <c r="AW159" s="370" t="e">
        <f aca="false">VLOOKUP($D159,CurveTbl,$AK$8)</f>
        <v>#VALUE!</v>
      </c>
      <c r="AX159" s="370" t="e">
        <f aca="false">VLOOKUP($D159,CurveTbl,$AH$7)</f>
        <v>#VALUE!</v>
      </c>
      <c r="AY159" s="370" t="e">
        <f aca="false">VLOOKUP($D159,CurveTbl,$AH$8)</f>
        <v>#VALUE!</v>
      </c>
      <c r="AZ159" s="370"/>
      <c r="BA159" s="507"/>
      <c r="BB159" s="505" t="e">
        <f aca="false">$H159-$BV159</f>
        <v>#VALUE!</v>
      </c>
      <c r="BC159" s="505" t="e">
        <f aca="false">I159-BW159</f>
        <v>#VALUE!</v>
      </c>
      <c r="BD159" s="370" t="e">
        <f aca="false">N159-BX159</f>
        <v>#VALUE!</v>
      </c>
      <c r="BE159" s="370" t="e">
        <f aca="false">O159-BY159</f>
        <v>#VALUE!</v>
      </c>
      <c r="BF159" s="370" t="e">
        <f aca="false">xSPRDOPT($BW159,$BV159,$CG159,0,$BY159,$BX159,$BZ159,$AJ159,1,4)*$CB159</f>
        <v>#NAME?</v>
      </c>
      <c r="BG159" s="370" t="e">
        <f aca="false">xSPRDOPT($BW159,$BV159,$CG159,0,$BY159,$BX159,$BZ159,$AJ159,1,3)*$CB159</f>
        <v>#NAME?</v>
      </c>
      <c r="BH159" s="370" t="e">
        <f aca="false">IF(OR(BF159&lt;&gt;0,BG159&lt;&gt;0),xSPRDOPT($BW159,$BV159,$CG159,0,$BY159,$BX159,$BZ159,$AJ159,1,12)*$CB159,0)</f>
        <v>#NAME?</v>
      </c>
      <c r="BI159" s="370" t="e">
        <f aca="false">xSPRDOPT($BW159,$BV159,$CG159,2*LN(1+CA159/2),$BY159,$BX159,$BZ159,$AJ159,1,9)</f>
        <v>#NAME?</v>
      </c>
      <c r="BJ159" s="370" t="e">
        <f aca="false">xSPRDOPT($BW159,$BV159,$CG159,0,$BY159,$BX159,$BZ159,$AJ159,1,6)*$CB159</f>
        <v>#NAME?</v>
      </c>
      <c r="BK159" s="370" t="e">
        <f aca="false">xSPRDOPT($BW159,$BV159,$CG159,0,$BY159,$BX159,$BZ159,$AJ159,1,5)*$CB159</f>
        <v>#NAME?</v>
      </c>
      <c r="BL159" s="370" t="e">
        <f aca="false">xSPRDOPT(BW159,BV159,CG159,0,BY159,BX159,BZ159,AJ159,1,2)*CB159</f>
        <v>#NAME?</v>
      </c>
      <c r="BM159" s="370" t="e">
        <f aca="false">xSPRDOPT(BW159,BV159,CG159,0,BY159,BX159,BZ159,AJ159,1,1)*CB159</f>
        <v>#NAME?</v>
      </c>
      <c r="BN159" s="370" t="e">
        <f aca="false">IF(AH159&lt;&gt;0,xSPRDOPT($BW159,$BV159,$CG159,2*LN(1+CA159/2),$BY159,$BX159,$BZ159,$AJ159,1,8)+(AJ159/365.25)*CH159/AH159,0)</f>
        <v>#VALUE!</v>
      </c>
      <c r="BO159" s="370" t="e">
        <f aca="false">xSPRDOPT($BW159,$BV159,$CG159,0,$BY159,$BX159,$BZ159,$AJ159,1,0)</f>
        <v>#NAME?</v>
      </c>
      <c r="BP159" s="370"/>
      <c r="BQ159" s="370"/>
      <c r="BR159" s="370"/>
      <c r="BS159" s="370"/>
      <c r="BV159" s="508" t="n">
        <v>4.07570332480818</v>
      </c>
      <c r="BW159" s="369" t="n">
        <v>4.8045</v>
      </c>
      <c r="BX159" s="370" t="n">
        <v>0.171812993985983</v>
      </c>
      <c r="BY159" s="370" t="n">
        <v>0.171812993985983</v>
      </c>
      <c r="BZ159" s="370" t="n">
        <v>1</v>
      </c>
      <c r="CA159" s="370" t="n">
        <v>0.0626618486531001</v>
      </c>
      <c r="CB159" s="370" t="n">
        <v>0.491812115229747</v>
      </c>
      <c r="CC159" s="505" t="n">
        <v>0.0195</v>
      </c>
      <c r="CD159" s="505" t="n">
        <v>0.01</v>
      </c>
      <c r="CE159" s="505" t="n">
        <v>0.85</v>
      </c>
      <c r="CF159" s="505" t="n">
        <v>0</v>
      </c>
      <c r="CG159" s="505" t="n">
        <v>0.0364</v>
      </c>
      <c r="CH159" s="505" t="n">
        <v>5.43993380655624</v>
      </c>
      <c r="CI159" s="505" t="n">
        <v>3.9545</v>
      </c>
      <c r="CJ159" s="505"/>
      <c r="CK159" s="505"/>
      <c r="CL159" s="505"/>
      <c r="CM159" s="505"/>
    </row>
    <row r="160" customFormat="false" ht="12.75" hidden="false" customHeight="false" outlineLevel="0" collapsed="false">
      <c r="A160" s="500"/>
      <c r="B160" s="500"/>
      <c r="D160" s="361" t="e">
        <f aca="false">D159+AH159</f>
        <v>#VALUE!</v>
      </c>
      <c r="F160" s="362" t="e">
        <f aca="false">VLOOKUP(AG160,$AL$4:$AS$15,2)</f>
        <v>#VALUE!</v>
      </c>
      <c r="G160" s="362" t="e">
        <f aca="false">F160*$AU160</f>
        <v>#VALUE!</v>
      </c>
      <c r="H160" s="363" t="e">
        <f aca="false">(AL160+AM160+AN160)/(1-(AR160))</f>
        <v>#VALUE!</v>
      </c>
      <c r="I160" s="363" t="e">
        <f aca="false">(AL160+AO160+AP160)</f>
        <v>#VALUE!</v>
      </c>
      <c r="K160" s="363" t="e">
        <f aca="false">MAX(((I160-H160)-AQ160)*AU160*AH160,0)</f>
        <v>#VALUE!</v>
      </c>
      <c r="L160" s="501" t="e">
        <f aca="false">MAX(Q160-K160,0)</f>
        <v>#VALUE!</v>
      </c>
      <c r="N160" s="502" t="e">
        <f aca="false">SQRT(($AX160^2*($AH160/2)+$AW160^2*$AI160)/(($AH160/2)+$AI160))</f>
        <v>#VALUE!</v>
      </c>
      <c r="O160" s="502" t="e">
        <f aca="false">SQRT(($AY160^2*($AH160/2)+$AW160^2*$AI160)/(($AH160/2)+$AI160))</f>
        <v>#VALUE!</v>
      </c>
      <c r="P160" s="371" t="e">
        <f aca="false">(VLOOKUP(AI160,CorrelationTwo,2)*(AW160^2)*AI160+VLOOKUP(D160,CorrelationOne,$AK$9)*AX160*AY160*(AH160/2))/((AI160+(AH160/2))*O160*N160)*AF160</f>
        <v>#VALUE!</v>
      </c>
      <c r="Q160" s="501" t="e">
        <f aca="false">xSPRDOPT(I160,H160,AQ160,0,O160,N160,P160,D160-$G$5,1,0)*AH160*AU160</f>
        <v>#VALUE!</v>
      </c>
      <c r="R160" s="501"/>
      <c r="S160" s="365" t="e">
        <f aca="false">-T160/(1-AR160)</f>
        <v>#VALUE!</v>
      </c>
      <c r="T160" s="365" t="e">
        <f aca="false">xSPRDOPT(I160,H160,AQ160,AT160,O160,N160,P160,D160-$G$5,1,1)*AF160*F160*AH160</f>
        <v>#VALUE!</v>
      </c>
      <c r="U160" s="501"/>
      <c r="V160" s="503" t="e">
        <f aca="false">VLOOKUP($AG160,$AL$4:$AS$15,8)*AH160*AU160</f>
        <v>#VALUE!</v>
      </c>
      <c r="W160" s="503"/>
      <c r="X160" s="504" t="e">
        <f aca="false">((BM160*BC160)+(BL160*BB160))*AH160*F160</f>
        <v>#VALUE!</v>
      </c>
      <c r="Y160" s="504" t="e">
        <f aca="false">($F160*$AH160)*((($BG160/2)*($BC160)^2)+(($BF160/2)*($BB160)^2)+($BH160*$BC160*$BB160))</f>
        <v>#VALUE!</v>
      </c>
      <c r="Z160" s="504" t="e">
        <f aca="false">($BI160*$F160*$AH160*($G$5-$BV$5))/365.25</f>
        <v>#VALUE!</v>
      </c>
      <c r="AA160" s="504" t="e">
        <f aca="false">(($BK160*$BE160)+($BJ160*$BD160))*$F160*$AH160*$AF160</f>
        <v>#VALUE!</v>
      </c>
      <c r="AB160" s="504" t="e">
        <f aca="false">BN160*(AT160-CA160)*F160*AH160</f>
        <v>#VALUE!</v>
      </c>
      <c r="AC160" s="504" t="e">
        <f aca="false">BO160*CB160*F160*AH160*CA160*($G$5-$BV$5)/365.25</f>
        <v>#NAME?</v>
      </c>
      <c r="AF160" s="378" t="e">
        <f aca="false">IF(AND(D160&gt;=$G$7,D160&lt;=$G$8),1,0)</f>
        <v>#VALUE!</v>
      </c>
      <c r="AG160" s="378" t="e">
        <f aca="false">MONTH(D160)</f>
        <v>#VALUE!</v>
      </c>
      <c r="AH160" s="378" t="e">
        <f aca="false">(EOMONTH(D160,0)-EOMONTH(D160-DAY(D160),0))*AF160</f>
        <v>#VALUE!</v>
      </c>
      <c r="AI160" s="378" t="e">
        <f aca="false">AI159+AH159</f>
        <v>#VALUE!</v>
      </c>
      <c r="AJ160" s="378" t="e">
        <f aca="false">D160-$BV$5</f>
        <v>#VALUE!</v>
      </c>
      <c r="AL160" s="369" t="e">
        <f aca="false">VLOOKUP($D160,CurveTbl,$AK$4)</f>
        <v>#VALUE!</v>
      </c>
      <c r="AM160" s="505" t="e">
        <f aca="false">VLOOKUP($D160,CurveTbl,$AH$3)</f>
        <v>#VALUE!</v>
      </c>
      <c r="AN160" s="505" t="e">
        <f aca="false">VLOOKUP($D160,CurveTbl,$AH$4)+VLOOKUP($AG160,$AL$3:$AS$15,6)</f>
        <v>#VALUE!</v>
      </c>
      <c r="AO160" s="505" t="e">
        <f aca="false">VLOOKUP($D160,CurveTbl,$AH$5)</f>
        <v>#VALUE!</v>
      </c>
      <c r="AP160" s="505" t="e">
        <f aca="false">VLOOKUP($D160,CurveTbl,$AH$6)+VLOOKUP($AG160,$AL$3:$AS$15,7)</f>
        <v>#VALUE!</v>
      </c>
      <c r="AQ160" s="369" t="e">
        <f aca="false">VLOOKUP($AG160,$AL$4:$AS$15,3)+VLOOKUP($AG160,$AL$4:$AS$15,5)+($AH$10*VLOOKUP(D160,GRITable,2))</f>
        <v>#VALUE!</v>
      </c>
      <c r="AR160" s="370" t="e">
        <f aca="false">VLOOKUP($AG160,$AL$4:$AS$15,4)</f>
        <v>#VALUE!</v>
      </c>
      <c r="AS160" s="369" t="e">
        <f aca="false">(AL160+AM160+AN160)</f>
        <v>#VALUE!</v>
      </c>
      <c r="AT160" s="370" t="e">
        <f aca="false">VLOOKUP(D160,CurveTbl,$AK$6)</f>
        <v>#VALUE!</v>
      </c>
      <c r="AU160" s="370" t="e">
        <f aca="false">(1+$AT160/2)^(-2*($D160-$G$5)/365.25)*$AF160</f>
        <v>#VALUE!</v>
      </c>
      <c r="AV160" s="506" t="e">
        <f aca="false">ROUND((F160/(1-AR160))-F160,0)*AF160*AH160*AU160</f>
        <v>#VALUE!</v>
      </c>
      <c r="AW160" s="370" t="e">
        <f aca="false">VLOOKUP($D160,CurveTbl,$AK$8)</f>
        <v>#VALUE!</v>
      </c>
      <c r="AX160" s="370" t="e">
        <f aca="false">VLOOKUP($D160,CurveTbl,$AH$7)</f>
        <v>#VALUE!</v>
      </c>
      <c r="AY160" s="370" t="e">
        <f aca="false">VLOOKUP($D160,CurveTbl,$AH$8)</f>
        <v>#VALUE!</v>
      </c>
      <c r="AZ160" s="370"/>
      <c r="BA160" s="507"/>
      <c r="BB160" s="505" t="e">
        <f aca="false">$H160-$BV160</f>
        <v>#VALUE!</v>
      </c>
      <c r="BC160" s="505" t="e">
        <f aca="false">I160-BW160</f>
        <v>#VALUE!</v>
      </c>
      <c r="BD160" s="370" t="e">
        <f aca="false">N160-BX160</f>
        <v>#VALUE!</v>
      </c>
      <c r="BE160" s="370" t="e">
        <f aca="false">O160-BY160</f>
        <v>#VALUE!</v>
      </c>
      <c r="BF160" s="370" t="e">
        <f aca="false">xSPRDOPT($BW160,$BV160,$CG160,0,$BY160,$BX160,$BZ160,$AJ160,1,4)*$CB160</f>
        <v>#NAME?</v>
      </c>
      <c r="BG160" s="370" t="e">
        <f aca="false">xSPRDOPT($BW160,$BV160,$CG160,0,$BY160,$BX160,$BZ160,$AJ160,1,3)*$CB160</f>
        <v>#NAME?</v>
      </c>
      <c r="BH160" s="370" t="e">
        <f aca="false">IF(OR(BF160&lt;&gt;0,BG160&lt;&gt;0),xSPRDOPT($BW160,$BV160,$CG160,0,$BY160,$BX160,$BZ160,$AJ160,1,12)*$CB160,0)</f>
        <v>#NAME?</v>
      </c>
      <c r="BI160" s="370" t="e">
        <f aca="false">xSPRDOPT($BW160,$BV160,$CG160,2*LN(1+CA160/2),$BY160,$BX160,$BZ160,$AJ160,1,9)</f>
        <v>#NAME?</v>
      </c>
      <c r="BJ160" s="370" t="e">
        <f aca="false">xSPRDOPT($BW160,$BV160,$CG160,0,$BY160,$BX160,$BZ160,$AJ160,1,6)*$CB160</f>
        <v>#NAME?</v>
      </c>
      <c r="BK160" s="370" t="e">
        <f aca="false">xSPRDOPT($BW160,$BV160,$CG160,0,$BY160,$BX160,$BZ160,$AJ160,1,5)*$CB160</f>
        <v>#NAME?</v>
      </c>
      <c r="BL160" s="370" t="e">
        <f aca="false">xSPRDOPT(BW160,BV160,CG160,0,BY160,BX160,BZ160,AJ160,1,2)*CB160</f>
        <v>#NAME?</v>
      </c>
      <c r="BM160" s="370" t="e">
        <f aca="false">xSPRDOPT(BW160,BV160,CG160,0,BY160,BX160,BZ160,AJ160,1,1)*CB160</f>
        <v>#NAME?</v>
      </c>
      <c r="BN160" s="370" t="e">
        <f aca="false">IF(AH160&lt;&gt;0,xSPRDOPT($BW160,$BV160,$CG160,2*LN(1+CA160/2),$BY160,$BX160,$BZ160,$AJ160,1,8)+(AJ160/365.25)*CH160/AH160,0)</f>
        <v>#VALUE!</v>
      </c>
      <c r="BO160" s="370" t="e">
        <f aca="false">xSPRDOPT($BW160,$BV160,$CG160,0,$BY160,$BX160,$BZ160,$AJ160,1,0)</f>
        <v>#NAME?</v>
      </c>
      <c r="BP160" s="370"/>
      <c r="BQ160" s="370"/>
      <c r="BR160" s="370"/>
      <c r="BS160" s="370"/>
      <c r="BV160" s="508" t="n">
        <v>4.11662404092072</v>
      </c>
      <c r="BW160" s="369" t="n">
        <v>5.0445</v>
      </c>
      <c r="BX160" s="370" t="n">
        <v>0.172365016054878</v>
      </c>
      <c r="BY160" s="370" t="n">
        <v>0.172365016054878</v>
      </c>
      <c r="BZ160" s="370" t="n">
        <v>1</v>
      </c>
      <c r="CA160" s="370" t="n">
        <v>0.0627010848724203</v>
      </c>
      <c r="CB160" s="370" t="n">
        <v>0.489110427216755</v>
      </c>
      <c r="CC160" s="505" t="n">
        <v>0.0195</v>
      </c>
      <c r="CD160" s="505" t="n">
        <v>0.01</v>
      </c>
      <c r="CE160" s="505" t="n">
        <v>1.05</v>
      </c>
      <c r="CF160" s="505" t="n">
        <v>0</v>
      </c>
      <c r="CG160" s="505" t="n">
        <v>0.0364</v>
      </c>
      <c r="CH160" s="505" t="n">
        <v>5.59038544995935</v>
      </c>
      <c r="CI160" s="505" t="n">
        <v>3.9945</v>
      </c>
      <c r="CJ160" s="505"/>
      <c r="CK160" s="505"/>
      <c r="CL160" s="505"/>
      <c r="CM160" s="505"/>
    </row>
    <row r="161" customFormat="false" ht="12.75" hidden="false" customHeight="false" outlineLevel="0" collapsed="false">
      <c r="A161" s="500"/>
      <c r="B161" s="500"/>
      <c r="D161" s="361" t="e">
        <f aca="false">D160+AH160</f>
        <v>#VALUE!</v>
      </c>
      <c r="F161" s="362" t="e">
        <f aca="false">VLOOKUP(AG161,$AL$4:$AS$15,2)</f>
        <v>#VALUE!</v>
      </c>
      <c r="G161" s="362" t="e">
        <f aca="false">F161*$AU161</f>
        <v>#VALUE!</v>
      </c>
      <c r="H161" s="363" t="e">
        <f aca="false">(AL161+AM161+AN161)/(1-(AR161))</f>
        <v>#VALUE!</v>
      </c>
      <c r="I161" s="363" t="e">
        <f aca="false">(AL161+AO161+AP161)</f>
        <v>#VALUE!</v>
      </c>
      <c r="K161" s="363" t="e">
        <f aca="false">MAX(((I161-H161)-AQ161)*AU161*AH161,0)</f>
        <v>#VALUE!</v>
      </c>
      <c r="L161" s="501" t="e">
        <f aca="false">MAX(Q161-K161,0)</f>
        <v>#VALUE!</v>
      </c>
      <c r="N161" s="502" t="e">
        <f aca="false">SQRT(($AX161^2*($AH161/2)+$AW161^2*$AI161)/(($AH161/2)+$AI161))</f>
        <v>#VALUE!</v>
      </c>
      <c r="O161" s="502" t="e">
        <f aca="false">SQRT(($AY161^2*($AH161/2)+$AW161^2*$AI161)/(($AH161/2)+$AI161))</f>
        <v>#VALUE!</v>
      </c>
      <c r="P161" s="371" t="e">
        <f aca="false">(VLOOKUP(AI161,CorrelationTwo,2)*(AW161^2)*AI161+VLOOKUP(D161,CorrelationOne,$AK$9)*AX161*AY161*(AH161/2))/((AI161+(AH161/2))*O161*N161)*AF161</f>
        <v>#VALUE!</v>
      </c>
      <c r="Q161" s="501" t="e">
        <f aca="false">xSPRDOPT(I161,H161,AQ161,0,O161,N161,P161,D161-$G$5,1,0)*AH161*AU161</f>
        <v>#VALUE!</v>
      </c>
      <c r="R161" s="501"/>
      <c r="S161" s="365" t="e">
        <f aca="false">-T161/(1-AR161)</f>
        <v>#VALUE!</v>
      </c>
      <c r="T161" s="365" t="e">
        <f aca="false">xSPRDOPT(I161,H161,AQ161,AT161,O161,N161,P161,D161-$G$5,1,1)*AF161*F161*AH161</f>
        <v>#VALUE!</v>
      </c>
      <c r="U161" s="501"/>
      <c r="V161" s="503" t="e">
        <f aca="false">VLOOKUP($AG161,$AL$4:$AS$15,8)*AH161*AU161</f>
        <v>#VALUE!</v>
      </c>
      <c r="W161" s="503"/>
      <c r="X161" s="504" t="e">
        <f aca="false">((BM161*BC161)+(BL161*BB161))*AH161*F161</f>
        <v>#VALUE!</v>
      </c>
      <c r="Y161" s="504" t="e">
        <f aca="false">($F161*$AH161)*((($BG161/2)*($BC161)^2)+(($BF161/2)*($BB161)^2)+($BH161*$BC161*$BB161))</f>
        <v>#VALUE!</v>
      </c>
      <c r="Z161" s="504" t="e">
        <f aca="false">($BI161*$F161*$AH161*($G$5-$BV$5))/365.25</f>
        <v>#VALUE!</v>
      </c>
      <c r="AA161" s="504" t="e">
        <f aca="false">(($BK161*$BE161)+($BJ161*$BD161))*$F161*$AH161*$AF161</f>
        <v>#VALUE!</v>
      </c>
      <c r="AB161" s="504" t="e">
        <f aca="false">BN161*(AT161-CA161)*F161*AH161</f>
        <v>#VALUE!</v>
      </c>
      <c r="AC161" s="504" t="e">
        <f aca="false">BO161*CB161*F161*AH161*CA161*($G$5-$BV$5)/365.25</f>
        <v>#NAME?</v>
      </c>
      <c r="AF161" s="378" t="e">
        <f aca="false">IF(AND(D161&gt;=$G$7,D161&lt;=$G$8),1,0)</f>
        <v>#VALUE!</v>
      </c>
      <c r="AG161" s="378" t="e">
        <f aca="false">MONTH(D161)</f>
        <v>#VALUE!</v>
      </c>
      <c r="AH161" s="378" t="e">
        <f aca="false">(EOMONTH(D161,0)-EOMONTH(D161-DAY(D161),0))*AF161</f>
        <v>#VALUE!</v>
      </c>
      <c r="AI161" s="378" t="e">
        <f aca="false">AI160+AH160</f>
        <v>#VALUE!</v>
      </c>
      <c r="AJ161" s="378" t="e">
        <f aca="false">D161-$BV$5</f>
        <v>#VALUE!</v>
      </c>
      <c r="AL161" s="369" t="e">
        <f aca="false">VLOOKUP($D161,CurveTbl,$AK$4)</f>
        <v>#VALUE!</v>
      </c>
      <c r="AM161" s="505" t="e">
        <f aca="false">VLOOKUP($D161,CurveTbl,$AH$3)</f>
        <v>#VALUE!</v>
      </c>
      <c r="AN161" s="505" t="e">
        <f aca="false">VLOOKUP($D161,CurveTbl,$AH$4)+VLOOKUP($AG161,$AL$3:$AS$15,6)</f>
        <v>#VALUE!</v>
      </c>
      <c r="AO161" s="505" t="e">
        <f aca="false">VLOOKUP($D161,CurveTbl,$AH$5)</f>
        <v>#VALUE!</v>
      </c>
      <c r="AP161" s="505" t="e">
        <f aca="false">VLOOKUP($D161,CurveTbl,$AH$6)+VLOOKUP($AG161,$AL$3:$AS$15,7)</f>
        <v>#VALUE!</v>
      </c>
      <c r="AQ161" s="369" t="e">
        <f aca="false">VLOOKUP($AG161,$AL$4:$AS$15,3)+VLOOKUP($AG161,$AL$4:$AS$15,5)+($AH$10*VLOOKUP(D161,GRITable,2))</f>
        <v>#VALUE!</v>
      </c>
      <c r="AR161" s="370" t="e">
        <f aca="false">VLOOKUP($AG161,$AL$4:$AS$15,4)</f>
        <v>#VALUE!</v>
      </c>
      <c r="AS161" s="369" t="e">
        <f aca="false">(AL161+AM161+AN161)</f>
        <v>#VALUE!</v>
      </c>
      <c r="AT161" s="370" t="e">
        <f aca="false">VLOOKUP(D161,CurveTbl,$AK$6)</f>
        <v>#VALUE!</v>
      </c>
      <c r="AU161" s="370" t="e">
        <f aca="false">(1+$AT161/2)^(-2*($D161-$G$5)/365.25)*$AF161</f>
        <v>#VALUE!</v>
      </c>
      <c r="AV161" s="506" t="e">
        <f aca="false">ROUND((F161/(1-AR161))-F161,0)*AF161*AH161*AU161</f>
        <v>#VALUE!</v>
      </c>
      <c r="AW161" s="370" t="e">
        <f aca="false">VLOOKUP($D161,CurveTbl,$AK$8)</f>
        <v>#VALUE!</v>
      </c>
      <c r="AX161" s="370" t="e">
        <f aca="false">VLOOKUP($D161,CurveTbl,$AH$7)</f>
        <v>#VALUE!</v>
      </c>
      <c r="AY161" s="370" t="e">
        <f aca="false">VLOOKUP($D161,CurveTbl,$AH$8)</f>
        <v>#VALUE!</v>
      </c>
      <c r="AZ161" s="370"/>
      <c r="BA161" s="507"/>
      <c r="BB161" s="505" t="e">
        <f aca="false">$H161-$BV161</f>
        <v>#VALUE!</v>
      </c>
      <c r="BC161" s="505" t="e">
        <f aca="false">I161-BW161</f>
        <v>#VALUE!</v>
      </c>
      <c r="BD161" s="370" t="e">
        <f aca="false">N161-BX161</f>
        <v>#VALUE!</v>
      </c>
      <c r="BE161" s="370" t="e">
        <f aca="false">O161-BY161</f>
        <v>#VALUE!</v>
      </c>
      <c r="BF161" s="370" t="e">
        <f aca="false">xSPRDOPT($BW161,$BV161,$CG161,0,$BY161,$BX161,$BZ161,$AJ161,1,4)*$CB161</f>
        <v>#NAME?</v>
      </c>
      <c r="BG161" s="370" t="e">
        <f aca="false">xSPRDOPT($BW161,$BV161,$CG161,0,$BY161,$BX161,$BZ161,$AJ161,1,3)*$CB161</f>
        <v>#NAME?</v>
      </c>
      <c r="BH161" s="370" t="e">
        <f aca="false">IF(OR(BF161&lt;&gt;0,BG161&lt;&gt;0),xSPRDOPT($BW161,$BV161,$CG161,0,$BY161,$BX161,$BZ161,$AJ161,1,12)*$CB161,0)</f>
        <v>#NAME?</v>
      </c>
      <c r="BI161" s="370" t="e">
        <f aca="false">xSPRDOPT($BW161,$BV161,$CG161,2*LN(1+CA161/2),$BY161,$BX161,$BZ161,$AJ161,1,9)</f>
        <v>#NAME?</v>
      </c>
      <c r="BJ161" s="370" t="e">
        <f aca="false">xSPRDOPT($BW161,$BV161,$CG161,0,$BY161,$BX161,$BZ161,$AJ161,1,6)*$CB161</f>
        <v>#NAME?</v>
      </c>
      <c r="BK161" s="370" t="e">
        <f aca="false">xSPRDOPT($BW161,$BV161,$CG161,0,$BY161,$BX161,$BZ161,$AJ161,1,5)*$CB161</f>
        <v>#NAME?</v>
      </c>
      <c r="BL161" s="370" t="e">
        <f aca="false">xSPRDOPT(BW161,BV161,CG161,0,BY161,BX161,BZ161,AJ161,1,2)*CB161</f>
        <v>#NAME?</v>
      </c>
      <c r="BM161" s="370" t="e">
        <f aca="false">xSPRDOPT(BW161,BV161,CG161,0,BY161,BX161,BZ161,AJ161,1,1)*CB161</f>
        <v>#NAME?</v>
      </c>
      <c r="BN161" s="370" t="e">
        <f aca="false">IF(AH161&lt;&gt;0,xSPRDOPT($BW161,$BV161,$CG161,2*LN(1+CA161/2),$BY161,$BX161,$BZ161,$AJ161,1,8)+(AJ161/365.25)*CH161/AH161,0)</f>
        <v>#VALUE!</v>
      </c>
      <c r="BO161" s="370" t="e">
        <f aca="false">xSPRDOPT($BW161,$BV161,$CG161,0,$BY161,$BX161,$BZ161,$AJ161,1,0)</f>
        <v>#NAME?</v>
      </c>
      <c r="BP161" s="370"/>
      <c r="BQ161" s="370"/>
      <c r="BR161" s="370"/>
      <c r="BS161" s="370"/>
      <c r="BV161" s="508" t="n">
        <v>4.15242966751918</v>
      </c>
      <c r="BW161" s="369" t="n">
        <v>5.0845</v>
      </c>
      <c r="BX161" s="370" t="n">
        <v>0.172900768465319</v>
      </c>
      <c r="BY161" s="370" t="n">
        <v>0.172900768465319</v>
      </c>
      <c r="BZ161" s="370" t="n">
        <v>1</v>
      </c>
      <c r="CA161" s="370" t="n">
        <v>0.0627416289662541</v>
      </c>
      <c r="CB161" s="370" t="n">
        <v>0.486331084880579</v>
      </c>
      <c r="CC161" s="505" t="n">
        <v>0.0145</v>
      </c>
      <c r="CD161" s="505" t="n">
        <v>0.01</v>
      </c>
      <c r="CE161" s="505" t="n">
        <v>1.05</v>
      </c>
      <c r="CF161" s="505" t="n">
        <v>0</v>
      </c>
      <c r="CG161" s="505" t="n">
        <v>0.0364</v>
      </c>
      <c r="CH161" s="505" t="n">
        <v>5.55861840085955</v>
      </c>
      <c r="CI161" s="505" t="n">
        <v>4.0345</v>
      </c>
      <c r="CJ161" s="505"/>
      <c r="CK161" s="505"/>
      <c r="CL161" s="505"/>
      <c r="CM161" s="505"/>
    </row>
    <row r="162" customFormat="false" ht="12.75" hidden="false" customHeight="false" outlineLevel="0" collapsed="false">
      <c r="A162" s="500"/>
      <c r="B162" s="500"/>
      <c r="D162" s="361" t="e">
        <f aca="false">D161+AH161</f>
        <v>#VALUE!</v>
      </c>
      <c r="F162" s="362" t="e">
        <f aca="false">VLOOKUP(AG162,$AL$4:$AS$15,2)</f>
        <v>#VALUE!</v>
      </c>
      <c r="G162" s="362" t="e">
        <f aca="false">F162*$AU162</f>
        <v>#VALUE!</v>
      </c>
      <c r="H162" s="363" t="e">
        <f aca="false">(AL162+AM162+AN162)/(1-(AR162))</f>
        <v>#VALUE!</v>
      </c>
      <c r="I162" s="363" t="e">
        <f aca="false">(AL162+AO162+AP162)</f>
        <v>#VALUE!</v>
      </c>
      <c r="K162" s="363" t="e">
        <f aca="false">MAX(((I162-H162)-AQ162)*AU162*AH162,0)</f>
        <v>#VALUE!</v>
      </c>
      <c r="L162" s="501" t="e">
        <f aca="false">MAX(Q162-K162,0)</f>
        <v>#VALUE!</v>
      </c>
      <c r="N162" s="502" t="e">
        <f aca="false">SQRT(($AX162^2*($AH162/2)+$AW162^2*$AI162)/(($AH162/2)+$AI162))</f>
        <v>#VALUE!</v>
      </c>
      <c r="O162" s="502" t="e">
        <f aca="false">SQRT(($AY162^2*($AH162/2)+$AW162^2*$AI162)/(($AH162/2)+$AI162))</f>
        <v>#VALUE!</v>
      </c>
      <c r="P162" s="371" t="e">
        <f aca="false">(VLOOKUP(AI162,CorrelationTwo,2)*(AW162^2)*AI162+VLOOKUP(D162,CorrelationOne,$AK$9)*AX162*AY162*(AH162/2))/((AI162+(AH162/2))*O162*N162)*AF162</f>
        <v>#VALUE!</v>
      </c>
      <c r="Q162" s="501" t="e">
        <f aca="false">xSPRDOPT(I162,H162,AQ162,0,O162,N162,P162,D162-$G$5,1,0)*AH162*AU162</f>
        <v>#VALUE!</v>
      </c>
      <c r="R162" s="501"/>
      <c r="S162" s="365" t="e">
        <f aca="false">-T162/(1-AR162)</f>
        <v>#VALUE!</v>
      </c>
      <c r="T162" s="365" t="e">
        <f aca="false">xSPRDOPT(I162,H162,AQ162,AT162,O162,N162,P162,D162-$G$5,1,1)*AF162*F162*AH162</f>
        <v>#VALUE!</v>
      </c>
      <c r="U162" s="501"/>
      <c r="V162" s="503" t="e">
        <f aca="false">VLOOKUP($AG162,$AL$4:$AS$15,8)*AH162*AU162</f>
        <v>#VALUE!</v>
      </c>
      <c r="W162" s="503"/>
      <c r="X162" s="504" t="e">
        <f aca="false">((BM162*BC162)+(BL162*BB162))*AH162*F162</f>
        <v>#VALUE!</v>
      </c>
      <c r="Y162" s="504" t="e">
        <f aca="false">($F162*$AH162)*((($BG162/2)*($BC162)^2)+(($BF162/2)*($BB162)^2)+($BH162*$BC162*$BB162))</f>
        <v>#VALUE!</v>
      </c>
      <c r="Z162" s="504" t="e">
        <f aca="false">($BI162*$F162*$AH162*($G$5-$BV$5))/365.25</f>
        <v>#VALUE!</v>
      </c>
      <c r="AA162" s="504" t="e">
        <f aca="false">(($BK162*$BE162)+($BJ162*$BD162))*$F162*$AH162*$AF162</f>
        <v>#VALUE!</v>
      </c>
      <c r="AB162" s="504" t="e">
        <f aca="false">BN162*(AT162-CA162)*F162*AH162</f>
        <v>#VALUE!</v>
      </c>
      <c r="AC162" s="504" t="e">
        <f aca="false">BO162*CB162*F162*AH162*CA162*($G$5-$BV$5)/365.25</f>
        <v>#NAME?</v>
      </c>
      <c r="AF162" s="378" t="e">
        <f aca="false">IF(AND(D162&gt;=$G$7,D162&lt;=$G$8),1,0)</f>
        <v>#VALUE!</v>
      </c>
      <c r="AG162" s="378" t="e">
        <f aca="false">MONTH(D162)</f>
        <v>#VALUE!</v>
      </c>
      <c r="AH162" s="378" t="e">
        <f aca="false">(EOMONTH(D162,0)-EOMONTH(D162-DAY(D162),0))*AF162</f>
        <v>#VALUE!</v>
      </c>
      <c r="AI162" s="378" t="e">
        <f aca="false">AI161+AH161</f>
        <v>#VALUE!</v>
      </c>
      <c r="AJ162" s="378" t="e">
        <f aca="false">D162-$BV$5</f>
        <v>#VALUE!</v>
      </c>
      <c r="AL162" s="369" t="e">
        <f aca="false">VLOOKUP($D162,CurveTbl,$AK$4)</f>
        <v>#VALUE!</v>
      </c>
      <c r="AM162" s="505" t="e">
        <f aca="false">VLOOKUP($D162,CurveTbl,$AH$3)</f>
        <v>#VALUE!</v>
      </c>
      <c r="AN162" s="505" t="e">
        <f aca="false">VLOOKUP($D162,CurveTbl,$AH$4)+VLOOKUP($AG162,$AL$3:$AS$15,6)</f>
        <v>#VALUE!</v>
      </c>
      <c r="AO162" s="505" t="e">
        <f aca="false">VLOOKUP($D162,CurveTbl,$AH$5)</f>
        <v>#VALUE!</v>
      </c>
      <c r="AP162" s="505" t="e">
        <f aca="false">VLOOKUP($D162,CurveTbl,$AH$6)+VLOOKUP($AG162,$AL$3:$AS$15,7)</f>
        <v>#VALUE!</v>
      </c>
      <c r="AQ162" s="369" t="e">
        <f aca="false">VLOOKUP($AG162,$AL$4:$AS$15,3)+VLOOKUP($AG162,$AL$4:$AS$15,5)+($AH$10*VLOOKUP(D162,GRITable,2))</f>
        <v>#VALUE!</v>
      </c>
      <c r="AR162" s="370" t="e">
        <f aca="false">VLOOKUP($AG162,$AL$4:$AS$15,4)</f>
        <v>#VALUE!</v>
      </c>
      <c r="AS162" s="369" t="e">
        <f aca="false">(AL162+AM162+AN162)</f>
        <v>#VALUE!</v>
      </c>
      <c r="AT162" s="370" t="e">
        <f aca="false">VLOOKUP(D162,CurveTbl,$AK$6)</f>
        <v>#VALUE!</v>
      </c>
      <c r="AU162" s="370" t="e">
        <f aca="false">(1+$AT162/2)^(-2*($D162-$G$5)/365.25)*$AF162</f>
        <v>#VALUE!</v>
      </c>
      <c r="AV162" s="506" t="e">
        <f aca="false">ROUND((F162/(1-AR162))-F162,0)*AF162*AH162*AU162</f>
        <v>#VALUE!</v>
      </c>
      <c r="AW162" s="370" t="e">
        <f aca="false">VLOOKUP($D162,CurveTbl,$AK$8)</f>
        <v>#VALUE!</v>
      </c>
      <c r="AX162" s="370" t="e">
        <f aca="false">VLOOKUP($D162,CurveTbl,$AH$7)</f>
        <v>#VALUE!</v>
      </c>
      <c r="AY162" s="370" t="e">
        <f aca="false">VLOOKUP($D162,CurveTbl,$AH$8)</f>
        <v>#VALUE!</v>
      </c>
      <c r="AZ162" s="370"/>
      <c r="BA162" s="507"/>
      <c r="BB162" s="505" t="e">
        <f aca="false">$H162-$BV162</f>
        <v>#VALUE!</v>
      </c>
      <c r="BC162" s="505" t="e">
        <f aca="false">I162-BW162</f>
        <v>#VALUE!</v>
      </c>
      <c r="BD162" s="370" t="e">
        <f aca="false">N162-BX162</f>
        <v>#VALUE!</v>
      </c>
      <c r="BE162" s="370" t="e">
        <f aca="false">O162-BY162</f>
        <v>#VALUE!</v>
      </c>
      <c r="BF162" s="370" t="e">
        <f aca="false">xSPRDOPT($BW162,$BV162,$CG162,0,$BY162,$BX162,$BZ162,$AJ162,1,4)*$CB162</f>
        <v>#NAME?</v>
      </c>
      <c r="BG162" s="370" t="e">
        <f aca="false">xSPRDOPT($BW162,$BV162,$CG162,0,$BY162,$BX162,$BZ162,$AJ162,1,3)*$CB162</f>
        <v>#NAME?</v>
      </c>
      <c r="BH162" s="370" t="e">
        <f aca="false">IF(OR(BF162&lt;&gt;0,BG162&lt;&gt;0),xSPRDOPT($BW162,$BV162,$CG162,0,$BY162,$BX162,$BZ162,$AJ162,1,12)*$CB162,0)</f>
        <v>#NAME?</v>
      </c>
      <c r="BI162" s="370" t="e">
        <f aca="false">xSPRDOPT($BW162,$BV162,$CG162,2*LN(1+CA162/2),$BY162,$BX162,$BZ162,$AJ162,1,9)</f>
        <v>#NAME?</v>
      </c>
      <c r="BJ162" s="370" t="e">
        <f aca="false">xSPRDOPT($BW162,$BV162,$CG162,0,$BY162,$BX162,$BZ162,$AJ162,1,6)*$CB162</f>
        <v>#NAME?</v>
      </c>
      <c r="BK162" s="370" t="e">
        <f aca="false">xSPRDOPT($BW162,$BV162,$CG162,0,$BY162,$BX162,$BZ162,$AJ162,1,5)*$CB162</f>
        <v>#NAME?</v>
      </c>
      <c r="BL162" s="370" t="e">
        <f aca="false">xSPRDOPT(BW162,BV162,CG162,0,BY162,BX162,BZ162,AJ162,1,2)*CB162</f>
        <v>#NAME?</v>
      </c>
      <c r="BM162" s="370" t="e">
        <f aca="false">xSPRDOPT(BW162,BV162,CG162,0,BY162,BX162,BZ162,AJ162,1,1)*CB162</f>
        <v>#NAME?</v>
      </c>
      <c r="BN162" s="370" t="e">
        <f aca="false">IF(AH162&lt;&gt;0,xSPRDOPT($BW162,$BV162,$CG162,2*LN(1+CA162/2),$BY162,$BX162,$BZ162,$AJ162,1,8)+(AJ162/365.25)*CH162/AH162,0)</f>
        <v>#VALUE!</v>
      </c>
      <c r="BO162" s="370" t="e">
        <f aca="false">xSPRDOPT($BW162,$BV162,$CG162,0,$BY162,$BX162,$BZ162,$AJ162,1,0)</f>
        <v>#NAME?</v>
      </c>
      <c r="BP162" s="370"/>
      <c r="BQ162" s="370"/>
      <c r="BR162" s="370"/>
      <c r="BS162" s="370"/>
      <c r="BV162" s="508" t="n">
        <v>4.14731457800512</v>
      </c>
      <c r="BW162" s="369" t="n">
        <v>4.7795</v>
      </c>
      <c r="BX162" s="370" t="n">
        <v>0.172788171506007</v>
      </c>
      <c r="BY162" s="370" t="n">
        <v>0.172788171506007</v>
      </c>
      <c r="BZ162" s="370" t="n">
        <v>1</v>
      </c>
      <c r="CA162" s="370" t="n">
        <v>0.0627821730606333</v>
      </c>
      <c r="CB162" s="370" t="n">
        <v>0.483564313572734</v>
      </c>
      <c r="CC162" s="505" t="n">
        <v>0.0145</v>
      </c>
      <c r="CD162" s="505" t="n">
        <v>0.01</v>
      </c>
      <c r="CE162" s="505" t="n">
        <v>0.75</v>
      </c>
      <c r="CF162" s="505" t="n">
        <v>0</v>
      </c>
      <c r="CG162" s="505" t="n">
        <v>0.0364</v>
      </c>
      <c r="CH162" s="505" t="n">
        <v>5.34870487242801</v>
      </c>
      <c r="CI162" s="505" t="n">
        <v>4.0295</v>
      </c>
      <c r="CJ162" s="505"/>
      <c r="CK162" s="505"/>
      <c r="CL162" s="505"/>
      <c r="CM162" s="505"/>
    </row>
    <row r="163" customFormat="false" ht="12.75" hidden="false" customHeight="false" outlineLevel="0" collapsed="false">
      <c r="A163" s="500"/>
      <c r="B163" s="500"/>
      <c r="D163" s="361" t="e">
        <f aca="false">D162+AH162</f>
        <v>#VALUE!</v>
      </c>
      <c r="F163" s="362" t="e">
        <f aca="false">VLOOKUP(AG163,$AL$4:$AS$15,2)</f>
        <v>#VALUE!</v>
      </c>
      <c r="G163" s="362" t="e">
        <f aca="false">F163*$AU163</f>
        <v>#VALUE!</v>
      </c>
      <c r="H163" s="363" t="e">
        <f aca="false">(AL163+AM163+AN163)/(1-(AR163))</f>
        <v>#VALUE!</v>
      </c>
      <c r="I163" s="363" t="e">
        <f aca="false">(AL163+AO163+AP163)</f>
        <v>#VALUE!</v>
      </c>
      <c r="K163" s="363" t="e">
        <f aca="false">MAX(((I163-H163)-AQ163)*AU163*AH163,0)</f>
        <v>#VALUE!</v>
      </c>
      <c r="L163" s="501" t="e">
        <f aca="false">MAX(Q163-K163,0)</f>
        <v>#VALUE!</v>
      </c>
      <c r="N163" s="502" t="e">
        <f aca="false">SQRT(($AX163^2*($AH163/2)+$AW163^2*$AI163)/(($AH163/2)+$AI163))</f>
        <v>#VALUE!</v>
      </c>
      <c r="O163" s="502" t="e">
        <f aca="false">SQRT(($AY163^2*($AH163/2)+$AW163^2*$AI163)/(($AH163/2)+$AI163))</f>
        <v>#VALUE!</v>
      </c>
      <c r="P163" s="371" t="e">
        <f aca="false">(VLOOKUP(AI163,CorrelationTwo,2)*(AW163^2)*AI163+VLOOKUP(D163,CorrelationOne,$AK$9)*AX163*AY163*(AH163/2))/((AI163+(AH163/2))*O163*N163)*AF163</f>
        <v>#VALUE!</v>
      </c>
      <c r="Q163" s="501" t="e">
        <f aca="false">xSPRDOPT(I163,H163,AQ163,0,O163,N163,P163,D163-$G$5,1,0)*AH163*AU163</f>
        <v>#VALUE!</v>
      </c>
      <c r="R163" s="501"/>
      <c r="S163" s="365" t="e">
        <f aca="false">-T163/(1-AR163)</f>
        <v>#VALUE!</v>
      </c>
      <c r="T163" s="365" t="e">
        <f aca="false">xSPRDOPT(I163,H163,AQ163,AT163,O163,N163,P163,D163-$G$5,1,1)*AF163*F163*AH163</f>
        <v>#VALUE!</v>
      </c>
      <c r="U163" s="501"/>
      <c r="V163" s="503" t="e">
        <f aca="false">VLOOKUP($AG163,$AL$4:$AS$15,8)*AH163*AU163</f>
        <v>#VALUE!</v>
      </c>
      <c r="W163" s="503"/>
      <c r="X163" s="504" t="e">
        <f aca="false">((BM163*BC163)+(BL163*BB163))*AH163*F163</f>
        <v>#VALUE!</v>
      </c>
      <c r="Y163" s="504" t="e">
        <f aca="false">($F163*$AH163)*((($BG163/2)*($BC163)^2)+(($BF163/2)*($BB163)^2)+($BH163*$BC163*$BB163))</f>
        <v>#VALUE!</v>
      </c>
      <c r="Z163" s="504" t="e">
        <f aca="false">($BI163*$F163*$AH163*($G$5-$BV$5))/365.25</f>
        <v>#VALUE!</v>
      </c>
      <c r="AA163" s="504" t="e">
        <f aca="false">(($BK163*$BE163)+($BJ163*$BD163))*$F163*$AH163*$AF163</f>
        <v>#VALUE!</v>
      </c>
      <c r="AB163" s="504" t="e">
        <f aca="false">BN163*(AT163-CA163)*F163*AH163</f>
        <v>#VALUE!</v>
      </c>
      <c r="AC163" s="504" t="e">
        <f aca="false">BO163*CB163*F163*AH163*CA163*($G$5-$BV$5)/365.25</f>
        <v>#NAME?</v>
      </c>
      <c r="AF163" s="378" t="e">
        <f aca="false">IF(AND(D163&gt;=$G$7,D163&lt;=$G$8),1,0)</f>
        <v>#VALUE!</v>
      </c>
      <c r="AG163" s="378" t="e">
        <f aca="false">MONTH(D163)</f>
        <v>#VALUE!</v>
      </c>
      <c r="AH163" s="378" t="e">
        <f aca="false">(EOMONTH(D163,0)-EOMONTH(D163-DAY(D163),0))*AF163</f>
        <v>#VALUE!</v>
      </c>
      <c r="AI163" s="378" t="e">
        <f aca="false">AI162+AH162</f>
        <v>#VALUE!</v>
      </c>
      <c r="AJ163" s="378" t="e">
        <f aca="false">D163-$BV$5</f>
        <v>#VALUE!</v>
      </c>
      <c r="AL163" s="369" t="e">
        <f aca="false">VLOOKUP($D163,CurveTbl,$AK$4)</f>
        <v>#VALUE!</v>
      </c>
      <c r="AM163" s="505" t="e">
        <f aca="false">VLOOKUP($D163,CurveTbl,$AH$3)</f>
        <v>#VALUE!</v>
      </c>
      <c r="AN163" s="505" t="e">
        <f aca="false">VLOOKUP($D163,CurveTbl,$AH$4)+VLOOKUP($AG163,$AL$3:$AS$15,6)</f>
        <v>#VALUE!</v>
      </c>
      <c r="AO163" s="505" t="e">
        <f aca="false">VLOOKUP($D163,CurveTbl,$AH$5)</f>
        <v>#VALUE!</v>
      </c>
      <c r="AP163" s="505" t="e">
        <f aca="false">VLOOKUP($D163,CurveTbl,$AH$6)+VLOOKUP($AG163,$AL$3:$AS$15,7)</f>
        <v>#VALUE!</v>
      </c>
      <c r="AQ163" s="369" t="e">
        <f aca="false">VLOOKUP($AG163,$AL$4:$AS$15,3)+VLOOKUP($AG163,$AL$4:$AS$15,5)+($AH$10*VLOOKUP(D163,GRITable,2))</f>
        <v>#VALUE!</v>
      </c>
      <c r="AR163" s="370" t="e">
        <f aca="false">VLOOKUP($AG163,$AL$4:$AS$15,4)</f>
        <v>#VALUE!</v>
      </c>
      <c r="AS163" s="369" t="e">
        <f aca="false">(AL163+AM163+AN163)</f>
        <v>#VALUE!</v>
      </c>
      <c r="AT163" s="370" t="e">
        <f aca="false">VLOOKUP(D163,CurveTbl,$AK$6)</f>
        <v>#VALUE!</v>
      </c>
      <c r="AU163" s="370" t="e">
        <f aca="false">(1+$AT163/2)^(-2*($D163-$G$5)/365.25)*$AF163</f>
        <v>#VALUE!</v>
      </c>
      <c r="AV163" s="506" t="e">
        <f aca="false">ROUND((F163/(1-AR163))-F163,0)*AF163*AH163*AU163</f>
        <v>#VALUE!</v>
      </c>
      <c r="AW163" s="370" t="e">
        <f aca="false">VLOOKUP($D163,CurveTbl,$AK$8)</f>
        <v>#VALUE!</v>
      </c>
      <c r="AX163" s="370" t="e">
        <f aca="false">VLOOKUP($D163,CurveTbl,$AH$7)</f>
        <v>#VALUE!</v>
      </c>
      <c r="AY163" s="370" t="e">
        <f aca="false">VLOOKUP($D163,CurveTbl,$AH$8)</f>
        <v>#VALUE!</v>
      </c>
      <c r="AZ163" s="370"/>
      <c r="BA163" s="507"/>
      <c r="BB163" s="505" t="e">
        <f aca="false">$H163-$BV163</f>
        <v>#VALUE!</v>
      </c>
      <c r="BC163" s="505" t="e">
        <f aca="false">I163-BW163</f>
        <v>#VALUE!</v>
      </c>
      <c r="BD163" s="370" t="e">
        <f aca="false">N163-BX163</f>
        <v>#VALUE!</v>
      </c>
      <c r="BE163" s="370" t="e">
        <f aca="false">O163-BY163</f>
        <v>#VALUE!</v>
      </c>
      <c r="BF163" s="370" t="e">
        <f aca="false">xSPRDOPT($BW163,$BV163,$CG163,0,$BY163,$BX163,$BZ163,$AJ163,1,4)*$CB163</f>
        <v>#NAME?</v>
      </c>
      <c r="BG163" s="370" t="e">
        <f aca="false">xSPRDOPT($BW163,$BV163,$CG163,0,$BY163,$BX163,$BZ163,$AJ163,1,3)*$CB163</f>
        <v>#NAME?</v>
      </c>
      <c r="BH163" s="370" t="e">
        <f aca="false">IF(OR(BF163&lt;&gt;0,BG163&lt;&gt;0),xSPRDOPT($BW163,$BV163,$CG163,0,$BY163,$BX163,$BZ163,$AJ163,1,12)*$CB163,0)</f>
        <v>#NAME?</v>
      </c>
      <c r="BI163" s="370" t="e">
        <f aca="false">xSPRDOPT($BW163,$BV163,$CG163,2*LN(1+CA163/2),$BY163,$BX163,$BZ163,$AJ163,1,9)</f>
        <v>#NAME?</v>
      </c>
      <c r="BJ163" s="370" t="e">
        <f aca="false">xSPRDOPT($BW163,$BV163,$CG163,0,$BY163,$BX163,$BZ163,$AJ163,1,6)*$CB163</f>
        <v>#NAME?</v>
      </c>
      <c r="BK163" s="370" t="e">
        <f aca="false">xSPRDOPT($BW163,$BV163,$CG163,0,$BY163,$BX163,$BZ163,$AJ163,1,5)*$CB163</f>
        <v>#NAME?</v>
      </c>
      <c r="BL163" s="370" t="e">
        <f aca="false">xSPRDOPT(BW163,BV163,CG163,0,BY163,BX163,BZ163,AJ163,1,2)*CB163</f>
        <v>#NAME?</v>
      </c>
      <c r="BM163" s="370" t="e">
        <f aca="false">xSPRDOPT(BW163,BV163,CG163,0,BY163,BX163,BZ163,AJ163,1,1)*CB163</f>
        <v>#NAME?</v>
      </c>
      <c r="BN163" s="370" t="e">
        <f aca="false">IF(AH163&lt;&gt;0,xSPRDOPT($BW163,$BV163,$CG163,2*LN(1+CA163/2),$BY163,$BX163,$BZ163,$AJ163,1,8)+(AJ163/365.25)*CH163/AH163,0)</f>
        <v>#VALUE!</v>
      </c>
      <c r="BO163" s="370" t="e">
        <f aca="false">xSPRDOPT($BW163,$BV163,$CG163,0,$BY163,$BX163,$BZ163,$AJ163,1,0)</f>
        <v>#NAME?</v>
      </c>
      <c r="BP163" s="370"/>
      <c r="BQ163" s="370"/>
      <c r="BR163" s="370"/>
      <c r="BS163" s="370"/>
      <c r="BV163" s="508" t="n">
        <v>4.18102564102564</v>
      </c>
      <c r="BW163" s="369" t="n">
        <v>4.5045</v>
      </c>
      <c r="BX163" s="370" t="n">
        <v>0.173455292082007</v>
      </c>
      <c r="BY163" s="370" t="n">
        <v>0.173455292082007</v>
      </c>
      <c r="BZ163" s="370" t="n">
        <v>1</v>
      </c>
      <c r="CA163" s="370" t="n">
        <v>0.0628214092815202</v>
      </c>
      <c r="CB163" s="370" t="n">
        <v>0.480898729606307</v>
      </c>
      <c r="CC163" s="505" t="n">
        <v>0.012</v>
      </c>
      <c r="CD163" s="505" t="n">
        <v>0.01</v>
      </c>
      <c r="CE163" s="505" t="n">
        <v>0.45</v>
      </c>
      <c r="CF163" s="505" t="n">
        <v>0</v>
      </c>
      <c r="CG163" s="505" t="n">
        <v>0.0364</v>
      </c>
      <c r="CH163" s="505" t="n">
        <v>5.4965282097812</v>
      </c>
      <c r="CI163" s="505" t="n">
        <v>4.0545</v>
      </c>
      <c r="CJ163" s="505"/>
      <c r="CK163" s="505"/>
      <c r="CL163" s="505"/>
      <c r="CM163" s="505"/>
    </row>
    <row r="164" customFormat="false" ht="12.75" hidden="false" customHeight="false" outlineLevel="0" collapsed="false">
      <c r="A164" s="500"/>
      <c r="B164" s="500"/>
      <c r="D164" s="361" t="e">
        <f aca="false">D163+AH163</f>
        <v>#VALUE!</v>
      </c>
      <c r="F164" s="362" t="e">
        <f aca="false">VLOOKUP(AG164,$AL$4:$AS$15,2)</f>
        <v>#VALUE!</v>
      </c>
      <c r="G164" s="362" t="e">
        <f aca="false">F164*$AU164</f>
        <v>#VALUE!</v>
      </c>
      <c r="H164" s="363" t="e">
        <f aca="false">(AL164+AM164+AN164)/(1-(AR164))</f>
        <v>#VALUE!</v>
      </c>
      <c r="I164" s="363" t="e">
        <f aca="false">(AL164+AO164+AP164)</f>
        <v>#VALUE!</v>
      </c>
      <c r="K164" s="363" t="e">
        <f aca="false">MAX(((I164-H164)-AQ164)*AU164*AH164,0)</f>
        <v>#VALUE!</v>
      </c>
      <c r="L164" s="501" t="e">
        <f aca="false">MAX(Q164-K164,0)</f>
        <v>#VALUE!</v>
      </c>
      <c r="N164" s="502" t="e">
        <f aca="false">SQRT(($AX164^2*($AH164/2)+$AW164^2*$AI164)/(($AH164/2)+$AI164))</f>
        <v>#VALUE!</v>
      </c>
      <c r="O164" s="502" t="e">
        <f aca="false">SQRT(($AY164^2*($AH164/2)+$AW164^2*$AI164)/(($AH164/2)+$AI164))</f>
        <v>#VALUE!</v>
      </c>
      <c r="P164" s="371" t="e">
        <f aca="false">(VLOOKUP(AI164,CorrelationTwo,2)*(AW164^2)*AI164+VLOOKUP(D164,CorrelationOne,$AK$9)*AX164*AY164*(AH164/2))/((AI164+(AH164/2))*O164*N164)*AF164</f>
        <v>#VALUE!</v>
      </c>
      <c r="Q164" s="501" t="e">
        <f aca="false">xSPRDOPT(I164,H164,AQ164,0,O164,N164,P164,D164-$G$5,1,0)*AH164*AU164</f>
        <v>#VALUE!</v>
      </c>
      <c r="R164" s="501"/>
      <c r="S164" s="365" t="e">
        <f aca="false">-T164/(1-AR164)</f>
        <v>#VALUE!</v>
      </c>
      <c r="T164" s="365" t="e">
        <f aca="false">xSPRDOPT(I164,H164,AQ164,AT164,O164,N164,P164,D164-$G$5,1,1)*AF164*F164*AH164</f>
        <v>#VALUE!</v>
      </c>
      <c r="U164" s="501"/>
      <c r="V164" s="503" t="e">
        <f aca="false">VLOOKUP($AG164,$AL$4:$AS$15,8)*AH164*AU164</f>
        <v>#VALUE!</v>
      </c>
      <c r="W164" s="503"/>
      <c r="X164" s="504" t="e">
        <f aca="false">((BM164*BC164)+(BL164*BB164))*AH164*F164</f>
        <v>#VALUE!</v>
      </c>
      <c r="Y164" s="504" t="e">
        <f aca="false">($F164*$AH164)*((($BG164/2)*($BC164)^2)+(($BF164/2)*($BB164)^2)+($BH164*$BC164*$BB164))</f>
        <v>#VALUE!</v>
      </c>
      <c r="Z164" s="504" t="e">
        <f aca="false">($BI164*$F164*$AH164*($G$5-$BV$5))/365.25</f>
        <v>#VALUE!</v>
      </c>
      <c r="AA164" s="504" t="e">
        <f aca="false">(($BK164*$BE164)+($BJ164*$BD164))*$F164*$AH164*$AF164</f>
        <v>#VALUE!</v>
      </c>
      <c r="AB164" s="504" t="e">
        <f aca="false">BN164*(AT164-CA164)*F164*AH164</f>
        <v>#VALUE!</v>
      </c>
      <c r="AC164" s="504" t="e">
        <f aca="false">BO164*CB164*F164*AH164*CA164*($G$5-$BV$5)/365.25</f>
        <v>#NAME?</v>
      </c>
      <c r="AF164" s="378" t="e">
        <f aca="false">IF(AND(D164&gt;=$G$7,D164&lt;=$G$8),1,0)</f>
        <v>#VALUE!</v>
      </c>
      <c r="AG164" s="378" t="e">
        <f aca="false">MONTH(D164)</f>
        <v>#VALUE!</v>
      </c>
      <c r="AH164" s="378" t="e">
        <f aca="false">(EOMONTH(D164,0)-EOMONTH(D164-DAY(D164),0))*AF164</f>
        <v>#VALUE!</v>
      </c>
      <c r="AI164" s="378" t="e">
        <f aca="false">AI163+AH163</f>
        <v>#VALUE!</v>
      </c>
      <c r="AJ164" s="378" t="e">
        <f aca="false">D164-$BV$5</f>
        <v>#VALUE!</v>
      </c>
      <c r="AL164" s="369" t="e">
        <f aca="false">VLOOKUP($D164,CurveTbl,$AK$4)</f>
        <v>#VALUE!</v>
      </c>
      <c r="AM164" s="505" t="e">
        <f aca="false">VLOOKUP($D164,CurveTbl,$AH$3)</f>
        <v>#VALUE!</v>
      </c>
      <c r="AN164" s="505" t="e">
        <f aca="false">VLOOKUP($D164,CurveTbl,$AH$4)+VLOOKUP($AG164,$AL$3:$AS$15,6)</f>
        <v>#VALUE!</v>
      </c>
      <c r="AO164" s="505" t="e">
        <f aca="false">VLOOKUP($D164,CurveTbl,$AH$5)</f>
        <v>#VALUE!</v>
      </c>
      <c r="AP164" s="505" t="e">
        <f aca="false">VLOOKUP($D164,CurveTbl,$AH$6)+VLOOKUP($AG164,$AL$3:$AS$15,7)</f>
        <v>#VALUE!</v>
      </c>
      <c r="AQ164" s="369" t="e">
        <f aca="false">VLOOKUP($AG164,$AL$4:$AS$15,3)+VLOOKUP($AG164,$AL$4:$AS$15,5)+($AH$10*VLOOKUP(D164,GRITable,2))</f>
        <v>#VALUE!</v>
      </c>
      <c r="AR164" s="370" t="e">
        <f aca="false">VLOOKUP($AG164,$AL$4:$AS$15,4)</f>
        <v>#VALUE!</v>
      </c>
      <c r="AS164" s="369" t="e">
        <f aca="false">(AL164+AM164+AN164)</f>
        <v>#VALUE!</v>
      </c>
      <c r="AT164" s="370" t="e">
        <f aca="false">VLOOKUP(D164,CurveTbl,$AK$6)</f>
        <v>#VALUE!</v>
      </c>
      <c r="AU164" s="370" t="e">
        <f aca="false">(1+$AT164/2)^(-2*($D164-$G$5)/365.25)*$AF164</f>
        <v>#VALUE!</v>
      </c>
      <c r="AV164" s="506" t="e">
        <f aca="false">ROUND((F164/(1-AR164))-F164,0)*AF164*AH164*AU164</f>
        <v>#VALUE!</v>
      </c>
      <c r="AW164" s="370" t="e">
        <f aca="false">VLOOKUP($D164,CurveTbl,$AK$8)</f>
        <v>#VALUE!</v>
      </c>
      <c r="AX164" s="370" t="e">
        <f aca="false">VLOOKUP($D164,CurveTbl,$AH$7)</f>
        <v>#VALUE!</v>
      </c>
      <c r="AY164" s="370" t="e">
        <f aca="false">VLOOKUP($D164,CurveTbl,$AH$8)</f>
        <v>#VALUE!</v>
      </c>
      <c r="AZ164" s="370"/>
      <c r="BA164" s="507"/>
      <c r="BB164" s="505" t="e">
        <f aca="false">$H164-$BV164</f>
        <v>#VALUE!</v>
      </c>
      <c r="BC164" s="505" t="e">
        <f aca="false">I164-BW164</f>
        <v>#VALUE!</v>
      </c>
      <c r="BD164" s="370" t="e">
        <f aca="false">N164-BX164</f>
        <v>#VALUE!</v>
      </c>
      <c r="BE164" s="370" t="e">
        <f aca="false">O164-BY164</f>
        <v>#VALUE!</v>
      </c>
      <c r="BF164" s="370" t="e">
        <f aca="false">xSPRDOPT($BW164,$BV164,$CG164,0,$BY164,$BX164,$BZ164,$AJ164,1,4)*$CB164</f>
        <v>#NAME?</v>
      </c>
      <c r="BG164" s="370" t="e">
        <f aca="false">xSPRDOPT($BW164,$BV164,$CG164,0,$BY164,$BX164,$BZ164,$AJ164,1,3)*$CB164</f>
        <v>#NAME?</v>
      </c>
      <c r="BH164" s="370" t="e">
        <f aca="false">IF(OR(BF164&lt;&gt;0,BG164&lt;&gt;0),xSPRDOPT($BW164,$BV164,$CG164,0,$BY164,$BX164,$BZ164,$AJ164,1,12)*$CB164,0)</f>
        <v>#NAME?</v>
      </c>
      <c r="BI164" s="370" t="e">
        <f aca="false">xSPRDOPT($BW164,$BV164,$CG164,2*LN(1+CA164/2),$BY164,$BX164,$BZ164,$AJ164,1,9)</f>
        <v>#NAME?</v>
      </c>
      <c r="BJ164" s="370" t="e">
        <f aca="false">xSPRDOPT($BW164,$BV164,$CG164,0,$BY164,$BX164,$BZ164,$AJ164,1,6)*$CB164</f>
        <v>#NAME?</v>
      </c>
      <c r="BK164" s="370" t="e">
        <f aca="false">xSPRDOPT($BW164,$BV164,$CG164,0,$BY164,$BX164,$BZ164,$AJ164,1,5)*$CB164</f>
        <v>#NAME?</v>
      </c>
      <c r="BL164" s="370" t="e">
        <f aca="false">xSPRDOPT(BW164,BV164,CG164,0,BY164,BX164,BZ164,AJ164,1,2)*CB164</f>
        <v>#NAME?</v>
      </c>
      <c r="BM164" s="370" t="e">
        <f aca="false">xSPRDOPT(BW164,BV164,CG164,0,BY164,BX164,BZ164,AJ164,1,1)*CB164</f>
        <v>#NAME?</v>
      </c>
      <c r="BN164" s="370" t="e">
        <f aca="false">IF(AH164&lt;&gt;0,xSPRDOPT($BW164,$BV164,$CG164,2*LN(1+CA164/2),$BY164,$BX164,$BZ164,$AJ164,1,8)+(AJ164/365.25)*CH164/AH164,0)</f>
        <v>#VALUE!</v>
      </c>
      <c r="BO164" s="370" t="e">
        <f aca="false">xSPRDOPT($BW164,$BV164,$CG164,0,$BY164,$BX164,$BZ164,$AJ164,1,0)</f>
        <v>#NAME?</v>
      </c>
      <c r="BP164" s="370"/>
      <c r="BQ164" s="370"/>
      <c r="BR164" s="370"/>
      <c r="BS164" s="370"/>
      <c r="BV164" s="508" t="n">
        <v>4.32429667519182</v>
      </c>
      <c r="BW164" s="369" t="n">
        <v>4.6565</v>
      </c>
      <c r="BX164" s="370" t="n">
        <v>0.176081861767838</v>
      </c>
      <c r="BY164" s="370" t="n">
        <v>0.176081861767838</v>
      </c>
      <c r="BZ164" s="370" t="n">
        <v>1</v>
      </c>
      <c r="CA164" s="370" t="n">
        <v>0.0628619533769728</v>
      </c>
      <c r="CB164" s="370" t="n">
        <v>0.478156593603868</v>
      </c>
      <c r="CC164" s="505" t="n">
        <v>0.013</v>
      </c>
      <c r="CD164" s="505" t="n">
        <v>0.0075</v>
      </c>
      <c r="CE164" s="505" t="n">
        <v>0.45</v>
      </c>
      <c r="CF164" s="505" t="n">
        <v>0</v>
      </c>
      <c r="CG164" s="505" t="n">
        <v>0.0364</v>
      </c>
      <c r="CH164" s="505" t="n">
        <v>5.28889008185238</v>
      </c>
      <c r="CI164" s="505" t="n">
        <v>4.2065</v>
      </c>
      <c r="CJ164" s="505"/>
      <c r="CK164" s="505"/>
      <c r="CL164" s="505"/>
      <c r="CM164" s="505"/>
    </row>
    <row r="165" customFormat="false" ht="12.75" hidden="false" customHeight="false" outlineLevel="0" collapsed="false">
      <c r="A165" s="500"/>
      <c r="B165" s="500"/>
      <c r="D165" s="361" t="e">
        <f aca="false">D164+AH164</f>
        <v>#VALUE!</v>
      </c>
      <c r="F165" s="362" t="e">
        <f aca="false">VLOOKUP(AG165,$AL$4:$AS$15,2)</f>
        <v>#VALUE!</v>
      </c>
      <c r="G165" s="362" t="e">
        <f aca="false">F165*$AU165</f>
        <v>#VALUE!</v>
      </c>
      <c r="H165" s="363" t="e">
        <f aca="false">(AL165+AM165+AN165)/(1-(AR165))</f>
        <v>#VALUE!</v>
      </c>
      <c r="I165" s="363" t="e">
        <f aca="false">(AL165+AO165+AP165)</f>
        <v>#VALUE!</v>
      </c>
      <c r="K165" s="363" t="e">
        <f aca="false">MAX(((I165-H165)-AQ165)*AU165*AH165,0)</f>
        <v>#VALUE!</v>
      </c>
      <c r="L165" s="501" t="e">
        <f aca="false">MAX(Q165-K165,0)</f>
        <v>#VALUE!</v>
      </c>
      <c r="N165" s="502" t="e">
        <f aca="false">SQRT(($AX165^2*($AH165/2)+$AW165^2*$AI165)/(($AH165/2)+$AI165))</f>
        <v>#VALUE!</v>
      </c>
      <c r="O165" s="502" t="e">
        <f aca="false">SQRT(($AY165^2*($AH165/2)+$AW165^2*$AI165)/(($AH165/2)+$AI165))</f>
        <v>#VALUE!</v>
      </c>
      <c r="P165" s="371" t="e">
        <f aca="false">(VLOOKUP(AI165,CorrelationTwo,2)*(AW165^2)*AI165+VLOOKUP(D165,CorrelationOne,$AK$9)*AX165*AY165*(AH165/2))/((AI165+(AH165/2))*O165*N165)*AF165</f>
        <v>#VALUE!</v>
      </c>
      <c r="Q165" s="501" t="e">
        <f aca="false">xSPRDOPT(I165,H165,AQ165,0,O165,N165,P165,D165-$G$5,1,0)*AH165*AU165</f>
        <v>#VALUE!</v>
      </c>
      <c r="R165" s="501"/>
      <c r="S165" s="365" t="e">
        <f aca="false">-T165/(1-AR165)</f>
        <v>#VALUE!</v>
      </c>
      <c r="T165" s="365" t="e">
        <f aca="false">xSPRDOPT(I165,H165,AQ165,AT165,O165,N165,P165,D165-$G$5,1,1)*AF165*F165*AH165</f>
        <v>#VALUE!</v>
      </c>
      <c r="U165" s="501"/>
      <c r="V165" s="503" t="e">
        <f aca="false">VLOOKUP($AG165,$AL$4:$AS$15,8)*AH165*AU165</f>
        <v>#VALUE!</v>
      </c>
      <c r="W165" s="503"/>
      <c r="X165" s="504" t="e">
        <f aca="false">((BM165*BC165)+(BL165*BB165))*AH165*F165</f>
        <v>#VALUE!</v>
      </c>
      <c r="Y165" s="504" t="e">
        <f aca="false">($F165*$AH165)*((($BG165/2)*($BC165)^2)+(($BF165/2)*($BB165)^2)+($BH165*$BC165*$BB165))</f>
        <v>#VALUE!</v>
      </c>
      <c r="Z165" s="504" t="e">
        <f aca="false">($BI165*$F165*$AH165*($G$5-$BV$5))/365.25</f>
        <v>#VALUE!</v>
      </c>
      <c r="AA165" s="504" t="e">
        <f aca="false">(($BK165*$BE165)+($BJ165*$BD165))*$F165*$AH165*$AF165</f>
        <v>#VALUE!</v>
      </c>
      <c r="AB165" s="504" t="e">
        <f aca="false">BN165*(AT165-CA165)*F165*AH165</f>
        <v>#VALUE!</v>
      </c>
      <c r="AC165" s="504" t="e">
        <f aca="false">BO165*CB165*F165*AH165*CA165*($G$5-$BV$5)/365.25</f>
        <v>#NAME?</v>
      </c>
      <c r="AF165" s="378" t="e">
        <f aca="false">IF(AND(D165&gt;=$G$7,D165&lt;=$G$8),1,0)</f>
        <v>#VALUE!</v>
      </c>
      <c r="AG165" s="378" t="e">
        <f aca="false">MONTH(D165)</f>
        <v>#VALUE!</v>
      </c>
      <c r="AH165" s="378" t="e">
        <f aca="false">(EOMONTH(D165,0)-EOMONTH(D165-DAY(D165),0))*AF165</f>
        <v>#VALUE!</v>
      </c>
      <c r="AI165" s="378" t="e">
        <f aca="false">AI164+AH164</f>
        <v>#VALUE!</v>
      </c>
      <c r="AJ165" s="378" t="e">
        <f aca="false">D165-$BV$5</f>
        <v>#VALUE!</v>
      </c>
      <c r="AL165" s="369" t="e">
        <f aca="false">VLOOKUP($D165,CurveTbl,$AK$4)</f>
        <v>#VALUE!</v>
      </c>
      <c r="AM165" s="505" t="e">
        <f aca="false">VLOOKUP($D165,CurveTbl,$AH$3)</f>
        <v>#VALUE!</v>
      </c>
      <c r="AN165" s="505" t="e">
        <f aca="false">VLOOKUP($D165,CurveTbl,$AH$4)+VLOOKUP($AG165,$AL$3:$AS$15,6)</f>
        <v>#VALUE!</v>
      </c>
      <c r="AO165" s="505" t="e">
        <f aca="false">VLOOKUP($D165,CurveTbl,$AH$5)</f>
        <v>#VALUE!</v>
      </c>
      <c r="AP165" s="505" t="e">
        <f aca="false">VLOOKUP($D165,CurveTbl,$AH$6)+VLOOKUP($AG165,$AL$3:$AS$15,7)</f>
        <v>#VALUE!</v>
      </c>
      <c r="AQ165" s="369" t="e">
        <f aca="false">VLOOKUP($AG165,$AL$4:$AS$15,3)+VLOOKUP($AG165,$AL$4:$AS$15,5)+($AH$10*VLOOKUP(D165,GRITable,2))</f>
        <v>#VALUE!</v>
      </c>
      <c r="AR165" s="370" t="e">
        <f aca="false">VLOOKUP($AG165,$AL$4:$AS$15,4)</f>
        <v>#VALUE!</v>
      </c>
      <c r="AS165" s="369" t="e">
        <f aca="false">(AL165+AM165+AN165)</f>
        <v>#VALUE!</v>
      </c>
      <c r="AT165" s="370" t="e">
        <f aca="false">VLOOKUP(D165,CurveTbl,$AK$6)</f>
        <v>#VALUE!</v>
      </c>
      <c r="AU165" s="370" t="e">
        <f aca="false">(1+$AT165/2)^(-2*($D165-$G$5)/365.25)*$AF165</f>
        <v>#VALUE!</v>
      </c>
      <c r="AV165" s="506" t="e">
        <f aca="false">ROUND((F165/(1-AR165))-F165,0)*AF165*AH165*AU165</f>
        <v>#VALUE!</v>
      </c>
      <c r="AW165" s="370" t="e">
        <f aca="false">VLOOKUP($D165,CurveTbl,$AK$8)</f>
        <v>#VALUE!</v>
      </c>
      <c r="AX165" s="370" t="e">
        <f aca="false">VLOOKUP($D165,CurveTbl,$AH$7)</f>
        <v>#VALUE!</v>
      </c>
      <c r="AY165" s="370" t="e">
        <f aca="false">VLOOKUP($D165,CurveTbl,$AH$8)</f>
        <v>#VALUE!</v>
      </c>
      <c r="AZ165" s="370"/>
      <c r="BA165" s="507"/>
      <c r="BB165" s="505" t="e">
        <f aca="false">$H165-$BV165</f>
        <v>#VALUE!</v>
      </c>
      <c r="BC165" s="505" t="e">
        <f aca="false">I165-BW165</f>
        <v>#VALUE!</v>
      </c>
      <c r="BD165" s="370" t="e">
        <f aca="false">N165-BX165</f>
        <v>#VALUE!</v>
      </c>
      <c r="BE165" s="370" t="e">
        <f aca="false">O165-BY165</f>
        <v>#VALUE!</v>
      </c>
      <c r="BF165" s="370" t="e">
        <f aca="false">xSPRDOPT($BW165,$BV165,$CG165,0,$BY165,$BX165,$BZ165,$AJ165,1,4)*$CB165</f>
        <v>#NAME?</v>
      </c>
      <c r="BG165" s="370" t="e">
        <f aca="false">xSPRDOPT($BW165,$BV165,$CG165,0,$BY165,$BX165,$BZ165,$AJ165,1,3)*$CB165</f>
        <v>#NAME?</v>
      </c>
      <c r="BH165" s="370" t="e">
        <f aca="false">IF(OR(BF165&lt;&gt;0,BG165&lt;&gt;0),xSPRDOPT($BW165,$BV165,$CG165,0,$BY165,$BX165,$BZ165,$AJ165,1,12)*$CB165,0)</f>
        <v>#NAME?</v>
      </c>
      <c r="BI165" s="370" t="e">
        <f aca="false">xSPRDOPT($BW165,$BV165,$CG165,2*LN(1+CA165/2),$BY165,$BX165,$BZ165,$AJ165,1,9)</f>
        <v>#NAME?</v>
      </c>
      <c r="BJ165" s="370" t="e">
        <f aca="false">xSPRDOPT($BW165,$BV165,$CG165,0,$BY165,$BX165,$BZ165,$AJ165,1,6)*$CB165</f>
        <v>#NAME?</v>
      </c>
      <c r="BK165" s="370" t="e">
        <f aca="false">xSPRDOPT($BW165,$BV165,$CG165,0,$BY165,$BX165,$BZ165,$AJ165,1,5)*$CB165</f>
        <v>#NAME?</v>
      </c>
      <c r="BL165" s="370" t="e">
        <f aca="false">xSPRDOPT(BW165,BV165,CG165,0,BY165,BX165,BZ165,AJ165,1,2)*CB165</f>
        <v>#NAME?</v>
      </c>
      <c r="BM165" s="370" t="e">
        <f aca="false">xSPRDOPT(BW165,BV165,CG165,0,BY165,BX165,BZ165,AJ165,1,1)*CB165</f>
        <v>#NAME?</v>
      </c>
      <c r="BN165" s="370" t="e">
        <f aca="false">IF(AH165&lt;&gt;0,xSPRDOPT($BW165,$BV165,$CG165,2*LN(1+CA165/2),$BY165,$BX165,$BZ165,$AJ165,1,8)+(AJ165/365.25)*CH165/AH165,0)</f>
        <v>#VALUE!</v>
      </c>
      <c r="BO165" s="370" t="e">
        <f aca="false">xSPRDOPT($BW165,$BV165,$CG165,0,$BY165,$BX165,$BZ165,$AJ165,1,0)</f>
        <v>#NAME?</v>
      </c>
      <c r="BP165" s="370"/>
      <c r="BQ165" s="370"/>
      <c r="BR165" s="370"/>
      <c r="BS165" s="370"/>
      <c r="BV165" s="508" t="n">
        <v>4.47058823529412</v>
      </c>
      <c r="BW165" s="369" t="n">
        <v>4.7495</v>
      </c>
      <c r="BX165" s="370" t="n">
        <v>0.179811654840583</v>
      </c>
      <c r="BY165" s="370" t="n">
        <v>0.179811654840583</v>
      </c>
      <c r="BZ165" s="370" t="n">
        <v>1</v>
      </c>
      <c r="CA165" s="370" t="n">
        <v>0.0629011895988976</v>
      </c>
      <c r="CB165" s="370" t="n">
        <v>0.475514785182261</v>
      </c>
      <c r="CC165" s="505" t="n">
        <v>0.013</v>
      </c>
      <c r="CD165" s="505" t="n">
        <v>0.0075</v>
      </c>
      <c r="CE165" s="505" t="n">
        <v>0.4</v>
      </c>
      <c r="CF165" s="505" t="n">
        <v>0</v>
      </c>
      <c r="CG165" s="505" t="n">
        <v>0.0364</v>
      </c>
      <c r="CH165" s="505" t="n">
        <v>5.43499134019768</v>
      </c>
      <c r="CI165" s="505" t="n">
        <v>4.3495</v>
      </c>
      <c r="CJ165" s="505"/>
      <c r="CK165" s="505"/>
      <c r="CL165" s="505"/>
      <c r="CM165" s="505"/>
    </row>
    <row r="166" customFormat="false" ht="12.75" hidden="false" customHeight="false" outlineLevel="0" collapsed="false">
      <c r="A166" s="500"/>
      <c r="B166" s="500"/>
      <c r="D166" s="361" t="e">
        <f aca="false">D165+AH165</f>
        <v>#VALUE!</v>
      </c>
      <c r="F166" s="362" t="e">
        <f aca="false">VLOOKUP(AG166,$AL$4:$AS$15,2)</f>
        <v>#VALUE!</v>
      </c>
      <c r="G166" s="362" t="e">
        <f aca="false">F166*$AU166</f>
        <v>#VALUE!</v>
      </c>
      <c r="H166" s="363" t="e">
        <f aca="false">(AL166+AM166+AN166)/(1-(AR166))</f>
        <v>#VALUE!</v>
      </c>
      <c r="I166" s="363" t="e">
        <f aca="false">(AL166+AO166+AP166)</f>
        <v>#VALUE!</v>
      </c>
      <c r="K166" s="363" t="e">
        <f aca="false">MAX(((I166-H166)-AQ166)*AU166*AH166,0)</f>
        <v>#VALUE!</v>
      </c>
      <c r="L166" s="501" t="e">
        <f aca="false">MAX(Q166-K166,0)</f>
        <v>#VALUE!</v>
      </c>
      <c r="N166" s="502" t="e">
        <f aca="false">SQRT(($AX166^2*($AH166/2)+$AW166^2*$AI166)/(($AH166/2)+$AI166))</f>
        <v>#VALUE!</v>
      </c>
      <c r="O166" s="502" t="e">
        <f aca="false">SQRT(($AY166^2*($AH166/2)+$AW166^2*$AI166)/(($AH166/2)+$AI166))</f>
        <v>#VALUE!</v>
      </c>
      <c r="P166" s="371" t="e">
        <f aca="false">(VLOOKUP(AI166,CorrelationTwo,2)*(AW166^2)*AI166+VLOOKUP(D166,CorrelationOne,$AK$9)*AX166*AY166*(AH166/2))/((AI166+(AH166/2))*O166*N166)*AF166</f>
        <v>#VALUE!</v>
      </c>
      <c r="Q166" s="501" t="e">
        <f aca="false">xSPRDOPT(I166,H166,AQ166,0,O166,N166,P166,D166-$G$5,1,0)*AH166*AU166</f>
        <v>#VALUE!</v>
      </c>
      <c r="R166" s="501"/>
      <c r="S166" s="365" t="e">
        <f aca="false">-T166/(1-AR166)</f>
        <v>#VALUE!</v>
      </c>
      <c r="T166" s="365" t="e">
        <f aca="false">xSPRDOPT(I166,H166,AQ166,AT166,O166,N166,P166,D166-$G$5,1,1)*AF166*F166*AH166</f>
        <v>#VALUE!</v>
      </c>
      <c r="U166" s="501"/>
      <c r="V166" s="503" t="e">
        <f aca="false">VLOOKUP($AG166,$AL$4:$AS$15,8)*AH166*AU166</f>
        <v>#VALUE!</v>
      </c>
      <c r="W166" s="503"/>
      <c r="X166" s="504" t="e">
        <f aca="false">((BM166*BC166)+(BL166*BB166))*AH166*F166</f>
        <v>#VALUE!</v>
      </c>
      <c r="Y166" s="504" t="e">
        <f aca="false">($F166*$AH166)*((($BG166/2)*($BC166)^2)+(($BF166/2)*($BB166)^2)+($BH166*$BC166*$BB166))</f>
        <v>#VALUE!</v>
      </c>
      <c r="Z166" s="504" t="e">
        <f aca="false">($BI166*$F166*$AH166*($G$5-$BV$5))/365.25</f>
        <v>#VALUE!</v>
      </c>
      <c r="AA166" s="504" t="e">
        <f aca="false">(($BK166*$BE166)+($BJ166*$BD166))*$F166*$AH166*$AF166</f>
        <v>#VALUE!</v>
      </c>
      <c r="AB166" s="504" t="e">
        <f aca="false">BN166*(AT166-CA166)*F166*AH166</f>
        <v>#VALUE!</v>
      </c>
      <c r="AC166" s="504" t="e">
        <f aca="false">BO166*CB166*F166*AH166*CA166*($G$5-$BV$5)/365.25</f>
        <v>#NAME?</v>
      </c>
      <c r="AF166" s="378" t="e">
        <f aca="false">IF(AND(D166&gt;=$G$7,D166&lt;=$G$8),1,0)</f>
        <v>#VALUE!</v>
      </c>
      <c r="AG166" s="378" t="e">
        <f aca="false">MONTH(D166)</f>
        <v>#VALUE!</v>
      </c>
      <c r="AH166" s="378" t="e">
        <f aca="false">(EOMONTH(D166,0)-EOMONTH(D166-DAY(D166),0))*AF166</f>
        <v>#VALUE!</v>
      </c>
      <c r="AI166" s="378" t="e">
        <f aca="false">AI165+AH165</f>
        <v>#VALUE!</v>
      </c>
      <c r="AJ166" s="378" t="e">
        <f aca="false">D166-$BV$5</f>
        <v>#VALUE!</v>
      </c>
      <c r="AL166" s="369" t="e">
        <f aca="false">VLOOKUP($D166,CurveTbl,$AK$4)</f>
        <v>#VALUE!</v>
      </c>
      <c r="AM166" s="505" t="e">
        <f aca="false">VLOOKUP($D166,CurveTbl,$AH$3)</f>
        <v>#VALUE!</v>
      </c>
      <c r="AN166" s="505" t="e">
        <f aca="false">VLOOKUP($D166,CurveTbl,$AH$4)+VLOOKUP($AG166,$AL$3:$AS$15,6)</f>
        <v>#VALUE!</v>
      </c>
      <c r="AO166" s="505" t="e">
        <f aca="false">VLOOKUP($D166,CurveTbl,$AH$5)</f>
        <v>#VALUE!</v>
      </c>
      <c r="AP166" s="505" t="e">
        <f aca="false">VLOOKUP($D166,CurveTbl,$AH$6)+VLOOKUP($AG166,$AL$3:$AS$15,7)</f>
        <v>#VALUE!</v>
      </c>
      <c r="AQ166" s="369" t="e">
        <f aca="false">VLOOKUP($AG166,$AL$4:$AS$15,3)+VLOOKUP($AG166,$AL$4:$AS$15,5)+($AH$10*VLOOKUP(D166,GRITable,2))</f>
        <v>#VALUE!</v>
      </c>
      <c r="AR166" s="370" t="e">
        <f aca="false">VLOOKUP($AG166,$AL$4:$AS$15,4)</f>
        <v>#VALUE!</v>
      </c>
      <c r="AS166" s="369" t="e">
        <f aca="false">(AL166+AM166+AN166)</f>
        <v>#VALUE!</v>
      </c>
      <c r="AT166" s="370" t="e">
        <f aca="false">VLOOKUP(D166,CurveTbl,$AK$6)</f>
        <v>#VALUE!</v>
      </c>
      <c r="AU166" s="370" t="e">
        <f aca="false">(1+$AT166/2)^(-2*($D166-$G$5)/365.25)*$AF166</f>
        <v>#VALUE!</v>
      </c>
      <c r="AV166" s="506" t="e">
        <f aca="false">ROUND((F166/(1-AR166))-F166,0)*AF166*AH166*AU166</f>
        <v>#VALUE!</v>
      </c>
      <c r="AW166" s="370" t="e">
        <f aca="false">VLOOKUP($D166,CurveTbl,$AK$8)</f>
        <v>#VALUE!</v>
      </c>
      <c r="AX166" s="370" t="e">
        <f aca="false">VLOOKUP($D166,CurveTbl,$AH$7)</f>
        <v>#VALUE!</v>
      </c>
      <c r="AY166" s="370" t="e">
        <f aca="false">VLOOKUP($D166,CurveTbl,$AH$8)</f>
        <v>#VALUE!</v>
      </c>
      <c r="AZ166" s="370"/>
      <c r="BA166" s="507"/>
      <c r="BB166" s="505" t="e">
        <f aca="false">$H166-$BV166</f>
        <v>#VALUE!</v>
      </c>
      <c r="BC166" s="505" t="e">
        <f aca="false">I166-BW166</f>
        <v>#VALUE!</v>
      </c>
      <c r="BD166" s="370" t="e">
        <f aca="false">N166-BX166</f>
        <v>#VALUE!</v>
      </c>
      <c r="BE166" s="370" t="e">
        <f aca="false">O166-BY166</f>
        <v>#VALUE!</v>
      </c>
      <c r="BF166" s="370" t="e">
        <f aca="false">xSPRDOPT($BW166,$BV166,$CG166,0,$BY166,$BX166,$BZ166,$AJ166,1,4)*$CB166</f>
        <v>#NAME?</v>
      </c>
      <c r="BG166" s="370" t="e">
        <f aca="false">xSPRDOPT($BW166,$BV166,$CG166,0,$BY166,$BX166,$BZ166,$AJ166,1,3)*$CB166</f>
        <v>#NAME?</v>
      </c>
      <c r="BH166" s="370" t="e">
        <f aca="false">IF(OR(BF166&lt;&gt;0,BG166&lt;&gt;0),xSPRDOPT($BW166,$BV166,$CG166,0,$BY166,$BX166,$BZ166,$AJ166,1,12)*$CB166,0)</f>
        <v>#NAME?</v>
      </c>
      <c r="BI166" s="370" t="e">
        <f aca="false">xSPRDOPT($BW166,$BV166,$CG166,2*LN(1+CA166/2),$BY166,$BX166,$BZ166,$AJ166,1,9)</f>
        <v>#NAME?</v>
      </c>
      <c r="BJ166" s="370" t="e">
        <f aca="false">xSPRDOPT($BW166,$BV166,$CG166,0,$BY166,$BX166,$BZ166,$AJ166,1,6)*$CB166</f>
        <v>#NAME?</v>
      </c>
      <c r="BK166" s="370" t="e">
        <f aca="false">xSPRDOPT($BW166,$BV166,$CG166,0,$BY166,$BX166,$BZ166,$AJ166,1,5)*$CB166</f>
        <v>#NAME?</v>
      </c>
      <c r="BL166" s="370" t="e">
        <f aca="false">xSPRDOPT(BW166,BV166,CG166,0,BY166,BX166,BZ166,AJ166,1,2)*CB166</f>
        <v>#NAME?</v>
      </c>
      <c r="BM166" s="370" t="e">
        <f aca="false">xSPRDOPT(BW166,BV166,CG166,0,BY166,BX166,BZ166,AJ166,1,1)*CB166</f>
        <v>#NAME?</v>
      </c>
      <c r="BN166" s="370" t="e">
        <f aca="false">IF(AH166&lt;&gt;0,xSPRDOPT($BW166,$BV166,$CG166,2*LN(1+CA166/2),$BY166,$BX166,$BZ166,$AJ166,1,8)+(AJ166/365.25)*CH166/AH166,0)</f>
        <v>#VALUE!</v>
      </c>
      <c r="BO166" s="370" t="e">
        <f aca="false">xSPRDOPT($BW166,$BV166,$CG166,0,$BY166,$BX166,$BZ166,$AJ166,1,0)</f>
        <v>#NAME?</v>
      </c>
      <c r="BP166" s="370"/>
      <c r="BQ166" s="370"/>
      <c r="BR166" s="370"/>
      <c r="BS166" s="370"/>
      <c r="BV166" s="508" t="n">
        <v>4.53196930946292</v>
      </c>
      <c r="BW166" s="369" t="n">
        <v>4.7595</v>
      </c>
      <c r="BX166" s="370" t="n">
        <v>0.179744652020049</v>
      </c>
      <c r="BY166" s="370" t="n">
        <v>0.179744652020049</v>
      </c>
      <c r="BZ166" s="370" t="n">
        <v>1</v>
      </c>
      <c r="CA166" s="370" t="n">
        <v>0.0629417336954234</v>
      </c>
      <c r="CB166" s="370" t="n">
        <v>0.472797149899934</v>
      </c>
      <c r="CC166" s="505" t="n">
        <v>0.013</v>
      </c>
      <c r="CD166" s="505" t="n">
        <v>0.0075</v>
      </c>
      <c r="CE166" s="505" t="n">
        <v>0.35</v>
      </c>
      <c r="CF166" s="505" t="n">
        <v>0</v>
      </c>
      <c r="CG166" s="505" t="n">
        <v>0.0364</v>
      </c>
      <c r="CH166" s="505" t="n">
        <v>5.40392958421127</v>
      </c>
      <c r="CI166" s="505" t="n">
        <v>4.4095</v>
      </c>
      <c r="CJ166" s="505"/>
      <c r="CK166" s="505"/>
      <c r="CL166" s="505"/>
      <c r="CM166" s="505"/>
    </row>
    <row r="167" customFormat="false" ht="12.75" hidden="false" customHeight="false" outlineLevel="0" collapsed="false">
      <c r="A167" s="500"/>
      <c r="B167" s="500"/>
      <c r="D167" s="361" t="e">
        <f aca="false">D166+AH166</f>
        <v>#VALUE!</v>
      </c>
      <c r="F167" s="362" t="e">
        <f aca="false">VLOOKUP(AG167,$AL$4:$AS$15,2)</f>
        <v>#VALUE!</v>
      </c>
      <c r="G167" s="362" t="e">
        <f aca="false">F167*$AU167</f>
        <v>#VALUE!</v>
      </c>
      <c r="H167" s="363" t="e">
        <f aca="false">(AL167+AM167+AN167)/(1-(AR167))</f>
        <v>#VALUE!</v>
      </c>
      <c r="I167" s="363" t="e">
        <f aca="false">(AL167+AO167+AP167)</f>
        <v>#VALUE!</v>
      </c>
      <c r="K167" s="363" t="e">
        <f aca="false">MAX(((I167-H167)-AQ167)*AU167*AH167,0)</f>
        <v>#VALUE!</v>
      </c>
      <c r="L167" s="501" t="e">
        <f aca="false">MAX(Q167-K167,0)</f>
        <v>#VALUE!</v>
      </c>
      <c r="N167" s="502" t="e">
        <f aca="false">SQRT(($AX167^2*($AH167/2)+$AW167^2*$AI167)/(($AH167/2)+$AI167))</f>
        <v>#VALUE!</v>
      </c>
      <c r="O167" s="502" t="e">
        <f aca="false">SQRT(($AY167^2*($AH167/2)+$AW167^2*$AI167)/(($AH167/2)+$AI167))</f>
        <v>#VALUE!</v>
      </c>
      <c r="P167" s="371" t="e">
        <f aca="false">(VLOOKUP(AI167,CorrelationTwo,2)*(AW167^2)*AI167+VLOOKUP(D167,CorrelationOne,$AK$9)*AX167*AY167*(AH167/2))/((AI167+(AH167/2))*O167*N167)*AF167</f>
        <v>#VALUE!</v>
      </c>
      <c r="Q167" s="501" t="e">
        <f aca="false">xSPRDOPT(I167,H167,AQ167,0,O167,N167,P167,D167-$G$5,1,0)*AH167*AU167</f>
        <v>#VALUE!</v>
      </c>
      <c r="R167" s="501"/>
      <c r="S167" s="365" t="e">
        <f aca="false">-T167/(1-AR167)</f>
        <v>#VALUE!</v>
      </c>
      <c r="T167" s="365" t="e">
        <f aca="false">xSPRDOPT(I167,H167,AQ167,AT167,O167,N167,P167,D167-$G$5,1,1)*AF167*F167*AH167</f>
        <v>#VALUE!</v>
      </c>
      <c r="U167" s="501"/>
      <c r="V167" s="503" t="e">
        <f aca="false">VLOOKUP($AG167,$AL$4:$AS$15,8)*AH167*AU167</f>
        <v>#VALUE!</v>
      </c>
      <c r="W167" s="503"/>
      <c r="X167" s="504" t="e">
        <f aca="false">((BM167*BC167)+(BL167*BB167))*AH167*F167</f>
        <v>#VALUE!</v>
      </c>
      <c r="Y167" s="504" t="e">
        <f aca="false">($F167*$AH167)*((($BG167/2)*($BC167)^2)+(($BF167/2)*($BB167)^2)+($BH167*$BC167*$BB167))</f>
        <v>#VALUE!</v>
      </c>
      <c r="Z167" s="504" t="e">
        <f aca="false">($BI167*$F167*$AH167*($G$5-$BV$5))/365.25</f>
        <v>#VALUE!</v>
      </c>
      <c r="AA167" s="504" t="e">
        <f aca="false">(($BK167*$BE167)+($BJ167*$BD167))*$F167*$AH167*$AF167</f>
        <v>#VALUE!</v>
      </c>
      <c r="AB167" s="504" t="e">
        <f aca="false">BN167*(AT167-CA167)*F167*AH167</f>
        <v>#VALUE!</v>
      </c>
      <c r="AC167" s="504" t="e">
        <f aca="false">BO167*CB167*F167*AH167*CA167*($G$5-$BV$5)/365.25</f>
        <v>#NAME?</v>
      </c>
      <c r="AF167" s="378" t="e">
        <f aca="false">IF(AND(D167&gt;=$G$7,D167&lt;=$G$8),1,0)</f>
        <v>#VALUE!</v>
      </c>
      <c r="AG167" s="378" t="e">
        <f aca="false">MONTH(D167)</f>
        <v>#VALUE!</v>
      </c>
      <c r="AH167" s="378" t="e">
        <f aca="false">(EOMONTH(D167,0)-EOMONTH(D167-DAY(D167),0))*AF167</f>
        <v>#VALUE!</v>
      </c>
      <c r="AI167" s="378" t="e">
        <f aca="false">AI166+AH166</f>
        <v>#VALUE!</v>
      </c>
      <c r="AJ167" s="378" t="e">
        <f aca="false">D167-$BV$5</f>
        <v>#VALUE!</v>
      </c>
      <c r="AL167" s="369" t="e">
        <f aca="false">VLOOKUP($D167,CurveTbl,$AK$4)</f>
        <v>#VALUE!</v>
      </c>
      <c r="AM167" s="505" t="e">
        <f aca="false">VLOOKUP($D167,CurveTbl,$AH$3)</f>
        <v>#VALUE!</v>
      </c>
      <c r="AN167" s="505" t="e">
        <f aca="false">VLOOKUP($D167,CurveTbl,$AH$4)+VLOOKUP($AG167,$AL$3:$AS$15,6)</f>
        <v>#VALUE!</v>
      </c>
      <c r="AO167" s="505" t="e">
        <f aca="false">VLOOKUP($D167,CurveTbl,$AH$5)</f>
        <v>#VALUE!</v>
      </c>
      <c r="AP167" s="505" t="e">
        <f aca="false">VLOOKUP($D167,CurveTbl,$AH$6)+VLOOKUP($AG167,$AL$3:$AS$15,7)</f>
        <v>#VALUE!</v>
      </c>
      <c r="AQ167" s="369" t="e">
        <f aca="false">VLOOKUP($AG167,$AL$4:$AS$15,3)+VLOOKUP($AG167,$AL$4:$AS$15,5)+($AH$10*VLOOKUP(D167,GRITable,2))</f>
        <v>#VALUE!</v>
      </c>
      <c r="AR167" s="370" t="e">
        <f aca="false">VLOOKUP($AG167,$AL$4:$AS$15,4)</f>
        <v>#VALUE!</v>
      </c>
      <c r="AS167" s="369" t="e">
        <f aca="false">(AL167+AM167+AN167)</f>
        <v>#VALUE!</v>
      </c>
      <c r="AT167" s="370" t="e">
        <f aca="false">VLOOKUP(D167,CurveTbl,$AK$6)</f>
        <v>#VALUE!</v>
      </c>
      <c r="AU167" s="370" t="e">
        <f aca="false">(1+$AT167/2)^(-2*($D167-$G$5)/365.25)*$AF167</f>
        <v>#VALUE!</v>
      </c>
      <c r="AV167" s="506" t="e">
        <f aca="false">ROUND((F167/(1-AR167))-F167,0)*AF167*AH167*AU167</f>
        <v>#VALUE!</v>
      </c>
      <c r="AW167" s="370" t="e">
        <f aca="false">VLOOKUP($D167,CurveTbl,$AK$8)</f>
        <v>#VALUE!</v>
      </c>
      <c r="AX167" s="370" t="e">
        <f aca="false">VLOOKUP($D167,CurveTbl,$AH$7)</f>
        <v>#VALUE!</v>
      </c>
      <c r="AY167" s="370" t="e">
        <f aca="false">VLOOKUP($D167,CurveTbl,$AH$8)</f>
        <v>#VALUE!</v>
      </c>
      <c r="AZ167" s="370"/>
      <c r="BA167" s="507"/>
      <c r="BB167" s="505" t="e">
        <f aca="false">$H167-$BV167</f>
        <v>#VALUE!</v>
      </c>
      <c r="BC167" s="505" t="e">
        <f aca="false">I167-BW167</f>
        <v>#VALUE!</v>
      </c>
      <c r="BD167" s="370" t="e">
        <f aca="false">N167-BX167</f>
        <v>#VALUE!</v>
      </c>
      <c r="BE167" s="370" t="e">
        <f aca="false">O167-BY167</f>
        <v>#VALUE!</v>
      </c>
      <c r="BF167" s="370" t="e">
        <f aca="false">xSPRDOPT($BW167,$BV167,$CG167,0,$BY167,$BX167,$BZ167,$AJ167,1,4)*$CB167</f>
        <v>#NAME?</v>
      </c>
      <c r="BG167" s="370" t="e">
        <f aca="false">xSPRDOPT($BW167,$BV167,$CG167,0,$BY167,$BX167,$BZ167,$AJ167,1,3)*$CB167</f>
        <v>#NAME?</v>
      </c>
      <c r="BH167" s="370" t="e">
        <f aca="false">IF(OR(BF167&lt;&gt;0,BG167&lt;&gt;0),xSPRDOPT($BW167,$BV167,$CG167,0,$BY167,$BX167,$BZ167,$AJ167,1,12)*$CB167,0)</f>
        <v>#NAME?</v>
      </c>
      <c r="BI167" s="370" t="e">
        <f aca="false">xSPRDOPT($BW167,$BV167,$CG167,2*LN(1+CA167/2),$BY167,$BX167,$BZ167,$AJ167,1,9)</f>
        <v>#NAME?</v>
      </c>
      <c r="BJ167" s="370" t="e">
        <f aca="false">xSPRDOPT($BW167,$BV167,$CG167,0,$BY167,$BX167,$BZ167,$AJ167,1,6)*$CB167</f>
        <v>#NAME?</v>
      </c>
      <c r="BK167" s="370" t="e">
        <f aca="false">xSPRDOPT($BW167,$BV167,$CG167,0,$BY167,$BX167,$BZ167,$AJ167,1,5)*$CB167</f>
        <v>#NAME?</v>
      </c>
      <c r="BL167" s="370" t="e">
        <f aca="false">xSPRDOPT(BW167,BV167,CG167,0,BY167,BX167,BZ167,AJ167,1,2)*CB167</f>
        <v>#NAME?</v>
      </c>
      <c r="BM167" s="370" t="e">
        <f aca="false">xSPRDOPT(BW167,BV167,CG167,0,BY167,BX167,BZ167,AJ167,1,1)*CB167</f>
        <v>#NAME?</v>
      </c>
      <c r="BN167" s="370" t="e">
        <f aca="false">IF(AH167&lt;&gt;0,xSPRDOPT($BW167,$BV167,$CG167,2*LN(1+CA167/2),$BY167,$BX167,$BZ167,$AJ167,1,8)+(AJ167/365.25)*CH167/AH167,0)</f>
        <v>#VALUE!</v>
      </c>
      <c r="BO167" s="370" t="e">
        <f aca="false">xSPRDOPT($BW167,$BV167,$CG167,0,$BY167,$BX167,$BZ167,$AJ167,1,0)</f>
        <v>#NAME?</v>
      </c>
      <c r="BP167" s="370"/>
      <c r="BQ167" s="370"/>
      <c r="BR167" s="370"/>
      <c r="BS167" s="370"/>
      <c r="BV167" s="508" t="n">
        <v>4.44501278772379</v>
      </c>
      <c r="BW167" s="369" t="n">
        <v>4.6745</v>
      </c>
      <c r="BX167" s="370" t="n">
        <v>0.178767711673115</v>
      </c>
      <c r="BY167" s="370" t="n">
        <v>0.178767711673115</v>
      </c>
      <c r="BZ167" s="370" t="n">
        <v>1</v>
      </c>
      <c r="CA167" s="370" t="n">
        <v>0.0629822777924947</v>
      </c>
      <c r="CB167" s="370" t="n">
        <v>0.4700919141003</v>
      </c>
      <c r="CC167" s="505" t="n">
        <v>0.013</v>
      </c>
      <c r="CD167" s="505" t="n">
        <v>0.0075</v>
      </c>
      <c r="CE167" s="505" t="n">
        <v>0.35</v>
      </c>
      <c r="CF167" s="505" t="n">
        <v>0</v>
      </c>
      <c r="CG167" s="505" t="n">
        <v>0.0364</v>
      </c>
      <c r="CH167" s="505" t="n">
        <v>4.85304088440585</v>
      </c>
      <c r="CI167" s="505" t="n">
        <v>4.3245</v>
      </c>
      <c r="CJ167" s="505"/>
      <c r="CK167" s="505"/>
      <c r="CL167" s="505"/>
      <c r="CM167" s="505"/>
    </row>
    <row r="168" customFormat="false" ht="12.75" hidden="false" customHeight="false" outlineLevel="0" collapsed="false">
      <c r="A168" s="500"/>
      <c r="B168" s="500"/>
      <c r="D168" s="361" t="e">
        <f aca="false">D167+AH167</f>
        <v>#VALUE!</v>
      </c>
      <c r="F168" s="362" t="e">
        <f aca="false">VLOOKUP(AG168,$AL$4:$AS$15,2)</f>
        <v>#VALUE!</v>
      </c>
      <c r="G168" s="362" t="e">
        <f aca="false">F168*$AU168</f>
        <v>#VALUE!</v>
      </c>
      <c r="H168" s="363" t="e">
        <f aca="false">(AL168+AM168+AN168)/(1-(AR168))</f>
        <v>#VALUE!</v>
      </c>
      <c r="I168" s="363" t="e">
        <f aca="false">(AL168+AO168+AP168)</f>
        <v>#VALUE!</v>
      </c>
      <c r="K168" s="363" t="e">
        <f aca="false">MAX(((I168-H168)-AQ168)*AU168*AH168,0)</f>
        <v>#VALUE!</v>
      </c>
      <c r="L168" s="501" t="e">
        <f aca="false">MAX(Q168-K168,0)</f>
        <v>#VALUE!</v>
      </c>
      <c r="N168" s="502" t="e">
        <f aca="false">SQRT(($AX168^2*($AH168/2)+$AW168^2*$AI168)/(($AH168/2)+$AI168))</f>
        <v>#VALUE!</v>
      </c>
      <c r="O168" s="502" t="e">
        <f aca="false">SQRT(($AY168^2*($AH168/2)+$AW168^2*$AI168)/(($AH168/2)+$AI168))</f>
        <v>#VALUE!</v>
      </c>
      <c r="P168" s="371" t="e">
        <f aca="false">(VLOOKUP(AI168,CorrelationTwo,2)*(AW168^2)*AI168+VLOOKUP(D168,CorrelationOne,$AK$9)*AX168*AY168*(AH168/2))/((AI168+(AH168/2))*O168*N168)*AF168</f>
        <v>#VALUE!</v>
      </c>
      <c r="Q168" s="501" t="e">
        <f aca="false">xSPRDOPT(I168,H168,AQ168,0,O168,N168,P168,D168-$G$5,1,0)*AH168*AU168</f>
        <v>#VALUE!</v>
      </c>
      <c r="R168" s="501"/>
      <c r="S168" s="365" t="e">
        <f aca="false">-T168/(1-AR168)</f>
        <v>#VALUE!</v>
      </c>
      <c r="T168" s="365" t="e">
        <f aca="false">xSPRDOPT(I168,H168,AQ168,AT168,O168,N168,P168,D168-$G$5,1,1)*AF168*F168*AH168</f>
        <v>#VALUE!</v>
      </c>
      <c r="U168" s="501"/>
      <c r="V168" s="503" t="e">
        <f aca="false">VLOOKUP($AG168,$AL$4:$AS$15,8)*AH168*AU168</f>
        <v>#VALUE!</v>
      </c>
      <c r="W168" s="503"/>
      <c r="X168" s="504" t="e">
        <f aca="false">((BM168*BC168)+(BL168*BB168))*AH168*F168</f>
        <v>#VALUE!</v>
      </c>
      <c r="Y168" s="504" t="e">
        <f aca="false">($F168*$AH168)*((($BG168/2)*($BC168)^2)+(($BF168/2)*($BB168)^2)+($BH168*$BC168*$BB168))</f>
        <v>#VALUE!</v>
      </c>
      <c r="Z168" s="504" t="e">
        <f aca="false">($BI168*$F168*$AH168*($G$5-$BV$5))/365.25</f>
        <v>#VALUE!</v>
      </c>
      <c r="AA168" s="504" t="e">
        <f aca="false">(($BK168*$BE168)+($BJ168*$BD168))*$F168*$AH168*$AF168</f>
        <v>#VALUE!</v>
      </c>
      <c r="AB168" s="504" t="e">
        <f aca="false">BN168*(AT168-CA168)*F168*AH168</f>
        <v>#VALUE!</v>
      </c>
      <c r="AC168" s="504" t="e">
        <f aca="false">BO168*CB168*F168*AH168*CA168*($G$5-$BV$5)/365.25</f>
        <v>#NAME?</v>
      </c>
      <c r="AF168" s="378" t="e">
        <f aca="false">IF(AND(D168&gt;=$G$7,D168&lt;=$G$8),1,0)</f>
        <v>#VALUE!</v>
      </c>
      <c r="AG168" s="378" t="e">
        <f aca="false">MONTH(D168)</f>
        <v>#VALUE!</v>
      </c>
      <c r="AH168" s="378" t="e">
        <f aca="false">(EOMONTH(D168,0)-EOMONTH(D168-DAY(D168),0))*AF168</f>
        <v>#VALUE!</v>
      </c>
      <c r="AI168" s="378" t="e">
        <f aca="false">AI167+AH167</f>
        <v>#VALUE!</v>
      </c>
      <c r="AJ168" s="378" t="e">
        <f aca="false">D168-$BV$5</f>
        <v>#VALUE!</v>
      </c>
      <c r="AL168" s="369" t="e">
        <f aca="false">VLOOKUP($D168,CurveTbl,$AK$4)</f>
        <v>#VALUE!</v>
      </c>
      <c r="AM168" s="505" t="e">
        <f aca="false">VLOOKUP($D168,CurveTbl,$AH$3)</f>
        <v>#VALUE!</v>
      </c>
      <c r="AN168" s="505" t="e">
        <f aca="false">VLOOKUP($D168,CurveTbl,$AH$4)+VLOOKUP($AG168,$AL$3:$AS$15,6)</f>
        <v>#VALUE!</v>
      </c>
      <c r="AO168" s="505" t="e">
        <f aca="false">VLOOKUP($D168,CurveTbl,$AH$5)</f>
        <v>#VALUE!</v>
      </c>
      <c r="AP168" s="505" t="e">
        <f aca="false">VLOOKUP($D168,CurveTbl,$AH$6)+VLOOKUP($AG168,$AL$3:$AS$15,7)</f>
        <v>#VALUE!</v>
      </c>
      <c r="AQ168" s="369" t="e">
        <f aca="false">VLOOKUP($AG168,$AL$4:$AS$15,3)+VLOOKUP($AG168,$AL$4:$AS$15,5)+($AH$10*VLOOKUP(D168,GRITable,2))</f>
        <v>#VALUE!</v>
      </c>
      <c r="AR168" s="370" t="e">
        <f aca="false">VLOOKUP($AG168,$AL$4:$AS$15,4)</f>
        <v>#VALUE!</v>
      </c>
      <c r="AS168" s="369" t="e">
        <f aca="false">(AL168+AM168+AN168)</f>
        <v>#VALUE!</v>
      </c>
      <c r="AT168" s="370" t="e">
        <f aca="false">VLOOKUP(D168,CurveTbl,$AK$6)</f>
        <v>#VALUE!</v>
      </c>
      <c r="AU168" s="370" t="e">
        <f aca="false">(1+$AT168/2)^(-2*($D168-$G$5)/365.25)*$AF168</f>
        <v>#VALUE!</v>
      </c>
      <c r="AV168" s="506" t="e">
        <f aca="false">ROUND((F168/(1-AR168))-F168,0)*AF168*AH168*AU168</f>
        <v>#VALUE!</v>
      </c>
      <c r="AW168" s="370" t="e">
        <f aca="false">VLOOKUP($D168,CurveTbl,$AK$8)</f>
        <v>#VALUE!</v>
      </c>
      <c r="AX168" s="370" t="e">
        <f aca="false">VLOOKUP($D168,CurveTbl,$AH$7)</f>
        <v>#VALUE!</v>
      </c>
      <c r="AY168" s="370" t="e">
        <f aca="false">VLOOKUP($D168,CurveTbl,$AH$8)</f>
        <v>#VALUE!</v>
      </c>
      <c r="AZ168" s="370"/>
      <c r="BA168" s="507"/>
      <c r="BB168" s="505" t="e">
        <f aca="false">$H168-$BV168</f>
        <v>#VALUE!</v>
      </c>
      <c r="BC168" s="505" t="e">
        <f aca="false">I168-BW168</f>
        <v>#VALUE!</v>
      </c>
      <c r="BD168" s="370" t="e">
        <f aca="false">N168-BX168</f>
        <v>#VALUE!</v>
      </c>
      <c r="BE168" s="370" t="e">
        <f aca="false">O168-BY168</f>
        <v>#VALUE!</v>
      </c>
      <c r="BF168" s="370" t="e">
        <f aca="false">xSPRDOPT($BW168,$BV168,$CG168,0,$BY168,$BX168,$BZ168,$AJ168,1,4)*$CB168</f>
        <v>#NAME?</v>
      </c>
      <c r="BG168" s="370" t="e">
        <f aca="false">xSPRDOPT($BW168,$BV168,$CG168,0,$BY168,$BX168,$BZ168,$AJ168,1,3)*$CB168</f>
        <v>#NAME?</v>
      </c>
      <c r="BH168" s="370" t="e">
        <f aca="false">IF(OR(BF168&lt;&gt;0,BG168&lt;&gt;0),xSPRDOPT($BW168,$BV168,$CG168,0,$BY168,$BX168,$BZ168,$AJ168,1,12)*$CB168,0)</f>
        <v>#NAME?</v>
      </c>
      <c r="BI168" s="370" t="e">
        <f aca="false">xSPRDOPT($BW168,$BV168,$CG168,2*LN(1+CA168/2),$BY168,$BX168,$BZ168,$AJ168,1,9)</f>
        <v>#NAME?</v>
      </c>
      <c r="BJ168" s="370" t="e">
        <f aca="false">xSPRDOPT($BW168,$BV168,$CG168,0,$BY168,$BX168,$BZ168,$AJ168,1,6)*$CB168</f>
        <v>#NAME?</v>
      </c>
      <c r="BK168" s="370" t="e">
        <f aca="false">xSPRDOPT($BW168,$BV168,$CG168,0,$BY168,$BX168,$BZ168,$AJ168,1,5)*$CB168</f>
        <v>#NAME?</v>
      </c>
      <c r="BL168" s="370" t="e">
        <f aca="false">xSPRDOPT(BW168,BV168,CG168,0,BY168,BX168,BZ168,AJ168,1,2)*CB168</f>
        <v>#NAME?</v>
      </c>
      <c r="BM168" s="370" t="e">
        <f aca="false">xSPRDOPT(BW168,BV168,CG168,0,BY168,BX168,BZ168,AJ168,1,1)*CB168</f>
        <v>#NAME?</v>
      </c>
      <c r="BN168" s="370" t="e">
        <f aca="false">IF(AH168&lt;&gt;0,xSPRDOPT($BW168,$BV168,$CG168,2*LN(1+CA168/2),$BY168,$BX168,$BZ168,$AJ168,1,8)+(AJ168/365.25)*CH168/AH168,0)</f>
        <v>#VALUE!</v>
      </c>
      <c r="BO168" s="370" t="e">
        <f aca="false">xSPRDOPT($BW168,$BV168,$CG168,0,$BY168,$BX168,$BZ168,$AJ168,1,0)</f>
        <v>#NAME?</v>
      </c>
      <c r="BP168" s="370"/>
      <c r="BQ168" s="370"/>
      <c r="BR168" s="370"/>
      <c r="BS168" s="370"/>
      <c r="BV168" s="508" t="n">
        <v>4.31713554987212</v>
      </c>
      <c r="BW168" s="369" t="n">
        <v>4.5945</v>
      </c>
      <c r="BX168" s="370" t="n">
        <v>0.175351124836264</v>
      </c>
      <c r="BY168" s="370" t="n">
        <v>0.175351124836264</v>
      </c>
      <c r="BZ168" s="370" t="n">
        <v>1</v>
      </c>
      <c r="CA168" s="370" t="n">
        <v>0.0630188982677375</v>
      </c>
      <c r="CB168" s="370" t="n">
        <v>0.467659103897256</v>
      </c>
      <c r="CC168" s="505" t="n">
        <v>0.018</v>
      </c>
      <c r="CD168" s="505" t="n">
        <v>0.0075</v>
      </c>
      <c r="CE168" s="505" t="n">
        <v>0.4</v>
      </c>
      <c r="CF168" s="505" t="n">
        <v>0</v>
      </c>
      <c r="CG168" s="505" t="n">
        <v>0.0364</v>
      </c>
      <c r="CH168" s="505" t="n">
        <v>5.34520325981447</v>
      </c>
      <c r="CI168" s="505" t="n">
        <v>4.1945</v>
      </c>
      <c r="CJ168" s="505"/>
      <c r="CK168" s="505"/>
      <c r="CL168" s="505"/>
      <c r="CM168" s="505"/>
    </row>
    <row r="169" customFormat="false" ht="12.75" hidden="false" customHeight="false" outlineLevel="0" collapsed="false">
      <c r="A169" s="500"/>
      <c r="B169" s="500"/>
      <c r="D169" s="361" t="e">
        <f aca="false">D168+AH168</f>
        <v>#VALUE!</v>
      </c>
      <c r="F169" s="362" t="e">
        <f aca="false">VLOOKUP(AG169,$AL$4:$AS$15,2)</f>
        <v>#VALUE!</v>
      </c>
      <c r="G169" s="362" t="e">
        <f aca="false">F169*$AU169</f>
        <v>#VALUE!</v>
      </c>
      <c r="H169" s="363" t="e">
        <f aca="false">(AL169+AM169+AN169)/(1-(AR169))</f>
        <v>#VALUE!</v>
      </c>
      <c r="I169" s="363" t="e">
        <f aca="false">(AL169+AO169+AP169)</f>
        <v>#VALUE!</v>
      </c>
      <c r="K169" s="363" t="e">
        <f aca="false">MAX(((I169-H169)-AQ169)*AU169*AH169,0)</f>
        <v>#VALUE!</v>
      </c>
      <c r="L169" s="501" t="e">
        <f aca="false">MAX(Q169-K169,0)</f>
        <v>#VALUE!</v>
      </c>
      <c r="N169" s="502" t="e">
        <f aca="false">SQRT(($AX169^2*($AH169/2)+$AW169^2*$AI169)/(($AH169/2)+$AI169))</f>
        <v>#VALUE!</v>
      </c>
      <c r="O169" s="502" t="e">
        <f aca="false">SQRT(($AY169^2*($AH169/2)+$AW169^2*$AI169)/(($AH169/2)+$AI169))</f>
        <v>#VALUE!</v>
      </c>
      <c r="P169" s="371" t="e">
        <f aca="false">(VLOOKUP(AI169,CorrelationTwo,2)*(AW169^2)*AI169+VLOOKUP(D169,CorrelationOne,$AK$9)*AX169*AY169*(AH169/2))/((AI169+(AH169/2))*O169*N169)*AF169</f>
        <v>#VALUE!</v>
      </c>
      <c r="Q169" s="501" t="e">
        <f aca="false">xSPRDOPT(I169,H169,AQ169,0,O169,N169,P169,D169-$G$5,1,0)*AH169*AU169</f>
        <v>#VALUE!</v>
      </c>
      <c r="R169" s="501"/>
      <c r="S169" s="365" t="e">
        <f aca="false">-T169/(1-AR169)</f>
        <v>#VALUE!</v>
      </c>
      <c r="T169" s="365" t="e">
        <f aca="false">xSPRDOPT(I169,H169,AQ169,AT169,O169,N169,P169,D169-$G$5,1,1)*AF169*F169*AH169</f>
        <v>#VALUE!</v>
      </c>
      <c r="U169" s="501"/>
      <c r="V169" s="503" t="e">
        <f aca="false">VLOOKUP($AG169,$AL$4:$AS$15,8)*AH169*AU169</f>
        <v>#VALUE!</v>
      </c>
      <c r="W169" s="503"/>
      <c r="X169" s="504" t="e">
        <f aca="false">((BM169*BC169)+(BL169*BB169))*AH169*F169</f>
        <v>#VALUE!</v>
      </c>
      <c r="Y169" s="504" t="e">
        <f aca="false">($F169*$AH169)*((($BG169/2)*($BC169)^2)+(($BF169/2)*($BB169)^2)+($BH169*$BC169*$BB169))</f>
        <v>#VALUE!</v>
      </c>
      <c r="Z169" s="504" t="e">
        <f aca="false">($BI169*$F169*$AH169*($G$5-$BV$5))/365.25</f>
        <v>#VALUE!</v>
      </c>
      <c r="AA169" s="504" t="e">
        <f aca="false">(($BK169*$BE169)+($BJ169*$BD169))*$F169*$AH169*$AF169</f>
        <v>#VALUE!</v>
      </c>
      <c r="AB169" s="504" t="e">
        <f aca="false">BN169*(AT169-CA169)*F169*AH169</f>
        <v>#VALUE!</v>
      </c>
      <c r="AC169" s="504" t="e">
        <f aca="false">BO169*CB169*F169*AH169*CA169*($G$5-$BV$5)/365.25</f>
        <v>#NAME?</v>
      </c>
      <c r="AF169" s="378" t="e">
        <f aca="false">IF(AND(D169&gt;=$G$7,D169&lt;=$G$8),1,0)</f>
        <v>#VALUE!</v>
      </c>
      <c r="AG169" s="378" t="e">
        <f aca="false">MONTH(D169)</f>
        <v>#VALUE!</v>
      </c>
      <c r="AH169" s="378" t="e">
        <f aca="false">(EOMONTH(D169,0)-EOMONTH(D169-DAY(D169),0))*AF169</f>
        <v>#VALUE!</v>
      </c>
      <c r="AI169" s="378" t="e">
        <f aca="false">AI168+AH168</f>
        <v>#VALUE!</v>
      </c>
      <c r="AJ169" s="378" t="e">
        <f aca="false">D169-$BV$5</f>
        <v>#VALUE!</v>
      </c>
      <c r="AL169" s="369" t="e">
        <f aca="false">VLOOKUP($D169,CurveTbl,$AK$4)</f>
        <v>#VALUE!</v>
      </c>
      <c r="AM169" s="505" t="e">
        <f aca="false">VLOOKUP($D169,CurveTbl,$AH$3)</f>
        <v>#VALUE!</v>
      </c>
      <c r="AN169" s="505" t="e">
        <f aca="false">VLOOKUP($D169,CurveTbl,$AH$4)+VLOOKUP($AG169,$AL$3:$AS$15,6)</f>
        <v>#VALUE!</v>
      </c>
      <c r="AO169" s="505" t="e">
        <f aca="false">VLOOKUP($D169,CurveTbl,$AH$5)</f>
        <v>#VALUE!</v>
      </c>
      <c r="AP169" s="505" t="e">
        <f aca="false">VLOOKUP($D169,CurveTbl,$AH$6)+VLOOKUP($AG169,$AL$3:$AS$15,7)</f>
        <v>#VALUE!</v>
      </c>
      <c r="AQ169" s="369" t="e">
        <f aca="false">VLOOKUP($AG169,$AL$4:$AS$15,3)+VLOOKUP($AG169,$AL$4:$AS$15,5)+($AH$10*VLOOKUP(D169,GRITable,2))</f>
        <v>#VALUE!</v>
      </c>
      <c r="AR169" s="370" t="e">
        <f aca="false">VLOOKUP($AG169,$AL$4:$AS$15,4)</f>
        <v>#VALUE!</v>
      </c>
      <c r="AS169" s="369" t="e">
        <f aca="false">(AL169+AM169+AN169)</f>
        <v>#VALUE!</v>
      </c>
      <c r="AT169" s="370" t="e">
        <f aca="false">VLOOKUP(D169,CurveTbl,$AK$6)</f>
        <v>#VALUE!</v>
      </c>
      <c r="AU169" s="370" t="e">
        <f aca="false">(1+$AT169/2)^(-2*($D169-$G$5)/365.25)*$AF169</f>
        <v>#VALUE!</v>
      </c>
      <c r="AV169" s="506" t="e">
        <f aca="false">ROUND((F169/(1-AR169))-F169,0)*AF169*AH169*AU169</f>
        <v>#VALUE!</v>
      </c>
      <c r="AW169" s="370" t="e">
        <f aca="false">VLOOKUP($D169,CurveTbl,$AK$8)</f>
        <v>#VALUE!</v>
      </c>
      <c r="AX169" s="370" t="e">
        <f aca="false">VLOOKUP($D169,CurveTbl,$AH$7)</f>
        <v>#VALUE!</v>
      </c>
      <c r="AY169" s="370" t="e">
        <f aca="false">VLOOKUP($D169,CurveTbl,$AH$8)</f>
        <v>#VALUE!</v>
      </c>
      <c r="AZ169" s="370"/>
      <c r="BA169" s="507"/>
      <c r="BB169" s="505" t="e">
        <f aca="false">$H169-$BV169</f>
        <v>#VALUE!</v>
      </c>
      <c r="BC169" s="505" t="e">
        <f aca="false">I169-BW169</f>
        <v>#VALUE!</v>
      </c>
      <c r="BD169" s="370" t="e">
        <f aca="false">N169-BX169</f>
        <v>#VALUE!</v>
      </c>
      <c r="BE169" s="370" t="e">
        <f aca="false">O169-BY169</f>
        <v>#VALUE!</v>
      </c>
      <c r="BF169" s="370" t="e">
        <f aca="false">xSPRDOPT($BW169,$BV169,$CG169,0,$BY169,$BX169,$BZ169,$AJ169,1,4)*$CB169</f>
        <v>#NAME?</v>
      </c>
      <c r="BG169" s="370" t="e">
        <f aca="false">xSPRDOPT($BW169,$BV169,$CG169,0,$BY169,$BX169,$BZ169,$AJ169,1,3)*$CB169</f>
        <v>#NAME?</v>
      </c>
      <c r="BH169" s="370" t="e">
        <f aca="false">IF(OR(BF169&lt;&gt;0,BG169&lt;&gt;0),xSPRDOPT($BW169,$BV169,$CG169,0,$BY169,$BX169,$BZ169,$AJ169,1,12)*$CB169,0)</f>
        <v>#NAME?</v>
      </c>
      <c r="BI169" s="370" t="e">
        <f aca="false">xSPRDOPT($BW169,$BV169,$CG169,2*LN(1+CA169/2),$BY169,$BX169,$BZ169,$AJ169,1,9)</f>
        <v>#NAME?</v>
      </c>
      <c r="BJ169" s="370" t="e">
        <f aca="false">xSPRDOPT($BW169,$BV169,$CG169,0,$BY169,$BX169,$BZ169,$AJ169,1,6)*$CB169</f>
        <v>#NAME?</v>
      </c>
      <c r="BK169" s="370" t="e">
        <f aca="false">xSPRDOPT($BW169,$BV169,$CG169,0,$BY169,$BX169,$BZ169,$AJ169,1,5)*$CB169</f>
        <v>#NAME?</v>
      </c>
      <c r="BL169" s="370" t="e">
        <f aca="false">xSPRDOPT(BW169,BV169,CG169,0,BY169,BX169,BZ169,AJ169,1,2)*CB169</f>
        <v>#NAME?</v>
      </c>
      <c r="BM169" s="370" t="e">
        <f aca="false">xSPRDOPT(BW169,BV169,CG169,0,BY169,BX169,BZ169,AJ169,1,1)*CB169</f>
        <v>#NAME?</v>
      </c>
      <c r="BN169" s="370" t="e">
        <f aca="false">IF(AH169&lt;&gt;0,xSPRDOPT($BW169,$BV169,$CG169,2*LN(1+CA169/2),$BY169,$BX169,$BZ169,$AJ169,1,8)+(AJ169/365.25)*CH169/AH169,0)</f>
        <v>#VALUE!</v>
      </c>
      <c r="BO169" s="370" t="e">
        <f aca="false">xSPRDOPT($BW169,$BV169,$CG169,0,$BY169,$BX169,$BZ169,$AJ169,1,0)</f>
        <v>#NAME?</v>
      </c>
      <c r="BP169" s="370"/>
      <c r="BQ169" s="370"/>
      <c r="BR169" s="370"/>
      <c r="BS169" s="370"/>
      <c r="BV169" s="508" t="n">
        <v>4.1304347826087</v>
      </c>
      <c r="BW169" s="369" t="n">
        <v>4.6095</v>
      </c>
      <c r="BX169" s="370" t="n">
        <v>0.17127877308408</v>
      </c>
      <c r="BY169" s="370" t="n">
        <v>0.17127877308408</v>
      </c>
      <c r="BZ169" s="370" t="n">
        <v>1</v>
      </c>
      <c r="CA169" s="370" t="n">
        <v>0.063059442365847</v>
      </c>
      <c r="CB169" s="370" t="n">
        <v>0.464977370628222</v>
      </c>
      <c r="CC169" s="505" t="n">
        <v>0.018</v>
      </c>
      <c r="CD169" s="505" t="n">
        <v>0.01</v>
      </c>
      <c r="CE169" s="505" t="n">
        <v>0.6</v>
      </c>
      <c r="CF169" s="505" t="n">
        <v>0</v>
      </c>
      <c r="CG169" s="505" t="n">
        <v>0.0364</v>
      </c>
      <c r="CH169" s="505" t="n">
        <v>5.14311469651876</v>
      </c>
      <c r="CI169" s="505" t="n">
        <v>4.0095</v>
      </c>
      <c r="CJ169" s="505"/>
      <c r="CK169" s="505"/>
      <c r="CL169" s="505"/>
      <c r="CM169" s="505"/>
    </row>
    <row r="170" customFormat="false" ht="12.75" hidden="false" customHeight="false" outlineLevel="0" collapsed="false">
      <c r="A170" s="500"/>
      <c r="B170" s="500"/>
      <c r="D170" s="361" t="e">
        <f aca="false">D169+AH169</f>
        <v>#VALUE!</v>
      </c>
      <c r="F170" s="362" t="e">
        <f aca="false">VLOOKUP(AG170,$AL$4:$AS$15,2)</f>
        <v>#VALUE!</v>
      </c>
      <c r="G170" s="362" t="e">
        <f aca="false">F170*$AU170</f>
        <v>#VALUE!</v>
      </c>
      <c r="H170" s="363" t="e">
        <f aca="false">(AL170+AM170+AN170)/(1-(AR170))</f>
        <v>#VALUE!</v>
      </c>
      <c r="I170" s="363" t="e">
        <f aca="false">(AL170+AO170+AP170)</f>
        <v>#VALUE!</v>
      </c>
      <c r="K170" s="363" t="e">
        <f aca="false">MAX(((I170-H170)-AQ170)*AU170*AH170,0)</f>
        <v>#VALUE!</v>
      </c>
      <c r="L170" s="501" t="e">
        <f aca="false">MAX(Q170-K170,0)</f>
        <v>#VALUE!</v>
      </c>
      <c r="N170" s="502" t="e">
        <f aca="false">SQRT(($AX170^2*($AH170/2)+$AW170^2*$AI170)/(($AH170/2)+$AI170))</f>
        <v>#VALUE!</v>
      </c>
      <c r="O170" s="502" t="e">
        <f aca="false">SQRT(($AY170^2*($AH170/2)+$AW170^2*$AI170)/(($AH170/2)+$AI170))</f>
        <v>#VALUE!</v>
      </c>
      <c r="P170" s="371" t="e">
        <f aca="false">(VLOOKUP(AI170,CorrelationTwo,2)*(AW170^2)*AI170+VLOOKUP(D170,CorrelationOne,$AK$9)*AX170*AY170*(AH170/2))/((AI170+(AH170/2))*O170*N170)*AF170</f>
        <v>#VALUE!</v>
      </c>
      <c r="Q170" s="501" t="e">
        <f aca="false">xSPRDOPT(I170,H170,AQ170,0,O170,N170,P170,D170-$G$5,1,0)*AH170*AU170</f>
        <v>#VALUE!</v>
      </c>
      <c r="R170" s="501"/>
      <c r="S170" s="365" t="e">
        <f aca="false">-T170/(1-AR170)</f>
        <v>#VALUE!</v>
      </c>
      <c r="T170" s="365" t="e">
        <f aca="false">xSPRDOPT(I170,H170,AQ170,AT170,O170,N170,P170,D170-$G$5,1,1)*AF170*F170*AH170</f>
        <v>#VALUE!</v>
      </c>
      <c r="U170" s="501"/>
      <c r="V170" s="503" t="e">
        <f aca="false">VLOOKUP($AG170,$AL$4:$AS$15,8)*AH170*AU170</f>
        <v>#VALUE!</v>
      </c>
      <c r="W170" s="503"/>
      <c r="X170" s="504" t="e">
        <f aca="false">((BM170*BC170)+(BL170*BB170))*AH170*F170</f>
        <v>#VALUE!</v>
      </c>
      <c r="Y170" s="504" t="e">
        <f aca="false">($F170*$AH170)*((($BG170/2)*($BC170)^2)+(($BF170/2)*($BB170)^2)+($BH170*$BC170*$BB170))</f>
        <v>#VALUE!</v>
      </c>
      <c r="Z170" s="504" t="e">
        <f aca="false">($BI170*$F170*$AH170*($G$5-$BV$5))/365.25</f>
        <v>#VALUE!</v>
      </c>
      <c r="AA170" s="504" t="e">
        <f aca="false">(($BK170*$BE170)+($BJ170*$BD170))*$F170*$AH170*$AF170</f>
        <v>#VALUE!</v>
      </c>
      <c r="AB170" s="504" t="e">
        <f aca="false">BN170*(AT170-CA170)*F170*AH170</f>
        <v>#VALUE!</v>
      </c>
      <c r="AC170" s="504" t="e">
        <f aca="false">BO170*CB170*F170*AH170*CA170*($G$5-$BV$5)/365.25</f>
        <v>#NAME?</v>
      </c>
      <c r="AF170" s="378" t="e">
        <f aca="false">IF(AND(D170&gt;=$G$7,D170&lt;=$G$8),1,0)</f>
        <v>#VALUE!</v>
      </c>
      <c r="AG170" s="378" t="e">
        <f aca="false">MONTH(D170)</f>
        <v>#VALUE!</v>
      </c>
      <c r="AH170" s="378" t="e">
        <f aca="false">(EOMONTH(D170,0)-EOMONTH(D170-DAY(D170),0))*AF170</f>
        <v>#VALUE!</v>
      </c>
      <c r="AI170" s="378" t="e">
        <f aca="false">AI169+AH169</f>
        <v>#VALUE!</v>
      </c>
      <c r="AJ170" s="378" t="e">
        <f aca="false">D170-$BV$5</f>
        <v>#VALUE!</v>
      </c>
      <c r="AL170" s="369" t="e">
        <f aca="false">VLOOKUP($D170,CurveTbl,$AK$4)</f>
        <v>#VALUE!</v>
      </c>
      <c r="AM170" s="505" t="e">
        <f aca="false">VLOOKUP($D170,CurveTbl,$AH$3)</f>
        <v>#VALUE!</v>
      </c>
      <c r="AN170" s="505" t="e">
        <f aca="false">VLOOKUP($D170,CurveTbl,$AH$4)+VLOOKUP($AG170,$AL$3:$AS$15,6)</f>
        <v>#VALUE!</v>
      </c>
      <c r="AO170" s="505" t="e">
        <f aca="false">VLOOKUP($D170,CurveTbl,$AH$5)</f>
        <v>#VALUE!</v>
      </c>
      <c r="AP170" s="505" t="e">
        <f aca="false">VLOOKUP($D170,CurveTbl,$AH$6)+VLOOKUP($AG170,$AL$3:$AS$15,7)</f>
        <v>#VALUE!</v>
      </c>
      <c r="AQ170" s="369" t="e">
        <f aca="false">VLOOKUP($AG170,$AL$4:$AS$15,3)+VLOOKUP($AG170,$AL$4:$AS$15,5)+($AH$10*VLOOKUP(D170,GRITable,2))</f>
        <v>#VALUE!</v>
      </c>
      <c r="AR170" s="370" t="e">
        <f aca="false">VLOOKUP($AG170,$AL$4:$AS$15,4)</f>
        <v>#VALUE!</v>
      </c>
      <c r="AS170" s="369" t="e">
        <f aca="false">(AL170+AM170+AN170)</f>
        <v>#VALUE!</v>
      </c>
      <c r="AT170" s="370" t="e">
        <f aca="false">VLOOKUP(D170,CurveTbl,$AK$6)</f>
        <v>#VALUE!</v>
      </c>
      <c r="AU170" s="370" t="e">
        <f aca="false">(1+$AT170/2)^(-2*($D170-$G$5)/365.25)*$AF170</f>
        <v>#VALUE!</v>
      </c>
      <c r="AV170" s="506" t="e">
        <f aca="false">ROUND((F170/(1-AR170))-F170,0)*AF170*AH170*AU170</f>
        <v>#VALUE!</v>
      </c>
      <c r="AW170" s="370" t="e">
        <f aca="false">VLOOKUP($D170,CurveTbl,$AK$8)</f>
        <v>#VALUE!</v>
      </c>
      <c r="AX170" s="370" t="e">
        <f aca="false">VLOOKUP($D170,CurveTbl,$AH$7)</f>
        <v>#VALUE!</v>
      </c>
      <c r="AY170" s="370" t="e">
        <f aca="false">VLOOKUP($D170,CurveTbl,$AH$8)</f>
        <v>#VALUE!</v>
      </c>
      <c r="AZ170" s="370"/>
      <c r="BA170" s="507"/>
      <c r="BB170" s="505" t="e">
        <f aca="false">$H170-$BV170</f>
        <v>#VALUE!</v>
      </c>
      <c r="BC170" s="505" t="e">
        <f aca="false">I170-BW170</f>
        <v>#VALUE!</v>
      </c>
      <c r="BD170" s="370" t="e">
        <f aca="false">N170-BX170</f>
        <v>#VALUE!</v>
      </c>
      <c r="BE170" s="370" t="e">
        <f aca="false">O170-BY170</f>
        <v>#VALUE!</v>
      </c>
      <c r="BF170" s="370" t="e">
        <f aca="false">xSPRDOPT($BW170,$BV170,$CG170,0,$BY170,$BX170,$BZ170,$AJ170,1,4)*$CB170</f>
        <v>#NAME?</v>
      </c>
      <c r="BG170" s="370" t="e">
        <f aca="false">xSPRDOPT($BW170,$BV170,$CG170,0,$BY170,$BX170,$BZ170,$AJ170,1,3)*$CB170</f>
        <v>#NAME?</v>
      </c>
      <c r="BH170" s="370" t="e">
        <f aca="false">IF(OR(BF170&lt;&gt;0,BG170&lt;&gt;0),xSPRDOPT($BW170,$BV170,$CG170,0,$BY170,$BX170,$BZ170,$AJ170,1,12)*$CB170,0)</f>
        <v>#NAME?</v>
      </c>
      <c r="BI170" s="370" t="e">
        <f aca="false">xSPRDOPT($BW170,$BV170,$CG170,2*LN(1+CA170/2),$BY170,$BX170,$BZ170,$AJ170,1,9)</f>
        <v>#NAME?</v>
      </c>
      <c r="BJ170" s="370" t="e">
        <f aca="false">xSPRDOPT($BW170,$BV170,$CG170,0,$BY170,$BX170,$BZ170,$AJ170,1,6)*$CB170</f>
        <v>#NAME?</v>
      </c>
      <c r="BK170" s="370" t="e">
        <f aca="false">xSPRDOPT($BW170,$BV170,$CG170,0,$BY170,$BX170,$BZ170,$AJ170,1,5)*$CB170</f>
        <v>#NAME?</v>
      </c>
      <c r="BL170" s="370" t="e">
        <f aca="false">xSPRDOPT(BW170,BV170,CG170,0,BY170,BX170,BZ170,AJ170,1,2)*CB170</f>
        <v>#NAME?</v>
      </c>
      <c r="BM170" s="370" t="e">
        <f aca="false">xSPRDOPT(BW170,BV170,CG170,0,BY170,BX170,BZ170,AJ170,1,1)*CB170</f>
        <v>#NAME?</v>
      </c>
      <c r="BN170" s="370" t="e">
        <f aca="false">IF(AH170&lt;&gt;0,xSPRDOPT($BW170,$BV170,$CG170,2*LN(1+CA170/2),$BY170,$BX170,$BZ170,$AJ170,1,8)+(AJ170/365.25)*CH170/AH170,0)</f>
        <v>#VALUE!</v>
      </c>
      <c r="BO170" s="370" t="e">
        <f aca="false">xSPRDOPT($BW170,$BV170,$CG170,0,$BY170,$BX170,$BZ170,$AJ170,1,0)</f>
        <v>#NAME?</v>
      </c>
      <c r="BP170" s="370"/>
      <c r="BQ170" s="370"/>
      <c r="BR170" s="370"/>
      <c r="BS170" s="370"/>
      <c r="BV170" s="508" t="n">
        <v>4.12787723785166</v>
      </c>
      <c r="BW170" s="369" t="n">
        <v>4.7545</v>
      </c>
      <c r="BX170" s="370" t="n">
        <v>0.171735682065942</v>
      </c>
      <c r="BY170" s="370" t="n">
        <v>0.171735682065942</v>
      </c>
      <c r="BZ170" s="370" t="n">
        <v>1</v>
      </c>
      <c r="CA170" s="370" t="n">
        <v>0.0630986785903431</v>
      </c>
      <c r="CB170" s="370" t="n">
        <v>0.462393854578513</v>
      </c>
      <c r="CC170" s="505" t="n">
        <v>0.0205</v>
      </c>
      <c r="CD170" s="505" t="n">
        <v>0.01</v>
      </c>
      <c r="CE170" s="505" t="n">
        <v>0.75</v>
      </c>
      <c r="CF170" s="505" t="n">
        <v>0</v>
      </c>
      <c r="CG170" s="505" t="n">
        <v>0.0364</v>
      </c>
      <c r="CH170" s="505" t="n">
        <v>5.28502303967603</v>
      </c>
      <c r="CI170" s="505" t="n">
        <v>4.0045</v>
      </c>
      <c r="CJ170" s="505"/>
      <c r="CK170" s="505"/>
      <c r="CL170" s="505"/>
      <c r="CM170" s="505"/>
    </row>
    <row r="171" customFormat="false" ht="12.75" hidden="false" customHeight="false" outlineLevel="0" collapsed="false">
      <c r="A171" s="500"/>
      <c r="B171" s="500"/>
      <c r="D171" s="361" t="e">
        <f aca="false">D170+AH170</f>
        <v>#VALUE!</v>
      </c>
      <c r="F171" s="362" t="e">
        <f aca="false">VLOOKUP(AG171,$AL$4:$AS$15,2)</f>
        <v>#VALUE!</v>
      </c>
      <c r="G171" s="362" t="e">
        <f aca="false">F171*$AU171</f>
        <v>#VALUE!</v>
      </c>
      <c r="H171" s="363" t="e">
        <f aca="false">(AL171+AM171+AN171)/(1-(AR171))</f>
        <v>#VALUE!</v>
      </c>
      <c r="I171" s="363" t="e">
        <f aca="false">(AL171+AO171+AP171)</f>
        <v>#VALUE!</v>
      </c>
      <c r="K171" s="363" t="e">
        <f aca="false">MAX(((I171-H171)-AQ171)*AU171*AH171,0)</f>
        <v>#VALUE!</v>
      </c>
      <c r="L171" s="501" t="e">
        <f aca="false">MAX(Q171-K171,0)</f>
        <v>#VALUE!</v>
      </c>
      <c r="N171" s="502" t="e">
        <f aca="false">SQRT(($AX171^2*($AH171/2)+$AW171^2*$AI171)/(($AH171/2)+$AI171))</f>
        <v>#VALUE!</v>
      </c>
      <c r="O171" s="502" t="e">
        <f aca="false">SQRT(($AY171^2*($AH171/2)+$AW171^2*$AI171)/(($AH171/2)+$AI171))</f>
        <v>#VALUE!</v>
      </c>
      <c r="P171" s="371" t="e">
        <f aca="false">(VLOOKUP(AI171,CorrelationTwo,2)*(AW171^2)*AI171+VLOOKUP(D171,CorrelationOne,$AK$9)*AX171*AY171*(AH171/2))/((AI171+(AH171/2))*O171*N171)*AF171</f>
        <v>#VALUE!</v>
      </c>
      <c r="Q171" s="501" t="e">
        <f aca="false">xSPRDOPT(I171,H171,AQ171,0,O171,N171,P171,D171-$G$5,1,0)*AH171*AU171</f>
        <v>#VALUE!</v>
      </c>
      <c r="R171" s="501"/>
      <c r="S171" s="365" t="e">
        <f aca="false">-T171/(1-AR171)</f>
        <v>#VALUE!</v>
      </c>
      <c r="T171" s="365" t="e">
        <f aca="false">xSPRDOPT(I171,H171,AQ171,AT171,O171,N171,P171,D171-$G$5,1,1)*AF171*F171*AH171</f>
        <v>#VALUE!</v>
      </c>
      <c r="U171" s="501"/>
      <c r="V171" s="503" t="e">
        <f aca="false">VLOOKUP($AG171,$AL$4:$AS$15,8)*AH171*AU171</f>
        <v>#VALUE!</v>
      </c>
      <c r="W171" s="503"/>
      <c r="X171" s="504" t="e">
        <f aca="false">((BM171*BC171)+(BL171*BB171))*AH171*F171</f>
        <v>#VALUE!</v>
      </c>
      <c r="Y171" s="504" t="e">
        <f aca="false">($F171*$AH171)*((($BG171/2)*($BC171)^2)+(($BF171/2)*($BB171)^2)+($BH171*$BC171*$BB171))</f>
        <v>#VALUE!</v>
      </c>
      <c r="Z171" s="504" t="e">
        <f aca="false">($BI171*$F171*$AH171*($G$5-$BV$5))/365.25</f>
        <v>#VALUE!</v>
      </c>
      <c r="AA171" s="504" t="e">
        <f aca="false">(($BK171*$BE171)+($BJ171*$BD171))*$F171*$AH171*$AF171</f>
        <v>#VALUE!</v>
      </c>
      <c r="AB171" s="504" t="e">
        <f aca="false">BN171*(AT171-CA171)*F171*AH171</f>
        <v>#VALUE!</v>
      </c>
      <c r="AC171" s="504" t="e">
        <f aca="false">BO171*CB171*F171*AH171*CA171*($G$5-$BV$5)/365.25</f>
        <v>#NAME?</v>
      </c>
      <c r="AF171" s="378" t="e">
        <f aca="false">IF(AND(D171&gt;=$G$7,D171&lt;=$G$8),1,0)</f>
        <v>#VALUE!</v>
      </c>
      <c r="AG171" s="378" t="e">
        <f aca="false">MONTH(D171)</f>
        <v>#VALUE!</v>
      </c>
      <c r="AH171" s="378" t="e">
        <f aca="false">(EOMONTH(D171,0)-EOMONTH(D171-DAY(D171),0))*AF171</f>
        <v>#VALUE!</v>
      </c>
      <c r="AI171" s="378" t="e">
        <f aca="false">AI170+AH170</f>
        <v>#VALUE!</v>
      </c>
      <c r="AJ171" s="378" t="e">
        <f aca="false">D171-$BV$5</f>
        <v>#VALUE!</v>
      </c>
      <c r="AL171" s="369" t="e">
        <f aca="false">VLOOKUP($D171,CurveTbl,$AK$4)</f>
        <v>#VALUE!</v>
      </c>
      <c r="AM171" s="505" t="e">
        <f aca="false">VLOOKUP($D171,CurveTbl,$AH$3)</f>
        <v>#VALUE!</v>
      </c>
      <c r="AN171" s="505" t="e">
        <f aca="false">VLOOKUP($D171,CurveTbl,$AH$4)+VLOOKUP($AG171,$AL$3:$AS$15,6)</f>
        <v>#VALUE!</v>
      </c>
      <c r="AO171" s="505" t="e">
        <f aca="false">VLOOKUP($D171,CurveTbl,$AH$5)</f>
        <v>#VALUE!</v>
      </c>
      <c r="AP171" s="505" t="e">
        <f aca="false">VLOOKUP($D171,CurveTbl,$AH$6)+VLOOKUP($AG171,$AL$3:$AS$15,7)</f>
        <v>#VALUE!</v>
      </c>
      <c r="AQ171" s="369" t="e">
        <f aca="false">VLOOKUP($AG171,$AL$4:$AS$15,3)+VLOOKUP($AG171,$AL$4:$AS$15,5)+($AH$10*VLOOKUP(D171,GRITable,2))</f>
        <v>#VALUE!</v>
      </c>
      <c r="AR171" s="370" t="e">
        <f aca="false">VLOOKUP($AG171,$AL$4:$AS$15,4)</f>
        <v>#VALUE!</v>
      </c>
      <c r="AS171" s="369" t="e">
        <f aca="false">(AL171+AM171+AN171)</f>
        <v>#VALUE!</v>
      </c>
      <c r="AT171" s="370" t="e">
        <f aca="false">VLOOKUP(D171,CurveTbl,$AK$6)</f>
        <v>#VALUE!</v>
      </c>
      <c r="AU171" s="370" t="e">
        <f aca="false">(1+$AT171/2)^(-2*($D171-$G$5)/365.25)*$AF171</f>
        <v>#VALUE!</v>
      </c>
      <c r="AV171" s="506" t="e">
        <f aca="false">ROUND((F171/(1-AR171))-F171,0)*AF171*AH171*AU171</f>
        <v>#VALUE!</v>
      </c>
      <c r="AW171" s="370" t="e">
        <f aca="false">VLOOKUP($D171,CurveTbl,$AK$8)</f>
        <v>#VALUE!</v>
      </c>
      <c r="AX171" s="370" t="e">
        <f aca="false">VLOOKUP($D171,CurveTbl,$AH$7)</f>
        <v>#VALUE!</v>
      </c>
      <c r="AY171" s="370" t="e">
        <f aca="false">VLOOKUP($D171,CurveTbl,$AH$8)</f>
        <v>#VALUE!</v>
      </c>
      <c r="AZ171" s="370"/>
      <c r="BA171" s="507"/>
      <c r="BB171" s="505" t="e">
        <f aca="false">$H171-$BV171</f>
        <v>#VALUE!</v>
      </c>
      <c r="BC171" s="505" t="e">
        <f aca="false">I171-BW171</f>
        <v>#VALUE!</v>
      </c>
      <c r="BD171" s="370" t="e">
        <f aca="false">N171-BX171</f>
        <v>#VALUE!</v>
      </c>
      <c r="BE171" s="370" t="e">
        <f aca="false">O171-BY171</f>
        <v>#VALUE!</v>
      </c>
      <c r="BF171" s="370" t="e">
        <f aca="false">xSPRDOPT($BW171,$BV171,$CG171,0,$BY171,$BX171,$BZ171,$AJ171,1,4)*$CB171</f>
        <v>#NAME?</v>
      </c>
      <c r="BG171" s="370" t="e">
        <f aca="false">xSPRDOPT($BW171,$BV171,$CG171,0,$BY171,$BX171,$BZ171,$AJ171,1,3)*$CB171</f>
        <v>#NAME?</v>
      </c>
      <c r="BH171" s="370" t="e">
        <f aca="false">IF(OR(BF171&lt;&gt;0,BG171&lt;&gt;0),xSPRDOPT($BW171,$BV171,$CG171,0,$BY171,$BX171,$BZ171,$AJ171,1,12)*$CB171,0)</f>
        <v>#NAME?</v>
      </c>
      <c r="BI171" s="370" t="e">
        <f aca="false">xSPRDOPT($BW171,$BV171,$CG171,2*LN(1+CA171/2),$BY171,$BX171,$BZ171,$AJ171,1,9)</f>
        <v>#NAME?</v>
      </c>
      <c r="BJ171" s="370" t="e">
        <f aca="false">xSPRDOPT($BW171,$BV171,$CG171,0,$BY171,$BX171,$BZ171,$AJ171,1,6)*$CB171</f>
        <v>#NAME?</v>
      </c>
      <c r="BK171" s="370" t="e">
        <f aca="false">xSPRDOPT($BW171,$BV171,$CG171,0,$BY171,$BX171,$BZ171,$AJ171,1,5)*$CB171</f>
        <v>#NAME?</v>
      </c>
      <c r="BL171" s="370" t="e">
        <f aca="false">xSPRDOPT(BW171,BV171,CG171,0,BY171,BX171,BZ171,AJ171,1,2)*CB171</f>
        <v>#NAME?</v>
      </c>
      <c r="BM171" s="370" t="e">
        <f aca="false">xSPRDOPT(BW171,BV171,CG171,0,BY171,BX171,BZ171,AJ171,1,1)*CB171</f>
        <v>#NAME?</v>
      </c>
      <c r="BN171" s="370" t="e">
        <f aca="false">IF(AH171&lt;&gt;0,xSPRDOPT($BW171,$BV171,$CG171,2*LN(1+CA171/2),$BY171,$BX171,$BZ171,$AJ171,1,8)+(AJ171/365.25)*CH171/AH171,0)</f>
        <v>#VALUE!</v>
      </c>
      <c r="BO171" s="370" t="e">
        <f aca="false">xSPRDOPT($BW171,$BV171,$CG171,0,$BY171,$BX171,$BZ171,$AJ171,1,0)</f>
        <v>#NAME?</v>
      </c>
      <c r="BP171" s="370"/>
      <c r="BQ171" s="370"/>
      <c r="BR171" s="370"/>
      <c r="BS171" s="370"/>
      <c r="BV171" s="508" t="n">
        <v>4.16368286445013</v>
      </c>
      <c r="BW171" s="369" t="n">
        <v>4.8895</v>
      </c>
      <c r="BX171" s="370" t="n">
        <v>0.171668801356906</v>
      </c>
      <c r="BY171" s="370" t="n">
        <v>0.171668801356906</v>
      </c>
      <c r="BZ171" s="370" t="n">
        <v>1</v>
      </c>
      <c r="CA171" s="370" t="n">
        <v>0.0631392226895255</v>
      </c>
      <c r="CB171" s="370" t="n">
        <v>0.459736287236043</v>
      </c>
      <c r="CC171" s="505" t="n">
        <v>0.0205</v>
      </c>
      <c r="CD171" s="505" t="n">
        <v>0.01</v>
      </c>
      <c r="CE171" s="505" t="n">
        <v>0.85</v>
      </c>
      <c r="CF171" s="505" t="n">
        <v>0</v>
      </c>
      <c r="CG171" s="505" t="n">
        <v>0.0364</v>
      </c>
      <c r="CH171" s="505" t="n">
        <v>5.08514307311788</v>
      </c>
      <c r="CI171" s="505" t="n">
        <v>4.0395</v>
      </c>
      <c r="CJ171" s="505"/>
      <c r="CK171" s="505"/>
      <c r="CL171" s="505"/>
      <c r="CM171" s="505"/>
    </row>
    <row r="172" customFormat="false" ht="12.75" hidden="false" customHeight="false" outlineLevel="0" collapsed="false">
      <c r="A172" s="500"/>
      <c r="B172" s="500"/>
      <c r="D172" s="361" t="e">
        <f aca="false">D171+AH171</f>
        <v>#VALUE!</v>
      </c>
      <c r="F172" s="362" t="e">
        <f aca="false">VLOOKUP(AG172,$AL$4:$AS$15,2)</f>
        <v>#VALUE!</v>
      </c>
      <c r="G172" s="362" t="e">
        <f aca="false">F172*$AU172</f>
        <v>#VALUE!</v>
      </c>
      <c r="H172" s="363" t="e">
        <f aca="false">(AL172+AM172+AN172)/(1-(AR172))</f>
        <v>#VALUE!</v>
      </c>
      <c r="I172" s="363" t="e">
        <f aca="false">(AL172+AO172+AP172)</f>
        <v>#VALUE!</v>
      </c>
      <c r="K172" s="363" t="e">
        <f aca="false">MAX(((I172-H172)-AQ172)*AU172*AH172,0)</f>
        <v>#VALUE!</v>
      </c>
      <c r="L172" s="501" t="e">
        <f aca="false">MAX(Q172-K172,0)</f>
        <v>#VALUE!</v>
      </c>
      <c r="N172" s="502" t="e">
        <f aca="false">SQRT(($AX172^2*($AH172/2)+$AW172^2*$AI172)/(($AH172/2)+$AI172))</f>
        <v>#VALUE!</v>
      </c>
      <c r="O172" s="502" t="e">
        <f aca="false">SQRT(($AY172^2*($AH172/2)+$AW172^2*$AI172)/(($AH172/2)+$AI172))</f>
        <v>#VALUE!</v>
      </c>
      <c r="P172" s="371" t="e">
        <f aca="false">(VLOOKUP(AI172,CorrelationTwo,2)*(AW172^2)*AI172+VLOOKUP(D172,CorrelationOne,$AK$9)*AX172*AY172*(AH172/2))/((AI172+(AH172/2))*O172*N172)*AF172</f>
        <v>#VALUE!</v>
      </c>
      <c r="Q172" s="501" t="e">
        <f aca="false">xSPRDOPT(I172,H172,AQ172,0,O172,N172,P172,D172-$G$5,1,0)*AH172*AU172</f>
        <v>#VALUE!</v>
      </c>
      <c r="R172" s="501"/>
      <c r="S172" s="365" t="e">
        <f aca="false">-T172/(1-AR172)</f>
        <v>#VALUE!</v>
      </c>
      <c r="T172" s="365" t="e">
        <f aca="false">xSPRDOPT(I172,H172,AQ172,AT172,O172,N172,P172,D172-$G$5,1,1)*AF172*F172*AH172</f>
        <v>#VALUE!</v>
      </c>
      <c r="U172" s="501"/>
      <c r="V172" s="503" t="e">
        <f aca="false">VLOOKUP($AG172,$AL$4:$AS$15,8)*AH172*AU172</f>
        <v>#VALUE!</v>
      </c>
      <c r="W172" s="503"/>
      <c r="X172" s="504" t="e">
        <f aca="false">((BM172*BC172)+(BL172*BB172))*AH172*F172</f>
        <v>#VALUE!</v>
      </c>
      <c r="Y172" s="504" t="e">
        <f aca="false">($F172*$AH172)*((($BG172/2)*($BC172)^2)+(($BF172/2)*($BB172)^2)+($BH172*$BC172*$BB172))</f>
        <v>#VALUE!</v>
      </c>
      <c r="Z172" s="504" t="e">
        <f aca="false">($BI172*$F172*$AH172*($G$5-$BV$5))/365.25</f>
        <v>#VALUE!</v>
      </c>
      <c r="AA172" s="504" t="e">
        <f aca="false">(($BK172*$BE172)+($BJ172*$BD172))*$F172*$AH172*$AF172</f>
        <v>#VALUE!</v>
      </c>
      <c r="AB172" s="504" t="e">
        <f aca="false">BN172*(AT172-CA172)*F172*AH172</f>
        <v>#VALUE!</v>
      </c>
      <c r="AC172" s="504" t="e">
        <f aca="false">BO172*CB172*F172*AH172*CA172*($G$5-$BV$5)/365.25</f>
        <v>#NAME?</v>
      </c>
      <c r="AF172" s="378" t="e">
        <f aca="false">IF(AND(D172&gt;=$G$7,D172&lt;=$G$8),1,0)</f>
        <v>#VALUE!</v>
      </c>
      <c r="AG172" s="378" t="e">
        <f aca="false">MONTH(D172)</f>
        <v>#VALUE!</v>
      </c>
      <c r="AH172" s="378" t="e">
        <f aca="false">(EOMONTH(D172,0)-EOMONTH(D172-DAY(D172),0))*AF172</f>
        <v>#VALUE!</v>
      </c>
      <c r="AI172" s="378" t="e">
        <f aca="false">AI171+AH171</f>
        <v>#VALUE!</v>
      </c>
      <c r="AJ172" s="378" t="e">
        <f aca="false">D172-$BV$5</f>
        <v>#VALUE!</v>
      </c>
      <c r="AL172" s="369" t="e">
        <f aca="false">VLOOKUP($D172,CurveTbl,$AK$4)</f>
        <v>#VALUE!</v>
      </c>
      <c r="AM172" s="505" t="e">
        <f aca="false">VLOOKUP($D172,CurveTbl,$AH$3)</f>
        <v>#VALUE!</v>
      </c>
      <c r="AN172" s="505" t="e">
        <f aca="false">VLOOKUP($D172,CurveTbl,$AH$4)+VLOOKUP($AG172,$AL$3:$AS$15,6)</f>
        <v>#VALUE!</v>
      </c>
      <c r="AO172" s="505" t="e">
        <f aca="false">VLOOKUP($D172,CurveTbl,$AH$5)</f>
        <v>#VALUE!</v>
      </c>
      <c r="AP172" s="505" t="e">
        <f aca="false">VLOOKUP($D172,CurveTbl,$AH$6)+VLOOKUP($AG172,$AL$3:$AS$15,7)</f>
        <v>#VALUE!</v>
      </c>
      <c r="AQ172" s="369" t="e">
        <f aca="false">VLOOKUP($AG172,$AL$4:$AS$15,3)+VLOOKUP($AG172,$AL$4:$AS$15,5)+($AH$10*VLOOKUP(D172,GRITable,2))</f>
        <v>#VALUE!</v>
      </c>
      <c r="AR172" s="370" t="e">
        <f aca="false">VLOOKUP($AG172,$AL$4:$AS$15,4)</f>
        <v>#VALUE!</v>
      </c>
      <c r="AS172" s="369" t="e">
        <f aca="false">(AL172+AM172+AN172)</f>
        <v>#VALUE!</v>
      </c>
      <c r="AT172" s="370" t="e">
        <f aca="false">VLOOKUP(D172,CurveTbl,$AK$6)</f>
        <v>#VALUE!</v>
      </c>
      <c r="AU172" s="370" t="e">
        <f aca="false">(1+$AT172/2)^(-2*($D172-$G$5)/365.25)*$AF172</f>
        <v>#VALUE!</v>
      </c>
      <c r="AV172" s="506" t="e">
        <f aca="false">ROUND((F172/(1-AR172))-F172,0)*AF172*AH172*AU172</f>
        <v>#VALUE!</v>
      </c>
      <c r="AW172" s="370" t="e">
        <f aca="false">VLOOKUP($D172,CurveTbl,$AK$8)</f>
        <v>#VALUE!</v>
      </c>
      <c r="AX172" s="370" t="e">
        <f aca="false">VLOOKUP($D172,CurveTbl,$AH$7)</f>
        <v>#VALUE!</v>
      </c>
      <c r="AY172" s="370" t="e">
        <f aca="false">VLOOKUP($D172,CurveTbl,$AH$8)</f>
        <v>#VALUE!</v>
      </c>
      <c r="AZ172" s="370"/>
      <c r="BA172" s="507"/>
      <c r="BB172" s="505" t="e">
        <f aca="false">$H172-$BV172</f>
        <v>#VALUE!</v>
      </c>
      <c r="BC172" s="505" t="e">
        <f aca="false">I172-BW172</f>
        <v>#VALUE!</v>
      </c>
      <c r="BD172" s="370" t="e">
        <f aca="false">N172-BX172</f>
        <v>#VALUE!</v>
      </c>
      <c r="BE172" s="370" t="e">
        <f aca="false">O172-BY172</f>
        <v>#VALUE!</v>
      </c>
      <c r="BF172" s="370" t="e">
        <f aca="false">xSPRDOPT($BW172,$BV172,$CG172,0,$BY172,$BX172,$BZ172,$AJ172,1,4)*$CB172</f>
        <v>#NAME?</v>
      </c>
      <c r="BG172" s="370" t="e">
        <f aca="false">xSPRDOPT($BW172,$BV172,$CG172,0,$BY172,$BX172,$BZ172,$AJ172,1,3)*$CB172</f>
        <v>#NAME?</v>
      </c>
      <c r="BH172" s="370" t="e">
        <f aca="false">IF(OR(BF172&lt;&gt;0,BG172&lt;&gt;0),xSPRDOPT($BW172,$BV172,$CG172,0,$BY172,$BX172,$BZ172,$AJ172,1,12)*$CB172,0)</f>
        <v>#NAME?</v>
      </c>
      <c r="BI172" s="370" t="e">
        <f aca="false">xSPRDOPT($BW172,$BV172,$CG172,2*LN(1+CA172/2),$BY172,$BX172,$BZ172,$AJ172,1,9)</f>
        <v>#NAME?</v>
      </c>
      <c r="BJ172" s="370" t="e">
        <f aca="false">xSPRDOPT($BW172,$BV172,$CG172,0,$BY172,$BX172,$BZ172,$AJ172,1,6)*$CB172</f>
        <v>#NAME?</v>
      </c>
      <c r="BK172" s="370" t="e">
        <f aca="false">xSPRDOPT($BW172,$BV172,$CG172,0,$BY172,$BX172,$BZ172,$AJ172,1,5)*$CB172</f>
        <v>#NAME?</v>
      </c>
      <c r="BL172" s="370" t="e">
        <f aca="false">xSPRDOPT(BW172,BV172,CG172,0,BY172,BX172,BZ172,AJ172,1,2)*CB172</f>
        <v>#NAME?</v>
      </c>
      <c r="BM172" s="370" t="e">
        <f aca="false">xSPRDOPT(BW172,BV172,CG172,0,BY172,BX172,BZ172,AJ172,1,1)*CB172</f>
        <v>#NAME?</v>
      </c>
      <c r="BN172" s="370" t="e">
        <f aca="false">IF(AH172&lt;&gt;0,xSPRDOPT($BW172,$BV172,$CG172,2*LN(1+CA172/2),$BY172,$BX172,$BZ172,$AJ172,1,8)+(AJ172/365.25)*CH172/AH172,0)</f>
        <v>#VALUE!</v>
      </c>
      <c r="BO172" s="370" t="e">
        <f aca="false">xSPRDOPT($BW172,$BV172,$CG172,0,$BY172,$BX172,$BZ172,$AJ172,1,0)</f>
        <v>#NAME?</v>
      </c>
      <c r="BP172" s="370"/>
      <c r="BQ172" s="370"/>
      <c r="BR172" s="370"/>
      <c r="BS172" s="370"/>
      <c r="BV172" s="508" t="n">
        <v>4.20460358056266</v>
      </c>
      <c r="BW172" s="369" t="n">
        <v>5.1295</v>
      </c>
      <c r="BX172" s="370" t="n">
        <v>0.172178442282852</v>
      </c>
      <c r="BY172" s="370" t="n">
        <v>0.172178442282852</v>
      </c>
      <c r="BZ172" s="370" t="n">
        <v>1</v>
      </c>
      <c r="CA172" s="370" t="n">
        <v>0.0631784589150599</v>
      </c>
      <c r="CB172" s="370" t="n">
        <v>0.457176091867741</v>
      </c>
      <c r="CC172" s="505" t="n">
        <v>0.0205</v>
      </c>
      <c r="CD172" s="505" t="n">
        <v>0.01</v>
      </c>
      <c r="CE172" s="505" t="n">
        <v>1.05</v>
      </c>
      <c r="CF172" s="505" t="n">
        <v>0</v>
      </c>
      <c r="CG172" s="505" t="n">
        <v>0.0364</v>
      </c>
      <c r="CH172" s="505" t="n">
        <v>5.22538557722072</v>
      </c>
      <c r="CI172" s="505" t="n">
        <v>4.0795</v>
      </c>
      <c r="CJ172" s="505"/>
      <c r="CK172" s="505"/>
      <c r="CL172" s="505"/>
      <c r="CM172" s="505"/>
    </row>
    <row r="173" customFormat="false" ht="12.75" hidden="false" customHeight="false" outlineLevel="0" collapsed="false">
      <c r="A173" s="500"/>
      <c r="B173" s="500"/>
      <c r="D173" s="361" t="e">
        <f aca="false">D172+AH172</f>
        <v>#VALUE!</v>
      </c>
      <c r="F173" s="362" t="e">
        <f aca="false">VLOOKUP(AG173,$AL$4:$AS$15,2)</f>
        <v>#VALUE!</v>
      </c>
      <c r="G173" s="362" t="e">
        <f aca="false">F173*$AU173</f>
        <v>#VALUE!</v>
      </c>
      <c r="H173" s="363" t="e">
        <f aca="false">(AL173+AM173+AN173)/(1-(AR173))</f>
        <v>#VALUE!</v>
      </c>
      <c r="I173" s="363" t="e">
        <f aca="false">(AL173+AO173+AP173)</f>
        <v>#VALUE!</v>
      </c>
      <c r="K173" s="363" t="e">
        <f aca="false">MAX(((I173-H173)-AQ173)*AU173*AH173,0)</f>
        <v>#VALUE!</v>
      </c>
      <c r="L173" s="501" t="e">
        <f aca="false">MAX(Q173-K173,0)</f>
        <v>#VALUE!</v>
      </c>
      <c r="N173" s="502" t="e">
        <f aca="false">SQRT(($AX173^2*($AH173/2)+$AW173^2*$AI173)/(($AH173/2)+$AI173))</f>
        <v>#VALUE!</v>
      </c>
      <c r="O173" s="502" t="e">
        <f aca="false">SQRT(($AY173^2*($AH173/2)+$AW173^2*$AI173)/(($AH173/2)+$AI173))</f>
        <v>#VALUE!</v>
      </c>
      <c r="P173" s="371" t="e">
        <f aca="false">(VLOOKUP(AI173,CorrelationTwo,2)*(AW173^2)*AI173+VLOOKUP(D173,CorrelationOne,$AK$9)*AX173*AY173*(AH173/2))/((AI173+(AH173/2))*O173*N173)*AF173</f>
        <v>#VALUE!</v>
      </c>
      <c r="Q173" s="501" t="e">
        <f aca="false">xSPRDOPT(I173,H173,AQ173,0,O173,N173,P173,D173-$G$5,1,0)*AH173*AU173</f>
        <v>#VALUE!</v>
      </c>
      <c r="R173" s="501"/>
      <c r="S173" s="365" t="e">
        <f aca="false">-T173/(1-AR173)</f>
        <v>#VALUE!</v>
      </c>
      <c r="T173" s="365" t="e">
        <f aca="false">xSPRDOPT(I173,H173,AQ173,AT173,O173,N173,P173,D173-$G$5,1,1)*AF173*F173*AH173</f>
        <v>#VALUE!</v>
      </c>
      <c r="U173" s="501"/>
      <c r="V173" s="503" t="e">
        <f aca="false">VLOOKUP($AG173,$AL$4:$AS$15,8)*AH173*AU173</f>
        <v>#VALUE!</v>
      </c>
      <c r="W173" s="503"/>
      <c r="X173" s="504" t="e">
        <f aca="false">((BM173*BC173)+(BL173*BB173))*AH173*F173</f>
        <v>#VALUE!</v>
      </c>
      <c r="Y173" s="504" t="e">
        <f aca="false">($F173*$AH173)*((($BG173/2)*($BC173)^2)+(($BF173/2)*($BB173)^2)+($BH173*$BC173*$BB173))</f>
        <v>#VALUE!</v>
      </c>
      <c r="Z173" s="504" t="e">
        <f aca="false">($BI173*$F173*$AH173*($G$5-$BV$5))/365.25</f>
        <v>#VALUE!</v>
      </c>
      <c r="AA173" s="504" t="e">
        <f aca="false">(($BK173*$BE173)+($BJ173*$BD173))*$F173*$AH173*$AF173</f>
        <v>#VALUE!</v>
      </c>
      <c r="AB173" s="504" t="e">
        <f aca="false">BN173*(AT173-CA173)*F173*AH173</f>
        <v>#VALUE!</v>
      </c>
      <c r="AC173" s="504" t="e">
        <f aca="false">BO173*CB173*F173*AH173*CA173*($G$5-$BV$5)/365.25</f>
        <v>#NAME?</v>
      </c>
      <c r="AF173" s="378" t="e">
        <f aca="false">IF(AND(D173&gt;=$G$7,D173&lt;=$G$8),1,0)</f>
        <v>#VALUE!</v>
      </c>
      <c r="AG173" s="378" t="e">
        <f aca="false">MONTH(D173)</f>
        <v>#VALUE!</v>
      </c>
      <c r="AH173" s="378" t="e">
        <f aca="false">(EOMONTH(D173,0)-EOMONTH(D173-DAY(D173),0))*AF173</f>
        <v>#VALUE!</v>
      </c>
      <c r="AI173" s="378" t="e">
        <f aca="false">AI172+AH172</f>
        <v>#VALUE!</v>
      </c>
      <c r="AJ173" s="378" t="e">
        <f aca="false">D173-$BV$5</f>
        <v>#VALUE!</v>
      </c>
      <c r="AL173" s="369" t="e">
        <f aca="false">VLOOKUP($D173,CurveTbl,$AK$4)</f>
        <v>#VALUE!</v>
      </c>
      <c r="AM173" s="505" t="e">
        <f aca="false">VLOOKUP($D173,CurveTbl,$AH$3)</f>
        <v>#VALUE!</v>
      </c>
      <c r="AN173" s="505" t="e">
        <f aca="false">VLOOKUP($D173,CurveTbl,$AH$4)+VLOOKUP($AG173,$AL$3:$AS$15,6)</f>
        <v>#VALUE!</v>
      </c>
      <c r="AO173" s="505" t="e">
        <f aca="false">VLOOKUP($D173,CurveTbl,$AH$5)</f>
        <v>#VALUE!</v>
      </c>
      <c r="AP173" s="505" t="e">
        <f aca="false">VLOOKUP($D173,CurveTbl,$AH$6)+VLOOKUP($AG173,$AL$3:$AS$15,7)</f>
        <v>#VALUE!</v>
      </c>
      <c r="AQ173" s="369" t="e">
        <f aca="false">VLOOKUP($AG173,$AL$4:$AS$15,3)+VLOOKUP($AG173,$AL$4:$AS$15,5)+($AH$10*VLOOKUP(D173,GRITable,2))</f>
        <v>#VALUE!</v>
      </c>
      <c r="AR173" s="370" t="e">
        <f aca="false">VLOOKUP($AG173,$AL$4:$AS$15,4)</f>
        <v>#VALUE!</v>
      </c>
      <c r="AS173" s="369" t="e">
        <f aca="false">(AL173+AM173+AN173)</f>
        <v>#VALUE!</v>
      </c>
      <c r="AT173" s="370" t="e">
        <f aca="false">VLOOKUP(D173,CurveTbl,$AK$6)</f>
        <v>#VALUE!</v>
      </c>
      <c r="AU173" s="370" t="e">
        <f aca="false">(1+$AT173/2)^(-2*($D173-$G$5)/365.25)*$AF173</f>
        <v>#VALUE!</v>
      </c>
      <c r="AV173" s="506" t="e">
        <f aca="false">ROUND((F173/(1-AR173))-F173,0)*AF173*AH173*AU173</f>
        <v>#VALUE!</v>
      </c>
      <c r="AW173" s="370" t="e">
        <f aca="false">VLOOKUP($D173,CurveTbl,$AK$8)</f>
        <v>#VALUE!</v>
      </c>
      <c r="AX173" s="370" t="e">
        <f aca="false">VLOOKUP($D173,CurveTbl,$AH$7)</f>
        <v>#VALUE!</v>
      </c>
      <c r="AY173" s="370" t="e">
        <f aca="false">VLOOKUP($D173,CurveTbl,$AH$8)</f>
        <v>#VALUE!</v>
      </c>
      <c r="AZ173" s="370"/>
      <c r="BA173" s="507"/>
      <c r="BB173" s="505" t="e">
        <f aca="false">$H173-$BV173</f>
        <v>#VALUE!</v>
      </c>
      <c r="BC173" s="505" t="e">
        <f aca="false">I173-BW173</f>
        <v>#VALUE!</v>
      </c>
      <c r="BD173" s="370" t="e">
        <f aca="false">N173-BX173</f>
        <v>#VALUE!</v>
      </c>
      <c r="BE173" s="370" t="e">
        <f aca="false">O173-BY173</f>
        <v>#VALUE!</v>
      </c>
      <c r="BF173" s="370" t="e">
        <f aca="false">xSPRDOPT($BW173,$BV173,$CG173,0,$BY173,$BX173,$BZ173,$AJ173,1,4)*$CB173</f>
        <v>#NAME?</v>
      </c>
      <c r="BG173" s="370" t="e">
        <f aca="false">xSPRDOPT($BW173,$BV173,$CG173,0,$BY173,$BX173,$BZ173,$AJ173,1,3)*$CB173</f>
        <v>#NAME?</v>
      </c>
      <c r="BH173" s="370" t="e">
        <f aca="false">IF(OR(BF173&lt;&gt;0,BG173&lt;&gt;0),xSPRDOPT($BW173,$BV173,$CG173,0,$BY173,$BX173,$BZ173,$AJ173,1,12)*$CB173,0)</f>
        <v>#NAME?</v>
      </c>
      <c r="BI173" s="370" t="e">
        <f aca="false">xSPRDOPT($BW173,$BV173,$CG173,2*LN(1+CA173/2),$BY173,$BX173,$BZ173,$AJ173,1,9)</f>
        <v>#NAME?</v>
      </c>
      <c r="BJ173" s="370" t="e">
        <f aca="false">xSPRDOPT($BW173,$BV173,$CG173,0,$BY173,$BX173,$BZ173,$AJ173,1,6)*$CB173</f>
        <v>#NAME?</v>
      </c>
      <c r="BK173" s="370" t="e">
        <f aca="false">xSPRDOPT($BW173,$BV173,$CG173,0,$BY173,$BX173,$BZ173,$AJ173,1,5)*$CB173</f>
        <v>#NAME?</v>
      </c>
      <c r="BL173" s="370" t="e">
        <f aca="false">xSPRDOPT(BW173,BV173,CG173,0,BY173,BX173,BZ173,AJ173,1,2)*CB173</f>
        <v>#NAME?</v>
      </c>
      <c r="BM173" s="370" t="e">
        <f aca="false">xSPRDOPT(BW173,BV173,CG173,0,BY173,BX173,BZ173,AJ173,1,1)*CB173</f>
        <v>#NAME?</v>
      </c>
      <c r="BN173" s="370" t="e">
        <f aca="false">IF(AH173&lt;&gt;0,xSPRDOPT($BW173,$BV173,$CG173,2*LN(1+CA173/2),$BY173,$BX173,$BZ173,$AJ173,1,8)+(AJ173/365.25)*CH173/AH173,0)</f>
        <v>#VALUE!</v>
      </c>
      <c r="BO173" s="370" t="e">
        <f aca="false">xSPRDOPT($BW173,$BV173,$CG173,0,$BY173,$BX173,$BZ173,$AJ173,1,0)</f>
        <v>#NAME?</v>
      </c>
      <c r="BP173" s="370"/>
      <c r="BQ173" s="370"/>
      <c r="BR173" s="370"/>
      <c r="BS173" s="370"/>
      <c r="BV173" s="508" t="n">
        <v>4.24040920716113</v>
      </c>
      <c r="BW173" s="369" t="n">
        <v>5.1695</v>
      </c>
      <c r="BX173" s="370" t="n">
        <v>0.172673785971329</v>
      </c>
      <c r="BY173" s="370" t="n">
        <v>0.172673785971329</v>
      </c>
      <c r="BZ173" s="370" t="n">
        <v>1</v>
      </c>
      <c r="CA173" s="370" t="n">
        <v>0.0632190030153152</v>
      </c>
      <c r="CB173" s="370" t="n">
        <v>0.454542554589191</v>
      </c>
      <c r="CC173" s="505" t="n">
        <v>0.0155</v>
      </c>
      <c r="CD173" s="505" t="n">
        <v>0.01</v>
      </c>
      <c r="CE173" s="505" t="n">
        <v>1.05</v>
      </c>
      <c r="CF173" s="505" t="n">
        <v>0</v>
      </c>
      <c r="CG173" s="505" t="n">
        <v>0.0364</v>
      </c>
      <c r="CH173" s="505" t="n">
        <v>5.19528503618807</v>
      </c>
      <c r="CI173" s="505" t="n">
        <v>4.1195</v>
      </c>
      <c r="CJ173" s="505"/>
      <c r="CK173" s="505"/>
      <c r="CL173" s="505"/>
      <c r="CM173" s="505"/>
    </row>
    <row r="174" customFormat="false" ht="12.75" hidden="false" customHeight="false" outlineLevel="0" collapsed="false">
      <c r="A174" s="500"/>
      <c r="B174" s="500"/>
      <c r="D174" s="361" t="e">
        <f aca="false">D173+AH173</f>
        <v>#VALUE!</v>
      </c>
      <c r="F174" s="362" t="e">
        <f aca="false">VLOOKUP(AG174,$AL$4:$AS$15,2)</f>
        <v>#VALUE!</v>
      </c>
      <c r="G174" s="362" t="e">
        <f aca="false">F174*$AU174</f>
        <v>#VALUE!</v>
      </c>
      <c r="H174" s="363" t="e">
        <f aca="false">(AL174+AM174+AN174)/(1-(AR174))</f>
        <v>#VALUE!</v>
      </c>
      <c r="I174" s="363" t="e">
        <f aca="false">(AL174+AO174+AP174)</f>
        <v>#VALUE!</v>
      </c>
      <c r="K174" s="363" t="e">
        <f aca="false">MAX(((I174-H174)-AQ174)*AU174*AH174,0)</f>
        <v>#VALUE!</v>
      </c>
      <c r="L174" s="501" t="e">
        <f aca="false">MAX(Q174-K174,0)</f>
        <v>#VALUE!</v>
      </c>
      <c r="N174" s="502" t="e">
        <f aca="false">SQRT(($AX174^2*($AH174/2)+$AW174^2*$AI174)/(($AH174/2)+$AI174))</f>
        <v>#VALUE!</v>
      </c>
      <c r="O174" s="502" t="e">
        <f aca="false">SQRT(($AY174^2*($AH174/2)+$AW174^2*$AI174)/(($AH174/2)+$AI174))</f>
        <v>#VALUE!</v>
      </c>
      <c r="P174" s="371" t="e">
        <f aca="false">(VLOOKUP(AI174,CorrelationTwo,2)*(AW174^2)*AI174+VLOOKUP(D174,CorrelationOne,$AK$9)*AX174*AY174*(AH174/2))/((AI174+(AH174/2))*O174*N174)*AF174</f>
        <v>#VALUE!</v>
      </c>
      <c r="Q174" s="501" t="e">
        <f aca="false">xSPRDOPT(I174,H174,AQ174,0,O174,N174,P174,D174-$G$5,1,0)*AH174*AU174</f>
        <v>#VALUE!</v>
      </c>
      <c r="R174" s="501"/>
      <c r="S174" s="365" t="e">
        <f aca="false">-T174/(1-AR174)</f>
        <v>#VALUE!</v>
      </c>
      <c r="T174" s="365" t="e">
        <f aca="false">xSPRDOPT(I174,H174,AQ174,AT174,O174,N174,P174,D174-$G$5,1,1)*AF174*F174*AH174</f>
        <v>#VALUE!</v>
      </c>
      <c r="U174" s="501"/>
      <c r="V174" s="503" t="e">
        <f aca="false">VLOOKUP($AG174,$AL$4:$AS$15,8)*AH174*AU174</f>
        <v>#VALUE!</v>
      </c>
      <c r="W174" s="503"/>
      <c r="X174" s="504" t="e">
        <f aca="false">((BM174*BC174)+(BL174*BB174))*AH174*F174</f>
        <v>#VALUE!</v>
      </c>
      <c r="Y174" s="504" t="e">
        <f aca="false">($F174*$AH174)*((($BG174/2)*($BC174)^2)+(($BF174/2)*($BB174)^2)+($BH174*$BC174*$BB174))</f>
        <v>#VALUE!</v>
      </c>
      <c r="Z174" s="504" t="e">
        <f aca="false">($BI174*$F174*$AH174*($G$5-$BV$5))/365.25</f>
        <v>#VALUE!</v>
      </c>
      <c r="AA174" s="504" t="e">
        <f aca="false">(($BK174*$BE174)+($BJ174*$BD174))*$F174*$AH174*$AF174</f>
        <v>#VALUE!</v>
      </c>
      <c r="AB174" s="504" t="e">
        <f aca="false">BN174*(AT174-CA174)*F174*AH174</f>
        <v>#VALUE!</v>
      </c>
      <c r="AC174" s="504" t="e">
        <f aca="false">BO174*CB174*F174*AH174*CA174*($G$5-$BV$5)/365.25</f>
        <v>#NAME?</v>
      </c>
      <c r="AF174" s="378" t="e">
        <f aca="false">IF(AND(D174&gt;=$G$7,D174&lt;=$G$8),1,0)</f>
        <v>#VALUE!</v>
      </c>
      <c r="AG174" s="378" t="e">
        <f aca="false">MONTH(D174)</f>
        <v>#VALUE!</v>
      </c>
      <c r="AH174" s="378" t="e">
        <f aca="false">(EOMONTH(D174,0)-EOMONTH(D174-DAY(D174),0))*AF174</f>
        <v>#VALUE!</v>
      </c>
      <c r="AI174" s="378" t="e">
        <f aca="false">AI173+AH173</f>
        <v>#VALUE!</v>
      </c>
      <c r="AJ174" s="378" t="e">
        <f aca="false">D174-$BV$5</f>
        <v>#VALUE!</v>
      </c>
      <c r="AL174" s="369" t="e">
        <f aca="false">VLOOKUP($D174,CurveTbl,$AK$4)</f>
        <v>#VALUE!</v>
      </c>
      <c r="AM174" s="505" t="e">
        <f aca="false">VLOOKUP($D174,CurveTbl,$AH$3)</f>
        <v>#VALUE!</v>
      </c>
      <c r="AN174" s="505" t="e">
        <f aca="false">VLOOKUP($D174,CurveTbl,$AH$4)+VLOOKUP($AG174,$AL$3:$AS$15,6)</f>
        <v>#VALUE!</v>
      </c>
      <c r="AO174" s="505" t="e">
        <f aca="false">VLOOKUP($D174,CurveTbl,$AH$5)</f>
        <v>#VALUE!</v>
      </c>
      <c r="AP174" s="505" t="e">
        <f aca="false">VLOOKUP($D174,CurveTbl,$AH$6)+VLOOKUP($AG174,$AL$3:$AS$15,7)</f>
        <v>#VALUE!</v>
      </c>
      <c r="AQ174" s="369" t="e">
        <f aca="false">VLOOKUP($AG174,$AL$4:$AS$15,3)+VLOOKUP($AG174,$AL$4:$AS$15,5)+($AH$10*VLOOKUP(D174,GRITable,2))</f>
        <v>#VALUE!</v>
      </c>
      <c r="AR174" s="370" t="e">
        <f aca="false">VLOOKUP($AG174,$AL$4:$AS$15,4)</f>
        <v>#VALUE!</v>
      </c>
      <c r="AS174" s="369" t="e">
        <f aca="false">(AL174+AM174+AN174)</f>
        <v>#VALUE!</v>
      </c>
      <c r="AT174" s="370" t="e">
        <f aca="false">VLOOKUP(D174,CurveTbl,$AK$6)</f>
        <v>#VALUE!</v>
      </c>
      <c r="AU174" s="370" t="e">
        <f aca="false">(1+$AT174/2)^(-2*($D174-$G$5)/365.25)*$AF174</f>
        <v>#VALUE!</v>
      </c>
      <c r="AV174" s="506" t="e">
        <f aca="false">ROUND((F174/(1-AR174))-F174,0)*AF174*AH174*AU174</f>
        <v>#VALUE!</v>
      </c>
      <c r="AW174" s="370" t="e">
        <f aca="false">VLOOKUP($D174,CurveTbl,$AK$8)</f>
        <v>#VALUE!</v>
      </c>
      <c r="AX174" s="370" t="e">
        <f aca="false">VLOOKUP($D174,CurveTbl,$AH$7)</f>
        <v>#VALUE!</v>
      </c>
      <c r="AY174" s="370" t="e">
        <f aca="false">VLOOKUP($D174,CurveTbl,$AH$8)</f>
        <v>#VALUE!</v>
      </c>
      <c r="AZ174" s="370"/>
      <c r="BA174" s="507"/>
      <c r="BB174" s="505" t="e">
        <f aca="false">$H174-$BV174</f>
        <v>#VALUE!</v>
      </c>
      <c r="BC174" s="505" t="e">
        <f aca="false">I174-BW174</f>
        <v>#VALUE!</v>
      </c>
      <c r="BD174" s="370" t="e">
        <f aca="false">N174-BX174</f>
        <v>#VALUE!</v>
      </c>
      <c r="BE174" s="370" t="e">
        <f aca="false">O174-BY174</f>
        <v>#VALUE!</v>
      </c>
      <c r="BF174" s="370" t="e">
        <f aca="false">xSPRDOPT($BW174,$BV174,$CG174,0,$BY174,$BX174,$BZ174,$AJ174,1,4)*$CB174</f>
        <v>#NAME?</v>
      </c>
      <c r="BG174" s="370" t="e">
        <f aca="false">xSPRDOPT($BW174,$BV174,$CG174,0,$BY174,$BX174,$BZ174,$AJ174,1,3)*$CB174</f>
        <v>#NAME?</v>
      </c>
      <c r="BH174" s="370" t="e">
        <f aca="false">IF(OR(BF174&lt;&gt;0,BG174&lt;&gt;0),xSPRDOPT($BW174,$BV174,$CG174,0,$BY174,$BX174,$BZ174,$AJ174,1,12)*$CB174,0)</f>
        <v>#NAME?</v>
      </c>
      <c r="BI174" s="370" t="e">
        <f aca="false">xSPRDOPT($BW174,$BV174,$CG174,2*LN(1+CA174/2),$BY174,$BX174,$BZ174,$AJ174,1,9)</f>
        <v>#NAME?</v>
      </c>
      <c r="BJ174" s="370" t="e">
        <f aca="false">xSPRDOPT($BW174,$BV174,$CG174,0,$BY174,$BX174,$BZ174,$AJ174,1,6)*$CB174</f>
        <v>#NAME?</v>
      </c>
      <c r="BK174" s="370" t="e">
        <f aca="false">xSPRDOPT($BW174,$BV174,$CG174,0,$BY174,$BX174,$BZ174,$AJ174,1,5)*$CB174</f>
        <v>#NAME?</v>
      </c>
      <c r="BL174" s="370" t="e">
        <f aca="false">xSPRDOPT(BW174,BV174,CG174,0,BY174,BX174,BZ174,AJ174,1,2)*CB174</f>
        <v>#NAME?</v>
      </c>
      <c r="BM174" s="370" t="e">
        <f aca="false">xSPRDOPT(BW174,BV174,CG174,0,BY174,BX174,BZ174,AJ174,1,1)*CB174</f>
        <v>#NAME?</v>
      </c>
      <c r="BN174" s="370" t="e">
        <f aca="false">IF(AH174&lt;&gt;0,xSPRDOPT($BW174,$BV174,$CG174,2*LN(1+CA174/2),$BY174,$BX174,$BZ174,$AJ174,1,8)+(AJ174/365.25)*CH174/AH174,0)</f>
        <v>#VALUE!</v>
      </c>
      <c r="BO174" s="370" t="e">
        <f aca="false">xSPRDOPT($BW174,$BV174,$CG174,0,$BY174,$BX174,$BZ174,$AJ174,1,0)</f>
        <v>#NAME?</v>
      </c>
      <c r="BP174" s="370"/>
      <c r="BQ174" s="370"/>
      <c r="BR174" s="370"/>
      <c r="BS174" s="370"/>
      <c r="BV174" s="508" t="n">
        <v>4.23529411764706</v>
      </c>
      <c r="BW174" s="369" t="n">
        <v>4.8645</v>
      </c>
      <c r="BX174" s="370" t="n">
        <v>0.172571364149457</v>
      </c>
      <c r="BY174" s="370" t="n">
        <v>0.172571364149457</v>
      </c>
      <c r="BZ174" s="370" t="n">
        <v>1</v>
      </c>
      <c r="CA174" s="370" t="n">
        <v>0.0632595471161164</v>
      </c>
      <c r="CB174" s="370" t="n">
        <v>0.451921177138216</v>
      </c>
      <c r="CC174" s="505" t="n">
        <v>0.0155</v>
      </c>
      <c r="CD174" s="505" t="n">
        <v>0.01</v>
      </c>
      <c r="CE174" s="505" t="n">
        <v>0.75</v>
      </c>
      <c r="CF174" s="505" t="n">
        <v>0</v>
      </c>
      <c r="CG174" s="505" t="n">
        <v>0.0364</v>
      </c>
      <c r="CH174" s="505" t="n">
        <v>4.99870014032581</v>
      </c>
      <c r="CI174" s="505" t="n">
        <v>4.1145</v>
      </c>
      <c r="CJ174" s="505"/>
      <c r="CK174" s="505"/>
      <c r="CL174" s="505"/>
      <c r="CM174" s="505"/>
    </row>
    <row r="175" customFormat="false" ht="12.75" hidden="false" customHeight="false" outlineLevel="0" collapsed="false">
      <c r="A175" s="500"/>
      <c r="B175" s="500"/>
      <c r="D175" s="361" t="e">
        <f aca="false">D174+AH174</f>
        <v>#VALUE!</v>
      </c>
      <c r="F175" s="362" t="e">
        <f aca="false">VLOOKUP(AG175,$AL$4:$AS$15,2)</f>
        <v>#VALUE!</v>
      </c>
      <c r="G175" s="362" t="e">
        <f aca="false">F175*$AU175</f>
        <v>#VALUE!</v>
      </c>
      <c r="H175" s="363" t="e">
        <f aca="false">(AL175+AM175+AN175)/(1-(AR175))</f>
        <v>#VALUE!</v>
      </c>
      <c r="I175" s="363" t="e">
        <f aca="false">(AL175+AO175+AP175)</f>
        <v>#VALUE!</v>
      </c>
      <c r="K175" s="363" t="e">
        <f aca="false">MAX(((I175-H175)-AQ175)*AU175*AH175,0)</f>
        <v>#VALUE!</v>
      </c>
      <c r="L175" s="501" t="e">
        <f aca="false">MAX(Q175-K175,0)</f>
        <v>#VALUE!</v>
      </c>
      <c r="N175" s="502" t="e">
        <f aca="false">SQRT(($AX175^2*($AH175/2)+$AW175^2*$AI175)/(($AH175/2)+$AI175))</f>
        <v>#VALUE!</v>
      </c>
      <c r="O175" s="502" t="e">
        <f aca="false">SQRT(($AY175^2*($AH175/2)+$AW175^2*$AI175)/(($AH175/2)+$AI175))</f>
        <v>#VALUE!</v>
      </c>
      <c r="P175" s="371" t="e">
        <f aca="false">(VLOOKUP(AI175,CorrelationTwo,2)*(AW175^2)*AI175+VLOOKUP(D175,CorrelationOne,$AK$9)*AX175*AY175*(AH175/2))/((AI175+(AH175/2))*O175*N175)*AF175</f>
        <v>#VALUE!</v>
      </c>
      <c r="Q175" s="501" t="e">
        <f aca="false">xSPRDOPT(I175,H175,AQ175,0,O175,N175,P175,D175-$G$5,1,0)*AH175*AU175</f>
        <v>#VALUE!</v>
      </c>
      <c r="R175" s="501"/>
      <c r="S175" s="365" t="e">
        <f aca="false">-T175/(1-AR175)</f>
        <v>#VALUE!</v>
      </c>
      <c r="T175" s="365" t="e">
        <f aca="false">xSPRDOPT(I175,H175,AQ175,AT175,O175,N175,P175,D175-$G$5,1,1)*AF175*F175*AH175</f>
        <v>#VALUE!</v>
      </c>
      <c r="U175" s="501"/>
      <c r="V175" s="503" t="e">
        <f aca="false">VLOOKUP($AG175,$AL$4:$AS$15,8)*AH175*AU175</f>
        <v>#VALUE!</v>
      </c>
      <c r="W175" s="503"/>
      <c r="X175" s="504" t="e">
        <f aca="false">((BM175*BC175)+(BL175*BB175))*AH175*F175</f>
        <v>#VALUE!</v>
      </c>
      <c r="Y175" s="504" t="e">
        <f aca="false">($F175*$AH175)*((($BG175/2)*($BC175)^2)+(($BF175/2)*($BB175)^2)+($BH175*$BC175*$BB175))</f>
        <v>#VALUE!</v>
      </c>
      <c r="Z175" s="504" t="e">
        <f aca="false">($BI175*$F175*$AH175*($G$5-$BV$5))/365.25</f>
        <v>#VALUE!</v>
      </c>
      <c r="AA175" s="504" t="e">
        <f aca="false">(($BK175*$BE175)+($BJ175*$BD175))*$F175*$AH175*$AF175</f>
        <v>#VALUE!</v>
      </c>
      <c r="AB175" s="504" t="e">
        <f aca="false">BN175*(AT175-CA175)*F175*AH175</f>
        <v>#VALUE!</v>
      </c>
      <c r="AC175" s="504" t="e">
        <f aca="false">BO175*CB175*F175*AH175*CA175*($G$5-$BV$5)/365.25</f>
        <v>#NAME?</v>
      </c>
      <c r="AF175" s="378" t="e">
        <f aca="false">IF(AND(D175&gt;=$G$7,D175&lt;=$G$8),1,0)</f>
        <v>#VALUE!</v>
      </c>
      <c r="AG175" s="378" t="e">
        <f aca="false">MONTH(D175)</f>
        <v>#VALUE!</v>
      </c>
      <c r="AH175" s="378" t="e">
        <f aca="false">(EOMONTH(D175,0)-EOMONTH(D175-DAY(D175),0))*AF175</f>
        <v>#VALUE!</v>
      </c>
      <c r="AI175" s="378" t="e">
        <f aca="false">AI174+AH174</f>
        <v>#VALUE!</v>
      </c>
      <c r="AJ175" s="378" t="e">
        <f aca="false">D175-$BV$5</f>
        <v>#VALUE!</v>
      </c>
      <c r="AL175" s="369" t="e">
        <f aca="false">VLOOKUP($D175,CurveTbl,$AK$4)</f>
        <v>#VALUE!</v>
      </c>
      <c r="AM175" s="505" t="e">
        <f aca="false">VLOOKUP($D175,CurveTbl,$AH$3)</f>
        <v>#VALUE!</v>
      </c>
      <c r="AN175" s="505" t="e">
        <f aca="false">VLOOKUP($D175,CurveTbl,$AH$4)+VLOOKUP($AG175,$AL$3:$AS$15,6)</f>
        <v>#VALUE!</v>
      </c>
      <c r="AO175" s="505" t="e">
        <f aca="false">VLOOKUP($D175,CurveTbl,$AH$5)</f>
        <v>#VALUE!</v>
      </c>
      <c r="AP175" s="505" t="e">
        <f aca="false">VLOOKUP($D175,CurveTbl,$AH$6)+VLOOKUP($AG175,$AL$3:$AS$15,7)</f>
        <v>#VALUE!</v>
      </c>
      <c r="AQ175" s="369" t="e">
        <f aca="false">VLOOKUP($AG175,$AL$4:$AS$15,3)+VLOOKUP($AG175,$AL$4:$AS$15,5)+($AH$10*VLOOKUP(D175,GRITable,2))</f>
        <v>#VALUE!</v>
      </c>
      <c r="AR175" s="370" t="e">
        <f aca="false">VLOOKUP($AG175,$AL$4:$AS$15,4)</f>
        <v>#VALUE!</v>
      </c>
      <c r="AS175" s="369" t="e">
        <f aca="false">(AL175+AM175+AN175)</f>
        <v>#VALUE!</v>
      </c>
      <c r="AT175" s="370" t="e">
        <f aca="false">VLOOKUP(D175,CurveTbl,$AK$6)</f>
        <v>#VALUE!</v>
      </c>
      <c r="AU175" s="370" t="e">
        <f aca="false">(1+$AT175/2)^(-2*($D175-$G$5)/365.25)*$AF175</f>
        <v>#VALUE!</v>
      </c>
      <c r="AV175" s="506" t="e">
        <f aca="false">ROUND((F175/(1-AR175))-F175,0)*AF175*AH175*AU175</f>
        <v>#VALUE!</v>
      </c>
      <c r="AW175" s="370" t="e">
        <f aca="false">VLOOKUP($D175,CurveTbl,$AK$8)</f>
        <v>#VALUE!</v>
      </c>
      <c r="AX175" s="370" t="e">
        <f aca="false">VLOOKUP($D175,CurveTbl,$AH$7)</f>
        <v>#VALUE!</v>
      </c>
      <c r="AY175" s="370" t="e">
        <f aca="false">VLOOKUP($D175,CurveTbl,$AH$8)</f>
        <v>#VALUE!</v>
      </c>
      <c r="AZ175" s="370"/>
      <c r="BA175" s="507"/>
      <c r="BB175" s="505" t="e">
        <f aca="false">$H175-$BV175</f>
        <v>#VALUE!</v>
      </c>
      <c r="BC175" s="505" t="e">
        <f aca="false">I175-BW175</f>
        <v>#VALUE!</v>
      </c>
      <c r="BD175" s="370" t="e">
        <f aca="false">N175-BX175</f>
        <v>#VALUE!</v>
      </c>
      <c r="BE175" s="370" t="e">
        <f aca="false">O175-BY175</f>
        <v>#VALUE!</v>
      </c>
      <c r="BF175" s="370" t="e">
        <f aca="false">xSPRDOPT($BW175,$BV175,$CG175,0,$BY175,$BX175,$BZ175,$AJ175,1,4)*$CB175</f>
        <v>#NAME?</v>
      </c>
      <c r="BG175" s="370" t="e">
        <f aca="false">xSPRDOPT($BW175,$BV175,$CG175,0,$BY175,$BX175,$BZ175,$AJ175,1,3)*$CB175</f>
        <v>#NAME?</v>
      </c>
      <c r="BH175" s="370" t="e">
        <f aca="false">IF(OR(BF175&lt;&gt;0,BG175&lt;&gt;0),xSPRDOPT($BW175,$BV175,$CG175,0,$BY175,$BX175,$BZ175,$AJ175,1,12)*$CB175,0)</f>
        <v>#NAME?</v>
      </c>
      <c r="BI175" s="370" t="e">
        <f aca="false">xSPRDOPT($BW175,$BV175,$CG175,2*LN(1+CA175/2),$BY175,$BX175,$BZ175,$AJ175,1,9)</f>
        <v>#NAME?</v>
      </c>
      <c r="BJ175" s="370" t="e">
        <f aca="false">xSPRDOPT($BW175,$BV175,$CG175,0,$BY175,$BX175,$BZ175,$AJ175,1,6)*$CB175</f>
        <v>#NAME?</v>
      </c>
      <c r="BK175" s="370" t="e">
        <f aca="false">xSPRDOPT($BW175,$BV175,$CG175,0,$BY175,$BX175,$BZ175,$AJ175,1,5)*$CB175</f>
        <v>#NAME?</v>
      </c>
      <c r="BL175" s="370" t="e">
        <f aca="false">xSPRDOPT(BW175,BV175,CG175,0,BY175,BX175,BZ175,AJ175,1,2)*CB175</f>
        <v>#NAME?</v>
      </c>
      <c r="BM175" s="370" t="e">
        <f aca="false">xSPRDOPT(BW175,BV175,CG175,0,BY175,BX175,BZ175,AJ175,1,1)*CB175</f>
        <v>#NAME?</v>
      </c>
      <c r="BN175" s="370" t="e">
        <f aca="false">IF(AH175&lt;&gt;0,xSPRDOPT($BW175,$BV175,$CG175,2*LN(1+CA175/2),$BY175,$BX175,$BZ175,$AJ175,1,8)+(AJ175/365.25)*CH175/AH175,0)</f>
        <v>#VALUE!</v>
      </c>
      <c r="BO175" s="370" t="e">
        <f aca="false">xSPRDOPT($BW175,$BV175,$CG175,0,$BY175,$BX175,$BZ175,$AJ175,1,0)</f>
        <v>#NAME?</v>
      </c>
      <c r="BP175" s="370"/>
      <c r="BQ175" s="370"/>
      <c r="BR175" s="370"/>
      <c r="BS175" s="370"/>
      <c r="BV175" s="508" t="n">
        <v>4.26923076923077</v>
      </c>
      <c r="BW175" s="369" t="n">
        <v>4.5895</v>
      </c>
      <c r="BX175" s="370" t="n">
        <v>0.173188828744702</v>
      </c>
      <c r="BY175" s="370" t="n">
        <v>0.173188828744702</v>
      </c>
      <c r="BZ175" s="370" t="n">
        <v>1</v>
      </c>
      <c r="CA175" s="370" t="n">
        <v>0.063298783343217</v>
      </c>
      <c r="CB175" s="370" t="n">
        <v>0.449395904857832</v>
      </c>
      <c r="CC175" s="505" t="n">
        <v>0.013</v>
      </c>
      <c r="CD175" s="505" t="n">
        <v>0.01</v>
      </c>
      <c r="CE175" s="505" t="n">
        <v>0.45</v>
      </c>
      <c r="CF175" s="505" t="n">
        <v>0</v>
      </c>
      <c r="CG175" s="505" t="n">
        <v>0.0364</v>
      </c>
      <c r="CH175" s="505" t="n">
        <v>5.13646037375357</v>
      </c>
      <c r="CI175" s="505" t="n">
        <v>4.1395</v>
      </c>
      <c r="CJ175" s="505"/>
      <c r="CK175" s="505"/>
      <c r="CL175" s="505"/>
      <c r="CM175" s="505"/>
    </row>
    <row r="176" customFormat="false" ht="12.75" hidden="false" customHeight="false" outlineLevel="0" collapsed="false">
      <c r="A176" s="500"/>
      <c r="B176" s="500"/>
      <c r="D176" s="361" t="e">
        <f aca="false">D175+AH175</f>
        <v>#VALUE!</v>
      </c>
      <c r="F176" s="362" t="e">
        <f aca="false">VLOOKUP(AG176,$AL$4:$AS$15,2)</f>
        <v>#VALUE!</v>
      </c>
      <c r="G176" s="362" t="e">
        <f aca="false">F176*$AU176</f>
        <v>#VALUE!</v>
      </c>
      <c r="H176" s="363" t="e">
        <f aca="false">(AL176+AM176+AN176)/(1-(AR176))</f>
        <v>#VALUE!</v>
      </c>
      <c r="I176" s="363" t="e">
        <f aca="false">(AL176+AO176+AP176)</f>
        <v>#VALUE!</v>
      </c>
      <c r="K176" s="363" t="e">
        <f aca="false">MAX(((I176-H176)-AQ176)*AU176*AH176,0)</f>
        <v>#VALUE!</v>
      </c>
      <c r="L176" s="501" t="e">
        <f aca="false">MAX(Q176-K176,0)</f>
        <v>#VALUE!</v>
      </c>
      <c r="N176" s="502" t="e">
        <f aca="false">SQRT(($AX176^2*($AH176/2)+$AW176^2*$AI176)/(($AH176/2)+$AI176))</f>
        <v>#VALUE!</v>
      </c>
      <c r="O176" s="502" t="e">
        <f aca="false">SQRT(($AY176^2*($AH176/2)+$AW176^2*$AI176)/(($AH176/2)+$AI176))</f>
        <v>#VALUE!</v>
      </c>
      <c r="P176" s="371" t="e">
        <f aca="false">(VLOOKUP(AI176,CorrelationTwo,2)*(AW176^2)*AI176+VLOOKUP(D176,CorrelationOne,$AK$9)*AX176*AY176*(AH176/2))/((AI176+(AH176/2))*O176*N176)*AF176</f>
        <v>#VALUE!</v>
      </c>
      <c r="Q176" s="501" t="e">
        <f aca="false">xSPRDOPT(I176,H176,AQ176,0,O176,N176,P176,D176-$G$5,1,0)*AH176*AU176</f>
        <v>#VALUE!</v>
      </c>
      <c r="R176" s="501"/>
      <c r="S176" s="365" t="e">
        <f aca="false">-T176/(1-AR176)</f>
        <v>#VALUE!</v>
      </c>
      <c r="T176" s="365" t="e">
        <f aca="false">xSPRDOPT(I176,H176,AQ176,AT176,O176,N176,P176,D176-$G$5,1,1)*AF176*F176*AH176</f>
        <v>#VALUE!</v>
      </c>
      <c r="U176" s="501"/>
      <c r="V176" s="503" t="e">
        <f aca="false">VLOOKUP($AG176,$AL$4:$AS$15,8)*AH176*AU176</f>
        <v>#VALUE!</v>
      </c>
      <c r="W176" s="503"/>
      <c r="X176" s="504" t="e">
        <f aca="false">((BM176*BC176)+(BL176*BB176))*AH176*F176</f>
        <v>#VALUE!</v>
      </c>
      <c r="Y176" s="504" t="e">
        <f aca="false">($F176*$AH176)*((($BG176/2)*($BC176)^2)+(($BF176/2)*($BB176)^2)+($BH176*$BC176*$BB176))</f>
        <v>#VALUE!</v>
      </c>
      <c r="Z176" s="504" t="e">
        <f aca="false">($BI176*$F176*$AH176*($G$5-$BV$5))/365.25</f>
        <v>#VALUE!</v>
      </c>
      <c r="AA176" s="504" t="e">
        <f aca="false">(($BK176*$BE176)+($BJ176*$BD176))*$F176*$AH176*$AF176</f>
        <v>#VALUE!</v>
      </c>
      <c r="AB176" s="504" t="e">
        <f aca="false">BN176*(AT176-CA176)*F176*AH176</f>
        <v>#VALUE!</v>
      </c>
      <c r="AC176" s="504" t="e">
        <f aca="false">BO176*CB176*F176*AH176*CA176*($G$5-$BV$5)/365.25</f>
        <v>#NAME?</v>
      </c>
      <c r="AF176" s="378" t="e">
        <f aca="false">IF(AND(D176&gt;=$G$7,D176&lt;=$G$8),1,0)</f>
        <v>#VALUE!</v>
      </c>
      <c r="AG176" s="378" t="e">
        <f aca="false">MONTH(D176)</f>
        <v>#VALUE!</v>
      </c>
      <c r="AH176" s="378" t="e">
        <f aca="false">(EOMONTH(D176,0)-EOMONTH(D176-DAY(D176),0))*AF176</f>
        <v>#VALUE!</v>
      </c>
      <c r="AI176" s="378" t="e">
        <f aca="false">AI175+AH175</f>
        <v>#VALUE!</v>
      </c>
      <c r="AJ176" s="378" t="e">
        <f aca="false">D176-$BV$5</f>
        <v>#VALUE!</v>
      </c>
      <c r="AL176" s="369" t="e">
        <f aca="false">VLOOKUP($D176,CurveTbl,$AK$4)</f>
        <v>#VALUE!</v>
      </c>
      <c r="AM176" s="505" t="e">
        <f aca="false">VLOOKUP($D176,CurveTbl,$AH$3)</f>
        <v>#VALUE!</v>
      </c>
      <c r="AN176" s="505" t="e">
        <f aca="false">VLOOKUP($D176,CurveTbl,$AH$4)+VLOOKUP($AG176,$AL$3:$AS$15,6)</f>
        <v>#VALUE!</v>
      </c>
      <c r="AO176" s="505" t="e">
        <f aca="false">VLOOKUP($D176,CurveTbl,$AH$5)</f>
        <v>#VALUE!</v>
      </c>
      <c r="AP176" s="505" t="e">
        <f aca="false">VLOOKUP($D176,CurveTbl,$AH$6)+VLOOKUP($AG176,$AL$3:$AS$15,7)</f>
        <v>#VALUE!</v>
      </c>
      <c r="AQ176" s="369" t="e">
        <f aca="false">VLOOKUP($AG176,$AL$4:$AS$15,3)+VLOOKUP($AG176,$AL$4:$AS$15,5)+($AH$10*VLOOKUP(D176,GRITable,2))</f>
        <v>#VALUE!</v>
      </c>
      <c r="AR176" s="370" t="e">
        <f aca="false">VLOOKUP($AG176,$AL$4:$AS$15,4)</f>
        <v>#VALUE!</v>
      </c>
      <c r="AS176" s="369" t="e">
        <f aca="false">(AL176+AM176+AN176)</f>
        <v>#VALUE!</v>
      </c>
      <c r="AT176" s="370" t="e">
        <f aca="false">VLOOKUP(D176,CurveTbl,$AK$6)</f>
        <v>#VALUE!</v>
      </c>
      <c r="AU176" s="370" t="e">
        <f aca="false">(1+$AT176/2)^(-2*($D176-$G$5)/365.25)*$AF176</f>
        <v>#VALUE!</v>
      </c>
      <c r="AV176" s="506" t="e">
        <f aca="false">ROUND((F176/(1-AR176))-F176,0)*AF176*AH176*AU176</f>
        <v>#VALUE!</v>
      </c>
      <c r="AW176" s="370" t="e">
        <f aca="false">VLOOKUP($D176,CurveTbl,$AK$8)</f>
        <v>#VALUE!</v>
      </c>
      <c r="AX176" s="370" t="e">
        <f aca="false">VLOOKUP($D176,CurveTbl,$AH$7)</f>
        <v>#VALUE!</v>
      </c>
      <c r="AY176" s="370" t="e">
        <f aca="false">VLOOKUP($D176,CurveTbl,$AH$8)</f>
        <v>#VALUE!</v>
      </c>
      <c r="AZ176" s="370"/>
      <c r="BA176" s="507"/>
      <c r="BB176" s="505" t="e">
        <f aca="false">$H176-$BV176</f>
        <v>#VALUE!</v>
      </c>
      <c r="BC176" s="505" t="e">
        <f aca="false">I176-BW176</f>
        <v>#VALUE!</v>
      </c>
      <c r="BD176" s="370" t="e">
        <f aca="false">N176-BX176</f>
        <v>#VALUE!</v>
      </c>
      <c r="BE176" s="370" t="e">
        <f aca="false">O176-BY176</f>
        <v>#VALUE!</v>
      </c>
      <c r="BF176" s="370" t="e">
        <f aca="false">xSPRDOPT($BW176,$BV176,$CG176,0,$BY176,$BX176,$BZ176,$AJ176,1,4)*$CB176</f>
        <v>#NAME?</v>
      </c>
      <c r="BG176" s="370" t="e">
        <f aca="false">xSPRDOPT($BW176,$BV176,$CG176,0,$BY176,$BX176,$BZ176,$AJ176,1,3)*$CB176</f>
        <v>#NAME?</v>
      </c>
      <c r="BH176" s="370" t="e">
        <f aca="false">IF(OR(BF176&lt;&gt;0,BG176&lt;&gt;0),xSPRDOPT($BW176,$BV176,$CG176,0,$BY176,$BX176,$BZ176,$AJ176,1,12)*$CB176,0)</f>
        <v>#NAME?</v>
      </c>
      <c r="BI176" s="370" t="e">
        <f aca="false">xSPRDOPT($BW176,$BV176,$CG176,2*LN(1+CA176/2),$BY176,$BX176,$BZ176,$AJ176,1,9)</f>
        <v>#NAME?</v>
      </c>
      <c r="BJ176" s="370" t="e">
        <f aca="false">xSPRDOPT($BW176,$BV176,$CG176,0,$BY176,$BX176,$BZ176,$AJ176,1,6)*$CB176</f>
        <v>#NAME?</v>
      </c>
      <c r="BK176" s="370" t="e">
        <f aca="false">xSPRDOPT($BW176,$BV176,$CG176,0,$BY176,$BX176,$BZ176,$AJ176,1,5)*$CB176</f>
        <v>#NAME?</v>
      </c>
      <c r="BL176" s="370" t="e">
        <f aca="false">xSPRDOPT(BW176,BV176,CG176,0,BY176,BX176,BZ176,AJ176,1,2)*CB176</f>
        <v>#NAME?</v>
      </c>
      <c r="BM176" s="370" t="e">
        <f aca="false">xSPRDOPT(BW176,BV176,CG176,0,BY176,BX176,BZ176,AJ176,1,1)*CB176</f>
        <v>#NAME?</v>
      </c>
      <c r="BN176" s="370" t="e">
        <f aca="false">IF(AH176&lt;&gt;0,xSPRDOPT($BW176,$BV176,$CG176,2*LN(1+CA176/2),$BY176,$BX176,$BZ176,$AJ176,1,8)+(AJ176/365.25)*CH176/AH176,0)</f>
        <v>#VALUE!</v>
      </c>
      <c r="BO176" s="370" t="e">
        <f aca="false">xSPRDOPT($BW176,$BV176,$CG176,0,$BY176,$BX176,$BZ176,$AJ176,1,0)</f>
        <v>#NAME?</v>
      </c>
      <c r="BP176" s="370"/>
      <c r="BQ176" s="370"/>
      <c r="BR176" s="370"/>
      <c r="BS176" s="370"/>
      <c r="BV176" s="508" t="n">
        <v>4.41227621483376</v>
      </c>
      <c r="BW176" s="369" t="n">
        <v>4.7415</v>
      </c>
      <c r="BX176" s="370" t="n">
        <v>0.175619062418479</v>
      </c>
      <c r="BY176" s="370" t="n">
        <v>0.175619062418479</v>
      </c>
      <c r="BZ176" s="370" t="n">
        <v>1</v>
      </c>
      <c r="CA176" s="370" t="n">
        <v>0.0633393274450911</v>
      </c>
      <c r="CB176" s="370" t="n">
        <v>0.446798351950687</v>
      </c>
      <c r="CC176" s="505" t="n">
        <v>0.014</v>
      </c>
      <c r="CD176" s="505" t="n">
        <v>0.0075</v>
      </c>
      <c r="CE176" s="505" t="n">
        <v>0.45</v>
      </c>
      <c r="CF176" s="505" t="n">
        <v>0</v>
      </c>
      <c r="CG176" s="505" t="n">
        <v>0.0364</v>
      </c>
      <c r="CH176" s="505" t="n">
        <v>4.94203657092655</v>
      </c>
      <c r="CI176" s="505" t="n">
        <v>4.2915</v>
      </c>
      <c r="CJ176" s="505"/>
      <c r="CK176" s="505"/>
      <c r="CL176" s="505"/>
      <c r="CM176" s="505"/>
    </row>
    <row r="177" customFormat="false" ht="12.75" hidden="false" customHeight="false" outlineLevel="0" collapsed="false">
      <c r="A177" s="500"/>
      <c r="B177" s="500"/>
      <c r="D177" s="361" t="e">
        <f aca="false">D176+AH176</f>
        <v>#VALUE!</v>
      </c>
      <c r="F177" s="362" t="e">
        <f aca="false">VLOOKUP(AG177,$AL$4:$AS$15,2)</f>
        <v>#VALUE!</v>
      </c>
      <c r="G177" s="362" t="e">
        <f aca="false">F177*$AU177</f>
        <v>#VALUE!</v>
      </c>
      <c r="H177" s="363" t="e">
        <f aca="false">(AL177+AM177+AN177)/(1-(AR177))</f>
        <v>#VALUE!</v>
      </c>
      <c r="I177" s="363" t="e">
        <f aca="false">(AL177+AO177+AP177)</f>
        <v>#VALUE!</v>
      </c>
      <c r="K177" s="363" t="e">
        <f aca="false">MAX(((I177-H177)-AQ177)*AU177*AH177,0)</f>
        <v>#VALUE!</v>
      </c>
      <c r="L177" s="501" t="e">
        <f aca="false">MAX(Q177-K177,0)</f>
        <v>#VALUE!</v>
      </c>
      <c r="N177" s="502" t="e">
        <f aca="false">SQRT(($AX177^2*($AH177/2)+$AW177^2*$AI177)/(($AH177/2)+$AI177))</f>
        <v>#VALUE!</v>
      </c>
      <c r="O177" s="502" t="e">
        <f aca="false">SQRT(($AY177^2*($AH177/2)+$AW177^2*$AI177)/(($AH177/2)+$AI177))</f>
        <v>#VALUE!</v>
      </c>
      <c r="P177" s="371" t="e">
        <f aca="false">(VLOOKUP(AI177,CorrelationTwo,2)*(AW177^2)*AI177+VLOOKUP(D177,CorrelationOne,$AK$9)*AX177*AY177*(AH177/2))/((AI177+(AH177/2))*O177*N177)*AF177</f>
        <v>#VALUE!</v>
      </c>
      <c r="Q177" s="501" t="e">
        <f aca="false">xSPRDOPT(I177,H177,AQ177,0,O177,N177,P177,D177-$G$5,1,0)*AH177*AU177</f>
        <v>#VALUE!</v>
      </c>
      <c r="R177" s="501"/>
      <c r="S177" s="365" t="e">
        <f aca="false">-T177/(1-AR177)</f>
        <v>#VALUE!</v>
      </c>
      <c r="T177" s="365" t="e">
        <f aca="false">xSPRDOPT(I177,H177,AQ177,AT177,O177,N177,P177,D177-$G$5,1,1)*AF177*F177*AH177</f>
        <v>#VALUE!</v>
      </c>
      <c r="U177" s="501"/>
      <c r="V177" s="503" t="e">
        <f aca="false">VLOOKUP($AG177,$AL$4:$AS$15,8)*AH177*AU177</f>
        <v>#VALUE!</v>
      </c>
      <c r="W177" s="503"/>
      <c r="X177" s="504" t="e">
        <f aca="false">((BM177*BC177)+(BL177*BB177))*AH177*F177</f>
        <v>#VALUE!</v>
      </c>
      <c r="Y177" s="504" t="e">
        <f aca="false">($F177*$AH177)*((($BG177/2)*($BC177)^2)+(($BF177/2)*($BB177)^2)+($BH177*$BC177*$BB177))</f>
        <v>#VALUE!</v>
      </c>
      <c r="Z177" s="504" t="e">
        <f aca="false">($BI177*$F177*$AH177*($G$5-$BV$5))/365.25</f>
        <v>#VALUE!</v>
      </c>
      <c r="AA177" s="504" t="e">
        <f aca="false">(($BK177*$BE177)+($BJ177*$BD177))*$F177*$AH177*$AF177</f>
        <v>#VALUE!</v>
      </c>
      <c r="AB177" s="504" t="e">
        <f aca="false">BN177*(AT177-CA177)*F177*AH177</f>
        <v>#VALUE!</v>
      </c>
      <c r="AC177" s="504" t="e">
        <f aca="false">BO177*CB177*F177*AH177*CA177*($G$5-$BV$5)/365.25</f>
        <v>#NAME?</v>
      </c>
      <c r="AF177" s="378" t="e">
        <f aca="false">IF(AND(D177&gt;=$G$7,D177&lt;=$G$8),1,0)</f>
        <v>#VALUE!</v>
      </c>
      <c r="AG177" s="378" t="e">
        <f aca="false">MONTH(D177)</f>
        <v>#VALUE!</v>
      </c>
      <c r="AH177" s="378" t="e">
        <f aca="false">(EOMONTH(D177,0)-EOMONTH(D177-DAY(D177),0))*AF177</f>
        <v>#VALUE!</v>
      </c>
      <c r="AI177" s="378" t="e">
        <f aca="false">AI176+AH176</f>
        <v>#VALUE!</v>
      </c>
      <c r="AJ177" s="378" t="e">
        <f aca="false">D177-$BV$5</f>
        <v>#VALUE!</v>
      </c>
      <c r="AL177" s="369" t="e">
        <f aca="false">VLOOKUP($D177,CurveTbl,$AK$4)</f>
        <v>#VALUE!</v>
      </c>
      <c r="AM177" s="505" t="e">
        <f aca="false">VLOOKUP($D177,CurveTbl,$AH$3)</f>
        <v>#VALUE!</v>
      </c>
      <c r="AN177" s="505" t="e">
        <f aca="false">VLOOKUP($D177,CurveTbl,$AH$4)+VLOOKUP($AG177,$AL$3:$AS$15,6)</f>
        <v>#VALUE!</v>
      </c>
      <c r="AO177" s="505" t="e">
        <f aca="false">VLOOKUP($D177,CurveTbl,$AH$5)</f>
        <v>#VALUE!</v>
      </c>
      <c r="AP177" s="505" t="e">
        <f aca="false">VLOOKUP($D177,CurveTbl,$AH$6)+VLOOKUP($AG177,$AL$3:$AS$15,7)</f>
        <v>#VALUE!</v>
      </c>
      <c r="AQ177" s="369" t="e">
        <f aca="false">VLOOKUP($AG177,$AL$4:$AS$15,3)+VLOOKUP($AG177,$AL$4:$AS$15,5)+($AH$10*VLOOKUP(D177,GRITable,2))</f>
        <v>#VALUE!</v>
      </c>
      <c r="AR177" s="370" t="e">
        <f aca="false">VLOOKUP($AG177,$AL$4:$AS$15,4)</f>
        <v>#VALUE!</v>
      </c>
      <c r="AS177" s="369" t="e">
        <f aca="false">(AL177+AM177+AN177)</f>
        <v>#VALUE!</v>
      </c>
      <c r="AT177" s="370" t="e">
        <f aca="false">VLOOKUP(D177,CurveTbl,$AK$6)</f>
        <v>#VALUE!</v>
      </c>
      <c r="AU177" s="370" t="e">
        <f aca="false">(1+$AT177/2)^(-2*($D177-$G$5)/365.25)*$AF177</f>
        <v>#VALUE!</v>
      </c>
      <c r="AV177" s="506" t="e">
        <f aca="false">ROUND((F177/(1-AR177))-F177,0)*AF177*AH177*AU177</f>
        <v>#VALUE!</v>
      </c>
      <c r="AW177" s="370" t="e">
        <f aca="false">VLOOKUP($D177,CurveTbl,$AK$8)</f>
        <v>#VALUE!</v>
      </c>
      <c r="AX177" s="370" t="e">
        <f aca="false">VLOOKUP($D177,CurveTbl,$AH$7)</f>
        <v>#VALUE!</v>
      </c>
      <c r="AY177" s="370" t="e">
        <f aca="false">VLOOKUP($D177,CurveTbl,$AH$8)</f>
        <v>#VALUE!</v>
      </c>
      <c r="AZ177" s="370"/>
      <c r="BA177" s="507"/>
      <c r="BB177" s="505" t="e">
        <f aca="false">$H177-$BV177</f>
        <v>#VALUE!</v>
      </c>
      <c r="BC177" s="505" t="e">
        <f aca="false">I177-BW177</f>
        <v>#VALUE!</v>
      </c>
      <c r="BD177" s="370" t="e">
        <f aca="false">N177-BX177</f>
        <v>#VALUE!</v>
      </c>
      <c r="BE177" s="370" t="e">
        <f aca="false">O177-BY177</f>
        <v>#VALUE!</v>
      </c>
      <c r="BF177" s="370" t="e">
        <f aca="false">xSPRDOPT($BW177,$BV177,$CG177,0,$BY177,$BX177,$BZ177,$AJ177,1,4)*$CB177</f>
        <v>#NAME?</v>
      </c>
      <c r="BG177" s="370" t="e">
        <f aca="false">xSPRDOPT($BW177,$BV177,$CG177,0,$BY177,$BX177,$BZ177,$AJ177,1,3)*$CB177</f>
        <v>#NAME?</v>
      </c>
      <c r="BH177" s="370" t="e">
        <f aca="false">IF(OR(BF177&lt;&gt;0,BG177&lt;&gt;0),xSPRDOPT($BW177,$BV177,$CG177,0,$BY177,$BX177,$BZ177,$AJ177,1,12)*$CB177,0)</f>
        <v>#NAME?</v>
      </c>
      <c r="BI177" s="370" t="e">
        <f aca="false">xSPRDOPT($BW177,$BV177,$CG177,2*LN(1+CA177/2),$BY177,$BX177,$BZ177,$AJ177,1,9)</f>
        <v>#NAME?</v>
      </c>
      <c r="BJ177" s="370" t="e">
        <f aca="false">xSPRDOPT($BW177,$BV177,$CG177,0,$BY177,$BX177,$BZ177,$AJ177,1,6)*$CB177</f>
        <v>#NAME?</v>
      </c>
      <c r="BK177" s="370" t="e">
        <f aca="false">xSPRDOPT($BW177,$BV177,$CG177,0,$BY177,$BX177,$BZ177,$AJ177,1,5)*$CB177</f>
        <v>#NAME?</v>
      </c>
      <c r="BL177" s="370" t="e">
        <f aca="false">xSPRDOPT(BW177,BV177,CG177,0,BY177,BX177,BZ177,AJ177,1,2)*CB177</f>
        <v>#NAME?</v>
      </c>
      <c r="BM177" s="370" t="e">
        <f aca="false">xSPRDOPT(BW177,BV177,CG177,0,BY177,BX177,BZ177,AJ177,1,1)*CB177</f>
        <v>#NAME?</v>
      </c>
      <c r="BN177" s="370" t="e">
        <f aca="false">IF(AH177&lt;&gt;0,xSPRDOPT($BW177,$BV177,$CG177,2*LN(1+CA177/2),$BY177,$BX177,$BZ177,$AJ177,1,8)+(AJ177/365.25)*CH177/AH177,0)</f>
        <v>#VALUE!</v>
      </c>
      <c r="BO177" s="370" t="e">
        <f aca="false">xSPRDOPT($BW177,$BV177,$CG177,0,$BY177,$BX177,$BZ177,$AJ177,1,0)</f>
        <v>#NAME?</v>
      </c>
      <c r="BP177" s="370"/>
      <c r="BQ177" s="370"/>
      <c r="BR177" s="370"/>
      <c r="BS177" s="370"/>
      <c r="BV177" s="508" t="n">
        <v>4.55856777493606</v>
      </c>
      <c r="BW177" s="369" t="n">
        <v>4.8345</v>
      </c>
      <c r="BX177" s="370" t="n">
        <v>0.179076852505432</v>
      </c>
      <c r="BY177" s="370" t="n">
        <v>0.179076852505432</v>
      </c>
      <c r="BZ177" s="370" t="n">
        <v>1</v>
      </c>
      <c r="CA177" s="370" t="n">
        <v>0.0633785636732305</v>
      </c>
      <c r="CB177" s="370" t="n">
        <v>0.444296069595525</v>
      </c>
      <c r="CC177" s="505" t="n">
        <v>0.014</v>
      </c>
      <c r="CD177" s="505" t="n">
        <v>0.0075</v>
      </c>
      <c r="CE177" s="505" t="n">
        <v>0.4</v>
      </c>
      <c r="CF177" s="505" t="n">
        <v>0</v>
      </c>
      <c r="CG177" s="505" t="n">
        <v>0.0364</v>
      </c>
      <c r="CH177" s="505" t="n">
        <v>5.07817078665598</v>
      </c>
      <c r="CI177" s="505" t="n">
        <v>4.4345</v>
      </c>
      <c r="CJ177" s="505"/>
      <c r="CK177" s="505"/>
      <c r="CL177" s="505"/>
      <c r="CM177" s="505"/>
    </row>
    <row r="178" customFormat="false" ht="12.75" hidden="false" customHeight="false" outlineLevel="0" collapsed="false">
      <c r="A178" s="500"/>
      <c r="B178" s="500"/>
      <c r="D178" s="361" t="e">
        <f aca="false">D177+AH177</f>
        <v>#VALUE!</v>
      </c>
      <c r="F178" s="362" t="e">
        <f aca="false">VLOOKUP(AG178,$AL$4:$AS$15,2)</f>
        <v>#VALUE!</v>
      </c>
      <c r="G178" s="362" t="e">
        <f aca="false">F178*$AU178</f>
        <v>#VALUE!</v>
      </c>
      <c r="H178" s="363" t="e">
        <f aca="false">(AL178+AM178+AN178)/(1-(AR178))</f>
        <v>#VALUE!</v>
      </c>
      <c r="I178" s="363" t="e">
        <f aca="false">(AL178+AO178+AP178)</f>
        <v>#VALUE!</v>
      </c>
      <c r="K178" s="363" t="e">
        <f aca="false">MAX(((I178-H178)-AQ178)*AU178*AH178,0)</f>
        <v>#VALUE!</v>
      </c>
      <c r="L178" s="501" t="e">
        <f aca="false">MAX(Q178-K178,0)</f>
        <v>#VALUE!</v>
      </c>
      <c r="N178" s="502" t="e">
        <f aca="false">SQRT(($AX178^2*($AH178/2)+$AW178^2*$AI178)/(($AH178/2)+$AI178))</f>
        <v>#VALUE!</v>
      </c>
      <c r="O178" s="502" t="e">
        <f aca="false">SQRT(($AY178^2*($AH178/2)+$AW178^2*$AI178)/(($AH178/2)+$AI178))</f>
        <v>#VALUE!</v>
      </c>
      <c r="P178" s="371" t="e">
        <f aca="false">(VLOOKUP(AI178,CorrelationTwo,2)*(AW178^2)*AI178+VLOOKUP(D178,CorrelationOne,$AK$9)*AX178*AY178*(AH178/2))/((AI178+(AH178/2))*O178*N178)*AF178</f>
        <v>#VALUE!</v>
      </c>
      <c r="Q178" s="501" t="e">
        <f aca="false">xSPRDOPT(I178,H178,AQ178,0,O178,N178,P178,D178-$G$5,1,0)*AH178*AU178</f>
        <v>#VALUE!</v>
      </c>
      <c r="R178" s="501"/>
      <c r="S178" s="365" t="e">
        <f aca="false">-T178/(1-AR178)</f>
        <v>#VALUE!</v>
      </c>
      <c r="T178" s="365" t="e">
        <f aca="false">xSPRDOPT(I178,H178,AQ178,AT178,O178,N178,P178,D178-$G$5,1,1)*AF178*F178*AH178</f>
        <v>#VALUE!</v>
      </c>
      <c r="U178" s="501"/>
      <c r="V178" s="503" t="e">
        <f aca="false">VLOOKUP($AG178,$AL$4:$AS$15,8)*AH178*AU178</f>
        <v>#VALUE!</v>
      </c>
      <c r="W178" s="503"/>
      <c r="X178" s="504" t="e">
        <f aca="false">((BM178*BC178)+(BL178*BB178))*AH178*F178</f>
        <v>#VALUE!</v>
      </c>
      <c r="Y178" s="504" t="e">
        <f aca="false">($F178*$AH178)*((($BG178/2)*($BC178)^2)+(($BF178/2)*($BB178)^2)+($BH178*$BC178*$BB178))</f>
        <v>#VALUE!</v>
      </c>
      <c r="Z178" s="504" t="e">
        <f aca="false">($BI178*$F178*$AH178*($G$5-$BV$5))/365.25</f>
        <v>#VALUE!</v>
      </c>
      <c r="AA178" s="504" t="e">
        <f aca="false">(($BK178*$BE178)+($BJ178*$BD178))*$F178*$AH178*$AF178</f>
        <v>#VALUE!</v>
      </c>
      <c r="AB178" s="504" t="e">
        <f aca="false">BN178*(AT178-CA178)*F178*AH178</f>
        <v>#VALUE!</v>
      </c>
      <c r="AC178" s="504" t="e">
        <f aca="false">BO178*CB178*F178*AH178*CA178*($G$5-$BV$5)/365.25</f>
        <v>#NAME?</v>
      </c>
      <c r="AF178" s="378" t="e">
        <f aca="false">IF(AND(D178&gt;=$G$7,D178&lt;=$G$8),1,0)</f>
        <v>#VALUE!</v>
      </c>
      <c r="AG178" s="378" t="e">
        <f aca="false">MONTH(D178)</f>
        <v>#VALUE!</v>
      </c>
      <c r="AH178" s="378" t="e">
        <f aca="false">(EOMONTH(D178,0)-EOMONTH(D178-DAY(D178),0))*AF178</f>
        <v>#VALUE!</v>
      </c>
      <c r="AI178" s="378" t="e">
        <f aca="false">AI177+AH177</f>
        <v>#VALUE!</v>
      </c>
      <c r="AJ178" s="378" t="e">
        <f aca="false">D178-$BV$5</f>
        <v>#VALUE!</v>
      </c>
      <c r="AL178" s="369" t="e">
        <f aca="false">VLOOKUP($D178,CurveTbl,$AK$4)</f>
        <v>#VALUE!</v>
      </c>
      <c r="AM178" s="505" t="e">
        <f aca="false">VLOOKUP($D178,CurveTbl,$AH$3)</f>
        <v>#VALUE!</v>
      </c>
      <c r="AN178" s="505" t="e">
        <f aca="false">VLOOKUP($D178,CurveTbl,$AH$4)+VLOOKUP($AG178,$AL$3:$AS$15,6)</f>
        <v>#VALUE!</v>
      </c>
      <c r="AO178" s="505" t="e">
        <f aca="false">VLOOKUP($D178,CurveTbl,$AH$5)</f>
        <v>#VALUE!</v>
      </c>
      <c r="AP178" s="505" t="e">
        <f aca="false">VLOOKUP($D178,CurveTbl,$AH$6)+VLOOKUP($AG178,$AL$3:$AS$15,7)</f>
        <v>#VALUE!</v>
      </c>
      <c r="AQ178" s="369" t="e">
        <f aca="false">VLOOKUP($AG178,$AL$4:$AS$15,3)+VLOOKUP($AG178,$AL$4:$AS$15,5)+($AH$10*VLOOKUP(D178,GRITable,2))</f>
        <v>#VALUE!</v>
      </c>
      <c r="AR178" s="370" t="e">
        <f aca="false">VLOOKUP($AG178,$AL$4:$AS$15,4)</f>
        <v>#VALUE!</v>
      </c>
      <c r="AS178" s="369" t="e">
        <f aca="false">(AL178+AM178+AN178)</f>
        <v>#VALUE!</v>
      </c>
      <c r="AT178" s="370" t="e">
        <f aca="false">VLOOKUP(D178,CurveTbl,$AK$6)</f>
        <v>#VALUE!</v>
      </c>
      <c r="AU178" s="370" t="e">
        <f aca="false">(1+$AT178/2)^(-2*($D178-$G$5)/365.25)*$AF178</f>
        <v>#VALUE!</v>
      </c>
      <c r="AV178" s="506" t="e">
        <f aca="false">ROUND((F178/(1-AR178))-F178,0)*AF178*AH178*AU178</f>
        <v>#VALUE!</v>
      </c>
      <c r="AW178" s="370" t="e">
        <f aca="false">VLOOKUP($D178,CurveTbl,$AK$8)</f>
        <v>#VALUE!</v>
      </c>
      <c r="AX178" s="370" t="e">
        <f aca="false">VLOOKUP($D178,CurveTbl,$AH$7)</f>
        <v>#VALUE!</v>
      </c>
      <c r="AY178" s="370" t="e">
        <f aca="false">VLOOKUP($D178,CurveTbl,$AH$8)</f>
        <v>#VALUE!</v>
      </c>
      <c r="AZ178" s="370"/>
      <c r="BA178" s="507"/>
      <c r="BB178" s="505" t="e">
        <f aca="false">$H178-$BV178</f>
        <v>#VALUE!</v>
      </c>
      <c r="BC178" s="505" t="e">
        <f aca="false">I178-BW178</f>
        <v>#VALUE!</v>
      </c>
      <c r="BD178" s="370" t="e">
        <f aca="false">N178-BX178</f>
        <v>#VALUE!</v>
      </c>
      <c r="BE178" s="370" t="e">
        <f aca="false">O178-BY178</f>
        <v>#VALUE!</v>
      </c>
      <c r="BF178" s="370" t="e">
        <f aca="false">xSPRDOPT($BW178,$BV178,$CG178,0,$BY178,$BX178,$BZ178,$AJ178,1,4)*$CB178</f>
        <v>#NAME?</v>
      </c>
      <c r="BG178" s="370" t="e">
        <f aca="false">xSPRDOPT($BW178,$BV178,$CG178,0,$BY178,$BX178,$BZ178,$AJ178,1,3)*$CB178</f>
        <v>#NAME?</v>
      </c>
      <c r="BH178" s="370" t="e">
        <f aca="false">IF(OR(BF178&lt;&gt;0,BG178&lt;&gt;0),xSPRDOPT($BW178,$BV178,$CG178,0,$BY178,$BX178,$BZ178,$AJ178,1,12)*$CB178,0)</f>
        <v>#NAME?</v>
      </c>
      <c r="BI178" s="370" t="e">
        <f aca="false">xSPRDOPT($BW178,$BV178,$CG178,2*LN(1+CA178/2),$BY178,$BX178,$BZ178,$AJ178,1,9)</f>
        <v>#NAME?</v>
      </c>
      <c r="BJ178" s="370" t="e">
        <f aca="false">xSPRDOPT($BW178,$BV178,$CG178,0,$BY178,$BX178,$BZ178,$AJ178,1,6)*$CB178</f>
        <v>#NAME?</v>
      </c>
      <c r="BK178" s="370" t="e">
        <f aca="false">xSPRDOPT($BW178,$BV178,$CG178,0,$BY178,$BX178,$BZ178,$AJ178,1,5)*$CB178</f>
        <v>#NAME?</v>
      </c>
      <c r="BL178" s="370" t="e">
        <f aca="false">xSPRDOPT(BW178,BV178,CG178,0,BY178,BX178,BZ178,AJ178,1,2)*CB178</f>
        <v>#NAME?</v>
      </c>
      <c r="BM178" s="370" t="e">
        <f aca="false">xSPRDOPT(BW178,BV178,CG178,0,BY178,BX178,BZ178,AJ178,1,1)*CB178</f>
        <v>#NAME?</v>
      </c>
      <c r="BN178" s="370" t="e">
        <f aca="false">IF(AH178&lt;&gt;0,xSPRDOPT($BW178,$BV178,$CG178,2*LN(1+CA178/2),$BY178,$BX178,$BZ178,$AJ178,1,8)+(AJ178/365.25)*CH178/AH178,0)</f>
        <v>#VALUE!</v>
      </c>
      <c r="BO178" s="370" t="e">
        <f aca="false">xSPRDOPT($BW178,$BV178,$CG178,0,$BY178,$BX178,$BZ178,$AJ178,1,0)</f>
        <v>#NAME?</v>
      </c>
      <c r="BP178" s="370"/>
      <c r="BQ178" s="370"/>
      <c r="BR178" s="370"/>
      <c r="BS178" s="370"/>
      <c r="BV178" s="508" t="n">
        <v>4.61994884910486</v>
      </c>
      <c r="BW178" s="369" t="n">
        <v>4.8445</v>
      </c>
      <c r="BX178" s="370" t="n">
        <v>0.179019486582853</v>
      </c>
      <c r="BY178" s="370" t="n">
        <v>0.179019486582853</v>
      </c>
      <c r="BZ178" s="370" t="n">
        <v>1</v>
      </c>
      <c r="CA178" s="370" t="n">
        <v>0.0634191077761774</v>
      </c>
      <c r="CB178" s="370" t="n">
        <v>0.441722204583506</v>
      </c>
      <c r="CC178" s="505" t="n">
        <v>0.014</v>
      </c>
      <c r="CD178" s="505" t="n">
        <v>0.0075</v>
      </c>
      <c r="CE178" s="505" t="n">
        <v>0.35</v>
      </c>
      <c r="CF178" s="505" t="n">
        <v>0</v>
      </c>
      <c r="CG178" s="505" t="n">
        <v>0.0364</v>
      </c>
      <c r="CH178" s="505" t="n">
        <v>5.0487522817281</v>
      </c>
      <c r="CI178" s="505" t="n">
        <v>4.4945</v>
      </c>
      <c r="CJ178" s="505"/>
      <c r="CK178" s="505"/>
      <c r="CL178" s="505"/>
      <c r="CM178" s="505"/>
    </row>
    <row r="179" customFormat="false" ht="12.75" hidden="false" customHeight="false" outlineLevel="0" collapsed="false">
      <c r="A179" s="500"/>
      <c r="B179" s="500"/>
      <c r="D179" s="361" t="e">
        <f aca="false">D178+AH178</f>
        <v>#VALUE!</v>
      </c>
      <c r="F179" s="362" t="e">
        <f aca="false">VLOOKUP(AG179,$AL$4:$AS$15,2)</f>
        <v>#VALUE!</v>
      </c>
      <c r="G179" s="362" t="e">
        <f aca="false">F179*$AU179</f>
        <v>#VALUE!</v>
      </c>
      <c r="H179" s="363" t="e">
        <f aca="false">(AL179+AM179+AN179)/(1-(AR179))</f>
        <v>#VALUE!</v>
      </c>
      <c r="I179" s="363" t="e">
        <f aca="false">(AL179+AO179+AP179)</f>
        <v>#VALUE!</v>
      </c>
      <c r="K179" s="363" t="e">
        <f aca="false">MAX(((I179-H179)-AQ179)*AU179*AH179,0)</f>
        <v>#VALUE!</v>
      </c>
      <c r="L179" s="501" t="e">
        <f aca="false">MAX(Q179-K179,0)</f>
        <v>#VALUE!</v>
      </c>
      <c r="N179" s="502" t="e">
        <f aca="false">SQRT(($AX179^2*($AH179/2)+$AW179^2*$AI179)/(($AH179/2)+$AI179))</f>
        <v>#VALUE!</v>
      </c>
      <c r="O179" s="502" t="e">
        <f aca="false">SQRT(($AY179^2*($AH179/2)+$AW179^2*$AI179)/(($AH179/2)+$AI179))</f>
        <v>#VALUE!</v>
      </c>
      <c r="P179" s="371" t="e">
        <f aca="false">(VLOOKUP(AI179,CorrelationTwo,2)*(AW179^2)*AI179+VLOOKUP(D179,CorrelationOne,$AK$9)*AX179*AY179*(AH179/2))/((AI179+(AH179/2))*O179*N179)*AF179</f>
        <v>#VALUE!</v>
      </c>
      <c r="Q179" s="501" t="e">
        <f aca="false">xSPRDOPT(I179,H179,AQ179,0,O179,N179,P179,D179-$G$5,1,0)*AH179*AU179</f>
        <v>#VALUE!</v>
      </c>
      <c r="R179" s="501"/>
      <c r="S179" s="365" t="e">
        <f aca="false">-T179/(1-AR179)</f>
        <v>#VALUE!</v>
      </c>
      <c r="T179" s="365" t="e">
        <f aca="false">xSPRDOPT(I179,H179,AQ179,AT179,O179,N179,P179,D179-$G$5,1,1)*AF179*F179*AH179</f>
        <v>#VALUE!</v>
      </c>
      <c r="U179" s="501"/>
      <c r="V179" s="503" t="e">
        <f aca="false">VLOOKUP($AG179,$AL$4:$AS$15,8)*AH179*AU179</f>
        <v>#VALUE!</v>
      </c>
      <c r="W179" s="503"/>
      <c r="X179" s="504" t="e">
        <f aca="false">((BM179*BC179)+(BL179*BB179))*AH179*F179</f>
        <v>#VALUE!</v>
      </c>
      <c r="Y179" s="504" t="e">
        <f aca="false">($F179*$AH179)*((($BG179/2)*($BC179)^2)+(($BF179/2)*($BB179)^2)+($BH179*$BC179*$BB179))</f>
        <v>#VALUE!</v>
      </c>
      <c r="Z179" s="504" t="e">
        <f aca="false">($BI179*$F179*$AH179*($G$5-$BV$5))/365.25</f>
        <v>#VALUE!</v>
      </c>
      <c r="AA179" s="504" t="e">
        <f aca="false">(($BK179*$BE179)+($BJ179*$BD179))*$F179*$AH179*$AF179</f>
        <v>#VALUE!</v>
      </c>
      <c r="AB179" s="504" t="e">
        <f aca="false">BN179*(AT179-CA179)*F179*AH179</f>
        <v>#VALUE!</v>
      </c>
      <c r="AC179" s="504" t="e">
        <f aca="false">BO179*CB179*F179*AH179*CA179*($G$5-$BV$5)/365.25</f>
        <v>#NAME?</v>
      </c>
      <c r="AF179" s="378" t="e">
        <f aca="false">IF(AND(D179&gt;=$G$7,D179&lt;=$G$8),1,0)</f>
        <v>#VALUE!</v>
      </c>
      <c r="AG179" s="378" t="e">
        <f aca="false">MONTH(D179)</f>
        <v>#VALUE!</v>
      </c>
      <c r="AH179" s="378" t="e">
        <f aca="false">(EOMONTH(D179,0)-EOMONTH(D179-DAY(D179),0))*AF179</f>
        <v>#VALUE!</v>
      </c>
      <c r="AI179" s="378" t="e">
        <f aca="false">AI178+AH178</f>
        <v>#VALUE!</v>
      </c>
      <c r="AJ179" s="378" t="e">
        <f aca="false">D179-$BV$5</f>
        <v>#VALUE!</v>
      </c>
      <c r="AL179" s="369" t="e">
        <f aca="false">VLOOKUP($D179,CurveTbl,$AK$4)</f>
        <v>#VALUE!</v>
      </c>
      <c r="AM179" s="505" t="e">
        <f aca="false">VLOOKUP($D179,CurveTbl,$AH$3)</f>
        <v>#VALUE!</v>
      </c>
      <c r="AN179" s="505" t="e">
        <f aca="false">VLOOKUP($D179,CurveTbl,$AH$4)+VLOOKUP($AG179,$AL$3:$AS$15,6)</f>
        <v>#VALUE!</v>
      </c>
      <c r="AO179" s="505" t="e">
        <f aca="false">VLOOKUP($D179,CurveTbl,$AH$5)</f>
        <v>#VALUE!</v>
      </c>
      <c r="AP179" s="505" t="e">
        <f aca="false">VLOOKUP($D179,CurveTbl,$AH$6)+VLOOKUP($AG179,$AL$3:$AS$15,7)</f>
        <v>#VALUE!</v>
      </c>
      <c r="AQ179" s="369" t="e">
        <f aca="false">VLOOKUP($AG179,$AL$4:$AS$15,3)+VLOOKUP($AG179,$AL$4:$AS$15,5)+($AH$10*VLOOKUP(D179,GRITable,2))</f>
        <v>#VALUE!</v>
      </c>
      <c r="AR179" s="370" t="e">
        <f aca="false">VLOOKUP($AG179,$AL$4:$AS$15,4)</f>
        <v>#VALUE!</v>
      </c>
      <c r="AS179" s="369" t="e">
        <f aca="false">(AL179+AM179+AN179)</f>
        <v>#VALUE!</v>
      </c>
      <c r="AT179" s="370" t="e">
        <f aca="false">VLOOKUP(D179,CurveTbl,$AK$6)</f>
        <v>#VALUE!</v>
      </c>
      <c r="AU179" s="370" t="e">
        <f aca="false">(1+$AT179/2)^(-2*($D179-$G$5)/365.25)*$AF179</f>
        <v>#VALUE!</v>
      </c>
      <c r="AV179" s="506" t="e">
        <f aca="false">ROUND((F179/(1-AR179))-F179,0)*AF179*AH179*AU179</f>
        <v>#VALUE!</v>
      </c>
      <c r="AW179" s="370" t="e">
        <f aca="false">VLOOKUP($D179,CurveTbl,$AK$8)</f>
        <v>#VALUE!</v>
      </c>
      <c r="AX179" s="370" t="e">
        <f aca="false">VLOOKUP($D179,CurveTbl,$AH$7)</f>
        <v>#VALUE!</v>
      </c>
      <c r="AY179" s="370" t="e">
        <f aca="false">VLOOKUP($D179,CurveTbl,$AH$8)</f>
        <v>#VALUE!</v>
      </c>
      <c r="AZ179" s="370"/>
      <c r="BA179" s="507"/>
      <c r="BB179" s="505" t="e">
        <f aca="false">$H179-$BV179</f>
        <v>#VALUE!</v>
      </c>
      <c r="BC179" s="505" t="e">
        <f aca="false">I179-BW179</f>
        <v>#VALUE!</v>
      </c>
      <c r="BD179" s="370" t="e">
        <f aca="false">N179-BX179</f>
        <v>#VALUE!</v>
      </c>
      <c r="BE179" s="370" t="e">
        <f aca="false">O179-BY179</f>
        <v>#VALUE!</v>
      </c>
      <c r="BF179" s="370" t="e">
        <f aca="false">xSPRDOPT($BW179,$BV179,$CG179,0,$BY179,$BX179,$BZ179,$AJ179,1,4)*$CB179</f>
        <v>#NAME?</v>
      </c>
      <c r="BG179" s="370" t="e">
        <f aca="false">xSPRDOPT($BW179,$BV179,$CG179,0,$BY179,$BX179,$BZ179,$AJ179,1,3)*$CB179</f>
        <v>#NAME?</v>
      </c>
      <c r="BH179" s="370" t="e">
        <f aca="false">IF(OR(BF179&lt;&gt;0,BG179&lt;&gt;0),xSPRDOPT($BW179,$BV179,$CG179,0,$BY179,$BX179,$BZ179,$AJ179,1,12)*$CB179,0)</f>
        <v>#NAME?</v>
      </c>
      <c r="BI179" s="370" t="e">
        <f aca="false">xSPRDOPT($BW179,$BV179,$CG179,2*LN(1+CA179/2),$BY179,$BX179,$BZ179,$AJ179,1,9)</f>
        <v>#NAME?</v>
      </c>
      <c r="BJ179" s="370" t="e">
        <f aca="false">xSPRDOPT($BW179,$BV179,$CG179,0,$BY179,$BX179,$BZ179,$AJ179,1,6)*$CB179</f>
        <v>#NAME?</v>
      </c>
      <c r="BK179" s="370" t="e">
        <f aca="false">xSPRDOPT($BW179,$BV179,$CG179,0,$BY179,$BX179,$BZ179,$AJ179,1,5)*$CB179</f>
        <v>#NAME?</v>
      </c>
      <c r="BL179" s="370" t="e">
        <f aca="false">xSPRDOPT(BW179,BV179,CG179,0,BY179,BX179,BZ179,AJ179,1,2)*CB179</f>
        <v>#NAME?</v>
      </c>
      <c r="BM179" s="370" t="e">
        <f aca="false">xSPRDOPT(BW179,BV179,CG179,0,BY179,BX179,BZ179,AJ179,1,1)*CB179</f>
        <v>#NAME?</v>
      </c>
      <c r="BN179" s="370" t="e">
        <f aca="false">IF(AH179&lt;&gt;0,xSPRDOPT($BW179,$BV179,$CG179,2*LN(1+CA179/2),$BY179,$BX179,$BZ179,$AJ179,1,8)+(AJ179/365.25)*CH179/AH179,0)</f>
        <v>#VALUE!</v>
      </c>
      <c r="BO179" s="370" t="e">
        <f aca="false">xSPRDOPT($BW179,$BV179,$CG179,0,$BY179,$BX179,$BZ179,$AJ179,1,0)</f>
        <v>#NAME?</v>
      </c>
      <c r="BP179" s="370"/>
      <c r="BQ179" s="370"/>
      <c r="BR179" s="370"/>
      <c r="BS179" s="370"/>
      <c r="BV179" s="508" t="n">
        <v>4.53299232736573</v>
      </c>
      <c r="BW179" s="369" t="n">
        <v>4.7595</v>
      </c>
      <c r="BX179" s="370" t="n">
        <v>0.178117654884351</v>
      </c>
      <c r="BY179" s="370" t="n">
        <v>0.178117654884351</v>
      </c>
      <c r="BZ179" s="370" t="n">
        <v>1</v>
      </c>
      <c r="CA179" s="370" t="n">
        <v>0.0634596518796693</v>
      </c>
      <c r="CB179" s="370" t="n">
        <v>0.439160325223055</v>
      </c>
      <c r="CC179" s="505" t="n">
        <v>0.014</v>
      </c>
      <c r="CD179" s="505" t="n">
        <v>0.0075</v>
      </c>
      <c r="CE179" s="505" t="n">
        <v>0.35</v>
      </c>
      <c r="CF179" s="505" t="n">
        <v>0</v>
      </c>
      <c r="CG179" s="505" t="n">
        <v>0.0364</v>
      </c>
      <c r="CH179" s="505" t="n">
        <v>4.53371553347273</v>
      </c>
      <c r="CI179" s="505" t="n">
        <v>4.4095</v>
      </c>
      <c r="CJ179" s="505"/>
      <c r="CK179" s="505"/>
      <c r="CL179" s="505"/>
      <c r="CM179" s="505"/>
    </row>
    <row r="180" customFormat="false" ht="12.75" hidden="false" customHeight="false" outlineLevel="0" collapsed="false">
      <c r="A180" s="500"/>
      <c r="B180" s="500"/>
      <c r="D180" s="361" t="e">
        <f aca="false">D179+AH179</f>
        <v>#VALUE!</v>
      </c>
      <c r="F180" s="362" t="e">
        <f aca="false">VLOOKUP(AG180,$AL$4:$AS$15,2)</f>
        <v>#VALUE!</v>
      </c>
      <c r="G180" s="362" t="e">
        <f aca="false">F180*$AU180</f>
        <v>#VALUE!</v>
      </c>
      <c r="H180" s="363" t="e">
        <f aca="false">(AL180+AM180+AN180)/(1-(AR180))</f>
        <v>#VALUE!</v>
      </c>
      <c r="I180" s="363" t="e">
        <f aca="false">(AL180+AO180+AP180)</f>
        <v>#VALUE!</v>
      </c>
      <c r="K180" s="363" t="e">
        <f aca="false">MAX(((I180-H180)-AQ180)*AU180*AH180,0)</f>
        <v>#VALUE!</v>
      </c>
      <c r="L180" s="501" t="e">
        <f aca="false">MAX(Q180-K180,0)</f>
        <v>#VALUE!</v>
      </c>
      <c r="N180" s="502" t="e">
        <f aca="false">SQRT(($AX180^2*($AH180/2)+$AW180^2*$AI180)/(($AH180/2)+$AI180))</f>
        <v>#VALUE!</v>
      </c>
      <c r="O180" s="502" t="e">
        <f aca="false">SQRT(($AY180^2*($AH180/2)+$AW180^2*$AI180)/(($AH180/2)+$AI180))</f>
        <v>#VALUE!</v>
      </c>
      <c r="P180" s="371" t="e">
        <f aca="false">(VLOOKUP(AI180,CorrelationTwo,2)*(AW180^2)*AI180+VLOOKUP(D180,CorrelationOne,$AK$9)*AX180*AY180*(AH180/2))/((AI180+(AH180/2))*O180*N180)*AF180</f>
        <v>#VALUE!</v>
      </c>
      <c r="Q180" s="501" t="e">
        <f aca="false">xSPRDOPT(I180,H180,AQ180,0,O180,N180,P180,D180-$G$5,1,0)*AH180*AU180</f>
        <v>#VALUE!</v>
      </c>
      <c r="R180" s="501"/>
      <c r="S180" s="365" t="e">
        <f aca="false">-T180/(1-AR180)</f>
        <v>#VALUE!</v>
      </c>
      <c r="T180" s="365" t="e">
        <f aca="false">xSPRDOPT(I180,H180,AQ180,AT180,O180,N180,P180,D180-$G$5,1,1)*AF180*F180*AH180</f>
        <v>#VALUE!</v>
      </c>
      <c r="U180" s="501"/>
      <c r="V180" s="503" t="e">
        <f aca="false">VLOOKUP($AG180,$AL$4:$AS$15,8)*AH180*AU180</f>
        <v>#VALUE!</v>
      </c>
      <c r="W180" s="503"/>
      <c r="X180" s="504" t="e">
        <f aca="false">((BM180*BC180)+(BL180*BB180))*AH180*F180</f>
        <v>#VALUE!</v>
      </c>
      <c r="Y180" s="504" t="e">
        <f aca="false">($F180*$AH180)*((($BG180/2)*($BC180)^2)+(($BF180/2)*($BB180)^2)+($BH180*$BC180*$BB180))</f>
        <v>#VALUE!</v>
      </c>
      <c r="Z180" s="504" t="e">
        <f aca="false">($BI180*$F180*$AH180*($G$5-$BV$5))/365.25</f>
        <v>#VALUE!</v>
      </c>
      <c r="AA180" s="504" t="e">
        <f aca="false">(($BK180*$BE180)+($BJ180*$BD180))*$F180*$AH180*$AF180</f>
        <v>#VALUE!</v>
      </c>
      <c r="AB180" s="504" t="e">
        <f aca="false">BN180*(AT180-CA180)*F180*AH180</f>
        <v>#VALUE!</v>
      </c>
      <c r="AC180" s="504" t="e">
        <f aca="false">BO180*CB180*F180*AH180*CA180*($G$5-$BV$5)/365.25</f>
        <v>#NAME?</v>
      </c>
      <c r="AF180" s="378" t="e">
        <f aca="false">IF(AND(D180&gt;=$G$7,D180&lt;=$G$8),1,0)</f>
        <v>#VALUE!</v>
      </c>
      <c r="AG180" s="378" t="e">
        <f aca="false">MONTH(D180)</f>
        <v>#VALUE!</v>
      </c>
      <c r="AH180" s="378" t="e">
        <f aca="false">(EOMONTH(D180,0)-EOMONTH(D180-DAY(D180),0))*AF180</f>
        <v>#VALUE!</v>
      </c>
      <c r="AI180" s="378" t="e">
        <f aca="false">AI179+AH179</f>
        <v>#VALUE!</v>
      </c>
      <c r="AJ180" s="378" t="e">
        <f aca="false">D180-$BV$5</f>
        <v>#VALUE!</v>
      </c>
      <c r="AL180" s="369" t="e">
        <f aca="false">VLOOKUP($D180,CurveTbl,$AK$4)</f>
        <v>#VALUE!</v>
      </c>
      <c r="AM180" s="505" t="e">
        <f aca="false">VLOOKUP($D180,CurveTbl,$AH$3)</f>
        <v>#VALUE!</v>
      </c>
      <c r="AN180" s="505" t="e">
        <f aca="false">VLOOKUP($D180,CurveTbl,$AH$4)+VLOOKUP($AG180,$AL$3:$AS$15,6)</f>
        <v>#VALUE!</v>
      </c>
      <c r="AO180" s="505" t="e">
        <f aca="false">VLOOKUP($D180,CurveTbl,$AH$5)</f>
        <v>#VALUE!</v>
      </c>
      <c r="AP180" s="505" t="e">
        <f aca="false">VLOOKUP($D180,CurveTbl,$AH$6)+VLOOKUP($AG180,$AL$3:$AS$15,7)</f>
        <v>#VALUE!</v>
      </c>
      <c r="AQ180" s="369" t="e">
        <f aca="false">VLOOKUP($AG180,$AL$4:$AS$15,3)+VLOOKUP($AG180,$AL$4:$AS$15,5)+($AH$10*VLOOKUP(D180,GRITable,2))</f>
        <v>#VALUE!</v>
      </c>
      <c r="AR180" s="370" t="e">
        <f aca="false">VLOOKUP($AG180,$AL$4:$AS$15,4)</f>
        <v>#VALUE!</v>
      </c>
      <c r="AS180" s="369" t="e">
        <f aca="false">(AL180+AM180+AN180)</f>
        <v>#VALUE!</v>
      </c>
      <c r="AT180" s="370" t="e">
        <f aca="false">VLOOKUP(D180,CurveTbl,$AK$6)</f>
        <v>#VALUE!</v>
      </c>
      <c r="AU180" s="370" t="e">
        <f aca="false">(1+$AT180/2)^(-2*($D180-$G$5)/365.25)*$AF180</f>
        <v>#VALUE!</v>
      </c>
      <c r="AV180" s="506" t="e">
        <f aca="false">ROUND((F180/(1-AR180))-F180,0)*AF180*AH180*AU180</f>
        <v>#VALUE!</v>
      </c>
      <c r="AW180" s="370" t="e">
        <f aca="false">VLOOKUP($D180,CurveTbl,$AK$8)</f>
        <v>#VALUE!</v>
      </c>
      <c r="AX180" s="370" t="e">
        <f aca="false">VLOOKUP($D180,CurveTbl,$AH$7)</f>
        <v>#VALUE!</v>
      </c>
      <c r="AY180" s="370" t="e">
        <f aca="false">VLOOKUP($D180,CurveTbl,$AH$8)</f>
        <v>#VALUE!</v>
      </c>
      <c r="AZ180" s="370"/>
      <c r="BA180" s="507"/>
      <c r="BB180" s="505" t="e">
        <f aca="false">$H180-$BV180</f>
        <v>#VALUE!</v>
      </c>
      <c r="BC180" s="505" t="e">
        <f aca="false">I180-BW180</f>
        <v>#VALUE!</v>
      </c>
      <c r="BD180" s="370" t="e">
        <f aca="false">N180-BX180</f>
        <v>#VALUE!</v>
      </c>
      <c r="BE180" s="370" t="e">
        <f aca="false">O180-BY180</f>
        <v>#VALUE!</v>
      </c>
      <c r="BF180" s="370" t="e">
        <f aca="false">xSPRDOPT($BW180,$BV180,$CG180,0,$BY180,$BX180,$BZ180,$AJ180,1,4)*$CB180</f>
        <v>#NAME?</v>
      </c>
      <c r="BG180" s="370" t="e">
        <f aca="false">xSPRDOPT($BW180,$BV180,$CG180,0,$BY180,$BX180,$BZ180,$AJ180,1,3)*$CB180</f>
        <v>#NAME?</v>
      </c>
      <c r="BH180" s="370" t="e">
        <f aca="false">IF(OR(BF180&lt;&gt;0,BG180&lt;&gt;0),xSPRDOPT($BW180,$BV180,$CG180,0,$BY180,$BX180,$BZ180,$AJ180,1,12)*$CB180,0)</f>
        <v>#NAME?</v>
      </c>
      <c r="BI180" s="370" t="e">
        <f aca="false">xSPRDOPT($BW180,$BV180,$CG180,2*LN(1+CA180/2),$BY180,$BX180,$BZ180,$AJ180,1,9)</f>
        <v>#NAME?</v>
      </c>
      <c r="BJ180" s="370" t="e">
        <f aca="false">xSPRDOPT($BW180,$BV180,$CG180,0,$BY180,$BX180,$BZ180,$AJ180,1,6)*$CB180</f>
        <v>#NAME?</v>
      </c>
      <c r="BK180" s="370" t="e">
        <f aca="false">xSPRDOPT($BW180,$BV180,$CG180,0,$BY180,$BX180,$BZ180,$AJ180,1,5)*$CB180</f>
        <v>#NAME?</v>
      </c>
      <c r="BL180" s="370" t="e">
        <f aca="false">xSPRDOPT(BW180,BV180,CG180,0,BY180,BX180,BZ180,AJ180,1,2)*CB180</f>
        <v>#NAME?</v>
      </c>
      <c r="BM180" s="370" t="e">
        <f aca="false">xSPRDOPT(BW180,BV180,CG180,0,BY180,BX180,BZ180,AJ180,1,1)*CB180</f>
        <v>#NAME?</v>
      </c>
      <c r="BN180" s="370" t="e">
        <f aca="false">IF(AH180&lt;&gt;0,xSPRDOPT($BW180,$BV180,$CG180,2*LN(1+CA180/2),$BY180,$BX180,$BZ180,$AJ180,1,8)+(AJ180/365.25)*CH180/AH180,0)</f>
        <v>#VALUE!</v>
      </c>
      <c r="BO180" s="370" t="e">
        <f aca="false">xSPRDOPT($BW180,$BV180,$CG180,0,$BY180,$BX180,$BZ180,$AJ180,1,0)</f>
        <v>#NAME?</v>
      </c>
      <c r="BP180" s="370"/>
      <c r="BQ180" s="370"/>
      <c r="BR180" s="370"/>
      <c r="BS180" s="370"/>
      <c r="BV180" s="508" t="n">
        <v>4.40511508951407</v>
      </c>
      <c r="BW180" s="369" t="n">
        <v>4.6795</v>
      </c>
      <c r="BX180" s="370" t="n">
        <v>0.174953326519036</v>
      </c>
      <c r="BY180" s="370" t="n">
        <v>0.174953326519036</v>
      </c>
      <c r="BZ180" s="370" t="n">
        <v>1</v>
      </c>
      <c r="CA180" s="370" t="n">
        <v>0.063496272360712</v>
      </c>
      <c r="CB180" s="370" t="n">
        <v>0.436856642150077</v>
      </c>
      <c r="CC180" s="505" t="n">
        <v>0.019</v>
      </c>
      <c r="CD180" s="505" t="n">
        <v>0.0075</v>
      </c>
      <c r="CE180" s="505" t="n">
        <v>0.4</v>
      </c>
      <c r="CF180" s="505" t="n">
        <v>0</v>
      </c>
      <c r="CG180" s="505" t="n">
        <v>0.0364</v>
      </c>
      <c r="CH180" s="505" t="n">
        <v>4.99314036278273</v>
      </c>
      <c r="CI180" s="505" t="n">
        <v>4.2795</v>
      </c>
      <c r="CJ180" s="505"/>
      <c r="CK180" s="505"/>
      <c r="CL180" s="505"/>
      <c r="CM180" s="505"/>
    </row>
    <row r="181" customFormat="false" ht="12.75" hidden="false" customHeight="false" outlineLevel="0" collapsed="false">
      <c r="A181" s="500"/>
      <c r="B181" s="500"/>
      <c r="D181" s="361" t="e">
        <f aca="false">D180+AH180</f>
        <v>#VALUE!</v>
      </c>
      <c r="F181" s="362" t="e">
        <f aca="false">VLOOKUP(AG181,$AL$4:$AS$15,2)</f>
        <v>#VALUE!</v>
      </c>
      <c r="G181" s="362" t="e">
        <f aca="false">F181*$AU181</f>
        <v>#VALUE!</v>
      </c>
      <c r="H181" s="363" t="e">
        <f aca="false">(AL181+AM181+AN181)/(1-(AR181))</f>
        <v>#VALUE!</v>
      </c>
      <c r="I181" s="363" t="e">
        <f aca="false">(AL181+AO181+AP181)</f>
        <v>#VALUE!</v>
      </c>
      <c r="K181" s="363" t="e">
        <f aca="false">MAX(((I181-H181)-AQ181)*AU181*AH181,0)</f>
        <v>#VALUE!</v>
      </c>
      <c r="L181" s="501" t="e">
        <f aca="false">MAX(Q181-K181,0)</f>
        <v>#VALUE!</v>
      </c>
      <c r="N181" s="502" t="e">
        <f aca="false">SQRT(($AX181^2*($AH181/2)+$AW181^2*$AI181)/(($AH181/2)+$AI181))</f>
        <v>#VALUE!</v>
      </c>
      <c r="O181" s="502" t="e">
        <f aca="false">SQRT(($AY181^2*($AH181/2)+$AW181^2*$AI181)/(($AH181/2)+$AI181))</f>
        <v>#VALUE!</v>
      </c>
      <c r="P181" s="371" t="e">
        <f aca="false">(VLOOKUP(AI181,CorrelationTwo,2)*(AW181^2)*AI181+VLOOKUP(D181,CorrelationOne,$AK$9)*AX181*AY181*(AH181/2))/((AI181+(AH181/2))*O181*N181)*AF181</f>
        <v>#VALUE!</v>
      </c>
      <c r="Q181" s="501" t="e">
        <f aca="false">xSPRDOPT(I181,H181,AQ181,0,O181,N181,P181,D181-$G$5,1,0)*AH181*AU181</f>
        <v>#VALUE!</v>
      </c>
      <c r="R181" s="501"/>
      <c r="S181" s="365" t="e">
        <f aca="false">-T181/(1-AR181)</f>
        <v>#VALUE!</v>
      </c>
      <c r="T181" s="365" t="e">
        <f aca="false">xSPRDOPT(I181,H181,AQ181,AT181,O181,N181,P181,D181-$G$5,1,1)*AF181*F181*AH181</f>
        <v>#VALUE!</v>
      </c>
      <c r="U181" s="501"/>
      <c r="V181" s="503" t="e">
        <f aca="false">VLOOKUP($AG181,$AL$4:$AS$15,8)*AH181*AU181</f>
        <v>#VALUE!</v>
      </c>
      <c r="W181" s="503"/>
      <c r="X181" s="504" t="e">
        <f aca="false">((BM181*BC181)+(BL181*BB181))*AH181*F181</f>
        <v>#VALUE!</v>
      </c>
      <c r="Y181" s="504" t="e">
        <f aca="false">($F181*$AH181)*((($BG181/2)*($BC181)^2)+(($BF181/2)*($BB181)^2)+($BH181*$BC181*$BB181))</f>
        <v>#VALUE!</v>
      </c>
      <c r="Z181" s="504" t="e">
        <f aca="false">($BI181*$F181*$AH181*($G$5-$BV$5))/365.25</f>
        <v>#VALUE!</v>
      </c>
      <c r="AA181" s="504" t="e">
        <f aca="false">(($BK181*$BE181)+($BJ181*$BD181))*$F181*$AH181*$AF181</f>
        <v>#VALUE!</v>
      </c>
      <c r="AB181" s="504" t="e">
        <f aca="false">BN181*(AT181-CA181)*F181*AH181</f>
        <v>#VALUE!</v>
      </c>
      <c r="AC181" s="504" t="e">
        <f aca="false">BO181*CB181*F181*AH181*CA181*($G$5-$BV$5)/365.25</f>
        <v>#NAME?</v>
      </c>
      <c r="AF181" s="378" t="e">
        <f aca="false">IF(AND(D181&gt;=$G$7,D181&lt;=$G$8),1,0)</f>
        <v>#VALUE!</v>
      </c>
      <c r="AG181" s="378" t="e">
        <f aca="false">MONTH(D181)</f>
        <v>#VALUE!</v>
      </c>
      <c r="AH181" s="378" t="e">
        <f aca="false">(EOMONTH(D181,0)-EOMONTH(D181-DAY(D181),0))*AF181</f>
        <v>#VALUE!</v>
      </c>
      <c r="AI181" s="378" t="e">
        <f aca="false">AI180+AH180</f>
        <v>#VALUE!</v>
      </c>
      <c r="AJ181" s="378" t="e">
        <f aca="false">D181-$BV$5</f>
        <v>#VALUE!</v>
      </c>
      <c r="AL181" s="369" t="e">
        <f aca="false">VLOOKUP($D181,CurveTbl,$AK$4)</f>
        <v>#VALUE!</v>
      </c>
      <c r="AM181" s="505" t="e">
        <f aca="false">VLOOKUP($D181,CurveTbl,$AH$3)</f>
        <v>#VALUE!</v>
      </c>
      <c r="AN181" s="505" t="e">
        <f aca="false">VLOOKUP($D181,CurveTbl,$AH$4)+VLOOKUP($AG181,$AL$3:$AS$15,6)</f>
        <v>#VALUE!</v>
      </c>
      <c r="AO181" s="505" t="e">
        <f aca="false">VLOOKUP($D181,CurveTbl,$AH$5)</f>
        <v>#VALUE!</v>
      </c>
      <c r="AP181" s="505" t="e">
        <f aca="false">VLOOKUP($D181,CurveTbl,$AH$6)+VLOOKUP($AG181,$AL$3:$AS$15,7)</f>
        <v>#VALUE!</v>
      </c>
      <c r="AQ181" s="369" t="e">
        <f aca="false">VLOOKUP($AG181,$AL$4:$AS$15,3)+VLOOKUP($AG181,$AL$4:$AS$15,5)+($AH$10*VLOOKUP(D181,GRITable,2))</f>
        <v>#VALUE!</v>
      </c>
      <c r="AR181" s="370" t="e">
        <f aca="false">VLOOKUP($AG181,$AL$4:$AS$15,4)</f>
        <v>#VALUE!</v>
      </c>
      <c r="AS181" s="369" t="e">
        <f aca="false">(AL181+AM181+AN181)</f>
        <v>#VALUE!</v>
      </c>
      <c r="AT181" s="370" t="e">
        <f aca="false">VLOOKUP(D181,CurveTbl,$AK$6)</f>
        <v>#VALUE!</v>
      </c>
      <c r="AU181" s="370" t="e">
        <f aca="false">(1+$AT181/2)^(-2*($D181-$G$5)/365.25)*$AF181</f>
        <v>#VALUE!</v>
      </c>
      <c r="AV181" s="506" t="e">
        <f aca="false">ROUND((F181/(1-AR181))-F181,0)*AF181*AH181*AU181</f>
        <v>#VALUE!</v>
      </c>
      <c r="AW181" s="370" t="e">
        <f aca="false">VLOOKUP($D181,CurveTbl,$AK$8)</f>
        <v>#VALUE!</v>
      </c>
      <c r="AX181" s="370" t="e">
        <f aca="false">VLOOKUP($D181,CurveTbl,$AH$7)</f>
        <v>#VALUE!</v>
      </c>
      <c r="AY181" s="370" t="e">
        <f aca="false">VLOOKUP($D181,CurveTbl,$AH$8)</f>
        <v>#VALUE!</v>
      </c>
      <c r="AZ181" s="370"/>
      <c r="BA181" s="507"/>
      <c r="BB181" s="505" t="e">
        <f aca="false">$H181-$BV181</f>
        <v>#VALUE!</v>
      </c>
      <c r="BC181" s="505" t="e">
        <f aca="false">I181-BW181</f>
        <v>#VALUE!</v>
      </c>
      <c r="BD181" s="370" t="e">
        <f aca="false">N181-BX181</f>
        <v>#VALUE!</v>
      </c>
      <c r="BE181" s="370" t="e">
        <f aca="false">O181-BY181</f>
        <v>#VALUE!</v>
      </c>
      <c r="BF181" s="370" t="e">
        <f aca="false">xSPRDOPT($BW181,$BV181,$CG181,0,$BY181,$BX181,$BZ181,$AJ181,1,4)*$CB181</f>
        <v>#NAME?</v>
      </c>
      <c r="BG181" s="370" t="e">
        <f aca="false">xSPRDOPT($BW181,$BV181,$CG181,0,$BY181,$BX181,$BZ181,$AJ181,1,3)*$CB181</f>
        <v>#NAME?</v>
      </c>
      <c r="BH181" s="370" t="e">
        <f aca="false">IF(OR(BF181&lt;&gt;0,BG181&lt;&gt;0),xSPRDOPT($BW181,$BV181,$CG181,0,$BY181,$BX181,$BZ181,$AJ181,1,12)*$CB181,0)</f>
        <v>#NAME?</v>
      </c>
      <c r="BI181" s="370" t="e">
        <f aca="false">xSPRDOPT($BW181,$BV181,$CG181,2*LN(1+CA181/2),$BY181,$BX181,$BZ181,$AJ181,1,9)</f>
        <v>#NAME?</v>
      </c>
      <c r="BJ181" s="370" t="e">
        <f aca="false">xSPRDOPT($BW181,$BV181,$CG181,0,$BY181,$BX181,$BZ181,$AJ181,1,6)*$CB181</f>
        <v>#NAME?</v>
      </c>
      <c r="BK181" s="370" t="e">
        <f aca="false">xSPRDOPT($BW181,$BV181,$CG181,0,$BY181,$BX181,$BZ181,$AJ181,1,5)*$CB181</f>
        <v>#NAME?</v>
      </c>
      <c r="BL181" s="370" t="e">
        <f aca="false">xSPRDOPT(BW181,BV181,CG181,0,BY181,BX181,BZ181,AJ181,1,2)*CB181</f>
        <v>#NAME?</v>
      </c>
      <c r="BM181" s="370" t="e">
        <f aca="false">xSPRDOPT(BW181,BV181,CG181,0,BY181,BX181,BZ181,AJ181,1,1)*CB181</f>
        <v>#NAME?</v>
      </c>
      <c r="BN181" s="370" t="e">
        <f aca="false">IF(AH181&lt;&gt;0,xSPRDOPT($BW181,$BV181,$CG181,2*LN(1+CA181/2),$BY181,$BX181,$BZ181,$AJ181,1,8)+(AJ181/365.25)*CH181/AH181,0)</f>
        <v>#VALUE!</v>
      </c>
      <c r="BO181" s="370" t="e">
        <f aca="false">xSPRDOPT($BW181,$BV181,$CG181,0,$BY181,$BX181,$BZ181,$AJ181,1,0)</f>
        <v>#NAME?</v>
      </c>
      <c r="BP181" s="370"/>
      <c r="BQ181" s="370"/>
      <c r="BR181" s="370"/>
      <c r="BS181" s="370"/>
      <c r="BV181" s="508" t="n">
        <v>4.21841432225064</v>
      </c>
      <c r="BW181" s="369" t="n">
        <v>4.6945</v>
      </c>
      <c r="BX181" s="370" t="n">
        <v>0.171183281512627</v>
      </c>
      <c r="BY181" s="370" t="n">
        <v>0.171183281512627</v>
      </c>
      <c r="BZ181" s="370" t="n">
        <v>1</v>
      </c>
      <c r="CA181" s="370" t="n">
        <v>0.0635368164652417</v>
      </c>
      <c r="CB181" s="370" t="n">
        <v>0.434317476361465</v>
      </c>
      <c r="CC181" s="505" t="n">
        <v>0.019</v>
      </c>
      <c r="CD181" s="505" t="n">
        <v>0.01</v>
      </c>
      <c r="CE181" s="505" t="n">
        <v>0.6</v>
      </c>
      <c r="CF181" s="505" t="n">
        <v>0</v>
      </c>
      <c r="CG181" s="505" t="n">
        <v>0.0364</v>
      </c>
      <c r="CH181" s="505" t="n">
        <v>4.80398560603416</v>
      </c>
      <c r="CI181" s="505" t="n">
        <v>4.0945</v>
      </c>
      <c r="CJ181" s="505"/>
      <c r="CK181" s="505"/>
      <c r="CL181" s="505"/>
      <c r="CM181" s="505"/>
    </row>
    <row r="182" customFormat="false" ht="12.75" hidden="false" customHeight="false" outlineLevel="0" collapsed="false">
      <c r="A182" s="500"/>
      <c r="B182" s="500"/>
      <c r="D182" s="361" t="e">
        <f aca="false">D181+AH181</f>
        <v>#VALUE!</v>
      </c>
      <c r="F182" s="362" t="e">
        <f aca="false">VLOOKUP(AG182,$AL$4:$AS$15,2)</f>
        <v>#VALUE!</v>
      </c>
      <c r="G182" s="362" t="e">
        <f aca="false">F182*$AU182</f>
        <v>#VALUE!</v>
      </c>
      <c r="H182" s="363" t="e">
        <f aca="false">(AL182+AM182+AN182)/(1-(AR182))</f>
        <v>#VALUE!</v>
      </c>
      <c r="I182" s="363" t="e">
        <f aca="false">(AL182+AO182+AP182)</f>
        <v>#VALUE!</v>
      </c>
      <c r="K182" s="363" t="e">
        <f aca="false">MAX(((I182-H182)-AQ182)*AU182*AH182,0)</f>
        <v>#VALUE!</v>
      </c>
      <c r="L182" s="501" t="e">
        <f aca="false">MAX(Q182-K182,0)</f>
        <v>#VALUE!</v>
      </c>
      <c r="N182" s="502" t="e">
        <f aca="false">SQRT(($AX182^2*($AH182/2)+$AW182^2*$AI182)/(($AH182/2)+$AI182))</f>
        <v>#VALUE!</v>
      </c>
      <c r="O182" s="502" t="e">
        <f aca="false">SQRT(($AY182^2*($AH182/2)+$AW182^2*$AI182)/(($AH182/2)+$AI182))</f>
        <v>#VALUE!</v>
      </c>
      <c r="P182" s="371" t="e">
        <f aca="false">(VLOOKUP(AI182,CorrelationTwo,2)*(AW182^2)*AI182+VLOOKUP(D182,CorrelationOne,$AK$9)*AX182*AY182*(AH182/2))/((AI182+(AH182/2))*O182*N182)*AF182</f>
        <v>#VALUE!</v>
      </c>
      <c r="Q182" s="501" t="e">
        <f aca="false">xSPRDOPT(I182,H182,AQ182,0,O182,N182,P182,D182-$G$5,1,0)*AH182*AU182</f>
        <v>#VALUE!</v>
      </c>
      <c r="R182" s="501"/>
      <c r="S182" s="365" t="e">
        <f aca="false">-T182/(1-AR182)</f>
        <v>#VALUE!</v>
      </c>
      <c r="T182" s="365" t="e">
        <f aca="false">xSPRDOPT(I182,H182,AQ182,AT182,O182,N182,P182,D182-$G$5,1,1)*AF182*F182*AH182</f>
        <v>#VALUE!</v>
      </c>
      <c r="U182" s="501"/>
      <c r="V182" s="503" t="e">
        <f aca="false">VLOOKUP($AG182,$AL$4:$AS$15,8)*AH182*AU182</f>
        <v>#VALUE!</v>
      </c>
      <c r="W182" s="503"/>
      <c r="X182" s="504" t="e">
        <f aca="false">((BM182*BC182)+(BL182*BB182))*AH182*F182</f>
        <v>#VALUE!</v>
      </c>
      <c r="Y182" s="504" t="e">
        <f aca="false">($F182*$AH182)*((($BG182/2)*($BC182)^2)+(($BF182/2)*($BB182)^2)+($BH182*$BC182*$BB182))</f>
        <v>#VALUE!</v>
      </c>
      <c r="Z182" s="504" t="e">
        <f aca="false">($BI182*$F182*$AH182*($G$5-$BV$5))/365.25</f>
        <v>#VALUE!</v>
      </c>
      <c r="AA182" s="504" t="e">
        <f aca="false">(($BK182*$BE182)+($BJ182*$BD182))*$F182*$AH182*$AF182</f>
        <v>#VALUE!</v>
      </c>
      <c r="AB182" s="504" t="e">
        <f aca="false">BN182*(AT182-CA182)*F182*AH182</f>
        <v>#VALUE!</v>
      </c>
      <c r="AC182" s="504" t="e">
        <f aca="false">BO182*CB182*F182*AH182*CA182*($G$5-$BV$5)/365.25</f>
        <v>#NAME?</v>
      </c>
      <c r="AF182" s="378" t="e">
        <f aca="false">IF(AND(D182&gt;=$G$7,D182&lt;=$G$8),1,0)</f>
        <v>#VALUE!</v>
      </c>
      <c r="AG182" s="378" t="e">
        <f aca="false">MONTH(D182)</f>
        <v>#VALUE!</v>
      </c>
      <c r="AH182" s="378" t="e">
        <f aca="false">(EOMONTH(D182,0)-EOMONTH(D182-DAY(D182),0))*AF182</f>
        <v>#VALUE!</v>
      </c>
      <c r="AI182" s="378" t="e">
        <f aca="false">AI181+AH181</f>
        <v>#VALUE!</v>
      </c>
      <c r="AJ182" s="378" t="e">
        <f aca="false">D182-$BV$5</f>
        <v>#VALUE!</v>
      </c>
      <c r="AL182" s="369" t="e">
        <f aca="false">VLOOKUP($D182,CurveTbl,$AK$4)</f>
        <v>#VALUE!</v>
      </c>
      <c r="AM182" s="505" t="e">
        <f aca="false">VLOOKUP($D182,CurveTbl,$AH$3)</f>
        <v>#VALUE!</v>
      </c>
      <c r="AN182" s="505" t="e">
        <f aca="false">VLOOKUP($D182,CurveTbl,$AH$4)+VLOOKUP($AG182,$AL$3:$AS$15,6)</f>
        <v>#VALUE!</v>
      </c>
      <c r="AO182" s="505" t="e">
        <f aca="false">VLOOKUP($D182,CurveTbl,$AH$5)</f>
        <v>#VALUE!</v>
      </c>
      <c r="AP182" s="505" t="e">
        <f aca="false">VLOOKUP($D182,CurveTbl,$AH$6)+VLOOKUP($AG182,$AL$3:$AS$15,7)</f>
        <v>#VALUE!</v>
      </c>
      <c r="AQ182" s="369" t="e">
        <f aca="false">VLOOKUP($AG182,$AL$4:$AS$15,3)+VLOOKUP($AG182,$AL$4:$AS$15,5)+($AH$10*VLOOKUP(D182,GRITable,2))</f>
        <v>#VALUE!</v>
      </c>
      <c r="AR182" s="370" t="e">
        <f aca="false">VLOOKUP($AG182,$AL$4:$AS$15,4)</f>
        <v>#VALUE!</v>
      </c>
      <c r="AS182" s="369" t="e">
        <f aca="false">(AL182+AM182+AN182)</f>
        <v>#VALUE!</v>
      </c>
      <c r="AT182" s="370" t="e">
        <f aca="false">VLOOKUP(D182,CurveTbl,$AK$6)</f>
        <v>#VALUE!</v>
      </c>
      <c r="AU182" s="370" t="e">
        <f aca="false">(1+$AT182/2)^(-2*($D182-$G$5)/365.25)*$AF182</f>
        <v>#VALUE!</v>
      </c>
      <c r="AV182" s="506" t="e">
        <f aca="false">ROUND((F182/(1-AR182))-F182,0)*AF182*AH182*AU182</f>
        <v>#VALUE!</v>
      </c>
      <c r="AW182" s="370" t="e">
        <f aca="false">VLOOKUP($D182,CurveTbl,$AK$8)</f>
        <v>#VALUE!</v>
      </c>
      <c r="AX182" s="370" t="e">
        <f aca="false">VLOOKUP($D182,CurveTbl,$AH$7)</f>
        <v>#VALUE!</v>
      </c>
      <c r="AY182" s="370" t="e">
        <f aca="false">VLOOKUP($D182,CurveTbl,$AH$8)</f>
        <v>#VALUE!</v>
      </c>
      <c r="AZ182" s="370"/>
      <c r="BA182" s="507"/>
      <c r="BB182" s="505" t="e">
        <f aca="false">$H182-$BV182</f>
        <v>#VALUE!</v>
      </c>
      <c r="BC182" s="505" t="e">
        <f aca="false">I182-BW182</f>
        <v>#VALUE!</v>
      </c>
      <c r="BD182" s="370" t="e">
        <f aca="false">N182-BX182</f>
        <v>#VALUE!</v>
      </c>
      <c r="BE182" s="370" t="e">
        <f aca="false">O182-BY182</f>
        <v>#VALUE!</v>
      </c>
      <c r="BF182" s="370" t="e">
        <f aca="false">xSPRDOPT($BW182,$BV182,$CG182,0,$BY182,$BX182,$BZ182,$AJ182,1,4)*$CB182</f>
        <v>#NAME?</v>
      </c>
      <c r="BG182" s="370" t="e">
        <f aca="false">xSPRDOPT($BW182,$BV182,$CG182,0,$BY182,$BX182,$BZ182,$AJ182,1,3)*$CB182</f>
        <v>#NAME?</v>
      </c>
      <c r="BH182" s="370" t="e">
        <f aca="false">IF(OR(BF182&lt;&gt;0,BG182&lt;&gt;0),xSPRDOPT($BW182,$BV182,$CG182,0,$BY182,$BX182,$BZ182,$AJ182,1,12)*$CB182,0)</f>
        <v>#NAME?</v>
      </c>
      <c r="BI182" s="370" t="e">
        <f aca="false">xSPRDOPT($BW182,$BV182,$CG182,2*LN(1+CA182/2),$BY182,$BX182,$BZ182,$AJ182,1,9)</f>
        <v>#NAME?</v>
      </c>
      <c r="BJ182" s="370" t="e">
        <f aca="false">xSPRDOPT($BW182,$BV182,$CG182,0,$BY182,$BX182,$BZ182,$AJ182,1,6)*$CB182</f>
        <v>#NAME?</v>
      </c>
      <c r="BK182" s="370" t="e">
        <f aca="false">xSPRDOPT($BW182,$BV182,$CG182,0,$BY182,$BX182,$BZ182,$AJ182,1,5)*$CB182</f>
        <v>#NAME?</v>
      </c>
      <c r="BL182" s="370" t="e">
        <f aca="false">xSPRDOPT(BW182,BV182,CG182,0,BY182,BX182,BZ182,AJ182,1,2)*CB182</f>
        <v>#NAME?</v>
      </c>
      <c r="BM182" s="370" t="e">
        <f aca="false">xSPRDOPT(BW182,BV182,CG182,0,BY182,BX182,BZ182,AJ182,1,1)*CB182</f>
        <v>#NAME?</v>
      </c>
      <c r="BN182" s="370" t="e">
        <f aca="false">IF(AH182&lt;&gt;0,xSPRDOPT($BW182,$BV182,$CG182,2*LN(1+CA182/2),$BY182,$BX182,$BZ182,$AJ182,1,8)+(AJ182/365.25)*CH182/AH182,0)</f>
        <v>#VALUE!</v>
      </c>
      <c r="BO182" s="370" t="e">
        <f aca="false">xSPRDOPT($BW182,$BV182,$CG182,0,$BY182,$BX182,$BZ182,$AJ182,1,0)</f>
        <v>#NAME?</v>
      </c>
      <c r="BP182" s="370"/>
      <c r="BQ182" s="370"/>
      <c r="BR182" s="370"/>
      <c r="BS182" s="370"/>
      <c r="BV182" s="508" t="n">
        <v>4.21585677749361</v>
      </c>
      <c r="BW182" s="369" t="n">
        <v>4.8395</v>
      </c>
      <c r="BX182" s="370" t="n">
        <v>0.171607035996871</v>
      </c>
      <c r="BY182" s="370" t="n">
        <v>0.171607035996871</v>
      </c>
      <c r="BZ182" s="370" t="n">
        <v>1</v>
      </c>
      <c r="CA182" s="370" t="n">
        <v>0.063576052695951</v>
      </c>
      <c r="CB182" s="370" t="n">
        <v>0.431871533503207</v>
      </c>
      <c r="CC182" s="505" t="n">
        <v>0.0215</v>
      </c>
      <c r="CD182" s="505" t="n">
        <v>0.01</v>
      </c>
      <c r="CE182" s="505" t="n">
        <v>0.75</v>
      </c>
      <c r="CF182" s="505" t="n">
        <v>0</v>
      </c>
      <c r="CG182" s="505" t="n">
        <v>0.0364</v>
      </c>
      <c r="CH182" s="505" t="n">
        <v>4.93616206648161</v>
      </c>
      <c r="CI182" s="505" t="n">
        <v>4.0895</v>
      </c>
      <c r="CJ182" s="505"/>
      <c r="CK182" s="505"/>
      <c r="CL182" s="505"/>
      <c r="CM182" s="505"/>
    </row>
    <row r="183" customFormat="false" ht="12.75" hidden="false" customHeight="false" outlineLevel="0" collapsed="false">
      <c r="A183" s="500"/>
      <c r="B183" s="500"/>
      <c r="D183" s="361" t="e">
        <f aca="false">D182+AH182</f>
        <v>#VALUE!</v>
      </c>
      <c r="F183" s="362" t="e">
        <f aca="false">VLOOKUP(AG183,$AL$4:$AS$15,2)</f>
        <v>#VALUE!</v>
      </c>
      <c r="G183" s="362" t="e">
        <f aca="false">F183*$AU183</f>
        <v>#VALUE!</v>
      </c>
      <c r="H183" s="363" t="e">
        <f aca="false">(AL183+AM183+AN183)/(1-(AR183))</f>
        <v>#VALUE!</v>
      </c>
      <c r="I183" s="363" t="e">
        <f aca="false">(AL183+AO183+AP183)</f>
        <v>#VALUE!</v>
      </c>
      <c r="K183" s="363" t="e">
        <f aca="false">MAX(((I183-H183)-AQ183)*AU183*AH183,0)</f>
        <v>#VALUE!</v>
      </c>
      <c r="L183" s="501" t="e">
        <f aca="false">MAX(Q183-K183,0)</f>
        <v>#VALUE!</v>
      </c>
      <c r="N183" s="502" t="e">
        <f aca="false">SQRT(($AX183^2*($AH183/2)+$AW183^2*$AI183)/(($AH183/2)+$AI183))</f>
        <v>#VALUE!</v>
      </c>
      <c r="O183" s="502" t="e">
        <f aca="false">SQRT(($AY183^2*($AH183/2)+$AW183^2*$AI183)/(($AH183/2)+$AI183))</f>
        <v>#VALUE!</v>
      </c>
      <c r="P183" s="371" t="e">
        <f aca="false">(VLOOKUP(AI183,CorrelationTwo,2)*(AW183^2)*AI183+VLOOKUP(D183,CorrelationOne,$AK$9)*AX183*AY183*(AH183/2))/((AI183+(AH183/2))*O183*N183)*AF183</f>
        <v>#VALUE!</v>
      </c>
      <c r="Q183" s="501" t="e">
        <f aca="false">xSPRDOPT(I183,H183,AQ183,0,O183,N183,P183,D183-$G$5,1,0)*AH183*AU183</f>
        <v>#VALUE!</v>
      </c>
      <c r="R183" s="501"/>
      <c r="S183" s="365" t="e">
        <f aca="false">-T183/(1-AR183)</f>
        <v>#VALUE!</v>
      </c>
      <c r="T183" s="365" t="e">
        <f aca="false">xSPRDOPT(I183,H183,AQ183,AT183,O183,N183,P183,D183-$G$5,1,1)*AF183*F183*AH183</f>
        <v>#VALUE!</v>
      </c>
      <c r="U183" s="501"/>
      <c r="V183" s="503" t="e">
        <f aca="false">VLOOKUP($AG183,$AL$4:$AS$15,8)*AH183*AU183</f>
        <v>#VALUE!</v>
      </c>
      <c r="W183" s="503"/>
      <c r="X183" s="504" t="e">
        <f aca="false">((BM183*BC183)+(BL183*BB183))*AH183*F183</f>
        <v>#VALUE!</v>
      </c>
      <c r="Y183" s="504" t="e">
        <f aca="false">($F183*$AH183)*((($BG183/2)*($BC183)^2)+(($BF183/2)*($BB183)^2)+($BH183*$BC183*$BB183))</f>
        <v>#VALUE!</v>
      </c>
      <c r="Z183" s="504" t="e">
        <f aca="false">($BI183*$F183*$AH183*($G$5-$BV$5))/365.25</f>
        <v>#VALUE!</v>
      </c>
      <c r="AA183" s="504" t="e">
        <f aca="false">(($BK183*$BE183)+($BJ183*$BD183))*$F183*$AH183*$AF183</f>
        <v>#VALUE!</v>
      </c>
      <c r="AB183" s="504" t="e">
        <f aca="false">BN183*(AT183-CA183)*F183*AH183</f>
        <v>#VALUE!</v>
      </c>
      <c r="AC183" s="504" t="e">
        <f aca="false">BO183*CB183*F183*AH183*CA183*($G$5-$BV$5)/365.25</f>
        <v>#NAME?</v>
      </c>
      <c r="AF183" s="378" t="e">
        <f aca="false">IF(AND(D183&gt;=$G$7,D183&lt;=$G$8),1,0)</f>
        <v>#VALUE!</v>
      </c>
      <c r="AG183" s="378" t="e">
        <f aca="false">MONTH(D183)</f>
        <v>#VALUE!</v>
      </c>
      <c r="AH183" s="378" t="e">
        <f aca="false">(EOMONTH(D183,0)-EOMONTH(D183-DAY(D183),0))*AF183</f>
        <v>#VALUE!</v>
      </c>
      <c r="AI183" s="378" t="e">
        <f aca="false">AI182+AH182</f>
        <v>#VALUE!</v>
      </c>
      <c r="AJ183" s="378" t="e">
        <f aca="false">D183-$BV$5</f>
        <v>#VALUE!</v>
      </c>
      <c r="AL183" s="369" t="e">
        <f aca="false">VLOOKUP($D183,CurveTbl,$AK$4)</f>
        <v>#VALUE!</v>
      </c>
      <c r="AM183" s="505" t="e">
        <f aca="false">VLOOKUP($D183,CurveTbl,$AH$3)</f>
        <v>#VALUE!</v>
      </c>
      <c r="AN183" s="505" t="e">
        <f aca="false">VLOOKUP($D183,CurveTbl,$AH$4)+VLOOKUP($AG183,$AL$3:$AS$15,6)</f>
        <v>#VALUE!</v>
      </c>
      <c r="AO183" s="505" t="e">
        <f aca="false">VLOOKUP($D183,CurveTbl,$AH$5)</f>
        <v>#VALUE!</v>
      </c>
      <c r="AP183" s="505" t="e">
        <f aca="false">VLOOKUP($D183,CurveTbl,$AH$6)+VLOOKUP($AG183,$AL$3:$AS$15,7)</f>
        <v>#VALUE!</v>
      </c>
      <c r="AQ183" s="369" t="e">
        <f aca="false">VLOOKUP($AG183,$AL$4:$AS$15,3)+VLOOKUP($AG183,$AL$4:$AS$15,5)+($AH$10*VLOOKUP(D183,GRITable,2))</f>
        <v>#VALUE!</v>
      </c>
      <c r="AR183" s="370" t="e">
        <f aca="false">VLOOKUP($AG183,$AL$4:$AS$15,4)</f>
        <v>#VALUE!</v>
      </c>
      <c r="AS183" s="369" t="e">
        <f aca="false">(AL183+AM183+AN183)</f>
        <v>#VALUE!</v>
      </c>
      <c r="AT183" s="370" t="e">
        <f aca="false">VLOOKUP(D183,CurveTbl,$AK$6)</f>
        <v>#VALUE!</v>
      </c>
      <c r="AU183" s="370" t="e">
        <f aca="false">(1+$AT183/2)^(-2*($D183-$G$5)/365.25)*$AF183</f>
        <v>#VALUE!</v>
      </c>
      <c r="AV183" s="506" t="e">
        <f aca="false">ROUND((F183/(1-AR183))-F183,0)*AF183*AH183*AU183</f>
        <v>#VALUE!</v>
      </c>
      <c r="AW183" s="370" t="e">
        <f aca="false">VLOOKUP($D183,CurveTbl,$AK$8)</f>
        <v>#VALUE!</v>
      </c>
      <c r="AX183" s="370" t="e">
        <f aca="false">VLOOKUP($D183,CurveTbl,$AH$7)</f>
        <v>#VALUE!</v>
      </c>
      <c r="AY183" s="370" t="e">
        <f aca="false">VLOOKUP($D183,CurveTbl,$AH$8)</f>
        <v>#VALUE!</v>
      </c>
      <c r="AZ183" s="370"/>
      <c r="BA183" s="507"/>
      <c r="BB183" s="505" t="e">
        <f aca="false">$H183-$BV183</f>
        <v>#VALUE!</v>
      </c>
      <c r="BC183" s="505" t="e">
        <f aca="false">I183-BW183</f>
        <v>#VALUE!</v>
      </c>
      <c r="BD183" s="370" t="e">
        <f aca="false">N183-BX183</f>
        <v>#VALUE!</v>
      </c>
      <c r="BE183" s="370" t="e">
        <f aca="false">O183-BY183</f>
        <v>#VALUE!</v>
      </c>
      <c r="BF183" s="370" t="e">
        <f aca="false">xSPRDOPT($BW183,$BV183,$CG183,0,$BY183,$BX183,$BZ183,$AJ183,1,4)*$CB183</f>
        <v>#NAME?</v>
      </c>
      <c r="BG183" s="370" t="e">
        <f aca="false">xSPRDOPT($BW183,$BV183,$CG183,0,$BY183,$BX183,$BZ183,$AJ183,1,3)*$CB183</f>
        <v>#NAME?</v>
      </c>
      <c r="BH183" s="370" t="e">
        <f aca="false">IF(OR(BF183&lt;&gt;0,BG183&lt;&gt;0),xSPRDOPT($BW183,$BV183,$CG183,0,$BY183,$BX183,$BZ183,$AJ183,1,12)*$CB183,0)</f>
        <v>#NAME?</v>
      </c>
      <c r="BI183" s="370" t="e">
        <f aca="false">xSPRDOPT($BW183,$BV183,$CG183,2*LN(1+CA183/2),$BY183,$BX183,$BZ183,$AJ183,1,9)</f>
        <v>#NAME?</v>
      </c>
      <c r="BJ183" s="370" t="e">
        <f aca="false">xSPRDOPT($BW183,$BV183,$CG183,0,$BY183,$BX183,$BZ183,$AJ183,1,6)*$CB183</f>
        <v>#NAME?</v>
      </c>
      <c r="BK183" s="370" t="e">
        <f aca="false">xSPRDOPT($BW183,$BV183,$CG183,0,$BY183,$BX183,$BZ183,$AJ183,1,5)*$CB183</f>
        <v>#NAME?</v>
      </c>
      <c r="BL183" s="370" t="e">
        <f aca="false">xSPRDOPT(BW183,BV183,CG183,0,BY183,BX183,BZ183,AJ183,1,2)*CB183</f>
        <v>#NAME?</v>
      </c>
      <c r="BM183" s="370" t="e">
        <f aca="false">xSPRDOPT(BW183,BV183,CG183,0,BY183,BX183,BZ183,AJ183,1,1)*CB183</f>
        <v>#NAME?</v>
      </c>
      <c r="BN183" s="370" t="e">
        <f aca="false">IF(AH183&lt;&gt;0,xSPRDOPT($BW183,$BV183,$CG183,2*LN(1+CA183/2),$BY183,$BX183,$BZ183,$AJ183,1,8)+(AJ183/365.25)*CH183/AH183,0)</f>
        <v>#VALUE!</v>
      </c>
      <c r="BO183" s="370" t="e">
        <f aca="false">xSPRDOPT($BW183,$BV183,$CG183,0,$BY183,$BX183,$BZ183,$AJ183,1,0)</f>
        <v>#NAME?</v>
      </c>
      <c r="BP183" s="370"/>
      <c r="BQ183" s="370"/>
      <c r="BR183" s="370"/>
      <c r="BS183" s="370"/>
      <c r="BV183" s="508" t="n">
        <v>4.25166240409207</v>
      </c>
      <c r="BW183" s="369" t="n">
        <v>4.9745</v>
      </c>
      <c r="BX183" s="370" t="n">
        <v>0.171545855488496</v>
      </c>
      <c r="BY183" s="370" t="n">
        <v>0.171545855488496</v>
      </c>
      <c r="BZ183" s="370" t="n">
        <v>1</v>
      </c>
      <c r="CA183" s="370" t="n">
        <v>0.0636165968015536</v>
      </c>
      <c r="CB183" s="370" t="n">
        <v>0.429355716170676</v>
      </c>
      <c r="CC183" s="505" t="n">
        <v>0.0215</v>
      </c>
      <c r="CD183" s="505" t="n">
        <v>0.01</v>
      </c>
      <c r="CE183" s="505" t="n">
        <v>0.85</v>
      </c>
      <c r="CF183" s="505" t="n">
        <v>0</v>
      </c>
      <c r="CG183" s="505" t="n">
        <v>0.0364</v>
      </c>
      <c r="CH183" s="505" t="n">
        <v>4.74910357656384</v>
      </c>
      <c r="CI183" s="505" t="n">
        <v>4.1245</v>
      </c>
      <c r="CJ183" s="505"/>
      <c r="CK183" s="505"/>
      <c r="CL183" s="505"/>
      <c r="CM183" s="505"/>
    </row>
    <row r="184" customFormat="false" ht="12.75" hidden="false" customHeight="false" outlineLevel="0" collapsed="false">
      <c r="A184" s="500"/>
      <c r="B184" s="500"/>
      <c r="D184" s="361" t="e">
        <f aca="false">D183+AH183</f>
        <v>#VALUE!</v>
      </c>
      <c r="F184" s="362" t="e">
        <f aca="false">VLOOKUP(AG184,$AL$4:$AS$15,2)</f>
        <v>#VALUE!</v>
      </c>
      <c r="G184" s="362" t="e">
        <f aca="false">F184*$AU184</f>
        <v>#VALUE!</v>
      </c>
      <c r="H184" s="363" t="e">
        <f aca="false">(AL184+AM184+AN184)/(1-(AR184))</f>
        <v>#VALUE!</v>
      </c>
      <c r="I184" s="363" t="e">
        <f aca="false">(AL184+AO184+AP184)</f>
        <v>#VALUE!</v>
      </c>
      <c r="K184" s="363" t="e">
        <f aca="false">MAX(((I184-H184)-AQ184)*AU184*AH184,0)</f>
        <v>#VALUE!</v>
      </c>
      <c r="L184" s="501" t="e">
        <f aca="false">MAX(Q184-K184,0)</f>
        <v>#VALUE!</v>
      </c>
      <c r="N184" s="502" t="e">
        <f aca="false">SQRT(($AX184^2*($AH184/2)+$AW184^2*$AI184)/(($AH184/2)+$AI184))</f>
        <v>#VALUE!</v>
      </c>
      <c r="O184" s="502" t="e">
        <f aca="false">SQRT(($AY184^2*($AH184/2)+$AW184^2*$AI184)/(($AH184/2)+$AI184))</f>
        <v>#VALUE!</v>
      </c>
      <c r="P184" s="371" t="e">
        <f aca="false">(VLOOKUP(AI184,CorrelationTwo,2)*(AW184^2)*AI184+VLOOKUP(D184,CorrelationOne,$AK$9)*AX184*AY184*(AH184/2))/((AI184+(AH184/2))*O184*N184)*AF184</f>
        <v>#VALUE!</v>
      </c>
      <c r="Q184" s="501" t="e">
        <f aca="false">xSPRDOPT(I184,H184,AQ184,0,O184,N184,P184,D184-$G$5,1,0)*AH184*AU184</f>
        <v>#VALUE!</v>
      </c>
      <c r="R184" s="501"/>
      <c r="S184" s="365" t="e">
        <f aca="false">-T184/(1-AR184)</f>
        <v>#VALUE!</v>
      </c>
      <c r="T184" s="365" t="e">
        <f aca="false">xSPRDOPT(I184,H184,AQ184,AT184,O184,N184,P184,D184-$G$5,1,1)*AF184*F184*AH184</f>
        <v>#VALUE!</v>
      </c>
      <c r="U184" s="501"/>
      <c r="V184" s="503" t="e">
        <f aca="false">VLOOKUP($AG184,$AL$4:$AS$15,8)*AH184*AU184</f>
        <v>#VALUE!</v>
      </c>
      <c r="W184" s="503"/>
      <c r="X184" s="504" t="e">
        <f aca="false">((BM184*BC184)+(BL184*BB184))*AH184*F184</f>
        <v>#VALUE!</v>
      </c>
      <c r="Y184" s="504" t="e">
        <f aca="false">($F184*$AH184)*((($BG184/2)*($BC184)^2)+(($BF184/2)*($BB184)^2)+($BH184*$BC184*$BB184))</f>
        <v>#VALUE!</v>
      </c>
      <c r="Z184" s="504" t="e">
        <f aca="false">($BI184*$F184*$AH184*($G$5-$BV$5))/365.25</f>
        <v>#VALUE!</v>
      </c>
      <c r="AA184" s="504" t="e">
        <f aca="false">(($BK184*$BE184)+($BJ184*$BD184))*$F184*$AH184*$AF184</f>
        <v>#VALUE!</v>
      </c>
      <c r="AB184" s="504" t="e">
        <f aca="false">BN184*(AT184-CA184)*F184*AH184</f>
        <v>#VALUE!</v>
      </c>
      <c r="AC184" s="504" t="e">
        <f aca="false">BO184*CB184*F184*AH184*CA184*($G$5-$BV$5)/365.25</f>
        <v>#NAME?</v>
      </c>
      <c r="AF184" s="378" t="e">
        <f aca="false">IF(AND(D184&gt;=$G$7,D184&lt;=$G$8),1,0)</f>
        <v>#VALUE!</v>
      </c>
      <c r="AG184" s="378" t="e">
        <f aca="false">MONTH(D184)</f>
        <v>#VALUE!</v>
      </c>
      <c r="AH184" s="378" t="e">
        <f aca="false">(EOMONTH(D184,0)-EOMONTH(D184-DAY(D184),0))*AF184</f>
        <v>#VALUE!</v>
      </c>
      <c r="AI184" s="378" t="e">
        <f aca="false">AI183+AH183</f>
        <v>#VALUE!</v>
      </c>
      <c r="AJ184" s="378" t="e">
        <f aca="false">D184-$BV$5</f>
        <v>#VALUE!</v>
      </c>
      <c r="AL184" s="369" t="e">
        <f aca="false">VLOOKUP($D184,CurveTbl,$AK$4)</f>
        <v>#VALUE!</v>
      </c>
      <c r="AM184" s="505" t="e">
        <f aca="false">VLOOKUP($D184,CurveTbl,$AH$3)</f>
        <v>#VALUE!</v>
      </c>
      <c r="AN184" s="505" t="e">
        <f aca="false">VLOOKUP($D184,CurveTbl,$AH$4)+VLOOKUP($AG184,$AL$3:$AS$15,6)</f>
        <v>#VALUE!</v>
      </c>
      <c r="AO184" s="505" t="e">
        <f aca="false">VLOOKUP($D184,CurveTbl,$AH$5)</f>
        <v>#VALUE!</v>
      </c>
      <c r="AP184" s="505" t="e">
        <f aca="false">VLOOKUP($D184,CurveTbl,$AH$6)+VLOOKUP($AG184,$AL$3:$AS$15,7)</f>
        <v>#VALUE!</v>
      </c>
      <c r="AQ184" s="369" t="e">
        <f aca="false">VLOOKUP($AG184,$AL$4:$AS$15,3)+VLOOKUP($AG184,$AL$4:$AS$15,5)+($AH$10*VLOOKUP(D184,GRITable,2))</f>
        <v>#VALUE!</v>
      </c>
      <c r="AR184" s="370" t="e">
        <f aca="false">VLOOKUP($AG184,$AL$4:$AS$15,4)</f>
        <v>#VALUE!</v>
      </c>
      <c r="AS184" s="369" t="e">
        <f aca="false">(AL184+AM184+AN184)</f>
        <v>#VALUE!</v>
      </c>
      <c r="AT184" s="370" t="e">
        <f aca="false">VLOOKUP(D184,CurveTbl,$AK$6)</f>
        <v>#VALUE!</v>
      </c>
      <c r="AU184" s="370" t="e">
        <f aca="false">(1+$AT184/2)^(-2*($D184-$G$5)/365.25)*$AF184</f>
        <v>#VALUE!</v>
      </c>
      <c r="AV184" s="506" t="e">
        <f aca="false">ROUND((F184/(1-AR184))-F184,0)*AF184*AH184*AU184</f>
        <v>#VALUE!</v>
      </c>
      <c r="AW184" s="370" t="e">
        <f aca="false">VLOOKUP($D184,CurveTbl,$AK$8)</f>
        <v>#VALUE!</v>
      </c>
      <c r="AX184" s="370" t="e">
        <f aca="false">VLOOKUP($D184,CurveTbl,$AH$7)</f>
        <v>#VALUE!</v>
      </c>
      <c r="AY184" s="370" t="e">
        <f aca="false">VLOOKUP($D184,CurveTbl,$AH$8)</f>
        <v>#VALUE!</v>
      </c>
      <c r="AZ184" s="370"/>
      <c r="BA184" s="507"/>
      <c r="BB184" s="505" t="e">
        <f aca="false">$H184-$BV184</f>
        <v>#VALUE!</v>
      </c>
      <c r="BC184" s="505" t="e">
        <f aca="false">I184-BW184</f>
        <v>#VALUE!</v>
      </c>
      <c r="BD184" s="370" t="e">
        <f aca="false">N184-BX184</f>
        <v>#VALUE!</v>
      </c>
      <c r="BE184" s="370" t="e">
        <f aca="false">O184-BY184</f>
        <v>#VALUE!</v>
      </c>
      <c r="BF184" s="370" t="e">
        <f aca="false">xSPRDOPT($BW184,$BV184,$CG184,0,$BY184,$BX184,$BZ184,$AJ184,1,4)*$CB184</f>
        <v>#NAME?</v>
      </c>
      <c r="BG184" s="370" t="e">
        <f aca="false">xSPRDOPT($BW184,$BV184,$CG184,0,$BY184,$BX184,$BZ184,$AJ184,1,3)*$CB184</f>
        <v>#NAME?</v>
      </c>
      <c r="BH184" s="370" t="e">
        <f aca="false">IF(OR(BF184&lt;&gt;0,BG184&lt;&gt;0),xSPRDOPT($BW184,$BV184,$CG184,0,$BY184,$BX184,$BZ184,$AJ184,1,12)*$CB184,0)</f>
        <v>#NAME?</v>
      </c>
      <c r="BI184" s="370" t="e">
        <f aca="false">xSPRDOPT($BW184,$BV184,$CG184,2*LN(1+CA184/2),$BY184,$BX184,$BZ184,$AJ184,1,9)</f>
        <v>#NAME?</v>
      </c>
      <c r="BJ184" s="370" t="e">
        <f aca="false">xSPRDOPT($BW184,$BV184,$CG184,0,$BY184,$BX184,$BZ184,$AJ184,1,6)*$CB184</f>
        <v>#NAME?</v>
      </c>
      <c r="BK184" s="370" t="e">
        <f aca="false">xSPRDOPT($BW184,$BV184,$CG184,0,$BY184,$BX184,$BZ184,$AJ184,1,5)*$CB184</f>
        <v>#NAME?</v>
      </c>
      <c r="BL184" s="370" t="e">
        <f aca="false">xSPRDOPT(BW184,BV184,CG184,0,BY184,BX184,BZ184,AJ184,1,2)*CB184</f>
        <v>#NAME?</v>
      </c>
      <c r="BM184" s="370" t="e">
        <f aca="false">xSPRDOPT(BW184,BV184,CG184,0,BY184,BX184,BZ184,AJ184,1,1)*CB184</f>
        <v>#NAME?</v>
      </c>
      <c r="BN184" s="370" t="e">
        <f aca="false">IF(AH184&lt;&gt;0,xSPRDOPT($BW184,$BV184,$CG184,2*LN(1+CA184/2),$BY184,$BX184,$BZ184,$AJ184,1,8)+(AJ184/365.25)*CH184/AH184,0)</f>
        <v>#VALUE!</v>
      </c>
      <c r="BO184" s="370" t="e">
        <f aca="false">xSPRDOPT($BW184,$BV184,$CG184,0,$BY184,$BX184,$BZ184,$AJ184,1,0)</f>
        <v>#NAME?</v>
      </c>
      <c r="BP184" s="370"/>
      <c r="BQ184" s="370"/>
      <c r="BR184" s="370"/>
      <c r="BS184" s="370"/>
      <c r="BV184" s="508" t="n">
        <v>4.2925831202046</v>
      </c>
      <c r="BW184" s="369" t="n">
        <v>5.2145</v>
      </c>
      <c r="BX184" s="370" t="n">
        <v>0.172019154226077</v>
      </c>
      <c r="BY184" s="370" t="n">
        <v>0.172019154226077</v>
      </c>
      <c r="BZ184" s="370" t="n">
        <v>1</v>
      </c>
      <c r="CA184" s="370" t="n">
        <v>0.0636558330333017</v>
      </c>
      <c r="CB184" s="370" t="n">
        <v>0.426932302061649</v>
      </c>
      <c r="CC184" s="505" t="n">
        <v>0.0215</v>
      </c>
      <c r="CD184" s="505" t="n">
        <v>0.01</v>
      </c>
      <c r="CE184" s="505" t="n">
        <v>1.05</v>
      </c>
      <c r="CF184" s="505" t="n">
        <v>0</v>
      </c>
      <c r="CG184" s="505" t="n">
        <v>0.0364</v>
      </c>
      <c r="CH184" s="505" t="n">
        <v>4.87970813287403</v>
      </c>
      <c r="CI184" s="505" t="n">
        <v>4.1645</v>
      </c>
      <c r="CJ184" s="505"/>
      <c r="CK184" s="505"/>
      <c r="CL184" s="505"/>
      <c r="CM184" s="505"/>
    </row>
    <row r="185" customFormat="false" ht="12.75" hidden="false" customHeight="false" outlineLevel="0" collapsed="false">
      <c r="A185" s="500"/>
      <c r="B185" s="500"/>
      <c r="D185" s="361" t="e">
        <f aca="false">D184+AH184</f>
        <v>#VALUE!</v>
      </c>
      <c r="F185" s="362" t="e">
        <f aca="false">VLOOKUP(AG185,$AL$4:$AS$15,2)</f>
        <v>#VALUE!</v>
      </c>
      <c r="G185" s="362" t="e">
        <f aca="false">F185*$AU185</f>
        <v>#VALUE!</v>
      </c>
      <c r="H185" s="363" t="e">
        <f aca="false">(AL185+AM185+AN185)/(1-(AR185))</f>
        <v>#VALUE!</v>
      </c>
      <c r="I185" s="363" t="e">
        <f aca="false">(AL185+AO185+AP185)</f>
        <v>#VALUE!</v>
      </c>
      <c r="K185" s="363" t="e">
        <f aca="false">MAX(((I185-H185)-AQ185)*AU185*AH185,0)</f>
        <v>#VALUE!</v>
      </c>
      <c r="L185" s="501" t="e">
        <f aca="false">MAX(Q185-K185,0)</f>
        <v>#VALUE!</v>
      </c>
      <c r="N185" s="502" t="e">
        <f aca="false">SQRT(($AX185^2*($AH185/2)+$AW185^2*$AI185)/(($AH185/2)+$AI185))</f>
        <v>#VALUE!</v>
      </c>
      <c r="O185" s="502" t="e">
        <f aca="false">SQRT(($AY185^2*($AH185/2)+$AW185^2*$AI185)/(($AH185/2)+$AI185))</f>
        <v>#VALUE!</v>
      </c>
      <c r="P185" s="371" t="e">
        <f aca="false">(VLOOKUP(AI185,CorrelationTwo,2)*(AW185^2)*AI185+VLOOKUP(D185,CorrelationOne,$AK$9)*AX185*AY185*(AH185/2))/((AI185+(AH185/2))*O185*N185)*AF185</f>
        <v>#VALUE!</v>
      </c>
      <c r="Q185" s="501" t="e">
        <f aca="false">xSPRDOPT(I185,H185,AQ185,0,O185,N185,P185,D185-$G$5,1,0)*AH185*AU185</f>
        <v>#VALUE!</v>
      </c>
      <c r="R185" s="501"/>
      <c r="S185" s="365" t="e">
        <f aca="false">-T185/(1-AR185)</f>
        <v>#VALUE!</v>
      </c>
      <c r="T185" s="365" t="e">
        <f aca="false">xSPRDOPT(I185,H185,AQ185,AT185,O185,N185,P185,D185-$G$5,1,1)*AF185*F185*AH185</f>
        <v>#VALUE!</v>
      </c>
      <c r="U185" s="501"/>
      <c r="V185" s="503" t="e">
        <f aca="false">VLOOKUP($AG185,$AL$4:$AS$15,8)*AH185*AU185</f>
        <v>#VALUE!</v>
      </c>
      <c r="W185" s="503"/>
      <c r="X185" s="504" t="e">
        <f aca="false">((BM185*BC185)+(BL185*BB185))*AH185*F185</f>
        <v>#VALUE!</v>
      </c>
      <c r="Y185" s="504" t="e">
        <f aca="false">($F185*$AH185)*((($BG185/2)*($BC185)^2)+(($BF185/2)*($BB185)^2)+($BH185*$BC185*$BB185))</f>
        <v>#VALUE!</v>
      </c>
      <c r="Z185" s="504" t="e">
        <f aca="false">($BI185*$F185*$AH185*($G$5-$BV$5))/365.25</f>
        <v>#VALUE!</v>
      </c>
      <c r="AA185" s="504" t="e">
        <f aca="false">(($BK185*$BE185)+($BJ185*$BD185))*$F185*$AH185*$AF185</f>
        <v>#VALUE!</v>
      </c>
      <c r="AB185" s="504" t="e">
        <f aca="false">BN185*(AT185-CA185)*F185*AH185</f>
        <v>#VALUE!</v>
      </c>
      <c r="AC185" s="504" t="e">
        <f aca="false">BO185*CB185*F185*AH185*CA185*($G$5-$BV$5)/365.25</f>
        <v>#NAME?</v>
      </c>
      <c r="AF185" s="378" t="e">
        <f aca="false">IF(AND(D185&gt;=$G$7,D185&lt;=$G$8),1,0)</f>
        <v>#VALUE!</v>
      </c>
      <c r="AG185" s="378" t="e">
        <f aca="false">MONTH(D185)</f>
        <v>#VALUE!</v>
      </c>
      <c r="AH185" s="378" t="e">
        <f aca="false">(EOMONTH(D185,0)-EOMONTH(D185-DAY(D185),0))*AF185</f>
        <v>#VALUE!</v>
      </c>
      <c r="AI185" s="378" t="e">
        <f aca="false">AI184+AH184</f>
        <v>#VALUE!</v>
      </c>
      <c r="AJ185" s="378" t="e">
        <f aca="false">D185-$BV$5</f>
        <v>#VALUE!</v>
      </c>
      <c r="AL185" s="369" t="e">
        <f aca="false">VLOOKUP($D185,CurveTbl,$AK$4)</f>
        <v>#VALUE!</v>
      </c>
      <c r="AM185" s="505" t="e">
        <f aca="false">VLOOKUP($D185,CurveTbl,$AH$3)</f>
        <v>#VALUE!</v>
      </c>
      <c r="AN185" s="505" t="e">
        <f aca="false">VLOOKUP($D185,CurveTbl,$AH$4)+VLOOKUP($AG185,$AL$3:$AS$15,6)</f>
        <v>#VALUE!</v>
      </c>
      <c r="AO185" s="505" t="e">
        <f aca="false">VLOOKUP($D185,CurveTbl,$AH$5)</f>
        <v>#VALUE!</v>
      </c>
      <c r="AP185" s="505" t="e">
        <f aca="false">VLOOKUP($D185,CurveTbl,$AH$6)+VLOOKUP($AG185,$AL$3:$AS$15,7)</f>
        <v>#VALUE!</v>
      </c>
      <c r="AQ185" s="369" t="e">
        <f aca="false">VLOOKUP($AG185,$AL$4:$AS$15,3)+VLOOKUP($AG185,$AL$4:$AS$15,5)+($AH$10*VLOOKUP(D185,GRITable,2))</f>
        <v>#VALUE!</v>
      </c>
      <c r="AR185" s="370" t="e">
        <f aca="false">VLOOKUP($AG185,$AL$4:$AS$15,4)</f>
        <v>#VALUE!</v>
      </c>
      <c r="AS185" s="369" t="e">
        <f aca="false">(AL185+AM185+AN185)</f>
        <v>#VALUE!</v>
      </c>
      <c r="AT185" s="370" t="e">
        <f aca="false">VLOOKUP(D185,CurveTbl,$AK$6)</f>
        <v>#VALUE!</v>
      </c>
      <c r="AU185" s="370" t="e">
        <f aca="false">(1+$AT185/2)^(-2*($D185-$G$5)/365.25)*$AF185</f>
        <v>#VALUE!</v>
      </c>
      <c r="AV185" s="506" t="e">
        <f aca="false">ROUND((F185/(1-AR185))-F185,0)*AF185*AH185*AU185</f>
        <v>#VALUE!</v>
      </c>
      <c r="AW185" s="370" t="e">
        <f aca="false">VLOOKUP($D185,CurveTbl,$AK$8)</f>
        <v>#VALUE!</v>
      </c>
      <c r="AX185" s="370" t="e">
        <f aca="false">VLOOKUP($D185,CurveTbl,$AH$7)</f>
        <v>#VALUE!</v>
      </c>
      <c r="AY185" s="370" t="e">
        <f aca="false">VLOOKUP($D185,CurveTbl,$AH$8)</f>
        <v>#VALUE!</v>
      </c>
      <c r="AZ185" s="370"/>
      <c r="BA185" s="507"/>
      <c r="BB185" s="505" t="e">
        <f aca="false">$H185-$BV185</f>
        <v>#VALUE!</v>
      </c>
      <c r="BC185" s="505" t="e">
        <f aca="false">I185-BW185</f>
        <v>#VALUE!</v>
      </c>
      <c r="BD185" s="370" t="e">
        <f aca="false">N185-BX185</f>
        <v>#VALUE!</v>
      </c>
      <c r="BE185" s="370" t="e">
        <f aca="false">O185-BY185</f>
        <v>#VALUE!</v>
      </c>
      <c r="BF185" s="370" t="e">
        <f aca="false">xSPRDOPT($BW185,$BV185,$CG185,0,$BY185,$BX185,$BZ185,$AJ185,1,4)*$CB185</f>
        <v>#NAME?</v>
      </c>
      <c r="BG185" s="370" t="e">
        <f aca="false">xSPRDOPT($BW185,$BV185,$CG185,0,$BY185,$BX185,$BZ185,$AJ185,1,3)*$CB185</f>
        <v>#NAME?</v>
      </c>
      <c r="BH185" s="370" t="e">
        <f aca="false">IF(OR(BF185&lt;&gt;0,BG185&lt;&gt;0),xSPRDOPT($BW185,$BV185,$CG185,0,$BY185,$BX185,$BZ185,$AJ185,1,12)*$CB185,0)</f>
        <v>#NAME?</v>
      </c>
      <c r="BI185" s="370" t="e">
        <f aca="false">xSPRDOPT($BW185,$BV185,$CG185,2*LN(1+CA185/2),$BY185,$BX185,$BZ185,$AJ185,1,9)</f>
        <v>#NAME?</v>
      </c>
      <c r="BJ185" s="370" t="e">
        <f aca="false">xSPRDOPT($BW185,$BV185,$CG185,0,$BY185,$BX185,$BZ185,$AJ185,1,6)*$CB185</f>
        <v>#NAME?</v>
      </c>
      <c r="BK185" s="370" t="e">
        <f aca="false">xSPRDOPT($BW185,$BV185,$CG185,0,$BY185,$BX185,$BZ185,$AJ185,1,5)*$CB185</f>
        <v>#NAME?</v>
      </c>
      <c r="BL185" s="370" t="e">
        <f aca="false">xSPRDOPT(BW185,BV185,CG185,0,BY185,BX185,BZ185,AJ185,1,2)*CB185</f>
        <v>#NAME?</v>
      </c>
      <c r="BM185" s="370" t="e">
        <f aca="false">xSPRDOPT(BW185,BV185,CG185,0,BY185,BX185,BZ185,AJ185,1,1)*CB185</f>
        <v>#NAME?</v>
      </c>
      <c r="BN185" s="370" t="e">
        <f aca="false">IF(AH185&lt;&gt;0,xSPRDOPT($BW185,$BV185,$CG185,2*LN(1+CA185/2),$BY185,$BX185,$BZ185,$AJ185,1,8)+(AJ185/365.25)*CH185/AH185,0)</f>
        <v>#VALUE!</v>
      </c>
      <c r="BO185" s="370" t="e">
        <f aca="false">xSPRDOPT($BW185,$BV185,$CG185,0,$BY185,$BX185,$BZ185,$AJ185,1,0)</f>
        <v>#NAME?</v>
      </c>
      <c r="BP185" s="370"/>
      <c r="BQ185" s="370"/>
      <c r="BR185" s="370"/>
      <c r="BS185" s="370"/>
      <c r="BV185" s="508" t="n">
        <v>4.32838874680307</v>
      </c>
      <c r="BW185" s="369" t="n">
        <v>5.2545</v>
      </c>
      <c r="BX185" s="370" t="n">
        <v>0.172479749661391</v>
      </c>
      <c r="BY185" s="370" t="n">
        <v>0.172479749661391</v>
      </c>
      <c r="BZ185" s="370" t="n">
        <v>1</v>
      </c>
      <c r="CA185" s="370" t="n">
        <v>0.0636963771399772</v>
      </c>
      <c r="CB185" s="370" t="n">
        <v>0.424439695630096</v>
      </c>
      <c r="CC185" s="505" t="n">
        <v>0.0165</v>
      </c>
      <c r="CD185" s="505" t="n">
        <v>0.01</v>
      </c>
      <c r="CE185" s="505" t="n">
        <v>1.05</v>
      </c>
      <c r="CF185" s="505" t="n">
        <v>0</v>
      </c>
      <c r="CG185" s="505" t="n">
        <v>0.0364</v>
      </c>
      <c r="CH185" s="505" t="n">
        <v>4.8512183891433</v>
      </c>
      <c r="CI185" s="505" t="n">
        <v>4.2045</v>
      </c>
      <c r="CJ185" s="505"/>
      <c r="CK185" s="505"/>
      <c r="CL185" s="505"/>
      <c r="CM185" s="505"/>
    </row>
    <row r="186" customFormat="false" ht="12.75" hidden="false" customHeight="false" outlineLevel="0" collapsed="false">
      <c r="A186" s="500"/>
      <c r="B186" s="500"/>
      <c r="D186" s="361" t="e">
        <f aca="false">D185+AH185</f>
        <v>#VALUE!</v>
      </c>
      <c r="F186" s="362" t="e">
        <f aca="false">VLOOKUP(AG186,$AL$4:$AS$15,2)</f>
        <v>#VALUE!</v>
      </c>
      <c r="G186" s="362" t="e">
        <f aca="false">F186*$AU186</f>
        <v>#VALUE!</v>
      </c>
      <c r="H186" s="363" t="e">
        <f aca="false">(AL186+AM186+AN186)/(1-(AR186))</f>
        <v>#VALUE!</v>
      </c>
      <c r="I186" s="363" t="e">
        <f aca="false">(AL186+AO186+AP186)</f>
        <v>#VALUE!</v>
      </c>
      <c r="K186" s="363" t="e">
        <f aca="false">MAX(((I186-H186)-AQ186)*AU186*AH186,0)</f>
        <v>#VALUE!</v>
      </c>
      <c r="L186" s="501" t="e">
        <f aca="false">MAX(Q186-K186,0)</f>
        <v>#VALUE!</v>
      </c>
      <c r="N186" s="502" t="e">
        <f aca="false">SQRT(($AX186^2*($AH186/2)+$AW186^2*$AI186)/(($AH186/2)+$AI186))</f>
        <v>#VALUE!</v>
      </c>
      <c r="O186" s="502" t="e">
        <f aca="false">SQRT(($AY186^2*($AH186/2)+$AW186^2*$AI186)/(($AH186/2)+$AI186))</f>
        <v>#VALUE!</v>
      </c>
      <c r="P186" s="371" t="e">
        <f aca="false">(VLOOKUP(AI186,CorrelationTwo,2)*(AW186^2)*AI186+VLOOKUP(D186,CorrelationOne,$AK$9)*AX186*AY186*(AH186/2))/((AI186+(AH186/2))*O186*N186)*AF186</f>
        <v>#VALUE!</v>
      </c>
      <c r="Q186" s="501" t="e">
        <f aca="false">xSPRDOPT(I186,H186,AQ186,0,O186,N186,P186,D186-$G$5,1,0)*AH186*AU186</f>
        <v>#VALUE!</v>
      </c>
      <c r="R186" s="501"/>
      <c r="S186" s="365" t="e">
        <f aca="false">-T186/(1-AR186)</f>
        <v>#VALUE!</v>
      </c>
      <c r="T186" s="365" t="e">
        <f aca="false">xSPRDOPT(I186,H186,AQ186,AT186,O186,N186,P186,D186-$G$5,1,1)*AF186*F186*AH186</f>
        <v>#VALUE!</v>
      </c>
      <c r="U186" s="501"/>
      <c r="V186" s="503" t="e">
        <f aca="false">VLOOKUP($AG186,$AL$4:$AS$15,8)*AH186*AU186</f>
        <v>#VALUE!</v>
      </c>
      <c r="W186" s="503"/>
      <c r="X186" s="504" t="e">
        <f aca="false">((BM186*BC186)+(BL186*BB186))*AH186*F186</f>
        <v>#VALUE!</v>
      </c>
      <c r="Y186" s="504" t="e">
        <f aca="false">($F186*$AH186)*((($BG186/2)*($BC186)^2)+(($BF186/2)*($BB186)^2)+($BH186*$BC186*$BB186))</f>
        <v>#VALUE!</v>
      </c>
      <c r="Z186" s="504" t="e">
        <f aca="false">($BI186*$F186*$AH186*($G$5-$BV$5))/365.25</f>
        <v>#VALUE!</v>
      </c>
      <c r="AA186" s="504" t="e">
        <f aca="false">(($BK186*$BE186)+($BJ186*$BD186))*$F186*$AH186*$AF186</f>
        <v>#VALUE!</v>
      </c>
      <c r="AB186" s="504" t="e">
        <f aca="false">BN186*(AT186-CA186)*F186*AH186</f>
        <v>#VALUE!</v>
      </c>
      <c r="AC186" s="504" t="e">
        <f aca="false">BO186*CB186*F186*AH186*CA186*($G$5-$BV$5)/365.25</f>
        <v>#NAME?</v>
      </c>
      <c r="AF186" s="378" t="e">
        <f aca="false">IF(AND(D186&gt;=$G$7,D186&lt;=$G$8),1,0)</f>
        <v>#VALUE!</v>
      </c>
      <c r="AG186" s="378" t="e">
        <f aca="false">MONTH(D186)</f>
        <v>#VALUE!</v>
      </c>
      <c r="AH186" s="378" t="e">
        <f aca="false">(EOMONTH(D186,0)-EOMONTH(D186-DAY(D186),0))*AF186</f>
        <v>#VALUE!</v>
      </c>
      <c r="AI186" s="378" t="e">
        <f aca="false">AI185+AH185</f>
        <v>#VALUE!</v>
      </c>
      <c r="AJ186" s="378" t="e">
        <f aca="false">D186-$BV$5</f>
        <v>#VALUE!</v>
      </c>
      <c r="AL186" s="369" t="e">
        <f aca="false">VLOOKUP($D186,CurveTbl,$AK$4)</f>
        <v>#VALUE!</v>
      </c>
      <c r="AM186" s="505" t="e">
        <f aca="false">VLOOKUP($D186,CurveTbl,$AH$3)</f>
        <v>#VALUE!</v>
      </c>
      <c r="AN186" s="505" t="e">
        <f aca="false">VLOOKUP($D186,CurveTbl,$AH$4)+VLOOKUP($AG186,$AL$3:$AS$15,6)</f>
        <v>#VALUE!</v>
      </c>
      <c r="AO186" s="505" t="e">
        <f aca="false">VLOOKUP($D186,CurveTbl,$AH$5)</f>
        <v>#VALUE!</v>
      </c>
      <c r="AP186" s="505" t="e">
        <f aca="false">VLOOKUP($D186,CurveTbl,$AH$6)+VLOOKUP($AG186,$AL$3:$AS$15,7)</f>
        <v>#VALUE!</v>
      </c>
      <c r="AQ186" s="369" t="e">
        <f aca="false">VLOOKUP($AG186,$AL$4:$AS$15,3)+VLOOKUP($AG186,$AL$4:$AS$15,5)+($AH$10*VLOOKUP(D186,GRITable,2))</f>
        <v>#VALUE!</v>
      </c>
      <c r="AR186" s="370" t="e">
        <f aca="false">VLOOKUP($AG186,$AL$4:$AS$15,4)</f>
        <v>#VALUE!</v>
      </c>
      <c r="AS186" s="369" t="e">
        <f aca="false">(AL186+AM186+AN186)</f>
        <v>#VALUE!</v>
      </c>
      <c r="AT186" s="370" t="e">
        <f aca="false">VLOOKUP(D186,CurveTbl,$AK$6)</f>
        <v>#VALUE!</v>
      </c>
      <c r="AU186" s="370" t="e">
        <f aca="false">(1+$AT186/2)^(-2*($D186-$G$5)/365.25)*$AF186</f>
        <v>#VALUE!</v>
      </c>
      <c r="AV186" s="506" t="e">
        <f aca="false">ROUND((F186/(1-AR186))-F186,0)*AF186*AH186*AU186</f>
        <v>#VALUE!</v>
      </c>
      <c r="AW186" s="370" t="e">
        <f aca="false">VLOOKUP($D186,CurveTbl,$AK$8)</f>
        <v>#VALUE!</v>
      </c>
      <c r="AX186" s="370" t="e">
        <f aca="false">VLOOKUP($D186,CurveTbl,$AH$7)</f>
        <v>#VALUE!</v>
      </c>
      <c r="AY186" s="370" t="e">
        <f aca="false">VLOOKUP($D186,CurveTbl,$AH$8)</f>
        <v>#VALUE!</v>
      </c>
      <c r="AZ186" s="370"/>
      <c r="BA186" s="507"/>
      <c r="BB186" s="505" t="e">
        <f aca="false">$H186-$BV186</f>
        <v>#VALUE!</v>
      </c>
      <c r="BC186" s="505" t="e">
        <f aca="false">I186-BW186</f>
        <v>#VALUE!</v>
      </c>
      <c r="BD186" s="370" t="e">
        <f aca="false">N186-BX186</f>
        <v>#VALUE!</v>
      </c>
      <c r="BE186" s="370" t="e">
        <f aca="false">O186-BY186</f>
        <v>#VALUE!</v>
      </c>
      <c r="BF186" s="370" t="e">
        <f aca="false">xSPRDOPT($BW186,$BV186,$CG186,0,$BY186,$BX186,$BZ186,$AJ186,1,4)*$CB186</f>
        <v>#NAME?</v>
      </c>
      <c r="BG186" s="370" t="e">
        <f aca="false">xSPRDOPT($BW186,$BV186,$CG186,0,$BY186,$BX186,$BZ186,$AJ186,1,3)*$CB186</f>
        <v>#NAME?</v>
      </c>
      <c r="BH186" s="370" t="e">
        <f aca="false">IF(OR(BF186&lt;&gt;0,BG186&lt;&gt;0),xSPRDOPT($BW186,$BV186,$CG186,0,$BY186,$BX186,$BZ186,$AJ186,1,12)*$CB186,0)</f>
        <v>#NAME?</v>
      </c>
      <c r="BI186" s="370" t="e">
        <f aca="false">xSPRDOPT($BW186,$BV186,$CG186,2*LN(1+CA186/2),$BY186,$BX186,$BZ186,$AJ186,1,9)</f>
        <v>#NAME?</v>
      </c>
      <c r="BJ186" s="370" t="e">
        <f aca="false">xSPRDOPT($BW186,$BV186,$CG186,0,$BY186,$BX186,$BZ186,$AJ186,1,6)*$CB186</f>
        <v>#NAME?</v>
      </c>
      <c r="BK186" s="370" t="e">
        <f aca="false">xSPRDOPT($BW186,$BV186,$CG186,0,$BY186,$BX186,$BZ186,$AJ186,1,5)*$CB186</f>
        <v>#NAME?</v>
      </c>
      <c r="BL186" s="370" t="e">
        <f aca="false">xSPRDOPT(BW186,BV186,CG186,0,BY186,BX186,BZ186,AJ186,1,2)*CB186</f>
        <v>#NAME?</v>
      </c>
      <c r="BM186" s="370" t="e">
        <f aca="false">xSPRDOPT(BW186,BV186,CG186,0,BY186,BX186,BZ186,AJ186,1,1)*CB186</f>
        <v>#NAME?</v>
      </c>
      <c r="BN186" s="370" t="e">
        <f aca="false">IF(AH186&lt;&gt;0,xSPRDOPT($BW186,$BV186,$CG186,2*LN(1+CA186/2),$BY186,$BX186,$BZ186,$AJ186,1,8)+(AJ186/365.25)*CH186/AH186,0)</f>
        <v>#VALUE!</v>
      </c>
      <c r="BO186" s="370" t="e">
        <f aca="false">xSPRDOPT($BW186,$BV186,$CG186,0,$BY186,$BX186,$BZ186,$AJ186,1,0)</f>
        <v>#NAME?</v>
      </c>
      <c r="BP186" s="370"/>
      <c r="BQ186" s="370"/>
      <c r="BR186" s="370"/>
      <c r="BS186" s="370"/>
      <c r="BV186" s="508" t="n">
        <v>4.323273657289</v>
      </c>
      <c r="BW186" s="369" t="n">
        <v>4.9495</v>
      </c>
      <c r="BX186" s="370" t="n">
        <v>0.17238584333086</v>
      </c>
      <c r="BY186" s="370" t="n">
        <v>0.17238584333086</v>
      </c>
      <c r="BZ186" s="370" t="n">
        <v>1</v>
      </c>
      <c r="CA186" s="370" t="n">
        <v>0.0637369212471981</v>
      </c>
      <c r="CB186" s="370" t="n">
        <v>0.421958832115127</v>
      </c>
      <c r="CC186" s="505" t="n">
        <v>0.0165</v>
      </c>
      <c r="CD186" s="505" t="n">
        <v>0.01</v>
      </c>
      <c r="CE186" s="505" t="n">
        <v>0.75</v>
      </c>
      <c r="CF186" s="505" t="n">
        <v>0</v>
      </c>
      <c r="CG186" s="505" t="n">
        <v>0.0364</v>
      </c>
      <c r="CH186" s="505" t="n">
        <v>4.66728664202542</v>
      </c>
      <c r="CI186" s="505" t="n">
        <v>4.1995</v>
      </c>
      <c r="CJ186" s="505"/>
      <c r="CK186" s="505"/>
      <c r="CL186" s="505"/>
      <c r="CM186" s="505"/>
    </row>
    <row r="187" customFormat="false" ht="12.75" hidden="false" customHeight="false" outlineLevel="0" collapsed="false">
      <c r="A187" s="500"/>
      <c r="B187" s="500"/>
      <c r="D187" s="361" t="e">
        <f aca="false">D186+AH186</f>
        <v>#VALUE!</v>
      </c>
      <c r="F187" s="362" t="e">
        <f aca="false">VLOOKUP(AG187,$AL$4:$AS$15,2)</f>
        <v>#VALUE!</v>
      </c>
      <c r="G187" s="362" t="e">
        <f aca="false">F187*$AU187</f>
        <v>#VALUE!</v>
      </c>
      <c r="H187" s="363" t="e">
        <f aca="false">(AL187+AM187+AN187)/(1-(AR187))</f>
        <v>#VALUE!</v>
      </c>
      <c r="I187" s="363" t="e">
        <f aca="false">(AL187+AO187+AP187)</f>
        <v>#VALUE!</v>
      </c>
      <c r="K187" s="363" t="e">
        <f aca="false">MAX(((I187-H187)-AQ187)*AU187*AH187,0)</f>
        <v>#VALUE!</v>
      </c>
      <c r="L187" s="501" t="e">
        <f aca="false">MAX(Q187-K187,0)</f>
        <v>#VALUE!</v>
      </c>
      <c r="N187" s="502" t="e">
        <f aca="false">SQRT(($AX187^2*($AH187/2)+$AW187^2*$AI187)/(($AH187/2)+$AI187))</f>
        <v>#VALUE!</v>
      </c>
      <c r="O187" s="502" t="e">
        <f aca="false">SQRT(($AY187^2*($AH187/2)+$AW187^2*$AI187)/(($AH187/2)+$AI187))</f>
        <v>#VALUE!</v>
      </c>
      <c r="P187" s="371" t="e">
        <f aca="false">(VLOOKUP(AI187,CorrelationTwo,2)*(AW187^2)*AI187+VLOOKUP(D187,CorrelationOne,$AK$9)*AX187*AY187*(AH187/2))/((AI187+(AH187/2))*O187*N187)*AF187</f>
        <v>#VALUE!</v>
      </c>
      <c r="Q187" s="501" t="e">
        <f aca="false">xSPRDOPT(I187,H187,AQ187,0,O187,N187,P187,D187-$G$5,1,0)*AH187*AU187</f>
        <v>#VALUE!</v>
      </c>
      <c r="R187" s="501"/>
      <c r="S187" s="365" t="e">
        <f aca="false">-T187/(1-AR187)</f>
        <v>#VALUE!</v>
      </c>
      <c r="T187" s="365" t="e">
        <f aca="false">xSPRDOPT(I187,H187,AQ187,AT187,O187,N187,P187,D187-$G$5,1,1)*AF187*F187*AH187</f>
        <v>#VALUE!</v>
      </c>
      <c r="U187" s="501"/>
      <c r="V187" s="503" t="e">
        <f aca="false">VLOOKUP($AG187,$AL$4:$AS$15,8)*AH187*AU187</f>
        <v>#VALUE!</v>
      </c>
      <c r="W187" s="503"/>
      <c r="X187" s="504" t="e">
        <f aca="false">((BM187*BC187)+(BL187*BB187))*AH187*F187</f>
        <v>#VALUE!</v>
      </c>
      <c r="Y187" s="504" t="e">
        <f aca="false">($F187*$AH187)*((($BG187/2)*($BC187)^2)+(($BF187/2)*($BB187)^2)+($BH187*$BC187*$BB187))</f>
        <v>#VALUE!</v>
      </c>
      <c r="Z187" s="504" t="e">
        <f aca="false">($BI187*$F187*$AH187*($G$5-$BV$5))/365.25</f>
        <v>#VALUE!</v>
      </c>
      <c r="AA187" s="504" t="e">
        <f aca="false">(($BK187*$BE187)+($BJ187*$BD187))*$F187*$AH187*$AF187</f>
        <v>#VALUE!</v>
      </c>
      <c r="AB187" s="504" t="e">
        <f aca="false">BN187*(AT187-CA187)*F187*AH187</f>
        <v>#VALUE!</v>
      </c>
      <c r="AC187" s="504" t="e">
        <f aca="false">BO187*CB187*F187*AH187*CA187*($G$5-$BV$5)/365.25</f>
        <v>#NAME?</v>
      </c>
      <c r="AF187" s="378" t="e">
        <f aca="false">IF(AND(D187&gt;=$G$7,D187&lt;=$G$8),1,0)</f>
        <v>#VALUE!</v>
      </c>
      <c r="AG187" s="378" t="e">
        <f aca="false">MONTH(D187)</f>
        <v>#VALUE!</v>
      </c>
      <c r="AH187" s="378" t="e">
        <f aca="false">(EOMONTH(D187,0)-EOMONTH(D187-DAY(D187),0))*AF187</f>
        <v>#VALUE!</v>
      </c>
      <c r="AI187" s="378" t="e">
        <f aca="false">AI186+AH186</f>
        <v>#VALUE!</v>
      </c>
      <c r="AJ187" s="378" t="e">
        <f aca="false">D187-$BV$5</f>
        <v>#VALUE!</v>
      </c>
      <c r="AL187" s="369" t="e">
        <f aca="false">VLOOKUP($D187,CurveTbl,$AK$4)</f>
        <v>#VALUE!</v>
      </c>
      <c r="AM187" s="505" t="e">
        <f aca="false">VLOOKUP($D187,CurveTbl,$AH$3)</f>
        <v>#VALUE!</v>
      </c>
      <c r="AN187" s="505" t="e">
        <f aca="false">VLOOKUP($D187,CurveTbl,$AH$4)+VLOOKUP($AG187,$AL$3:$AS$15,6)</f>
        <v>#VALUE!</v>
      </c>
      <c r="AO187" s="505" t="e">
        <f aca="false">VLOOKUP($D187,CurveTbl,$AH$5)</f>
        <v>#VALUE!</v>
      </c>
      <c r="AP187" s="505" t="e">
        <f aca="false">VLOOKUP($D187,CurveTbl,$AH$6)+VLOOKUP($AG187,$AL$3:$AS$15,7)</f>
        <v>#VALUE!</v>
      </c>
      <c r="AQ187" s="369" t="e">
        <f aca="false">VLOOKUP($AG187,$AL$4:$AS$15,3)+VLOOKUP($AG187,$AL$4:$AS$15,5)+($AH$10*VLOOKUP(D187,GRITable,2))</f>
        <v>#VALUE!</v>
      </c>
      <c r="AR187" s="370" t="e">
        <f aca="false">VLOOKUP($AG187,$AL$4:$AS$15,4)</f>
        <v>#VALUE!</v>
      </c>
      <c r="AS187" s="369" t="e">
        <f aca="false">(AL187+AM187+AN187)</f>
        <v>#VALUE!</v>
      </c>
      <c r="AT187" s="370" t="e">
        <f aca="false">VLOOKUP(D187,CurveTbl,$AK$6)</f>
        <v>#VALUE!</v>
      </c>
      <c r="AU187" s="370" t="e">
        <f aca="false">(1+$AT187/2)^(-2*($D187-$G$5)/365.25)*$AF187</f>
        <v>#VALUE!</v>
      </c>
      <c r="AV187" s="506" t="e">
        <f aca="false">ROUND((F187/(1-AR187))-F187,0)*AF187*AH187*AU187</f>
        <v>#VALUE!</v>
      </c>
      <c r="AW187" s="370" t="e">
        <f aca="false">VLOOKUP($D187,CurveTbl,$AK$8)</f>
        <v>#VALUE!</v>
      </c>
      <c r="AX187" s="370" t="e">
        <f aca="false">VLOOKUP($D187,CurveTbl,$AH$7)</f>
        <v>#VALUE!</v>
      </c>
      <c r="AY187" s="370" t="e">
        <f aca="false">VLOOKUP($D187,CurveTbl,$AH$8)</f>
        <v>#VALUE!</v>
      </c>
      <c r="AZ187" s="370"/>
      <c r="BA187" s="507"/>
      <c r="BB187" s="505" t="e">
        <f aca="false">$H187-$BV187</f>
        <v>#VALUE!</v>
      </c>
      <c r="BC187" s="505" t="e">
        <f aca="false">I187-BW187</f>
        <v>#VALUE!</v>
      </c>
      <c r="BD187" s="370" t="e">
        <f aca="false">N187-BX187</f>
        <v>#VALUE!</v>
      </c>
      <c r="BE187" s="370" t="e">
        <f aca="false">O187-BY187</f>
        <v>#VALUE!</v>
      </c>
      <c r="BF187" s="370" t="e">
        <f aca="false">xSPRDOPT($BW187,$BV187,$CG187,0,$BY187,$BX187,$BZ187,$AJ187,1,4)*$CB187</f>
        <v>#NAME?</v>
      </c>
      <c r="BG187" s="370" t="e">
        <f aca="false">xSPRDOPT($BW187,$BV187,$CG187,0,$BY187,$BX187,$BZ187,$AJ187,1,3)*$CB187</f>
        <v>#NAME?</v>
      </c>
      <c r="BH187" s="370" t="e">
        <f aca="false">IF(OR(BF187&lt;&gt;0,BG187&lt;&gt;0),xSPRDOPT($BW187,$BV187,$CG187,0,$BY187,$BX187,$BZ187,$AJ187,1,12)*$CB187,0)</f>
        <v>#NAME?</v>
      </c>
      <c r="BI187" s="370" t="e">
        <f aca="false">xSPRDOPT($BW187,$BV187,$CG187,2*LN(1+CA187/2),$BY187,$BX187,$BZ187,$AJ187,1,9)</f>
        <v>#NAME?</v>
      </c>
      <c r="BJ187" s="370" t="e">
        <f aca="false">xSPRDOPT($BW187,$BV187,$CG187,0,$BY187,$BX187,$BZ187,$AJ187,1,6)*$CB187</f>
        <v>#NAME?</v>
      </c>
      <c r="BK187" s="370" t="e">
        <f aca="false">xSPRDOPT($BW187,$BV187,$CG187,0,$BY187,$BX187,$BZ187,$AJ187,1,5)*$CB187</f>
        <v>#NAME?</v>
      </c>
      <c r="BL187" s="370" t="e">
        <f aca="false">xSPRDOPT(BW187,BV187,CG187,0,BY187,BX187,BZ187,AJ187,1,2)*CB187</f>
        <v>#NAME?</v>
      </c>
      <c r="BM187" s="370" t="e">
        <f aca="false">xSPRDOPT(BW187,BV187,CG187,0,BY187,BX187,BZ187,AJ187,1,1)*CB187</f>
        <v>#NAME?</v>
      </c>
      <c r="BN187" s="370" t="e">
        <f aca="false">IF(AH187&lt;&gt;0,xSPRDOPT($BW187,$BV187,$CG187,2*LN(1+CA187/2),$BY187,$BX187,$BZ187,$AJ187,1,8)+(AJ187/365.25)*CH187/AH187,0)</f>
        <v>#VALUE!</v>
      </c>
      <c r="BO187" s="370" t="e">
        <f aca="false">xSPRDOPT($BW187,$BV187,$CG187,0,$BY187,$BX187,$BZ187,$AJ187,1,0)</f>
        <v>#NAME?</v>
      </c>
      <c r="BP187" s="370"/>
      <c r="BQ187" s="370"/>
      <c r="BR187" s="370"/>
      <c r="BS187" s="370"/>
      <c r="BV187" s="508" t="n">
        <v>4.3574358974359</v>
      </c>
      <c r="BW187" s="369" t="n">
        <v>4.6745</v>
      </c>
      <c r="BX187" s="370" t="n">
        <v>0.172960523715308</v>
      </c>
      <c r="BY187" s="370" t="n">
        <v>0.172960523715308</v>
      </c>
      <c r="BZ187" s="370" t="n">
        <v>1</v>
      </c>
      <c r="CA187" s="370" t="n">
        <v>0.0637761574805116</v>
      </c>
      <c r="CB187" s="370" t="n">
        <v>0.419569143734802</v>
      </c>
      <c r="CC187" s="505" t="n">
        <v>0.014</v>
      </c>
      <c r="CD187" s="505" t="n">
        <v>0.01</v>
      </c>
      <c r="CE187" s="505" t="n">
        <v>0.45</v>
      </c>
      <c r="CF187" s="505" t="n">
        <v>0</v>
      </c>
      <c r="CG187" s="505" t="n">
        <v>0.0364</v>
      </c>
      <c r="CH187" s="505" t="n">
        <v>4.79554944214567</v>
      </c>
      <c r="CI187" s="505" t="n">
        <v>4.2245</v>
      </c>
      <c r="CJ187" s="505"/>
      <c r="CK187" s="505"/>
      <c r="CL187" s="505"/>
      <c r="CM187" s="505"/>
    </row>
    <row r="188" customFormat="false" ht="12.75" hidden="false" customHeight="false" outlineLevel="0" collapsed="false">
      <c r="A188" s="500"/>
      <c r="B188" s="500"/>
      <c r="D188" s="361" t="e">
        <f aca="false">D187+AH187</f>
        <v>#VALUE!</v>
      </c>
      <c r="F188" s="362" t="e">
        <f aca="false">VLOOKUP(AG188,$AL$4:$AS$15,2)</f>
        <v>#VALUE!</v>
      </c>
      <c r="G188" s="362" t="e">
        <f aca="false">F188*$AU188</f>
        <v>#VALUE!</v>
      </c>
      <c r="H188" s="363" t="e">
        <f aca="false">(AL188+AM188+AN188)/(1-(AR188))</f>
        <v>#VALUE!</v>
      </c>
      <c r="I188" s="363" t="e">
        <f aca="false">(AL188+AO188+AP188)</f>
        <v>#VALUE!</v>
      </c>
      <c r="K188" s="363" t="e">
        <f aca="false">MAX(((I188-H188)-AQ188)*AU188*AH188,0)</f>
        <v>#VALUE!</v>
      </c>
      <c r="L188" s="501" t="e">
        <f aca="false">MAX(Q188-K188,0)</f>
        <v>#VALUE!</v>
      </c>
      <c r="N188" s="502" t="e">
        <f aca="false">SQRT(($AX188^2*($AH188/2)+$AW188^2*$AI188)/(($AH188/2)+$AI188))</f>
        <v>#VALUE!</v>
      </c>
      <c r="O188" s="502" t="e">
        <f aca="false">SQRT(($AY188^2*($AH188/2)+$AW188^2*$AI188)/(($AH188/2)+$AI188))</f>
        <v>#VALUE!</v>
      </c>
      <c r="P188" s="371" t="e">
        <f aca="false">(VLOOKUP(AI188,CorrelationTwo,2)*(AW188^2)*AI188+VLOOKUP(D188,CorrelationOne,$AK$9)*AX188*AY188*(AH188/2))/((AI188+(AH188/2))*O188*N188)*AF188</f>
        <v>#VALUE!</v>
      </c>
      <c r="Q188" s="501" t="e">
        <f aca="false">xSPRDOPT(I188,H188,AQ188,0,O188,N188,P188,D188-$G$5,1,0)*AH188*AU188</f>
        <v>#VALUE!</v>
      </c>
      <c r="R188" s="501"/>
      <c r="S188" s="365" t="e">
        <f aca="false">-T188/(1-AR188)</f>
        <v>#VALUE!</v>
      </c>
      <c r="T188" s="365" t="e">
        <f aca="false">xSPRDOPT(I188,H188,AQ188,AT188,O188,N188,P188,D188-$G$5,1,1)*AF188*F188*AH188</f>
        <v>#VALUE!</v>
      </c>
      <c r="U188" s="501"/>
      <c r="V188" s="503" t="e">
        <f aca="false">VLOOKUP($AG188,$AL$4:$AS$15,8)*AH188*AU188</f>
        <v>#VALUE!</v>
      </c>
      <c r="W188" s="503"/>
      <c r="X188" s="504" t="e">
        <f aca="false">((BM188*BC188)+(BL188*BB188))*AH188*F188</f>
        <v>#VALUE!</v>
      </c>
      <c r="Y188" s="504" t="e">
        <f aca="false">($F188*$AH188)*((($BG188/2)*($BC188)^2)+(($BF188/2)*($BB188)^2)+($BH188*$BC188*$BB188))</f>
        <v>#VALUE!</v>
      </c>
      <c r="Z188" s="504" t="e">
        <f aca="false">($BI188*$F188*$AH188*($G$5-$BV$5))/365.25</f>
        <v>#VALUE!</v>
      </c>
      <c r="AA188" s="504" t="e">
        <f aca="false">(($BK188*$BE188)+($BJ188*$BD188))*$F188*$AH188*$AF188</f>
        <v>#VALUE!</v>
      </c>
      <c r="AB188" s="504" t="e">
        <f aca="false">BN188*(AT188-CA188)*F188*AH188</f>
        <v>#VALUE!</v>
      </c>
      <c r="AC188" s="504" t="e">
        <f aca="false">BO188*CB188*F188*AH188*CA188*($G$5-$BV$5)/365.25</f>
        <v>#NAME?</v>
      </c>
      <c r="AF188" s="378" t="e">
        <f aca="false">IF(AND(D188&gt;=$G$7,D188&lt;=$G$8),1,0)</f>
        <v>#VALUE!</v>
      </c>
      <c r="AG188" s="378" t="e">
        <f aca="false">MONTH(D188)</f>
        <v>#VALUE!</v>
      </c>
      <c r="AH188" s="378" t="e">
        <f aca="false">(EOMONTH(D188,0)-EOMONTH(D188-DAY(D188),0))*AF188</f>
        <v>#VALUE!</v>
      </c>
      <c r="AI188" s="378" t="e">
        <f aca="false">AI187+AH187</f>
        <v>#VALUE!</v>
      </c>
      <c r="AJ188" s="378" t="e">
        <f aca="false">D188-$BV$5</f>
        <v>#VALUE!</v>
      </c>
      <c r="AL188" s="369" t="e">
        <f aca="false">VLOOKUP($D188,CurveTbl,$AK$4)</f>
        <v>#VALUE!</v>
      </c>
      <c r="AM188" s="505" t="e">
        <f aca="false">VLOOKUP($D188,CurveTbl,$AH$3)</f>
        <v>#VALUE!</v>
      </c>
      <c r="AN188" s="505" t="e">
        <f aca="false">VLOOKUP($D188,CurveTbl,$AH$4)+VLOOKUP($AG188,$AL$3:$AS$15,6)</f>
        <v>#VALUE!</v>
      </c>
      <c r="AO188" s="505" t="e">
        <f aca="false">VLOOKUP($D188,CurveTbl,$AH$5)</f>
        <v>#VALUE!</v>
      </c>
      <c r="AP188" s="505" t="e">
        <f aca="false">VLOOKUP($D188,CurveTbl,$AH$6)+VLOOKUP($AG188,$AL$3:$AS$15,7)</f>
        <v>#VALUE!</v>
      </c>
      <c r="AQ188" s="369" t="e">
        <f aca="false">VLOOKUP($AG188,$AL$4:$AS$15,3)+VLOOKUP($AG188,$AL$4:$AS$15,5)+($AH$10*VLOOKUP(D188,GRITable,2))</f>
        <v>#VALUE!</v>
      </c>
      <c r="AR188" s="370" t="e">
        <f aca="false">VLOOKUP($AG188,$AL$4:$AS$15,4)</f>
        <v>#VALUE!</v>
      </c>
      <c r="AS188" s="369" t="e">
        <f aca="false">(AL188+AM188+AN188)</f>
        <v>#VALUE!</v>
      </c>
      <c r="AT188" s="370" t="e">
        <f aca="false">VLOOKUP(D188,CurveTbl,$AK$6)</f>
        <v>#VALUE!</v>
      </c>
      <c r="AU188" s="370" t="e">
        <f aca="false">(1+$AT188/2)^(-2*($D188-$G$5)/365.25)*$AF188</f>
        <v>#VALUE!</v>
      </c>
      <c r="AV188" s="506" t="e">
        <f aca="false">ROUND((F188/(1-AR188))-F188,0)*AF188*AH188*AU188</f>
        <v>#VALUE!</v>
      </c>
      <c r="AW188" s="370" t="e">
        <f aca="false">VLOOKUP($D188,CurveTbl,$AK$8)</f>
        <v>#VALUE!</v>
      </c>
      <c r="AX188" s="370" t="e">
        <f aca="false">VLOOKUP($D188,CurveTbl,$AH$7)</f>
        <v>#VALUE!</v>
      </c>
      <c r="AY188" s="370" t="e">
        <f aca="false">VLOOKUP($D188,CurveTbl,$AH$8)</f>
        <v>#VALUE!</v>
      </c>
      <c r="AZ188" s="370"/>
      <c r="BA188" s="507"/>
      <c r="BB188" s="505" t="e">
        <f aca="false">$H188-$BV188</f>
        <v>#VALUE!</v>
      </c>
      <c r="BC188" s="505" t="e">
        <f aca="false">I188-BW188</f>
        <v>#VALUE!</v>
      </c>
      <c r="BD188" s="370" t="e">
        <f aca="false">N188-BX188</f>
        <v>#VALUE!</v>
      </c>
      <c r="BE188" s="370" t="e">
        <f aca="false">O188-BY188</f>
        <v>#VALUE!</v>
      </c>
      <c r="BF188" s="370" t="e">
        <f aca="false">xSPRDOPT($BW188,$BV188,$CG188,0,$BY188,$BX188,$BZ188,$AJ188,1,4)*$CB188</f>
        <v>#NAME?</v>
      </c>
      <c r="BG188" s="370" t="e">
        <f aca="false">xSPRDOPT($BW188,$BV188,$CG188,0,$BY188,$BX188,$BZ188,$AJ188,1,3)*$CB188</f>
        <v>#NAME?</v>
      </c>
      <c r="BH188" s="370" t="e">
        <f aca="false">IF(OR(BF188&lt;&gt;0,BG188&lt;&gt;0),xSPRDOPT($BW188,$BV188,$CG188,0,$BY188,$BX188,$BZ188,$AJ188,1,12)*$CB188,0)</f>
        <v>#NAME?</v>
      </c>
      <c r="BI188" s="370" t="e">
        <f aca="false">xSPRDOPT($BW188,$BV188,$CG188,2*LN(1+CA188/2),$BY188,$BX188,$BZ188,$AJ188,1,9)</f>
        <v>#NAME?</v>
      </c>
      <c r="BJ188" s="370" t="e">
        <f aca="false">xSPRDOPT($BW188,$BV188,$CG188,0,$BY188,$BX188,$BZ188,$AJ188,1,6)*$CB188</f>
        <v>#NAME?</v>
      </c>
      <c r="BK188" s="370" t="e">
        <f aca="false">xSPRDOPT($BW188,$BV188,$CG188,0,$BY188,$BX188,$BZ188,$AJ188,1,5)*$CB188</f>
        <v>#NAME?</v>
      </c>
      <c r="BL188" s="370" t="e">
        <f aca="false">xSPRDOPT(BW188,BV188,CG188,0,BY188,BX188,BZ188,AJ188,1,2)*CB188</f>
        <v>#NAME?</v>
      </c>
      <c r="BM188" s="370" t="e">
        <f aca="false">xSPRDOPT(BW188,BV188,CG188,0,BY188,BX188,BZ188,AJ188,1,1)*CB188</f>
        <v>#NAME?</v>
      </c>
      <c r="BN188" s="370" t="e">
        <f aca="false">IF(AH188&lt;&gt;0,xSPRDOPT($BW188,$BV188,$CG188,2*LN(1+CA188/2),$BY188,$BX188,$BZ188,$AJ188,1,8)+(AJ188/365.25)*CH188/AH188,0)</f>
        <v>#VALUE!</v>
      </c>
      <c r="BO188" s="370" t="e">
        <f aca="false">xSPRDOPT($BW188,$BV188,$CG188,0,$BY188,$BX188,$BZ188,$AJ188,1,0)</f>
        <v>#NAME?</v>
      </c>
      <c r="BP188" s="370"/>
      <c r="BQ188" s="370"/>
      <c r="BR188" s="370"/>
      <c r="BS188" s="370"/>
      <c r="BV188" s="508" t="n">
        <v>4.5002557544757</v>
      </c>
      <c r="BW188" s="369" t="n">
        <v>4.8265</v>
      </c>
      <c r="BX188" s="370" t="n">
        <v>0.175221730579448</v>
      </c>
      <c r="BY188" s="370" t="n">
        <v>0.175221730579448</v>
      </c>
      <c r="BZ188" s="370" t="n">
        <v>1</v>
      </c>
      <c r="CA188" s="370" t="n">
        <v>0.0638167015888049</v>
      </c>
      <c r="CB188" s="370" t="n">
        <v>0.417111283245542</v>
      </c>
      <c r="CC188" s="505" t="n">
        <v>0.015</v>
      </c>
      <c r="CD188" s="505" t="n">
        <v>0.0075</v>
      </c>
      <c r="CE188" s="505" t="n">
        <v>0.45</v>
      </c>
      <c r="CF188" s="505" t="n">
        <v>0</v>
      </c>
      <c r="CG188" s="505" t="n">
        <v>0.0364</v>
      </c>
      <c r="CH188" s="505" t="n">
        <v>4.61366790397894</v>
      </c>
      <c r="CI188" s="505" t="n">
        <v>4.3765</v>
      </c>
      <c r="CJ188" s="505"/>
      <c r="CK188" s="505"/>
      <c r="CL188" s="505"/>
      <c r="CM188" s="505"/>
    </row>
    <row r="189" customFormat="false" ht="12.75" hidden="false" customHeight="false" outlineLevel="0" collapsed="false">
      <c r="A189" s="500"/>
      <c r="B189" s="500"/>
      <c r="D189" s="361" t="e">
        <f aca="false">D188+AH188</f>
        <v>#VALUE!</v>
      </c>
      <c r="F189" s="362" t="e">
        <f aca="false">VLOOKUP(AG189,$AL$4:$AS$15,2)</f>
        <v>#VALUE!</v>
      </c>
      <c r="G189" s="362" t="e">
        <f aca="false">F189*$AU189</f>
        <v>#VALUE!</v>
      </c>
      <c r="H189" s="363" t="e">
        <f aca="false">(AL189+AM189+AN189)/(1-(AR189))</f>
        <v>#VALUE!</v>
      </c>
      <c r="I189" s="363" t="e">
        <f aca="false">(AL189+AO189+AP189)</f>
        <v>#VALUE!</v>
      </c>
      <c r="K189" s="363" t="e">
        <f aca="false">MAX(((I189-H189)-AQ189)*AU189*AH189,0)</f>
        <v>#VALUE!</v>
      </c>
      <c r="L189" s="501" t="e">
        <f aca="false">MAX(Q189-K189,0)</f>
        <v>#VALUE!</v>
      </c>
      <c r="N189" s="502" t="e">
        <f aca="false">SQRT(($AX189^2*($AH189/2)+$AW189^2*$AI189)/(($AH189/2)+$AI189))</f>
        <v>#VALUE!</v>
      </c>
      <c r="O189" s="502" t="e">
        <f aca="false">SQRT(($AY189^2*($AH189/2)+$AW189^2*$AI189)/(($AH189/2)+$AI189))</f>
        <v>#VALUE!</v>
      </c>
      <c r="P189" s="371" t="e">
        <f aca="false">(VLOOKUP(AI189,CorrelationTwo,2)*(AW189^2)*AI189+VLOOKUP(D189,CorrelationOne,$AK$9)*AX189*AY189*(AH189/2))/((AI189+(AH189/2))*O189*N189)*AF189</f>
        <v>#VALUE!</v>
      </c>
      <c r="Q189" s="501" t="e">
        <f aca="false">xSPRDOPT(I189,H189,AQ189,0,O189,N189,P189,D189-$G$5,1,0)*AH189*AU189</f>
        <v>#VALUE!</v>
      </c>
      <c r="R189" s="501"/>
      <c r="S189" s="365" t="e">
        <f aca="false">-T189/(1-AR189)</f>
        <v>#VALUE!</v>
      </c>
      <c r="T189" s="365" t="e">
        <f aca="false">xSPRDOPT(I189,H189,AQ189,AT189,O189,N189,P189,D189-$G$5,1,1)*AF189*F189*AH189</f>
        <v>#VALUE!</v>
      </c>
      <c r="U189" s="501"/>
      <c r="V189" s="503" t="e">
        <f aca="false">VLOOKUP($AG189,$AL$4:$AS$15,8)*AH189*AU189</f>
        <v>#VALUE!</v>
      </c>
      <c r="W189" s="503"/>
      <c r="X189" s="504" t="e">
        <f aca="false">((BM189*BC189)+(BL189*BB189))*AH189*F189</f>
        <v>#VALUE!</v>
      </c>
      <c r="Y189" s="504" t="e">
        <f aca="false">($F189*$AH189)*((($BG189/2)*($BC189)^2)+(($BF189/2)*($BB189)^2)+($BH189*$BC189*$BB189))</f>
        <v>#VALUE!</v>
      </c>
      <c r="Z189" s="504" t="e">
        <f aca="false">($BI189*$F189*$AH189*($G$5-$BV$5))/365.25</f>
        <v>#VALUE!</v>
      </c>
      <c r="AA189" s="504" t="e">
        <f aca="false">(($BK189*$BE189)+($BJ189*$BD189))*$F189*$AH189*$AF189</f>
        <v>#VALUE!</v>
      </c>
      <c r="AB189" s="504" t="e">
        <f aca="false">BN189*(AT189-CA189)*F189*AH189</f>
        <v>#VALUE!</v>
      </c>
      <c r="AC189" s="504" t="e">
        <f aca="false">BO189*CB189*F189*AH189*CA189*($G$5-$BV$5)/365.25</f>
        <v>#NAME?</v>
      </c>
      <c r="AF189" s="378" t="e">
        <f aca="false">IF(AND(D189&gt;=$G$7,D189&lt;=$G$8),1,0)</f>
        <v>#VALUE!</v>
      </c>
      <c r="AG189" s="378" t="e">
        <f aca="false">MONTH(D189)</f>
        <v>#VALUE!</v>
      </c>
      <c r="AH189" s="378" t="e">
        <f aca="false">(EOMONTH(D189,0)-EOMONTH(D189-DAY(D189),0))*AF189</f>
        <v>#VALUE!</v>
      </c>
      <c r="AI189" s="378" t="e">
        <f aca="false">AI188+AH188</f>
        <v>#VALUE!</v>
      </c>
      <c r="AJ189" s="378" t="e">
        <f aca="false">D189-$BV$5</f>
        <v>#VALUE!</v>
      </c>
      <c r="AL189" s="369" t="e">
        <f aca="false">VLOOKUP($D189,CurveTbl,$AK$4)</f>
        <v>#VALUE!</v>
      </c>
      <c r="AM189" s="505" t="e">
        <f aca="false">VLOOKUP($D189,CurveTbl,$AH$3)</f>
        <v>#VALUE!</v>
      </c>
      <c r="AN189" s="505" t="e">
        <f aca="false">VLOOKUP($D189,CurveTbl,$AH$4)+VLOOKUP($AG189,$AL$3:$AS$15,6)</f>
        <v>#VALUE!</v>
      </c>
      <c r="AO189" s="505" t="e">
        <f aca="false">VLOOKUP($D189,CurveTbl,$AH$5)</f>
        <v>#VALUE!</v>
      </c>
      <c r="AP189" s="505" t="e">
        <f aca="false">VLOOKUP($D189,CurveTbl,$AH$6)+VLOOKUP($AG189,$AL$3:$AS$15,7)</f>
        <v>#VALUE!</v>
      </c>
      <c r="AQ189" s="369" t="e">
        <f aca="false">VLOOKUP($AG189,$AL$4:$AS$15,3)+VLOOKUP($AG189,$AL$4:$AS$15,5)+($AH$10*VLOOKUP(D189,GRITable,2))</f>
        <v>#VALUE!</v>
      </c>
      <c r="AR189" s="370" t="e">
        <f aca="false">VLOOKUP($AG189,$AL$4:$AS$15,4)</f>
        <v>#VALUE!</v>
      </c>
      <c r="AS189" s="369" t="e">
        <f aca="false">(AL189+AM189+AN189)</f>
        <v>#VALUE!</v>
      </c>
      <c r="AT189" s="370" t="e">
        <f aca="false">VLOOKUP(D189,CurveTbl,$AK$6)</f>
        <v>#VALUE!</v>
      </c>
      <c r="AU189" s="370" t="e">
        <f aca="false">(1+$AT189/2)^(-2*($D189-$G$5)/365.25)*$AF189</f>
        <v>#VALUE!</v>
      </c>
      <c r="AV189" s="506" t="e">
        <f aca="false">ROUND((F189/(1-AR189))-F189,0)*AF189*AH189*AU189</f>
        <v>#VALUE!</v>
      </c>
      <c r="AW189" s="370" t="e">
        <f aca="false">VLOOKUP($D189,CurveTbl,$AK$8)</f>
        <v>#VALUE!</v>
      </c>
      <c r="AX189" s="370" t="e">
        <f aca="false">VLOOKUP($D189,CurveTbl,$AH$7)</f>
        <v>#VALUE!</v>
      </c>
      <c r="AY189" s="370" t="e">
        <f aca="false">VLOOKUP($D189,CurveTbl,$AH$8)</f>
        <v>#VALUE!</v>
      </c>
      <c r="AZ189" s="370"/>
      <c r="BA189" s="507"/>
      <c r="BB189" s="505" t="e">
        <f aca="false">$H189-$BV189</f>
        <v>#VALUE!</v>
      </c>
      <c r="BC189" s="505" t="e">
        <f aca="false">I189-BW189</f>
        <v>#VALUE!</v>
      </c>
      <c r="BD189" s="370" t="e">
        <f aca="false">N189-BX189</f>
        <v>#VALUE!</v>
      </c>
      <c r="BE189" s="370" t="e">
        <f aca="false">O189-BY189</f>
        <v>#VALUE!</v>
      </c>
      <c r="BF189" s="370" t="e">
        <f aca="false">xSPRDOPT($BW189,$BV189,$CG189,0,$BY189,$BX189,$BZ189,$AJ189,1,4)*$CB189</f>
        <v>#NAME?</v>
      </c>
      <c r="BG189" s="370" t="e">
        <f aca="false">xSPRDOPT($BW189,$BV189,$CG189,0,$BY189,$BX189,$BZ189,$AJ189,1,3)*$CB189</f>
        <v>#NAME?</v>
      </c>
      <c r="BH189" s="370" t="e">
        <f aca="false">IF(OR(BF189&lt;&gt;0,BG189&lt;&gt;0),xSPRDOPT($BW189,$BV189,$CG189,0,$BY189,$BX189,$BZ189,$AJ189,1,12)*$CB189,0)</f>
        <v>#NAME?</v>
      </c>
      <c r="BI189" s="370" t="e">
        <f aca="false">xSPRDOPT($BW189,$BV189,$CG189,2*LN(1+CA189/2),$BY189,$BX189,$BZ189,$AJ189,1,9)</f>
        <v>#NAME?</v>
      </c>
      <c r="BJ189" s="370" t="e">
        <f aca="false">xSPRDOPT($BW189,$BV189,$CG189,0,$BY189,$BX189,$BZ189,$AJ189,1,6)*$CB189</f>
        <v>#NAME?</v>
      </c>
      <c r="BK189" s="370" t="e">
        <f aca="false">xSPRDOPT($BW189,$BV189,$CG189,0,$BY189,$BX189,$BZ189,$AJ189,1,5)*$CB189</f>
        <v>#NAME?</v>
      </c>
      <c r="BL189" s="370" t="e">
        <f aca="false">xSPRDOPT(BW189,BV189,CG189,0,BY189,BX189,BZ189,AJ189,1,2)*CB189</f>
        <v>#NAME?</v>
      </c>
      <c r="BM189" s="370" t="e">
        <f aca="false">xSPRDOPT(BW189,BV189,CG189,0,BY189,BX189,BZ189,AJ189,1,1)*CB189</f>
        <v>#NAME?</v>
      </c>
      <c r="BN189" s="370" t="e">
        <f aca="false">IF(AH189&lt;&gt;0,xSPRDOPT($BW189,$BV189,$CG189,2*LN(1+CA189/2),$BY189,$BX189,$BZ189,$AJ189,1,8)+(AJ189/365.25)*CH189/AH189,0)</f>
        <v>#VALUE!</v>
      </c>
      <c r="BO189" s="370" t="e">
        <f aca="false">xSPRDOPT($BW189,$BV189,$CG189,0,$BY189,$BX189,$BZ189,$AJ189,1,0)</f>
        <v>#NAME?</v>
      </c>
      <c r="BP189" s="370"/>
      <c r="BQ189" s="370"/>
      <c r="BR189" s="370"/>
      <c r="BS189" s="370"/>
      <c r="BV189" s="508" t="n">
        <v>4.646547314578</v>
      </c>
      <c r="BW189" s="369" t="n">
        <v>4.9195</v>
      </c>
      <c r="BX189" s="370" t="n">
        <v>0.178444500179239</v>
      </c>
      <c r="BY189" s="370" t="n">
        <v>0.178444500179239</v>
      </c>
      <c r="BZ189" s="370" t="n">
        <v>1</v>
      </c>
      <c r="CA189" s="370" t="n">
        <v>0.0638559378231571</v>
      </c>
      <c r="CB189" s="370" t="n">
        <v>0.41474378906744</v>
      </c>
      <c r="CC189" s="505" t="n">
        <v>0.015</v>
      </c>
      <c r="CD189" s="505" t="n">
        <v>0.0075</v>
      </c>
      <c r="CE189" s="505" t="n">
        <v>0.4</v>
      </c>
      <c r="CF189" s="505" t="n">
        <v>0</v>
      </c>
      <c r="CG189" s="505" t="n">
        <v>0.0364</v>
      </c>
      <c r="CH189" s="505" t="n">
        <v>4.74039708590411</v>
      </c>
      <c r="CI189" s="505" t="n">
        <v>4.5195</v>
      </c>
      <c r="CJ189" s="505"/>
      <c r="CK189" s="505"/>
      <c r="CL189" s="505"/>
      <c r="CM189" s="505"/>
    </row>
    <row r="190" customFormat="false" ht="12.75" hidden="false" customHeight="false" outlineLevel="0" collapsed="false">
      <c r="A190" s="500"/>
      <c r="B190" s="500"/>
      <c r="D190" s="361" t="e">
        <f aca="false">D189+AH189</f>
        <v>#VALUE!</v>
      </c>
      <c r="F190" s="362" t="e">
        <f aca="false">VLOOKUP(AG190,$AL$4:$AS$15,2)</f>
        <v>#VALUE!</v>
      </c>
      <c r="G190" s="362" t="e">
        <f aca="false">F190*$AU190</f>
        <v>#VALUE!</v>
      </c>
      <c r="H190" s="363" t="e">
        <f aca="false">(AL190+AM190+AN190)/(1-(AR190))</f>
        <v>#VALUE!</v>
      </c>
      <c r="I190" s="363" t="e">
        <f aca="false">(AL190+AO190+AP190)</f>
        <v>#VALUE!</v>
      </c>
      <c r="K190" s="363" t="e">
        <f aca="false">MAX(((I190-H190)-AQ190)*AU190*AH190,0)</f>
        <v>#VALUE!</v>
      </c>
      <c r="L190" s="501" t="e">
        <f aca="false">MAX(Q190-K190,0)</f>
        <v>#VALUE!</v>
      </c>
      <c r="N190" s="502" t="e">
        <f aca="false">SQRT(($AX190^2*($AH190/2)+$AW190^2*$AI190)/(($AH190/2)+$AI190))</f>
        <v>#VALUE!</v>
      </c>
      <c r="O190" s="502" t="e">
        <f aca="false">SQRT(($AY190^2*($AH190/2)+$AW190^2*$AI190)/(($AH190/2)+$AI190))</f>
        <v>#VALUE!</v>
      </c>
      <c r="P190" s="371" t="e">
        <f aca="false">(VLOOKUP(AI190,CorrelationTwo,2)*(AW190^2)*AI190+VLOOKUP(D190,CorrelationOne,$AK$9)*AX190*AY190*(AH190/2))/((AI190+(AH190/2))*O190*N190)*AF190</f>
        <v>#VALUE!</v>
      </c>
      <c r="Q190" s="501" t="e">
        <f aca="false">xSPRDOPT(I190,H190,AQ190,0,O190,N190,P190,D190-$G$5,1,0)*AH190*AU190</f>
        <v>#VALUE!</v>
      </c>
      <c r="R190" s="501"/>
      <c r="S190" s="365" t="e">
        <f aca="false">-T190/(1-AR190)</f>
        <v>#VALUE!</v>
      </c>
      <c r="T190" s="365" t="e">
        <f aca="false">xSPRDOPT(I190,H190,AQ190,AT190,O190,N190,P190,D190-$G$5,1,1)*AF190*F190*AH190</f>
        <v>#VALUE!</v>
      </c>
      <c r="U190" s="501"/>
      <c r="V190" s="503" t="e">
        <f aca="false">VLOOKUP($AG190,$AL$4:$AS$15,8)*AH190*AU190</f>
        <v>#VALUE!</v>
      </c>
      <c r="W190" s="503"/>
      <c r="X190" s="504" t="e">
        <f aca="false">((BM190*BC190)+(BL190*BB190))*AH190*F190</f>
        <v>#VALUE!</v>
      </c>
      <c r="Y190" s="504" t="e">
        <f aca="false">($F190*$AH190)*((($BG190/2)*($BC190)^2)+(($BF190/2)*($BB190)^2)+($BH190*$BC190*$BB190))</f>
        <v>#VALUE!</v>
      </c>
      <c r="Z190" s="504" t="e">
        <f aca="false">($BI190*$F190*$AH190*($G$5-$BV$5))/365.25</f>
        <v>#VALUE!</v>
      </c>
      <c r="AA190" s="504" t="e">
        <f aca="false">(($BK190*$BE190)+($BJ190*$BD190))*$F190*$AH190*$AF190</f>
        <v>#VALUE!</v>
      </c>
      <c r="AB190" s="504" t="e">
        <f aca="false">BN190*(AT190-CA190)*F190*AH190</f>
        <v>#VALUE!</v>
      </c>
      <c r="AC190" s="504" t="e">
        <f aca="false">BO190*CB190*F190*AH190*CA190*($G$5-$BV$5)/365.25</f>
        <v>#NAME?</v>
      </c>
      <c r="AF190" s="378" t="e">
        <f aca="false">IF(AND(D190&gt;=$G$7,D190&lt;=$G$8),1,0)</f>
        <v>#VALUE!</v>
      </c>
      <c r="AG190" s="378" t="e">
        <f aca="false">MONTH(D190)</f>
        <v>#VALUE!</v>
      </c>
      <c r="AH190" s="378" t="e">
        <f aca="false">(EOMONTH(D190,0)-EOMONTH(D190-DAY(D190),0))*AF190</f>
        <v>#VALUE!</v>
      </c>
      <c r="AI190" s="378" t="e">
        <f aca="false">AI189+AH189</f>
        <v>#VALUE!</v>
      </c>
      <c r="AJ190" s="378" t="e">
        <f aca="false">D190-$BV$5</f>
        <v>#VALUE!</v>
      </c>
      <c r="AL190" s="369" t="e">
        <f aca="false">VLOOKUP($D190,CurveTbl,$AK$4)</f>
        <v>#VALUE!</v>
      </c>
      <c r="AM190" s="505" t="e">
        <f aca="false">VLOOKUP($D190,CurveTbl,$AH$3)</f>
        <v>#VALUE!</v>
      </c>
      <c r="AN190" s="505" t="e">
        <f aca="false">VLOOKUP($D190,CurveTbl,$AH$4)+VLOOKUP($AG190,$AL$3:$AS$15,6)</f>
        <v>#VALUE!</v>
      </c>
      <c r="AO190" s="505" t="e">
        <f aca="false">VLOOKUP($D190,CurveTbl,$AH$5)</f>
        <v>#VALUE!</v>
      </c>
      <c r="AP190" s="505" t="e">
        <f aca="false">VLOOKUP($D190,CurveTbl,$AH$6)+VLOOKUP($AG190,$AL$3:$AS$15,7)</f>
        <v>#VALUE!</v>
      </c>
      <c r="AQ190" s="369" t="e">
        <f aca="false">VLOOKUP($AG190,$AL$4:$AS$15,3)+VLOOKUP($AG190,$AL$4:$AS$15,5)+($AH$10*VLOOKUP(D190,GRITable,2))</f>
        <v>#VALUE!</v>
      </c>
      <c r="AR190" s="370" t="e">
        <f aca="false">VLOOKUP($AG190,$AL$4:$AS$15,4)</f>
        <v>#VALUE!</v>
      </c>
      <c r="AS190" s="369" t="e">
        <f aca="false">(AL190+AM190+AN190)</f>
        <v>#VALUE!</v>
      </c>
      <c r="AT190" s="370" t="e">
        <f aca="false">VLOOKUP(D190,CurveTbl,$AK$6)</f>
        <v>#VALUE!</v>
      </c>
      <c r="AU190" s="370" t="e">
        <f aca="false">(1+$AT190/2)^(-2*($D190-$G$5)/365.25)*$AF190</f>
        <v>#VALUE!</v>
      </c>
      <c r="AV190" s="506" t="e">
        <f aca="false">ROUND((F190/(1-AR190))-F190,0)*AF190*AH190*AU190</f>
        <v>#VALUE!</v>
      </c>
      <c r="AW190" s="370" t="e">
        <f aca="false">VLOOKUP($D190,CurveTbl,$AK$8)</f>
        <v>#VALUE!</v>
      </c>
      <c r="AX190" s="370" t="e">
        <f aca="false">VLOOKUP($D190,CurveTbl,$AH$7)</f>
        <v>#VALUE!</v>
      </c>
      <c r="AY190" s="370" t="e">
        <f aca="false">VLOOKUP($D190,CurveTbl,$AH$8)</f>
        <v>#VALUE!</v>
      </c>
      <c r="AZ190" s="370"/>
      <c r="BA190" s="507"/>
      <c r="BB190" s="505" t="e">
        <f aca="false">$H190-$BV190</f>
        <v>#VALUE!</v>
      </c>
      <c r="BC190" s="505" t="e">
        <f aca="false">I190-BW190</f>
        <v>#VALUE!</v>
      </c>
      <c r="BD190" s="370" t="e">
        <f aca="false">N190-BX190</f>
        <v>#VALUE!</v>
      </c>
      <c r="BE190" s="370" t="e">
        <f aca="false">O190-BY190</f>
        <v>#VALUE!</v>
      </c>
      <c r="BF190" s="370" t="e">
        <f aca="false">xSPRDOPT($BW190,$BV190,$CG190,0,$BY190,$BX190,$BZ190,$AJ190,1,4)*$CB190</f>
        <v>#NAME?</v>
      </c>
      <c r="BG190" s="370" t="e">
        <f aca="false">xSPRDOPT($BW190,$BV190,$CG190,0,$BY190,$BX190,$BZ190,$AJ190,1,3)*$CB190</f>
        <v>#NAME?</v>
      </c>
      <c r="BH190" s="370" t="e">
        <f aca="false">IF(OR(BF190&lt;&gt;0,BG190&lt;&gt;0),xSPRDOPT($BW190,$BV190,$CG190,0,$BY190,$BX190,$BZ190,$AJ190,1,12)*$CB190,0)</f>
        <v>#NAME?</v>
      </c>
      <c r="BI190" s="370" t="e">
        <f aca="false">xSPRDOPT($BW190,$BV190,$CG190,2*LN(1+CA190/2),$BY190,$BX190,$BZ190,$AJ190,1,9)</f>
        <v>#NAME?</v>
      </c>
      <c r="BJ190" s="370" t="e">
        <f aca="false">xSPRDOPT($BW190,$BV190,$CG190,0,$BY190,$BX190,$BZ190,$AJ190,1,6)*$CB190</f>
        <v>#NAME?</v>
      </c>
      <c r="BK190" s="370" t="e">
        <f aca="false">xSPRDOPT($BW190,$BV190,$CG190,0,$BY190,$BX190,$BZ190,$AJ190,1,5)*$CB190</f>
        <v>#NAME?</v>
      </c>
      <c r="BL190" s="370" t="e">
        <f aca="false">xSPRDOPT(BW190,BV190,CG190,0,BY190,BX190,BZ190,AJ190,1,2)*CB190</f>
        <v>#NAME?</v>
      </c>
      <c r="BM190" s="370" t="e">
        <f aca="false">xSPRDOPT(BW190,BV190,CG190,0,BY190,BX190,BZ190,AJ190,1,1)*CB190</f>
        <v>#NAME?</v>
      </c>
      <c r="BN190" s="370" t="e">
        <f aca="false">IF(AH190&lt;&gt;0,xSPRDOPT($BW190,$BV190,$CG190,2*LN(1+CA190/2),$BY190,$BX190,$BZ190,$AJ190,1,8)+(AJ190/365.25)*CH190/AH190,0)</f>
        <v>#VALUE!</v>
      </c>
      <c r="BO190" s="370" t="e">
        <f aca="false">xSPRDOPT($BW190,$BV190,$CG190,0,$BY190,$BX190,$BZ190,$AJ190,1,0)</f>
        <v>#NAME?</v>
      </c>
      <c r="BP190" s="370"/>
      <c r="BQ190" s="370"/>
      <c r="BR190" s="370"/>
      <c r="BS190" s="370"/>
      <c r="BV190" s="508" t="n">
        <v>4.7079283887468</v>
      </c>
      <c r="BW190" s="369" t="n">
        <v>4.9295</v>
      </c>
      <c r="BX190" s="370" t="n">
        <v>0.178394831276833</v>
      </c>
      <c r="BY190" s="370" t="n">
        <v>0.178394831276833</v>
      </c>
      <c r="BZ190" s="370" t="n">
        <v>1</v>
      </c>
      <c r="CA190" s="370" t="n">
        <v>0.0638964819325234</v>
      </c>
      <c r="CB190" s="370" t="n">
        <v>0.412308793522999</v>
      </c>
      <c r="CC190" s="505" t="n">
        <v>0.015</v>
      </c>
      <c r="CD190" s="505" t="n">
        <v>0.0075</v>
      </c>
      <c r="CE190" s="505" t="n">
        <v>0.35</v>
      </c>
      <c r="CF190" s="505" t="n">
        <v>0</v>
      </c>
      <c r="CG190" s="505" t="n">
        <v>0.0364</v>
      </c>
      <c r="CH190" s="505" t="n">
        <v>4.71256581732982</v>
      </c>
      <c r="CI190" s="505" t="n">
        <v>4.5795</v>
      </c>
      <c r="CJ190" s="505"/>
      <c r="CK190" s="505"/>
      <c r="CL190" s="505"/>
      <c r="CM190" s="505"/>
    </row>
    <row r="191" customFormat="false" ht="12.75" hidden="false" customHeight="false" outlineLevel="0" collapsed="false">
      <c r="A191" s="500"/>
      <c r="B191" s="500"/>
      <c r="D191" s="361" t="e">
        <f aca="false">D190+AH190</f>
        <v>#VALUE!</v>
      </c>
      <c r="F191" s="362" t="e">
        <f aca="false">VLOOKUP(AG191,$AL$4:$AS$15,2)</f>
        <v>#VALUE!</v>
      </c>
      <c r="G191" s="362" t="e">
        <f aca="false">F191*$AU191</f>
        <v>#VALUE!</v>
      </c>
      <c r="H191" s="363" t="e">
        <f aca="false">(AL191+AM191+AN191)/(1-(AR191))</f>
        <v>#VALUE!</v>
      </c>
      <c r="I191" s="363" t="e">
        <f aca="false">(AL191+AO191+AP191)</f>
        <v>#VALUE!</v>
      </c>
      <c r="K191" s="363" t="e">
        <f aca="false">MAX(((I191-H191)-AQ191)*AU191*AH191,0)</f>
        <v>#VALUE!</v>
      </c>
      <c r="L191" s="501" t="e">
        <f aca="false">MAX(Q191-K191,0)</f>
        <v>#VALUE!</v>
      </c>
      <c r="N191" s="502" t="e">
        <f aca="false">SQRT(($AX191^2*($AH191/2)+$AW191^2*$AI191)/(($AH191/2)+$AI191))</f>
        <v>#VALUE!</v>
      </c>
      <c r="O191" s="502" t="e">
        <f aca="false">SQRT(($AY191^2*($AH191/2)+$AW191^2*$AI191)/(($AH191/2)+$AI191))</f>
        <v>#VALUE!</v>
      </c>
      <c r="P191" s="371" t="e">
        <f aca="false">(VLOOKUP(AI191,CorrelationTwo,2)*(AW191^2)*AI191+VLOOKUP(D191,CorrelationOne,$AK$9)*AX191*AY191*(AH191/2))/((AI191+(AH191/2))*O191*N191)*AF191</f>
        <v>#VALUE!</v>
      </c>
      <c r="Q191" s="501" t="e">
        <f aca="false">xSPRDOPT(I191,H191,AQ191,0,O191,N191,P191,D191-$G$5,1,0)*AH191*AU191</f>
        <v>#VALUE!</v>
      </c>
      <c r="R191" s="501"/>
      <c r="S191" s="365" t="e">
        <f aca="false">-T191/(1-AR191)</f>
        <v>#VALUE!</v>
      </c>
      <c r="T191" s="365" t="e">
        <f aca="false">xSPRDOPT(I191,H191,AQ191,AT191,O191,N191,P191,D191-$G$5,1,1)*AF191*F191*AH191</f>
        <v>#VALUE!</v>
      </c>
      <c r="U191" s="501"/>
      <c r="V191" s="503" t="e">
        <f aca="false">VLOOKUP($AG191,$AL$4:$AS$15,8)*AH191*AU191</f>
        <v>#VALUE!</v>
      </c>
      <c r="W191" s="503"/>
      <c r="X191" s="504" t="e">
        <f aca="false">((BM191*BC191)+(BL191*BB191))*AH191*F191</f>
        <v>#VALUE!</v>
      </c>
      <c r="Y191" s="504" t="e">
        <f aca="false">($F191*$AH191)*((($BG191/2)*($BC191)^2)+(($BF191/2)*($BB191)^2)+($BH191*$BC191*$BB191))</f>
        <v>#VALUE!</v>
      </c>
      <c r="Z191" s="504" t="e">
        <f aca="false">($BI191*$F191*$AH191*($G$5-$BV$5))/365.25</f>
        <v>#VALUE!</v>
      </c>
      <c r="AA191" s="504" t="e">
        <f aca="false">(($BK191*$BE191)+($BJ191*$BD191))*$F191*$AH191*$AF191</f>
        <v>#VALUE!</v>
      </c>
      <c r="AB191" s="504" t="e">
        <f aca="false">BN191*(AT191-CA191)*F191*AH191</f>
        <v>#VALUE!</v>
      </c>
      <c r="AC191" s="504" t="e">
        <f aca="false">BO191*CB191*F191*AH191*CA191*($G$5-$BV$5)/365.25</f>
        <v>#NAME?</v>
      </c>
      <c r="AF191" s="378" t="e">
        <f aca="false">IF(AND(D191&gt;=$G$7,D191&lt;=$G$8),1,0)</f>
        <v>#VALUE!</v>
      </c>
      <c r="AG191" s="378" t="e">
        <f aca="false">MONTH(D191)</f>
        <v>#VALUE!</v>
      </c>
      <c r="AH191" s="378" t="e">
        <f aca="false">(EOMONTH(D191,0)-EOMONTH(D191-DAY(D191),0))*AF191</f>
        <v>#VALUE!</v>
      </c>
      <c r="AI191" s="378" t="e">
        <f aca="false">AI190+AH190</f>
        <v>#VALUE!</v>
      </c>
      <c r="AJ191" s="378" t="e">
        <f aca="false">D191-$BV$5</f>
        <v>#VALUE!</v>
      </c>
      <c r="AL191" s="369" t="e">
        <f aca="false">VLOOKUP($D191,CurveTbl,$AK$4)</f>
        <v>#VALUE!</v>
      </c>
      <c r="AM191" s="505" t="e">
        <f aca="false">VLOOKUP($D191,CurveTbl,$AH$3)</f>
        <v>#VALUE!</v>
      </c>
      <c r="AN191" s="505" t="e">
        <f aca="false">VLOOKUP($D191,CurveTbl,$AH$4)+VLOOKUP($AG191,$AL$3:$AS$15,6)</f>
        <v>#VALUE!</v>
      </c>
      <c r="AO191" s="505" t="e">
        <f aca="false">VLOOKUP($D191,CurveTbl,$AH$5)</f>
        <v>#VALUE!</v>
      </c>
      <c r="AP191" s="505" t="e">
        <f aca="false">VLOOKUP($D191,CurveTbl,$AH$6)+VLOOKUP($AG191,$AL$3:$AS$15,7)</f>
        <v>#VALUE!</v>
      </c>
      <c r="AQ191" s="369" t="e">
        <f aca="false">VLOOKUP($AG191,$AL$4:$AS$15,3)+VLOOKUP($AG191,$AL$4:$AS$15,5)+($AH$10*VLOOKUP(D191,GRITable,2))</f>
        <v>#VALUE!</v>
      </c>
      <c r="AR191" s="370" t="e">
        <f aca="false">VLOOKUP($AG191,$AL$4:$AS$15,4)</f>
        <v>#VALUE!</v>
      </c>
      <c r="AS191" s="369" t="e">
        <f aca="false">(AL191+AM191+AN191)</f>
        <v>#VALUE!</v>
      </c>
      <c r="AT191" s="370" t="e">
        <f aca="false">VLOOKUP(D191,CurveTbl,$AK$6)</f>
        <v>#VALUE!</v>
      </c>
      <c r="AU191" s="370" t="e">
        <f aca="false">(1+$AT191/2)^(-2*($D191-$G$5)/365.25)*$AF191</f>
        <v>#VALUE!</v>
      </c>
      <c r="AV191" s="506" t="e">
        <f aca="false">ROUND((F191/(1-AR191))-F191,0)*AF191*AH191*AU191</f>
        <v>#VALUE!</v>
      </c>
      <c r="AW191" s="370" t="e">
        <f aca="false">VLOOKUP($D191,CurveTbl,$AK$8)</f>
        <v>#VALUE!</v>
      </c>
      <c r="AX191" s="370" t="e">
        <f aca="false">VLOOKUP($D191,CurveTbl,$AH$7)</f>
        <v>#VALUE!</v>
      </c>
      <c r="AY191" s="370" t="e">
        <f aca="false">VLOOKUP($D191,CurveTbl,$AH$8)</f>
        <v>#VALUE!</v>
      </c>
      <c r="AZ191" s="370"/>
      <c r="BA191" s="507"/>
      <c r="BB191" s="505" t="e">
        <f aca="false">$H191-$BV191</f>
        <v>#VALUE!</v>
      </c>
      <c r="BC191" s="505" t="e">
        <f aca="false">I191-BW191</f>
        <v>#VALUE!</v>
      </c>
      <c r="BD191" s="370" t="e">
        <f aca="false">N191-BX191</f>
        <v>#VALUE!</v>
      </c>
      <c r="BE191" s="370" t="e">
        <f aca="false">O191-BY191</f>
        <v>#VALUE!</v>
      </c>
      <c r="BF191" s="370" t="e">
        <f aca="false">xSPRDOPT($BW191,$BV191,$CG191,0,$BY191,$BX191,$BZ191,$AJ191,1,4)*$CB191</f>
        <v>#NAME?</v>
      </c>
      <c r="BG191" s="370" t="e">
        <f aca="false">xSPRDOPT($BW191,$BV191,$CG191,0,$BY191,$BX191,$BZ191,$AJ191,1,3)*$CB191</f>
        <v>#NAME?</v>
      </c>
      <c r="BH191" s="370" t="e">
        <f aca="false">IF(OR(BF191&lt;&gt;0,BG191&lt;&gt;0),xSPRDOPT($BW191,$BV191,$CG191,0,$BY191,$BX191,$BZ191,$AJ191,1,12)*$CB191,0)</f>
        <v>#NAME?</v>
      </c>
      <c r="BI191" s="370" t="e">
        <f aca="false">xSPRDOPT($BW191,$BV191,$CG191,2*LN(1+CA191/2),$BY191,$BX191,$BZ191,$AJ191,1,9)</f>
        <v>#NAME?</v>
      </c>
      <c r="BJ191" s="370" t="e">
        <f aca="false">xSPRDOPT($BW191,$BV191,$CG191,0,$BY191,$BX191,$BZ191,$AJ191,1,6)*$CB191</f>
        <v>#NAME?</v>
      </c>
      <c r="BK191" s="370" t="e">
        <f aca="false">xSPRDOPT($BW191,$BV191,$CG191,0,$BY191,$BX191,$BZ191,$AJ191,1,5)*$CB191</f>
        <v>#NAME?</v>
      </c>
      <c r="BL191" s="370" t="e">
        <f aca="false">xSPRDOPT(BW191,BV191,CG191,0,BY191,BX191,BZ191,AJ191,1,2)*CB191</f>
        <v>#NAME?</v>
      </c>
      <c r="BM191" s="370" t="e">
        <f aca="false">xSPRDOPT(BW191,BV191,CG191,0,BY191,BX191,BZ191,AJ191,1,1)*CB191</f>
        <v>#NAME?</v>
      </c>
      <c r="BN191" s="370" t="e">
        <f aca="false">IF(AH191&lt;&gt;0,xSPRDOPT($BW191,$BV191,$CG191,2*LN(1+CA191/2),$BY191,$BX191,$BZ191,$AJ191,1,8)+(AJ191/365.25)*CH191/AH191,0)</f>
        <v>#VALUE!</v>
      </c>
      <c r="BO191" s="370" t="e">
        <f aca="false">xSPRDOPT($BW191,$BV191,$CG191,0,$BY191,$BX191,$BZ191,$AJ191,1,0)</f>
        <v>#NAME?</v>
      </c>
      <c r="BP191" s="370"/>
      <c r="BQ191" s="370"/>
      <c r="BR191" s="370"/>
      <c r="BS191" s="370"/>
      <c r="BV191" s="508" t="n">
        <v>4.62097186700767</v>
      </c>
      <c r="BW191" s="369" t="n">
        <v>4.8445</v>
      </c>
      <c r="BX191" s="370" t="n">
        <v>0.177820606419017</v>
      </c>
      <c r="BY191" s="370" t="n">
        <v>0.177820606419017</v>
      </c>
      <c r="BZ191" s="370" t="n">
        <v>1</v>
      </c>
      <c r="CA191" s="370" t="n">
        <v>0.063937026042435</v>
      </c>
      <c r="CB191" s="370" t="n">
        <v>0.409885364893343</v>
      </c>
      <c r="CC191" s="505" t="n">
        <v>0.015</v>
      </c>
      <c r="CD191" s="505" t="n">
        <v>0.0075</v>
      </c>
      <c r="CE191" s="505" t="n">
        <v>0.35</v>
      </c>
      <c r="CF191" s="505" t="n">
        <v>0</v>
      </c>
      <c r="CG191" s="505" t="n">
        <v>0.0364</v>
      </c>
      <c r="CH191" s="505" t="n">
        <v>4.38261728704909</v>
      </c>
      <c r="CI191" s="505" t="n">
        <v>4.4945</v>
      </c>
      <c r="CJ191" s="505"/>
      <c r="CK191" s="505"/>
      <c r="CL191" s="505"/>
      <c r="CM191" s="505"/>
    </row>
    <row r="192" customFormat="false" ht="12.75" hidden="false" customHeight="false" outlineLevel="0" collapsed="false">
      <c r="A192" s="500"/>
      <c r="B192" s="500"/>
      <c r="D192" s="361" t="e">
        <f aca="false">D191+AH191</f>
        <v>#VALUE!</v>
      </c>
      <c r="F192" s="362" t="e">
        <f aca="false">VLOOKUP(AG192,$AL$4:$AS$15,2)</f>
        <v>#VALUE!</v>
      </c>
      <c r="G192" s="362" t="e">
        <f aca="false">F192*$AU192</f>
        <v>#VALUE!</v>
      </c>
      <c r="H192" s="363" t="e">
        <f aca="false">(AL192+AM192+AN192)/(1-(AR192))</f>
        <v>#VALUE!</v>
      </c>
      <c r="I192" s="363" t="e">
        <f aca="false">(AL192+AO192+AP192)</f>
        <v>#VALUE!</v>
      </c>
      <c r="K192" s="363" t="e">
        <f aca="false">MAX(((I192-H192)-AQ192)*AU192*AH192,0)</f>
        <v>#VALUE!</v>
      </c>
      <c r="L192" s="501" t="e">
        <f aca="false">MAX(Q192-K192,0)</f>
        <v>#VALUE!</v>
      </c>
      <c r="N192" s="502" t="e">
        <f aca="false">SQRT(($AX192^2*($AH192/2)+$AW192^2*$AI192)/(($AH192/2)+$AI192))</f>
        <v>#VALUE!</v>
      </c>
      <c r="O192" s="502" t="e">
        <f aca="false">SQRT(($AY192^2*($AH192/2)+$AW192^2*$AI192)/(($AH192/2)+$AI192))</f>
        <v>#VALUE!</v>
      </c>
      <c r="P192" s="371" t="e">
        <f aca="false">(VLOOKUP(AI192,CorrelationTwo,2)*(AW192^2)*AI192+VLOOKUP(D192,CorrelationOne,$AK$9)*AX192*AY192*(AH192/2))/((AI192+(AH192/2))*O192*N192)*AF192</f>
        <v>#VALUE!</v>
      </c>
      <c r="Q192" s="501" t="e">
        <f aca="false">xSPRDOPT(I192,H192,AQ192,0,O192,N192,P192,D192-$G$5,1,0)*AH192*AU192</f>
        <v>#VALUE!</v>
      </c>
      <c r="R192" s="501"/>
      <c r="S192" s="365" t="e">
        <f aca="false">-T192/(1-AR192)</f>
        <v>#VALUE!</v>
      </c>
      <c r="T192" s="365" t="e">
        <f aca="false">xSPRDOPT(I192,H192,AQ192,AT192,O192,N192,P192,D192-$G$5,1,1)*AF192*F192*AH192</f>
        <v>#VALUE!</v>
      </c>
      <c r="U192" s="501"/>
      <c r="V192" s="503" t="e">
        <f aca="false">VLOOKUP($AG192,$AL$4:$AS$15,8)*AH192*AU192</f>
        <v>#VALUE!</v>
      </c>
      <c r="W192" s="503"/>
      <c r="X192" s="504" t="e">
        <f aca="false">((BM192*BC192)+(BL192*BB192))*AH192*F192</f>
        <v>#VALUE!</v>
      </c>
      <c r="Y192" s="504" t="e">
        <f aca="false">($F192*$AH192)*((($BG192/2)*($BC192)^2)+(($BF192/2)*($BB192)^2)+($BH192*$BC192*$BB192))</f>
        <v>#VALUE!</v>
      </c>
      <c r="Z192" s="504" t="e">
        <f aca="false">($BI192*$F192*$AH192*($G$5-$BV$5))/365.25</f>
        <v>#VALUE!</v>
      </c>
      <c r="AA192" s="504" t="e">
        <f aca="false">(($BK192*$BE192)+($BJ192*$BD192))*$F192*$AH192*$AF192</f>
        <v>#VALUE!</v>
      </c>
      <c r="AB192" s="504" t="e">
        <f aca="false">BN192*(AT192-CA192)*F192*AH192</f>
        <v>#VALUE!</v>
      </c>
      <c r="AC192" s="504" t="e">
        <f aca="false">BO192*CB192*F192*AH192*CA192*($G$5-$BV$5)/365.25</f>
        <v>#NAME?</v>
      </c>
      <c r="AF192" s="378" t="e">
        <f aca="false">IF(AND(D192&gt;=$G$7,D192&lt;=$G$8),1,0)</f>
        <v>#VALUE!</v>
      </c>
      <c r="AG192" s="378" t="e">
        <f aca="false">MONTH(D192)</f>
        <v>#VALUE!</v>
      </c>
      <c r="AH192" s="378" t="e">
        <f aca="false">(EOMONTH(D192,0)-EOMONTH(D192-DAY(D192),0))*AF192</f>
        <v>#VALUE!</v>
      </c>
      <c r="AI192" s="378" t="e">
        <f aca="false">AI191+AH191</f>
        <v>#VALUE!</v>
      </c>
      <c r="AJ192" s="378" t="e">
        <f aca="false">D192-$BV$5</f>
        <v>#VALUE!</v>
      </c>
      <c r="AL192" s="369" t="e">
        <f aca="false">VLOOKUP($D192,CurveTbl,$AK$4)</f>
        <v>#VALUE!</v>
      </c>
      <c r="AM192" s="505" t="e">
        <f aca="false">VLOOKUP($D192,CurveTbl,$AH$3)</f>
        <v>#VALUE!</v>
      </c>
      <c r="AN192" s="505" t="e">
        <f aca="false">VLOOKUP($D192,CurveTbl,$AH$4)+VLOOKUP($AG192,$AL$3:$AS$15,6)</f>
        <v>#VALUE!</v>
      </c>
      <c r="AO192" s="505" t="e">
        <f aca="false">VLOOKUP($D192,CurveTbl,$AH$5)</f>
        <v>#VALUE!</v>
      </c>
      <c r="AP192" s="505" t="e">
        <f aca="false">VLOOKUP($D192,CurveTbl,$AH$6)+VLOOKUP($AG192,$AL$3:$AS$15,7)</f>
        <v>#VALUE!</v>
      </c>
      <c r="AQ192" s="369" t="e">
        <f aca="false">VLOOKUP($AG192,$AL$4:$AS$15,3)+VLOOKUP($AG192,$AL$4:$AS$15,5)+($AH$10*VLOOKUP(D192,GRITable,2))</f>
        <v>#VALUE!</v>
      </c>
      <c r="AR192" s="370" t="e">
        <f aca="false">VLOOKUP($AG192,$AL$4:$AS$15,4)</f>
        <v>#VALUE!</v>
      </c>
      <c r="AS192" s="369" t="e">
        <f aca="false">(AL192+AM192+AN192)</f>
        <v>#VALUE!</v>
      </c>
      <c r="AT192" s="370" t="e">
        <f aca="false">VLOOKUP(D192,CurveTbl,$AK$6)</f>
        <v>#VALUE!</v>
      </c>
      <c r="AU192" s="370" t="e">
        <f aca="false">(1+$AT192/2)^(-2*($D192-$G$5)/365.25)*$AF192</f>
        <v>#VALUE!</v>
      </c>
      <c r="AV192" s="506" t="e">
        <f aca="false">ROUND((F192/(1-AR192))-F192,0)*AF192*AH192*AU192</f>
        <v>#VALUE!</v>
      </c>
      <c r="AW192" s="370" t="e">
        <f aca="false">VLOOKUP($D192,CurveTbl,$AK$8)</f>
        <v>#VALUE!</v>
      </c>
      <c r="AX192" s="370" t="e">
        <f aca="false">VLOOKUP($D192,CurveTbl,$AH$7)</f>
        <v>#VALUE!</v>
      </c>
      <c r="AY192" s="370" t="e">
        <f aca="false">VLOOKUP($D192,CurveTbl,$AH$8)</f>
        <v>#VALUE!</v>
      </c>
      <c r="AZ192" s="370"/>
      <c r="BA192" s="507"/>
      <c r="BB192" s="505" t="e">
        <f aca="false">$H192-$BV192</f>
        <v>#VALUE!</v>
      </c>
      <c r="BC192" s="505" t="e">
        <f aca="false">I192-BW192</f>
        <v>#VALUE!</v>
      </c>
      <c r="BD192" s="370" t="e">
        <f aca="false">N192-BX192</f>
        <v>#VALUE!</v>
      </c>
      <c r="BE192" s="370" t="e">
        <f aca="false">O192-BY192</f>
        <v>#VALUE!</v>
      </c>
      <c r="BF192" s="370" t="e">
        <f aca="false">xSPRDOPT($BW192,$BV192,$CG192,0,$BY192,$BX192,$BZ192,$AJ192,1,4)*$CB192</f>
        <v>#NAME?</v>
      </c>
      <c r="BG192" s="370" t="e">
        <f aca="false">xSPRDOPT($BW192,$BV192,$CG192,0,$BY192,$BX192,$BZ192,$AJ192,1,3)*$CB192</f>
        <v>#NAME?</v>
      </c>
      <c r="BH192" s="370" t="e">
        <f aca="false">IF(OR(BF192&lt;&gt;0,BG192&lt;&gt;0),xSPRDOPT($BW192,$BV192,$CG192,0,$BY192,$BX192,$BZ192,$AJ192,1,12)*$CB192,0)</f>
        <v>#NAME?</v>
      </c>
      <c r="BI192" s="370" t="e">
        <f aca="false">xSPRDOPT($BW192,$BV192,$CG192,2*LN(1+CA192/2),$BY192,$BX192,$BZ192,$AJ192,1,9)</f>
        <v>#NAME?</v>
      </c>
      <c r="BJ192" s="370" t="e">
        <f aca="false">xSPRDOPT($BW192,$BV192,$CG192,0,$BY192,$BX192,$BZ192,$AJ192,1,6)*$CB192</f>
        <v>#NAME?</v>
      </c>
      <c r="BK192" s="370" t="e">
        <f aca="false">xSPRDOPT($BW192,$BV192,$CG192,0,$BY192,$BX192,$BZ192,$AJ192,1,5)*$CB192</f>
        <v>#NAME?</v>
      </c>
      <c r="BL192" s="370" t="e">
        <f aca="false">xSPRDOPT(BW192,BV192,CG192,0,BY192,BX192,BZ192,AJ192,1,2)*CB192</f>
        <v>#NAME?</v>
      </c>
      <c r="BM192" s="370" t="e">
        <f aca="false">xSPRDOPT(BW192,BV192,CG192,0,BY192,BX192,BZ192,AJ192,1,1)*CB192</f>
        <v>#NAME?</v>
      </c>
      <c r="BN192" s="370" t="e">
        <f aca="false">IF(AH192&lt;&gt;0,xSPRDOPT($BW192,$BV192,$CG192,2*LN(1+CA192/2),$BY192,$BX192,$BZ192,$AJ192,1,8)+(AJ192/365.25)*CH192/AH192,0)</f>
        <v>#VALUE!</v>
      </c>
      <c r="BO192" s="370" t="e">
        <f aca="false">xSPRDOPT($BW192,$BV192,$CG192,0,$BY192,$BX192,$BZ192,$AJ192,1,0)</f>
        <v>#NAME?</v>
      </c>
      <c r="BP192" s="370"/>
      <c r="BQ192" s="370"/>
      <c r="BR192" s="370"/>
      <c r="BS192" s="370"/>
      <c r="BV192" s="508" t="n">
        <v>4.49309462915601</v>
      </c>
      <c r="BW192" s="369" t="n">
        <v>4.7645</v>
      </c>
      <c r="BX192" s="370" t="n">
        <v>0.174609715567534</v>
      </c>
      <c r="BY192" s="370" t="n">
        <v>0.174609715567534</v>
      </c>
      <c r="BZ192" s="370" t="n">
        <v>1</v>
      </c>
      <c r="CA192" s="370" t="n">
        <v>0.0639749544038133</v>
      </c>
      <c r="CB192" s="370" t="n">
        <v>0.407628726455618</v>
      </c>
      <c r="CC192" s="505" t="n">
        <v>0.02</v>
      </c>
      <c r="CD192" s="505" t="n">
        <v>0.0075</v>
      </c>
      <c r="CE192" s="505" t="n">
        <v>0.4</v>
      </c>
      <c r="CF192" s="505" t="n">
        <v>0</v>
      </c>
      <c r="CG192" s="505" t="n">
        <v>0.0364</v>
      </c>
      <c r="CH192" s="505" t="n">
        <v>4.65907405476978</v>
      </c>
      <c r="CI192" s="505" t="n">
        <v>4.3645</v>
      </c>
      <c r="CJ192" s="505"/>
      <c r="CK192" s="505"/>
      <c r="CL192" s="505"/>
      <c r="CM192" s="505"/>
    </row>
    <row r="193" customFormat="false" ht="12.75" hidden="false" customHeight="false" outlineLevel="0" collapsed="false">
      <c r="A193" s="500"/>
      <c r="B193" s="500"/>
      <c r="D193" s="361" t="e">
        <f aca="false">D192+AH192</f>
        <v>#VALUE!</v>
      </c>
      <c r="F193" s="362" t="e">
        <f aca="false">VLOOKUP(AG193,$AL$4:$AS$15,2)</f>
        <v>#VALUE!</v>
      </c>
      <c r="G193" s="362" t="e">
        <f aca="false">F193*$AU193</f>
        <v>#VALUE!</v>
      </c>
      <c r="H193" s="363" t="e">
        <f aca="false">(AL193+AM193+AN193)/(1-(AR193))</f>
        <v>#VALUE!</v>
      </c>
      <c r="I193" s="363" t="e">
        <f aca="false">(AL193+AO193+AP193)</f>
        <v>#VALUE!</v>
      </c>
      <c r="K193" s="363" t="e">
        <f aca="false">MAX(((I193-H193)-AQ193)*AU193*AH193,0)</f>
        <v>#VALUE!</v>
      </c>
      <c r="L193" s="501" t="e">
        <f aca="false">MAX(Q193-K193,0)</f>
        <v>#VALUE!</v>
      </c>
      <c r="N193" s="502" t="e">
        <f aca="false">SQRT(($AX193^2*($AH193/2)+$AW193^2*$AI193)/(($AH193/2)+$AI193))</f>
        <v>#VALUE!</v>
      </c>
      <c r="O193" s="502" t="e">
        <f aca="false">SQRT(($AY193^2*($AH193/2)+$AW193^2*$AI193)/(($AH193/2)+$AI193))</f>
        <v>#VALUE!</v>
      </c>
      <c r="P193" s="371" t="e">
        <f aca="false">(VLOOKUP(AI193,CorrelationTwo,2)*(AW193^2)*AI193+VLOOKUP(D193,CorrelationOne,$AK$9)*AX193*AY193*(AH193/2))/((AI193+(AH193/2))*O193*N193)*AF193</f>
        <v>#VALUE!</v>
      </c>
      <c r="Q193" s="501" t="e">
        <f aca="false">xSPRDOPT(I193,H193,AQ193,0,O193,N193,P193,D193-$G$5,1,0)*AH193*AU193</f>
        <v>#VALUE!</v>
      </c>
      <c r="R193" s="501"/>
      <c r="S193" s="365" t="e">
        <f aca="false">-T193/(1-AR193)</f>
        <v>#VALUE!</v>
      </c>
      <c r="T193" s="365" t="e">
        <f aca="false">xSPRDOPT(I193,H193,AQ193,AT193,O193,N193,P193,D193-$G$5,1,1)*AF193*F193*AH193</f>
        <v>#VALUE!</v>
      </c>
      <c r="U193" s="501"/>
      <c r="V193" s="503" t="e">
        <f aca="false">VLOOKUP($AG193,$AL$4:$AS$15,8)*AH193*AU193</f>
        <v>#VALUE!</v>
      </c>
      <c r="W193" s="503"/>
      <c r="X193" s="504" t="e">
        <f aca="false">((BM193*BC193)+(BL193*BB193))*AH193*F193</f>
        <v>#VALUE!</v>
      </c>
      <c r="Y193" s="504" t="e">
        <f aca="false">($F193*$AH193)*((($BG193/2)*($BC193)^2)+(($BF193/2)*($BB193)^2)+($BH193*$BC193*$BB193))</f>
        <v>#VALUE!</v>
      </c>
      <c r="Z193" s="504" t="e">
        <f aca="false">($BI193*$F193*$AH193*($G$5-$BV$5))/365.25</f>
        <v>#VALUE!</v>
      </c>
      <c r="AA193" s="504" t="e">
        <f aca="false">(($BK193*$BE193)+($BJ193*$BD193))*$F193*$AH193*$AF193</f>
        <v>#VALUE!</v>
      </c>
      <c r="AB193" s="504" t="e">
        <f aca="false">BN193*(AT193-CA193)*F193*AH193</f>
        <v>#VALUE!</v>
      </c>
      <c r="AC193" s="504" t="e">
        <f aca="false">BO193*CB193*F193*AH193*CA193*($G$5-$BV$5)/365.25</f>
        <v>#NAME?</v>
      </c>
      <c r="AF193" s="378" t="e">
        <f aca="false">IF(AND(D193&gt;=$G$7,D193&lt;=$G$8),1,0)</f>
        <v>#VALUE!</v>
      </c>
      <c r="AG193" s="378" t="e">
        <f aca="false">MONTH(D193)</f>
        <v>#VALUE!</v>
      </c>
      <c r="AH193" s="378" t="e">
        <f aca="false">(EOMONTH(D193,0)-EOMONTH(D193-DAY(D193),0))*AF193</f>
        <v>#VALUE!</v>
      </c>
      <c r="AI193" s="378" t="e">
        <f aca="false">AI192+AH192</f>
        <v>#VALUE!</v>
      </c>
      <c r="AJ193" s="378" t="e">
        <f aca="false">D193-$BV$5</f>
        <v>#VALUE!</v>
      </c>
      <c r="AL193" s="369" t="e">
        <f aca="false">VLOOKUP($D193,CurveTbl,$AK$4)</f>
        <v>#VALUE!</v>
      </c>
      <c r="AM193" s="505" t="e">
        <f aca="false">VLOOKUP($D193,CurveTbl,$AH$3)</f>
        <v>#VALUE!</v>
      </c>
      <c r="AN193" s="505" t="e">
        <f aca="false">VLOOKUP($D193,CurveTbl,$AH$4)+VLOOKUP($AG193,$AL$3:$AS$15,6)</f>
        <v>#VALUE!</v>
      </c>
      <c r="AO193" s="505" t="e">
        <f aca="false">VLOOKUP($D193,CurveTbl,$AH$5)</f>
        <v>#VALUE!</v>
      </c>
      <c r="AP193" s="505" t="e">
        <f aca="false">VLOOKUP($D193,CurveTbl,$AH$6)+VLOOKUP($AG193,$AL$3:$AS$15,7)</f>
        <v>#VALUE!</v>
      </c>
      <c r="AQ193" s="369" t="e">
        <f aca="false">VLOOKUP($AG193,$AL$4:$AS$15,3)+VLOOKUP($AG193,$AL$4:$AS$15,5)+($AH$10*VLOOKUP(D193,GRITable,2))</f>
        <v>#VALUE!</v>
      </c>
      <c r="AR193" s="370" t="e">
        <f aca="false">VLOOKUP($AG193,$AL$4:$AS$15,4)</f>
        <v>#VALUE!</v>
      </c>
      <c r="AS193" s="369" t="e">
        <f aca="false">(AL193+AM193+AN193)</f>
        <v>#VALUE!</v>
      </c>
      <c r="AT193" s="370" t="e">
        <f aca="false">VLOOKUP(D193,CurveTbl,$AK$6)</f>
        <v>#VALUE!</v>
      </c>
      <c r="AU193" s="370" t="e">
        <f aca="false">(1+$AT193/2)^(-2*($D193-$G$5)/365.25)*$AF193</f>
        <v>#VALUE!</v>
      </c>
      <c r="AV193" s="506" t="e">
        <f aca="false">ROUND((F193/(1-AR193))-F193,0)*AF193*AH193*AU193</f>
        <v>#VALUE!</v>
      </c>
      <c r="AW193" s="370" t="e">
        <f aca="false">VLOOKUP($D193,CurveTbl,$AK$8)</f>
        <v>#VALUE!</v>
      </c>
      <c r="AX193" s="370" t="e">
        <f aca="false">VLOOKUP($D193,CurveTbl,$AH$7)</f>
        <v>#VALUE!</v>
      </c>
      <c r="AY193" s="370" t="e">
        <f aca="false">VLOOKUP($D193,CurveTbl,$AH$8)</f>
        <v>#VALUE!</v>
      </c>
      <c r="AZ193" s="370"/>
      <c r="BA193" s="507"/>
      <c r="BB193" s="505" t="e">
        <f aca="false">$H193-$BV193</f>
        <v>#VALUE!</v>
      </c>
      <c r="BC193" s="505" t="e">
        <f aca="false">I193-BW193</f>
        <v>#VALUE!</v>
      </c>
      <c r="BD193" s="370" t="e">
        <f aca="false">N193-BX193</f>
        <v>#VALUE!</v>
      </c>
      <c r="BE193" s="370" t="e">
        <f aca="false">O193-BY193</f>
        <v>#VALUE!</v>
      </c>
      <c r="BF193" s="370" t="e">
        <f aca="false">xSPRDOPT($BW193,$BV193,$CG193,0,$BY193,$BX193,$BZ193,$AJ193,1,4)*$CB193</f>
        <v>#NAME?</v>
      </c>
      <c r="BG193" s="370" t="e">
        <f aca="false">xSPRDOPT($BW193,$BV193,$CG193,0,$BY193,$BX193,$BZ193,$AJ193,1,3)*$CB193</f>
        <v>#NAME?</v>
      </c>
      <c r="BH193" s="370" t="e">
        <f aca="false">IF(OR(BF193&lt;&gt;0,BG193&lt;&gt;0),xSPRDOPT($BW193,$BV193,$CG193,0,$BY193,$BX193,$BZ193,$AJ193,1,12)*$CB193,0)</f>
        <v>#NAME?</v>
      </c>
      <c r="BI193" s="370" t="e">
        <f aca="false">xSPRDOPT($BW193,$BV193,$CG193,2*LN(1+CA193/2),$BY193,$BX193,$BZ193,$AJ193,1,9)</f>
        <v>#NAME?</v>
      </c>
      <c r="BJ193" s="370" t="e">
        <f aca="false">xSPRDOPT($BW193,$BV193,$CG193,0,$BY193,$BX193,$BZ193,$AJ193,1,6)*$CB193</f>
        <v>#NAME?</v>
      </c>
      <c r="BK193" s="370" t="e">
        <f aca="false">xSPRDOPT($BW193,$BV193,$CG193,0,$BY193,$BX193,$BZ193,$AJ193,1,5)*$CB193</f>
        <v>#NAME?</v>
      </c>
      <c r="BL193" s="370" t="e">
        <f aca="false">xSPRDOPT(BW193,BV193,CG193,0,BY193,BX193,BZ193,AJ193,1,2)*CB193</f>
        <v>#NAME?</v>
      </c>
      <c r="BM193" s="370" t="e">
        <f aca="false">xSPRDOPT(BW193,BV193,CG193,0,BY193,BX193,BZ193,AJ193,1,1)*CB193</f>
        <v>#NAME?</v>
      </c>
      <c r="BN193" s="370" t="e">
        <f aca="false">IF(AH193&lt;&gt;0,xSPRDOPT($BW193,$BV193,$CG193,2*LN(1+CA193/2),$BY193,$BX193,$BZ193,$AJ193,1,8)+(AJ193/365.25)*CH193/AH193,0)</f>
        <v>#VALUE!</v>
      </c>
      <c r="BO193" s="370" t="e">
        <f aca="false">xSPRDOPT($BW193,$BV193,$CG193,0,$BY193,$BX193,$BZ193,$AJ193,1,0)</f>
        <v>#NAME?</v>
      </c>
      <c r="BP193" s="370"/>
      <c r="BQ193" s="370"/>
      <c r="BR193" s="370"/>
      <c r="BS193" s="370"/>
      <c r="BV193" s="508" t="n">
        <v>4.30639386189258</v>
      </c>
      <c r="BW193" s="369" t="n">
        <v>4.7795</v>
      </c>
      <c r="BX193" s="370" t="n">
        <v>0.171100851082537</v>
      </c>
      <c r="BY193" s="370" t="n">
        <v>0.171100851082537</v>
      </c>
      <c r="BZ193" s="370" t="n">
        <v>1</v>
      </c>
      <c r="CA193" s="370" t="n">
        <v>0.0640154985147801</v>
      </c>
      <c r="CB193" s="370" t="n">
        <v>0.405227583882456</v>
      </c>
      <c r="CC193" s="505" t="n">
        <v>0.02</v>
      </c>
      <c r="CD193" s="505" t="n">
        <v>0.01</v>
      </c>
      <c r="CE193" s="505" t="n">
        <v>0.6</v>
      </c>
      <c r="CF193" s="505" t="n">
        <v>0</v>
      </c>
      <c r="CG193" s="505" t="n">
        <v>0.0364</v>
      </c>
      <c r="CH193" s="505" t="n">
        <v>4.48222230532385</v>
      </c>
      <c r="CI193" s="505" t="n">
        <v>4.1795</v>
      </c>
      <c r="CJ193" s="505"/>
      <c r="CK193" s="505"/>
      <c r="CL193" s="505"/>
      <c r="CM193" s="505"/>
    </row>
    <row r="194" customFormat="false" ht="12.75" hidden="false" customHeight="false" outlineLevel="0" collapsed="false">
      <c r="A194" s="500"/>
      <c r="B194" s="500"/>
      <c r="D194" s="361" t="e">
        <f aca="false">D193+AH193</f>
        <v>#VALUE!</v>
      </c>
      <c r="F194" s="362" t="e">
        <f aca="false">VLOOKUP(AG194,$AL$4:$AS$15,2)</f>
        <v>#VALUE!</v>
      </c>
      <c r="G194" s="362" t="e">
        <f aca="false">F194*$AU194</f>
        <v>#VALUE!</v>
      </c>
      <c r="H194" s="363" t="e">
        <f aca="false">(AL194+AM194+AN194)/(1-(AR194))</f>
        <v>#VALUE!</v>
      </c>
      <c r="I194" s="363" t="e">
        <f aca="false">(AL194+AO194+AP194)</f>
        <v>#VALUE!</v>
      </c>
      <c r="K194" s="363" t="e">
        <f aca="false">MAX(((I194-H194)-AQ194)*AU194*AH194,0)</f>
        <v>#VALUE!</v>
      </c>
      <c r="L194" s="501" t="e">
        <f aca="false">MAX(Q194-K194,0)</f>
        <v>#VALUE!</v>
      </c>
      <c r="N194" s="502" t="e">
        <f aca="false">SQRT(($AX194^2*($AH194/2)+$AW194^2*$AI194)/(($AH194/2)+$AI194))</f>
        <v>#VALUE!</v>
      </c>
      <c r="O194" s="502" t="e">
        <f aca="false">SQRT(($AY194^2*($AH194/2)+$AW194^2*$AI194)/(($AH194/2)+$AI194))</f>
        <v>#VALUE!</v>
      </c>
      <c r="P194" s="371" t="e">
        <f aca="false">(VLOOKUP(AI194,CorrelationTwo,2)*(AW194^2)*AI194+VLOOKUP(D194,CorrelationOne,$AK$9)*AX194*AY194*(AH194/2))/((AI194+(AH194/2))*O194*N194)*AF194</f>
        <v>#VALUE!</v>
      </c>
      <c r="Q194" s="501" t="e">
        <f aca="false">xSPRDOPT(I194,H194,AQ194,0,O194,N194,P194,D194-$G$5,1,0)*AH194*AU194</f>
        <v>#VALUE!</v>
      </c>
      <c r="R194" s="501"/>
      <c r="S194" s="365" t="e">
        <f aca="false">-T194/(1-AR194)</f>
        <v>#VALUE!</v>
      </c>
      <c r="T194" s="365" t="e">
        <f aca="false">xSPRDOPT(I194,H194,AQ194,AT194,O194,N194,P194,D194-$G$5,1,1)*AF194*F194*AH194</f>
        <v>#VALUE!</v>
      </c>
      <c r="U194" s="501"/>
      <c r="V194" s="503" t="e">
        <f aca="false">VLOOKUP($AG194,$AL$4:$AS$15,8)*AH194*AU194</f>
        <v>#VALUE!</v>
      </c>
      <c r="W194" s="503"/>
      <c r="X194" s="504" t="e">
        <f aca="false">((BM194*BC194)+(BL194*BB194))*AH194*F194</f>
        <v>#VALUE!</v>
      </c>
      <c r="Y194" s="504" t="e">
        <f aca="false">($F194*$AH194)*((($BG194/2)*($BC194)^2)+(($BF194/2)*($BB194)^2)+($BH194*$BC194*$BB194))</f>
        <v>#VALUE!</v>
      </c>
      <c r="Z194" s="504" t="e">
        <f aca="false">($BI194*$F194*$AH194*($G$5-$BV$5))/365.25</f>
        <v>#VALUE!</v>
      </c>
      <c r="AA194" s="504" t="e">
        <f aca="false">(($BK194*$BE194)+($BJ194*$BD194))*$F194*$AH194*$AF194</f>
        <v>#VALUE!</v>
      </c>
      <c r="AB194" s="504" t="e">
        <f aca="false">BN194*(AT194-CA194)*F194*AH194</f>
        <v>#VALUE!</v>
      </c>
      <c r="AC194" s="504" t="e">
        <f aca="false">BO194*CB194*F194*AH194*CA194*($G$5-$BV$5)/365.25</f>
        <v>#NAME?</v>
      </c>
      <c r="AF194" s="378" t="e">
        <f aca="false">IF(AND(D194&gt;=$G$7,D194&lt;=$G$8),1,0)</f>
        <v>#VALUE!</v>
      </c>
      <c r="AG194" s="378" t="e">
        <f aca="false">MONTH(D194)</f>
        <v>#VALUE!</v>
      </c>
      <c r="AH194" s="378" t="e">
        <f aca="false">(EOMONTH(D194,0)-EOMONTH(D194-DAY(D194),0))*AF194</f>
        <v>#VALUE!</v>
      </c>
      <c r="AI194" s="378" t="e">
        <f aca="false">AI193+AH193</f>
        <v>#VALUE!</v>
      </c>
      <c r="AJ194" s="378" t="e">
        <f aca="false">D194-$BV$5</f>
        <v>#VALUE!</v>
      </c>
      <c r="AL194" s="369" t="e">
        <f aca="false">VLOOKUP($D194,CurveTbl,$AK$4)</f>
        <v>#VALUE!</v>
      </c>
      <c r="AM194" s="505" t="e">
        <f aca="false">VLOOKUP($D194,CurveTbl,$AH$3)</f>
        <v>#VALUE!</v>
      </c>
      <c r="AN194" s="505" t="e">
        <f aca="false">VLOOKUP($D194,CurveTbl,$AH$4)+VLOOKUP($AG194,$AL$3:$AS$15,6)</f>
        <v>#VALUE!</v>
      </c>
      <c r="AO194" s="505" t="e">
        <f aca="false">VLOOKUP($D194,CurveTbl,$AH$5)</f>
        <v>#VALUE!</v>
      </c>
      <c r="AP194" s="505" t="e">
        <f aca="false">VLOOKUP($D194,CurveTbl,$AH$6)+VLOOKUP($AG194,$AL$3:$AS$15,7)</f>
        <v>#VALUE!</v>
      </c>
      <c r="AQ194" s="369" t="e">
        <f aca="false">VLOOKUP($AG194,$AL$4:$AS$15,3)+VLOOKUP($AG194,$AL$4:$AS$15,5)+($AH$10*VLOOKUP(D194,GRITable,2))</f>
        <v>#VALUE!</v>
      </c>
      <c r="AR194" s="370" t="e">
        <f aca="false">VLOOKUP($AG194,$AL$4:$AS$15,4)</f>
        <v>#VALUE!</v>
      </c>
      <c r="AS194" s="369" t="e">
        <f aca="false">(AL194+AM194+AN194)</f>
        <v>#VALUE!</v>
      </c>
      <c r="AT194" s="370" t="e">
        <f aca="false">VLOOKUP(D194,CurveTbl,$AK$6)</f>
        <v>#VALUE!</v>
      </c>
      <c r="AU194" s="370" t="e">
        <f aca="false">(1+$AT194/2)^(-2*($D194-$G$5)/365.25)*$AF194</f>
        <v>#VALUE!</v>
      </c>
      <c r="AV194" s="506" t="e">
        <f aca="false">ROUND((F194/(1-AR194))-F194,0)*AF194*AH194*AU194</f>
        <v>#VALUE!</v>
      </c>
      <c r="AW194" s="370" t="e">
        <f aca="false">VLOOKUP($D194,CurveTbl,$AK$8)</f>
        <v>#VALUE!</v>
      </c>
      <c r="AX194" s="370" t="e">
        <f aca="false">VLOOKUP($D194,CurveTbl,$AH$7)</f>
        <v>#VALUE!</v>
      </c>
      <c r="AY194" s="370" t="e">
        <f aca="false">VLOOKUP($D194,CurveTbl,$AH$8)</f>
        <v>#VALUE!</v>
      </c>
      <c r="AZ194" s="370"/>
      <c r="BA194" s="507"/>
      <c r="BB194" s="505" t="e">
        <f aca="false">$H194-$BV194</f>
        <v>#VALUE!</v>
      </c>
      <c r="BC194" s="505" t="e">
        <f aca="false">I194-BW194</f>
        <v>#VALUE!</v>
      </c>
      <c r="BD194" s="370" t="e">
        <f aca="false">N194-BX194</f>
        <v>#VALUE!</v>
      </c>
      <c r="BE194" s="370" t="e">
        <f aca="false">O194-BY194</f>
        <v>#VALUE!</v>
      </c>
      <c r="BF194" s="370" t="e">
        <f aca="false">xSPRDOPT($BW194,$BV194,$CG194,0,$BY194,$BX194,$BZ194,$AJ194,1,4)*$CB194</f>
        <v>#NAME?</v>
      </c>
      <c r="BG194" s="370" t="e">
        <f aca="false">xSPRDOPT($BW194,$BV194,$CG194,0,$BY194,$BX194,$BZ194,$AJ194,1,3)*$CB194</f>
        <v>#NAME?</v>
      </c>
      <c r="BH194" s="370" t="e">
        <f aca="false">IF(OR(BF194&lt;&gt;0,BG194&lt;&gt;0),xSPRDOPT($BW194,$BV194,$CG194,0,$BY194,$BX194,$BZ194,$AJ194,1,12)*$CB194,0)</f>
        <v>#NAME?</v>
      </c>
      <c r="BI194" s="370" t="e">
        <f aca="false">xSPRDOPT($BW194,$BV194,$CG194,2*LN(1+CA194/2),$BY194,$BX194,$BZ194,$AJ194,1,9)</f>
        <v>#NAME?</v>
      </c>
      <c r="BJ194" s="370" t="e">
        <f aca="false">xSPRDOPT($BW194,$BV194,$CG194,0,$BY194,$BX194,$BZ194,$AJ194,1,6)*$CB194</f>
        <v>#NAME?</v>
      </c>
      <c r="BK194" s="370" t="e">
        <f aca="false">xSPRDOPT($BW194,$BV194,$CG194,0,$BY194,$BX194,$BZ194,$AJ194,1,5)*$CB194</f>
        <v>#NAME?</v>
      </c>
      <c r="BL194" s="370" t="e">
        <f aca="false">xSPRDOPT(BW194,BV194,CG194,0,BY194,BX194,BZ194,AJ194,1,2)*CB194</f>
        <v>#NAME?</v>
      </c>
      <c r="BM194" s="370" t="e">
        <f aca="false">xSPRDOPT(BW194,BV194,CG194,0,BY194,BX194,BZ194,AJ194,1,1)*CB194</f>
        <v>#NAME?</v>
      </c>
      <c r="BN194" s="370" t="e">
        <f aca="false">IF(AH194&lt;&gt;0,xSPRDOPT($BW194,$BV194,$CG194,2*LN(1+CA194/2),$BY194,$BX194,$BZ194,$AJ194,1,8)+(AJ194/365.25)*CH194/AH194,0)</f>
        <v>#VALUE!</v>
      </c>
      <c r="BO194" s="370" t="e">
        <f aca="false">xSPRDOPT($BW194,$BV194,$CG194,0,$BY194,$BX194,$BZ194,$AJ194,1,0)</f>
        <v>#NAME?</v>
      </c>
      <c r="BP194" s="370"/>
      <c r="BQ194" s="370"/>
      <c r="BR194" s="370"/>
      <c r="BS194" s="370"/>
      <c r="BV194" s="508" t="n">
        <v>4.30383631713555</v>
      </c>
      <c r="BW194" s="369" t="n">
        <v>4.9245</v>
      </c>
      <c r="BX194" s="370" t="n">
        <v>0.17149586165498</v>
      </c>
      <c r="BY194" s="370" t="n">
        <v>0.17149586165498</v>
      </c>
      <c r="BZ194" s="370" t="n">
        <v>1</v>
      </c>
      <c r="CA194" s="370" t="n">
        <v>0.0640547347517186</v>
      </c>
      <c r="CB194" s="370" t="n">
        <v>0.402914811210672</v>
      </c>
      <c r="CC194" s="505" t="n">
        <v>0.0225</v>
      </c>
      <c r="CD194" s="505" t="n">
        <v>0.01</v>
      </c>
      <c r="CE194" s="505" t="n">
        <v>0.75</v>
      </c>
      <c r="CF194" s="505" t="n">
        <v>0</v>
      </c>
      <c r="CG194" s="505" t="n">
        <v>0.0364</v>
      </c>
      <c r="CH194" s="505" t="n">
        <v>4.60519541769462</v>
      </c>
      <c r="CI194" s="505" t="n">
        <v>4.1745</v>
      </c>
      <c r="CJ194" s="505"/>
      <c r="CK194" s="505"/>
      <c r="CL194" s="505"/>
      <c r="CM194" s="505"/>
    </row>
    <row r="195" customFormat="false" ht="12.75" hidden="false" customHeight="false" outlineLevel="0" collapsed="false">
      <c r="A195" s="500"/>
      <c r="B195" s="500"/>
      <c r="D195" s="361" t="e">
        <f aca="false">D194+AH194</f>
        <v>#VALUE!</v>
      </c>
      <c r="F195" s="362" t="e">
        <f aca="false">VLOOKUP(AG195,$AL$4:$AS$15,2)</f>
        <v>#VALUE!</v>
      </c>
      <c r="G195" s="362" t="e">
        <f aca="false">F195*$AU195</f>
        <v>#VALUE!</v>
      </c>
      <c r="H195" s="363" t="e">
        <f aca="false">(AL195+AM195+AN195)/(1-(AR195))</f>
        <v>#VALUE!</v>
      </c>
      <c r="I195" s="363" t="e">
        <f aca="false">(AL195+AO195+AP195)</f>
        <v>#VALUE!</v>
      </c>
      <c r="K195" s="363" t="e">
        <f aca="false">MAX(((I195-H195)-AQ195)*AU195*AH195,0)</f>
        <v>#VALUE!</v>
      </c>
      <c r="L195" s="501" t="e">
        <f aca="false">MAX(Q195-K195,0)</f>
        <v>#VALUE!</v>
      </c>
      <c r="N195" s="502" t="e">
        <f aca="false">SQRT(($AX195^2*($AH195/2)+$AW195^2*$AI195)/(($AH195/2)+$AI195))</f>
        <v>#VALUE!</v>
      </c>
      <c r="O195" s="502" t="e">
        <f aca="false">SQRT(($AY195^2*($AH195/2)+$AW195^2*$AI195)/(($AH195/2)+$AI195))</f>
        <v>#VALUE!</v>
      </c>
      <c r="P195" s="371" t="e">
        <f aca="false">(VLOOKUP(AI195,CorrelationTwo,2)*(AW195^2)*AI195+VLOOKUP(D195,CorrelationOne,$AK$9)*AX195*AY195*(AH195/2))/((AI195+(AH195/2))*O195*N195)*AF195</f>
        <v>#VALUE!</v>
      </c>
      <c r="Q195" s="501" t="e">
        <f aca="false">xSPRDOPT(I195,H195,AQ195,0,O195,N195,P195,D195-$G$5,1,0)*AH195*AU195</f>
        <v>#VALUE!</v>
      </c>
      <c r="R195" s="501"/>
      <c r="S195" s="365" t="e">
        <f aca="false">-T195/(1-AR195)</f>
        <v>#VALUE!</v>
      </c>
      <c r="T195" s="365" t="e">
        <f aca="false">xSPRDOPT(I195,H195,AQ195,AT195,O195,N195,P195,D195-$G$5,1,1)*AF195*F195*AH195</f>
        <v>#VALUE!</v>
      </c>
      <c r="U195" s="501"/>
      <c r="V195" s="503" t="e">
        <f aca="false">VLOOKUP($AG195,$AL$4:$AS$15,8)*AH195*AU195</f>
        <v>#VALUE!</v>
      </c>
      <c r="W195" s="503"/>
      <c r="X195" s="504" t="e">
        <f aca="false">((BM195*BC195)+(BL195*BB195))*AH195*F195</f>
        <v>#VALUE!</v>
      </c>
      <c r="Y195" s="504" t="e">
        <f aca="false">($F195*$AH195)*((($BG195/2)*($BC195)^2)+(($BF195/2)*($BB195)^2)+($BH195*$BC195*$BB195))</f>
        <v>#VALUE!</v>
      </c>
      <c r="Z195" s="504" t="e">
        <f aca="false">($BI195*$F195*$AH195*($G$5-$BV$5))/365.25</f>
        <v>#VALUE!</v>
      </c>
      <c r="AA195" s="504" t="e">
        <f aca="false">(($BK195*$BE195)+($BJ195*$BD195))*$F195*$AH195*$AF195</f>
        <v>#VALUE!</v>
      </c>
      <c r="AB195" s="504" t="e">
        <f aca="false">BN195*(AT195-CA195)*F195*AH195</f>
        <v>#VALUE!</v>
      </c>
      <c r="AC195" s="504" t="e">
        <f aca="false">BO195*CB195*F195*AH195*CA195*($G$5-$BV$5)/365.25</f>
        <v>#NAME?</v>
      </c>
      <c r="AF195" s="378" t="e">
        <f aca="false">IF(AND(D195&gt;=$G$7,D195&lt;=$G$8),1,0)</f>
        <v>#VALUE!</v>
      </c>
      <c r="AG195" s="378" t="e">
        <f aca="false">MONTH(D195)</f>
        <v>#VALUE!</v>
      </c>
      <c r="AH195" s="378" t="e">
        <f aca="false">(EOMONTH(D195,0)-EOMONTH(D195-DAY(D195),0))*AF195</f>
        <v>#VALUE!</v>
      </c>
      <c r="AI195" s="378" t="e">
        <f aca="false">AI194+AH194</f>
        <v>#VALUE!</v>
      </c>
      <c r="AJ195" s="378" t="e">
        <f aca="false">D195-$BV$5</f>
        <v>#VALUE!</v>
      </c>
      <c r="AL195" s="369" t="e">
        <f aca="false">VLOOKUP($D195,CurveTbl,$AK$4)</f>
        <v>#VALUE!</v>
      </c>
      <c r="AM195" s="505" t="e">
        <f aca="false">VLOOKUP($D195,CurveTbl,$AH$3)</f>
        <v>#VALUE!</v>
      </c>
      <c r="AN195" s="505" t="e">
        <f aca="false">VLOOKUP($D195,CurveTbl,$AH$4)+VLOOKUP($AG195,$AL$3:$AS$15,6)</f>
        <v>#VALUE!</v>
      </c>
      <c r="AO195" s="505" t="e">
        <f aca="false">VLOOKUP($D195,CurveTbl,$AH$5)</f>
        <v>#VALUE!</v>
      </c>
      <c r="AP195" s="505" t="e">
        <f aca="false">VLOOKUP($D195,CurveTbl,$AH$6)+VLOOKUP($AG195,$AL$3:$AS$15,7)</f>
        <v>#VALUE!</v>
      </c>
      <c r="AQ195" s="369" t="e">
        <f aca="false">VLOOKUP($AG195,$AL$4:$AS$15,3)+VLOOKUP($AG195,$AL$4:$AS$15,5)+($AH$10*VLOOKUP(D195,GRITable,2))</f>
        <v>#VALUE!</v>
      </c>
      <c r="AR195" s="370" t="e">
        <f aca="false">VLOOKUP($AG195,$AL$4:$AS$15,4)</f>
        <v>#VALUE!</v>
      </c>
      <c r="AS195" s="369" t="e">
        <f aca="false">(AL195+AM195+AN195)</f>
        <v>#VALUE!</v>
      </c>
      <c r="AT195" s="370" t="e">
        <f aca="false">VLOOKUP(D195,CurveTbl,$AK$6)</f>
        <v>#VALUE!</v>
      </c>
      <c r="AU195" s="370" t="e">
        <f aca="false">(1+$AT195/2)^(-2*($D195-$G$5)/365.25)*$AF195</f>
        <v>#VALUE!</v>
      </c>
      <c r="AV195" s="506" t="e">
        <f aca="false">ROUND((F195/(1-AR195))-F195,0)*AF195*AH195*AU195</f>
        <v>#VALUE!</v>
      </c>
      <c r="AW195" s="370" t="e">
        <f aca="false">VLOOKUP($D195,CurveTbl,$AK$8)</f>
        <v>#VALUE!</v>
      </c>
      <c r="AX195" s="370" t="e">
        <f aca="false">VLOOKUP($D195,CurveTbl,$AH$7)</f>
        <v>#VALUE!</v>
      </c>
      <c r="AY195" s="370" t="e">
        <f aca="false">VLOOKUP($D195,CurveTbl,$AH$8)</f>
        <v>#VALUE!</v>
      </c>
      <c r="AZ195" s="370"/>
      <c r="BA195" s="507"/>
      <c r="BB195" s="505" t="e">
        <f aca="false">$H195-$BV195</f>
        <v>#VALUE!</v>
      </c>
      <c r="BC195" s="505" t="e">
        <f aca="false">I195-BW195</f>
        <v>#VALUE!</v>
      </c>
      <c r="BD195" s="370" t="e">
        <f aca="false">N195-BX195</f>
        <v>#VALUE!</v>
      </c>
      <c r="BE195" s="370" t="e">
        <f aca="false">O195-BY195</f>
        <v>#VALUE!</v>
      </c>
      <c r="BF195" s="370" t="e">
        <f aca="false">xSPRDOPT($BW195,$BV195,$CG195,0,$BY195,$BX195,$BZ195,$AJ195,1,4)*$CB195</f>
        <v>#NAME?</v>
      </c>
      <c r="BG195" s="370" t="e">
        <f aca="false">xSPRDOPT($BW195,$BV195,$CG195,0,$BY195,$BX195,$BZ195,$AJ195,1,3)*$CB195</f>
        <v>#NAME?</v>
      </c>
      <c r="BH195" s="370" t="e">
        <f aca="false">IF(OR(BF195&lt;&gt;0,BG195&lt;&gt;0),xSPRDOPT($BW195,$BV195,$CG195,0,$BY195,$BX195,$BZ195,$AJ195,1,12)*$CB195,0)</f>
        <v>#NAME?</v>
      </c>
      <c r="BI195" s="370" t="e">
        <f aca="false">xSPRDOPT($BW195,$BV195,$CG195,2*LN(1+CA195/2),$BY195,$BX195,$BZ195,$AJ195,1,9)</f>
        <v>#NAME?</v>
      </c>
      <c r="BJ195" s="370" t="e">
        <f aca="false">xSPRDOPT($BW195,$BV195,$CG195,0,$BY195,$BX195,$BZ195,$AJ195,1,6)*$CB195</f>
        <v>#NAME?</v>
      </c>
      <c r="BK195" s="370" t="e">
        <f aca="false">xSPRDOPT($BW195,$BV195,$CG195,0,$BY195,$BX195,$BZ195,$AJ195,1,5)*$CB195</f>
        <v>#NAME?</v>
      </c>
      <c r="BL195" s="370" t="e">
        <f aca="false">xSPRDOPT(BW195,BV195,CG195,0,BY195,BX195,BZ195,AJ195,1,2)*CB195</f>
        <v>#NAME?</v>
      </c>
      <c r="BM195" s="370" t="e">
        <f aca="false">xSPRDOPT(BW195,BV195,CG195,0,BY195,BX195,BZ195,AJ195,1,1)*CB195</f>
        <v>#NAME?</v>
      </c>
      <c r="BN195" s="370" t="e">
        <f aca="false">IF(AH195&lt;&gt;0,xSPRDOPT($BW195,$BV195,$CG195,2*LN(1+CA195/2),$BY195,$BX195,$BZ195,$AJ195,1,8)+(AJ195/365.25)*CH195/AH195,0)</f>
        <v>#VALUE!</v>
      </c>
      <c r="BO195" s="370" t="e">
        <f aca="false">xSPRDOPT($BW195,$BV195,$CG195,0,$BY195,$BX195,$BZ195,$AJ195,1,0)</f>
        <v>#NAME?</v>
      </c>
      <c r="BP195" s="370"/>
      <c r="BQ195" s="370"/>
      <c r="BR195" s="370"/>
      <c r="BS195" s="370"/>
      <c r="BV195" s="508" t="n">
        <v>4.33964194373402</v>
      </c>
      <c r="BW195" s="369" t="n">
        <v>5.0595</v>
      </c>
      <c r="BX195" s="370" t="n">
        <v>0.171439511865747</v>
      </c>
      <c r="BY195" s="370" t="n">
        <v>0.171439511865747</v>
      </c>
      <c r="BZ195" s="370" t="n">
        <v>1</v>
      </c>
      <c r="CA195" s="370" t="n">
        <v>0.0640952788637579</v>
      </c>
      <c r="CB195" s="370" t="n">
        <v>0.400536188763055</v>
      </c>
      <c r="CC195" s="505" t="n">
        <v>0.0225</v>
      </c>
      <c r="CD195" s="505" t="n">
        <v>0.01</v>
      </c>
      <c r="CE195" s="505" t="n">
        <v>0.85</v>
      </c>
      <c r="CF195" s="505" t="n">
        <v>0</v>
      </c>
      <c r="CG195" s="505" t="n">
        <v>0.0364</v>
      </c>
      <c r="CH195" s="505" t="n">
        <v>4.43033078390815</v>
      </c>
      <c r="CI195" s="505" t="n">
        <v>4.2095</v>
      </c>
      <c r="CJ195" s="505"/>
      <c r="CK195" s="505"/>
      <c r="CL195" s="505"/>
      <c r="CM195" s="505"/>
    </row>
    <row r="196" customFormat="false" ht="12.75" hidden="false" customHeight="false" outlineLevel="0" collapsed="false">
      <c r="A196" s="500"/>
      <c r="B196" s="500"/>
      <c r="D196" s="361" t="e">
        <f aca="false">D195+AH195</f>
        <v>#VALUE!</v>
      </c>
      <c r="F196" s="362" t="e">
        <f aca="false">VLOOKUP(AG196,$AL$4:$AS$15,2)</f>
        <v>#VALUE!</v>
      </c>
      <c r="G196" s="362" t="e">
        <f aca="false">F196*$AU196</f>
        <v>#VALUE!</v>
      </c>
      <c r="H196" s="363" t="e">
        <f aca="false">(AL196+AM196+AN196)/(1-(AR196))</f>
        <v>#VALUE!</v>
      </c>
      <c r="I196" s="363" t="e">
        <f aca="false">(AL196+AO196+AP196)</f>
        <v>#VALUE!</v>
      </c>
      <c r="K196" s="363" t="e">
        <f aca="false">MAX(((I196-H196)-AQ196)*AU196*AH196,0)</f>
        <v>#VALUE!</v>
      </c>
      <c r="L196" s="501" t="e">
        <f aca="false">MAX(Q196-K196,0)</f>
        <v>#VALUE!</v>
      </c>
      <c r="N196" s="502" t="e">
        <f aca="false">SQRT(($AX196^2*($AH196/2)+$AW196^2*$AI196)/(($AH196/2)+$AI196))</f>
        <v>#VALUE!</v>
      </c>
      <c r="O196" s="502" t="e">
        <f aca="false">SQRT(($AY196^2*($AH196/2)+$AW196^2*$AI196)/(($AH196/2)+$AI196))</f>
        <v>#VALUE!</v>
      </c>
      <c r="P196" s="371" t="e">
        <f aca="false">(VLOOKUP(AI196,CorrelationTwo,2)*(AW196^2)*AI196+VLOOKUP(D196,CorrelationOne,$AK$9)*AX196*AY196*(AH196/2))/((AI196+(AH196/2))*O196*N196)*AF196</f>
        <v>#VALUE!</v>
      </c>
      <c r="Q196" s="501" t="e">
        <f aca="false">xSPRDOPT(I196,H196,AQ196,0,O196,N196,P196,D196-$G$5,1,0)*AH196*AU196</f>
        <v>#VALUE!</v>
      </c>
      <c r="R196" s="501"/>
      <c r="S196" s="365" t="e">
        <f aca="false">-T196/(1-AR196)</f>
        <v>#VALUE!</v>
      </c>
      <c r="T196" s="365" t="e">
        <f aca="false">xSPRDOPT(I196,H196,AQ196,AT196,O196,N196,P196,D196-$G$5,1,1)*AF196*F196*AH196</f>
        <v>#VALUE!</v>
      </c>
      <c r="U196" s="501"/>
      <c r="V196" s="503" t="e">
        <f aca="false">VLOOKUP($AG196,$AL$4:$AS$15,8)*AH196*AU196</f>
        <v>#VALUE!</v>
      </c>
      <c r="W196" s="503"/>
      <c r="X196" s="504" t="e">
        <f aca="false">((BM196*BC196)+(BL196*BB196))*AH196*F196</f>
        <v>#VALUE!</v>
      </c>
      <c r="Y196" s="504" t="e">
        <f aca="false">($F196*$AH196)*((($BG196/2)*($BC196)^2)+(($BF196/2)*($BB196)^2)+($BH196*$BC196*$BB196))</f>
        <v>#VALUE!</v>
      </c>
      <c r="Z196" s="504" t="e">
        <f aca="false">($BI196*$F196*$AH196*($G$5-$BV$5))/365.25</f>
        <v>#VALUE!</v>
      </c>
      <c r="AA196" s="504" t="e">
        <f aca="false">(($BK196*$BE196)+($BJ196*$BD196))*$F196*$AH196*$AF196</f>
        <v>#VALUE!</v>
      </c>
      <c r="AB196" s="504" t="e">
        <f aca="false">BN196*(AT196-CA196)*F196*AH196</f>
        <v>#VALUE!</v>
      </c>
      <c r="AC196" s="504" t="e">
        <f aca="false">BO196*CB196*F196*AH196*CA196*($G$5-$BV$5)/365.25</f>
        <v>#NAME?</v>
      </c>
      <c r="AF196" s="378" t="e">
        <f aca="false">IF(AND(D196&gt;=$G$7,D196&lt;=$G$8),1,0)</f>
        <v>#VALUE!</v>
      </c>
      <c r="AG196" s="378" t="e">
        <f aca="false">MONTH(D196)</f>
        <v>#VALUE!</v>
      </c>
      <c r="AH196" s="378" t="e">
        <f aca="false">(EOMONTH(D196,0)-EOMONTH(D196-DAY(D196),0))*AF196</f>
        <v>#VALUE!</v>
      </c>
      <c r="AI196" s="378" t="e">
        <f aca="false">AI195+AH195</f>
        <v>#VALUE!</v>
      </c>
      <c r="AJ196" s="378" t="e">
        <f aca="false">D196-$BV$5</f>
        <v>#VALUE!</v>
      </c>
      <c r="AL196" s="369" t="e">
        <f aca="false">VLOOKUP($D196,CurveTbl,$AK$4)</f>
        <v>#VALUE!</v>
      </c>
      <c r="AM196" s="505" t="e">
        <f aca="false">VLOOKUP($D196,CurveTbl,$AH$3)</f>
        <v>#VALUE!</v>
      </c>
      <c r="AN196" s="505" t="e">
        <f aca="false">VLOOKUP($D196,CurveTbl,$AH$4)+VLOOKUP($AG196,$AL$3:$AS$15,6)</f>
        <v>#VALUE!</v>
      </c>
      <c r="AO196" s="505" t="e">
        <f aca="false">VLOOKUP($D196,CurveTbl,$AH$5)</f>
        <v>#VALUE!</v>
      </c>
      <c r="AP196" s="505" t="e">
        <f aca="false">VLOOKUP($D196,CurveTbl,$AH$6)+VLOOKUP($AG196,$AL$3:$AS$15,7)</f>
        <v>#VALUE!</v>
      </c>
      <c r="AQ196" s="369" t="e">
        <f aca="false">VLOOKUP($AG196,$AL$4:$AS$15,3)+VLOOKUP($AG196,$AL$4:$AS$15,5)+($AH$10*VLOOKUP(D196,GRITable,2))</f>
        <v>#VALUE!</v>
      </c>
      <c r="AR196" s="370" t="e">
        <f aca="false">VLOOKUP($AG196,$AL$4:$AS$15,4)</f>
        <v>#VALUE!</v>
      </c>
      <c r="AS196" s="369" t="e">
        <f aca="false">(AL196+AM196+AN196)</f>
        <v>#VALUE!</v>
      </c>
      <c r="AT196" s="370" t="e">
        <f aca="false">VLOOKUP(D196,CurveTbl,$AK$6)</f>
        <v>#VALUE!</v>
      </c>
      <c r="AU196" s="370" t="e">
        <f aca="false">(1+$AT196/2)^(-2*($D196-$G$5)/365.25)*$AF196</f>
        <v>#VALUE!</v>
      </c>
      <c r="AV196" s="506" t="e">
        <f aca="false">ROUND((F196/(1-AR196))-F196,0)*AF196*AH196*AU196</f>
        <v>#VALUE!</v>
      </c>
      <c r="AW196" s="370" t="e">
        <f aca="false">VLOOKUP($D196,CurveTbl,$AK$8)</f>
        <v>#VALUE!</v>
      </c>
      <c r="AX196" s="370" t="e">
        <f aca="false">VLOOKUP($D196,CurveTbl,$AH$7)</f>
        <v>#VALUE!</v>
      </c>
      <c r="AY196" s="370" t="e">
        <f aca="false">VLOOKUP($D196,CurveTbl,$AH$8)</f>
        <v>#VALUE!</v>
      </c>
      <c r="AZ196" s="370"/>
      <c r="BA196" s="507"/>
      <c r="BB196" s="505" t="e">
        <f aca="false">$H196-$BV196</f>
        <v>#VALUE!</v>
      </c>
      <c r="BC196" s="505" t="e">
        <f aca="false">I196-BW196</f>
        <v>#VALUE!</v>
      </c>
      <c r="BD196" s="370" t="e">
        <f aca="false">N196-BX196</f>
        <v>#VALUE!</v>
      </c>
      <c r="BE196" s="370" t="e">
        <f aca="false">O196-BY196</f>
        <v>#VALUE!</v>
      </c>
      <c r="BF196" s="370" t="e">
        <f aca="false">xSPRDOPT($BW196,$BV196,$CG196,0,$BY196,$BX196,$BZ196,$AJ196,1,4)*$CB196</f>
        <v>#NAME?</v>
      </c>
      <c r="BG196" s="370" t="e">
        <f aca="false">xSPRDOPT($BW196,$BV196,$CG196,0,$BY196,$BX196,$BZ196,$AJ196,1,3)*$CB196</f>
        <v>#NAME?</v>
      </c>
      <c r="BH196" s="370" t="e">
        <f aca="false">IF(OR(BF196&lt;&gt;0,BG196&lt;&gt;0),xSPRDOPT($BW196,$BV196,$CG196,0,$BY196,$BX196,$BZ196,$AJ196,1,12)*$CB196,0)</f>
        <v>#NAME?</v>
      </c>
      <c r="BI196" s="370" t="e">
        <f aca="false">xSPRDOPT($BW196,$BV196,$CG196,2*LN(1+CA196/2),$BY196,$BX196,$BZ196,$AJ196,1,9)</f>
        <v>#NAME?</v>
      </c>
      <c r="BJ196" s="370" t="e">
        <f aca="false">xSPRDOPT($BW196,$BV196,$CG196,0,$BY196,$BX196,$BZ196,$AJ196,1,6)*$CB196</f>
        <v>#NAME?</v>
      </c>
      <c r="BK196" s="370" t="e">
        <f aca="false">xSPRDOPT($BW196,$BV196,$CG196,0,$BY196,$BX196,$BZ196,$AJ196,1,5)*$CB196</f>
        <v>#NAME?</v>
      </c>
      <c r="BL196" s="370" t="e">
        <f aca="false">xSPRDOPT(BW196,BV196,CG196,0,BY196,BX196,BZ196,AJ196,1,2)*CB196</f>
        <v>#NAME?</v>
      </c>
      <c r="BM196" s="370" t="e">
        <f aca="false">xSPRDOPT(BW196,BV196,CG196,0,BY196,BX196,BZ196,AJ196,1,1)*CB196</f>
        <v>#NAME?</v>
      </c>
      <c r="BN196" s="370" t="e">
        <f aca="false">IF(AH196&lt;&gt;0,xSPRDOPT($BW196,$BV196,$CG196,2*LN(1+CA196/2),$BY196,$BX196,$BZ196,$AJ196,1,8)+(AJ196/365.25)*CH196/AH196,0)</f>
        <v>#VALUE!</v>
      </c>
      <c r="BO196" s="370" t="e">
        <f aca="false">xSPRDOPT($BW196,$BV196,$CG196,0,$BY196,$BX196,$BZ196,$AJ196,1,0)</f>
        <v>#NAME?</v>
      </c>
      <c r="BP196" s="370"/>
      <c r="BQ196" s="370"/>
      <c r="BR196" s="370"/>
      <c r="BS196" s="370"/>
      <c r="BV196" s="508" t="n">
        <v>4.38056265984655</v>
      </c>
      <c r="BW196" s="369" t="n">
        <v>5.2995</v>
      </c>
      <c r="BX196" s="370" t="n">
        <v>0.171881222749833</v>
      </c>
      <c r="BY196" s="370" t="n">
        <v>0.171881222749833</v>
      </c>
      <c r="BZ196" s="370" t="n">
        <v>1</v>
      </c>
      <c r="CA196" s="370" t="n">
        <v>0.0641345151017347</v>
      </c>
      <c r="CB196" s="370" t="n">
        <v>0.398245142693637</v>
      </c>
      <c r="CC196" s="505" t="n">
        <v>0.0225</v>
      </c>
      <c r="CD196" s="505" t="n">
        <v>0.01</v>
      </c>
      <c r="CE196" s="505" t="n">
        <v>1.05</v>
      </c>
      <c r="CF196" s="505" t="n">
        <v>0</v>
      </c>
      <c r="CG196" s="505" t="n">
        <v>0.0364</v>
      </c>
      <c r="CH196" s="505" t="n">
        <v>4.55182250744546</v>
      </c>
      <c r="CI196" s="505" t="n">
        <v>4.2495</v>
      </c>
      <c r="CJ196" s="505"/>
      <c r="CK196" s="505"/>
      <c r="CL196" s="505"/>
      <c r="CM196" s="505"/>
    </row>
    <row r="197" customFormat="false" ht="12.75" hidden="false" customHeight="false" outlineLevel="0" collapsed="false">
      <c r="A197" s="500"/>
      <c r="B197" s="500"/>
      <c r="D197" s="361" t="e">
        <f aca="false">D196+AH196</f>
        <v>#VALUE!</v>
      </c>
      <c r="F197" s="362" t="e">
        <f aca="false">VLOOKUP(AG197,$AL$4:$AS$15,2)</f>
        <v>#VALUE!</v>
      </c>
      <c r="G197" s="362" t="e">
        <f aca="false">F197*$AU197</f>
        <v>#VALUE!</v>
      </c>
      <c r="H197" s="363" t="e">
        <f aca="false">(AL197+AM197+AN197)/(1-(AR197))</f>
        <v>#VALUE!</v>
      </c>
      <c r="I197" s="363" t="e">
        <f aca="false">(AL197+AO197+AP197)</f>
        <v>#VALUE!</v>
      </c>
      <c r="K197" s="363" t="e">
        <f aca="false">MAX(((I197-H197)-AQ197)*AU197*AH197,0)</f>
        <v>#VALUE!</v>
      </c>
      <c r="L197" s="501" t="e">
        <f aca="false">MAX(Q197-K197,0)</f>
        <v>#VALUE!</v>
      </c>
      <c r="N197" s="502" t="e">
        <f aca="false">SQRT(($AX197^2*($AH197/2)+$AW197^2*$AI197)/(($AH197/2)+$AI197))</f>
        <v>#VALUE!</v>
      </c>
      <c r="O197" s="502" t="e">
        <f aca="false">SQRT(($AY197^2*($AH197/2)+$AW197^2*$AI197)/(($AH197/2)+$AI197))</f>
        <v>#VALUE!</v>
      </c>
      <c r="P197" s="371" t="e">
        <f aca="false">(VLOOKUP(AI197,CorrelationTwo,2)*(AW197^2)*AI197+VLOOKUP(D197,CorrelationOne,$AK$9)*AX197*AY197*(AH197/2))/((AI197+(AH197/2))*O197*N197)*AF197</f>
        <v>#VALUE!</v>
      </c>
      <c r="Q197" s="501" t="e">
        <f aca="false">xSPRDOPT(I197,H197,AQ197,0,O197,N197,P197,D197-$G$5,1,0)*AH197*AU197</f>
        <v>#VALUE!</v>
      </c>
      <c r="R197" s="501"/>
      <c r="S197" s="365" t="e">
        <f aca="false">-T197/(1-AR197)</f>
        <v>#VALUE!</v>
      </c>
      <c r="T197" s="365" t="e">
        <f aca="false">xSPRDOPT(I197,H197,AQ197,AT197,O197,N197,P197,D197-$G$5,1,1)*AF197*F197*AH197</f>
        <v>#VALUE!</v>
      </c>
      <c r="U197" s="501"/>
      <c r="V197" s="503" t="e">
        <f aca="false">VLOOKUP($AG197,$AL$4:$AS$15,8)*AH197*AU197</f>
        <v>#VALUE!</v>
      </c>
      <c r="W197" s="503"/>
      <c r="X197" s="504" t="e">
        <f aca="false">((BM197*BC197)+(BL197*BB197))*AH197*F197</f>
        <v>#VALUE!</v>
      </c>
      <c r="Y197" s="504" t="e">
        <f aca="false">($F197*$AH197)*((($BG197/2)*($BC197)^2)+(($BF197/2)*($BB197)^2)+($BH197*$BC197*$BB197))</f>
        <v>#VALUE!</v>
      </c>
      <c r="Z197" s="504" t="e">
        <f aca="false">($BI197*$F197*$AH197*($G$5-$BV$5))/365.25</f>
        <v>#VALUE!</v>
      </c>
      <c r="AA197" s="504" t="e">
        <f aca="false">(($BK197*$BE197)+($BJ197*$BD197))*$F197*$AH197*$AF197</f>
        <v>#VALUE!</v>
      </c>
      <c r="AB197" s="504" t="e">
        <f aca="false">BN197*(AT197-CA197)*F197*AH197</f>
        <v>#VALUE!</v>
      </c>
      <c r="AC197" s="504" t="e">
        <f aca="false">BO197*CB197*F197*AH197*CA197*($G$5-$BV$5)/365.25</f>
        <v>#NAME?</v>
      </c>
      <c r="AF197" s="378" t="e">
        <f aca="false">IF(AND(D197&gt;=$G$7,D197&lt;=$G$8),1,0)</f>
        <v>#VALUE!</v>
      </c>
      <c r="AG197" s="378" t="e">
        <f aca="false">MONTH(D197)</f>
        <v>#VALUE!</v>
      </c>
      <c r="AH197" s="378" t="e">
        <f aca="false">(EOMONTH(D197,0)-EOMONTH(D197-DAY(D197),0))*AF197</f>
        <v>#VALUE!</v>
      </c>
      <c r="AI197" s="378" t="e">
        <f aca="false">AI196+AH196</f>
        <v>#VALUE!</v>
      </c>
      <c r="AJ197" s="378" t="e">
        <f aca="false">D197-$BV$5</f>
        <v>#VALUE!</v>
      </c>
      <c r="AL197" s="369" t="e">
        <f aca="false">VLOOKUP($D197,CurveTbl,$AK$4)</f>
        <v>#VALUE!</v>
      </c>
      <c r="AM197" s="505" t="e">
        <f aca="false">VLOOKUP($D197,CurveTbl,$AH$3)</f>
        <v>#VALUE!</v>
      </c>
      <c r="AN197" s="505" t="e">
        <f aca="false">VLOOKUP($D197,CurveTbl,$AH$4)+VLOOKUP($AG197,$AL$3:$AS$15,6)</f>
        <v>#VALUE!</v>
      </c>
      <c r="AO197" s="505" t="e">
        <f aca="false">VLOOKUP($D197,CurveTbl,$AH$5)</f>
        <v>#VALUE!</v>
      </c>
      <c r="AP197" s="505" t="e">
        <f aca="false">VLOOKUP($D197,CurveTbl,$AH$6)+VLOOKUP($AG197,$AL$3:$AS$15,7)</f>
        <v>#VALUE!</v>
      </c>
      <c r="AQ197" s="369" t="e">
        <f aca="false">VLOOKUP($AG197,$AL$4:$AS$15,3)+VLOOKUP($AG197,$AL$4:$AS$15,5)+($AH$10*VLOOKUP(D197,GRITable,2))</f>
        <v>#VALUE!</v>
      </c>
      <c r="AR197" s="370" t="e">
        <f aca="false">VLOOKUP($AG197,$AL$4:$AS$15,4)</f>
        <v>#VALUE!</v>
      </c>
      <c r="AS197" s="369" t="e">
        <f aca="false">(AL197+AM197+AN197)</f>
        <v>#VALUE!</v>
      </c>
      <c r="AT197" s="370" t="e">
        <f aca="false">VLOOKUP(D197,CurveTbl,$AK$6)</f>
        <v>#VALUE!</v>
      </c>
      <c r="AU197" s="370" t="e">
        <f aca="false">(1+$AT197/2)^(-2*($D197-$G$5)/365.25)*$AF197</f>
        <v>#VALUE!</v>
      </c>
      <c r="AV197" s="506" t="e">
        <f aca="false">ROUND((F197/(1-AR197))-F197,0)*AF197*AH197*AU197</f>
        <v>#VALUE!</v>
      </c>
      <c r="AW197" s="370" t="e">
        <f aca="false">VLOOKUP($D197,CurveTbl,$AK$8)</f>
        <v>#VALUE!</v>
      </c>
      <c r="AX197" s="370" t="e">
        <f aca="false">VLOOKUP($D197,CurveTbl,$AH$7)</f>
        <v>#VALUE!</v>
      </c>
      <c r="AY197" s="370" t="e">
        <f aca="false">VLOOKUP($D197,CurveTbl,$AH$8)</f>
        <v>#VALUE!</v>
      </c>
      <c r="AZ197" s="370"/>
      <c r="BA197" s="507"/>
      <c r="BB197" s="505" t="e">
        <f aca="false">$H197-$BV197</f>
        <v>#VALUE!</v>
      </c>
      <c r="BC197" s="505" t="e">
        <f aca="false">I197-BW197</f>
        <v>#VALUE!</v>
      </c>
      <c r="BD197" s="370" t="e">
        <f aca="false">N197-BX197</f>
        <v>#VALUE!</v>
      </c>
      <c r="BE197" s="370" t="e">
        <f aca="false">O197-BY197</f>
        <v>#VALUE!</v>
      </c>
      <c r="BF197" s="370" t="e">
        <f aca="false">xSPRDOPT($BW197,$BV197,$CG197,0,$BY197,$BX197,$BZ197,$AJ197,1,4)*$CB197</f>
        <v>#NAME?</v>
      </c>
      <c r="BG197" s="370" t="e">
        <f aca="false">xSPRDOPT($BW197,$BV197,$CG197,0,$BY197,$BX197,$BZ197,$AJ197,1,3)*$CB197</f>
        <v>#NAME?</v>
      </c>
      <c r="BH197" s="370" t="e">
        <f aca="false">IF(OR(BF197&lt;&gt;0,BG197&lt;&gt;0),xSPRDOPT($BW197,$BV197,$CG197,0,$BY197,$BX197,$BZ197,$AJ197,1,12)*$CB197,0)</f>
        <v>#NAME?</v>
      </c>
      <c r="BI197" s="370" t="e">
        <f aca="false">xSPRDOPT($BW197,$BV197,$CG197,2*LN(1+CA197/2),$BY197,$BX197,$BZ197,$AJ197,1,9)</f>
        <v>#NAME?</v>
      </c>
      <c r="BJ197" s="370" t="e">
        <f aca="false">xSPRDOPT($BW197,$BV197,$CG197,0,$BY197,$BX197,$BZ197,$AJ197,1,6)*$CB197</f>
        <v>#NAME?</v>
      </c>
      <c r="BK197" s="370" t="e">
        <f aca="false">xSPRDOPT($BW197,$BV197,$CG197,0,$BY197,$BX197,$BZ197,$AJ197,1,5)*$CB197</f>
        <v>#NAME?</v>
      </c>
      <c r="BL197" s="370" t="e">
        <f aca="false">xSPRDOPT(BW197,BV197,CG197,0,BY197,BX197,BZ197,AJ197,1,2)*CB197</f>
        <v>#NAME?</v>
      </c>
      <c r="BM197" s="370" t="e">
        <f aca="false">xSPRDOPT(BW197,BV197,CG197,0,BY197,BX197,BZ197,AJ197,1,1)*CB197</f>
        <v>#NAME?</v>
      </c>
      <c r="BN197" s="370" t="e">
        <f aca="false">IF(AH197&lt;&gt;0,xSPRDOPT($BW197,$BV197,$CG197,2*LN(1+CA197/2),$BY197,$BX197,$BZ197,$AJ197,1,8)+(AJ197/365.25)*CH197/AH197,0)</f>
        <v>#VALUE!</v>
      </c>
      <c r="BO197" s="370" t="e">
        <f aca="false">xSPRDOPT($BW197,$BV197,$CG197,0,$BY197,$BX197,$BZ197,$AJ197,1,0)</f>
        <v>#NAME?</v>
      </c>
      <c r="BP197" s="370"/>
      <c r="BQ197" s="370"/>
      <c r="BR197" s="370"/>
      <c r="BS197" s="370"/>
      <c r="BV197" s="508" t="n">
        <v>4.41636828644501</v>
      </c>
      <c r="BW197" s="369" t="n">
        <v>5.3395</v>
      </c>
      <c r="BX197" s="370" t="n">
        <v>0.1723115429742</v>
      </c>
      <c r="BY197" s="370" t="n">
        <v>0.1723115429742</v>
      </c>
      <c r="BZ197" s="370" t="n">
        <v>1</v>
      </c>
      <c r="CA197" s="370" t="n">
        <v>0.064175059214846</v>
      </c>
      <c r="CB197" s="370" t="n">
        <v>0.395888901732299</v>
      </c>
      <c r="CC197" s="505" t="n">
        <v>0.0175</v>
      </c>
      <c r="CD197" s="505" t="n">
        <v>0.01</v>
      </c>
      <c r="CE197" s="505" t="n">
        <v>1.05</v>
      </c>
      <c r="CF197" s="505" t="n">
        <v>0</v>
      </c>
      <c r="CG197" s="505" t="n">
        <v>0.0364</v>
      </c>
      <c r="CH197" s="505" t="n">
        <v>4.52489138012966</v>
      </c>
      <c r="CI197" s="505" t="n">
        <v>4.2895</v>
      </c>
      <c r="CJ197" s="505"/>
      <c r="CK197" s="505"/>
      <c r="CL197" s="505"/>
      <c r="CM197" s="505"/>
    </row>
    <row r="198" customFormat="false" ht="12.75" hidden="false" customHeight="false" outlineLevel="0" collapsed="false">
      <c r="A198" s="500"/>
      <c r="B198" s="500"/>
      <c r="D198" s="361" t="e">
        <f aca="false">D197+AH197</f>
        <v>#VALUE!</v>
      </c>
      <c r="F198" s="362" t="e">
        <f aca="false">VLOOKUP(AG198,$AL$4:$AS$15,2)</f>
        <v>#VALUE!</v>
      </c>
      <c r="G198" s="362" t="e">
        <f aca="false">F198*$AU198</f>
        <v>#VALUE!</v>
      </c>
      <c r="H198" s="363" t="e">
        <f aca="false">(AL198+AM198+AN198)/(1-(AR198))</f>
        <v>#VALUE!</v>
      </c>
      <c r="I198" s="363" t="e">
        <f aca="false">(AL198+AO198+AP198)</f>
        <v>#VALUE!</v>
      </c>
      <c r="K198" s="363" t="e">
        <f aca="false">MAX(((I198-H198)-AQ198)*AU198*AH198,0)</f>
        <v>#VALUE!</v>
      </c>
      <c r="L198" s="501" t="e">
        <f aca="false">MAX(Q198-K198,0)</f>
        <v>#VALUE!</v>
      </c>
      <c r="N198" s="502" t="e">
        <f aca="false">SQRT(($AX198^2*($AH198/2)+$AW198^2*$AI198)/(($AH198/2)+$AI198))</f>
        <v>#VALUE!</v>
      </c>
      <c r="O198" s="502" t="e">
        <f aca="false">SQRT(($AY198^2*($AH198/2)+$AW198^2*$AI198)/(($AH198/2)+$AI198))</f>
        <v>#VALUE!</v>
      </c>
      <c r="P198" s="371" t="e">
        <f aca="false">(VLOOKUP(AI198,CorrelationTwo,2)*(AW198^2)*AI198+VLOOKUP(D198,CorrelationOne,$AK$9)*AX198*AY198*(AH198/2))/((AI198+(AH198/2))*O198*N198)*AF198</f>
        <v>#VALUE!</v>
      </c>
      <c r="Q198" s="501" t="e">
        <f aca="false">xSPRDOPT(I198,H198,AQ198,0,O198,N198,P198,D198-$G$5,1,0)*AH198*AU198</f>
        <v>#VALUE!</v>
      </c>
      <c r="R198" s="501"/>
      <c r="S198" s="365" t="e">
        <f aca="false">-T198/(1-AR198)</f>
        <v>#VALUE!</v>
      </c>
      <c r="T198" s="365" t="e">
        <f aca="false">xSPRDOPT(I198,H198,AQ198,AT198,O198,N198,P198,D198-$G$5,1,1)*AF198*F198*AH198</f>
        <v>#VALUE!</v>
      </c>
      <c r="U198" s="501"/>
      <c r="V198" s="503" t="e">
        <f aca="false">VLOOKUP($AG198,$AL$4:$AS$15,8)*AH198*AU198</f>
        <v>#VALUE!</v>
      </c>
      <c r="W198" s="503"/>
      <c r="X198" s="504" t="e">
        <f aca="false">((BM198*BC198)+(BL198*BB198))*AH198*F198</f>
        <v>#VALUE!</v>
      </c>
      <c r="Y198" s="504" t="e">
        <f aca="false">($F198*$AH198)*((($BG198/2)*($BC198)^2)+(($BF198/2)*($BB198)^2)+($BH198*$BC198*$BB198))</f>
        <v>#VALUE!</v>
      </c>
      <c r="Z198" s="504" t="e">
        <f aca="false">($BI198*$F198*$AH198*($G$5-$BV$5))/365.25</f>
        <v>#VALUE!</v>
      </c>
      <c r="AA198" s="504" t="e">
        <f aca="false">(($BK198*$BE198)+($BJ198*$BD198))*$F198*$AH198*$AF198</f>
        <v>#VALUE!</v>
      </c>
      <c r="AB198" s="504" t="e">
        <f aca="false">BN198*(AT198-CA198)*F198*AH198</f>
        <v>#VALUE!</v>
      </c>
      <c r="AC198" s="504" t="e">
        <f aca="false">BO198*CB198*F198*AH198*CA198*($G$5-$BV$5)/365.25</f>
        <v>#NAME?</v>
      </c>
      <c r="AF198" s="378" t="e">
        <f aca="false">IF(AND(D198&gt;=$G$7,D198&lt;=$G$8),1,0)</f>
        <v>#VALUE!</v>
      </c>
      <c r="AG198" s="378" t="e">
        <f aca="false">MONTH(D198)</f>
        <v>#VALUE!</v>
      </c>
      <c r="AH198" s="378" t="e">
        <f aca="false">(EOMONTH(D198,0)-EOMONTH(D198-DAY(D198),0))*AF198</f>
        <v>#VALUE!</v>
      </c>
      <c r="AI198" s="378" t="e">
        <f aca="false">AI197+AH197</f>
        <v>#VALUE!</v>
      </c>
      <c r="AJ198" s="378" t="e">
        <f aca="false">D198-$BV$5</f>
        <v>#VALUE!</v>
      </c>
      <c r="AL198" s="369" t="e">
        <f aca="false">VLOOKUP($D198,CurveTbl,$AK$4)</f>
        <v>#VALUE!</v>
      </c>
      <c r="AM198" s="505" t="e">
        <f aca="false">VLOOKUP($D198,CurveTbl,$AH$3)</f>
        <v>#VALUE!</v>
      </c>
      <c r="AN198" s="505" t="e">
        <f aca="false">VLOOKUP($D198,CurveTbl,$AH$4)+VLOOKUP($AG198,$AL$3:$AS$15,6)</f>
        <v>#VALUE!</v>
      </c>
      <c r="AO198" s="505" t="e">
        <f aca="false">VLOOKUP($D198,CurveTbl,$AH$5)</f>
        <v>#VALUE!</v>
      </c>
      <c r="AP198" s="505" t="e">
        <f aca="false">VLOOKUP($D198,CurveTbl,$AH$6)+VLOOKUP($AG198,$AL$3:$AS$15,7)</f>
        <v>#VALUE!</v>
      </c>
      <c r="AQ198" s="369" t="e">
        <f aca="false">VLOOKUP($AG198,$AL$4:$AS$15,3)+VLOOKUP($AG198,$AL$4:$AS$15,5)+($AH$10*VLOOKUP(D198,GRITable,2))</f>
        <v>#VALUE!</v>
      </c>
      <c r="AR198" s="370" t="e">
        <f aca="false">VLOOKUP($AG198,$AL$4:$AS$15,4)</f>
        <v>#VALUE!</v>
      </c>
      <c r="AS198" s="369" t="e">
        <f aca="false">(AL198+AM198+AN198)</f>
        <v>#VALUE!</v>
      </c>
      <c r="AT198" s="370" t="e">
        <f aca="false">VLOOKUP(D198,CurveTbl,$AK$6)</f>
        <v>#VALUE!</v>
      </c>
      <c r="AU198" s="370" t="e">
        <f aca="false">(1+$AT198/2)^(-2*($D198-$G$5)/365.25)*$AF198</f>
        <v>#VALUE!</v>
      </c>
      <c r="AV198" s="506" t="e">
        <f aca="false">ROUND((F198/(1-AR198))-F198,0)*AF198*AH198*AU198</f>
        <v>#VALUE!</v>
      </c>
      <c r="AW198" s="370" t="e">
        <f aca="false">VLOOKUP($D198,CurveTbl,$AK$8)</f>
        <v>#VALUE!</v>
      </c>
      <c r="AX198" s="370" t="e">
        <f aca="false">VLOOKUP($D198,CurveTbl,$AH$7)</f>
        <v>#VALUE!</v>
      </c>
      <c r="AY198" s="370" t="e">
        <f aca="false">VLOOKUP($D198,CurveTbl,$AH$8)</f>
        <v>#VALUE!</v>
      </c>
      <c r="AZ198" s="370"/>
      <c r="BA198" s="507"/>
      <c r="BB198" s="505" t="e">
        <f aca="false">$H198-$BV198</f>
        <v>#VALUE!</v>
      </c>
      <c r="BC198" s="505" t="e">
        <f aca="false">I198-BW198</f>
        <v>#VALUE!</v>
      </c>
      <c r="BD198" s="370" t="e">
        <f aca="false">N198-BX198</f>
        <v>#VALUE!</v>
      </c>
      <c r="BE198" s="370" t="e">
        <f aca="false">O198-BY198</f>
        <v>#VALUE!</v>
      </c>
      <c r="BF198" s="370" t="e">
        <f aca="false">xSPRDOPT($BW198,$BV198,$CG198,0,$BY198,$BX198,$BZ198,$AJ198,1,4)*$CB198</f>
        <v>#NAME?</v>
      </c>
      <c r="BG198" s="370" t="e">
        <f aca="false">xSPRDOPT($BW198,$BV198,$CG198,0,$BY198,$BX198,$BZ198,$AJ198,1,3)*$CB198</f>
        <v>#NAME?</v>
      </c>
      <c r="BH198" s="370" t="e">
        <f aca="false">IF(OR(BF198&lt;&gt;0,BG198&lt;&gt;0),xSPRDOPT($BW198,$BV198,$CG198,0,$BY198,$BX198,$BZ198,$AJ198,1,12)*$CB198,0)</f>
        <v>#NAME?</v>
      </c>
      <c r="BI198" s="370" t="e">
        <f aca="false">xSPRDOPT($BW198,$BV198,$CG198,2*LN(1+CA198/2),$BY198,$BX198,$BZ198,$AJ198,1,9)</f>
        <v>#NAME?</v>
      </c>
      <c r="BJ198" s="370" t="e">
        <f aca="false">xSPRDOPT($BW198,$BV198,$CG198,0,$BY198,$BX198,$BZ198,$AJ198,1,6)*$CB198</f>
        <v>#NAME?</v>
      </c>
      <c r="BK198" s="370" t="e">
        <f aca="false">xSPRDOPT($BW198,$BV198,$CG198,0,$BY198,$BX198,$BZ198,$AJ198,1,5)*$CB198</f>
        <v>#NAME?</v>
      </c>
      <c r="BL198" s="370" t="e">
        <f aca="false">xSPRDOPT(BW198,BV198,CG198,0,BY198,BX198,BZ198,AJ198,1,2)*CB198</f>
        <v>#NAME?</v>
      </c>
      <c r="BM198" s="370" t="e">
        <f aca="false">xSPRDOPT(BW198,BV198,CG198,0,BY198,BX198,BZ198,AJ198,1,1)*CB198</f>
        <v>#NAME?</v>
      </c>
      <c r="BN198" s="370" t="e">
        <f aca="false">IF(AH198&lt;&gt;0,xSPRDOPT($BW198,$BV198,$CG198,2*LN(1+CA198/2),$BY198,$BX198,$BZ198,$AJ198,1,8)+(AJ198/365.25)*CH198/AH198,0)</f>
        <v>#VALUE!</v>
      </c>
      <c r="BO198" s="370" t="e">
        <f aca="false">xSPRDOPT($BW198,$BV198,$CG198,0,$BY198,$BX198,$BZ198,$AJ198,1,0)</f>
        <v>#NAME?</v>
      </c>
      <c r="BP198" s="370"/>
      <c r="BQ198" s="370"/>
      <c r="BR198" s="370"/>
      <c r="BS198" s="370"/>
      <c r="BV198" s="508" t="n">
        <v>4.41125319693095</v>
      </c>
      <c r="BW198" s="369" t="n">
        <v>5.0345</v>
      </c>
      <c r="BX198" s="370" t="n">
        <v>0.172224882112176</v>
      </c>
      <c r="BY198" s="370" t="n">
        <v>0.172224882112176</v>
      </c>
      <c r="BZ198" s="370" t="n">
        <v>1</v>
      </c>
      <c r="CA198" s="370" t="n">
        <v>0.0642156033285031</v>
      </c>
      <c r="CB198" s="370" t="n">
        <v>0.393543981797907</v>
      </c>
      <c r="CC198" s="505" t="n">
        <v>0.0175</v>
      </c>
      <c r="CD198" s="505" t="n">
        <v>0.01</v>
      </c>
      <c r="CE198" s="505" t="n">
        <v>0.75</v>
      </c>
      <c r="CF198" s="505" t="n">
        <v>0</v>
      </c>
      <c r="CG198" s="505" t="n">
        <v>0.0364</v>
      </c>
      <c r="CH198" s="505" t="n">
        <v>4.35298998266664</v>
      </c>
      <c r="CI198" s="505" t="n">
        <v>4.2845</v>
      </c>
      <c r="CJ198" s="505"/>
      <c r="CK198" s="505"/>
      <c r="CL198" s="505"/>
      <c r="CM198" s="505"/>
    </row>
    <row r="199" customFormat="false" ht="12.75" hidden="false" customHeight="false" outlineLevel="0" collapsed="false">
      <c r="A199" s="500"/>
      <c r="B199" s="500"/>
      <c r="D199" s="361" t="e">
        <f aca="false">D198+AH198</f>
        <v>#VALUE!</v>
      </c>
      <c r="F199" s="362" t="e">
        <f aca="false">VLOOKUP(AG199,$AL$4:$AS$15,2)</f>
        <v>#VALUE!</v>
      </c>
      <c r="G199" s="362" t="e">
        <f aca="false">F199*$AU199</f>
        <v>#VALUE!</v>
      </c>
      <c r="H199" s="363" t="e">
        <f aca="false">(AL199+AM199+AN199)/(1-(AR199))</f>
        <v>#VALUE!</v>
      </c>
      <c r="I199" s="363" t="e">
        <f aca="false">(AL199+AO199+AP199)</f>
        <v>#VALUE!</v>
      </c>
      <c r="K199" s="363" t="e">
        <f aca="false">MAX(((I199-H199)-AQ199)*AU199*AH199,0)</f>
        <v>#VALUE!</v>
      </c>
      <c r="L199" s="501" t="e">
        <f aca="false">MAX(Q199-K199,0)</f>
        <v>#VALUE!</v>
      </c>
      <c r="N199" s="502" t="e">
        <f aca="false">SQRT(($AX199^2*($AH199/2)+$AW199^2*$AI199)/(($AH199/2)+$AI199))</f>
        <v>#VALUE!</v>
      </c>
      <c r="O199" s="502" t="e">
        <f aca="false">SQRT(($AY199^2*($AH199/2)+$AW199^2*$AI199)/(($AH199/2)+$AI199))</f>
        <v>#VALUE!</v>
      </c>
      <c r="P199" s="371" t="e">
        <f aca="false">(VLOOKUP(AI199,CorrelationTwo,2)*(AW199^2)*AI199+VLOOKUP(D199,CorrelationOne,$AK$9)*AX199*AY199*(AH199/2))/((AI199+(AH199/2))*O199*N199)*AF199</f>
        <v>#VALUE!</v>
      </c>
      <c r="Q199" s="501" t="e">
        <f aca="false">xSPRDOPT(I199,H199,AQ199,0,O199,N199,P199,D199-$G$5,1,0)*AH199*AU199</f>
        <v>#VALUE!</v>
      </c>
      <c r="R199" s="501"/>
      <c r="S199" s="365" t="e">
        <f aca="false">-T199/(1-AR199)</f>
        <v>#VALUE!</v>
      </c>
      <c r="T199" s="365" t="e">
        <f aca="false">xSPRDOPT(I199,H199,AQ199,AT199,O199,N199,P199,D199-$G$5,1,1)*AF199*F199*AH199</f>
        <v>#VALUE!</v>
      </c>
      <c r="U199" s="501"/>
      <c r="V199" s="503" t="e">
        <f aca="false">VLOOKUP($AG199,$AL$4:$AS$15,8)*AH199*AU199</f>
        <v>#VALUE!</v>
      </c>
      <c r="W199" s="503"/>
      <c r="X199" s="504" t="e">
        <f aca="false">((BM199*BC199)+(BL199*BB199))*AH199*F199</f>
        <v>#VALUE!</v>
      </c>
      <c r="Y199" s="504" t="e">
        <f aca="false">($F199*$AH199)*((($BG199/2)*($BC199)^2)+(($BF199/2)*($BB199)^2)+($BH199*$BC199*$BB199))</f>
        <v>#VALUE!</v>
      </c>
      <c r="Z199" s="504" t="e">
        <f aca="false">($BI199*$F199*$AH199*($G$5-$BV$5))/365.25</f>
        <v>#VALUE!</v>
      </c>
      <c r="AA199" s="504" t="e">
        <f aca="false">(($BK199*$BE199)+($BJ199*$BD199))*$F199*$AH199*$AF199</f>
        <v>#VALUE!</v>
      </c>
      <c r="AB199" s="504" t="e">
        <f aca="false">BN199*(AT199-CA199)*F199*AH199</f>
        <v>#VALUE!</v>
      </c>
      <c r="AC199" s="504" t="e">
        <f aca="false">BO199*CB199*F199*AH199*CA199*($G$5-$BV$5)/365.25</f>
        <v>#NAME?</v>
      </c>
      <c r="AF199" s="378" t="e">
        <f aca="false">IF(AND(D199&gt;=$G$7,D199&lt;=$G$8),1,0)</f>
        <v>#VALUE!</v>
      </c>
      <c r="AG199" s="378" t="e">
        <f aca="false">MONTH(D199)</f>
        <v>#VALUE!</v>
      </c>
      <c r="AH199" s="378" t="e">
        <f aca="false">(EOMONTH(D199,0)-EOMONTH(D199-DAY(D199),0))*AF199</f>
        <v>#VALUE!</v>
      </c>
      <c r="AI199" s="378" t="e">
        <f aca="false">AI198+AH198</f>
        <v>#VALUE!</v>
      </c>
      <c r="AJ199" s="378" t="e">
        <f aca="false">D199-$BV$5</f>
        <v>#VALUE!</v>
      </c>
      <c r="AL199" s="369" t="e">
        <f aca="false">VLOOKUP($D199,CurveTbl,$AK$4)</f>
        <v>#VALUE!</v>
      </c>
      <c r="AM199" s="505" t="e">
        <f aca="false">VLOOKUP($D199,CurveTbl,$AH$3)</f>
        <v>#VALUE!</v>
      </c>
      <c r="AN199" s="505" t="e">
        <f aca="false">VLOOKUP($D199,CurveTbl,$AH$4)+VLOOKUP($AG199,$AL$3:$AS$15,6)</f>
        <v>#VALUE!</v>
      </c>
      <c r="AO199" s="505" t="e">
        <f aca="false">VLOOKUP($D199,CurveTbl,$AH$5)</f>
        <v>#VALUE!</v>
      </c>
      <c r="AP199" s="505" t="e">
        <f aca="false">VLOOKUP($D199,CurveTbl,$AH$6)+VLOOKUP($AG199,$AL$3:$AS$15,7)</f>
        <v>#VALUE!</v>
      </c>
      <c r="AQ199" s="369" t="e">
        <f aca="false">VLOOKUP($AG199,$AL$4:$AS$15,3)+VLOOKUP($AG199,$AL$4:$AS$15,5)+($AH$10*VLOOKUP(D199,GRITable,2))</f>
        <v>#VALUE!</v>
      </c>
      <c r="AR199" s="370" t="e">
        <f aca="false">VLOOKUP($AG199,$AL$4:$AS$15,4)</f>
        <v>#VALUE!</v>
      </c>
      <c r="AS199" s="369" t="e">
        <f aca="false">(AL199+AM199+AN199)</f>
        <v>#VALUE!</v>
      </c>
      <c r="AT199" s="370" t="e">
        <f aca="false">VLOOKUP(D199,CurveTbl,$AK$6)</f>
        <v>#VALUE!</v>
      </c>
      <c r="AU199" s="370" t="e">
        <f aca="false">(1+$AT199/2)^(-2*($D199-$G$5)/365.25)*$AF199</f>
        <v>#VALUE!</v>
      </c>
      <c r="AV199" s="506" t="e">
        <f aca="false">ROUND((F199/(1-AR199))-F199,0)*AF199*AH199*AU199</f>
        <v>#VALUE!</v>
      </c>
      <c r="AW199" s="370" t="e">
        <f aca="false">VLOOKUP($D199,CurveTbl,$AK$8)</f>
        <v>#VALUE!</v>
      </c>
      <c r="AX199" s="370" t="e">
        <f aca="false">VLOOKUP($D199,CurveTbl,$AH$7)</f>
        <v>#VALUE!</v>
      </c>
      <c r="AY199" s="370" t="e">
        <f aca="false">VLOOKUP($D199,CurveTbl,$AH$8)</f>
        <v>#VALUE!</v>
      </c>
      <c r="AZ199" s="370"/>
      <c r="BA199" s="507"/>
      <c r="BB199" s="505" t="e">
        <f aca="false">$H199-$BV199</f>
        <v>#VALUE!</v>
      </c>
      <c r="BC199" s="505" t="e">
        <f aca="false">I199-BW199</f>
        <v>#VALUE!</v>
      </c>
      <c r="BD199" s="370" t="e">
        <f aca="false">N199-BX199</f>
        <v>#VALUE!</v>
      </c>
      <c r="BE199" s="370" t="e">
        <f aca="false">O199-BY199</f>
        <v>#VALUE!</v>
      </c>
      <c r="BF199" s="370" t="e">
        <f aca="false">xSPRDOPT($BW199,$BV199,$CG199,0,$BY199,$BX199,$BZ199,$AJ199,1,4)*$CB199</f>
        <v>#NAME?</v>
      </c>
      <c r="BG199" s="370" t="e">
        <f aca="false">xSPRDOPT($BW199,$BV199,$CG199,0,$BY199,$BX199,$BZ199,$AJ199,1,3)*$CB199</f>
        <v>#NAME?</v>
      </c>
      <c r="BH199" s="370" t="e">
        <f aca="false">IF(OR(BF199&lt;&gt;0,BG199&lt;&gt;0),xSPRDOPT($BW199,$BV199,$CG199,0,$BY199,$BX199,$BZ199,$AJ199,1,12)*$CB199,0)</f>
        <v>#NAME?</v>
      </c>
      <c r="BI199" s="370" t="e">
        <f aca="false">xSPRDOPT($BW199,$BV199,$CG199,2*LN(1+CA199/2),$BY199,$BX199,$BZ199,$AJ199,1,9)</f>
        <v>#NAME?</v>
      </c>
      <c r="BJ199" s="370" t="e">
        <f aca="false">xSPRDOPT($BW199,$BV199,$CG199,0,$BY199,$BX199,$BZ199,$AJ199,1,6)*$CB199</f>
        <v>#NAME?</v>
      </c>
      <c r="BK199" s="370" t="e">
        <f aca="false">xSPRDOPT($BW199,$BV199,$CG199,0,$BY199,$BX199,$BZ199,$AJ199,1,5)*$CB199</f>
        <v>#NAME?</v>
      </c>
      <c r="BL199" s="370" t="e">
        <f aca="false">xSPRDOPT(BW199,BV199,CG199,0,BY199,BX199,BZ199,AJ199,1,2)*CB199</f>
        <v>#NAME?</v>
      </c>
      <c r="BM199" s="370" t="e">
        <f aca="false">xSPRDOPT(BW199,BV199,CG199,0,BY199,BX199,BZ199,AJ199,1,1)*CB199</f>
        <v>#NAME?</v>
      </c>
      <c r="BN199" s="370" t="e">
        <f aca="false">IF(AH199&lt;&gt;0,xSPRDOPT($BW199,$BV199,$CG199,2*LN(1+CA199/2),$BY199,$BX199,$BZ199,$AJ199,1,8)+(AJ199/365.25)*CH199/AH199,0)</f>
        <v>#VALUE!</v>
      </c>
      <c r="BO199" s="370" t="e">
        <f aca="false">xSPRDOPT($BW199,$BV199,$CG199,0,$BY199,$BX199,$BZ199,$AJ199,1,0)</f>
        <v>#NAME?</v>
      </c>
      <c r="BP199" s="370"/>
      <c r="BQ199" s="370"/>
      <c r="BR199" s="370"/>
      <c r="BS199" s="370"/>
      <c r="BV199" s="508" t="n">
        <v>4.44564102564103</v>
      </c>
      <c r="BW199" s="369" t="n">
        <v>4.7595</v>
      </c>
      <c r="BX199" s="370" t="n">
        <v>0.172762222004421</v>
      </c>
      <c r="BY199" s="370" t="n">
        <v>0.172762222004421</v>
      </c>
      <c r="BZ199" s="370" t="n">
        <v>1</v>
      </c>
      <c r="CA199" s="370" t="n">
        <v>0.0642548395680453</v>
      </c>
      <c r="CB199" s="370" t="n">
        <v>0.391285449798555</v>
      </c>
      <c r="CC199" s="505" t="n">
        <v>0.015</v>
      </c>
      <c r="CD199" s="505" t="n">
        <v>0.01</v>
      </c>
      <c r="CE199" s="505" t="n">
        <v>0.45</v>
      </c>
      <c r="CF199" s="505" t="n">
        <v>0</v>
      </c>
      <c r="CG199" s="505" t="n">
        <v>0.0364</v>
      </c>
      <c r="CH199" s="505" t="n">
        <v>4.47227530556255</v>
      </c>
      <c r="CI199" s="505" t="n">
        <v>4.3095</v>
      </c>
      <c r="CJ199" s="505"/>
      <c r="CK199" s="505"/>
      <c r="CL199" s="505"/>
      <c r="CM199" s="505"/>
    </row>
    <row r="200" customFormat="false" ht="12.75" hidden="false" customHeight="false" outlineLevel="0" collapsed="false">
      <c r="A200" s="500"/>
      <c r="B200" s="500"/>
      <c r="D200" s="361" t="e">
        <f aca="false">D199+AH199</f>
        <v>#VALUE!</v>
      </c>
      <c r="F200" s="362" t="e">
        <f aca="false">VLOOKUP(AG200,$AL$4:$AS$15,2)</f>
        <v>#VALUE!</v>
      </c>
      <c r="G200" s="362" t="e">
        <f aca="false">F200*$AU200</f>
        <v>#VALUE!</v>
      </c>
      <c r="H200" s="363" t="e">
        <f aca="false">(AL200+AM200+AN200)/(1-(AR200))</f>
        <v>#VALUE!</v>
      </c>
      <c r="I200" s="363" t="e">
        <f aca="false">(AL200+AO200+AP200)</f>
        <v>#VALUE!</v>
      </c>
      <c r="K200" s="363" t="e">
        <f aca="false">MAX(((I200-H200)-AQ200)*AU200*AH200,0)</f>
        <v>#VALUE!</v>
      </c>
      <c r="L200" s="501" t="e">
        <f aca="false">MAX(Q200-K200,0)</f>
        <v>#VALUE!</v>
      </c>
      <c r="N200" s="502" t="e">
        <f aca="false">SQRT(($AX200^2*($AH200/2)+$AW200^2*$AI200)/(($AH200/2)+$AI200))</f>
        <v>#VALUE!</v>
      </c>
      <c r="O200" s="502" t="e">
        <f aca="false">SQRT(($AY200^2*($AH200/2)+$AW200^2*$AI200)/(($AH200/2)+$AI200))</f>
        <v>#VALUE!</v>
      </c>
      <c r="P200" s="371" t="e">
        <f aca="false">(VLOOKUP(AI200,CorrelationTwo,2)*(AW200^2)*AI200+VLOOKUP(D200,CorrelationOne,$AK$9)*AX200*AY200*(AH200/2))/((AI200+(AH200/2))*O200*N200)*AF200</f>
        <v>#VALUE!</v>
      </c>
      <c r="Q200" s="501" t="e">
        <f aca="false">xSPRDOPT(I200,H200,AQ200,0,O200,N200,P200,D200-$G$5,1,0)*AH200*AU200</f>
        <v>#VALUE!</v>
      </c>
      <c r="R200" s="501"/>
      <c r="S200" s="365" t="e">
        <f aca="false">-T200/(1-AR200)</f>
        <v>#VALUE!</v>
      </c>
      <c r="T200" s="365" t="e">
        <f aca="false">xSPRDOPT(I200,H200,AQ200,AT200,O200,N200,P200,D200-$G$5,1,1)*AF200*F200*AH200</f>
        <v>#VALUE!</v>
      </c>
      <c r="U200" s="501"/>
      <c r="V200" s="503" t="e">
        <f aca="false">VLOOKUP($AG200,$AL$4:$AS$15,8)*AH200*AU200</f>
        <v>#VALUE!</v>
      </c>
      <c r="W200" s="503"/>
      <c r="X200" s="504" t="e">
        <f aca="false">((BM200*BC200)+(BL200*BB200))*AH200*F200</f>
        <v>#VALUE!</v>
      </c>
      <c r="Y200" s="504" t="e">
        <f aca="false">($F200*$AH200)*((($BG200/2)*($BC200)^2)+(($BF200/2)*($BB200)^2)+($BH200*$BC200*$BB200))</f>
        <v>#VALUE!</v>
      </c>
      <c r="Z200" s="504" t="e">
        <f aca="false">($BI200*$F200*$AH200*($G$5-$BV$5))/365.25</f>
        <v>#VALUE!</v>
      </c>
      <c r="AA200" s="504" t="e">
        <f aca="false">(($BK200*$BE200)+($BJ200*$BD200))*$F200*$AH200*$AF200</f>
        <v>#VALUE!</v>
      </c>
      <c r="AB200" s="504" t="e">
        <f aca="false">BN200*(AT200-CA200)*F200*AH200</f>
        <v>#VALUE!</v>
      </c>
      <c r="AC200" s="504" t="e">
        <f aca="false">BO200*CB200*F200*AH200*CA200*($G$5-$BV$5)/365.25</f>
        <v>#NAME?</v>
      </c>
      <c r="AF200" s="378" t="e">
        <f aca="false">IF(AND(D200&gt;=$G$7,D200&lt;=$G$8),1,0)</f>
        <v>#VALUE!</v>
      </c>
      <c r="AG200" s="378" t="e">
        <f aca="false">MONTH(D200)</f>
        <v>#VALUE!</v>
      </c>
      <c r="AH200" s="378" t="e">
        <f aca="false">(EOMONTH(D200,0)-EOMONTH(D200-DAY(D200),0))*AF200</f>
        <v>#VALUE!</v>
      </c>
      <c r="AI200" s="378" t="e">
        <f aca="false">AI199+AH199</f>
        <v>#VALUE!</v>
      </c>
      <c r="AJ200" s="378" t="e">
        <f aca="false">D200-$BV$5</f>
        <v>#VALUE!</v>
      </c>
      <c r="AL200" s="369" t="e">
        <f aca="false">VLOOKUP($D200,CurveTbl,$AK$4)</f>
        <v>#VALUE!</v>
      </c>
      <c r="AM200" s="505" t="e">
        <f aca="false">VLOOKUP($D200,CurveTbl,$AH$3)</f>
        <v>#VALUE!</v>
      </c>
      <c r="AN200" s="505" t="e">
        <f aca="false">VLOOKUP($D200,CurveTbl,$AH$4)+VLOOKUP($AG200,$AL$3:$AS$15,6)</f>
        <v>#VALUE!</v>
      </c>
      <c r="AO200" s="505" t="e">
        <f aca="false">VLOOKUP($D200,CurveTbl,$AH$5)</f>
        <v>#VALUE!</v>
      </c>
      <c r="AP200" s="505" t="e">
        <f aca="false">VLOOKUP($D200,CurveTbl,$AH$6)+VLOOKUP($AG200,$AL$3:$AS$15,7)</f>
        <v>#VALUE!</v>
      </c>
      <c r="AQ200" s="369" t="e">
        <f aca="false">VLOOKUP($AG200,$AL$4:$AS$15,3)+VLOOKUP($AG200,$AL$4:$AS$15,5)+($AH$10*VLOOKUP(D200,GRITable,2))</f>
        <v>#VALUE!</v>
      </c>
      <c r="AR200" s="370" t="e">
        <f aca="false">VLOOKUP($AG200,$AL$4:$AS$15,4)</f>
        <v>#VALUE!</v>
      </c>
      <c r="AS200" s="369" t="e">
        <f aca="false">(AL200+AM200+AN200)</f>
        <v>#VALUE!</v>
      </c>
      <c r="AT200" s="370" t="e">
        <f aca="false">VLOOKUP(D200,CurveTbl,$AK$6)</f>
        <v>#VALUE!</v>
      </c>
      <c r="AU200" s="370" t="e">
        <f aca="false">(1+$AT200/2)^(-2*($D200-$G$5)/365.25)*$AF200</f>
        <v>#VALUE!</v>
      </c>
      <c r="AV200" s="506" t="e">
        <f aca="false">ROUND((F200/(1-AR200))-F200,0)*AF200*AH200*AU200</f>
        <v>#VALUE!</v>
      </c>
      <c r="AW200" s="370" t="e">
        <f aca="false">VLOOKUP($D200,CurveTbl,$AK$8)</f>
        <v>#VALUE!</v>
      </c>
      <c r="AX200" s="370" t="e">
        <f aca="false">VLOOKUP($D200,CurveTbl,$AH$7)</f>
        <v>#VALUE!</v>
      </c>
      <c r="AY200" s="370" t="e">
        <f aca="false">VLOOKUP($D200,CurveTbl,$AH$8)</f>
        <v>#VALUE!</v>
      </c>
      <c r="AZ200" s="370"/>
      <c r="BA200" s="507"/>
      <c r="BB200" s="505" t="e">
        <f aca="false">$H200-$BV200</f>
        <v>#VALUE!</v>
      </c>
      <c r="BC200" s="505" t="e">
        <f aca="false">I200-BW200</f>
        <v>#VALUE!</v>
      </c>
      <c r="BD200" s="370" t="e">
        <f aca="false">N200-BX200</f>
        <v>#VALUE!</v>
      </c>
      <c r="BE200" s="370" t="e">
        <f aca="false">O200-BY200</f>
        <v>#VALUE!</v>
      </c>
      <c r="BF200" s="370" t="e">
        <f aca="false">xSPRDOPT($BW200,$BV200,$CG200,0,$BY200,$BX200,$BZ200,$AJ200,1,4)*$CB200</f>
        <v>#NAME?</v>
      </c>
      <c r="BG200" s="370" t="e">
        <f aca="false">xSPRDOPT($BW200,$BV200,$CG200,0,$BY200,$BX200,$BZ200,$AJ200,1,3)*$CB200</f>
        <v>#NAME?</v>
      </c>
      <c r="BH200" s="370" t="e">
        <f aca="false">IF(OR(BF200&lt;&gt;0,BG200&lt;&gt;0),xSPRDOPT($BW200,$BV200,$CG200,0,$BY200,$BX200,$BZ200,$AJ200,1,12)*$CB200,0)</f>
        <v>#NAME?</v>
      </c>
      <c r="BI200" s="370" t="e">
        <f aca="false">xSPRDOPT($BW200,$BV200,$CG200,2*LN(1+CA200/2),$BY200,$BX200,$BZ200,$AJ200,1,9)</f>
        <v>#NAME?</v>
      </c>
      <c r="BJ200" s="370" t="e">
        <f aca="false">xSPRDOPT($BW200,$BV200,$CG200,0,$BY200,$BX200,$BZ200,$AJ200,1,6)*$CB200</f>
        <v>#NAME?</v>
      </c>
      <c r="BK200" s="370" t="e">
        <f aca="false">xSPRDOPT($BW200,$BV200,$CG200,0,$BY200,$BX200,$BZ200,$AJ200,1,5)*$CB200</f>
        <v>#NAME?</v>
      </c>
      <c r="BL200" s="370" t="e">
        <f aca="false">xSPRDOPT(BW200,BV200,CG200,0,BY200,BX200,BZ200,AJ200,1,2)*CB200</f>
        <v>#NAME?</v>
      </c>
      <c r="BM200" s="370" t="e">
        <f aca="false">xSPRDOPT(BW200,BV200,CG200,0,BY200,BX200,BZ200,AJ200,1,1)*CB200</f>
        <v>#NAME?</v>
      </c>
      <c r="BN200" s="370" t="e">
        <f aca="false">IF(AH200&lt;&gt;0,xSPRDOPT($BW200,$BV200,$CG200,2*LN(1+CA200/2),$BY200,$BX200,$BZ200,$AJ200,1,8)+(AJ200/365.25)*CH200/AH200,0)</f>
        <v>#VALUE!</v>
      </c>
      <c r="BO200" s="370" t="e">
        <f aca="false">xSPRDOPT($BW200,$BV200,$CG200,0,$BY200,$BX200,$BZ200,$AJ200,1,0)</f>
        <v>#NAME?</v>
      </c>
      <c r="BP200" s="370"/>
      <c r="BQ200" s="370"/>
      <c r="BR200" s="370"/>
      <c r="BS200" s="370"/>
      <c r="BV200" s="508" t="n">
        <v>4.58823529411765</v>
      </c>
      <c r="BW200" s="369" t="n">
        <v>4.9115</v>
      </c>
      <c r="BX200" s="370" t="n">
        <v>0.174876007650374</v>
      </c>
      <c r="BY200" s="370" t="n">
        <v>0.174876007650374</v>
      </c>
      <c r="BZ200" s="370" t="n">
        <v>1</v>
      </c>
      <c r="CA200" s="370" t="n">
        <v>0.0642953836827749</v>
      </c>
      <c r="CB200" s="370" t="n">
        <v>0.388962702026481</v>
      </c>
      <c r="CC200" s="505" t="n">
        <v>0.016</v>
      </c>
      <c r="CD200" s="505" t="n">
        <v>0.0075</v>
      </c>
      <c r="CE200" s="505" t="n">
        <v>0.45</v>
      </c>
      <c r="CF200" s="505" t="n">
        <v>0</v>
      </c>
      <c r="CG200" s="505" t="n">
        <v>0.0364</v>
      </c>
      <c r="CH200" s="505" t="n">
        <v>4.3023164471149</v>
      </c>
      <c r="CI200" s="505" t="n">
        <v>4.4615</v>
      </c>
      <c r="CJ200" s="505"/>
      <c r="CK200" s="505"/>
      <c r="CL200" s="505"/>
      <c r="CM200" s="505"/>
    </row>
    <row r="201" customFormat="false" ht="12.75" hidden="false" customHeight="false" outlineLevel="0" collapsed="false">
      <c r="A201" s="500"/>
      <c r="B201" s="500"/>
      <c r="D201" s="361" t="e">
        <f aca="false">D200+AH200</f>
        <v>#VALUE!</v>
      </c>
      <c r="F201" s="362" t="e">
        <f aca="false">VLOOKUP(AG201,$AL$4:$AS$15,2)</f>
        <v>#VALUE!</v>
      </c>
      <c r="G201" s="362" t="e">
        <f aca="false">F201*$AU201</f>
        <v>#VALUE!</v>
      </c>
      <c r="H201" s="363" t="e">
        <f aca="false">(AL201+AM201+AN201)/(1-(AR201))</f>
        <v>#VALUE!</v>
      </c>
      <c r="I201" s="363" t="e">
        <f aca="false">(AL201+AO201+AP201)</f>
        <v>#VALUE!</v>
      </c>
      <c r="K201" s="363" t="e">
        <f aca="false">MAX(((I201-H201)-AQ201)*AU201*AH201,0)</f>
        <v>#VALUE!</v>
      </c>
      <c r="L201" s="501" t="e">
        <f aca="false">MAX(Q201-K201,0)</f>
        <v>#VALUE!</v>
      </c>
      <c r="N201" s="502" t="e">
        <f aca="false">SQRT(($AX201^2*($AH201/2)+$AW201^2*$AI201)/(($AH201/2)+$AI201))</f>
        <v>#VALUE!</v>
      </c>
      <c r="O201" s="502" t="e">
        <f aca="false">SQRT(($AY201^2*($AH201/2)+$AW201^2*$AI201)/(($AH201/2)+$AI201))</f>
        <v>#VALUE!</v>
      </c>
      <c r="P201" s="371" t="e">
        <f aca="false">(VLOOKUP(AI201,CorrelationTwo,2)*(AW201^2)*AI201+VLOOKUP(D201,CorrelationOne,$AK$9)*AX201*AY201*(AH201/2))/((AI201+(AH201/2))*O201*N201)*AF201</f>
        <v>#VALUE!</v>
      </c>
      <c r="Q201" s="501" t="e">
        <f aca="false">xSPRDOPT(I201,H201,AQ201,0,O201,N201,P201,D201-$G$5,1,0)*AH201*AU201</f>
        <v>#VALUE!</v>
      </c>
      <c r="R201" s="501"/>
      <c r="S201" s="365" t="e">
        <f aca="false">-T201/(1-AR201)</f>
        <v>#VALUE!</v>
      </c>
      <c r="T201" s="365" t="e">
        <f aca="false">xSPRDOPT(I201,H201,AQ201,AT201,O201,N201,P201,D201-$G$5,1,1)*AF201*F201*AH201</f>
        <v>#VALUE!</v>
      </c>
      <c r="U201" s="501"/>
      <c r="V201" s="503" t="e">
        <f aca="false">VLOOKUP($AG201,$AL$4:$AS$15,8)*AH201*AU201</f>
        <v>#VALUE!</v>
      </c>
      <c r="W201" s="503"/>
      <c r="X201" s="504" t="e">
        <f aca="false">((BM201*BC201)+(BL201*BB201))*AH201*F201</f>
        <v>#VALUE!</v>
      </c>
      <c r="Y201" s="504" t="e">
        <f aca="false">($F201*$AH201)*((($BG201/2)*($BC201)^2)+(($BF201/2)*($BB201)^2)+($BH201*$BC201*$BB201))</f>
        <v>#VALUE!</v>
      </c>
      <c r="Z201" s="504" t="e">
        <f aca="false">($BI201*$F201*$AH201*($G$5-$BV$5))/365.25</f>
        <v>#VALUE!</v>
      </c>
      <c r="AA201" s="504" t="e">
        <f aca="false">(($BK201*$BE201)+($BJ201*$BD201))*$F201*$AH201*$AF201</f>
        <v>#VALUE!</v>
      </c>
      <c r="AB201" s="504" t="e">
        <f aca="false">BN201*(AT201-CA201)*F201*AH201</f>
        <v>#VALUE!</v>
      </c>
      <c r="AC201" s="504" t="e">
        <f aca="false">BO201*CB201*F201*AH201*CA201*($G$5-$BV$5)/365.25</f>
        <v>#NAME?</v>
      </c>
      <c r="AF201" s="378" t="e">
        <f aca="false">IF(AND(D201&gt;=$G$7,D201&lt;=$G$8),1,0)</f>
        <v>#VALUE!</v>
      </c>
      <c r="AG201" s="378" t="e">
        <f aca="false">MONTH(D201)</f>
        <v>#VALUE!</v>
      </c>
      <c r="AH201" s="378" t="e">
        <f aca="false">(EOMONTH(D201,0)-EOMONTH(D201-DAY(D201),0))*AF201</f>
        <v>#VALUE!</v>
      </c>
      <c r="AI201" s="378" t="e">
        <f aca="false">AI200+AH200</f>
        <v>#VALUE!</v>
      </c>
      <c r="AJ201" s="378" t="e">
        <f aca="false">D201-$BV$5</f>
        <v>#VALUE!</v>
      </c>
      <c r="AL201" s="369" t="e">
        <f aca="false">VLOOKUP($D201,CurveTbl,$AK$4)</f>
        <v>#VALUE!</v>
      </c>
      <c r="AM201" s="505" t="e">
        <f aca="false">VLOOKUP($D201,CurveTbl,$AH$3)</f>
        <v>#VALUE!</v>
      </c>
      <c r="AN201" s="505" t="e">
        <f aca="false">VLOOKUP($D201,CurveTbl,$AH$4)+VLOOKUP($AG201,$AL$3:$AS$15,6)</f>
        <v>#VALUE!</v>
      </c>
      <c r="AO201" s="505" t="e">
        <f aca="false">VLOOKUP($D201,CurveTbl,$AH$5)</f>
        <v>#VALUE!</v>
      </c>
      <c r="AP201" s="505" t="e">
        <f aca="false">VLOOKUP($D201,CurveTbl,$AH$6)+VLOOKUP($AG201,$AL$3:$AS$15,7)</f>
        <v>#VALUE!</v>
      </c>
      <c r="AQ201" s="369" t="e">
        <f aca="false">VLOOKUP($AG201,$AL$4:$AS$15,3)+VLOOKUP($AG201,$AL$4:$AS$15,5)+($AH$10*VLOOKUP(D201,GRITable,2))</f>
        <v>#VALUE!</v>
      </c>
      <c r="AR201" s="370" t="e">
        <f aca="false">VLOOKUP($AG201,$AL$4:$AS$15,4)</f>
        <v>#VALUE!</v>
      </c>
      <c r="AS201" s="369" t="e">
        <f aca="false">(AL201+AM201+AN201)</f>
        <v>#VALUE!</v>
      </c>
      <c r="AT201" s="370" t="e">
        <f aca="false">VLOOKUP(D201,CurveTbl,$AK$6)</f>
        <v>#VALUE!</v>
      </c>
      <c r="AU201" s="370" t="e">
        <f aca="false">(1+$AT201/2)^(-2*($D201-$G$5)/365.25)*$AF201</f>
        <v>#VALUE!</v>
      </c>
      <c r="AV201" s="506" t="e">
        <f aca="false">ROUND((F201/(1-AR201))-F201,0)*AF201*AH201*AU201</f>
        <v>#VALUE!</v>
      </c>
      <c r="AW201" s="370" t="e">
        <f aca="false">VLOOKUP($D201,CurveTbl,$AK$8)</f>
        <v>#VALUE!</v>
      </c>
      <c r="AX201" s="370" t="e">
        <f aca="false">VLOOKUP($D201,CurveTbl,$AH$7)</f>
        <v>#VALUE!</v>
      </c>
      <c r="AY201" s="370" t="e">
        <f aca="false">VLOOKUP($D201,CurveTbl,$AH$8)</f>
        <v>#VALUE!</v>
      </c>
      <c r="AZ201" s="370"/>
      <c r="BA201" s="507"/>
      <c r="BB201" s="505" t="e">
        <f aca="false">$H201-$BV201</f>
        <v>#VALUE!</v>
      </c>
      <c r="BC201" s="505" t="e">
        <f aca="false">I201-BW201</f>
        <v>#VALUE!</v>
      </c>
      <c r="BD201" s="370" t="e">
        <f aca="false">N201-BX201</f>
        <v>#VALUE!</v>
      </c>
      <c r="BE201" s="370" t="e">
        <f aca="false">O201-BY201</f>
        <v>#VALUE!</v>
      </c>
      <c r="BF201" s="370" t="e">
        <f aca="false">xSPRDOPT($BW201,$BV201,$CG201,0,$BY201,$BX201,$BZ201,$AJ201,1,4)*$CB201</f>
        <v>#NAME?</v>
      </c>
      <c r="BG201" s="370" t="e">
        <f aca="false">xSPRDOPT($BW201,$BV201,$CG201,0,$BY201,$BX201,$BZ201,$AJ201,1,3)*$CB201</f>
        <v>#NAME?</v>
      </c>
      <c r="BH201" s="370" t="e">
        <f aca="false">IF(OR(BF201&lt;&gt;0,BG201&lt;&gt;0),xSPRDOPT($BW201,$BV201,$CG201,0,$BY201,$BX201,$BZ201,$AJ201,1,12)*$CB201,0)</f>
        <v>#NAME?</v>
      </c>
      <c r="BI201" s="370" t="e">
        <f aca="false">xSPRDOPT($BW201,$BV201,$CG201,2*LN(1+CA201/2),$BY201,$BX201,$BZ201,$AJ201,1,9)</f>
        <v>#NAME?</v>
      </c>
      <c r="BJ201" s="370" t="e">
        <f aca="false">xSPRDOPT($BW201,$BV201,$CG201,0,$BY201,$BX201,$BZ201,$AJ201,1,6)*$CB201</f>
        <v>#NAME?</v>
      </c>
      <c r="BK201" s="370" t="e">
        <f aca="false">xSPRDOPT($BW201,$BV201,$CG201,0,$BY201,$BX201,$BZ201,$AJ201,1,5)*$CB201</f>
        <v>#NAME?</v>
      </c>
      <c r="BL201" s="370" t="e">
        <f aca="false">xSPRDOPT(BW201,BV201,CG201,0,BY201,BX201,BZ201,AJ201,1,2)*CB201</f>
        <v>#NAME?</v>
      </c>
      <c r="BM201" s="370" t="e">
        <f aca="false">xSPRDOPT(BW201,BV201,CG201,0,BY201,BX201,BZ201,AJ201,1,1)*CB201</f>
        <v>#NAME?</v>
      </c>
      <c r="BN201" s="370" t="e">
        <f aca="false">IF(AH201&lt;&gt;0,xSPRDOPT($BW201,$BV201,$CG201,2*LN(1+CA201/2),$BY201,$BX201,$BZ201,$AJ201,1,8)+(AJ201/365.25)*CH201/AH201,0)</f>
        <v>#VALUE!</v>
      </c>
      <c r="BO201" s="370" t="e">
        <f aca="false">xSPRDOPT($BW201,$BV201,$CG201,0,$BY201,$BX201,$BZ201,$AJ201,1,0)</f>
        <v>#NAME?</v>
      </c>
      <c r="BP201" s="370"/>
      <c r="BQ201" s="370"/>
      <c r="BR201" s="370"/>
      <c r="BS201" s="370"/>
      <c r="BV201" s="508" t="n">
        <v>4.73452685421995</v>
      </c>
      <c r="BW201" s="369" t="n">
        <v>5.0045</v>
      </c>
      <c r="BX201" s="370" t="n">
        <v>0.177893150002071</v>
      </c>
      <c r="BY201" s="370" t="n">
        <v>0.177893150002071</v>
      </c>
      <c r="BZ201" s="370" t="n">
        <v>1</v>
      </c>
      <c r="CA201" s="370" t="n">
        <v>0.064334619923355</v>
      </c>
      <c r="CB201" s="370" t="n">
        <v>0.386725559750562</v>
      </c>
      <c r="CC201" s="505" t="n">
        <v>0.016</v>
      </c>
      <c r="CD201" s="505" t="n">
        <v>0.0075</v>
      </c>
      <c r="CE201" s="505" t="n">
        <v>0.4</v>
      </c>
      <c r="CF201" s="505" t="n">
        <v>0</v>
      </c>
      <c r="CG201" s="505" t="n">
        <v>0.0364</v>
      </c>
      <c r="CH201" s="505" t="n">
        <v>4.420157130281</v>
      </c>
      <c r="CI201" s="505" t="n">
        <v>4.6045</v>
      </c>
      <c r="CJ201" s="505"/>
      <c r="CK201" s="505"/>
      <c r="CL201" s="505"/>
      <c r="CM201" s="505"/>
    </row>
    <row r="202" customFormat="false" ht="12.75" hidden="false" customHeight="false" outlineLevel="0" collapsed="false">
      <c r="A202" s="500"/>
      <c r="B202" s="500"/>
      <c r="D202" s="361" t="e">
        <f aca="false">D201+AH201</f>
        <v>#VALUE!</v>
      </c>
      <c r="F202" s="362" t="e">
        <f aca="false">VLOOKUP(AG202,$AL$4:$AS$15,2)</f>
        <v>#VALUE!</v>
      </c>
      <c r="G202" s="362" t="e">
        <f aca="false">F202*$AU202</f>
        <v>#VALUE!</v>
      </c>
      <c r="H202" s="363" t="e">
        <f aca="false">(AL202+AM202+AN202)/(1-(AR202))</f>
        <v>#VALUE!</v>
      </c>
      <c r="I202" s="363" t="e">
        <f aca="false">(AL202+AO202+AP202)</f>
        <v>#VALUE!</v>
      </c>
      <c r="K202" s="363" t="e">
        <f aca="false">MAX(((I202-H202)-AQ202)*AU202*AH202,0)</f>
        <v>#VALUE!</v>
      </c>
      <c r="L202" s="501" t="e">
        <f aca="false">MAX(Q202-K202,0)</f>
        <v>#VALUE!</v>
      </c>
      <c r="N202" s="502" t="e">
        <f aca="false">SQRT(($AX202^2*($AH202/2)+$AW202^2*$AI202)/(($AH202/2)+$AI202))</f>
        <v>#VALUE!</v>
      </c>
      <c r="O202" s="502" t="e">
        <f aca="false">SQRT(($AY202^2*($AH202/2)+$AW202^2*$AI202)/(($AH202/2)+$AI202))</f>
        <v>#VALUE!</v>
      </c>
      <c r="P202" s="371" t="e">
        <f aca="false">(VLOOKUP(AI202,CorrelationTwo,2)*(AW202^2)*AI202+VLOOKUP(D202,CorrelationOne,$AK$9)*AX202*AY202*(AH202/2))/((AI202+(AH202/2))*O202*N202)*AF202</f>
        <v>#VALUE!</v>
      </c>
      <c r="Q202" s="501" t="e">
        <f aca="false">xSPRDOPT(I202,H202,AQ202,0,O202,N202,P202,D202-$G$5,1,0)*AH202*AU202</f>
        <v>#VALUE!</v>
      </c>
      <c r="R202" s="501"/>
      <c r="S202" s="365" t="e">
        <f aca="false">-T202/(1-AR202)</f>
        <v>#VALUE!</v>
      </c>
      <c r="T202" s="365" t="e">
        <f aca="false">xSPRDOPT(I202,H202,AQ202,AT202,O202,N202,P202,D202-$G$5,1,1)*AF202*F202*AH202</f>
        <v>#VALUE!</v>
      </c>
      <c r="U202" s="501"/>
      <c r="V202" s="503" t="e">
        <f aca="false">VLOOKUP($AG202,$AL$4:$AS$15,8)*AH202*AU202</f>
        <v>#VALUE!</v>
      </c>
      <c r="W202" s="503"/>
      <c r="X202" s="504" t="e">
        <f aca="false">((BM202*BC202)+(BL202*BB202))*AH202*F202</f>
        <v>#VALUE!</v>
      </c>
      <c r="Y202" s="504" t="e">
        <f aca="false">($F202*$AH202)*((($BG202/2)*($BC202)^2)+(($BF202/2)*($BB202)^2)+($BH202*$BC202*$BB202))</f>
        <v>#VALUE!</v>
      </c>
      <c r="Z202" s="504" t="e">
        <f aca="false">($BI202*$F202*$AH202*($G$5-$BV$5))/365.25</f>
        <v>#VALUE!</v>
      </c>
      <c r="AA202" s="504" t="e">
        <f aca="false">(($BK202*$BE202)+($BJ202*$BD202))*$F202*$AH202*$AF202</f>
        <v>#VALUE!</v>
      </c>
      <c r="AB202" s="504" t="e">
        <f aca="false">BN202*(AT202-CA202)*F202*AH202</f>
        <v>#VALUE!</v>
      </c>
      <c r="AC202" s="504" t="e">
        <f aca="false">BO202*CB202*F202*AH202*CA202*($G$5-$BV$5)/365.25</f>
        <v>#NAME?</v>
      </c>
      <c r="AF202" s="378" t="e">
        <f aca="false">IF(AND(D202&gt;=$G$7,D202&lt;=$G$8),1,0)</f>
        <v>#VALUE!</v>
      </c>
      <c r="AG202" s="378" t="e">
        <f aca="false">MONTH(D202)</f>
        <v>#VALUE!</v>
      </c>
      <c r="AH202" s="378" t="e">
        <f aca="false">(EOMONTH(D202,0)-EOMONTH(D202-DAY(D202),0))*AF202</f>
        <v>#VALUE!</v>
      </c>
      <c r="AI202" s="378" t="e">
        <f aca="false">AI201+AH201</f>
        <v>#VALUE!</v>
      </c>
      <c r="AJ202" s="378" t="e">
        <f aca="false">D202-$BV$5</f>
        <v>#VALUE!</v>
      </c>
      <c r="AL202" s="369" t="e">
        <f aca="false">VLOOKUP($D202,CurveTbl,$AK$4)</f>
        <v>#VALUE!</v>
      </c>
      <c r="AM202" s="505" t="e">
        <f aca="false">VLOOKUP($D202,CurveTbl,$AH$3)</f>
        <v>#VALUE!</v>
      </c>
      <c r="AN202" s="505" t="e">
        <f aca="false">VLOOKUP($D202,CurveTbl,$AH$4)+VLOOKUP($AG202,$AL$3:$AS$15,6)</f>
        <v>#VALUE!</v>
      </c>
      <c r="AO202" s="505" t="e">
        <f aca="false">VLOOKUP($D202,CurveTbl,$AH$5)</f>
        <v>#VALUE!</v>
      </c>
      <c r="AP202" s="505" t="e">
        <f aca="false">VLOOKUP($D202,CurveTbl,$AH$6)+VLOOKUP($AG202,$AL$3:$AS$15,7)</f>
        <v>#VALUE!</v>
      </c>
      <c r="AQ202" s="369" t="e">
        <f aca="false">VLOOKUP($AG202,$AL$4:$AS$15,3)+VLOOKUP($AG202,$AL$4:$AS$15,5)+($AH$10*VLOOKUP(D202,GRITable,2))</f>
        <v>#VALUE!</v>
      </c>
      <c r="AR202" s="370" t="e">
        <f aca="false">VLOOKUP($AG202,$AL$4:$AS$15,4)</f>
        <v>#VALUE!</v>
      </c>
      <c r="AS202" s="369" t="e">
        <f aca="false">(AL202+AM202+AN202)</f>
        <v>#VALUE!</v>
      </c>
      <c r="AT202" s="370" t="e">
        <f aca="false">VLOOKUP(D202,CurveTbl,$AK$6)</f>
        <v>#VALUE!</v>
      </c>
      <c r="AU202" s="370" t="e">
        <f aca="false">(1+$AT202/2)^(-2*($D202-$G$5)/365.25)*$AF202</f>
        <v>#VALUE!</v>
      </c>
      <c r="AV202" s="506" t="e">
        <f aca="false">ROUND((F202/(1-AR202))-F202,0)*AF202*AH202*AU202</f>
        <v>#VALUE!</v>
      </c>
      <c r="AW202" s="370" t="e">
        <f aca="false">VLOOKUP($D202,CurveTbl,$AK$8)</f>
        <v>#VALUE!</v>
      </c>
      <c r="AX202" s="370" t="e">
        <f aca="false">VLOOKUP($D202,CurveTbl,$AH$7)</f>
        <v>#VALUE!</v>
      </c>
      <c r="AY202" s="370" t="e">
        <f aca="false">VLOOKUP($D202,CurveTbl,$AH$8)</f>
        <v>#VALUE!</v>
      </c>
      <c r="AZ202" s="370"/>
      <c r="BA202" s="507"/>
      <c r="BB202" s="505" t="e">
        <f aca="false">$H202-$BV202</f>
        <v>#VALUE!</v>
      </c>
      <c r="BC202" s="505" t="e">
        <f aca="false">I202-BW202</f>
        <v>#VALUE!</v>
      </c>
      <c r="BD202" s="370" t="e">
        <f aca="false">N202-BX202</f>
        <v>#VALUE!</v>
      </c>
      <c r="BE202" s="370" t="e">
        <f aca="false">O202-BY202</f>
        <v>#VALUE!</v>
      </c>
      <c r="BF202" s="370" t="e">
        <f aca="false">xSPRDOPT($BW202,$BV202,$CG202,0,$BY202,$BX202,$BZ202,$AJ202,1,4)*$CB202</f>
        <v>#NAME?</v>
      </c>
      <c r="BG202" s="370" t="e">
        <f aca="false">xSPRDOPT($BW202,$BV202,$CG202,0,$BY202,$BX202,$BZ202,$AJ202,1,3)*$CB202</f>
        <v>#NAME?</v>
      </c>
      <c r="BH202" s="370" t="e">
        <f aca="false">IF(OR(BF202&lt;&gt;0,BG202&lt;&gt;0),xSPRDOPT($BW202,$BV202,$CG202,0,$BY202,$BX202,$BZ202,$AJ202,1,12)*$CB202,0)</f>
        <v>#NAME?</v>
      </c>
      <c r="BI202" s="370" t="e">
        <f aca="false">xSPRDOPT($BW202,$BV202,$CG202,2*LN(1+CA202/2),$BY202,$BX202,$BZ202,$AJ202,1,9)</f>
        <v>#NAME?</v>
      </c>
      <c r="BJ202" s="370" t="e">
        <f aca="false">xSPRDOPT($BW202,$BV202,$CG202,0,$BY202,$BX202,$BZ202,$AJ202,1,6)*$CB202</f>
        <v>#NAME?</v>
      </c>
      <c r="BK202" s="370" t="e">
        <f aca="false">xSPRDOPT($BW202,$BV202,$CG202,0,$BY202,$BX202,$BZ202,$AJ202,1,5)*$CB202</f>
        <v>#NAME?</v>
      </c>
      <c r="BL202" s="370" t="e">
        <f aca="false">xSPRDOPT(BW202,BV202,CG202,0,BY202,BX202,BZ202,AJ202,1,2)*CB202</f>
        <v>#NAME?</v>
      </c>
      <c r="BM202" s="370" t="e">
        <f aca="false">xSPRDOPT(BW202,BV202,CG202,0,BY202,BX202,BZ202,AJ202,1,1)*CB202</f>
        <v>#NAME?</v>
      </c>
      <c r="BN202" s="370" t="e">
        <f aca="false">IF(AH202&lt;&gt;0,xSPRDOPT($BW202,$BV202,$CG202,2*LN(1+CA202/2),$BY202,$BX202,$BZ202,$AJ202,1,8)+(AJ202/365.25)*CH202/AH202,0)</f>
        <v>#VALUE!</v>
      </c>
      <c r="BO202" s="370" t="e">
        <f aca="false">xSPRDOPT($BW202,$BV202,$CG202,0,$BY202,$BX202,$BZ202,$AJ202,1,0)</f>
        <v>#NAME?</v>
      </c>
      <c r="BP202" s="370"/>
      <c r="BQ202" s="370"/>
      <c r="BR202" s="370"/>
      <c r="BS202" s="370"/>
      <c r="BV202" s="508" t="n">
        <v>4.79590792838875</v>
      </c>
      <c r="BW202" s="369" t="n">
        <v>5.0145</v>
      </c>
      <c r="BX202" s="370" t="n">
        <v>0.177849741670447</v>
      </c>
      <c r="BY202" s="370" t="n">
        <v>0.177849741670447</v>
      </c>
      <c r="BZ202" s="370" t="n">
        <v>1</v>
      </c>
      <c r="CA202" s="370" t="n">
        <v>0.064375164039157</v>
      </c>
      <c r="CB202" s="370" t="n">
        <v>0.384424845221493</v>
      </c>
      <c r="CC202" s="505" t="n">
        <v>0.016</v>
      </c>
      <c r="CD202" s="505" t="n">
        <v>0.0075</v>
      </c>
      <c r="CE202" s="505" t="n">
        <v>0.35</v>
      </c>
      <c r="CF202" s="505" t="n">
        <v>0</v>
      </c>
      <c r="CG202" s="505" t="n">
        <v>0.0364</v>
      </c>
      <c r="CH202" s="505" t="n">
        <v>4.3938606534281</v>
      </c>
      <c r="CI202" s="505" t="n">
        <v>4.6645</v>
      </c>
      <c r="CJ202" s="505"/>
      <c r="CK202" s="505"/>
      <c r="CL202" s="505"/>
      <c r="CM202" s="505"/>
    </row>
    <row r="203" customFormat="false" ht="12.75" hidden="false" customHeight="false" outlineLevel="0" collapsed="false">
      <c r="A203" s="500"/>
      <c r="B203" s="500"/>
      <c r="D203" s="361" t="e">
        <f aca="false">D202+AH202</f>
        <v>#VALUE!</v>
      </c>
      <c r="F203" s="362" t="e">
        <f aca="false">VLOOKUP(AG203,$AL$4:$AS$15,2)</f>
        <v>#VALUE!</v>
      </c>
      <c r="G203" s="362" t="e">
        <f aca="false">F203*$AU203</f>
        <v>#VALUE!</v>
      </c>
      <c r="H203" s="363" t="e">
        <f aca="false">(AL203+AM203+AN203)/(1-(AR203))</f>
        <v>#VALUE!</v>
      </c>
      <c r="I203" s="363" t="e">
        <f aca="false">(AL203+AO203+AP203)</f>
        <v>#VALUE!</v>
      </c>
      <c r="K203" s="363" t="e">
        <f aca="false">MAX(((I203-H203)-AQ203)*AU203*AH203,0)</f>
        <v>#VALUE!</v>
      </c>
      <c r="L203" s="501" t="e">
        <f aca="false">MAX(Q203-K203,0)</f>
        <v>#VALUE!</v>
      </c>
      <c r="N203" s="502" t="e">
        <f aca="false">SQRT(($AX203^2*($AH203/2)+$AW203^2*$AI203)/(($AH203/2)+$AI203))</f>
        <v>#VALUE!</v>
      </c>
      <c r="O203" s="502" t="e">
        <f aca="false">SQRT(($AY203^2*($AH203/2)+$AW203^2*$AI203)/(($AH203/2)+$AI203))</f>
        <v>#VALUE!</v>
      </c>
      <c r="P203" s="371" t="e">
        <f aca="false">(VLOOKUP(AI203,CorrelationTwo,2)*(AW203^2)*AI203+VLOOKUP(D203,CorrelationOne,$AK$9)*AX203*AY203*(AH203/2))/((AI203+(AH203/2))*O203*N203)*AF203</f>
        <v>#VALUE!</v>
      </c>
      <c r="Q203" s="501" t="e">
        <f aca="false">xSPRDOPT(I203,H203,AQ203,0,O203,N203,P203,D203-$G$5,1,0)*AH203*AU203</f>
        <v>#VALUE!</v>
      </c>
      <c r="R203" s="501"/>
      <c r="S203" s="365" t="e">
        <f aca="false">-T203/(1-AR203)</f>
        <v>#VALUE!</v>
      </c>
      <c r="T203" s="365" t="e">
        <f aca="false">xSPRDOPT(I203,H203,AQ203,AT203,O203,N203,P203,D203-$G$5,1,1)*AF203*F203*AH203</f>
        <v>#VALUE!</v>
      </c>
      <c r="U203" s="501"/>
      <c r="V203" s="503" t="e">
        <f aca="false">VLOOKUP($AG203,$AL$4:$AS$15,8)*AH203*AU203</f>
        <v>#VALUE!</v>
      </c>
      <c r="W203" s="503"/>
      <c r="X203" s="504" t="e">
        <f aca="false">((BM203*BC203)+(BL203*BB203))*AH203*F203</f>
        <v>#VALUE!</v>
      </c>
      <c r="Y203" s="504" t="e">
        <f aca="false">($F203*$AH203)*((($BG203/2)*($BC203)^2)+(($BF203/2)*($BB203)^2)+($BH203*$BC203*$BB203))</f>
        <v>#VALUE!</v>
      </c>
      <c r="Z203" s="504" t="e">
        <f aca="false">($BI203*$F203*$AH203*($G$5-$BV$5))/365.25</f>
        <v>#VALUE!</v>
      </c>
      <c r="AA203" s="504" t="e">
        <f aca="false">(($BK203*$BE203)+($BJ203*$BD203))*$F203*$AH203*$AF203</f>
        <v>#VALUE!</v>
      </c>
      <c r="AB203" s="504" t="e">
        <f aca="false">BN203*(AT203-CA203)*F203*AH203</f>
        <v>#VALUE!</v>
      </c>
      <c r="AC203" s="504" t="e">
        <f aca="false">BO203*CB203*F203*AH203*CA203*($G$5-$BV$5)/365.25</f>
        <v>#NAME?</v>
      </c>
      <c r="AF203" s="378" t="e">
        <f aca="false">IF(AND(D203&gt;=$G$7,D203&lt;=$G$8),1,0)</f>
        <v>#VALUE!</v>
      </c>
      <c r="AG203" s="378" t="e">
        <f aca="false">MONTH(D203)</f>
        <v>#VALUE!</v>
      </c>
      <c r="AH203" s="378" t="e">
        <f aca="false">(EOMONTH(D203,0)-EOMONTH(D203-DAY(D203),0))*AF203</f>
        <v>#VALUE!</v>
      </c>
      <c r="AI203" s="378" t="e">
        <f aca="false">AI202+AH202</f>
        <v>#VALUE!</v>
      </c>
      <c r="AJ203" s="378" t="e">
        <f aca="false">D203-$BV$5</f>
        <v>#VALUE!</v>
      </c>
      <c r="AL203" s="369" t="e">
        <f aca="false">VLOOKUP($D203,CurveTbl,$AK$4)</f>
        <v>#VALUE!</v>
      </c>
      <c r="AM203" s="505" t="e">
        <f aca="false">VLOOKUP($D203,CurveTbl,$AH$3)</f>
        <v>#VALUE!</v>
      </c>
      <c r="AN203" s="505" t="e">
        <f aca="false">VLOOKUP($D203,CurveTbl,$AH$4)+VLOOKUP($AG203,$AL$3:$AS$15,6)</f>
        <v>#VALUE!</v>
      </c>
      <c r="AO203" s="505" t="e">
        <f aca="false">VLOOKUP($D203,CurveTbl,$AH$5)</f>
        <v>#VALUE!</v>
      </c>
      <c r="AP203" s="505" t="e">
        <f aca="false">VLOOKUP($D203,CurveTbl,$AH$6)+VLOOKUP($AG203,$AL$3:$AS$15,7)</f>
        <v>#VALUE!</v>
      </c>
      <c r="AQ203" s="369" t="e">
        <f aca="false">VLOOKUP($AG203,$AL$4:$AS$15,3)+VLOOKUP($AG203,$AL$4:$AS$15,5)+($AH$10*VLOOKUP(D203,GRITable,2))</f>
        <v>#VALUE!</v>
      </c>
      <c r="AR203" s="370" t="e">
        <f aca="false">VLOOKUP($AG203,$AL$4:$AS$15,4)</f>
        <v>#VALUE!</v>
      </c>
      <c r="AS203" s="369" t="e">
        <f aca="false">(AL203+AM203+AN203)</f>
        <v>#VALUE!</v>
      </c>
      <c r="AT203" s="370" t="e">
        <f aca="false">VLOOKUP(D203,CurveTbl,$AK$6)</f>
        <v>#VALUE!</v>
      </c>
      <c r="AU203" s="370" t="e">
        <f aca="false">(1+$AT203/2)^(-2*($D203-$G$5)/365.25)*$AF203</f>
        <v>#VALUE!</v>
      </c>
      <c r="AV203" s="506" t="e">
        <f aca="false">ROUND((F203/(1-AR203))-F203,0)*AF203*AH203*AU203</f>
        <v>#VALUE!</v>
      </c>
      <c r="AW203" s="370" t="e">
        <f aca="false">VLOOKUP($D203,CurveTbl,$AK$8)</f>
        <v>#VALUE!</v>
      </c>
      <c r="AX203" s="370" t="e">
        <f aca="false">VLOOKUP($D203,CurveTbl,$AH$7)</f>
        <v>#VALUE!</v>
      </c>
      <c r="AY203" s="370" t="e">
        <f aca="false">VLOOKUP($D203,CurveTbl,$AH$8)</f>
        <v>#VALUE!</v>
      </c>
      <c r="AZ203" s="370"/>
      <c r="BA203" s="507"/>
      <c r="BB203" s="505" t="e">
        <f aca="false">$H203-$BV203</f>
        <v>#VALUE!</v>
      </c>
      <c r="BC203" s="505" t="e">
        <f aca="false">I203-BW203</f>
        <v>#VALUE!</v>
      </c>
      <c r="BD203" s="370" t="e">
        <f aca="false">N203-BX203</f>
        <v>#VALUE!</v>
      </c>
      <c r="BE203" s="370" t="e">
        <f aca="false">O203-BY203</f>
        <v>#VALUE!</v>
      </c>
      <c r="BF203" s="370" t="e">
        <f aca="false">xSPRDOPT($BW203,$BV203,$CG203,0,$BY203,$BX203,$BZ203,$AJ203,1,4)*$CB203</f>
        <v>#NAME?</v>
      </c>
      <c r="BG203" s="370" t="e">
        <f aca="false">xSPRDOPT($BW203,$BV203,$CG203,0,$BY203,$BX203,$BZ203,$AJ203,1,3)*$CB203</f>
        <v>#NAME?</v>
      </c>
      <c r="BH203" s="370" t="e">
        <f aca="false">IF(OR(BF203&lt;&gt;0,BG203&lt;&gt;0),xSPRDOPT($BW203,$BV203,$CG203,0,$BY203,$BX203,$BZ203,$AJ203,1,12)*$CB203,0)</f>
        <v>#NAME?</v>
      </c>
      <c r="BI203" s="370" t="e">
        <f aca="false">xSPRDOPT($BW203,$BV203,$CG203,2*LN(1+CA203/2),$BY203,$BX203,$BZ203,$AJ203,1,9)</f>
        <v>#NAME?</v>
      </c>
      <c r="BJ203" s="370" t="e">
        <f aca="false">xSPRDOPT($BW203,$BV203,$CG203,0,$BY203,$BX203,$BZ203,$AJ203,1,6)*$CB203</f>
        <v>#NAME?</v>
      </c>
      <c r="BK203" s="370" t="e">
        <f aca="false">xSPRDOPT($BW203,$BV203,$CG203,0,$BY203,$BX203,$BZ203,$AJ203,1,5)*$CB203</f>
        <v>#NAME?</v>
      </c>
      <c r="BL203" s="370" t="e">
        <f aca="false">xSPRDOPT(BW203,BV203,CG203,0,BY203,BX203,BZ203,AJ203,1,2)*CB203</f>
        <v>#NAME?</v>
      </c>
      <c r="BM203" s="370" t="e">
        <f aca="false">xSPRDOPT(BW203,BV203,CG203,0,BY203,BX203,BZ203,AJ203,1,1)*CB203</f>
        <v>#NAME?</v>
      </c>
      <c r="BN203" s="370" t="e">
        <f aca="false">IF(AH203&lt;&gt;0,xSPRDOPT($BW203,$BV203,$CG203,2*LN(1+CA203/2),$BY203,$BX203,$BZ203,$AJ203,1,8)+(AJ203/365.25)*CH203/AH203,0)</f>
        <v>#VALUE!</v>
      </c>
      <c r="BO203" s="370" t="e">
        <f aca="false">xSPRDOPT($BW203,$BV203,$CG203,0,$BY203,$BX203,$BZ203,$AJ203,1,0)</f>
        <v>#NAME?</v>
      </c>
      <c r="BP203" s="370"/>
      <c r="BQ203" s="370"/>
      <c r="BR203" s="370"/>
      <c r="BS203" s="370"/>
      <c r="BV203" s="508" t="n">
        <v>4.70895140664962</v>
      </c>
      <c r="BW203" s="369" t="n">
        <v>4.9295</v>
      </c>
      <c r="BX203" s="370" t="n">
        <v>0.177068228953699</v>
      </c>
      <c r="BY203" s="370" t="n">
        <v>0.177068228953699</v>
      </c>
      <c r="BZ203" s="370" t="n">
        <v>1</v>
      </c>
      <c r="CA203" s="370" t="n">
        <v>0.0644157081555039</v>
      </c>
      <c r="CB203" s="370" t="n">
        <v>0.382135274648621</v>
      </c>
      <c r="CC203" s="505" t="n">
        <v>0.016</v>
      </c>
      <c r="CD203" s="505" t="n">
        <v>0.0075</v>
      </c>
      <c r="CE203" s="505" t="n">
        <v>0.35</v>
      </c>
      <c r="CF203" s="505" t="n">
        <v>0</v>
      </c>
      <c r="CG203" s="505" t="n">
        <v>0.0364</v>
      </c>
      <c r="CH203" s="505" t="n">
        <v>3.9450117213625</v>
      </c>
      <c r="CI203" s="505" t="n">
        <v>4.5795</v>
      </c>
      <c r="CJ203" s="505"/>
      <c r="CK203" s="505"/>
      <c r="CL203" s="505"/>
      <c r="CM203" s="505"/>
    </row>
    <row r="204" customFormat="false" ht="12.75" hidden="false" customHeight="false" outlineLevel="0" collapsed="false">
      <c r="A204" s="500"/>
      <c r="B204" s="500"/>
      <c r="D204" s="361" t="e">
        <f aca="false">D203+AH203</f>
        <v>#VALUE!</v>
      </c>
      <c r="F204" s="362" t="e">
        <f aca="false">VLOOKUP(AG204,$AL$4:$AS$15,2)</f>
        <v>#VALUE!</v>
      </c>
      <c r="G204" s="362" t="e">
        <f aca="false">F204*$AU204</f>
        <v>#VALUE!</v>
      </c>
      <c r="H204" s="363" t="e">
        <f aca="false">(AL204+AM204+AN204)/(1-(AR204))</f>
        <v>#VALUE!</v>
      </c>
      <c r="I204" s="363" t="e">
        <f aca="false">(AL204+AO204+AP204)</f>
        <v>#VALUE!</v>
      </c>
      <c r="K204" s="363" t="e">
        <f aca="false">MAX(((I204-H204)-AQ204)*AU204*AH204,0)</f>
        <v>#VALUE!</v>
      </c>
      <c r="L204" s="501" t="e">
        <f aca="false">MAX(Q204-K204,0)</f>
        <v>#VALUE!</v>
      </c>
      <c r="N204" s="502" t="e">
        <f aca="false">SQRT(($AX204^2*($AH204/2)+$AW204^2*$AI204)/(($AH204/2)+$AI204))</f>
        <v>#VALUE!</v>
      </c>
      <c r="O204" s="502" t="e">
        <f aca="false">SQRT(($AY204^2*($AH204/2)+$AW204^2*$AI204)/(($AH204/2)+$AI204))</f>
        <v>#VALUE!</v>
      </c>
      <c r="P204" s="371" t="e">
        <f aca="false">(VLOOKUP(AI204,CorrelationTwo,2)*(AW204^2)*AI204+VLOOKUP(D204,CorrelationOne,$AK$9)*AX204*AY204*(AH204/2))/((AI204+(AH204/2))*O204*N204)*AF204</f>
        <v>#VALUE!</v>
      </c>
      <c r="Q204" s="501" t="e">
        <f aca="false">xSPRDOPT(I204,H204,AQ204,0,O204,N204,P204,D204-$G$5,1,0)*AH204*AU204</f>
        <v>#VALUE!</v>
      </c>
      <c r="R204" s="501"/>
      <c r="S204" s="365" t="e">
        <f aca="false">-T204/(1-AR204)</f>
        <v>#VALUE!</v>
      </c>
      <c r="T204" s="365" t="e">
        <f aca="false">xSPRDOPT(I204,H204,AQ204,AT204,O204,N204,P204,D204-$G$5,1,1)*AF204*F204*AH204</f>
        <v>#VALUE!</v>
      </c>
      <c r="U204" s="501"/>
      <c r="V204" s="503" t="e">
        <f aca="false">VLOOKUP($AG204,$AL$4:$AS$15,8)*AH204*AU204</f>
        <v>#VALUE!</v>
      </c>
      <c r="W204" s="503"/>
      <c r="X204" s="504" t="e">
        <f aca="false">((BM204*BC204)+(BL204*BB204))*AH204*F204</f>
        <v>#VALUE!</v>
      </c>
      <c r="Y204" s="504" t="e">
        <f aca="false">($F204*$AH204)*((($BG204/2)*($BC204)^2)+(($BF204/2)*($BB204)^2)+($BH204*$BC204*$BB204))</f>
        <v>#VALUE!</v>
      </c>
      <c r="Z204" s="504" t="e">
        <f aca="false">($BI204*$F204*$AH204*($G$5-$BV$5))/365.25</f>
        <v>#VALUE!</v>
      </c>
      <c r="AA204" s="504" t="e">
        <f aca="false">(($BK204*$BE204)+($BJ204*$BD204))*$F204*$AH204*$AF204</f>
        <v>#VALUE!</v>
      </c>
      <c r="AB204" s="504" t="e">
        <f aca="false">BN204*(AT204-CA204)*F204*AH204</f>
        <v>#VALUE!</v>
      </c>
      <c r="AC204" s="504" t="e">
        <f aca="false">BO204*CB204*F204*AH204*CA204*($G$5-$BV$5)/365.25</f>
        <v>#NAME?</v>
      </c>
      <c r="AF204" s="378" t="e">
        <f aca="false">IF(AND(D204&gt;=$G$7,D204&lt;=$G$8),1,0)</f>
        <v>#VALUE!</v>
      </c>
      <c r="AG204" s="378" t="e">
        <f aca="false">MONTH(D204)</f>
        <v>#VALUE!</v>
      </c>
      <c r="AH204" s="378" t="e">
        <f aca="false">(EOMONTH(D204,0)-EOMONTH(D204-DAY(D204),0))*AF204</f>
        <v>#VALUE!</v>
      </c>
      <c r="AI204" s="378" t="e">
        <f aca="false">AI203+AH203</f>
        <v>#VALUE!</v>
      </c>
      <c r="AJ204" s="378" t="e">
        <f aca="false">D204-$BV$5</f>
        <v>#VALUE!</v>
      </c>
      <c r="AL204" s="369" t="e">
        <f aca="false">VLOOKUP($D204,CurveTbl,$AK$4)</f>
        <v>#VALUE!</v>
      </c>
      <c r="AM204" s="505" t="e">
        <f aca="false">VLOOKUP($D204,CurveTbl,$AH$3)</f>
        <v>#VALUE!</v>
      </c>
      <c r="AN204" s="505" t="e">
        <f aca="false">VLOOKUP($D204,CurveTbl,$AH$4)+VLOOKUP($AG204,$AL$3:$AS$15,6)</f>
        <v>#VALUE!</v>
      </c>
      <c r="AO204" s="505" t="e">
        <f aca="false">VLOOKUP($D204,CurveTbl,$AH$5)</f>
        <v>#VALUE!</v>
      </c>
      <c r="AP204" s="505" t="e">
        <f aca="false">VLOOKUP($D204,CurveTbl,$AH$6)+VLOOKUP($AG204,$AL$3:$AS$15,7)</f>
        <v>#VALUE!</v>
      </c>
      <c r="AQ204" s="369" t="e">
        <f aca="false">VLOOKUP($AG204,$AL$4:$AS$15,3)+VLOOKUP($AG204,$AL$4:$AS$15,5)+($AH$10*VLOOKUP(D204,GRITable,2))</f>
        <v>#VALUE!</v>
      </c>
      <c r="AR204" s="370" t="e">
        <f aca="false">VLOOKUP($AG204,$AL$4:$AS$15,4)</f>
        <v>#VALUE!</v>
      </c>
      <c r="AS204" s="369" t="e">
        <f aca="false">(AL204+AM204+AN204)</f>
        <v>#VALUE!</v>
      </c>
      <c r="AT204" s="370" t="e">
        <f aca="false">VLOOKUP(D204,CurveTbl,$AK$6)</f>
        <v>#VALUE!</v>
      </c>
      <c r="AU204" s="370" t="e">
        <f aca="false">(1+$AT204/2)^(-2*($D204-$G$5)/365.25)*$AF204</f>
        <v>#VALUE!</v>
      </c>
      <c r="AV204" s="506" t="e">
        <f aca="false">ROUND((F204/(1-AR204))-F204,0)*AF204*AH204*AU204</f>
        <v>#VALUE!</v>
      </c>
      <c r="AW204" s="370" t="e">
        <f aca="false">VLOOKUP($D204,CurveTbl,$AK$8)</f>
        <v>#VALUE!</v>
      </c>
      <c r="AX204" s="370" t="e">
        <f aca="false">VLOOKUP($D204,CurveTbl,$AH$7)</f>
        <v>#VALUE!</v>
      </c>
      <c r="AY204" s="370" t="e">
        <f aca="false">VLOOKUP($D204,CurveTbl,$AH$8)</f>
        <v>#VALUE!</v>
      </c>
      <c r="AZ204" s="370"/>
      <c r="BA204" s="507"/>
      <c r="BB204" s="505" t="e">
        <f aca="false">$H204-$BV204</f>
        <v>#VALUE!</v>
      </c>
      <c r="BC204" s="505" t="e">
        <f aca="false">I204-BW204</f>
        <v>#VALUE!</v>
      </c>
      <c r="BD204" s="370" t="e">
        <f aca="false">N204-BX204</f>
        <v>#VALUE!</v>
      </c>
      <c r="BE204" s="370" t="e">
        <f aca="false">O204-BY204</f>
        <v>#VALUE!</v>
      </c>
      <c r="BF204" s="370" t="e">
        <f aca="false">xSPRDOPT($BW204,$BV204,$CG204,0,$BY204,$BX204,$BZ204,$AJ204,1,4)*$CB204</f>
        <v>#NAME?</v>
      </c>
      <c r="BG204" s="370" t="e">
        <f aca="false">xSPRDOPT($BW204,$BV204,$CG204,0,$BY204,$BX204,$BZ204,$AJ204,1,3)*$CB204</f>
        <v>#NAME?</v>
      </c>
      <c r="BH204" s="370" t="e">
        <f aca="false">IF(OR(BF204&lt;&gt;0,BG204&lt;&gt;0),xSPRDOPT($BW204,$BV204,$CG204,0,$BY204,$BX204,$BZ204,$AJ204,1,12)*$CB204,0)</f>
        <v>#NAME?</v>
      </c>
      <c r="BI204" s="370" t="e">
        <f aca="false">xSPRDOPT($BW204,$BV204,$CG204,2*LN(1+CA204/2),$BY204,$BX204,$BZ204,$AJ204,1,9)</f>
        <v>#NAME?</v>
      </c>
      <c r="BJ204" s="370" t="e">
        <f aca="false">xSPRDOPT($BW204,$BV204,$CG204,0,$BY204,$BX204,$BZ204,$AJ204,1,6)*$CB204</f>
        <v>#NAME?</v>
      </c>
      <c r="BK204" s="370" t="e">
        <f aca="false">xSPRDOPT($BW204,$BV204,$CG204,0,$BY204,$BX204,$BZ204,$AJ204,1,5)*$CB204</f>
        <v>#NAME?</v>
      </c>
      <c r="BL204" s="370" t="e">
        <f aca="false">xSPRDOPT(BW204,BV204,CG204,0,BY204,BX204,BZ204,AJ204,1,2)*CB204</f>
        <v>#NAME?</v>
      </c>
      <c r="BM204" s="370" t="e">
        <f aca="false">xSPRDOPT(BW204,BV204,CG204,0,BY204,BX204,BZ204,AJ204,1,1)*CB204</f>
        <v>#NAME?</v>
      </c>
      <c r="BN204" s="370" t="e">
        <f aca="false">IF(AH204&lt;&gt;0,xSPRDOPT($BW204,$BV204,$CG204,2*LN(1+CA204/2),$BY204,$BX204,$BZ204,$AJ204,1,8)+(AJ204/365.25)*CH204/AH204,0)</f>
        <v>#VALUE!</v>
      </c>
      <c r="BO204" s="370" t="e">
        <f aca="false">xSPRDOPT($BW204,$BV204,$CG204,0,$BY204,$BX204,$BZ204,$AJ204,1,0)</f>
        <v>#NAME?</v>
      </c>
      <c r="BP204" s="370"/>
      <c r="BQ204" s="370"/>
      <c r="BR204" s="370"/>
      <c r="BS204" s="370"/>
      <c r="BV204" s="508" t="n">
        <v>4.58107416879795</v>
      </c>
      <c r="BW204" s="369" t="n">
        <v>4.8495</v>
      </c>
      <c r="BX204" s="370" t="n">
        <v>0.174311455539395</v>
      </c>
      <c r="BY204" s="370" t="n">
        <v>0.174311455539395</v>
      </c>
      <c r="BZ204" s="370" t="n">
        <v>1</v>
      </c>
      <c r="CA204" s="370" t="n">
        <v>0.0644523286481569</v>
      </c>
      <c r="CB204" s="370" t="n">
        <v>0.380076824020559</v>
      </c>
      <c r="CC204" s="505" t="n">
        <v>0.021</v>
      </c>
      <c r="CD204" s="505" t="n">
        <v>0.0075</v>
      </c>
      <c r="CE204" s="505" t="n">
        <v>0.4</v>
      </c>
      <c r="CF204" s="505" t="n">
        <v>0</v>
      </c>
      <c r="CG204" s="505" t="n">
        <v>0.0364</v>
      </c>
      <c r="CH204" s="505" t="n">
        <v>4.34416407550778</v>
      </c>
      <c r="CI204" s="505" t="n">
        <v>4.4495</v>
      </c>
      <c r="CJ204" s="505"/>
      <c r="CK204" s="505"/>
      <c r="CL204" s="505"/>
      <c r="CM204" s="505"/>
    </row>
    <row r="205" customFormat="false" ht="12.75" hidden="false" customHeight="false" outlineLevel="0" collapsed="false">
      <c r="A205" s="500"/>
      <c r="B205" s="500"/>
      <c r="D205" s="361" t="e">
        <f aca="false">D204+AH204</f>
        <v>#VALUE!</v>
      </c>
      <c r="F205" s="362" t="e">
        <f aca="false">VLOOKUP(AG205,$AL$4:$AS$15,2)</f>
        <v>#VALUE!</v>
      </c>
      <c r="G205" s="362" t="e">
        <f aca="false">F205*$AU205</f>
        <v>#VALUE!</v>
      </c>
      <c r="H205" s="363" t="e">
        <f aca="false">(AL205+AM205+AN205)/(1-(AR205))</f>
        <v>#VALUE!</v>
      </c>
      <c r="I205" s="363" t="e">
        <f aca="false">(AL205+AO205+AP205)</f>
        <v>#VALUE!</v>
      </c>
      <c r="K205" s="363" t="e">
        <f aca="false">MAX(((I205-H205)-AQ205)*AU205*AH205,0)</f>
        <v>#VALUE!</v>
      </c>
      <c r="L205" s="501" t="e">
        <f aca="false">MAX(Q205-K205,0)</f>
        <v>#VALUE!</v>
      </c>
      <c r="N205" s="502" t="e">
        <f aca="false">SQRT(($AX205^2*($AH205/2)+$AW205^2*$AI205)/(($AH205/2)+$AI205))</f>
        <v>#VALUE!</v>
      </c>
      <c r="O205" s="502" t="e">
        <f aca="false">SQRT(($AY205^2*($AH205/2)+$AW205^2*$AI205)/(($AH205/2)+$AI205))</f>
        <v>#VALUE!</v>
      </c>
      <c r="P205" s="371" t="e">
        <f aca="false">(VLOOKUP(AI205,CorrelationTwo,2)*(AW205^2)*AI205+VLOOKUP(D205,CorrelationOne,$AK$9)*AX205*AY205*(AH205/2))/((AI205+(AH205/2))*O205*N205)*AF205</f>
        <v>#VALUE!</v>
      </c>
      <c r="Q205" s="501" t="e">
        <f aca="false">xSPRDOPT(I205,H205,AQ205,0,O205,N205,P205,D205-$G$5,1,0)*AH205*AU205</f>
        <v>#VALUE!</v>
      </c>
      <c r="R205" s="501"/>
      <c r="S205" s="365" t="e">
        <f aca="false">-T205/(1-AR205)</f>
        <v>#VALUE!</v>
      </c>
      <c r="T205" s="365" t="e">
        <f aca="false">xSPRDOPT(I205,H205,AQ205,AT205,O205,N205,P205,D205-$G$5,1,1)*AF205*F205*AH205</f>
        <v>#VALUE!</v>
      </c>
      <c r="U205" s="501"/>
      <c r="V205" s="503" t="e">
        <f aca="false">VLOOKUP($AG205,$AL$4:$AS$15,8)*AH205*AU205</f>
        <v>#VALUE!</v>
      </c>
      <c r="W205" s="503"/>
      <c r="X205" s="504" t="e">
        <f aca="false">((BM205*BC205)+(BL205*BB205))*AH205*F205</f>
        <v>#VALUE!</v>
      </c>
      <c r="Y205" s="504" t="e">
        <f aca="false">($F205*$AH205)*((($BG205/2)*($BC205)^2)+(($BF205/2)*($BB205)^2)+($BH205*$BC205*$BB205))</f>
        <v>#VALUE!</v>
      </c>
      <c r="Z205" s="504" t="e">
        <f aca="false">($BI205*$F205*$AH205*($G$5-$BV$5))/365.25</f>
        <v>#VALUE!</v>
      </c>
      <c r="AA205" s="504" t="e">
        <f aca="false">(($BK205*$BE205)+($BJ205*$BD205))*$F205*$AH205*$AF205</f>
        <v>#VALUE!</v>
      </c>
      <c r="AB205" s="504" t="e">
        <f aca="false">BN205*(AT205-CA205)*F205*AH205</f>
        <v>#VALUE!</v>
      </c>
      <c r="AC205" s="504" t="e">
        <f aca="false">BO205*CB205*F205*AH205*CA205*($G$5-$BV$5)/365.25</f>
        <v>#NAME?</v>
      </c>
      <c r="AF205" s="378" t="e">
        <f aca="false">IF(AND(D205&gt;=$G$7,D205&lt;=$G$8),1,0)</f>
        <v>#VALUE!</v>
      </c>
      <c r="AG205" s="378" t="e">
        <f aca="false">MONTH(D205)</f>
        <v>#VALUE!</v>
      </c>
      <c r="AH205" s="378" t="e">
        <f aca="false">(EOMONTH(D205,0)-EOMONTH(D205-DAY(D205),0))*AF205</f>
        <v>#VALUE!</v>
      </c>
      <c r="AI205" s="378" t="e">
        <f aca="false">AI204+AH204</f>
        <v>#VALUE!</v>
      </c>
      <c r="AJ205" s="378" t="e">
        <f aca="false">D205-$BV$5</f>
        <v>#VALUE!</v>
      </c>
      <c r="AL205" s="369" t="e">
        <f aca="false">VLOOKUP($D205,CurveTbl,$AK$4)</f>
        <v>#VALUE!</v>
      </c>
      <c r="AM205" s="505" t="e">
        <f aca="false">VLOOKUP($D205,CurveTbl,$AH$3)</f>
        <v>#VALUE!</v>
      </c>
      <c r="AN205" s="505" t="e">
        <f aca="false">VLOOKUP($D205,CurveTbl,$AH$4)+VLOOKUP($AG205,$AL$3:$AS$15,6)</f>
        <v>#VALUE!</v>
      </c>
      <c r="AO205" s="505" t="e">
        <f aca="false">VLOOKUP($D205,CurveTbl,$AH$5)</f>
        <v>#VALUE!</v>
      </c>
      <c r="AP205" s="505" t="e">
        <f aca="false">VLOOKUP($D205,CurveTbl,$AH$6)+VLOOKUP($AG205,$AL$3:$AS$15,7)</f>
        <v>#VALUE!</v>
      </c>
      <c r="AQ205" s="369" t="e">
        <f aca="false">VLOOKUP($AG205,$AL$4:$AS$15,3)+VLOOKUP($AG205,$AL$4:$AS$15,5)+($AH$10*VLOOKUP(D205,GRITable,2))</f>
        <v>#VALUE!</v>
      </c>
      <c r="AR205" s="370" t="e">
        <f aca="false">VLOOKUP($AG205,$AL$4:$AS$15,4)</f>
        <v>#VALUE!</v>
      </c>
      <c r="AS205" s="369" t="e">
        <f aca="false">(AL205+AM205+AN205)</f>
        <v>#VALUE!</v>
      </c>
      <c r="AT205" s="370" t="e">
        <f aca="false">VLOOKUP(D205,CurveTbl,$AK$6)</f>
        <v>#VALUE!</v>
      </c>
      <c r="AU205" s="370" t="e">
        <f aca="false">(1+$AT205/2)^(-2*($D205-$G$5)/365.25)*$AF205</f>
        <v>#VALUE!</v>
      </c>
      <c r="AV205" s="506" t="e">
        <f aca="false">ROUND((F205/(1-AR205))-F205,0)*AF205*AH205*AU205</f>
        <v>#VALUE!</v>
      </c>
      <c r="AW205" s="370" t="e">
        <f aca="false">VLOOKUP($D205,CurveTbl,$AK$8)</f>
        <v>#VALUE!</v>
      </c>
      <c r="AX205" s="370" t="e">
        <f aca="false">VLOOKUP($D205,CurveTbl,$AH$7)</f>
        <v>#VALUE!</v>
      </c>
      <c r="AY205" s="370" t="e">
        <f aca="false">VLOOKUP($D205,CurveTbl,$AH$8)</f>
        <v>#VALUE!</v>
      </c>
      <c r="AZ205" s="370"/>
      <c r="BA205" s="507"/>
      <c r="BB205" s="505" t="e">
        <f aca="false">$H205-$BV205</f>
        <v>#VALUE!</v>
      </c>
      <c r="BC205" s="505" t="e">
        <f aca="false">I205-BW205</f>
        <v>#VALUE!</v>
      </c>
      <c r="BD205" s="370" t="e">
        <f aca="false">N205-BX205</f>
        <v>#VALUE!</v>
      </c>
      <c r="BE205" s="370" t="e">
        <f aca="false">O205-BY205</f>
        <v>#VALUE!</v>
      </c>
      <c r="BF205" s="370" t="e">
        <f aca="false">xSPRDOPT($BW205,$BV205,$CG205,0,$BY205,$BX205,$BZ205,$AJ205,1,4)*$CB205</f>
        <v>#NAME?</v>
      </c>
      <c r="BG205" s="370" t="e">
        <f aca="false">xSPRDOPT($BW205,$BV205,$CG205,0,$BY205,$BX205,$BZ205,$AJ205,1,3)*$CB205</f>
        <v>#NAME?</v>
      </c>
      <c r="BH205" s="370" t="e">
        <f aca="false">IF(OR(BF205&lt;&gt;0,BG205&lt;&gt;0),xSPRDOPT($BW205,$BV205,$CG205,0,$BY205,$BX205,$BZ205,$AJ205,1,12)*$CB205,0)</f>
        <v>#NAME?</v>
      </c>
      <c r="BI205" s="370" t="e">
        <f aca="false">xSPRDOPT($BW205,$BV205,$CG205,2*LN(1+CA205/2),$BY205,$BX205,$BZ205,$AJ205,1,9)</f>
        <v>#NAME?</v>
      </c>
      <c r="BJ205" s="370" t="e">
        <f aca="false">xSPRDOPT($BW205,$BV205,$CG205,0,$BY205,$BX205,$BZ205,$AJ205,1,6)*$CB205</f>
        <v>#NAME?</v>
      </c>
      <c r="BK205" s="370" t="e">
        <f aca="false">xSPRDOPT($BW205,$BV205,$CG205,0,$BY205,$BX205,$BZ205,$AJ205,1,5)*$CB205</f>
        <v>#NAME?</v>
      </c>
      <c r="BL205" s="370" t="e">
        <f aca="false">xSPRDOPT(BW205,BV205,CG205,0,BY205,BX205,BZ205,AJ205,1,2)*CB205</f>
        <v>#NAME?</v>
      </c>
      <c r="BM205" s="370" t="e">
        <f aca="false">xSPRDOPT(BW205,BV205,CG205,0,BY205,BX205,BZ205,AJ205,1,1)*CB205</f>
        <v>#NAME?</v>
      </c>
      <c r="BN205" s="370" t="e">
        <f aca="false">IF(AH205&lt;&gt;0,xSPRDOPT($BW205,$BV205,$CG205,2*LN(1+CA205/2),$BY205,$BX205,$BZ205,$AJ205,1,8)+(AJ205/365.25)*CH205/AH205,0)</f>
        <v>#VALUE!</v>
      </c>
      <c r="BO205" s="370" t="e">
        <f aca="false">xSPRDOPT($BW205,$BV205,$CG205,0,$BY205,$BX205,$BZ205,$AJ205,1,0)</f>
        <v>#NAME?</v>
      </c>
      <c r="BP205" s="370"/>
      <c r="BQ205" s="370"/>
      <c r="BR205" s="370"/>
      <c r="BS205" s="370"/>
      <c r="BV205" s="508" t="n">
        <v>4.39437340153453</v>
      </c>
      <c r="BW205" s="369" t="n">
        <v>4.8645</v>
      </c>
      <c r="BX205" s="370" t="n">
        <v>0.171029340595466</v>
      </c>
      <c r="BY205" s="370" t="n">
        <v>0.171029340595466</v>
      </c>
      <c r="BZ205" s="370" t="n">
        <v>1</v>
      </c>
      <c r="CA205" s="370" t="n">
        <v>0.0644928727655412</v>
      </c>
      <c r="CB205" s="370" t="n">
        <v>0.377808363697215</v>
      </c>
      <c r="CC205" s="505" t="n">
        <v>0.021</v>
      </c>
      <c r="CD205" s="505" t="n">
        <v>0.01</v>
      </c>
      <c r="CE205" s="505" t="n">
        <v>0.6</v>
      </c>
      <c r="CF205" s="505" t="n">
        <v>0</v>
      </c>
      <c r="CG205" s="505" t="n">
        <v>0.0364</v>
      </c>
      <c r="CH205" s="505" t="n">
        <v>4.17893831085489</v>
      </c>
      <c r="CI205" s="505" t="n">
        <v>4.2645</v>
      </c>
      <c r="CJ205" s="505"/>
      <c r="CK205" s="505"/>
      <c r="CL205" s="505"/>
      <c r="CM205" s="505"/>
    </row>
    <row r="206" customFormat="false" ht="12.75" hidden="false" customHeight="false" outlineLevel="0" collapsed="false">
      <c r="A206" s="500"/>
      <c r="B206" s="500"/>
      <c r="D206" s="361" t="e">
        <f aca="false">D205+AH205</f>
        <v>#VALUE!</v>
      </c>
      <c r="F206" s="362" t="e">
        <f aca="false">VLOOKUP(AG206,$AL$4:$AS$15,2)</f>
        <v>#VALUE!</v>
      </c>
      <c r="G206" s="362" t="e">
        <f aca="false">F206*$AU206</f>
        <v>#VALUE!</v>
      </c>
      <c r="H206" s="363" t="e">
        <f aca="false">(AL206+AM206+AN206)/(1-(AR206))</f>
        <v>#VALUE!</v>
      </c>
      <c r="I206" s="363" t="e">
        <f aca="false">(AL206+AO206+AP206)</f>
        <v>#VALUE!</v>
      </c>
      <c r="K206" s="363" t="e">
        <f aca="false">MAX(((I206-H206)-AQ206)*AU206*AH206,0)</f>
        <v>#VALUE!</v>
      </c>
      <c r="L206" s="501" t="e">
        <f aca="false">MAX(Q206-K206,0)</f>
        <v>#VALUE!</v>
      </c>
      <c r="N206" s="502" t="e">
        <f aca="false">SQRT(($AX206^2*($AH206/2)+$AW206^2*$AI206)/(($AH206/2)+$AI206))</f>
        <v>#VALUE!</v>
      </c>
      <c r="O206" s="502" t="e">
        <f aca="false">SQRT(($AY206^2*($AH206/2)+$AW206^2*$AI206)/(($AH206/2)+$AI206))</f>
        <v>#VALUE!</v>
      </c>
      <c r="P206" s="371" t="e">
        <f aca="false">(VLOOKUP(AI206,CorrelationTwo,2)*(AW206^2)*AI206+VLOOKUP(D206,CorrelationOne,$AK$9)*AX206*AY206*(AH206/2))/((AI206+(AH206/2))*O206*N206)*AF206</f>
        <v>#VALUE!</v>
      </c>
      <c r="Q206" s="501" t="e">
        <f aca="false">xSPRDOPT(I206,H206,AQ206,0,O206,N206,P206,D206-$G$5,1,0)*AH206*AU206</f>
        <v>#VALUE!</v>
      </c>
      <c r="R206" s="501"/>
      <c r="S206" s="365" t="e">
        <f aca="false">-T206/(1-AR206)</f>
        <v>#VALUE!</v>
      </c>
      <c r="T206" s="365" t="e">
        <f aca="false">xSPRDOPT(I206,H206,AQ206,AT206,O206,N206,P206,D206-$G$5,1,1)*AF206*F206*AH206</f>
        <v>#VALUE!</v>
      </c>
      <c r="U206" s="501"/>
      <c r="V206" s="503" t="e">
        <f aca="false">VLOOKUP($AG206,$AL$4:$AS$15,8)*AH206*AU206</f>
        <v>#VALUE!</v>
      </c>
      <c r="W206" s="503"/>
      <c r="X206" s="504" t="e">
        <f aca="false">((BM206*BC206)+(BL206*BB206))*AH206*F206</f>
        <v>#VALUE!</v>
      </c>
      <c r="Y206" s="504" t="e">
        <f aca="false">($F206*$AH206)*((($BG206/2)*($BC206)^2)+(($BF206/2)*($BB206)^2)+($BH206*$BC206*$BB206))</f>
        <v>#VALUE!</v>
      </c>
      <c r="Z206" s="504" t="e">
        <f aca="false">($BI206*$F206*$AH206*($G$5-$BV$5))/365.25</f>
        <v>#VALUE!</v>
      </c>
      <c r="AA206" s="504" t="e">
        <f aca="false">(($BK206*$BE206)+($BJ206*$BD206))*$F206*$AH206*$AF206</f>
        <v>#VALUE!</v>
      </c>
      <c r="AB206" s="504" t="e">
        <f aca="false">BN206*(AT206-CA206)*F206*AH206</f>
        <v>#VALUE!</v>
      </c>
      <c r="AC206" s="504" t="e">
        <f aca="false">BO206*CB206*F206*AH206*CA206*($G$5-$BV$5)/365.25</f>
        <v>#NAME?</v>
      </c>
      <c r="AF206" s="378" t="e">
        <f aca="false">IF(AND(D206&gt;=$G$7,D206&lt;=$G$8),1,0)</f>
        <v>#VALUE!</v>
      </c>
      <c r="AG206" s="378" t="e">
        <f aca="false">MONTH(D206)</f>
        <v>#VALUE!</v>
      </c>
      <c r="AH206" s="378" t="e">
        <f aca="false">(EOMONTH(D206,0)-EOMONTH(D206-DAY(D206),0))*AF206</f>
        <v>#VALUE!</v>
      </c>
      <c r="AI206" s="378" t="e">
        <f aca="false">AI205+AH205</f>
        <v>#VALUE!</v>
      </c>
      <c r="AJ206" s="378" t="e">
        <f aca="false">D206-$BV$5</f>
        <v>#VALUE!</v>
      </c>
      <c r="AL206" s="369" t="e">
        <f aca="false">VLOOKUP($D206,CurveTbl,$AK$4)</f>
        <v>#VALUE!</v>
      </c>
      <c r="AM206" s="505" t="e">
        <f aca="false">VLOOKUP($D206,CurveTbl,$AH$3)</f>
        <v>#VALUE!</v>
      </c>
      <c r="AN206" s="505" t="e">
        <f aca="false">VLOOKUP($D206,CurveTbl,$AH$4)+VLOOKUP($AG206,$AL$3:$AS$15,6)</f>
        <v>#VALUE!</v>
      </c>
      <c r="AO206" s="505" t="e">
        <f aca="false">VLOOKUP($D206,CurveTbl,$AH$5)</f>
        <v>#VALUE!</v>
      </c>
      <c r="AP206" s="505" t="e">
        <f aca="false">VLOOKUP($D206,CurveTbl,$AH$6)+VLOOKUP($AG206,$AL$3:$AS$15,7)</f>
        <v>#VALUE!</v>
      </c>
      <c r="AQ206" s="369" t="e">
        <f aca="false">VLOOKUP($AG206,$AL$4:$AS$15,3)+VLOOKUP($AG206,$AL$4:$AS$15,5)+($AH$10*VLOOKUP(D206,GRITable,2))</f>
        <v>#VALUE!</v>
      </c>
      <c r="AR206" s="370" t="e">
        <f aca="false">VLOOKUP($AG206,$AL$4:$AS$15,4)</f>
        <v>#VALUE!</v>
      </c>
      <c r="AS206" s="369" t="e">
        <f aca="false">(AL206+AM206+AN206)</f>
        <v>#VALUE!</v>
      </c>
      <c r="AT206" s="370" t="e">
        <f aca="false">VLOOKUP(D206,CurveTbl,$AK$6)</f>
        <v>#VALUE!</v>
      </c>
      <c r="AU206" s="370" t="e">
        <f aca="false">(1+$AT206/2)^(-2*($D206-$G$5)/365.25)*$AF206</f>
        <v>#VALUE!</v>
      </c>
      <c r="AV206" s="506" t="e">
        <f aca="false">ROUND((F206/(1-AR206))-F206,0)*AF206*AH206*AU206</f>
        <v>#VALUE!</v>
      </c>
      <c r="AW206" s="370" t="e">
        <f aca="false">VLOOKUP($D206,CurveTbl,$AK$8)</f>
        <v>#VALUE!</v>
      </c>
      <c r="AX206" s="370" t="e">
        <f aca="false">VLOOKUP($D206,CurveTbl,$AH$7)</f>
        <v>#VALUE!</v>
      </c>
      <c r="AY206" s="370" t="e">
        <f aca="false">VLOOKUP($D206,CurveTbl,$AH$8)</f>
        <v>#VALUE!</v>
      </c>
      <c r="AZ206" s="370"/>
      <c r="BA206" s="507"/>
      <c r="BB206" s="505" t="e">
        <f aca="false">$H206-$BV206</f>
        <v>#VALUE!</v>
      </c>
      <c r="BC206" s="505" t="e">
        <f aca="false">I206-BW206</f>
        <v>#VALUE!</v>
      </c>
      <c r="BD206" s="370" t="e">
        <f aca="false">N206-BX206</f>
        <v>#VALUE!</v>
      </c>
      <c r="BE206" s="370" t="e">
        <f aca="false">O206-BY206</f>
        <v>#VALUE!</v>
      </c>
      <c r="BF206" s="370" t="e">
        <f aca="false">xSPRDOPT($BW206,$BV206,$CG206,0,$BY206,$BX206,$BZ206,$AJ206,1,4)*$CB206</f>
        <v>#NAME?</v>
      </c>
      <c r="BG206" s="370" t="e">
        <f aca="false">xSPRDOPT($BW206,$BV206,$CG206,0,$BY206,$BX206,$BZ206,$AJ206,1,3)*$CB206</f>
        <v>#NAME?</v>
      </c>
      <c r="BH206" s="370" t="e">
        <f aca="false">IF(OR(BF206&lt;&gt;0,BG206&lt;&gt;0),xSPRDOPT($BW206,$BV206,$CG206,0,$BY206,$BX206,$BZ206,$AJ206,1,12)*$CB206,0)</f>
        <v>#NAME?</v>
      </c>
      <c r="BI206" s="370" t="e">
        <f aca="false">xSPRDOPT($BW206,$BV206,$CG206,2*LN(1+CA206/2),$BY206,$BX206,$BZ206,$AJ206,1,9)</f>
        <v>#NAME?</v>
      </c>
      <c r="BJ206" s="370" t="e">
        <f aca="false">xSPRDOPT($BW206,$BV206,$CG206,0,$BY206,$BX206,$BZ206,$AJ206,1,6)*$CB206</f>
        <v>#NAME?</v>
      </c>
      <c r="BK206" s="370" t="e">
        <f aca="false">xSPRDOPT($BW206,$BV206,$CG206,0,$BY206,$BX206,$BZ206,$AJ206,1,5)*$CB206</f>
        <v>#NAME?</v>
      </c>
      <c r="BL206" s="370" t="e">
        <f aca="false">xSPRDOPT(BW206,BV206,CG206,0,BY206,BX206,BZ206,AJ206,1,2)*CB206</f>
        <v>#NAME?</v>
      </c>
      <c r="BM206" s="370" t="e">
        <f aca="false">xSPRDOPT(BW206,BV206,CG206,0,BY206,BX206,BZ206,AJ206,1,1)*CB206</f>
        <v>#NAME?</v>
      </c>
      <c r="BN206" s="370" t="e">
        <f aca="false">IF(AH206&lt;&gt;0,xSPRDOPT($BW206,$BV206,$CG206,2*LN(1+CA206/2),$BY206,$BX206,$BZ206,$AJ206,1,8)+(AJ206/365.25)*CH206/AH206,0)</f>
        <v>#VALUE!</v>
      </c>
      <c r="BO206" s="370" t="e">
        <f aca="false">xSPRDOPT($BW206,$BV206,$CG206,0,$BY206,$BX206,$BZ206,$AJ206,1,0)</f>
        <v>#NAME?</v>
      </c>
      <c r="BP206" s="370"/>
      <c r="BQ206" s="370"/>
      <c r="BR206" s="370"/>
      <c r="BS206" s="370"/>
      <c r="BV206" s="508" t="n">
        <v>4.39181585677749</v>
      </c>
      <c r="BW206" s="369" t="n">
        <v>5.0095</v>
      </c>
      <c r="BX206" s="370" t="n">
        <v>0.171399321686168</v>
      </c>
      <c r="BY206" s="370" t="n">
        <v>0.171399321686168</v>
      </c>
      <c r="BZ206" s="370" t="n">
        <v>1</v>
      </c>
      <c r="CA206" s="370" t="n">
        <v>0.0645321090086899</v>
      </c>
      <c r="CB206" s="370" t="n">
        <v>0.37562359112762</v>
      </c>
      <c r="CC206" s="505" t="n">
        <v>0.0235</v>
      </c>
      <c r="CD206" s="505" t="n">
        <v>0.01</v>
      </c>
      <c r="CE206" s="505" t="n">
        <v>0.75</v>
      </c>
      <c r="CF206" s="505" t="n">
        <v>0</v>
      </c>
      <c r="CG206" s="505" t="n">
        <v>0.0364</v>
      </c>
      <c r="CH206" s="505" t="n">
        <v>4.29326495951136</v>
      </c>
      <c r="CI206" s="505" t="n">
        <v>4.2595</v>
      </c>
      <c r="CJ206" s="505"/>
      <c r="CK206" s="505"/>
      <c r="CL206" s="505"/>
      <c r="CM206" s="505"/>
    </row>
    <row r="207" customFormat="false" ht="12.75" hidden="false" customHeight="false" outlineLevel="0" collapsed="false">
      <c r="A207" s="500"/>
      <c r="B207" s="500"/>
      <c r="D207" s="361" t="e">
        <f aca="false">D206+AH206</f>
        <v>#VALUE!</v>
      </c>
      <c r="F207" s="362" t="e">
        <f aca="false">VLOOKUP(AG207,$AL$4:$AS$15,2)</f>
        <v>#VALUE!</v>
      </c>
      <c r="G207" s="362" t="e">
        <f aca="false">F207*$AU207</f>
        <v>#VALUE!</v>
      </c>
      <c r="H207" s="363" t="e">
        <f aca="false">(AL207+AM207+AN207)/(1-(AR207))</f>
        <v>#VALUE!</v>
      </c>
      <c r="I207" s="363" t="e">
        <f aca="false">(AL207+AO207+AP207)</f>
        <v>#VALUE!</v>
      </c>
      <c r="K207" s="363" t="e">
        <f aca="false">MAX(((I207-H207)-AQ207)*AU207*AH207,0)</f>
        <v>#VALUE!</v>
      </c>
      <c r="L207" s="501" t="e">
        <f aca="false">MAX(Q207-K207,0)</f>
        <v>#VALUE!</v>
      </c>
      <c r="N207" s="502" t="e">
        <f aca="false">SQRT(($AX207^2*($AH207/2)+$AW207^2*$AI207)/(($AH207/2)+$AI207))</f>
        <v>#VALUE!</v>
      </c>
      <c r="O207" s="502" t="e">
        <f aca="false">SQRT(($AY207^2*($AH207/2)+$AW207^2*$AI207)/(($AH207/2)+$AI207))</f>
        <v>#VALUE!</v>
      </c>
      <c r="P207" s="371" t="e">
        <f aca="false">(VLOOKUP(AI207,CorrelationTwo,2)*(AW207^2)*AI207+VLOOKUP(D207,CorrelationOne,$AK$9)*AX207*AY207*(AH207/2))/((AI207+(AH207/2))*O207*N207)*AF207</f>
        <v>#VALUE!</v>
      </c>
      <c r="Q207" s="501" t="e">
        <f aca="false">xSPRDOPT(I207,H207,AQ207,0,O207,N207,P207,D207-$G$5,1,0)*AH207*AU207</f>
        <v>#VALUE!</v>
      </c>
      <c r="R207" s="501"/>
      <c r="S207" s="365" t="e">
        <f aca="false">-T207/(1-AR207)</f>
        <v>#VALUE!</v>
      </c>
      <c r="T207" s="365" t="e">
        <f aca="false">xSPRDOPT(I207,H207,AQ207,AT207,O207,N207,P207,D207-$G$5,1,1)*AF207*F207*AH207</f>
        <v>#VALUE!</v>
      </c>
      <c r="U207" s="501"/>
      <c r="V207" s="503" t="e">
        <f aca="false">VLOOKUP($AG207,$AL$4:$AS$15,8)*AH207*AU207</f>
        <v>#VALUE!</v>
      </c>
      <c r="W207" s="503"/>
      <c r="X207" s="504" t="e">
        <f aca="false">((BM207*BC207)+(BL207*BB207))*AH207*F207</f>
        <v>#VALUE!</v>
      </c>
      <c r="Y207" s="504" t="e">
        <f aca="false">($F207*$AH207)*((($BG207/2)*($BC207)^2)+(($BF207/2)*($BB207)^2)+($BH207*$BC207*$BB207))</f>
        <v>#VALUE!</v>
      </c>
      <c r="Z207" s="504" t="e">
        <f aca="false">($BI207*$F207*$AH207*($G$5-$BV$5))/365.25</f>
        <v>#VALUE!</v>
      </c>
      <c r="AA207" s="504" t="e">
        <f aca="false">(($BK207*$BE207)+($BJ207*$BD207))*$F207*$AH207*$AF207</f>
        <v>#VALUE!</v>
      </c>
      <c r="AB207" s="504" t="e">
        <f aca="false">BN207*(AT207-CA207)*F207*AH207</f>
        <v>#VALUE!</v>
      </c>
      <c r="AC207" s="504" t="e">
        <f aca="false">BO207*CB207*F207*AH207*CA207*($G$5-$BV$5)/365.25</f>
        <v>#NAME?</v>
      </c>
      <c r="AF207" s="378" t="e">
        <f aca="false">IF(AND(D207&gt;=$G$7,D207&lt;=$G$8),1,0)</f>
        <v>#VALUE!</v>
      </c>
      <c r="AG207" s="378" t="e">
        <f aca="false">MONTH(D207)</f>
        <v>#VALUE!</v>
      </c>
      <c r="AH207" s="378" t="e">
        <f aca="false">(EOMONTH(D207,0)-EOMONTH(D207-DAY(D207),0))*AF207</f>
        <v>#VALUE!</v>
      </c>
      <c r="AI207" s="378" t="e">
        <f aca="false">AI206+AH206</f>
        <v>#VALUE!</v>
      </c>
      <c r="AJ207" s="378" t="e">
        <f aca="false">D207-$BV$5</f>
        <v>#VALUE!</v>
      </c>
      <c r="AL207" s="369" t="e">
        <f aca="false">VLOOKUP($D207,CurveTbl,$AK$4)</f>
        <v>#VALUE!</v>
      </c>
      <c r="AM207" s="505" t="e">
        <f aca="false">VLOOKUP($D207,CurveTbl,$AH$3)</f>
        <v>#VALUE!</v>
      </c>
      <c r="AN207" s="505" t="e">
        <f aca="false">VLOOKUP($D207,CurveTbl,$AH$4)+VLOOKUP($AG207,$AL$3:$AS$15,6)</f>
        <v>#VALUE!</v>
      </c>
      <c r="AO207" s="505" t="e">
        <f aca="false">VLOOKUP($D207,CurveTbl,$AH$5)</f>
        <v>#VALUE!</v>
      </c>
      <c r="AP207" s="505" t="e">
        <f aca="false">VLOOKUP($D207,CurveTbl,$AH$6)+VLOOKUP($AG207,$AL$3:$AS$15,7)</f>
        <v>#VALUE!</v>
      </c>
      <c r="AQ207" s="369" t="e">
        <f aca="false">VLOOKUP($AG207,$AL$4:$AS$15,3)+VLOOKUP($AG207,$AL$4:$AS$15,5)+($AH$10*VLOOKUP(D207,GRITable,2))</f>
        <v>#VALUE!</v>
      </c>
      <c r="AR207" s="370" t="e">
        <f aca="false">VLOOKUP($AG207,$AL$4:$AS$15,4)</f>
        <v>#VALUE!</v>
      </c>
      <c r="AS207" s="369" t="e">
        <f aca="false">(AL207+AM207+AN207)</f>
        <v>#VALUE!</v>
      </c>
      <c r="AT207" s="370" t="e">
        <f aca="false">VLOOKUP(D207,CurveTbl,$AK$6)</f>
        <v>#VALUE!</v>
      </c>
      <c r="AU207" s="370" t="e">
        <f aca="false">(1+$AT207/2)^(-2*($D207-$G$5)/365.25)*$AF207</f>
        <v>#VALUE!</v>
      </c>
      <c r="AV207" s="506" t="e">
        <f aca="false">ROUND((F207/(1-AR207))-F207,0)*AF207*AH207*AU207</f>
        <v>#VALUE!</v>
      </c>
      <c r="AW207" s="370" t="e">
        <f aca="false">VLOOKUP($D207,CurveTbl,$AK$8)</f>
        <v>#VALUE!</v>
      </c>
      <c r="AX207" s="370" t="e">
        <f aca="false">VLOOKUP($D207,CurveTbl,$AH$7)</f>
        <v>#VALUE!</v>
      </c>
      <c r="AY207" s="370" t="e">
        <f aca="false">VLOOKUP($D207,CurveTbl,$AH$8)</f>
        <v>#VALUE!</v>
      </c>
      <c r="AZ207" s="370"/>
      <c r="BA207" s="507"/>
      <c r="BB207" s="505" t="e">
        <f aca="false">$H207-$BV207</f>
        <v>#VALUE!</v>
      </c>
      <c r="BC207" s="505" t="e">
        <f aca="false">I207-BW207</f>
        <v>#VALUE!</v>
      </c>
      <c r="BD207" s="370" t="e">
        <f aca="false">N207-BX207</f>
        <v>#VALUE!</v>
      </c>
      <c r="BE207" s="370" t="e">
        <f aca="false">O207-BY207</f>
        <v>#VALUE!</v>
      </c>
      <c r="BF207" s="370" t="e">
        <f aca="false">xSPRDOPT($BW207,$BV207,$CG207,0,$BY207,$BX207,$BZ207,$AJ207,1,4)*$CB207</f>
        <v>#NAME?</v>
      </c>
      <c r="BG207" s="370" t="e">
        <f aca="false">xSPRDOPT($BW207,$BV207,$CG207,0,$BY207,$BX207,$BZ207,$AJ207,1,3)*$CB207</f>
        <v>#NAME?</v>
      </c>
      <c r="BH207" s="370" t="e">
        <f aca="false">IF(OR(BF207&lt;&gt;0,BG207&lt;&gt;0),xSPRDOPT($BW207,$BV207,$CG207,0,$BY207,$BX207,$BZ207,$AJ207,1,12)*$CB207,0)</f>
        <v>#NAME?</v>
      </c>
      <c r="BI207" s="370" t="e">
        <f aca="false">xSPRDOPT($BW207,$BV207,$CG207,2*LN(1+CA207/2),$BY207,$BX207,$BZ207,$AJ207,1,9)</f>
        <v>#NAME?</v>
      </c>
      <c r="BJ207" s="370" t="e">
        <f aca="false">xSPRDOPT($BW207,$BV207,$CG207,0,$BY207,$BX207,$BZ207,$AJ207,1,6)*$CB207</f>
        <v>#NAME?</v>
      </c>
      <c r="BK207" s="370" t="e">
        <f aca="false">xSPRDOPT($BW207,$BV207,$CG207,0,$BY207,$BX207,$BZ207,$AJ207,1,5)*$CB207</f>
        <v>#NAME?</v>
      </c>
      <c r="BL207" s="370" t="e">
        <f aca="false">xSPRDOPT(BW207,BV207,CG207,0,BY207,BX207,BZ207,AJ207,1,2)*CB207</f>
        <v>#NAME?</v>
      </c>
      <c r="BM207" s="370" t="e">
        <f aca="false">xSPRDOPT(BW207,BV207,CG207,0,BY207,BX207,BZ207,AJ207,1,1)*CB207</f>
        <v>#NAME?</v>
      </c>
      <c r="BN207" s="370" t="e">
        <f aca="false">IF(AH207&lt;&gt;0,xSPRDOPT($BW207,$BV207,$CG207,2*LN(1+CA207/2),$BY207,$BX207,$BZ207,$AJ207,1,8)+(AJ207/365.25)*CH207/AH207,0)</f>
        <v>#VALUE!</v>
      </c>
      <c r="BO207" s="370" t="e">
        <f aca="false">xSPRDOPT($BW207,$BV207,$CG207,0,$BY207,$BX207,$BZ207,$AJ207,1,0)</f>
        <v>#NAME?</v>
      </c>
      <c r="BP207" s="370"/>
      <c r="BQ207" s="370"/>
      <c r="BR207" s="370"/>
      <c r="BS207" s="370"/>
      <c r="BV207" s="508" t="n">
        <v>4.42762148337596</v>
      </c>
      <c r="BW207" s="369" t="n">
        <v>5.1445</v>
      </c>
      <c r="BX207" s="370" t="n">
        <v>0.171347094947209</v>
      </c>
      <c r="BY207" s="370" t="n">
        <v>0.171347094947209</v>
      </c>
      <c r="BZ207" s="370" t="n">
        <v>1</v>
      </c>
      <c r="CA207" s="370" t="n">
        <v>0.0645726531271467</v>
      </c>
      <c r="CB207" s="370" t="n">
        <v>0.373376819835711</v>
      </c>
      <c r="CC207" s="505" t="n">
        <v>0.0235</v>
      </c>
      <c r="CD207" s="505" t="n">
        <v>0.01</v>
      </c>
      <c r="CE207" s="505" t="n">
        <v>0.85</v>
      </c>
      <c r="CF207" s="505" t="n">
        <v>0</v>
      </c>
      <c r="CG207" s="505" t="n">
        <v>0.0364</v>
      </c>
      <c r="CH207" s="505" t="n">
        <v>4.1299210042028</v>
      </c>
      <c r="CI207" s="505" t="n">
        <v>4.2945</v>
      </c>
      <c r="CJ207" s="505"/>
      <c r="CK207" s="505"/>
      <c r="CL207" s="505"/>
      <c r="CM207" s="505"/>
    </row>
    <row r="208" customFormat="false" ht="12.75" hidden="false" customHeight="false" outlineLevel="0" collapsed="false">
      <c r="A208" s="500"/>
      <c r="B208" s="500"/>
      <c r="D208" s="361" t="e">
        <f aca="false">D207+AH207</f>
        <v>#VALUE!</v>
      </c>
      <c r="F208" s="362" t="e">
        <f aca="false">VLOOKUP(AG208,$AL$4:$AS$15,2)</f>
        <v>#VALUE!</v>
      </c>
      <c r="G208" s="362" t="e">
        <f aca="false">F208*$AU208</f>
        <v>#VALUE!</v>
      </c>
      <c r="H208" s="363" t="e">
        <f aca="false">(AL208+AM208+AN208)/(1-(AR208))</f>
        <v>#VALUE!</v>
      </c>
      <c r="I208" s="363" t="e">
        <f aca="false">(AL208+AO208+AP208)</f>
        <v>#VALUE!</v>
      </c>
      <c r="K208" s="363" t="e">
        <f aca="false">MAX(((I208-H208)-AQ208)*AU208*AH208,0)</f>
        <v>#VALUE!</v>
      </c>
      <c r="L208" s="501" t="e">
        <f aca="false">MAX(Q208-K208,0)</f>
        <v>#VALUE!</v>
      </c>
      <c r="N208" s="502" t="e">
        <f aca="false">SQRT(($AX208^2*($AH208/2)+$AW208^2*$AI208)/(($AH208/2)+$AI208))</f>
        <v>#VALUE!</v>
      </c>
      <c r="O208" s="502" t="e">
        <f aca="false">SQRT(($AY208^2*($AH208/2)+$AW208^2*$AI208)/(($AH208/2)+$AI208))</f>
        <v>#VALUE!</v>
      </c>
      <c r="P208" s="371" t="e">
        <f aca="false">(VLOOKUP(AI208,CorrelationTwo,2)*(AW208^2)*AI208+VLOOKUP(D208,CorrelationOne,$AK$9)*AX208*AY208*(AH208/2))/((AI208+(AH208/2))*O208*N208)*AF208</f>
        <v>#VALUE!</v>
      </c>
      <c r="Q208" s="501" t="e">
        <f aca="false">xSPRDOPT(I208,H208,AQ208,0,O208,N208,P208,D208-$G$5,1,0)*AH208*AU208</f>
        <v>#VALUE!</v>
      </c>
      <c r="R208" s="501"/>
      <c r="S208" s="365" t="e">
        <f aca="false">-T208/(1-AR208)</f>
        <v>#VALUE!</v>
      </c>
      <c r="T208" s="365" t="e">
        <f aca="false">xSPRDOPT(I208,H208,AQ208,AT208,O208,N208,P208,D208-$G$5,1,1)*AF208*F208*AH208</f>
        <v>#VALUE!</v>
      </c>
      <c r="U208" s="501"/>
      <c r="V208" s="503" t="e">
        <f aca="false">VLOOKUP($AG208,$AL$4:$AS$15,8)*AH208*AU208</f>
        <v>#VALUE!</v>
      </c>
      <c r="W208" s="503"/>
      <c r="X208" s="504" t="e">
        <f aca="false">((BM208*BC208)+(BL208*BB208))*AH208*F208</f>
        <v>#VALUE!</v>
      </c>
      <c r="Y208" s="504" t="e">
        <f aca="false">($F208*$AH208)*((($BG208/2)*($BC208)^2)+(($BF208/2)*($BB208)^2)+($BH208*$BC208*$BB208))</f>
        <v>#VALUE!</v>
      </c>
      <c r="Z208" s="504" t="e">
        <f aca="false">($BI208*$F208*$AH208*($G$5-$BV$5))/365.25</f>
        <v>#VALUE!</v>
      </c>
      <c r="AA208" s="504" t="e">
        <f aca="false">(($BK208*$BE208)+($BJ208*$BD208))*$F208*$AH208*$AF208</f>
        <v>#VALUE!</v>
      </c>
      <c r="AB208" s="504" t="e">
        <f aca="false">BN208*(AT208-CA208)*F208*AH208</f>
        <v>#VALUE!</v>
      </c>
      <c r="AC208" s="504" t="e">
        <f aca="false">BO208*CB208*F208*AH208*CA208*($G$5-$BV$5)/365.25</f>
        <v>#NAME?</v>
      </c>
      <c r="AF208" s="378" t="e">
        <f aca="false">IF(AND(D208&gt;=$G$7,D208&lt;=$G$8),1,0)</f>
        <v>#VALUE!</v>
      </c>
      <c r="AG208" s="378" t="e">
        <f aca="false">MONTH(D208)</f>
        <v>#VALUE!</v>
      </c>
      <c r="AH208" s="378" t="e">
        <f aca="false">(EOMONTH(D208,0)-EOMONTH(D208-DAY(D208),0))*AF208</f>
        <v>#VALUE!</v>
      </c>
      <c r="AI208" s="378" t="e">
        <f aca="false">AI207+AH207</f>
        <v>#VALUE!</v>
      </c>
      <c r="AJ208" s="378" t="e">
        <f aca="false">D208-$BV$5</f>
        <v>#VALUE!</v>
      </c>
      <c r="AL208" s="369" t="e">
        <f aca="false">VLOOKUP($D208,CurveTbl,$AK$4)</f>
        <v>#VALUE!</v>
      </c>
      <c r="AM208" s="505" t="e">
        <f aca="false">VLOOKUP($D208,CurveTbl,$AH$3)</f>
        <v>#VALUE!</v>
      </c>
      <c r="AN208" s="505" t="e">
        <f aca="false">VLOOKUP($D208,CurveTbl,$AH$4)+VLOOKUP($AG208,$AL$3:$AS$15,6)</f>
        <v>#VALUE!</v>
      </c>
      <c r="AO208" s="505" t="e">
        <f aca="false">VLOOKUP($D208,CurveTbl,$AH$5)</f>
        <v>#VALUE!</v>
      </c>
      <c r="AP208" s="505" t="e">
        <f aca="false">VLOOKUP($D208,CurveTbl,$AH$6)+VLOOKUP($AG208,$AL$3:$AS$15,7)</f>
        <v>#VALUE!</v>
      </c>
      <c r="AQ208" s="369" t="e">
        <f aca="false">VLOOKUP($AG208,$AL$4:$AS$15,3)+VLOOKUP($AG208,$AL$4:$AS$15,5)+($AH$10*VLOOKUP(D208,GRITable,2))</f>
        <v>#VALUE!</v>
      </c>
      <c r="AR208" s="370" t="e">
        <f aca="false">VLOOKUP($AG208,$AL$4:$AS$15,4)</f>
        <v>#VALUE!</v>
      </c>
      <c r="AS208" s="369" t="e">
        <f aca="false">(AL208+AM208+AN208)</f>
        <v>#VALUE!</v>
      </c>
      <c r="AT208" s="370" t="e">
        <f aca="false">VLOOKUP(D208,CurveTbl,$AK$6)</f>
        <v>#VALUE!</v>
      </c>
      <c r="AU208" s="370" t="e">
        <f aca="false">(1+$AT208/2)^(-2*($D208-$G$5)/365.25)*$AF208</f>
        <v>#VALUE!</v>
      </c>
      <c r="AV208" s="506" t="e">
        <f aca="false">ROUND((F208/(1-AR208))-F208,0)*AF208*AH208*AU208</f>
        <v>#VALUE!</v>
      </c>
      <c r="AW208" s="370" t="e">
        <f aca="false">VLOOKUP($D208,CurveTbl,$AK$8)</f>
        <v>#VALUE!</v>
      </c>
      <c r="AX208" s="370" t="e">
        <f aca="false">VLOOKUP($D208,CurveTbl,$AH$7)</f>
        <v>#VALUE!</v>
      </c>
      <c r="AY208" s="370" t="e">
        <f aca="false">VLOOKUP($D208,CurveTbl,$AH$8)</f>
        <v>#VALUE!</v>
      </c>
      <c r="AZ208" s="370"/>
      <c r="BA208" s="507"/>
      <c r="BB208" s="505" t="e">
        <f aca="false">$H208-$BV208</f>
        <v>#VALUE!</v>
      </c>
      <c r="BC208" s="505" t="e">
        <f aca="false">I208-BW208</f>
        <v>#VALUE!</v>
      </c>
      <c r="BD208" s="370" t="e">
        <f aca="false">N208-BX208</f>
        <v>#VALUE!</v>
      </c>
      <c r="BE208" s="370" t="e">
        <f aca="false">O208-BY208</f>
        <v>#VALUE!</v>
      </c>
      <c r="BF208" s="370" t="e">
        <f aca="false">xSPRDOPT($BW208,$BV208,$CG208,0,$BY208,$BX208,$BZ208,$AJ208,1,4)*$CB208</f>
        <v>#NAME?</v>
      </c>
      <c r="BG208" s="370" t="e">
        <f aca="false">xSPRDOPT($BW208,$BV208,$CG208,0,$BY208,$BX208,$BZ208,$AJ208,1,3)*$CB208</f>
        <v>#NAME?</v>
      </c>
      <c r="BH208" s="370" t="e">
        <f aca="false">IF(OR(BF208&lt;&gt;0,BG208&lt;&gt;0),xSPRDOPT($BW208,$BV208,$CG208,0,$BY208,$BX208,$BZ208,$AJ208,1,12)*$CB208,0)</f>
        <v>#NAME?</v>
      </c>
      <c r="BI208" s="370" t="e">
        <f aca="false">xSPRDOPT($BW208,$BV208,$CG208,2*LN(1+CA208/2),$BY208,$BX208,$BZ208,$AJ208,1,9)</f>
        <v>#NAME?</v>
      </c>
      <c r="BJ208" s="370" t="e">
        <f aca="false">xSPRDOPT($BW208,$BV208,$CG208,0,$BY208,$BX208,$BZ208,$AJ208,1,6)*$CB208</f>
        <v>#NAME?</v>
      </c>
      <c r="BK208" s="370" t="e">
        <f aca="false">xSPRDOPT($BW208,$BV208,$CG208,0,$BY208,$BX208,$BZ208,$AJ208,1,5)*$CB208</f>
        <v>#NAME?</v>
      </c>
      <c r="BL208" s="370" t="e">
        <f aca="false">xSPRDOPT(BW208,BV208,CG208,0,BY208,BX208,BZ208,AJ208,1,2)*CB208</f>
        <v>#NAME?</v>
      </c>
      <c r="BM208" s="370" t="e">
        <f aca="false">xSPRDOPT(BW208,BV208,CG208,0,BY208,BX208,BZ208,AJ208,1,1)*CB208</f>
        <v>#NAME?</v>
      </c>
      <c r="BN208" s="370" t="e">
        <f aca="false">IF(AH208&lt;&gt;0,xSPRDOPT($BW208,$BV208,$CG208,2*LN(1+CA208/2),$BY208,$BX208,$BZ208,$AJ208,1,8)+(AJ208/365.25)*CH208/AH208,0)</f>
        <v>#VALUE!</v>
      </c>
      <c r="BO208" s="370" t="e">
        <f aca="false">xSPRDOPT($BW208,$BV208,$CG208,0,$BY208,$BX208,$BZ208,$AJ208,1,0)</f>
        <v>#NAME?</v>
      </c>
      <c r="BP208" s="370"/>
      <c r="BQ208" s="370"/>
      <c r="BR208" s="370"/>
      <c r="BS208" s="370"/>
      <c r="BV208" s="508" t="n">
        <v>4.46854219948849</v>
      </c>
      <c r="BW208" s="369" t="n">
        <v>5.3845</v>
      </c>
      <c r="BX208" s="370" t="n">
        <v>0.171761239066929</v>
      </c>
      <c r="BY208" s="370" t="n">
        <v>0.171761239066929</v>
      </c>
      <c r="BZ208" s="370" t="n">
        <v>1</v>
      </c>
      <c r="CA208" s="370" t="n">
        <v>0.0646118893713337</v>
      </c>
      <c r="CB208" s="370" t="n">
        <v>0.371212969327499</v>
      </c>
      <c r="CC208" s="505" t="n">
        <v>0.0235</v>
      </c>
      <c r="CD208" s="505" t="n">
        <v>0.01</v>
      </c>
      <c r="CE208" s="505" t="n">
        <v>1.05</v>
      </c>
      <c r="CF208" s="505" t="n">
        <v>0</v>
      </c>
      <c r="CG208" s="505" t="n">
        <v>0.0364</v>
      </c>
      <c r="CH208" s="505" t="n">
        <v>4.24285287552251</v>
      </c>
      <c r="CI208" s="505" t="n">
        <v>4.3345</v>
      </c>
      <c r="CJ208" s="505"/>
      <c r="CK208" s="505"/>
      <c r="CL208" s="505"/>
      <c r="CM208" s="505"/>
    </row>
    <row r="209" customFormat="false" ht="12.75" hidden="false" customHeight="false" outlineLevel="0" collapsed="false">
      <c r="A209" s="500"/>
      <c r="B209" s="500"/>
      <c r="D209" s="361" t="e">
        <f aca="false">D208+AH208</f>
        <v>#VALUE!</v>
      </c>
      <c r="F209" s="362" t="e">
        <f aca="false">VLOOKUP(AG209,$AL$4:$AS$15,2)</f>
        <v>#VALUE!</v>
      </c>
      <c r="G209" s="362" t="e">
        <f aca="false">F209*$AU209</f>
        <v>#VALUE!</v>
      </c>
      <c r="H209" s="363" t="e">
        <f aca="false">(AL209+AM209+AN209)/(1-(AR209))</f>
        <v>#VALUE!</v>
      </c>
      <c r="I209" s="363" t="e">
        <f aca="false">(AL209+AO209+AP209)</f>
        <v>#VALUE!</v>
      </c>
      <c r="K209" s="363" t="e">
        <f aca="false">MAX(((I209-H209)-AQ209)*AU209*AH209,0)</f>
        <v>#VALUE!</v>
      </c>
      <c r="L209" s="501" t="e">
        <f aca="false">MAX(Q209-K209,0)</f>
        <v>#VALUE!</v>
      </c>
      <c r="N209" s="502" t="e">
        <f aca="false">SQRT(($AX209^2*($AH209/2)+$AW209^2*$AI209)/(($AH209/2)+$AI209))</f>
        <v>#VALUE!</v>
      </c>
      <c r="O209" s="502" t="e">
        <f aca="false">SQRT(($AY209^2*($AH209/2)+$AW209^2*$AI209)/(($AH209/2)+$AI209))</f>
        <v>#VALUE!</v>
      </c>
      <c r="P209" s="371" t="e">
        <f aca="false">(VLOOKUP(AI209,CorrelationTwo,2)*(AW209^2)*AI209+VLOOKUP(D209,CorrelationOne,$AK$9)*AX209*AY209*(AH209/2))/((AI209+(AH209/2))*O209*N209)*AF209</f>
        <v>#VALUE!</v>
      </c>
      <c r="Q209" s="501" t="e">
        <f aca="false">xSPRDOPT(I209,H209,AQ209,0,O209,N209,P209,D209-$G$5,1,0)*AH209*AU209</f>
        <v>#VALUE!</v>
      </c>
      <c r="R209" s="501"/>
      <c r="S209" s="365" t="e">
        <f aca="false">-T209/(1-AR209)</f>
        <v>#VALUE!</v>
      </c>
      <c r="T209" s="365" t="e">
        <f aca="false">xSPRDOPT(I209,H209,AQ209,AT209,O209,N209,P209,D209-$G$5,1,1)*AF209*F209*AH209</f>
        <v>#VALUE!</v>
      </c>
      <c r="U209" s="501"/>
      <c r="V209" s="503" t="e">
        <f aca="false">VLOOKUP($AG209,$AL$4:$AS$15,8)*AH209*AU209</f>
        <v>#VALUE!</v>
      </c>
      <c r="W209" s="503"/>
      <c r="X209" s="504" t="e">
        <f aca="false">((BM209*BC209)+(BL209*BB209))*AH209*F209</f>
        <v>#VALUE!</v>
      </c>
      <c r="Y209" s="504" t="e">
        <f aca="false">($F209*$AH209)*((($BG209/2)*($BC209)^2)+(($BF209/2)*($BB209)^2)+($BH209*$BC209*$BB209))</f>
        <v>#VALUE!</v>
      </c>
      <c r="Z209" s="504" t="e">
        <f aca="false">($BI209*$F209*$AH209*($G$5-$BV$5))/365.25</f>
        <v>#VALUE!</v>
      </c>
      <c r="AA209" s="504" t="e">
        <f aca="false">(($BK209*$BE209)+($BJ209*$BD209))*$F209*$AH209*$AF209</f>
        <v>#VALUE!</v>
      </c>
      <c r="AB209" s="504" t="e">
        <f aca="false">BN209*(AT209-CA209)*F209*AH209</f>
        <v>#VALUE!</v>
      </c>
      <c r="AC209" s="504" t="e">
        <f aca="false">BO209*CB209*F209*AH209*CA209*($G$5-$BV$5)/365.25</f>
        <v>#NAME?</v>
      </c>
      <c r="AF209" s="378" t="e">
        <f aca="false">IF(AND(D209&gt;=$G$7,D209&lt;=$G$8),1,0)</f>
        <v>#VALUE!</v>
      </c>
      <c r="AG209" s="378" t="e">
        <f aca="false">MONTH(D209)</f>
        <v>#VALUE!</v>
      </c>
      <c r="AH209" s="378" t="e">
        <f aca="false">(EOMONTH(D209,0)-EOMONTH(D209-DAY(D209),0))*AF209</f>
        <v>#VALUE!</v>
      </c>
      <c r="AI209" s="378" t="e">
        <f aca="false">AI208+AH208</f>
        <v>#VALUE!</v>
      </c>
      <c r="AJ209" s="378" t="e">
        <f aca="false">D209-$BV$5</f>
        <v>#VALUE!</v>
      </c>
      <c r="AL209" s="369" t="e">
        <f aca="false">VLOOKUP($D209,CurveTbl,$AK$4)</f>
        <v>#VALUE!</v>
      </c>
      <c r="AM209" s="505" t="e">
        <f aca="false">VLOOKUP($D209,CurveTbl,$AH$3)</f>
        <v>#VALUE!</v>
      </c>
      <c r="AN209" s="505" t="e">
        <f aca="false">VLOOKUP($D209,CurveTbl,$AH$4)+VLOOKUP($AG209,$AL$3:$AS$15,6)</f>
        <v>#VALUE!</v>
      </c>
      <c r="AO209" s="505" t="e">
        <f aca="false">VLOOKUP($D209,CurveTbl,$AH$5)</f>
        <v>#VALUE!</v>
      </c>
      <c r="AP209" s="505" t="e">
        <f aca="false">VLOOKUP($D209,CurveTbl,$AH$6)+VLOOKUP($AG209,$AL$3:$AS$15,7)</f>
        <v>#VALUE!</v>
      </c>
      <c r="AQ209" s="369" t="e">
        <f aca="false">VLOOKUP($AG209,$AL$4:$AS$15,3)+VLOOKUP($AG209,$AL$4:$AS$15,5)+($AH$10*VLOOKUP(D209,GRITable,2))</f>
        <v>#VALUE!</v>
      </c>
      <c r="AR209" s="370" t="e">
        <f aca="false">VLOOKUP($AG209,$AL$4:$AS$15,4)</f>
        <v>#VALUE!</v>
      </c>
      <c r="AS209" s="369" t="e">
        <f aca="false">(AL209+AM209+AN209)</f>
        <v>#VALUE!</v>
      </c>
      <c r="AT209" s="370" t="e">
        <f aca="false">VLOOKUP(D209,CurveTbl,$AK$6)</f>
        <v>#VALUE!</v>
      </c>
      <c r="AU209" s="370" t="e">
        <f aca="false">(1+$AT209/2)^(-2*($D209-$G$5)/365.25)*$AF209</f>
        <v>#VALUE!</v>
      </c>
      <c r="AV209" s="506" t="e">
        <f aca="false">ROUND((F209/(1-AR209))-F209,0)*AF209*AH209*AU209</f>
        <v>#VALUE!</v>
      </c>
      <c r="AW209" s="370" t="e">
        <f aca="false">VLOOKUP($D209,CurveTbl,$AK$8)</f>
        <v>#VALUE!</v>
      </c>
      <c r="AX209" s="370" t="e">
        <f aca="false">VLOOKUP($D209,CurveTbl,$AH$7)</f>
        <v>#VALUE!</v>
      </c>
      <c r="AY209" s="370" t="e">
        <f aca="false">VLOOKUP($D209,CurveTbl,$AH$8)</f>
        <v>#VALUE!</v>
      </c>
      <c r="AZ209" s="370"/>
      <c r="BA209" s="507"/>
      <c r="BB209" s="505" t="e">
        <f aca="false">$H209-$BV209</f>
        <v>#VALUE!</v>
      </c>
      <c r="BC209" s="505" t="e">
        <f aca="false">I209-BW209</f>
        <v>#VALUE!</v>
      </c>
      <c r="BD209" s="370" t="e">
        <f aca="false">N209-BX209</f>
        <v>#VALUE!</v>
      </c>
      <c r="BE209" s="370" t="e">
        <f aca="false">O209-BY209</f>
        <v>#VALUE!</v>
      </c>
      <c r="BF209" s="370" t="e">
        <f aca="false">xSPRDOPT($BW209,$BV209,$CG209,0,$BY209,$BX209,$BZ209,$AJ209,1,4)*$CB209</f>
        <v>#NAME?</v>
      </c>
      <c r="BG209" s="370" t="e">
        <f aca="false">xSPRDOPT($BW209,$BV209,$CG209,0,$BY209,$BX209,$BZ209,$AJ209,1,3)*$CB209</f>
        <v>#NAME?</v>
      </c>
      <c r="BH209" s="370" t="e">
        <f aca="false">IF(OR(BF209&lt;&gt;0,BG209&lt;&gt;0),xSPRDOPT($BW209,$BV209,$CG209,0,$BY209,$BX209,$BZ209,$AJ209,1,12)*$CB209,0)</f>
        <v>#NAME?</v>
      </c>
      <c r="BI209" s="370" t="e">
        <f aca="false">xSPRDOPT($BW209,$BV209,$CG209,2*LN(1+CA209/2),$BY209,$BX209,$BZ209,$AJ209,1,9)</f>
        <v>#NAME?</v>
      </c>
      <c r="BJ209" s="370" t="e">
        <f aca="false">xSPRDOPT($BW209,$BV209,$CG209,0,$BY209,$BX209,$BZ209,$AJ209,1,6)*$CB209</f>
        <v>#NAME?</v>
      </c>
      <c r="BK209" s="370" t="e">
        <f aca="false">xSPRDOPT($BW209,$BV209,$CG209,0,$BY209,$BX209,$BZ209,$AJ209,1,5)*$CB209</f>
        <v>#NAME?</v>
      </c>
      <c r="BL209" s="370" t="e">
        <f aca="false">xSPRDOPT(BW209,BV209,CG209,0,BY209,BX209,BZ209,AJ209,1,2)*CB209</f>
        <v>#NAME?</v>
      </c>
      <c r="BM209" s="370" t="e">
        <f aca="false">xSPRDOPT(BW209,BV209,CG209,0,BY209,BX209,BZ209,AJ209,1,1)*CB209</f>
        <v>#NAME?</v>
      </c>
      <c r="BN209" s="370" t="e">
        <f aca="false">IF(AH209&lt;&gt;0,xSPRDOPT($BW209,$BV209,$CG209,2*LN(1+CA209/2),$BY209,$BX209,$BZ209,$AJ209,1,8)+(AJ209/365.25)*CH209/AH209,0)</f>
        <v>#VALUE!</v>
      </c>
      <c r="BO209" s="370" t="e">
        <f aca="false">xSPRDOPT($BW209,$BV209,$CG209,0,$BY209,$BX209,$BZ209,$AJ209,1,0)</f>
        <v>#NAME?</v>
      </c>
      <c r="BP209" s="370"/>
      <c r="BQ209" s="370"/>
      <c r="BR209" s="370"/>
      <c r="BS209" s="370"/>
      <c r="BV209" s="508" t="n">
        <v>4.50434782608696</v>
      </c>
      <c r="BW209" s="369" t="n">
        <v>5.4245</v>
      </c>
      <c r="BX209" s="370" t="n">
        <v>0.172165082963336</v>
      </c>
      <c r="BY209" s="370" t="n">
        <v>0.172165082963336</v>
      </c>
      <c r="BZ209" s="370" t="n">
        <v>1</v>
      </c>
      <c r="CA209" s="370" t="n">
        <v>0.0646524334908629</v>
      </c>
      <c r="CB209" s="370" t="n">
        <v>0.368987747921277</v>
      </c>
      <c r="CC209" s="505" t="n">
        <v>0.0185</v>
      </c>
      <c r="CD209" s="505" t="n">
        <v>0.01</v>
      </c>
      <c r="CE209" s="505" t="n">
        <v>1.05</v>
      </c>
      <c r="CF209" s="505" t="n">
        <v>0</v>
      </c>
      <c r="CG209" s="505" t="n">
        <v>0.0364</v>
      </c>
      <c r="CH209" s="505" t="n">
        <v>4.21741926241582</v>
      </c>
      <c r="CI209" s="505" t="n">
        <v>4.3745</v>
      </c>
      <c r="CJ209" s="505"/>
      <c r="CK209" s="505"/>
      <c r="CL209" s="505"/>
      <c r="CM209" s="505"/>
    </row>
    <row r="210" customFormat="false" ht="12.75" hidden="false" customHeight="false" outlineLevel="0" collapsed="false">
      <c r="A210" s="500"/>
      <c r="B210" s="500"/>
      <c r="D210" s="361" t="e">
        <f aca="false">D209+AH209</f>
        <v>#VALUE!</v>
      </c>
      <c r="F210" s="362" t="e">
        <f aca="false">VLOOKUP(AG210,$AL$4:$AS$15,2)</f>
        <v>#VALUE!</v>
      </c>
      <c r="G210" s="362" t="e">
        <f aca="false">F210*$AU210</f>
        <v>#VALUE!</v>
      </c>
      <c r="H210" s="363" t="e">
        <f aca="false">(AL210+AM210+AN210)/(1-(AR210))</f>
        <v>#VALUE!</v>
      </c>
      <c r="I210" s="363" t="e">
        <f aca="false">(AL210+AO210+AP210)</f>
        <v>#VALUE!</v>
      </c>
      <c r="K210" s="363" t="e">
        <f aca="false">MAX(((I210-H210)-AQ210)*AU210*AH210,0)</f>
        <v>#VALUE!</v>
      </c>
      <c r="L210" s="501" t="e">
        <f aca="false">MAX(Q210-K210,0)</f>
        <v>#VALUE!</v>
      </c>
      <c r="N210" s="502" t="e">
        <f aca="false">SQRT(($AX210^2*($AH210/2)+$AW210^2*$AI210)/(($AH210/2)+$AI210))</f>
        <v>#VALUE!</v>
      </c>
      <c r="O210" s="502" t="e">
        <f aca="false">SQRT(($AY210^2*($AH210/2)+$AW210^2*$AI210)/(($AH210/2)+$AI210))</f>
        <v>#VALUE!</v>
      </c>
      <c r="P210" s="371" t="e">
        <f aca="false">(VLOOKUP(AI210,CorrelationTwo,2)*(AW210^2)*AI210+VLOOKUP(D210,CorrelationOne,$AK$9)*AX210*AY210*(AH210/2))/((AI210+(AH210/2))*O210*N210)*AF210</f>
        <v>#VALUE!</v>
      </c>
      <c r="Q210" s="501" t="e">
        <f aca="false">xSPRDOPT(I210,H210,AQ210,0,O210,N210,P210,D210-$G$5,1,0)*AH210*AU210</f>
        <v>#VALUE!</v>
      </c>
      <c r="R210" s="501"/>
      <c r="S210" s="365" t="e">
        <f aca="false">-T210/(1-AR210)</f>
        <v>#VALUE!</v>
      </c>
      <c r="T210" s="365" t="e">
        <f aca="false">xSPRDOPT(I210,H210,AQ210,AT210,O210,N210,P210,D210-$G$5,1,1)*AF210*F210*AH210</f>
        <v>#VALUE!</v>
      </c>
      <c r="U210" s="501"/>
      <c r="V210" s="503" t="e">
        <f aca="false">VLOOKUP($AG210,$AL$4:$AS$15,8)*AH210*AU210</f>
        <v>#VALUE!</v>
      </c>
      <c r="W210" s="503"/>
      <c r="X210" s="504" t="e">
        <f aca="false">((BM210*BC210)+(BL210*BB210))*AH210*F210</f>
        <v>#VALUE!</v>
      </c>
      <c r="Y210" s="504" t="e">
        <f aca="false">($F210*$AH210)*((($BG210/2)*($BC210)^2)+(($BF210/2)*($BB210)^2)+($BH210*$BC210*$BB210))</f>
        <v>#VALUE!</v>
      </c>
      <c r="Z210" s="504" t="e">
        <f aca="false">($BI210*$F210*$AH210*($G$5-$BV$5))/365.25</f>
        <v>#VALUE!</v>
      </c>
      <c r="AA210" s="504" t="e">
        <f aca="false">(($BK210*$BE210)+($BJ210*$BD210))*$F210*$AH210*$AF210</f>
        <v>#VALUE!</v>
      </c>
      <c r="AB210" s="504" t="e">
        <f aca="false">BN210*(AT210-CA210)*F210*AH210</f>
        <v>#VALUE!</v>
      </c>
      <c r="AC210" s="504" t="e">
        <f aca="false">BO210*CB210*F210*AH210*CA210*($G$5-$BV$5)/365.25</f>
        <v>#NAME?</v>
      </c>
      <c r="AF210" s="378" t="e">
        <f aca="false">IF(AND(D210&gt;=$G$7,D210&lt;=$G$8),1,0)</f>
        <v>#VALUE!</v>
      </c>
      <c r="AG210" s="378" t="e">
        <f aca="false">MONTH(D210)</f>
        <v>#VALUE!</v>
      </c>
      <c r="AH210" s="378" t="e">
        <f aca="false">(EOMONTH(D210,0)-EOMONTH(D210-DAY(D210),0))*AF210</f>
        <v>#VALUE!</v>
      </c>
      <c r="AI210" s="378" t="e">
        <f aca="false">AI209+AH209</f>
        <v>#VALUE!</v>
      </c>
      <c r="AJ210" s="378" t="e">
        <f aca="false">D210-$BV$5</f>
        <v>#VALUE!</v>
      </c>
      <c r="AL210" s="369" t="e">
        <f aca="false">VLOOKUP($D210,CurveTbl,$AK$4)</f>
        <v>#VALUE!</v>
      </c>
      <c r="AM210" s="505" t="e">
        <f aca="false">VLOOKUP($D210,CurveTbl,$AH$3)</f>
        <v>#VALUE!</v>
      </c>
      <c r="AN210" s="505" t="e">
        <f aca="false">VLOOKUP($D210,CurveTbl,$AH$4)+VLOOKUP($AG210,$AL$3:$AS$15,6)</f>
        <v>#VALUE!</v>
      </c>
      <c r="AO210" s="505" t="e">
        <f aca="false">VLOOKUP($D210,CurveTbl,$AH$5)</f>
        <v>#VALUE!</v>
      </c>
      <c r="AP210" s="505" t="e">
        <f aca="false">VLOOKUP($D210,CurveTbl,$AH$6)+VLOOKUP($AG210,$AL$3:$AS$15,7)</f>
        <v>#VALUE!</v>
      </c>
      <c r="AQ210" s="369" t="e">
        <f aca="false">VLOOKUP($AG210,$AL$4:$AS$15,3)+VLOOKUP($AG210,$AL$4:$AS$15,5)+($AH$10*VLOOKUP(D210,GRITable,2))</f>
        <v>#VALUE!</v>
      </c>
      <c r="AR210" s="370" t="e">
        <f aca="false">VLOOKUP($AG210,$AL$4:$AS$15,4)</f>
        <v>#VALUE!</v>
      </c>
      <c r="AS210" s="369" t="e">
        <f aca="false">(AL210+AM210+AN210)</f>
        <v>#VALUE!</v>
      </c>
      <c r="AT210" s="370" t="e">
        <f aca="false">VLOOKUP(D210,CurveTbl,$AK$6)</f>
        <v>#VALUE!</v>
      </c>
      <c r="AU210" s="370" t="e">
        <f aca="false">(1+$AT210/2)^(-2*($D210-$G$5)/365.25)*$AF210</f>
        <v>#VALUE!</v>
      </c>
      <c r="AV210" s="506" t="e">
        <f aca="false">ROUND((F210/(1-AR210))-F210,0)*AF210*AH210*AU210</f>
        <v>#VALUE!</v>
      </c>
      <c r="AW210" s="370" t="e">
        <f aca="false">VLOOKUP($D210,CurveTbl,$AK$8)</f>
        <v>#VALUE!</v>
      </c>
      <c r="AX210" s="370" t="e">
        <f aca="false">VLOOKUP($D210,CurveTbl,$AH$7)</f>
        <v>#VALUE!</v>
      </c>
      <c r="AY210" s="370" t="e">
        <f aca="false">VLOOKUP($D210,CurveTbl,$AH$8)</f>
        <v>#VALUE!</v>
      </c>
      <c r="AZ210" s="370"/>
      <c r="BA210" s="507"/>
      <c r="BB210" s="505" t="e">
        <f aca="false">$H210-$BV210</f>
        <v>#VALUE!</v>
      </c>
      <c r="BC210" s="505" t="e">
        <f aca="false">I210-BW210</f>
        <v>#VALUE!</v>
      </c>
      <c r="BD210" s="370" t="e">
        <f aca="false">N210-BX210</f>
        <v>#VALUE!</v>
      </c>
      <c r="BE210" s="370" t="e">
        <f aca="false">O210-BY210</f>
        <v>#VALUE!</v>
      </c>
      <c r="BF210" s="370" t="e">
        <f aca="false">xSPRDOPT($BW210,$BV210,$CG210,0,$BY210,$BX210,$BZ210,$AJ210,1,4)*$CB210</f>
        <v>#NAME?</v>
      </c>
      <c r="BG210" s="370" t="e">
        <f aca="false">xSPRDOPT($BW210,$BV210,$CG210,0,$BY210,$BX210,$BZ210,$AJ210,1,3)*$CB210</f>
        <v>#NAME?</v>
      </c>
      <c r="BH210" s="370" t="e">
        <f aca="false">IF(OR(BF210&lt;&gt;0,BG210&lt;&gt;0),xSPRDOPT($BW210,$BV210,$CG210,0,$BY210,$BX210,$BZ210,$AJ210,1,12)*$CB210,0)</f>
        <v>#NAME?</v>
      </c>
      <c r="BI210" s="370" t="e">
        <f aca="false">xSPRDOPT($BW210,$BV210,$CG210,2*LN(1+CA210/2),$BY210,$BX210,$BZ210,$AJ210,1,9)</f>
        <v>#NAME?</v>
      </c>
      <c r="BJ210" s="370" t="e">
        <f aca="false">xSPRDOPT($BW210,$BV210,$CG210,0,$BY210,$BX210,$BZ210,$AJ210,1,6)*$CB210</f>
        <v>#NAME?</v>
      </c>
      <c r="BK210" s="370" t="e">
        <f aca="false">xSPRDOPT($BW210,$BV210,$CG210,0,$BY210,$BX210,$BZ210,$AJ210,1,5)*$CB210</f>
        <v>#NAME?</v>
      </c>
      <c r="BL210" s="370" t="e">
        <f aca="false">xSPRDOPT(BW210,BV210,CG210,0,BY210,BX210,BZ210,AJ210,1,2)*CB210</f>
        <v>#NAME?</v>
      </c>
      <c r="BM210" s="370" t="e">
        <f aca="false">xSPRDOPT(BW210,BV210,CG210,0,BY210,BX210,BZ210,AJ210,1,1)*CB210</f>
        <v>#NAME?</v>
      </c>
      <c r="BN210" s="370" t="e">
        <f aca="false">IF(AH210&lt;&gt;0,xSPRDOPT($BW210,$BV210,$CG210,2*LN(1+CA210/2),$BY210,$BX210,$BZ210,$AJ210,1,8)+(AJ210/365.25)*CH210/AH210,0)</f>
        <v>#VALUE!</v>
      </c>
      <c r="BO210" s="370" t="e">
        <f aca="false">xSPRDOPT($BW210,$BV210,$CG210,0,$BY210,$BX210,$BZ210,$AJ210,1,0)</f>
        <v>#NAME?</v>
      </c>
      <c r="BP210" s="370"/>
      <c r="BQ210" s="370"/>
      <c r="BR210" s="370"/>
      <c r="BS210" s="370"/>
      <c r="BV210" s="508" t="n">
        <v>4.49923273657289</v>
      </c>
      <c r="BW210" s="369" t="n">
        <v>5.1195</v>
      </c>
      <c r="BX210" s="370" t="n">
        <v>0.172084627514875</v>
      </c>
      <c r="BY210" s="370" t="n">
        <v>0.172084627514875</v>
      </c>
      <c r="BZ210" s="370" t="n">
        <v>1</v>
      </c>
      <c r="CA210" s="370" t="n">
        <v>0.0646929776109366</v>
      </c>
      <c r="CB210" s="370" t="n">
        <v>0.366773424760834</v>
      </c>
      <c r="CC210" s="505" t="n">
        <v>0.0185</v>
      </c>
      <c r="CD210" s="505" t="n">
        <v>0.01</v>
      </c>
      <c r="CE210" s="505" t="n">
        <v>0.75</v>
      </c>
      <c r="CF210" s="505" t="n">
        <v>0</v>
      </c>
      <c r="CG210" s="505" t="n">
        <v>0.0364</v>
      </c>
      <c r="CH210" s="505" t="n">
        <v>4.05688085127958</v>
      </c>
      <c r="CI210" s="505" t="n">
        <v>4.3695</v>
      </c>
      <c r="CJ210" s="505"/>
      <c r="CK210" s="505"/>
      <c r="CL210" s="505"/>
      <c r="CM210" s="505"/>
    </row>
    <row r="211" customFormat="false" ht="12.75" hidden="false" customHeight="false" outlineLevel="0" collapsed="false">
      <c r="A211" s="500"/>
      <c r="B211" s="500"/>
      <c r="D211" s="361" t="e">
        <f aca="false">D210+AH210</f>
        <v>#VALUE!</v>
      </c>
      <c r="F211" s="362" t="e">
        <f aca="false">VLOOKUP(AG211,$AL$4:$AS$15,2)</f>
        <v>#VALUE!</v>
      </c>
      <c r="G211" s="362" t="e">
        <f aca="false">F211*$AU211</f>
        <v>#VALUE!</v>
      </c>
      <c r="H211" s="363" t="e">
        <f aca="false">(AL211+AM211+AN211)/(1-(AR211))</f>
        <v>#VALUE!</v>
      </c>
      <c r="I211" s="363" t="e">
        <f aca="false">(AL211+AO211+AP211)</f>
        <v>#VALUE!</v>
      </c>
      <c r="K211" s="363" t="e">
        <f aca="false">MAX(((I211-H211)-AQ211)*AU211*AH211,0)</f>
        <v>#VALUE!</v>
      </c>
      <c r="L211" s="501" t="e">
        <f aca="false">MAX(Q211-K211,0)</f>
        <v>#VALUE!</v>
      </c>
      <c r="N211" s="502" t="e">
        <f aca="false">SQRT(($AX211^2*($AH211/2)+$AW211^2*$AI211)/(($AH211/2)+$AI211))</f>
        <v>#VALUE!</v>
      </c>
      <c r="O211" s="502" t="e">
        <f aca="false">SQRT(($AY211^2*($AH211/2)+$AW211^2*$AI211)/(($AH211/2)+$AI211))</f>
        <v>#VALUE!</v>
      </c>
      <c r="P211" s="371" t="e">
        <f aca="false">(VLOOKUP(AI211,CorrelationTwo,2)*(AW211^2)*AI211+VLOOKUP(D211,CorrelationOne,$AK$9)*AX211*AY211*(AH211/2))/((AI211+(AH211/2))*O211*N211)*AF211</f>
        <v>#VALUE!</v>
      </c>
      <c r="Q211" s="501" t="e">
        <f aca="false">xSPRDOPT(I211,H211,AQ211,0,O211,N211,P211,D211-$G$5,1,0)*AH211*AU211</f>
        <v>#VALUE!</v>
      </c>
      <c r="R211" s="501"/>
      <c r="S211" s="365" t="e">
        <f aca="false">-T211/(1-AR211)</f>
        <v>#VALUE!</v>
      </c>
      <c r="T211" s="365" t="e">
        <f aca="false">xSPRDOPT(I211,H211,AQ211,AT211,O211,N211,P211,D211-$G$5,1,1)*AF211*F211*AH211</f>
        <v>#VALUE!</v>
      </c>
      <c r="U211" s="501"/>
      <c r="V211" s="503" t="e">
        <f aca="false">VLOOKUP($AG211,$AL$4:$AS$15,8)*AH211*AU211</f>
        <v>#VALUE!</v>
      </c>
      <c r="W211" s="503"/>
      <c r="X211" s="504" t="e">
        <f aca="false">((BM211*BC211)+(BL211*BB211))*AH211*F211</f>
        <v>#VALUE!</v>
      </c>
      <c r="Y211" s="504" t="e">
        <f aca="false">($F211*$AH211)*((($BG211/2)*($BC211)^2)+(($BF211/2)*($BB211)^2)+($BH211*$BC211*$BB211))</f>
        <v>#VALUE!</v>
      </c>
      <c r="Z211" s="504" t="e">
        <f aca="false">($BI211*$F211*$AH211*($G$5-$BV$5))/365.25</f>
        <v>#VALUE!</v>
      </c>
      <c r="AA211" s="504" t="e">
        <f aca="false">(($BK211*$BE211)+($BJ211*$BD211))*$F211*$AH211*$AF211</f>
        <v>#VALUE!</v>
      </c>
      <c r="AB211" s="504" t="e">
        <f aca="false">BN211*(AT211-CA211)*F211*AH211</f>
        <v>#VALUE!</v>
      </c>
      <c r="AC211" s="504" t="e">
        <f aca="false">BO211*CB211*F211*AH211*CA211*($G$5-$BV$5)/365.25</f>
        <v>#NAME?</v>
      </c>
      <c r="AF211" s="378" t="e">
        <f aca="false">IF(AND(D211&gt;=$G$7,D211&lt;=$G$8),1,0)</f>
        <v>#VALUE!</v>
      </c>
      <c r="AG211" s="378" t="e">
        <f aca="false">MONTH(D211)</f>
        <v>#VALUE!</v>
      </c>
      <c r="AH211" s="378" t="e">
        <f aca="false">(EOMONTH(D211,0)-EOMONTH(D211-DAY(D211),0))*AF211</f>
        <v>#VALUE!</v>
      </c>
      <c r="AI211" s="378" t="e">
        <f aca="false">AI210+AH210</f>
        <v>#VALUE!</v>
      </c>
      <c r="AJ211" s="378" t="e">
        <f aca="false">D211-$BV$5</f>
        <v>#VALUE!</v>
      </c>
      <c r="AL211" s="369" t="e">
        <f aca="false">VLOOKUP($D211,CurveTbl,$AK$4)</f>
        <v>#VALUE!</v>
      </c>
      <c r="AM211" s="505" t="e">
        <f aca="false">VLOOKUP($D211,CurveTbl,$AH$3)</f>
        <v>#VALUE!</v>
      </c>
      <c r="AN211" s="505" t="e">
        <f aca="false">VLOOKUP($D211,CurveTbl,$AH$4)+VLOOKUP($AG211,$AL$3:$AS$15,6)</f>
        <v>#VALUE!</v>
      </c>
      <c r="AO211" s="505" t="e">
        <f aca="false">VLOOKUP($D211,CurveTbl,$AH$5)</f>
        <v>#VALUE!</v>
      </c>
      <c r="AP211" s="505" t="e">
        <f aca="false">VLOOKUP($D211,CurveTbl,$AH$6)+VLOOKUP($AG211,$AL$3:$AS$15,7)</f>
        <v>#VALUE!</v>
      </c>
      <c r="AQ211" s="369" t="e">
        <f aca="false">VLOOKUP($AG211,$AL$4:$AS$15,3)+VLOOKUP($AG211,$AL$4:$AS$15,5)+($AH$10*VLOOKUP(D211,GRITable,2))</f>
        <v>#VALUE!</v>
      </c>
      <c r="AR211" s="370" t="e">
        <f aca="false">VLOOKUP($AG211,$AL$4:$AS$15,4)</f>
        <v>#VALUE!</v>
      </c>
      <c r="AS211" s="369" t="e">
        <f aca="false">(AL211+AM211+AN211)</f>
        <v>#VALUE!</v>
      </c>
      <c r="AT211" s="370" t="e">
        <f aca="false">VLOOKUP(D211,CurveTbl,$AK$6)</f>
        <v>#VALUE!</v>
      </c>
      <c r="AU211" s="370" t="e">
        <f aca="false">(1+$AT211/2)^(-2*($D211-$G$5)/365.25)*$AF211</f>
        <v>#VALUE!</v>
      </c>
      <c r="AV211" s="506" t="e">
        <f aca="false">ROUND((F211/(1-AR211))-F211,0)*AF211*AH211*AU211</f>
        <v>#VALUE!</v>
      </c>
      <c r="AW211" s="370" t="e">
        <f aca="false">VLOOKUP($D211,CurveTbl,$AK$8)</f>
        <v>#VALUE!</v>
      </c>
      <c r="AX211" s="370" t="e">
        <f aca="false">VLOOKUP($D211,CurveTbl,$AH$7)</f>
        <v>#VALUE!</v>
      </c>
      <c r="AY211" s="370" t="e">
        <f aca="false">VLOOKUP($D211,CurveTbl,$AH$8)</f>
        <v>#VALUE!</v>
      </c>
      <c r="AZ211" s="370"/>
      <c r="BA211" s="507"/>
      <c r="BB211" s="505" t="e">
        <f aca="false">$H211-$BV211</f>
        <v>#VALUE!</v>
      </c>
      <c r="BC211" s="505" t="e">
        <f aca="false">I211-BW211</f>
        <v>#VALUE!</v>
      </c>
      <c r="BD211" s="370" t="e">
        <f aca="false">N211-BX211</f>
        <v>#VALUE!</v>
      </c>
      <c r="BE211" s="370" t="e">
        <f aca="false">O211-BY211</f>
        <v>#VALUE!</v>
      </c>
      <c r="BF211" s="370" t="e">
        <f aca="false">xSPRDOPT($BW211,$BV211,$CG211,0,$BY211,$BX211,$BZ211,$AJ211,1,4)*$CB211</f>
        <v>#NAME?</v>
      </c>
      <c r="BG211" s="370" t="e">
        <f aca="false">xSPRDOPT($BW211,$BV211,$CG211,0,$BY211,$BX211,$BZ211,$AJ211,1,3)*$CB211</f>
        <v>#NAME?</v>
      </c>
      <c r="BH211" s="370" t="e">
        <f aca="false">IF(OR(BF211&lt;&gt;0,BG211&lt;&gt;0),xSPRDOPT($BW211,$BV211,$CG211,0,$BY211,$BX211,$BZ211,$AJ211,1,12)*$CB211,0)</f>
        <v>#NAME?</v>
      </c>
      <c r="BI211" s="370" t="e">
        <f aca="false">xSPRDOPT($BW211,$BV211,$CG211,2*LN(1+CA211/2),$BY211,$BX211,$BZ211,$AJ211,1,9)</f>
        <v>#NAME?</v>
      </c>
      <c r="BJ211" s="370" t="e">
        <f aca="false">xSPRDOPT($BW211,$BV211,$CG211,0,$BY211,$BX211,$BZ211,$AJ211,1,6)*$CB211</f>
        <v>#NAME?</v>
      </c>
      <c r="BK211" s="370" t="e">
        <f aca="false">xSPRDOPT($BW211,$BV211,$CG211,0,$BY211,$BX211,$BZ211,$AJ211,1,5)*$CB211</f>
        <v>#NAME?</v>
      </c>
      <c r="BL211" s="370" t="e">
        <f aca="false">xSPRDOPT(BW211,BV211,CG211,0,BY211,BX211,BZ211,AJ211,1,2)*CB211</f>
        <v>#NAME?</v>
      </c>
      <c r="BM211" s="370" t="e">
        <f aca="false">xSPRDOPT(BW211,BV211,CG211,0,BY211,BX211,BZ211,AJ211,1,1)*CB211</f>
        <v>#NAME?</v>
      </c>
      <c r="BN211" s="370" t="e">
        <f aca="false">IF(AH211&lt;&gt;0,xSPRDOPT($BW211,$BV211,$CG211,2*LN(1+CA211/2),$BY211,$BX211,$BZ211,$AJ211,1,8)+(AJ211/365.25)*CH211/AH211,0)</f>
        <v>#VALUE!</v>
      </c>
      <c r="BO211" s="370" t="e">
        <f aca="false">xSPRDOPT($BW211,$BV211,$CG211,0,$BY211,$BX211,$BZ211,$AJ211,1,0)</f>
        <v>#NAME?</v>
      </c>
      <c r="BP211" s="370"/>
      <c r="BQ211" s="370"/>
      <c r="BR211" s="370"/>
      <c r="BS211" s="370"/>
      <c r="BV211" s="508" t="n">
        <v>4.53384615384615</v>
      </c>
      <c r="BW211" s="369" t="n">
        <v>4.8445</v>
      </c>
      <c r="BX211" s="370" t="n">
        <v>0.172589263401581</v>
      </c>
      <c r="BY211" s="370" t="n">
        <v>0.172589263401581</v>
      </c>
      <c r="BZ211" s="370" t="n">
        <v>1</v>
      </c>
      <c r="CA211" s="370" t="n">
        <v>0.0647322138566882</v>
      </c>
      <c r="CB211" s="370" t="n">
        <v>0.364640874102774</v>
      </c>
      <c r="CC211" s="505" t="n">
        <v>0.016</v>
      </c>
      <c r="CD211" s="505" t="n">
        <v>0.01</v>
      </c>
      <c r="CE211" s="505" t="n">
        <v>0.45</v>
      </c>
      <c r="CF211" s="505" t="n">
        <v>0</v>
      </c>
      <c r="CG211" s="505" t="n">
        <v>0.0364</v>
      </c>
      <c r="CH211" s="505" t="n">
        <v>4.16773579873248</v>
      </c>
      <c r="CI211" s="505" t="n">
        <v>4.3945</v>
      </c>
      <c r="CJ211" s="505"/>
      <c r="CK211" s="505"/>
      <c r="CL211" s="505"/>
      <c r="CM211" s="505"/>
    </row>
    <row r="212" customFormat="false" ht="12.75" hidden="false" customHeight="false" outlineLevel="0" collapsed="false">
      <c r="A212" s="500"/>
      <c r="B212" s="500"/>
      <c r="D212" s="361" t="e">
        <f aca="false">D211+AH211</f>
        <v>#VALUE!</v>
      </c>
      <c r="F212" s="362" t="e">
        <f aca="false">VLOOKUP(AG212,$AL$4:$AS$15,2)</f>
        <v>#VALUE!</v>
      </c>
      <c r="G212" s="362" t="e">
        <f aca="false">F212*$AU212</f>
        <v>#VALUE!</v>
      </c>
      <c r="H212" s="363" t="e">
        <f aca="false">(AL212+AM212+AN212)/(1-(AR212))</f>
        <v>#VALUE!</v>
      </c>
      <c r="I212" s="363" t="e">
        <f aca="false">(AL212+AO212+AP212)</f>
        <v>#VALUE!</v>
      </c>
      <c r="K212" s="363" t="e">
        <f aca="false">MAX(((I212-H212)-AQ212)*AU212*AH212,0)</f>
        <v>#VALUE!</v>
      </c>
      <c r="L212" s="501" t="e">
        <f aca="false">MAX(Q212-K212,0)</f>
        <v>#VALUE!</v>
      </c>
      <c r="N212" s="502" t="e">
        <f aca="false">SQRT(($AX212^2*($AH212/2)+$AW212^2*$AI212)/(($AH212/2)+$AI212))</f>
        <v>#VALUE!</v>
      </c>
      <c r="O212" s="502" t="e">
        <f aca="false">SQRT(($AY212^2*($AH212/2)+$AW212^2*$AI212)/(($AH212/2)+$AI212))</f>
        <v>#VALUE!</v>
      </c>
      <c r="P212" s="371" t="e">
        <f aca="false">(VLOOKUP(AI212,CorrelationTwo,2)*(AW212^2)*AI212+VLOOKUP(D212,CorrelationOne,$AK$9)*AX212*AY212*(AH212/2))/((AI212+(AH212/2))*O212*N212)*AF212</f>
        <v>#VALUE!</v>
      </c>
      <c r="Q212" s="501" t="e">
        <f aca="false">xSPRDOPT(I212,H212,AQ212,0,O212,N212,P212,D212-$G$5,1,0)*AH212*AU212</f>
        <v>#VALUE!</v>
      </c>
      <c r="R212" s="501"/>
      <c r="S212" s="365" t="e">
        <f aca="false">-T212/(1-AR212)</f>
        <v>#VALUE!</v>
      </c>
      <c r="T212" s="365" t="e">
        <f aca="false">xSPRDOPT(I212,H212,AQ212,AT212,O212,N212,P212,D212-$G$5,1,1)*AF212*F212*AH212</f>
        <v>#VALUE!</v>
      </c>
      <c r="U212" s="501"/>
      <c r="V212" s="503" t="e">
        <f aca="false">VLOOKUP($AG212,$AL$4:$AS$15,8)*AH212*AU212</f>
        <v>#VALUE!</v>
      </c>
      <c r="W212" s="503"/>
      <c r="X212" s="504" t="e">
        <f aca="false">((BM212*BC212)+(BL212*BB212))*AH212*F212</f>
        <v>#VALUE!</v>
      </c>
      <c r="Y212" s="504" t="e">
        <f aca="false">($F212*$AH212)*((($BG212/2)*($BC212)^2)+(($BF212/2)*($BB212)^2)+($BH212*$BC212*$BB212))</f>
        <v>#VALUE!</v>
      </c>
      <c r="Z212" s="504" t="e">
        <f aca="false">($BI212*$F212*$AH212*($G$5-$BV$5))/365.25</f>
        <v>#VALUE!</v>
      </c>
      <c r="AA212" s="504" t="e">
        <f aca="false">(($BK212*$BE212)+($BJ212*$BD212))*$F212*$AH212*$AF212</f>
        <v>#VALUE!</v>
      </c>
      <c r="AB212" s="504" t="e">
        <f aca="false">BN212*(AT212-CA212)*F212*AH212</f>
        <v>#VALUE!</v>
      </c>
      <c r="AC212" s="504" t="e">
        <f aca="false">BO212*CB212*F212*AH212*CA212*($G$5-$BV$5)/365.25</f>
        <v>#NAME?</v>
      </c>
      <c r="AF212" s="378" t="e">
        <f aca="false">IF(AND(D212&gt;=$G$7,D212&lt;=$G$8),1,0)</f>
        <v>#VALUE!</v>
      </c>
      <c r="AG212" s="378" t="e">
        <f aca="false">MONTH(D212)</f>
        <v>#VALUE!</v>
      </c>
      <c r="AH212" s="378" t="e">
        <f aca="false">(EOMONTH(D212,0)-EOMONTH(D212-DAY(D212),0))*AF212</f>
        <v>#VALUE!</v>
      </c>
      <c r="AI212" s="378" t="e">
        <f aca="false">AI211+AH211</f>
        <v>#VALUE!</v>
      </c>
      <c r="AJ212" s="378" t="e">
        <f aca="false">D212-$BV$5</f>
        <v>#VALUE!</v>
      </c>
      <c r="AL212" s="369" t="e">
        <f aca="false">VLOOKUP($D212,CurveTbl,$AK$4)</f>
        <v>#VALUE!</v>
      </c>
      <c r="AM212" s="505" t="e">
        <f aca="false">VLOOKUP($D212,CurveTbl,$AH$3)</f>
        <v>#VALUE!</v>
      </c>
      <c r="AN212" s="505" t="e">
        <f aca="false">VLOOKUP($D212,CurveTbl,$AH$4)+VLOOKUP($AG212,$AL$3:$AS$15,6)</f>
        <v>#VALUE!</v>
      </c>
      <c r="AO212" s="505" t="e">
        <f aca="false">VLOOKUP($D212,CurveTbl,$AH$5)</f>
        <v>#VALUE!</v>
      </c>
      <c r="AP212" s="505" t="e">
        <f aca="false">VLOOKUP($D212,CurveTbl,$AH$6)+VLOOKUP($AG212,$AL$3:$AS$15,7)</f>
        <v>#VALUE!</v>
      </c>
      <c r="AQ212" s="369" t="e">
        <f aca="false">VLOOKUP($AG212,$AL$4:$AS$15,3)+VLOOKUP($AG212,$AL$4:$AS$15,5)+($AH$10*VLOOKUP(D212,GRITable,2))</f>
        <v>#VALUE!</v>
      </c>
      <c r="AR212" s="370" t="e">
        <f aca="false">VLOOKUP($AG212,$AL$4:$AS$15,4)</f>
        <v>#VALUE!</v>
      </c>
      <c r="AS212" s="369" t="e">
        <f aca="false">(AL212+AM212+AN212)</f>
        <v>#VALUE!</v>
      </c>
      <c r="AT212" s="370" t="e">
        <f aca="false">VLOOKUP(D212,CurveTbl,$AK$6)</f>
        <v>#VALUE!</v>
      </c>
      <c r="AU212" s="370" t="e">
        <f aca="false">(1+$AT212/2)^(-2*($D212-$G$5)/365.25)*$AF212</f>
        <v>#VALUE!</v>
      </c>
      <c r="AV212" s="506" t="e">
        <f aca="false">ROUND((F212/(1-AR212))-F212,0)*AF212*AH212*AU212</f>
        <v>#VALUE!</v>
      </c>
      <c r="AW212" s="370" t="e">
        <f aca="false">VLOOKUP($D212,CurveTbl,$AK$8)</f>
        <v>#VALUE!</v>
      </c>
      <c r="AX212" s="370" t="e">
        <f aca="false">VLOOKUP($D212,CurveTbl,$AH$7)</f>
        <v>#VALUE!</v>
      </c>
      <c r="AY212" s="370" t="e">
        <f aca="false">VLOOKUP($D212,CurveTbl,$AH$8)</f>
        <v>#VALUE!</v>
      </c>
      <c r="AZ212" s="370"/>
      <c r="BA212" s="507"/>
      <c r="BB212" s="505" t="e">
        <f aca="false">$H212-$BV212</f>
        <v>#VALUE!</v>
      </c>
      <c r="BC212" s="505" t="e">
        <f aca="false">I212-BW212</f>
        <v>#VALUE!</v>
      </c>
      <c r="BD212" s="370" t="e">
        <f aca="false">N212-BX212</f>
        <v>#VALUE!</v>
      </c>
      <c r="BE212" s="370" t="e">
        <f aca="false">O212-BY212</f>
        <v>#VALUE!</v>
      </c>
      <c r="BF212" s="370" t="e">
        <f aca="false">xSPRDOPT($BW212,$BV212,$CG212,0,$BY212,$BX212,$BZ212,$AJ212,1,4)*$CB212</f>
        <v>#NAME?</v>
      </c>
      <c r="BG212" s="370" t="e">
        <f aca="false">xSPRDOPT($BW212,$BV212,$CG212,0,$BY212,$BX212,$BZ212,$AJ212,1,3)*$CB212</f>
        <v>#NAME?</v>
      </c>
      <c r="BH212" s="370" t="e">
        <f aca="false">IF(OR(BF212&lt;&gt;0,BG212&lt;&gt;0),xSPRDOPT($BW212,$BV212,$CG212,0,$BY212,$BX212,$BZ212,$AJ212,1,12)*$CB212,0)</f>
        <v>#NAME?</v>
      </c>
      <c r="BI212" s="370" t="e">
        <f aca="false">xSPRDOPT($BW212,$BV212,$CG212,2*LN(1+CA212/2),$BY212,$BX212,$BZ212,$AJ212,1,9)</f>
        <v>#NAME?</v>
      </c>
      <c r="BJ212" s="370" t="e">
        <f aca="false">xSPRDOPT($BW212,$BV212,$CG212,0,$BY212,$BX212,$BZ212,$AJ212,1,6)*$CB212</f>
        <v>#NAME?</v>
      </c>
      <c r="BK212" s="370" t="e">
        <f aca="false">xSPRDOPT($BW212,$BV212,$CG212,0,$BY212,$BX212,$BZ212,$AJ212,1,5)*$CB212</f>
        <v>#NAME?</v>
      </c>
      <c r="BL212" s="370" t="e">
        <f aca="false">xSPRDOPT(BW212,BV212,CG212,0,BY212,BX212,BZ212,AJ212,1,2)*CB212</f>
        <v>#NAME?</v>
      </c>
      <c r="BM212" s="370" t="e">
        <f aca="false">xSPRDOPT(BW212,BV212,CG212,0,BY212,BX212,BZ212,AJ212,1,1)*CB212</f>
        <v>#NAME?</v>
      </c>
      <c r="BN212" s="370" t="e">
        <f aca="false">IF(AH212&lt;&gt;0,xSPRDOPT($BW212,$BV212,$CG212,2*LN(1+CA212/2),$BY212,$BX212,$BZ212,$AJ212,1,8)+(AJ212/365.25)*CH212/AH212,0)</f>
        <v>#VALUE!</v>
      </c>
      <c r="BO212" s="370" t="e">
        <f aca="false">xSPRDOPT($BW212,$BV212,$CG212,0,$BY212,$BX212,$BZ212,$AJ212,1,0)</f>
        <v>#NAME?</v>
      </c>
      <c r="BP212" s="370"/>
      <c r="BQ212" s="370"/>
      <c r="BR212" s="370"/>
      <c r="BS212" s="370"/>
      <c r="BV212" s="508" t="n">
        <v>4.67621483375959</v>
      </c>
      <c r="BW212" s="369" t="n">
        <v>4.9965</v>
      </c>
      <c r="BX212" s="370" t="n">
        <v>0.174574004991313</v>
      </c>
      <c r="BY212" s="370" t="n">
        <v>0.174574004991313</v>
      </c>
      <c r="BZ212" s="370" t="n">
        <v>1</v>
      </c>
      <c r="CA212" s="370" t="n">
        <v>0.0647727579778348</v>
      </c>
      <c r="CB212" s="370" t="n">
        <v>0.36244789091445</v>
      </c>
      <c r="CC212" s="505" t="n">
        <v>0.017</v>
      </c>
      <c r="CD212" s="505" t="n">
        <v>0.0075</v>
      </c>
      <c r="CE212" s="505" t="n">
        <v>0.45</v>
      </c>
      <c r="CF212" s="505" t="n">
        <v>0</v>
      </c>
      <c r="CG212" s="505" t="n">
        <v>0.0364</v>
      </c>
      <c r="CH212" s="505" t="n">
        <v>4.00903612140474</v>
      </c>
      <c r="CI212" s="505" t="n">
        <v>4.5465</v>
      </c>
      <c r="CJ212" s="505"/>
      <c r="CK212" s="505"/>
      <c r="CL212" s="505"/>
      <c r="CM212" s="505"/>
    </row>
    <row r="213" customFormat="false" ht="12.75" hidden="false" customHeight="false" outlineLevel="0" collapsed="false">
      <c r="A213" s="500"/>
      <c r="B213" s="500"/>
      <c r="D213" s="361" t="e">
        <f aca="false">D212+AH212</f>
        <v>#VALUE!</v>
      </c>
      <c r="F213" s="362" t="e">
        <f aca="false">VLOOKUP(AG213,$AL$4:$AS$15,2)</f>
        <v>#VALUE!</v>
      </c>
      <c r="G213" s="362" t="e">
        <f aca="false">F213*$AU213</f>
        <v>#VALUE!</v>
      </c>
      <c r="H213" s="363" t="e">
        <f aca="false">(AL213+AM213+AN213)/(1-(AR213))</f>
        <v>#VALUE!</v>
      </c>
      <c r="I213" s="363" t="e">
        <f aca="false">(AL213+AO213+AP213)</f>
        <v>#VALUE!</v>
      </c>
      <c r="K213" s="363" t="e">
        <f aca="false">MAX(((I213-H213)-AQ213)*AU213*AH213,0)</f>
        <v>#VALUE!</v>
      </c>
      <c r="L213" s="501" t="e">
        <f aca="false">MAX(Q213-K213,0)</f>
        <v>#VALUE!</v>
      </c>
      <c r="N213" s="502" t="e">
        <f aca="false">SQRT(($AX213^2*($AH213/2)+$AW213^2*$AI213)/(($AH213/2)+$AI213))</f>
        <v>#VALUE!</v>
      </c>
      <c r="O213" s="502" t="e">
        <f aca="false">SQRT(($AY213^2*($AH213/2)+$AW213^2*$AI213)/(($AH213/2)+$AI213))</f>
        <v>#VALUE!</v>
      </c>
      <c r="P213" s="371" t="e">
        <f aca="false">(VLOOKUP(AI213,CorrelationTwo,2)*(AW213^2)*AI213+VLOOKUP(D213,CorrelationOne,$AK$9)*AX213*AY213*(AH213/2))/((AI213+(AH213/2))*O213*N213)*AF213</f>
        <v>#VALUE!</v>
      </c>
      <c r="Q213" s="501" t="e">
        <f aca="false">xSPRDOPT(I213,H213,AQ213,0,O213,N213,P213,D213-$G$5,1,0)*AH213*AU213</f>
        <v>#VALUE!</v>
      </c>
      <c r="R213" s="501"/>
      <c r="S213" s="365" t="e">
        <f aca="false">-T213/(1-AR213)</f>
        <v>#VALUE!</v>
      </c>
      <c r="T213" s="365" t="e">
        <f aca="false">xSPRDOPT(I213,H213,AQ213,AT213,O213,N213,P213,D213-$G$5,1,1)*AF213*F213*AH213</f>
        <v>#VALUE!</v>
      </c>
      <c r="U213" s="501"/>
      <c r="V213" s="503" t="e">
        <f aca="false">VLOOKUP($AG213,$AL$4:$AS$15,8)*AH213*AU213</f>
        <v>#VALUE!</v>
      </c>
      <c r="W213" s="503"/>
      <c r="X213" s="504" t="e">
        <f aca="false">((BM213*BC213)+(BL213*BB213))*AH213*F213</f>
        <v>#VALUE!</v>
      </c>
      <c r="Y213" s="504" t="e">
        <f aca="false">($F213*$AH213)*((($BG213/2)*($BC213)^2)+(($BF213/2)*($BB213)^2)+($BH213*$BC213*$BB213))</f>
        <v>#VALUE!</v>
      </c>
      <c r="Z213" s="504" t="e">
        <f aca="false">($BI213*$F213*$AH213*($G$5-$BV$5))/365.25</f>
        <v>#VALUE!</v>
      </c>
      <c r="AA213" s="504" t="e">
        <f aca="false">(($BK213*$BE213)+($BJ213*$BD213))*$F213*$AH213*$AF213</f>
        <v>#VALUE!</v>
      </c>
      <c r="AB213" s="504" t="e">
        <f aca="false">BN213*(AT213-CA213)*F213*AH213</f>
        <v>#VALUE!</v>
      </c>
      <c r="AC213" s="504" t="e">
        <f aca="false">BO213*CB213*F213*AH213*CA213*($G$5-$BV$5)/365.25</f>
        <v>#NAME?</v>
      </c>
      <c r="AF213" s="378" t="e">
        <f aca="false">IF(AND(D213&gt;=$G$7,D213&lt;=$G$8),1,0)</f>
        <v>#VALUE!</v>
      </c>
      <c r="AG213" s="378" t="e">
        <f aca="false">MONTH(D213)</f>
        <v>#VALUE!</v>
      </c>
      <c r="AH213" s="378" t="e">
        <f aca="false">(EOMONTH(D213,0)-EOMONTH(D213-DAY(D213),0))*AF213</f>
        <v>#VALUE!</v>
      </c>
      <c r="AI213" s="378" t="e">
        <f aca="false">AI212+AH212</f>
        <v>#VALUE!</v>
      </c>
      <c r="AJ213" s="378" t="e">
        <f aca="false">D213-$BV$5</f>
        <v>#VALUE!</v>
      </c>
      <c r="AL213" s="369" t="e">
        <f aca="false">VLOOKUP($D213,CurveTbl,$AK$4)</f>
        <v>#VALUE!</v>
      </c>
      <c r="AM213" s="505" t="e">
        <f aca="false">VLOOKUP($D213,CurveTbl,$AH$3)</f>
        <v>#VALUE!</v>
      </c>
      <c r="AN213" s="505" t="e">
        <f aca="false">VLOOKUP($D213,CurveTbl,$AH$4)+VLOOKUP($AG213,$AL$3:$AS$15,6)</f>
        <v>#VALUE!</v>
      </c>
      <c r="AO213" s="505" t="e">
        <f aca="false">VLOOKUP($D213,CurveTbl,$AH$5)</f>
        <v>#VALUE!</v>
      </c>
      <c r="AP213" s="505" t="e">
        <f aca="false">VLOOKUP($D213,CurveTbl,$AH$6)+VLOOKUP($AG213,$AL$3:$AS$15,7)</f>
        <v>#VALUE!</v>
      </c>
      <c r="AQ213" s="369" t="e">
        <f aca="false">VLOOKUP($AG213,$AL$4:$AS$15,3)+VLOOKUP($AG213,$AL$4:$AS$15,5)+($AH$10*VLOOKUP(D213,GRITable,2))</f>
        <v>#VALUE!</v>
      </c>
      <c r="AR213" s="370" t="e">
        <f aca="false">VLOOKUP($AG213,$AL$4:$AS$15,4)</f>
        <v>#VALUE!</v>
      </c>
      <c r="AS213" s="369" t="e">
        <f aca="false">(AL213+AM213+AN213)</f>
        <v>#VALUE!</v>
      </c>
      <c r="AT213" s="370" t="e">
        <f aca="false">VLOOKUP(D213,CurveTbl,$AK$6)</f>
        <v>#VALUE!</v>
      </c>
      <c r="AU213" s="370" t="e">
        <f aca="false">(1+$AT213/2)^(-2*($D213-$G$5)/365.25)*$AF213</f>
        <v>#VALUE!</v>
      </c>
      <c r="AV213" s="506" t="e">
        <f aca="false">ROUND((F213/(1-AR213))-F213,0)*AF213*AH213*AU213</f>
        <v>#VALUE!</v>
      </c>
      <c r="AW213" s="370" t="e">
        <f aca="false">VLOOKUP($D213,CurveTbl,$AK$8)</f>
        <v>#VALUE!</v>
      </c>
      <c r="AX213" s="370" t="e">
        <f aca="false">VLOOKUP($D213,CurveTbl,$AH$7)</f>
        <v>#VALUE!</v>
      </c>
      <c r="AY213" s="370" t="e">
        <f aca="false">VLOOKUP($D213,CurveTbl,$AH$8)</f>
        <v>#VALUE!</v>
      </c>
      <c r="AZ213" s="370"/>
      <c r="BA213" s="507"/>
      <c r="BB213" s="505" t="e">
        <f aca="false">$H213-$BV213</f>
        <v>#VALUE!</v>
      </c>
      <c r="BC213" s="505" t="e">
        <f aca="false">I213-BW213</f>
        <v>#VALUE!</v>
      </c>
      <c r="BD213" s="370" t="e">
        <f aca="false">N213-BX213</f>
        <v>#VALUE!</v>
      </c>
      <c r="BE213" s="370" t="e">
        <f aca="false">O213-BY213</f>
        <v>#VALUE!</v>
      </c>
      <c r="BF213" s="370" t="e">
        <f aca="false">xSPRDOPT($BW213,$BV213,$CG213,0,$BY213,$BX213,$BZ213,$AJ213,1,4)*$CB213</f>
        <v>#NAME?</v>
      </c>
      <c r="BG213" s="370" t="e">
        <f aca="false">xSPRDOPT($BW213,$BV213,$CG213,0,$BY213,$BX213,$BZ213,$AJ213,1,3)*$CB213</f>
        <v>#NAME?</v>
      </c>
      <c r="BH213" s="370" t="e">
        <f aca="false">IF(OR(BF213&lt;&gt;0,BG213&lt;&gt;0),xSPRDOPT($BW213,$BV213,$CG213,0,$BY213,$BX213,$BZ213,$AJ213,1,12)*$CB213,0)</f>
        <v>#NAME?</v>
      </c>
      <c r="BI213" s="370" t="e">
        <f aca="false">xSPRDOPT($BW213,$BV213,$CG213,2*LN(1+CA213/2),$BY213,$BX213,$BZ213,$AJ213,1,9)</f>
        <v>#NAME?</v>
      </c>
      <c r="BJ213" s="370" t="e">
        <f aca="false">xSPRDOPT($BW213,$BV213,$CG213,0,$BY213,$BX213,$BZ213,$AJ213,1,6)*$CB213</f>
        <v>#NAME?</v>
      </c>
      <c r="BK213" s="370" t="e">
        <f aca="false">xSPRDOPT($BW213,$BV213,$CG213,0,$BY213,$BX213,$BZ213,$AJ213,1,5)*$CB213</f>
        <v>#NAME?</v>
      </c>
      <c r="BL213" s="370" t="e">
        <f aca="false">xSPRDOPT(BW213,BV213,CG213,0,BY213,BX213,BZ213,AJ213,1,2)*CB213</f>
        <v>#NAME?</v>
      </c>
      <c r="BM213" s="370" t="e">
        <f aca="false">xSPRDOPT(BW213,BV213,CG213,0,BY213,BX213,BZ213,AJ213,1,1)*CB213</f>
        <v>#NAME?</v>
      </c>
      <c r="BN213" s="370" t="e">
        <f aca="false">IF(AH213&lt;&gt;0,xSPRDOPT($BW213,$BV213,$CG213,2*LN(1+CA213/2),$BY213,$BX213,$BZ213,$AJ213,1,8)+(AJ213/365.25)*CH213/AH213,0)</f>
        <v>#VALUE!</v>
      </c>
      <c r="BO213" s="370" t="e">
        <f aca="false">xSPRDOPT($BW213,$BV213,$CG213,0,$BY213,$BX213,$BZ213,$AJ213,1,0)</f>
        <v>#NAME?</v>
      </c>
      <c r="BP213" s="370"/>
      <c r="BQ213" s="370"/>
      <c r="BR213" s="370"/>
      <c r="BS213" s="370"/>
      <c r="BV213" s="508" t="n">
        <v>4.82250639386189</v>
      </c>
      <c r="BW213" s="369" t="n">
        <v>5.0895</v>
      </c>
      <c r="BX213" s="370" t="n">
        <v>0.1774106544807</v>
      </c>
      <c r="BY213" s="370" t="n">
        <v>0.1774106544807</v>
      </c>
      <c r="BZ213" s="370" t="n">
        <v>1</v>
      </c>
      <c r="CA213" s="370" t="n">
        <v>0.0648119942246246</v>
      </c>
      <c r="CB213" s="370" t="n">
        <v>0.360335924489506</v>
      </c>
      <c r="CC213" s="505" t="n">
        <v>0.017</v>
      </c>
      <c r="CD213" s="505" t="n">
        <v>0.0075</v>
      </c>
      <c r="CE213" s="505" t="n">
        <v>0.4</v>
      </c>
      <c r="CF213" s="505" t="n">
        <v>0</v>
      </c>
      <c r="CG213" s="505" t="n">
        <v>0.0364</v>
      </c>
      <c r="CH213" s="505" t="n">
        <v>4.1185315161377</v>
      </c>
      <c r="CI213" s="505" t="n">
        <v>4.6895</v>
      </c>
      <c r="CJ213" s="505"/>
      <c r="CK213" s="505"/>
      <c r="CL213" s="505"/>
      <c r="CM213" s="505"/>
    </row>
    <row r="214" customFormat="false" ht="12.75" hidden="false" customHeight="false" outlineLevel="0" collapsed="false">
      <c r="A214" s="500"/>
      <c r="B214" s="500"/>
      <c r="D214" s="361" t="e">
        <f aca="false">D213+AH213</f>
        <v>#VALUE!</v>
      </c>
      <c r="F214" s="362" t="e">
        <f aca="false">VLOOKUP(AG214,$AL$4:$AS$15,2)</f>
        <v>#VALUE!</v>
      </c>
      <c r="G214" s="362" t="e">
        <f aca="false">F214*$AU214</f>
        <v>#VALUE!</v>
      </c>
      <c r="H214" s="363" t="e">
        <f aca="false">(AL214+AM214+AN214)/(1-(AR214))</f>
        <v>#VALUE!</v>
      </c>
      <c r="I214" s="363" t="e">
        <f aca="false">(AL214+AO214+AP214)</f>
        <v>#VALUE!</v>
      </c>
      <c r="K214" s="363" t="e">
        <f aca="false">MAX(((I214-H214)-AQ214)*AU214*AH214,0)</f>
        <v>#VALUE!</v>
      </c>
      <c r="L214" s="501" t="e">
        <f aca="false">MAX(Q214-K214,0)</f>
        <v>#VALUE!</v>
      </c>
      <c r="N214" s="502" t="e">
        <f aca="false">SQRT(($AX214^2*($AH214/2)+$AW214^2*$AI214)/(($AH214/2)+$AI214))</f>
        <v>#VALUE!</v>
      </c>
      <c r="O214" s="502" t="e">
        <f aca="false">SQRT(($AY214^2*($AH214/2)+$AW214^2*$AI214)/(($AH214/2)+$AI214))</f>
        <v>#VALUE!</v>
      </c>
      <c r="P214" s="371" t="e">
        <f aca="false">(VLOOKUP(AI214,CorrelationTwo,2)*(AW214^2)*AI214+VLOOKUP(D214,CorrelationOne,$AK$9)*AX214*AY214*(AH214/2))/((AI214+(AH214/2))*O214*N214)*AF214</f>
        <v>#VALUE!</v>
      </c>
      <c r="Q214" s="501" t="e">
        <f aca="false">xSPRDOPT(I214,H214,AQ214,0,O214,N214,P214,D214-$G$5,1,0)*AH214*AU214</f>
        <v>#VALUE!</v>
      </c>
      <c r="R214" s="501"/>
      <c r="S214" s="365" t="e">
        <f aca="false">-T214/(1-AR214)</f>
        <v>#VALUE!</v>
      </c>
      <c r="T214" s="365" t="e">
        <f aca="false">xSPRDOPT(I214,H214,AQ214,AT214,O214,N214,P214,D214-$G$5,1,1)*AF214*F214*AH214</f>
        <v>#VALUE!</v>
      </c>
      <c r="U214" s="501"/>
      <c r="V214" s="503" t="e">
        <f aca="false">VLOOKUP($AG214,$AL$4:$AS$15,8)*AH214*AU214</f>
        <v>#VALUE!</v>
      </c>
      <c r="W214" s="503"/>
      <c r="X214" s="504" t="e">
        <f aca="false">((BM214*BC214)+(BL214*BB214))*AH214*F214</f>
        <v>#VALUE!</v>
      </c>
      <c r="Y214" s="504" t="e">
        <f aca="false">($F214*$AH214)*((($BG214/2)*($BC214)^2)+(($BF214/2)*($BB214)^2)+($BH214*$BC214*$BB214))</f>
        <v>#VALUE!</v>
      </c>
      <c r="Z214" s="504" t="e">
        <f aca="false">($BI214*$F214*$AH214*($G$5-$BV$5))/365.25</f>
        <v>#VALUE!</v>
      </c>
      <c r="AA214" s="504" t="e">
        <f aca="false">(($BK214*$BE214)+($BJ214*$BD214))*$F214*$AH214*$AF214</f>
        <v>#VALUE!</v>
      </c>
      <c r="AB214" s="504" t="e">
        <f aca="false">BN214*(AT214-CA214)*F214*AH214</f>
        <v>#VALUE!</v>
      </c>
      <c r="AC214" s="504" t="e">
        <f aca="false">BO214*CB214*F214*AH214*CA214*($G$5-$BV$5)/365.25</f>
        <v>#NAME?</v>
      </c>
      <c r="AF214" s="378" t="e">
        <f aca="false">IF(AND(D214&gt;=$G$7,D214&lt;=$G$8),1,0)</f>
        <v>#VALUE!</v>
      </c>
      <c r="AG214" s="378" t="e">
        <f aca="false">MONTH(D214)</f>
        <v>#VALUE!</v>
      </c>
      <c r="AH214" s="378" t="e">
        <f aca="false">(EOMONTH(D214,0)-EOMONTH(D214-DAY(D214),0))*AF214</f>
        <v>#VALUE!</v>
      </c>
      <c r="AI214" s="378" t="e">
        <f aca="false">AI213+AH213</f>
        <v>#VALUE!</v>
      </c>
      <c r="AJ214" s="378" t="e">
        <f aca="false">D214-$BV$5</f>
        <v>#VALUE!</v>
      </c>
      <c r="AL214" s="369" t="e">
        <f aca="false">VLOOKUP($D214,CurveTbl,$AK$4)</f>
        <v>#VALUE!</v>
      </c>
      <c r="AM214" s="505" t="e">
        <f aca="false">VLOOKUP($D214,CurveTbl,$AH$3)</f>
        <v>#VALUE!</v>
      </c>
      <c r="AN214" s="505" t="e">
        <f aca="false">VLOOKUP($D214,CurveTbl,$AH$4)+VLOOKUP($AG214,$AL$3:$AS$15,6)</f>
        <v>#VALUE!</v>
      </c>
      <c r="AO214" s="505" t="e">
        <f aca="false">VLOOKUP($D214,CurveTbl,$AH$5)</f>
        <v>#VALUE!</v>
      </c>
      <c r="AP214" s="505" t="e">
        <f aca="false">VLOOKUP($D214,CurveTbl,$AH$6)+VLOOKUP($AG214,$AL$3:$AS$15,7)</f>
        <v>#VALUE!</v>
      </c>
      <c r="AQ214" s="369" t="e">
        <f aca="false">VLOOKUP($AG214,$AL$4:$AS$15,3)+VLOOKUP($AG214,$AL$4:$AS$15,5)+($AH$10*VLOOKUP(D214,GRITable,2))</f>
        <v>#VALUE!</v>
      </c>
      <c r="AR214" s="370" t="e">
        <f aca="false">VLOOKUP($AG214,$AL$4:$AS$15,4)</f>
        <v>#VALUE!</v>
      </c>
      <c r="AS214" s="369" t="e">
        <f aca="false">(AL214+AM214+AN214)</f>
        <v>#VALUE!</v>
      </c>
      <c r="AT214" s="370" t="e">
        <f aca="false">VLOOKUP(D214,CurveTbl,$AK$6)</f>
        <v>#VALUE!</v>
      </c>
      <c r="AU214" s="370" t="e">
        <f aca="false">(1+$AT214/2)^(-2*($D214-$G$5)/365.25)*$AF214</f>
        <v>#VALUE!</v>
      </c>
      <c r="AV214" s="506" t="e">
        <f aca="false">ROUND((F214/(1-AR214))-F214,0)*AF214*AH214*AU214</f>
        <v>#VALUE!</v>
      </c>
      <c r="AW214" s="370" t="e">
        <f aca="false">VLOOKUP($D214,CurveTbl,$AK$8)</f>
        <v>#VALUE!</v>
      </c>
      <c r="AX214" s="370" t="e">
        <f aca="false">VLOOKUP($D214,CurveTbl,$AH$7)</f>
        <v>#VALUE!</v>
      </c>
      <c r="AY214" s="370" t="e">
        <f aca="false">VLOOKUP($D214,CurveTbl,$AH$8)</f>
        <v>#VALUE!</v>
      </c>
      <c r="AZ214" s="370"/>
      <c r="BA214" s="507"/>
      <c r="BB214" s="505" t="e">
        <f aca="false">$H214-$BV214</f>
        <v>#VALUE!</v>
      </c>
      <c r="BC214" s="505" t="e">
        <f aca="false">I214-BW214</f>
        <v>#VALUE!</v>
      </c>
      <c r="BD214" s="370" t="e">
        <f aca="false">N214-BX214</f>
        <v>#VALUE!</v>
      </c>
      <c r="BE214" s="370" t="e">
        <f aca="false">O214-BY214</f>
        <v>#VALUE!</v>
      </c>
      <c r="BF214" s="370" t="e">
        <f aca="false">xSPRDOPT($BW214,$BV214,$CG214,0,$BY214,$BX214,$BZ214,$AJ214,1,4)*$CB214</f>
        <v>#NAME?</v>
      </c>
      <c r="BG214" s="370" t="e">
        <f aca="false">xSPRDOPT($BW214,$BV214,$CG214,0,$BY214,$BX214,$BZ214,$AJ214,1,3)*$CB214</f>
        <v>#NAME?</v>
      </c>
      <c r="BH214" s="370" t="e">
        <f aca="false">IF(OR(BF214&lt;&gt;0,BG214&lt;&gt;0),xSPRDOPT($BW214,$BV214,$CG214,0,$BY214,$BX214,$BZ214,$AJ214,1,12)*$CB214,0)</f>
        <v>#NAME?</v>
      </c>
      <c r="BI214" s="370" t="e">
        <f aca="false">xSPRDOPT($BW214,$BV214,$CG214,2*LN(1+CA214/2),$BY214,$BX214,$BZ214,$AJ214,1,9)</f>
        <v>#NAME?</v>
      </c>
      <c r="BJ214" s="370" t="e">
        <f aca="false">xSPRDOPT($BW214,$BV214,$CG214,0,$BY214,$BX214,$BZ214,$AJ214,1,6)*$CB214</f>
        <v>#NAME?</v>
      </c>
      <c r="BK214" s="370" t="e">
        <f aca="false">xSPRDOPT($BW214,$BV214,$CG214,0,$BY214,$BX214,$BZ214,$AJ214,1,5)*$CB214</f>
        <v>#NAME?</v>
      </c>
      <c r="BL214" s="370" t="e">
        <f aca="false">xSPRDOPT(BW214,BV214,CG214,0,BY214,BX214,BZ214,AJ214,1,2)*CB214</f>
        <v>#NAME?</v>
      </c>
      <c r="BM214" s="370" t="e">
        <f aca="false">xSPRDOPT(BW214,BV214,CG214,0,BY214,BX214,BZ214,AJ214,1,1)*CB214</f>
        <v>#NAME?</v>
      </c>
      <c r="BN214" s="370" t="e">
        <f aca="false">IF(AH214&lt;&gt;0,xSPRDOPT($BW214,$BV214,$CG214,2*LN(1+CA214/2),$BY214,$BX214,$BZ214,$AJ214,1,8)+(AJ214/365.25)*CH214/AH214,0)</f>
        <v>#VALUE!</v>
      </c>
      <c r="BO214" s="370" t="e">
        <f aca="false">xSPRDOPT($BW214,$BV214,$CG214,0,$BY214,$BX214,$BZ214,$AJ214,1,0)</f>
        <v>#NAME?</v>
      </c>
      <c r="BP214" s="370"/>
      <c r="BQ214" s="370"/>
      <c r="BR214" s="370"/>
      <c r="BS214" s="370"/>
      <c r="BV214" s="508" t="n">
        <v>4.88388746803069</v>
      </c>
      <c r="BW214" s="369" t="n">
        <v>5.0995</v>
      </c>
      <c r="BX214" s="370" t="n">
        <v>0.177372380299377</v>
      </c>
      <c r="BY214" s="370" t="n">
        <v>0.177372380299377</v>
      </c>
      <c r="BZ214" s="370" t="n">
        <v>1</v>
      </c>
      <c r="CA214" s="370" t="n">
        <v>0.0648525383468432</v>
      </c>
      <c r="CB214" s="370" t="n">
        <v>0.358164142077081</v>
      </c>
      <c r="CC214" s="505" t="n">
        <v>0.017</v>
      </c>
      <c r="CD214" s="505" t="n">
        <v>0.0075</v>
      </c>
      <c r="CE214" s="505" t="n">
        <v>0.35</v>
      </c>
      <c r="CF214" s="505" t="n">
        <v>0</v>
      </c>
      <c r="CG214" s="505" t="n">
        <v>0.0364</v>
      </c>
      <c r="CH214" s="505" t="n">
        <v>4.09370869469841</v>
      </c>
      <c r="CI214" s="505" t="n">
        <v>4.7495</v>
      </c>
      <c r="CJ214" s="505"/>
      <c r="CK214" s="505"/>
      <c r="CL214" s="505"/>
      <c r="CM214" s="505"/>
    </row>
    <row r="215" customFormat="false" ht="12.75" hidden="false" customHeight="false" outlineLevel="0" collapsed="false">
      <c r="A215" s="500"/>
      <c r="B215" s="500"/>
      <c r="D215" s="361" t="e">
        <f aca="false">D214+AH214</f>
        <v>#VALUE!</v>
      </c>
      <c r="F215" s="362" t="e">
        <f aca="false">VLOOKUP(AG215,$AL$4:$AS$15,2)</f>
        <v>#VALUE!</v>
      </c>
      <c r="G215" s="362" t="e">
        <f aca="false">F215*$AU215</f>
        <v>#VALUE!</v>
      </c>
      <c r="H215" s="363" t="e">
        <f aca="false">(AL215+AM215+AN215)/(1-(AR215))</f>
        <v>#VALUE!</v>
      </c>
      <c r="I215" s="363" t="e">
        <f aca="false">(AL215+AO215+AP215)</f>
        <v>#VALUE!</v>
      </c>
      <c r="K215" s="363" t="e">
        <f aca="false">MAX(((I215-H215)-AQ215)*AU215*AH215,0)</f>
        <v>#VALUE!</v>
      </c>
      <c r="L215" s="501" t="e">
        <f aca="false">MAX(Q215-K215,0)</f>
        <v>#VALUE!</v>
      </c>
      <c r="N215" s="502" t="e">
        <f aca="false">SQRT(($AX215^2*($AH215/2)+$AW215^2*$AI215)/(($AH215/2)+$AI215))</f>
        <v>#VALUE!</v>
      </c>
      <c r="O215" s="502" t="e">
        <f aca="false">SQRT(($AY215^2*($AH215/2)+$AW215^2*$AI215)/(($AH215/2)+$AI215))</f>
        <v>#VALUE!</v>
      </c>
      <c r="P215" s="371" t="e">
        <f aca="false">(VLOOKUP(AI215,CorrelationTwo,2)*(AW215^2)*AI215+VLOOKUP(D215,CorrelationOne,$AK$9)*AX215*AY215*(AH215/2))/((AI215+(AH215/2))*O215*N215)*AF215</f>
        <v>#VALUE!</v>
      </c>
      <c r="Q215" s="501" t="e">
        <f aca="false">xSPRDOPT(I215,H215,AQ215,0,O215,N215,P215,D215-$G$5,1,0)*AH215*AU215</f>
        <v>#VALUE!</v>
      </c>
      <c r="R215" s="501"/>
      <c r="S215" s="365" t="e">
        <f aca="false">-T215/(1-AR215)</f>
        <v>#VALUE!</v>
      </c>
      <c r="T215" s="365" t="e">
        <f aca="false">xSPRDOPT(I215,H215,AQ215,AT215,O215,N215,P215,D215-$G$5,1,1)*AF215*F215*AH215</f>
        <v>#VALUE!</v>
      </c>
      <c r="U215" s="501"/>
      <c r="V215" s="503" t="e">
        <f aca="false">VLOOKUP($AG215,$AL$4:$AS$15,8)*AH215*AU215</f>
        <v>#VALUE!</v>
      </c>
      <c r="W215" s="503"/>
      <c r="X215" s="504" t="e">
        <f aca="false">((BM215*BC215)+(BL215*BB215))*AH215*F215</f>
        <v>#VALUE!</v>
      </c>
      <c r="Y215" s="504" t="e">
        <f aca="false">($F215*$AH215)*((($BG215/2)*($BC215)^2)+(($BF215/2)*($BB215)^2)+($BH215*$BC215*$BB215))</f>
        <v>#VALUE!</v>
      </c>
      <c r="Z215" s="504" t="e">
        <f aca="false">($BI215*$F215*$AH215*($G$5-$BV$5))/365.25</f>
        <v>#VALUE!</v>
      </c>
      <c r="AA215" s="504" t="e">
        <f aca="false">(($BK215*$BE215)+($BJ215*$BD215))*$F215*$AH215*$AF215</f>
        <v>#VALUE!</v>
      </c>
      <c r="AB215" s="504" t="e">
        <f aca="false">BN215*(AT215-CA215)*F215*AH215</f>
        <v>#VALUE!</v>
      </c>
      <c r="AC215" s="504" t="e">
        <f aca="false">BO215*CB215*F215*AH215*CA215*($G$5-$BV$5)/365.25</f>
        <v>#NAME?</v>
      </c>
      <c r="AF215" s="378" t="e">
        <f aca="false">IF(AND(D215&gt;=$G$7,D215&lt;=$G$8),1,0)</f>
        <v>#VALUE!</v>
      </c>
      <c r="AG215" s="378" t="e">
        <f aca="false">MONTH(D215)</f>
        <v>#VALUE!</v>
      </c>
      <c r="AH215" s="378" t="e">
        <f aca="false">(EOMONTH(D215,0)-EOMONTH(D215-DAY(D215),0))*AF215</f>
        <v>#VALUE!</v>
      </c>
      <c r="AI215" s="378" t="e">
        <f aca="false">AI214+AH214</f>
        <v>#VALUE!</v>
      </c>
      <c r="AJ215" s="378" t="e">
        <f aca="false">D215-$BV$5</f>
        <v>#VALUE!</v>
      </c>
      <c r="AL215" s="369" t="e">
        <f aca="false">VLOOKUP($D215,CurveTbl,$AK$4)</f>
        <v>#VALUE!</v>
      </c>
      <c r="AM215" s="505" t="e">
        <f aca="false">VLOOKUP($D215,CurveTbl,$AH$3)</f>
        <v>#VALUE!</v>
      </c>
      <c r="AN215" s="505" t="e">
        <f aca="false">VLOOKUP($D215,CurveTbl,$AH$4)+VLOOKUP($AG215,$AL$3:$AS$15,6)</f>
        <v>#VALUE!</v>
      </c>
      <c r="AO215" s="505" t="e">
        <f aca="false">VLOOKUP($D215,CurveTbl,$AH$5)</f>
        <v>#VALUE!</v>
      </c>
      <c r="AP215" s="505" t="e">
        <f aca="false">VLOOKUP($D215,CurveTbl,$AH$6)+VLOOKUP($AG215,$AL$3:$AS$15,7)</f>
        <v>#VALUE!</v>
      </c>
      <c r="AQ215" s="369" t="e">
        <f aca="false">VLOOKUP($AG215,$AL$4:$AS$15,3)+VLOOKUP($AG215,$AL$4:$AS$15,5)+($AH$10*VLOOKUP(D215,GRITable,2))</f>
        <v>#VALUE!</v>
      </c>
      <c r="AR215" s="370" t="e">
        <f aca="false">VLOOKUP($AG215,$AL$4:$AS$15,4)</f>
        <v>#VALUE!</v>
      </c>
      <c r="AS215" s="369" t="e">
        <f aca="false">(AL215+AM215+AN215)</f>
        <v>#VALUE!</v>
      </c>
      <c r="AT215" s="370" t="e">
        <f aca="false">VLOOKUP(D215,CurveTbl,$AK$6)</f>
        <v>#VALUE!</v>
      </c>
      <c r="AU215" s="370" t="e">
        <f aca="false">(1+$AT215/2)^(-2*($D215-$G$5)/365.25)*$AF215</f>
        <v>#VALUE!</v>
      </c>
      <c r="AV215" s="506" t="e">
        <f aca="false">ROUND((F215/(1-AR215))-F215,0)*AF215*AH215*AU215</f>
        <v>#VALUE!</v>
      </c>
      <c r="AW215" s="370" t="e">
        <f aca="false">VLOOKUP($D215,CurveTbl,$AK$8)</f>
        <v>#VALUE!</v>
      </c>
      <c r="AX215" s="370" t="e">
        <f aca="false">VLOOKUP($D215,CurveTbl,$AH$7)</f>
        <v>#VALUE!</v>
      </c>
      <c r="AY215" s="370" t="e">
        <f aca="false">VLOOKUP($D215,CurveTbl,$AH$8)</f>
        <v>#VALUE!</v>
      </c>
      <c r="AZ215" s="370"/>
      <c r="BA215" s="507"/>
      <c r="BB215" s="505" t="e">
        <f aca="false">$H215-$BV215</f>
        <v>#VALUE!</v>
      </c>
      <c r="BC215" s="505" t="e">
        <f aca="false">I215-BW215</f>
        <v>#VALUE!</v>
      </c>
      <c r="BD215" s="370" t="e">
        <f aca="false">N215-BX215</f>
        <v>#VALUE!</v>
      </c>
      <c r="BE215" s="370" t="e">
        <f aca="false">O215-BY215</f>
        <v>#VALUE!</v>
      </c>
      <c r="BF215" s="370" t="e">
        <f aca="false">xSPRDOPT($BW215,$BV215,$CG215,0,$BY215,$BX215,$BZ215,$AJ215,1,4)*$CB215</f>
        <v>#NAME?</v>
      </c>
      <c r="BG215" s="370" t="e">
        <f aca="false">xSPRDOPT($BW215,$BV215,$CG215,0,$BY215,$BX215,$BZ215,$AJ215,1,3)*$CB215</f>
        <v>#NAME?</v>
      </c>
      <c r="BH215" s="370" t="e">
        <f aca="false">IF(OR(BF215&lt;&gt;0,BG215&lt;&gt;0),xSPRDOPT($BW215,$BV215,$CG215,0,$BY215,$BX215,$BZ215,$AJ215,1,12)*$CB215,0)</f>
        <v>#NAME?</v>
      </c>
      <c r="BI215" s="370" t="e">
        <f aca="false">xSPRDOPT($BW215,$BV215,$CG215,2*LN(1+CA215/2),$BY215,$BX215,$BZ215,$AJ215,1,9)</f>
        <v>#NAME?</v>
      </c>
      <c r="BJ215" s="370" t="e">
        <f aca="false">xSPRDOPT($BW215,$BV215,$CG215,0,$BY215,$BX215,$BZ215,$AJ215,1,6)*$CB215</f>
        <v>#NAME?</v>
      </c>
      <c r="BK215" s="370" t="e">
        <f aca="false">xSPRDOPT($BW215,$BV215,$CG215,0,$BY215,$BX215,$BZ215,$AJ215,1,5)*$CB215</f>
        <v>#NAME?</v>
      </c>
      <c r="BL215" s="370" t="e">
        <f aca="false">xSPRDOPT(BW215,BV215,CG215,0,BY215,BX215,BZ215,AJ215,1,2)*CB215</f>
        <v>#NAME?</v>
      </c>
      <c r="BM215" s="370" t="e">
        <f aca="false">xSPRDOPT(BW215,BV215,CG215,0,BY215,BX215,BZ215,AJ215,1,1)*CB215</f>
        <v>#NAME?</v>
      </c>
      <c r="BN215" s="370" t="e">
        <f aca="false">IF(AH215&lt;&gt;0,xSPRDOPT($BW215,$BV215,$CG215,2*LN(1+CA215/2),$BY215,$BX215,$BZ215,$AJ215,1,8)+(AJ215/365.25)*CH215/AH215,0)</f>
        <v>#VALUE!</v>
      </c>
      <c r="BO215" s="370" t="e">
        <f aca="false">xSPRDOPT($BW215,$BV215,$CG215,0,$BY215,$BX215,$BZ215,$AJ215,1,0)</f>
        <v>#NAME?</v>
      </c>
      <c r="BP215" s="370"/>
      <c r="BQ215" s="370"/>
      <c r="BR215" s="370"/>
      <c r="BS215" s="370"/>
      <c r="BV215" s="508" t="n">
        <v>4.79693094629156</v>
      </c>
      <c r="BW215" s="369" t="n">
        <v>5.0145</v>
      </c>
      <c r="BX215" s="370" t="n">
        <v>0.176639673921943</v>
      </c>
      <c r="BY215" s="370" t="n">
        <v>0.176639673921943</v>
      </c>
      <c r="BZ215" s="370" t="n">
        <v>1</v>
      </c>
      <c r="CA215" s="370" t="n">
        <v>0.0648930824696068</v>
      </c>
      <c r="CB215" s="370" t="n">
        <v>0.356003080486458</v>
      </c>
      <c r="CC215" s="505" t="n">
        <v>0.017</v>
      </c>
      <c r="CD215" s="505" t="n">
        <v>0.0075</v>
      </c>
      <c r="CE215" s="505" t="n">
        <v>0.35</v>
      </c>
      <c r="CF215" s="505" t="n">
        <v>0</v>
      </c>
      <c r="CG215" s="505" t="n">
        <v>0.0364</v>
      </c>
      <c r="CH215" s="505" t="n">
        <v>3.67523340171</v>
      </c>
      <c r="CI215" s="505" t="n">
        <v>4.6645</v>
      </c>
      <c r="CJ215" s="505"/>
      <c r="CK215" s="505"/>
      <c r="CL215" s="505"/>
      <c r="CM215" s="505"/>
    </row>
    <row r="216" customFormat="false" ht="12.75" hidden="false" customHeight="false" outlineLevel="0" collapsed="false">
      <c r="A216" s="500"/>
      <c r="B216" s="500"/>
      <c r="D216" s="361" t="e">
        <f aca="false">D215+AH215</f>
        <v>#VALUE!</v>
      </c>
      <c r="F216" s="362" t="e">
        <f aca="false">VLOOKUP(AG216,$AL$4:$AS$15,2)</f>
        <v>#VALUE!</v>
      </c>
      <c r="G216" s="362" t="e">
        <f aca="false">F216*$AU216</f>
        <v>#VALUE!</v>
      </c>
      <c r="H216" s="363" t="e">
        <f aca="false">(AL216+AM216+AN216)/(1-(AR216))</f>
        <v>#VALUE!</v>
      </c>
      <c r="I216" s="363" t="e">
        <f aca="false">(AL216+AO216+AP216)</f>
        <v>#VALUE!</v>
      </c>
      <c r="K216" s="363" t="e">
        <f aca="false">MAX(((I216-H216)-AQ216)*AU216*AH216,0)</f>
        <v>#VALUE!</v>
      </c>
      <c r="L216" s="501" t="e">
        <f aca="false">MAX(Q216-K216,0)</f>
        <v>#VALUE!</v>
      </c>
      <c r="N216" s="502" t="e">
        <f aca="false">SQRT(($AX216^2*($AH216/2)+$AW216^2*$AI216)/(($AH216/2)+$AI216))</f>
        <v>#VALUE!</v>
      </c>
      <c r="O216" s="502" t="e">
        <f aca="false">SQRT(($AY216^2*($AH216/2)+$AW216^2*$AI216)/(($AH216/2)+$AI216))</f>
        <v>#VALUE!</v>
      </c>
      <c r="P216" s="371" t="e">
        <f aca="false">(VLOOKUP(AI216,CorrelationTwo,2)*(AW216^2)*AI216+VLOOKUP(D216,CorrelationOne,$AK$9)*AX216*AY216*(AH216/2))/((AI216+(AH216/2))*O216*N216)*AF216</f>
        <v>#VALUE!</v>
      </c>
      <c r="Q216" s="501" t="e">
        <f aca="false">xSPRDOPT(I216,H216,AQ216,0,O216,N216,P216,D216-$G$5,1,0)*AH216*AU216</f>
        <v>#VALUE!</v>
      </c>
      <c r="R216" s="501"/>
      <c r="S216" s="365" t="e">
        <f aca="false">-T216/(1-AR216)</f>
        <v>#VALUE!</v>
      </c>
      <c r="T216" s="365" t="e">
        <f aca="false">xSPRDOPT(I216,H216,AQ216,AT216,O216,N216,P216,D216-$G$5,1,1)*AF216*F216*AH216</f>
        <v>#VALUE!</v>
      </c>
      <c r="U216" s="501"/>
      <c r="V216" s="503" t="e">
        <f aca="false">VLOOKUP($AG216,$AL$4:$AS$15,8)*AH216*AU216</f>
        <v>#VALUE!</v>
      </c>
      <c r="W216" s="503"/>
      <c r="X216" s="504" t="e">
        <f aca="false">((BM216*BC216)+(BL216*BB216))*AH216*F216</f>
        <v>#VALUE!</v>
      </c>
      <c r="Y216" s="504" t="e">
        <f aca="false">($F216*$AH216)*((($BG216/2)*($BC216)^2)+(($BF216/2)*($BB216)^2)+($BH216*$BC216*$BB216))</f>
        <v>#VALUE!</v>
      </c>
      <c r="Z216" s="504" t="e">
        <f aca="false">($BI216*$F216*$AH216*($G$5-$BV$5))/365.25</f>
        <v>#VALUE!</v>
      </c>
      <c r="AA216" s="504" t="e">
        <f aca="false">(($BK216*$BE216)+($BJ216*$BD216))*$F216*$AH216*$AF216</f>
        <v>#VALUE!</v>
      </c>
      <c r="AB216" s="504" t="e">
        <f aca="false">BN216*(AT216-CA216)*F216*AH216</f>
        <v>#VALUE!</v>
      </c>
      <c r="AC216" s="504" t="e">
        <f aca="false">BO216*CB216*F216*AH216*CA216*($G$5-$BV$5)/365.25</f>
        <v>#NAME?</v>
      </c>
      <c r="AF216" s="378" t="e">
        <f aca="false">IF(AND(D216&gt;=$G$7,D216&lt;=$G$8),1,0)</f>
        <v>#VALUE!</v>
      </c>
      <c r="AG216" s="378" t="e">
        <f aca="false">MONTH(D216)</f>
        <v>#VALUE!</v>
      </c>
      <c r="AH216" s="378" t="e">
        <f aca="false">(EOMONTH(D216,0)-EOMONTH(D216-DAY(D216),0))*AF216</f>
        <v>#VALUE!</v>
      </c>
      <c r="AI216" s="378" t="e">
        <f aca="false">AI215+AH215</f>
        <v>#VALUE!</v>
      </c>
      <c r="AJ216" s="378" t="e">
        <f aca="false">D216-$BV$5</f>
        <v>#VALUE!</v>
      </c>
      <c r="AL216" s="369" t="e">
        <f aca="false">VLOOKUP($D216,CurveTbl,$AK$4)</f>
        <v>#VALUE!</v>
      </c>
      <c r="AM216" s="505" t="e">
        <f aca="false">VLOOKUP($D216,CurveTbl,$AH$3)</f>
        <v>#VALUE!</v>
      </c>
      <c r="AN216" s="505" t="e">
        <f aca="false">VLOOKUP($D216,CurveTbl,$AH$4)+VLOOKUP($AG216,$AL$3:$AS$15,6)</f>
        <v>#VALUE!</v>
      </c>
      <c r="AO216" s="505" t="e">
        <f aca="false">VLOOKUP($D216,CurveTbl,$AH$5)</f>
        <v>#VALUE!</v>
      </c>
      <c r="AP216" s="505" t="e">
        <f aca="false">VLOOKUP($D216,CurveTbl,$AH$6)+VLOOKUP($AG216,$AL$3:$AS$15,7)</f>
        <v>#VALUE!</v>
      </c>
      <c r="AQ216" s="369" t="e">
        <f aca="false">VLOOKUP($AG216,$AL$4:$AS$15,3)+VLOOKUP($AG216,$AL$4:$AS$15,5)+($AH$10*VLOOKUP(D216,GRITable,2))</f>
        <v>#VALUE!</v>
      </c>
      <c r="AR216" s="370" t="e">
        <f aca="false">VLOOKUP($AG216,$AL$4:$AS$15,4)</f>
        <v>#VALUE!</v>
      </c>
      <c r="AS216" s="369" t="e">
        <f aca="false">(AL216+AM216+AN216)</f>
        <v>#VALUE!</v>
      </c>
      <c r="AT216" s="370" t="e">
        <f aca="false">VLOOKUP(D216,CurveTbl,$AK$6)</f>
        <v>#VALUE!</v>
      </c>
      <c r="AU216" s="370" t="e">
        <f aca="false">(1+$AT216/2)^(-2*($D216-$G$5)/365.25)*$AF216</f>
        <v>#VALUE!</v>
      </c>
      <c r="AV216" s="506" t="e">
        <f aca="false">ROUND((F216/(1-AR216))-F216,0)*AF216*AH216*AU216</f>
        <v>#VALUE!</v>
      </c>
      <c r="AW216" s="370" t="e">
        <f aca="false">VLOOKUP($D216,CurveTbl,$AK$8)</f>
        <v>#VALUE!</v>
      </c>
      <c r="AX216" s="370" t="e">
        <f aca="false">VLOOKUP($D216,CurveTbl,$AH$7)</f>
        <v>#VALUE!</v>
      </c>
      <c r="AY216" s="370" t="e">
        <f aca="false">VLOOKUP($D216,CurveTbl,$AH$8)</f>
        <v>#VALUE!</v>
      </c>
      <c r="AZ216" s="370"/>
      <c r="BA216" s="507"/>
      <c r="BB216" s="505" t="e">
        <f aca="false">$H216-$BV216</f>
        <v>#VALUE!</v>
      </c>
      <c r="BC216" s="505" t="e">
        <f aca="false">I216-BW216</f>
        <v>#VALUE!</v>
      </c>
      <c r="BD216" s="370" t="e">
        <f aca="false">N216-BX216</f>
        <v>#VALUE!</v>
      </c>
      <c r="BE216" s="370" t="e">
        <f aca="false">O216-BY216</f>
        <v>#VALUE!</v>
      </c>
      <c r="BF216" s="370" t="e">
        <f aca="false">xSPRDOPT($BW216,$BV216,$CG216,0,$BY216,$BX216,$BZ216,$AJ216,1,4)*$CB216</f>
        <v>#NAME?</v>
      </c>
      <c r="BG216" s="370" t="e">
        <f aca="false">xSPRDOPT($BW216,$BV216,$CG216,0,$BY216,$BX216,$BZ216,$AJ216,1,3)*$CB216</f>
        <v>#NAME?</v>
      </c>
      <c r="BH216" s="370" t="e">
        <f aca="false">IF(OR(BF216&lt;&gt;0,BG216&lt;&gt;0),xSPRDOPT($BW216,$BV216,$CG216,0,$BY216,$BX216,$BZ216,$AJ216,1,12)*$CB216,0)</f>
        <v>#NAME?</v>
      </c>
      <c r="BI216" s="370" t="e">
        <f aca="false">xSPRDOPT($BW216,$BV216,$CG216,2*LN(1+CA216/2),$BY216,$BX216,$BZ216,$AJ216,1,9)</f>
        <v>#NAME?</v>
      </c>
      <c r="BJ216" s="370" t="e">
        <f aca="false">xSPRDOPT($BW216,$BV216,$CG216,0,$BY216,$BX216,$BZ216,$AJ216,1,6)*$CB216</f>
        <v>#NAME?</v>
      </c>
      <c r="BK216" s="370" t="e">
        <f aca="false">xSPRDOPT($BW216,$BV216,$CG216,0,$BY216,$BX216,$BZ216,$AJ216,1,5)*$CB216</f>
        <v>#NAME?</v>
      </c>
      <c r="BL216" s="370" t="e">
        <f aca="false">xSPRDOPT(BW216,BV216,CG216,0,BY216,BX216,BZ216,AJ216,1,2)*CB216</f>
        <v>#NAME?</v>
      </c>
      <c r="BM216" s="370" t="e">
        <f aca="false">xSPRDOPT(BW216,BV216,CG216,0,BY216,BX216,BZ216,AJ216,1,1)*CB216</f>
        <v>#NAME?</v>
      </c>
      <c r="BN216" s="370" t="e">
        <f aca="false">IF(AH216&lt;&gt;0,xSPRDOPT($BW216,$BV216,$CG216,2*LN(1+CA216/2),$BY216,$BX216,$BZ216,$AJ216,1,8)+(AJ216/365.25)*CH216/AH216,0)</f>
        <v>#VALUE!</v>
      </c>
      <c r="BO216" s="370" t="e">
        <f aca="false">xSPRDOPT($BW216,$BV216,$CG216,0,$BY216,$BX216,$BZ216,$AJ216,1,0)</f>
        <v>#NAME?</v>
      </c>
      <c r="BP216" s="370"/>
      <c r="BQ216" s="370"/>
      <c r="BR216" s="370"/>
      <c r="BS216" s="370"/>
      <c r="BV216" s="508" t="n">
        <v>4.6690537084399</v>
      </c>
      <c r="BW216" s="369" t="n">
        <v>4.9345</v>
      </c>
      <c r="BX216" s="370" t="n">
        <v>0.174049451272478</v>
      </c>
      <c r="BY216" s="370" t="n">
        <v>0.174049451272478</v>
      </c>
      <c r="BZ216" s="370" t="n">
        <v>1</v>
      </c>
      <c r="CA216" s="370" t="n">
        <v>0.0649297029680547</v>
      </c>
      <c r="CB216" s="370" t="n">
        <v>0.354060338763761</v>
      </c>
      <c r="CC216" s="505" t="n">
        <v>0.022</v>
      </c>
      <c r="CD216" s="505" t="n">
        <v>0.0075</v>
      </c>
      <c r="CE216" s="505" t="n">
        <v>0.4</v>
      </c>
      <c r="CF216" s="505" t="n">
        <v>0</v>
      </c>
      <c r="CG216" s="505" t="n">
        <v>0.0364</v>
      </c>
      <c r="CH216" s="505" t="n">
        <v>4.04680345396815</v>
      </c>
      <c r="CI216" s="505" t="n">
        <v>4.5345</v>
      </c>
      <c r="CJ216" s="505"/>
      <c r="CK216" s="505"/>
      <c r="CL216" s="505"/>
      <c r="CM216" s="505"/>
    </row>
    <row r="217" customFormat="false" ht="12.75" hidden="false" customHeight="false" outlineLevel="0" collapsed="false">
      <c r="A217" s="500"/>
      <c r="B217" s="500"/>
      <c r="D217" s="361" t="e">
        <f aca="false">D216+AH216</f>
        <v>#VALUE!</v>
      </c>
      <c r="F217" s="362" t="e">
        <f aca="false">VLOOKUP(AG217,$AL$4:$AS$15,2)</f>
        <v>#VALUE!</v>
      </c>
      <c r="G217" s="362" t="e">
        <f aca="false">F217*$AU217</f>
        <v>#VALUE!</v>
      </c>
      <c r="H217" s="363" t="e">
        <f aca="false">(AL217+AM217+AN217)/(1-(AR217))</f>
        <v>#VALUE!</v>
      </c>
      <c r="I217" s="363" t="e">
        <f aca="false">(AL217+AO217+AP217)</f>
        <v>#VALUE!</v>
      </c>
      <c r="K217" s="363" t="e">
        <f aca="false">MAX(((I217-H217)-AQ217)*AU217*AH217,0)</f>
        <v>#VALUE!</v>
      </c>
      <c r="L217" s="501" t="e">
        <f aca="false">MAX(Q217-K217,0)</f>
        <v>#VALUE!</v>
      </c>
      <c r="N217" s="502" t="e">
        <f aca="false">SQRT(($AX217^2*($AH217/2)+$AW217^2*$AI217)/(($AH217/2)+$AI217))</f>
        <v>#VALUE!</v>
      </c>
      <c r="O217" s="502" t="e">
        <f aca="false">SQRT(($AY217^2*($AH217/2)+$AW217^2*$AI217)/(($AH217/2)+$AI217))</f>
        <v>#VALUE!</v>
      </c>
      <c r="P217" s="371" t="e">
        <f aca="false">(VLOOKUP(AI217,CorrelationTwo,2)*(AW217^2)*AI217+VLOOKUP(D217,CorrelationOne,$AK$9)*AX217*AY217*(AH217/2))/((AI217+(AH217/2))*O217*N217)*AF217</f>
        <v>#VALUE!</v>
      </c>
      <c r="Q217" s="501" t="e">
        <f aca="false">xSPRDOPT(I217,H217,AQ217,0,O217,N217,P217,D217-$G$5,1,0)*AH217*AU217</f>
        <v>#VALUE!</v>
      </c>
      <c r="R217" s="501"/>
      <c r="S217" s="365" t="e">
        <f aca="false">-T217/(1-AR217)</f>
        <v>#VALUE!</v>
      </c>
      <c r="T217" s="365" t="e">
        <f aca="false">xSPRDOPT(I217,H217,AQ217,AT217,O217,N217,P217,D217-$G$5,1,1)*AF217*F217*AH217</f>
        <v>#VALUE!</v>
      </c>
      <c r="U217" s="501"/>
      <c r="V217" s="503" t="e">
        <f aca="false">VLOOKUP($AG217,$AL$4:$AS$15,8)*AH217*AU217</f>
        <v>#VALUE!</v>
      </c>
      <c r="W217" s="503"/>
      <c r="X217" s="504" t="e">
        <f aca="false">((BM217*BC217)+(BL217*BB217))*AH217*F217</f>
        <v>#VALUE!</v>
      </c>
      <c r="Y217" s="504" t="e">
        <f aca="false">($F217*$AH217)*((($BG217/2)*($BC217)^2)+(($BF217/2)*($BB217)^2)+($BH217*$BC217*$BB217))</f>
        <v>#VALUE!</v>
      </c>
      <c r="Z217" s="504" t="e">
        <f aca="false">($BI217*$F217*$AH217*($G$5-$BV$5))/365.25</f>
        <v>#VALUE!</v>
      </c>
      <c r="AA217" s="504" t="e">
        <f aca="false">(($BK217*$BE217)+($BJ217*$BD217))*$F217*$AH217*$AF217</f>
        <v>#VALUE!</v>
      </c>
      <c r="AB217" s="504" t="e">
        <f aca="false">BN217*(AT217-CA217)*F217*AH217</f>
        <v>#VALUE!</v>
      </c>
      <c r="AC217" s="504" t="e">
        <f aca="false">BO217*CB217*F217*AH217*CA217*($G$5-$BV$5)/365.25</f>
        <v>#NAME?</v>
      </c>
      <c r="AF217" s="378" t="e">
        <f aca="false">IF(AND(D217&gt;=$G$7,D217&lt;=$G$8),1,0)</f>
        <v>#VALUE!</v>
      </c>
      <c r="AG217" s="378" t="e">
        <f aca="false">MONTH(D217)</f>
        <v>#VALUE!</v>
      </c>
      <c r="AH217" s="378" t="e">
        <f aca="false">(EOMONTH(D217,0)-EOMONTH(D217-DAY(D217),0))*AF217</f>
        <v>#VALUE!</v>
      </c>
      <c r="AI217" s="378" t="e">
        <f aca="false">AI216+AH216</f>
        <v>#VALUE!</v>
      </c>
      <c r="AJ217" s="378" t="e">
        <f aca="false">D217-$BV$5</f>
        <v>#VALUE!</v>
      </c>
      <c r="AL217" s="369" t="e">
        <f aca="false">VLOOKUP($D217,CurveTbl,$AK$4)</f>
        <v>#VALUE!</v>
      </c>
      <c r="AM217" s="505" t="e">
        <f aca="false">VLOOKUP($D217,CurveTbl,$AH$3)</f>
        <v>#VALUE!</v>
      </c>
      <c r="AN217" s="505" t="e">
        <f aca="false">VLOOKUP($D217,CurveTbl,$AH$4)+VLOOKUP($AG217,$AL$3:$AS$15,6)</f>
        <v>#VALUE!</v>
      </c>
      <c r="AO217" s="505" t="e">
        <f aca="false">VLOOKUP($D217,CurveTbl,$AH$5)</f>
        <v>#VALUE!</v>
      </c>
      <c r="AP217" s="505" t="e">
        <f aca="false">VLOOKUP($D217,CurveTbl,$AH$6)+VLOOKUP($AG217,$AL$3:$AS$15,7)</f>
        <v>#VALUE!</v>
      </c>
      <c r="AQ217" s="369" t="e">
        <f aca="false">VLOOKUP($AG217,$AL$4:$AS$15,3)+VLOOKUP($AG217,$AL$4:$AS$15,5)+($AH$10*VLOOKUP(D217,GRITable,2))</f>
        <v>#VALUE!</v>
      </c>
      <c r="AR217" s="370" t="e">
        <f aca="false">VLOOKUP($AG217,$AL$4:$AS$15,4)</f>
        <v>#VALUE!</v>
      </c>
      <c r="AS217" s="369" t="e">
        <f aca="false">(AL217+AM217+AN217)</f>
        <v>#VALUE!</v>
      </c>
      <c r="AT217" s="370" t="e">
        <f aca="false">VLOOKUP(D217,CurveTbl,$AK$6)</f>
        <v>#VALUE!</v>
      </c>
      <c r="AU217" s="370" t="e">
        <f aca="false">(1+$AT217/2)^(-2*($D217-$G$5)/365.25)*$AF217</f>
        <v>#VALUE!</v>
      </c>
      <c r="AV217" s="506" t="e">
        <f aca="false">ROUND((F217/(1-AR217))-F217,0)*AF217*AH217*AU217</f>
        <v>#VALUE!</v>
      </c>
      <c r="AW217" s="370" t="e">
        <f aca="false">VLOOKUP($D217,CurveTbl,$AK$8)</f>
        <v>#VALUE!</v>
      </c>
      <c r="AX217" s="370" t="e">
        <f aca="false">VLOOKUP($D217,CurveTbl,$AH$7)</f>
        <v>#VALUE!</v>
      </c>
      <c r="AY217" s="370" t="e">
        <f aca="false">VLOOKUP($D217,CurveTbl,$AH$8)</f>
        <v>#VALUE!</v>
      </c>
      <c r="AZ217" s="370"/>
      <c r="BA217" s="507"/>
      <c r="BB217" s="505" t="e">
        <f aca="false">$H217-$BV217</f>
        <v>#VALUE!</v>
      </c>
      <c r="BC217" s="505" t="e">
        <f aca="false">I217-BW217</f>
        <v>#VALUE!</v>
      </c>
      <c r="BD217" s="370" t="e">
        <f aca="false">N217-BX217</f>
        <v>#VALUE!</v>
      </c>
      <c r="BE217" s="370" t="e">
        <f aca="false">O217-BY217</f>
        <v>#VALUE!</v>
      </c>
      <c r="BF217" s="370" t="e">
        <f aca="false">xSPRDOPT($BW217,$BV217,$CG217,0,$BY217,$BX217,$BZ217,$AJ217,1,4)*$CB217</f>
        <v>#NAME?</v>
      </c>
      <c r="BG217" s="370" t="e">
        <f aca="false">xSPRDOPT($BW217,$BV217,$CG217,0,$BY217,$BX217,$BZ217,$AJ217,1,3)*$CB217</f>
        <v>#NAME?</v>
      </c>
      <c r="BH217" s="370" t="e">
        <f aca="false">IF(OR(BF217&lt;&gt;0,BG217&lt;&gt;0),xSPRDOPT($BW217,$BV217,$CG217,0,$BY217,$BX217,$BZ217,$AJ217,1,12)*$CB217,0)</f>
        <v>#NAME?</v>
      </c>
      <c r="BI217" s="370" t="e">
        <f aca="false">xSPRDOPT($BW217,$BV217,$CG217,2*LN(1+CA217/2),$BY217,$BX217,$BZ217,$AJ217,1,9)</f>
        <v>#NAME?</v>
      </c>
      <c r="BJ217" s="370" t="e">
        <f aca="false">xSPRDOPT($BW217,$BV217,$CG217,0,$BY217,$BX217,$BZ217,$AJ217,1,6)*$CB217</f>
        <v>#NAME?</v>
      </c>
      <c r="BK217" s="370" t="e">
        <f aca="false">xSPRDOPT($BW217,$BV217,$CG217,0,$BY217,$BX217,$BZ217,$AJ217,1,5)*$CB217</f>
        <v>#NAME?</v>
      </c>
      <c r="BL217" s="370" t="e">
        <f aca="false">xSPRDOPT(BW217,BV217,CG217,0,BY217,BX217,BZ217,AJ217,1,2)*CB217</f>
        <v>#NAME?</v>
      </c>
      <c r="BM217" s="370" t="e">
        <f aca="false">xSPRDOPT(BW217,BV217,CG217,0,BY217,BX217,BZ217,AJ217,1,1)*CB217</f>
        <v>#NAME?</v>
      </c>
      <c r="BN217" s="370" t="e">
        <f aca="false">IF(AH217&lt;&gt;0,xSPRDOPT($BW217,$BV217,$CG217,2*LN(1+CA217/2),$BY217,$BX217,$BZ217,$AJ217,1,8)+(AJ217/365.25)*CH217/AH217,0)</f>
        <v>#VALUE!</v>
      </c>
      <c r="BO217" s="370" t="e">
        <f aca="false">xSPRDOPT($BW217,$BV217,$CG217,0,$BY217,$BX217,$BZ217,$AJ217,1,0)</f>
        <v>#NAME?</v>
      </c>
      <c r="BP217" s="370"/>
      <c r="BQ217" s="370"/>
      <c r="BR217" s="370"/>
      <c r="BS217" s="370"/>
      <c r="BV217" s="508" t="n">
        <v>4.48235294117647</v>
      </c>
      <c r="BW217" s="369" t="n">
        <v>4.9495</v>
      </c>
      <c r="BX217" s="370" t="n">
        <v>0.170966554022325</v>
      </c>
      <c r="BY217" s="370" t="n">
        <v>0.170966554022325</v>
      </c>
      <c r="BZ217" s="370" t="n">
        <v>1</v>
      </c>
      <c r="CA217" s="370" t="n">
        <v>0.0649702470918556</v>
      </c>
      <c r="CB217" s="370" t="n">
        <v>0.351919582010727</v>
      </c>
      <c r="CC217" s="505" t="n">
        <v>0.022</v>
      </c>
      <c r="CD217" s="505" t="n">
        <v>0.01</v>
      </c>
      <c r="CE217" s="505" t="n">
        <v>0.6</v>
      </c>
      <c r="CF217" s="505" t="n">
        <v>0</v>
      </c>
      <c r="CG217" s="505" t="n">
        <v>0.0364</v>
      </c>
      <c r="CH217" s="505" t="n">
        <v>3.89258249662065</v>
      </c>
      <c r="CI217" s="505" t="n">
        <v>4.3495</v>
      </c>
      <c r="CJ217" s="505"/>
      <c r="CK217" s="505"/>
      <c r="CL217" s="505"/>
      <c r="CM217" s="505"/>
    </row>
    <row r="218" customFormat="false" ht="12.75" hidden="false" customHeight="false" outlineLevel="0" collapsed="false">
      <c r="A218" s="500"/>
      <c r="B218" s="500"/>
      <c r="D218" s="361" t="e">
        <f aca="false">D217+AH217</f>
        <v>#VALUE!</v>
      </c>
      <c r="F218" s="362" t="e">
        <f aca="false">VLOOKUP(AG218,$AL$4:$AS$15,2)</f>
        <v>#VALUE!</v>
      </c>
      <c r="G218" s="362" t="e">
        <f aca="false">F218*$AU218</f>
        <v>#VALUE!</v>
      </c>
      <c r="H218" s="363" t="e">
        <f aca="false">(AL218+AM218+AN218)/(1-(AR218))</f>
        <v>#VALUE!</v>
      </c>
      <c r="I218" s="363" t="e">
        <f aca="false">(AL218+AO218+AP218)</f>
        <v>#VALUE!</v>
      </c>
      <c r="K218" s="363" t="e">
        <f aca="false">MAX(((I218-H218)-AQ218)*AU218*AH218,0)</f>
        <v>#VALUE!</v>
      </c>
      <c r="L218" s="501" t="e">
        <f aca="false">MAX(Q218-K218,0)</f>
        <v>#VALUE!</v>
      </c>
      <c r="N218" s="502" t="e">
        <f aca="false">SQRT(($AX218^2*($AH218/2)+$AW218^2*$AI218)/(($AH218/2)+$AI218))</f>
        <v>#VALUE!</v>
      </c>
      <c r="O218" s="502" t="e">
        <f aca="false">SQRT(($AY218^2*($AH218/2)+$AW218^2*$AI218)/(($AH218/2)+$AI218))</f>
        <v>#VALUE!</v>
      </c>
      <c r="P218" s="371" t="e">
        <f aca="false">(VLOOKUP(AI218,CorrelationTwo,2)*(AW218^2)*AI218+VLOOKUP(D218,CorrelationOne,$AK$9)*AX218*AY218*(AH218/2))/((AI218+(AH218/2))*O218*N218)*AF218</f>
        <v>#VALUE!</v>
      </c>
      <c r="Q218" s="501" t="e">
        <f aca="false">xSPRDOPT(I218,H218,AQ218,0,O218,N218,P218,D218-$G$5,1,0)*AH218*AU218</f>
        <v>#VALUE!</v>
      </c>
      <c r="R218" s="501"/>
      <c r="S218" s="365" t="e">
        <f aca="false">-T218/(1-AR218)</f>
        <v>#VALUE!</v>
      </c>
      <c r="T218" s="365" t="e">
        <f aca="false">xSPRDOPT(I218,H218,AQ218,AT218,O218,N218,P218,D218-$G$5,1,1)*AF218*F218*AH218</f>
        <v>#VALUE!</v>
      </c>
      <c r="U218" s="501"/>
      <c r="V218" s="503" t="e">
        <f aca="false">VLOOKUP($AG218,$AL$4:$AS$15,8)*AH218*AU218</f>
        <v>#VALUE!</v>
      </c>
      <c r="W218" s="503"/>
      <c r="X218" s="504" t="e">
        <f aca="false">((BM218*BC218)+(BL218*BB218))*AH218*F218</f>
        <v>#VALUE!</v>
      </c>
      <c r="Y218" s="504" t="e">
        <f aca="false">($F218*$AH218)*((($BG218/2)*($BC218)^2)+(($BF218/2)*($BB218)^2)+($BH218*$BC218*$BB218))</f>
        <v>#VALUE!</v>
      </c>
      <c r="Z218" s="504" t="e">
        <f aca="false">($BI218*$F218*$AH218*($G$5-$BV$5))/365.25</f>
        <v>#VALUE!</v>
      </c>
      <c r="AA218" s="504" t="e">
        <f aca="false">(($BK218*$BE218)+($BJ218*$BD218))*$F218*$AH218*$AF218</f>
        <v>#VALUE!</v>
      </c>
      <c r="AB218" s="504" t="e">
        <f aca="false">BN218*(AT218-CA218)*F218*AH218</f>
        <v>#VALUE!</v>
      </c>
      <c r="AC218" s="504" t="e">
        <f aca="false">BO218*CB218*F218*AH218*CA218*($G$5-$BV$5)/365.25</f>
        <v>#NAME?</v>
      </c>
      <c r="AF218" s="378" t="e">
        <f aca="false">IF(AND(D218&gt;=$G$7,D218&lt;=$G$8),1,0)</f>
        <v>#VALUE!</v>
      </c>
      <c r="AG218" s="378" t="e">
        <f aca="false">MONTH(D218)</f>
        <v>#VALUE!</v>
      </c>
      <c r="AH218" s="378" t="e">
        <f aca="false">(EOMONTH(D218,0)-EOMONTH(D218-DAY(D218),0))*AF218</f>
        <v>#VALUE!</v>
      </c>
      <c r="AI218" s="378" t="e">
        <f aca="false">AI217+AH217</f>
        <v>#VALUE!</v>
      </c>
      <c r="AJ218" s="378" t="e">
        <f aca="false">D218-$BV$5</f>
        <v>#VALUE!</v>
      </c>
      <c r="AL218" s="369" t="e">
        <f aca="false">VLOOKUP($D218,CurveTbl,$AK$4)</f>
        <v>#VALUE!</v>
      </c>
      <c r="AM218" s="505" t="e">
        <f aca="false">VLOOKUP($D218,CurveTbl,$AH$3)</f>
        <v>#VALUE!</v>
      </c>
      <c r="AN218" s="505" t="e">
        <f aca="false">VLOOKUP($D218,CurveTbl,$AH$4)+VLOOKUP($AG218,$AL$3:$AS$15,6)</f>
        <v>#VALUE!</v>
      </c>
      <c r="AO218" s="505" t="e">
        <f aca="false">VLOOKUP($D218,CurveTbl,$AH$5)</f>
        <v>#VALUE!</v>
      </c>
      <c r="AP218" s="505" t="e">
        <f aca="false">VLOOKUP($D218,CurveTbl,$AH$6)+VLOOKUP($AG218,$AL$3:$AS$15,7)</f>
        <v>#VALUE!</v>
      </c>
      <c r="AQ218" s="369" t="e">
        <f aca="false">VLOOKUP($AG218,$AL$4:$AS$15,3)+VLOOKUP($AG218,$AL$4:$AS$15,5)+($AH$10*VLOOKUP(D218,GRITable,2))</f>
        <v>#VALUE!</v>
      </c>
      <c r="AR218" s="370" t="e">
        <f aca="false">VLOOKUP($AG218,$AL$4:$AS$15,4)</f>
        <v>#VALUE!</v>
      </c>
      <c r="AS218" s="369" t="e">
        <f aca="false">(AL218+AM218+AN218)</f>
        <v>#VALUE!</v>
      </c>
      <c r="AT218" s="370" t="e">
        <f aca="false">VLOOKUP(D218,CurveTbl,$AK$6)</f>
        <v>#VALUE!</v>
      </c>
      <c r="AU218" s="370" t="e">
        <f aca="false">(1+$AT218/2)^(-2*($D218-$G$5)/365.25)*$AF218</f>
        <v>#VALUE!</v>
      </c>
      <c r="AV218" s="506" t="e">
        <f aca="false">ROUND((F218/(1-AR218))-F218,0)*AF218*AH218*AU218</f>
        <v>#VALUE!</v>
      </c>
      <c r="AW218" s="370" t="e">
        <f aca="false">VLOOKUP($D218,CurveTbl,$AK$8)</f>
        <v>#VALUE!</v>
      </c>
      <c r="AX218" s="370" t="e">
        <f aca="false">VLOOKUP($D218,CurveTbl,$AH$7)</f>
        <v>#VALUE!</v>
      </c>
      <c r="AY218" s="370" t="e">
        <f aca="false">VLOOKUP($D218,CurveTbl,$AH$8)</f>
        <v>#VALUE!</v>
      </c>
      <c r="AZ218" s="370"/>
      <c r="BA218" s="507"/>
      <c r="BB218" s="505" t="e">
        <f aca="false">$H218-$BV218</f>
        <v>#VALUE!</v>
      </c>
      <c r="BC218" s="505" t="e">
        <f aca="false">I218-BW218</f>
        <v>#VALUE!</v>
      </c>
      <c r="BD218" s="370" t="e">
        <f aca="false">N218-BX218</f>
        <v>#VALUE!</v>
      </c>
      <c r="BE218" s="370" t="e">
        <f aca="false">O218-BY218</f>
        <v>#VALUE!</v>
      </c>
      <c r="BF218" s="370" t="e">
        <f aca="false">xSPRDOPT($BW218,$BV218,$CG218,0,$BY218,$BX218,$BZ218,$AJ218,1,4)*$CB218</f>
        <v>#NAME?</v>
      </c>
      <c r="BG218" s="370" t="e">
        <f aca="false">xSPRDOPT($BW218,$BV218,$CG218,0,$BY218,$BX218,$BZ218,$AJ218,1,3)*$CB218</f>
        <v>#NAME?</v>
      </c>
      <c r="BH218" s="370" t="e">
        <f aca="false">IF(OR(BF218&lt;&gt;0,BG218&lt;&gt;0),xSPRDOPT($BW218,$BV218,$CG218,0,$BY218,$BX218,$BZ218,$AJ218,1,12)*$CB218,0)</f>
        <v>#NAME?</v>
      </c>
      <c r="BI218" s="370" t="e">
        <f aca="false">xSPRDOPT($BW218,$BV218,$CG218,2*LN(1+CA218/2),$BY218,$BX218,$BZ218,$AJ218,1,9)</f>
        <v>#NAME?</v>
      </c>
      <c r="BJ218" s="370" t="e">
        <f aca="false">xSPRDOPT($BW218,$BV218,$CG218,0,$BY218,$BX218,$BZ218,$AJ218,1,6)*$CB218</f>
        <v>#NAME?</v>
      </c>
      <c r="BK218" s="370" t="e">
        <f aca="false">xSPRDOPT($BW218,$BV218,$CG218,0,$BY218,$BX218,$BZ218,$AJ218,1,5)*$CB218</f>
        <v>#NAME?</v>
      </c>
      <c r="BL218" s="370" t="e">
        <f aca="false">xSPRDOPT(BW218,BV218,CG218,0,BY218,BX218,BZ218,AJ218,1,2)*CB218</f>
        <v>#NAME?</v>
      </c>
      <c r="BM218" s="370" t="e">
        <f aca="false">xSPRDOPT(BW218,BV218,CG218,0,BY218,BX218,BZ218,AJ218,1,1)*CB218</f>
        <v>#NAME?</v>
      </c>
      <c r="BN218" s="370" t="e">
        <f aca="false">IF(AH218&lt;&gt;0,xSPRDOPT($BW218,$BV218,$CG218,2*LN(1+CA218/2),$BY218,$BX218,$BZ218,$AJ218,1,8)+(AJ218/365.25)*CH218/AH218,0)</f>
        <v>#VALUE!</v>
      </c>
      <c r="BO218" s="370" t="e">
        <f aca="false">xSPRDOPT($BW218,$BV218,$CG218,0,$BY218,$BX218,$BZ218,$AJ218,1,0)</f>
        <v>#NAME?</v>
      </c>
      <c r="BP218" s="370"/>
      <c r="BQ218" s="370"/>
      <c r="BR218" s="370"/>
      <c r="BS218" s="370"/>
      <c r="BV218" s="508" t="n">
        <v>4.47979539641944</v>
      </c>
      <c r="BW218" s="369" t="n">
        <v>5.0945</v>
      </c>
      <c r="BX218" s="370" t="n">
        <v>0.171314487436612</v>
      </c>
      <c r="BY218" s="370" t="n">
        <v>0.171314487436612</v>
      </c>
      <c r="BZ218" s="370" t="n">
        <v>1</v>
      </c>
      <c r="CA218" s="370" t="n">
        <v>0.0650094833412136</v>
      </c>
      <c r="CB218" s="370" t="n">
        <v>0.34985799059031</v>
      </c>
      <c r="CC218" s="505" t="n">
        <v>0.0245</v>
      </c>
      <c r="CD218" s="505" t="n">
        <v>0.01</v>
      </c>
      <c r="CE218" s="505" t="n">
        <v>0.75</v>
      </c>
      <c r="CF218" s="505" t="n">
        <v>0</v>
      </c>
      <c r="CG218" s="505" t="n">
        <v>0.0364</v>
      </c>
      <c r="CH218" s="505" t="n">
        <v>3.99877187505006</v>
      </c>
      <c r="CI218" s="505" t="n">
        <v>4.3445</v>
      </c>
      <c r="CJ218" s="505"/>
      <c r="CK218" s="505"/>
      <c r="CL218" s="505"/>
      <c r="CM218" s="505"/>
    </row>
    <row r="219" customFormat="false" ht="12.75" hidden="false" customHeight="false" outlineLevel="0" collapsed="false">
      <c r="A219" s="500"/>
      <c r="B219" s="500"/>
      <c r="D219" s="361" t="e">
        <f aca="false">D218+AH218</f>
        <v>#VALUE!</v>
      </c>
      <c r="F219" s="362" t="e">
        <f aca="false">VLOOKUP(AG219,$AL$4:$AS$15,2)</f>
        <v>#VALUE!</v>
      </c>
      <c r="G219" s="362" t="e">
        <f aca="false">F219*$AU219</f>
        <v>#VALUE!</v>
      </c>
      <c r="H219" s="363" t="e">
        <f aca="false">(AL219+AM219+AN219)/(1-(AR219))</f>
        <v>#VALUE!</v>
      </c>
      <c r="I219" s="363" t="e">
        <f aca="false">(AL219+AO219+AP219)</f>
        <v>#VALUE!</v>
      </c>
      <c r="K219" s="363" t="e">
        <f aca="false">MAX(((I219-H219)-AQ219)*AU219*AH219,0)</f>
        <v>#VALUE!</v>
      </c>
      <c r="L219" s="501" t="e">
        <f aca="false">MAX(Q219-K219,0)</f>
        <v>#VALUE!</v>
      </c>
      <c r="N219" s="502" t="e">
        <f aca="false">SQRT(($AX219^2*($AH219/2)+$AW219^2*$AI219)/(($AH219/2)+$AI219))</f>
        <v>#VALUE!</v>
      </c>
      <c r="O219" s="502" t="e">
        <f aca="false">SQRT(($AY219^2*($AH219/2)+$AW219^2*$AI219)/(($AH219/2)+$AI219))</f>
        <v>#VALUE!</v>
      </c>
      <c r="P219" s="371" t="e">
        <f aca="false">(VLOOKUP(AI219,CorrelationTwo,2)*(AW219^2)*AI219+VLOOKUP(D219,CorrelationOne,$AK$9)*AX219*AY219*(AH219/2))/((AI219+(AH219/2))*O219*N219)*AF219</f>
        <v>#VALUE!</v>
      </c>
      <c r="Q219" s="501" t="e">
        <f aca="false">xSPRDOPT(I219,H219,AQ219,0,O219,N219,P219,D219-$G$5,1,0)*AH219*AU219</f>
        <v>#VALUE!</v>
      </c>
      <c r="R219" s="501"/>
      <c r="S219" s="365" t="e">
        <f aca="false">-T219/(1-AR219)</f>
        <v>#VALUE!</v>
      </c>
      <c r="T219" s="365" t="e">
        <f aca="false">xSPRDOPT(I219,H219,AQ219,AT219,O219,N219,P219,D219-$G$5,1,1)*AF219*F219*AH219</f>
        <v>#VALUE!</v>
      </c>
      <c r="U219" s="501"/>
      <c r="V219" s="503" t="e">
        <f aca="false">VLOOKUP($AG219,$AL$4:$AS$15,8)*AH219*AU219</f>
        <v>#VALUE!</v>
      </c>
      <c r="W219" s="503"/>
      <c r="X219" s="504" t="e">
        <f aca="false">((BM219*BC219)+(BL219*BB219))*AH219*F219</f>
        <v>#VALUE!</v>
      </c>
      <c r="Y219" s="504" t="e">
        <f aca="false">($F219*$AH219)*((($BG219/2)*($BC219)^2)+(($BF219/2)*($BB219)^2)+($BH219*$BC219*$BB219))</f>
        <v>#VALUE!</v>
      </c>
      <c r="Z219" s="504" t="e">
        <f aca="false">($BI219*$F219*$AH219*($G$5-$BV$5))/365.25</f>
        <v>#VALUE!</v>
      </c>
      <c r="AA219" s="504" t="e">
        <f aca="false">(($BK219*$BE219)+($BJ219*$BD219))*$F219*$AH219*$AF219</f>
        <v>#VALUE!</v>
      </c>
      <c r="AB219" s="504" t="e">
        <f aca="false">BN219*(AT219-CA219)*F219*AH219</f>
        <v>#VALUE!</v>
      </c>
      <c r="AC219" s="504" t="e">
        <f aca="false">BO219*CB219*F219*AH219*CA219*($G$5-$BV$5)/365.25</f>
        <v>#NAME?</v>
      </c>
      <c r="AF219" s="378" t="e">
        <f aca="false">IF(AND(D219&gt;=$G$7,D219&lt;=$G$8),1,0)</f>
        <v>#VALUE!</v>
      </c>
      <c r="AG219" s="378" t="e">
        <f aca="false">MONTH(D219)</f>
        <v>#VALUE!</v>
      </c>
      <c r="AH219" s="378" t="e">
        <f aca="false">(EOMONTH(D219,0)-EOMONTH(D219-DAY(D219),0))*AF219</f>
        <v>#VALUE!</v>
      </c>
      <c r="AI219" s="378" t="e">
        <f aca="false">AI218+AH218</f>
        <v>#VALUE!</v>
      </c>
      <c r="AJ219" s="378" t="e">
        <f aca="false">D219-$BV$5</f>
        <v>#VALUE!</v>
      </c>
      <c r="AL219" s="369" t="e">
        <f aca="false">VLOOKUP($D219,CurveTbl,$AK$4)</f>
        <v>#VALUE!</v>
      </c>
      <c r="AM219" s="505" t="e">
        <f aca="false">VLOOKUP($D219,CurveTbl,$AH$3)</f>
        <v>#VALUE!</v>
      </c>
      <c r="AN219" s="505" t="e">
        <f aca="false">VLOOKUP($D219,CurveTbl,$AH$4)+VLOOKUP($AG219,$AL$3:$AS$15,6)</f>
        <v>#VALUE!</v>
      </c>
      <c r="AO219" s="505" t="e">
        <f aca="false">VLOOKUP($D219,CurveTbl,$AH$5)</f>
        <v>#VALUE!</v>
      </c>
      <c r="AP219" s="505" t="e">
        <f aca="false">VLOOKUP($D219,CurveTbl,$AH$6)+VLOOKUP($AG219,$AL$3:$AS$15,7)</f>
        <v>#VALUE!</v>
      </c>
      <c r="AQ219" s="369" t="e">
        <f aca="false">VLOOKUP($AG219,$AL$4:$AS$15,3)+VLOOKUP($AG219,$AL$4:$AS$15,5)+($AH$10*VLOOKUP(D219,GRITable,2))</f>
        <v>#VALUE!</v>
      </c>
      <c r="AR219" s="370" t="e">
        <f aca="false">VLOOKUP($AG219,$AL$4:$AS$15,4)</f>
        <v>#VALUE!</v>
      </c>
      <c r="AS219" s="369" t="e">
        <f aca="false">(AL219+AM219+AN219)</f>
        <v>#VALUE!</v>
      </c>
      <c r="AT219" s="370" t="e">
        <f aca="false">VLOOKUP(D219,CurveTbl,$AK$6)</f>
        <v>#VALUE!</v>
      </c>
      <c r="AU219" s="370" t="e">
        <f aca="false">(1+$AT219/2)^(-2*($D219-$G$5)/365.25)*$AF219</f>
        <v>#VALUE!</v>
      </c>
      <c r="AV219" s="506" t="e">
        <f aca="false">ROUND((F219/(1-AR219))-F219,0)*AF219*AH219*AU219</f>
        <v>#VALUE!</v>
      </c>
      <c r="AW219" s="370" t="e">
        <f aca="false">VLOOKUP($D219,CurveTbl,$AK$8)</f>
        <v>#VALUE!</v>
      </c>
      <c r="AX219" s="370" t="e">
        <f aca="false">VLOOKUP($D219,CurveTbl,$AH$7)</f>
        <v>#VALUE!</v>
      </c>
      <c r="AY219" s="370" t="e">
        <f aca="false">VLOOKUP($D219,CurveTbl,$AH$8)</f>
        <v>#VALUE!</v>
      </c>
      <c r="AZ219" s="370"/>
      <c r="BA219" s="507"/>
      <c r="BB219" s="505" t="e">
        <f aca="false">$H219-$BV219</f>
        <v>#VALUE!</v>
      </c>
      <c r="BC219" s="505" t="e">
        <f aca="false">I219-BW219</f>
        <v>#VALUE!</v>
      </c>
      <c r="BD219" s="370" t="e">
        <f aca="false">N219-BX219</f>
        <v>#VALUE!</v>
      </c>
      <c r="BE219" s="370" t="e">
        <f aca="false">O219-BY219</f>
        <v>#VALUE!</v>
      </c>
      <c r="BF219" s="370" t="e">
        <f aca="false">xSPRDOPT($BW219,$BV219,$CG219,0,$BY219,$BX219,$BZ219,$AJ219,1,4)*$CB219</f>
        <v>#NAME?</v>
      </c>
      <c r="BG219" s="370" t="e">
        <f aca="false">xSPRDOPT($BW219,$BV219,$CG219,0,$BY219,$BX219,$BZ219,$AJ219,1,3)*$CB219</f>
        <v>#NAME?</v>
      </c>
      <c r="BH219" s="370" t="e">
        <f aca="false">IF(OR(BF219&lt;&gt;0,BG219&lt;&gt;0),xSPRDOPT($BW219,$BV219,$CG219,0,$BY219,$BX219,$BZ219,$AJ219,1,12)*$CB219,0)</f>
        <v>#NAME?</v>
      </c>
      <c r="BI219" s="370" t="e">
        <f aca="false">xSPRDOPT($BW219,$BV219,$CG219,2*LN(1+CA219/2),$BY219,$BX219,$BZ219,$AJ219,1,9)</f>
        <v>#NAME?</v>
      </c>
      <c r="BJ219" s="370" t="e">
        <f aca="false">xSPRDOPT($BW219,$BV219,$CG219,0,$BY219,$BX219,$BZ219,$AJ219,1,6)*$CB219</f>
        <v>#NAME?</v>
      </c>
      <c r="BK219" s="370" t="e">
        <f aca="false">xSPRDOPT($BW219,$BV219,$CG219,0,$BY219,$BX219,$BZ219,$AJ219,1,5)*$CB219</f>
        <v>#NAME?</v>
      </c>
      <c r="BL219" s="370" t="e">
        <f aca="false">xSPRDOPT(BW219,BV219,CG219,0,BY219,BX219,BZ219,AJ219,1,2)*CB219</f>
        <v>#NAME?</v>
      </c>
      <c r="BM219" s="370" t="e">
        <f aca="false">xSPRDOPT(BW219,BV219,CG219,0,BY219,BX219,BZ219,AJ219,1,1)*CB219</f>
        <v>#NAME?</v>
      </c>
      <c r="BN219" s="370" t="e">
        <f aca="false">IF(AH219&lt;&gt;0,xSPRDOPT($BW219,$BV219,$CG219,2*LN(1+CA219/2),$BY219,$BX219,$BZ219,$AJ219,1,8)+(AJ219/365.25)*CH219/AH219,0)</f>
        <v>#VALUE!</v>
      </c>
      <c r="BO219" s="370" t="e">
        <f aca="false">xSPRDOPT($BW219,$BV219,$CG219,0,$BY219,$BX219,$BZ219,$AJ219,1,0)</f>
        <v>#NAME?</v>
      </c>
      <c r="BP219" s="370"/>
      <c r="BQ219" s="370"/>
      <c r="BR219" s="370"/>
      <c r="BS219" s="370"/>
      <c r="BV219" s="508" t="n">
        <v>4.5156010230179</v>
      </c>
      <c r="BW219" s="369" t="n">
        <v>5.2295</v>
      </c>
      <c r="BX219" s="370" t="n">
        <v>0.171265828682548</v>
      </c>
      <c r="BY219" s="370" t="n">
        <v>0.171265828682548</v>
      </c>
      <c r="BZ219" s="370" t="n">
        <v>1</v>
      </c>
      <c r="CA219" s="370" t="n">
        <v>0.0650500274660866</v>
      </c>
      <c r="CB219" s="370" t="n">
        <v>0.347738090099785</v>
      </c>
      <c r="CC219" s="505" t="n">
        <v>0.0245</v>
      </c>
      <c r="CD219" s="505" t="n">
        <v>0.01</v>
      </c>
      <c r="CE219" s="505" t="n">
        <v>0.85</v>
      </c>
      <c r="CF219" s="505" t="n">
        <v>0</v>
      </c>
      <c r="CG219" s="505" t="n">
        <v>0.0364</v>
      </c>
      <c r="CH219" s="505" t="n">
        <v>3.84633101459372</v>
      </c>
      <c r="CI219" s="505" t="n">
        <v>4.3795</v>
      </c>
      <c r="CJ219" s="505"/>
      <c r="CK219" s="505"/>
      <c r="CL219" s="505"/>
      <c r="CM219" s="505"/>
    </row>
    <row r="220" customFormat="false" ht="12.75" hidden="false" customHeight="false" outlineLevel="0" collapsed="false">
      <c r="A220" s="500"/>
      <c r="B220" s="500"/>
      <c r="D220" s="361" t="e">
        <f aca="false">D219+AH219</f>
        <v>#VALUE!</v>
      </c>
      <c r="F220" s="362" t="e">
        <f aca="false">VLOOKUP(AG220,$AL$4:$AS$15,2)</f>
        <v>#VALUE!</v>
      </c>
      <c r="G220" s="362" t="e">
        <f aca="false">F220*$AU220</f>
        <v>#VALUE!</v>
      </c>
      <c r="H220" s="363" t="e">
        <f aca="false">(AL220+AM220+AN220)/(1-(AR220))</f>
        <v>#VALUE!</v>
      </c>
      <c r="I220" s="363" t="e">
        <f aca="false">(AL220+AO220+AP220)</f>
        <v>#VALUE!</v>
      </c>
      <c r="K220" s="363" t="e">
        <f aca="false">MAX(((I220-H220)-AQ220)*AU220*AH220,0)</f>
        <v>#VALUE!</v>
      </c>
      <c r="L220" s="501" t="e">
        <f aca="false">MAX(Q220-K220,0)</f>
        <v>#VALUE!</v>
      </c>
      <c r="N220" s="502" t="e">
        <f aca="false">SQRT(($AX220^2*($AH220/2)+$AW220^2*$AI220)/(($AH220/2)+$AI220))</f>
        <v>#VALUE!</v>
      </c>
      <c r="O220" s="502" t="e">
        <f aca="false">SQRT(($AY220^2*($AH220/2)+$AW220^2*$AI220)/(($AH220/2)+$AI220))</f>
        <v>#VALUE!</v>
      </c>
      <c r="P220" s="371" t="e">
        <f aca="false">(VLOOKUP(AI220,CorrelationTwo,2)*(AW220^2)*AI220+VLOOKUP(D220,CorrelationOne,$AK$9)*AX220*AY220*(AH220/2))/((AI220+(AH220/2))*O220*N220)*AF220</f>
        <v>#VALUE!</v>
      </c>
      <c r="Q220" s="501" t="e">
        <f aca="false">xSPRDOPT(I220,H220,AQ220,0,O220,N220,P220,D220-$G$5,1,0)*AH220*AU220</f>
        <v>#VALUE!</v>
      </c>
      <c r="R220" s="501"/>
      <c r="S220" s="365" t="e">
        <f aca="false">-T220/(1-AR220)</f>
        <v>#VALUE!</v>
      </c>
      <c r="T220" s="365" t="e">
        <f aca="false">xSPRDOPT(I220,H220,AQ220,AT220,O220,N220,P220,D220-$G$5,1,1)*AF220*F220*AH220</f>
        <v>#VALUE!</v>
      </c>
      <c r="U220" s="501"/>
      <c r="V220" s="503" t="e">
        <f aca="false">VLOOKUP($AG220,$AL$4:$AS$15,8)*AH220*AU220</f>
        <v>#VALUE!</v>
      </c>
      <c r="W220" s="503"/>
      <c r="X220" s="504" t="e">
        <f aca="false">((BM220*BC220)+(BL220*BB220))*AH220*F220</f>
        <v>#VALUE!</v>
      </c>
      <c r="Y220" s="504" t="e">
        <f aca="false">($F220*$AH220)*((($BG220/2)*($BC220)^2)+(($BF220/2)*($BB220)^2)+($BH220*$BC220*$BB220))</f>
        <v>#VALUE!</v>
      </c>
      <c r="Z220" s="504" t="e">
        <f aca="false">($BI220*$F220*$AH220*($G$5-$BV$5))/365.25</f>
        <v>#VALUE!</v>
      </c>
      <c r="AA220" s="504" t="e">
        <f aca="false">(($BK220*$BE220)+($BJ220*$BD220))*$F220*$AH220*$AF220</f>
        <v>#VALUE!</v>
      </c>
      <c r="AB220" s="504" t="e">
        <f aca="false">BN220*(AT220-CA220)*F220*AH220</f>
        <v>#VALUE!</v>
      </c>
      <c r="AC220" s="504" t="e">
        <f aca="false">BO220*CB220*F220*AH220*CA220*($G$5-$BV$5)/365.25</f>
        <v>#NAME?</v>
      </c>
      <c r="AF220" s="378" t="e">
        <f aca="false">IF(AND(D220&gt;=$G$7,D220&lt;=$G$8),1,0)</f>
        <v>#VALUE!</v>
      </c>
      <c r="AG220" s="378" t="e">
        <f aca="false">MONTH(D220)</f>
        <v>#VALUE!</v>
      </c>
      <c r="AH220" s="378" t="e">
        <f aca="false">(EOMONTH(D220,0)-EOMONTH(D220-DAY(D220),0))*AF220</f>
        <v>#VALUE!</v>
      </c>
      <c r="AI220" s="378" t="e">
        <f aca="false">AI219+AH219</f>
        <v>#VALUE!</v>
      </c>
      <c r="AJ220" s="378" t="e">
        <f aca="false">D220-$BV$5</f>
        <v>#VALUE!</v>
      </c>
      <c r="AL220" s="369" t="e">
        <f aca="false">VLOOKUP($D220,CurveTbl,$AK$4)</f>
        <v>#VALUE!</v>
      </c>
      <c r="AM220" s="505" t="e">
        <f aca="false">VLOOKUP($D220,CurveTbl,$AH$3)</f>
        <v>#VALUE!</v>
      </c>
      <c r="AN220" s="505" t="e">
        <f aca="false">VLOOKUP($D220,CurveTbl,$AH$4)+VLOOKUP($AG220,$AL$3:$AS$15,6)</f>
        <v>#VALUE!</v>
      </c>
      <c r="AO220" s="505" t="e">
        <f aca="false">VLOOKUP($D220,CurveTbl,$AH$5)</f>
        <v>#VALUE!</v>
      </c>
      <c r="AP220" s="505" t="e">
        <f aca="false">VLOOKUP($D220,CurveTbl,$AH$6)+VLOOKUP($AG220,$AL$3:$AS$15,7)</f>
        <v>#VALUE!</v>
      </c>
      <c r="AQ220" s="369" t="e">
        <f aca="false">VLOOKUP($AG220,$AL$4:$AS$15,3)+VLOOKUP($AG220,$AL$4:$AS$15,5)+($AH$10*VLOOKUP(D220,GRITable,2))</f>
        <v>#VALUE!</v>
      </c>
      <c r="AR220" s="370" t="e">
        <f aca="false">VLOOKUP($AG220,$AL$4:$AS$15,4)</f>
        <v>#VALUE!</v>
      </c>
      <c r="AS220" s="369" t="e">
        <f aca="false">(AL220+AM220+AN220)</f>
        <v>#VALUE!</v>
      </c>
      <c r="AT220" s="370" t="e">
        <f aca="false">VLOOKUP(D220,CurveTbl,$AK$6)</f>
        <v>#VALUE!</v>
      </c>
      <c r="AU220" s="370" t="e">
        <f aca="false">(1+$AT220/2)^(-2*($D220-$G$5)/365.25)*$AF220</f>
        <v>#VALUE!</v>
      </c>
      <c r="AV220" s="506" t="e">
        <f aca="false">ROUND((F220/(1-AR220))-F220,0)*AF220*AH220*AU220</f>
        <v>#VALUE!</v>
      </c>
      <c r="AW220" s="370" t="e">
        <f aca="false">VLOOKUP($D220,CurveTbl,$AK$8)</f>
        <v>#VALUE!</v>
      </c>
      <c r="AX220" s="370" t="e">
        <f aca="false">VLOOKUP($D220,CurveTbl,$AH$7)</f>
        <v>#VALUE!</v>
      </c>
      <c r="AY220" s="370" t="e">
        <f aca="false">VLOOKUP($D220,CurveTbl,$AH$8)</f>
        <v>#VALUE!</v>
      </c>
      <c r="AZ220" s="370"/>
      <c r="BA220" s="507"/>
      <c r="BB220" s="505" t="e">
        <f aca="false">$H220-$BV220</f>
        <v>#VALUE!</v>
      </c>
      <c r="BC220" s="505" t="e">
        <f aca="false">I220-BW220</f>
        <v>#VALUE!</v>
      </c>
      <c r="BD220" s="370" t="e">
        <f aca="false">N220-BX220</f>
        <v>#VALUE!</v>
      </c>
      <c r="BE220" s="370" t="e">
        <f aca="false">O220-BY220</f>
        <v>#VALUE!</v>
      </c>
      <c r="BF220" s="370" t="e">
        <f aca="false">xSPRDOPT($BW220,$BV220,$CG220,0,$BY220,$BX220,$BZ220,$AJ220,1,4)*$CB220</f>
        <v>#NAME?</v>
      </c>
      <c r="BG220" s="370" t="e">
        <f aca="false">xSPRDOPT($BW220,$BV220,$CG220,0,$BY220,$BX220,$BZ220,$AJ220,1,3)*$CB220</f>
        <v>#NAME?</v>
      </c>
      <c r="BH220" s="370" t="e">
        <f aca="false">IF(OR(BF220&lt;&gt;0,BG220&lt;&gt;0),xSPRDOPT($BW220,$BV220,$CG220,0,$BY220,$BX220,$BZ220,$AJ220,1,12)*$CB220,0)</f>
        <v>#NAME?</v>
      </c>
      <c r="BI220" s="370" t="e">
        <f aca="false">xSPRDOPT($BW220,$BV220,$CG220,2*LN(1+CA220/2),$BY220,$BX220,$BZ220,$AJ220,1,9)</f>
        <v>#NAME?</v>
      </c>
      <c r="BJ220" s="370" t="e">
        <f aca="false">xSPRDOPT($BW220,$BV220,$CG220,0,$BY220,$BX220,$BZ220,$AJ220,1,6)*$CB220</f>
        <v>#NAME?</v>
      </c>
      <c r="BK220" s="370" t="e">
        <f aca="false">xSPRDOPT($BW220,$BV220,$CG220,0,$BY220,$BX220,$BZ220,$AJ220,1,5)*$CB220</f>
        <v>#NAME?</v>
      </c>
      <c r="BL220" s="370" t="e">
        <f aca="false">xSPRDOPT(BW220,BV220,CG220,0,BY220,BX220,BZ220,AJ220,1,2)*CB220</f>
        <v>#NAME?</v>
      </c>
      <c r="BM220" s="370" t="e">
        <f aca="false">xSPRDOPT(BW220,BV220,CG220,0,BY220,BX220,BZ220,AJ220,1,1)*CB220</f>
        <v>#NAME?</v>
      </c>
      <c r="BN220" s="370" t="e">
        <f aca="false">IF(AH220&lt;&gt;0,xSPRDOPT($BW220,$BV220,$CG220,2*LN(1+CA220/2),$BY220,$BX220,$BZ220,$AJ220,1,8)+(AJ220/365.25)*CH220/AH220,0)</f>
        <v>#VALUE!</v>
      </c>
      <c r="BO220" s="370" t="e">
        <f aca="false">xSPRDOPT($BW220,$BV220,$CG220,0,$BY220,$BX220,$BZ220,$AJ220,1,0)</f>
        <v>#NAME?</v>
      </c>
      <c r="BP220" s="370"/>
      <c r="BQ220" s="370"/>
      <c r="BR220" s="370"/>
      <c r="BS220" s="370"/>
      <c r="BV220" s="508" t="n">
        <v>4.55652173913043</v>
      </c>
      <c r="BW220" s="369" t="n">
        <v>5.4695</v>
      </c>
      <c r="BX220" s="370" t="n">
        <v>0.171655643125376</v>
      </c>
      <c r="BY220" s="370" t="n">
        <v>0.171655643125376</v>
      </c>
      <c r="BZ220" s="370" t="n">
        <v>1</v>
      </c>
      <c r="CA220" s="370" t="n">
        <v>0.0650892637164815</v>
      </c>
      <c r="CB220" s="370" t="n">
        <v>0.345696614839497</v>
      </c>
      <c r="CC220" s="505" t="n">
        <v>0.0245</v>
      </c>
      <c r="CD220" s="505" t="n">
        <v>0.01</v>
      </c>
      <c r="CE220" s="505" t="n">
        <v>1.05</v>
      </c>
      <c r="CF220" s="505" t="n">
        <v>0</v>
      </c>
      <c r="CG220" s="505" t="n">
        <v>0.0364</v>
      </c>
      <c r="CH220" s="505" t="n">
        <v>3.951208598631</v>
      </c>
      <c r="CI220" s="505" t="n">
        <v>4.4195</v>
      </c>
      <c r="CJ220" s="505"/>
      <c r="CK220" s="505"/>
      <c r="CL220" s="505"/>
      <c r="CM220" s="505"/>
    </row>
    <row r="221" customFormat="false" ht="12.75" hidden="false" customHeight="false" outlineLevel="0" collapsed="false">
      <c r="A221" s="500"/>
      <c r="B221" s="500"/>
      <c r="D221" s="361" t="e">
        <f aca="false">D220+AH220</f>
        <v>#VALUE!</v>
      </c>
      <c r="F221" s="362" t="e">
        <f aca="false">VLOOKUP(AG221,$AL$4:$AS$15,2)</f>
        <v>#VALUE!</v>
      </c>
      <c r="G221" s="362" t="e">
        <f aca="false">F221*$AU221</f>
        <v>#VALUE!</v>
      </c>
      <c r="H221" s="363" t="e">
        <f aca="false">(AL221+AM221+AN221)/(1-(AR221))</f>
        <v>#VALUE!</v>
      </c>
      <c r="I221" s="363" t="e">
        <f aca="false">(AL221+AO221+AP221)</f>
        <v>#VALUE!</v>
      </c>
      <c r="K221" s="363" t="e">
        <f aca="false">MAX(((I221-H221)-AQ221)*AU221*AH221,0)</f>
        <v>#VALUE!</v>
      </c>
      <c r="L221" s="501" t="e">
        <f aca="false">MAX(Q221-K221,0)</f>
        <v>#VALUE!</v>
      </c>
      <c r="N221" s="502" t="e">
        <f aca="false">SQRT(($AX221^2*($AH221/2)+$AW221^2*$AI221)/(($AH221/2)+$AI221))</f>
        <v>#VALUE!</v>
      </c>
      <c r="O221" s="502" t="e">
        <f aca="false">SQRT(($AY221^2*($AH221/2)+$AW221^2*$AI221)/(($AH221/2)+$AI221))</f>
        <v>#VALUE!</v>
      </c>
      <c r="P221" s="371" t="e">
        <f aca="false">(VLOOKUP(AI221,CorrelationTwo,2)*(AW221^2)*AI221+VLOOKUP(D221,CorrelationOne,$AK$9)*AX221*AY221*(AH221/2))/((AI221+(AH221/2))*O221*N221)*AF221</f>
        <v>#VALUE!</v>
      </c>
      <c r="Q221" s="501" t="e">
        <f aca="false">xSPRDOPT(I221,H221,AQ221,0,O221,N221,P221,D221-$G$5,1,0)*AH221*AU221</f>
        <v>#VALUE!</v>
      </c>
      <c r="R221" s="501"/>
      <c r="S221" s="365" t="e">
        <f aca="false">-T221/(1-AR221)</f>
        <v>#VALUE!</v>
      </c>
      <c r="T221" s="365" t="e">
        <f aca="false">xSPRDOPT(I221,H221,AQ221,AT221,O221,N221,P221,D221-$G$5,1,1)*AF221*F221*AH221</f>
        <v>#VALUE!</v>
      </c>
      <c r="U221" s="501"/>
      <c r="V221" s="503" t="e">
        <f aca="false">VLOOKUP($AG221,$AL$4:$AS$15,8)*AH221*AU221</f>
        <v>#VALUE!</v>
      </c>
      <c r="W221" s="503"/>
      <c r="X221" s="504" t="e">
        <f aca="false">((BM221*BC221)+(BL221*BB221))*AH221*F221</f>
        <v>#VALUE!</v>
      </c>
      <c r="Y221" s="504" t="e">
        <f aca="false">($F221*$AH221)*((($BG221/2)*($BC221)^2)+(($BF221/2)*($BB221)^2)+($BH221*$BC221*$BB221))</f>
        <v>#VALUE!</v>
      </c>
      <c r="Z221" s="504" t="e">
        <f aca="false">($BI221*$F221*$AH221*($G$5-$BV$5))/365.25</f>
        <v>#VALUE!</v>
      </c>
      <c r="AA221" s="504" t="e">
        <f aca="false">(($BK221*$BE221)+($BJ221*$BD221))*$F221*$AH221*$AF221</f>
        <v>#VALUE!</v>
      </c>
      <c r="AB221" s="504" t="e">
        <f aca="false">BN221*(AT221-CA221)*F221*AH221</f>
        <v>#VALUE!</v>
      </c>
      <c r="AC221" s="504" t="e">
        <f aca="false">BO221*CB221*F221*AH221*CA221*($G$5-$BV$5)/365.25</f>
        <v>#NAME?</v>
      </c>
      <c r="AF221" s="378" t="e">
        <f aca="false">IF(AND(D221&gt;=$G$7,D221&lt;=$G$8),1,0)</f>
        <v>#VALUE!</v>
      </c>
      <c r="AG221" s="378" t="e">
        <f aca="false">MONTH(D221)</f>
        <v>#VALUE!</v>
      </c>
      <c r="AH221" s="378" t="e">
        <f aca="false">(EOMONTH(D221,0)-EOMONTH(D221-DAY(D221),0))*AF221</f>
        <v>#VALUE!</v>
      </c>
      <c r="AI221" s="378" t="e">
        <f aca="false">AI220+AH220</f>
        <v>#VALUE!</v>
      </c>
      <c r="AJ221" s="378" t="e">
        <f aca="false">D221-$BV$5</f>
        <v>#VALUE!</v>
      </c>
      <c r="AL221" s="369" t="e">
        <f aca="false">VLOOKUP($D221,CurveTbl,$AK$4)</f>
        <v>#VALUE!</v>
      </c>
      <c r="AM221" s="505" t="e">
        <f aca="false">VLOOKUP($D221,CurveTbl,$AH$3)</f>
        <v>#VALUE!</v>
      </c>
      <c r="AN221" s="505" t="e">
        <f aca="false">VLOOKUP($D221,CurveTbl,$AH$4)+VLOOKUP($AG221,$AL$3:$AS$15,6)</f>
        <v>#VALUE!</v>
      </c>
      <c r="AO221" s="505" t="e">
        <f aca="false">VLOOKUP($D221,CurveTbl,$AH$5)</f>
        <v>#VALUE!</v>
      </c>
      <c r="AP221" s="505" t="e">
        <f aca="false">VLOOKUP($D221,CurveTbl,$AH$6)+VLOOKUP($AG221,$AL$3:$AS$15,7)</f>
        <v>#VALUE!</v>
      </c>
      <c r="AQ221" s="369" t="e">
        <f aca="false">VLOOKUP($AG221,$AL$4:$AS$15,3)+VLOOKUP($AG221,$AL$4:$AS$15,5)+($AH$10*VLOOKUP(D221,GRITable,2))</f>
        <v>#VALUE!</v>
      </c>
      <c r="AR221" s="370" t="e">
        <f aca="false">VLOOKUP($AG221,$AL$4:$AS$15,4)</f>
        <v>#VALUE!</v>
      </c>
      <c r="AS221" s="369" t="e">
        <f aca="false">(AL221+AM221+AN221)</f>
        <v>#VALUE!</v>
      </c>
      <c r="AT221" s="370" t="e">
        <f aca="false">VLOOKUP(D221,CurveTbl,$AK$6)</f>
        <v>#VALUE!</v>
      </c>
      <c r="AU221" s="370" t="e">
        <f aca="false">(1+$AT221/2)^(-2*($D221-$G$5)/365.25)*$AF221</f>
        <v>#VALUE!</v>
      </c>
      <c r="AV221" s="506" t="e">
        <f aca="false">ROUND((F221/(1-AR221))-F221,0)*AF221*AH221*AU221</f>
        <v>#VALUE!</v>
      </c>
      <c r="AW221" s="370" t="e">
        <f aca="false">VLOOKUP($D221,CurveTbl,$AK$8)</f>
        <v>#VALUE!</v>
      </c>
      <c r="AX221" s="370" t="e">
        <f aca="false">VLOOKUP($D221,CurveTbl,$AH$7)</f>
        <v>#VALUE!</v>
      </c>
      <c r="AY221" s="370" t="e">
        <f aca="false">VLOOKUP($D221,CurveTbl,$AH$8)</f>
        <v>#VALUE!</v>
      </c>
      <c r="AZ221" s="370"/>
      <c r="BA221" s="507"/>
      <c r="BB221" s="505" t="e">
        <f aca="false">$H221-$BV221</f>
        <v>#VALUE!</v>
      </c>
      <c r="BC221" s="505" t="e">
        <f aca="false">I221-BW221</f>
        <v>#VALUE!</v>
      </c>
      <c r="BD221" s="370" t="e">
        <f aca="false">N221-BX221</f>
        <v>#VALUE!</v>
      </c>
      <c r="BE221" s="370" t="e">
        <f aca="false">O221-BY221</f>
        <v>#VALUE!</v>
      </c>
      <c r="BF221" s="370" t="e">
        <f aca="false">xSPRDOPT($BW221,$BV221,$CG221,0,$BY221,$BX221,$BZ221,$AJ221,1,4)*$CB221</f>
        <v>#NAME?</v>
      </c>
      <c r="BG221" s="370" t="e">
        <f aca="false">xSPRDOPT($BW221,$BV221,$CG221,0,$BY221,$BX221,$BZ221,$AJ221,1,3)*$CB221</f>
        <v>#NAME?</v>
      </c>
      <c r="BH221" s="370" t="e">
        <f aca="false">IF(OR(BF221&lt;&gt;0,BG221&lt;&gt;0),xSPRDOPT($BW221,$BV221,$CG221,0,$BY221,$BX221,$BZ221,$AJ221,1,12)*$CB221,0)</f>
        <v>#NAME?</v>
      </c>
      <c r="BI221" s="370" t="e">
        <f aca="false">xSPRDOPT($BW221,$BV221,$CG221,2*LN(1+CA221/2),$BY221,$BX221,$BZ221,$AJ221,1,9)</f>
        <v>#NAME?</v>
      </c>
      <c r="BJ221" s="370" t="e">
        <f aca="false">xSPRDOPT($BW221,$BV221,$CG221,0,$BY221,$BX221,$BZ221,$AJ221,1,6)*$CB221</f>
        <v>#NAME?</v>
      </c>
      <c r="BK221" s="370" t="e">
        <f aca="false">xSPRDOPT($BW221,$BV221,$CG221,0,$BY221,$BX221,$BZ221,$AJ221,1,5)*$CB221</f>
        <v>#NAME?</v>
      </c>
      <c r="BL221" s="370" t="e">
        <f aca="false">xSPRDOPT(BW221,BV221,CG221,0,BY221,BX221,BZ221,AJ221,1,2)*CB221</f>
        <v>#NAME?</v>
      </c>
      <c r="BM221" s="370" t="e">
        <f aca="false">xSPRDOPT(BW221,BV221,CG221,0,BY221,BX221,BZ221,AJ221,1,1)*CB221</f>
        <v>#NAME?</v>
      </c>
      <c r="BN221" s="370" t="e">
        <f aca="false">IF(AH221&lt;&gt;0,xSPRDOPT($BW221,$BV221,$CG221,2*LN(1+CA221/2),$BY221,$BX221,$BZ221,$AJ221,1,8)+(AJ221/365.25)*CH221/AH221,0)</f>
        <v>#VALUE!</v>
      </c>
      <c r="BO221" s="370" t="e">
        <f aca="false">xSPRDOPT($BW221,$BV221,$CG221,0,$BY221,$BX221,$BZ221,$AJ221,1,0)</f>
        <v>#NAME?</v>
      </c>
      <c r="BP221" s="370"/>
      <c r="BQ221" s="370"/>
      <c r="BR221" s="370"/>
      <c r="BS221" s="370"/>
      <c r="BV221" s="508" t="n">
        <v>4.5923273657289</v>
      </c>
      <c r="BW221" s="369" t="n">
        <v>5.5095</v>
      </c>
      <c r="BX221" s="370" t="n">
        <v>0.172036077194507</v>
      </c>
      <c r="BY221" s="370" t="n">
        <v>0.172036077194507</v>
      </c>
      <c r="BZ221" s="370" t="n">
        <v>1</v>
      </c>
      <c r="CA221" s="370" t="n">
        <v>0.0651298078424265</v>
      </c>
      <c r="CB221" s="370" t="n">
        <v>0.343597431496087</v>
      </c>
      <c r="CC221" s="505" t="n">
        <v>0.0195</v>
      </c>
      <c r="CD221" s="505" t="n">
        <v>0.01</v>
      </c>
      <c r="CE221" s="505" t="n">
        <v>1.05</v>
      </c>
      <c r="CF221" s="505" t="n">
        <v>0</v>
      </c>
      <c r="CG221" s="505" t="n">
        <v>0.0364</v>
      </c>
      <c r="CH221" s="505" t="n">
        <v>3.92721556277083</v>
      </c>
      <c r="CI221" s="505" t="n">
        <v>4.4595</v>
      </c>
      <c r="CJ221" s="505"/>
      <c r="CK221" s="505"/>
      <c r="CL221" s="505"/>
      <c r="CM221" s="505"/>
    </row>
    <row r="222" customFormat="false" ht="12.75" hidden="false" customHeight="false" outlineLevel="0" collapsed="false">
      <c r="A222" s="500"/>
      <c r="B222" s="500"/>
      <c r="D222" s="361" t="e">
        <f aca="false">D221+AH221</f>
        <v>#VALUE!</v>
      </c>
      <c r="F222" s="362" t="e">
        <f aca="false">VLOOKUP(AG222,$AL$4:$AS$15,2)</f>
        <v>#VALUE!</v>
      </c>
      <c r="G222" s="362" t="e">
        <f aca="false">F222*$AU222</f>
        <v>#VALUE!</v>
      </c>
      <c r="H222" s="363" t="e">
        <f aca="false">(AL222+AM222+AN222)/(1-(AR222))</f>
        <v>#VALUE!</v>
      </c>
      <c r="I222" s="363" t="e">
        <f aca="false">(AL222+AO222+AP222)</f>
        <v>#VALUE!</v>
      </c>
      <c r="K222" s="363" t="e">
        <f aca="false">MAX(((I222-H222)-AQ222)*AU222*AH222,0)</f>
        <v>#VALUE!</v>
      </c>
      <c r="L222" s="501" t="e">
        <f aca="false">MAX(Q222-K222,0)</f>
        <v>#VALUE!</v>
      </c>
      <c r="N222" s="502" t="e">
        <f aca="false">SQRT(($AX222^2*($AH222/2)+$AW222^2*$AI222)/(($AH222/2)+$AI222))</f>
        <v>#VALUE!</v>
      </c>
      <c r="O222" s="502" t="e">
        <f aca="false">SQRT(($AY222^2*($AH222/2)+$AW222^2*$AI222)/(($AH222/2)+$AI222))</f>
        <v>#VALUE!</v>
      </c>
      <c r="P222" s="371" t="e">
        <f aca="false">(VLOOKUP(AI222,CorrelationTwo,2)*(AW222^2)*AI222+VLOOKUP(D222,CorrelationOne,$AK$9)*AX222*AY222*(AH222/2))/((AI222+(AH222/2))*O222*N222)*AF222</f>
        <v>#VALUE!</v>
      </c>
      <c r="Q222" s="501" t="e">
        <f aca="false">xSPRDOPT(I222,H222,AQ222,0,O222,N222,P222,D222-$G$5,1,0)*AH222*AU222</f>
        <v>#VALUE!</v>
      </c>
      <c r="R222" s="501"/>
      <c r="S222" s="365" t="e">
        <f aca="false">-T222/(1-AR222)</f>
        <v>#VALUE!</v>
      </c>
      <c r="T222" s="365" t="e">
        <f aca="false">xSPRDOPT(I222,H222,AQ222,AT222,O222,N222,P222,D222-$G$5,1,1)*AF222*F222*AH222</f>
        <v>#VALUE!</v>
      </c>
      <c r="U222" s="501"/>
      <c r="V222" s="503" t="e">
        <f aca="false">VLOOKUP($AG222,$AL$4:$AS$15,8)*AH222*AU222</f>
        <v>#VALUE!</v>
      </c>
      <c r="W222" s="503"/>
      <c r="X222" s="504" t="e">
        <f aca="false">((BM222*BC222)+(BL222*BB222))*AH222*F222</f>
        <v>#VALUE!</v>
      </c>
      <c r="Y222" s="504" t="e">
        <f aca="false">($F222*$AH222)*((($BG222/2)*($BC222)^2)+(($BF222/2)*($BB222)^2)+($BH222*$BC222*$BB222))</f>
        <v>#VALUE!</v>
      </c>
      <c r="Z222" s="504" t="e">
        <f aca="false">($BI222*$F222*$AH222*($G$5-$BV$5))/365.25</f>
        <v>#VALUE!</v>
      </c>
      <c r="AA222" s="504" t="e">
        <f aca="false">(($BK222*$BE222)+($BJ222*$BD222))*$F222*$AH222*$AF222</f>
        <v>#VALUE!</v>
      </c>
      <c r="AB222" s="504" t="e">
        <f aca="false">BN222*(AT222-CA222)*F222*AH222</f>
        <v>#VALUE!</v>
      </c>
      <c r="AC222" s="504" t="e">
        <f aca="false">BO222*CB222*F222*AH222*CA222*($G$5-$BV$5)/365.25</f>
        <v>#NAME?</v>
      </c>
      <c r="AF222" s="378" t="e">
        <f aca="false">IF(AND(D222&gt;=$G$7,D222&lt;=$G$8),1,0)</f>
        <v>#VALUE!</v>
      </c>
      <c r="AG222" s="378" t="e">
        <f aca="false">MONTH(D222)</f>
        <v>#VALUE!</v>
      </c>
      <c r="AH222" s="378" t="e">
        <f aca="false">(EOMONTH(D222,0)-EOMONTH(D222-DAY(D222),0))*AF222</f>
        <v>#VALUE!</v>
      </c>
      <c r="AI222" s="378" t="e">
        <f aca="false">AI221+AH221</f>
        <v>#VALUE!</v>
      </c>
      <c r="AJ222" s="378" t="e">
        <f aca="false">D222-$BV$5</f>
        <v>#VALUE!</v>
      </c>
      <c r="AL222" s="369" t="e">
        <f aca="false">VLOOKUP($D222,CurveTbl,$AK$4)</f>
        <v>#VALUE!</v>
      </c>
      <c r="AM222" s="505" t="e">
        <f aca="false">VLOOKUP($D222,CurveTbl,$AH$3)</f>
        <v>#VALUE!</v>
      </c>
      <c r="AN222" s="505" t="e">
        <f aca="false">VLOOKUP($D222,CurveTbl,$AH$4)+VLOOKUP($AG222,$AL$3:$AS$15,6)</f>
        <v>#VALUE!</v>
      </c>
      <c r="AO222" s="505" t="e">
        <f aca="false">VLOOKUP($D222,CurveTbl,$AH$5)</f>
        <v>#VALUE!</v>
      </c>
      <c r="AP222" s="505" t="e">
        <f aca="false">VLOOKUP($D222,CurveTbl,$AH$6)+VLOOKUP($AG222,$AL$3:$AS$15,7)</f>
        <v>#VALUE!</v>
      </c>
      <c r="AQ222" s="369" t="e">
        <f aca="false">VLOOKUP($AG222,$AL$4:$AS$15,3)+VLOOKUP($AG222,$AL$4:$AS$15,5)+($AH$10*VLOOKUP(D222,GRITable,2))</f>
        <v>#VALUE!</v>
      </c>
      <c r="AR222" s="370" t="e">
        <f aca="false">VLOOKUP($AG222,$AL$4:$AS$15,4)</f>
        <v>#VALUE!</v>
      </c>
      <c r="AS222" s="369" t="e">
        <f aca="false">(AL222+AM222+AN222)</f>
        <v>#VALUE!</v>
      </c>
      <c r="AT222" s="370" t="e">
        <f aca="false">VLOOKUP(D222,CurveTbl,$AK$6)</f>
        <v>#VALUE!</v>
      </c>
      <c r="AU222" s="370" t="e">
        <f aca="false">(1+$AT222/2)^(-2*($D222-$G$5)/365.25)*$AF222</f>
        <v>#VALUE!</v>
      </c>
      <c r="AV222" s="506" t="e">
        <f aca="false">ROUND((F222/(1-AR222))-F222,0)*AF222*AH222*AU222</f>
        <v>#VALUE!</v>
      </c>
      <c r="AW222" s="370" t="e">
        <f aca="false">VLOOKUP($D222,CurveTbl,$AK$8)</f>
        <v>#VALUE!</v>
      </c>
      <c r="AX222" s="370" t="e">
        <f aca="false">VLOOKUP($D222,CurveTbl,$AH$7)</f>
        <v>#VALUE!</v>
      </c>
      <c r="AY222" s="370" t="e">
        <f aca="false">VLOOKUP($D222,CurveTbl,$AH$8)</f>
        <v>#VALUE!</v>
      </c>
      <c r="AZ222" s="370"/>
      <c r="BA222" s="507"/>
      <c r="BB222" s="505" t="e">
        <f aca="false">$H222-$BV222</f>
        <v>#VALUE!</v>
      </c>
      <c r="BC222" s="505" t="e">
        <f aca="false">I222-BW222</f>
        <v>#VALUE!</v>
      </c>
      <c r="BD222" s="370" t="e">
        <f aca="false">N222-BX222</f>
        <v>#VALUE!</v>
      </c>
      <c r="BE222" s="370" t="e">
        <f aca="false">O222-BY222</f>
        <v>#VALUE!</v>
      </c>
      <c r="BF222" s="370" t="e">
        <f aca="false">xSPRDOPT($BW222,$BV222,$CG222,0,$BY222,$BX222,$BZ222,$AJ222,1,4)*$CB222</f>
        <v>#NAME?</v>
      </c>
      <c r="BG222" s="370" t="e">
        <f aca="false">xSPRDOPT($BW222,$BV222,$CG222,0,$BY222,$BX222,$BZ222,$AJ222,1,3)*$CB222</f>
        <v>#NAME?</v>
      </c>
      <c r="BH222" s="370" t="e">
        <f aca="false">IF(OR(BF222&lt;&gt;0,BG222&lt;&gt;0),xSPRDOPT($BW222,$BV222,$CG222,0,$BY222,$BX222,$BZ222,$AJ222,1,12)*$CB222,0)</f>
        <v>#NAME?</v>
      </c>
      <c r="BI222" s="370" t="e">
        <f aca="false">xSPRDOPT($BW222,$BV222,$CG222,2*LN(1+CA222/2),$BY222,$BX222,$BZ222,$AJ222,1,9)</f>
        <v>#NAME?</v>
      </c>
      <c r="BJ222" s="370" t="e">
        <f aca="false">xSPRDOPT($BW222,$BV222,$CG222,0,$BY222,$BX222,$BZ222,$AJ222,1,6)*$CB222</f>
        <v>#NAME?</v>
      </c>
      <c r="BK222" s="370" t="e">
        <f aca="false">xSPRDOPT($BW222,$BV222,$CG222,0,$BY222,$BX222,$BZ222,$AJ222,1,5)*$CB222</f>
        <v>#NAME?</v>
      </c>
      <c r="BL222" s="370" t="e">
        <f aca="false">xSPRDOPT(BW222,BV222,CG222,0,BY222,BX222,BZ222,AJ222,1,2)*CB222</f>
        <v>#NAME?</v>
      </c>
      <c r="BM222" s="370" t="e">
        <f aca="false">xSPRDOPT(BW222,BV222,CG222,0,BY222,BX222,BZ222,AJ222,1,1)*CB222</f>
        <v>#NAME?</v>
      </c>
      <c r="BN222" s="370" t="e">
        <f aca="false">IF(AH222&lt;&gt;0,xSPRDOPT($BW222,$BV222,$CG222,2*LN(1+CA222/2),$BY222,$BX222,$BZ222,$AJ222,1,8)+(AJ222/365.25)*CH222/AH222,0)</f>
        <v>#VALUE!</v>
      </c>
      <c r="BO222" s="370" t="e">
        <f aca="false">xSPRDOPT($BW222,$BV222,$CG222,0,$BY222,$BX222,$BZ222,$AJ222,1,0)</f>
        <v>#NAME?</v>
      </c>
      <c r="BP222" s="370"/>
      <c r="BQ222" s="370"/>
      <c r="BR222" s="370"/>
      <c r="BS222" s="370"/>
      <c r="BV222" s="508" t="n">
        <v>4.58721227621483</v>
      </c>
      <c r="BW222" s="369" t="n">
        <v>5.2045</v>
      </c>
      <c r="BX222" s="370" t="n">
        <v>0.171961007892179</v>
      </c>
      <c r="BY222" s="370" t="n">
        <v>0.171961007892179</v>
      </c>
      <c r="BZ222" s="370" t="n">
        <v>1</v>
      </c>
      <c r="CA222" s="370" t="n">
        <v>0.065170351968916</v>
      </c>
      <c r="CB222" s="370" t="n">
        <v>0.341508723242694</v>
      </c>
      <c r="CC222" s="505" t="n">
        <v>0.0195</v>
      </c>
      <c r="CD222" s="505" t="n">
        <v>0.01</v>
      </c>
      <c r="CE222" s="505" t="n">
        <v>0.75</v>
      </c>
      <c r="CF222" s="505" t="n">
        <v>0</v>
      </c>
      <c r="CG222" s="505" t="n">
        <v>0.0364</v>
      </c>
      <c r="CH222" s="505" t="n">
        <v>3.77742798778744</v>
      </c>
      <c r="CI222" s="505" t="n">
        <v>4.4545</v>
      </c>
      <c r="CJ222" s="505"/>
      <c r="CK222" s="505"/>
      <c r="CL222" s="505"/>
      <c r="CM222" s="505"/>
    </row>
    <row r="223" customFormat="false" ht="12.75" hidden="false" customHeight="false" outlineLevel="0" collapsed="false">
      <c r="A223" s="500"/>
      <c r="B223" s="500"/>
      <c r="D223" s="361" t="e">
        <f aca="false">D222+AH222</f>
        <v>#VALUE!</v>
      </c>
      <c r="F223" s="362" t="e">
        <f aca="false">VLOOKUP(AG223,$AL$4:$AS$15,2)</f>
        <v>#VALUE!</v>
      </c>
      <c r="G223" s="362" t="e">
        <f aca="false">F223*$AU223</f>
        <v>#VALUE!</v>
      </c>
      <c r="H223" s="363" t="e">
        <f aca="false">(AL223+AM223+AN223)/(1-(AR223))</f>
        <v>#VALUE!</v>
      </c>
      <c r="I223" s="363" t="e">
        <f aca="false">(AL223+AO223+AP223)</f>
        <v>#VALUE!</v>
      </c>
      <c r="K223" s="363" t="e">
        <f aca="false">MAX(((I223-H223)-AQ223)*AU223*AH223,0)</f>
        <v>#VALUE!</v>
      </c>
      <c r="L223" s="501" t="e">
        <f aca="false">MAX(Q223-K223,0)</f>
        <v>#VALUE!</v>
      </c>
      <c r="N223" s="502" t="e">
        <f aca="false">SQRT(($AX223^2*($AH223/2)+$AW223^2*$AI223)/(($AH223/2)+$AI223))</f>
        <v>#VALUE!</v>
      </c>
      <c r="O223" s="502" t="e">
        <f aca="false">SQRT(($AY223^2*($AH223/2)+$AW223^2*$AI223)/(($AH223/2)+$AI223))</f>
        <v>#VALUE!</v>
      </c>
      <c r="P223" s="371" t="e">
        <f aca="false">(VLOOKUP(AI223,CorrelationTwo,2)*(AW223^2)*AI223+VLOOKUP(D223,CorrelationOne,$AK$9)*AX223*AY223*(AH223/2))/((AI223+(AH223/2))*O223*N223)*AF223</f>
        <v>#VALUE!</v>
      </c>
      <c r="Q223" s="501" t="e">
        <f aca="false">xSPRDOPT(I223,H223,AQ223,0,O223,N223,P223,D223-$G$5,1,0)*AH223*AU223</f>
        <v>#VALUE!</v>
      </c>
      <c r="R223" s="501"/>
      <c r="S223" s="365" t="e">
        <f aca="false">-T223/(1-AR223)</f>
        <v>#VALUE!</v>
      </c>
      <c r="T223" s="365" t="e">
        <f aca="false">xSPRDOPT(I223,H223,AQ223,AT223,O223,N223,P223,D223-$G$5,1,1)*AF223*F223*AH223</f>
        <v>#VALUE!</v>
      </c>
      <c r="U223" s="501"/>
      <c r="V223" s="503" t="e">
        <f aca="false">VLOOKUP($AG223,$AL$4:$AS$15,8)*AH223*AU223</f>
        <v>#VALUE!</v>
      </c>
      <c r="W223" s="503"/>
      <c r="X223" s="504" t="e">
        <f aca="false">((BM223*BC223)+(BL223*BB223))*AH223*F223</f>
        <v>#VALUE!</v>
      </c>
      <c r="Y223" s="504" t="e">
        <f aca="false">($F223*$AH223)*((($BG223/2)*($BC223)^2)+(($BF223/2)*($BB223)^2)+($BH223*$BC223*$BB223))</f>
        <v>#VALUE!</v>
      </c>
      <c r="Z223" s="504" t="e">
        <f aca="false">($BI223*$F223*$AH223*($G$5-$BV$5))/365.25</f>
        <v>#VALUE!</v>
      </c>
      <c r="AA223" s="504" t="e">
        <f aca="false">(($BK223*$BE223)+($BJ223*$BD223))*$F223*$AH223*$AF223</f>
        <v>#VALUE!</v>
      </c>
      <c r="AB223" s="504" t="e">
        <f aca="false">BN223*(AT223-CA223)*F223*AH223</f>
        <v>#VALUE!</v>
      </c>
      <c r="AC223" s="504" t="e">
        <f aca="false">BO223*CB223*F223*AH223*CA223*($G$5-$BV$5)/365.25</f>
        <v>#NAME?</v>
      </c>
      <c r="AF223" s="378" t="e">
        <f aca="false">IF(AND(D223&gt;=$G$7,D223&lt;=$G$8),1,0)</f>
        <v>#VALUE!</v>
      </c>
      <c r="AG223" s="378" t="e">
        <f aca="false">MONTH(D223)</f>
        <v>#VALUE!</v>
      </c>
      <c r="AH223" s="378" t="e">
        <f aca="false">(EOMONTH(D223,0)-EOMONTH(D223-DAY(D223),0))*AF223</f>
        <v>#VALUE!</v>
      </c>
      <c r="AI223" s="378" t="e">
        <f aca="false">AI222+AH222</f>
        <v>#VALUE!</v>
      </c>
      <c r="AJ223" s="378" t="e">
        <f aca="false">D223-$BV$5</f>
        <v>#VALUE!</v>
      </c>
      <c r="AL223" s="369" t="e">
        <f aca="false">VLOOKUP($D223,CurveTbl,$AK$4)</f>
        <v>#VALUE!</v>
      </c>
      <c r="AM223" s="505" t="e">
        <f aca="false">VLOOKUP($D223,CurveTbl,$AH$3)</f>
        <v>#VALUE!</v>
      </c>
      <c r="AN223" s="505" t="e">
        <f aca="false">VLOOKUP($D223,CurveTbl,$AH$4)+VLOOKUP($AG223,$AL$3:$AS$15,6)</f>
        <v>#VALUE!</v>
      </c>
      <c r="AO223" s="505" t="e">
        <f aca="false">VLOOKUP($D223,CurveTbl,$AH$5)</f>
        <v>#VALUE!</v>
      </c>
      <c r="AP223" s="505" t="e">
        <f aca="false">VLOOKUP($D223,CurveTbl,$AH$6)+VLOOKUP($AG223,$AL$3:$AS$15,7)</f>
        <v>#VALUE!</v>
      </c>
      <c r="AQ223" s="369" t="e">
        <f aca="false">VLOOKUP($AG223,$AL$4:$AS$15,3)+VLOOKUP($AG223,$AL$4:$AS$15,5)+($AH$10*VLOOKUP(D223,GRITable,2))</f>
        <v>#VALUE!</v>
      </c>
      <c r="AR223" s="370" t="e">
        <f aca="false">VLOOKUP($AG223,$AL$4:$AS$15,4)</f>
        <v>#VALUE!</v>
      </c>
      <c r="AS223" s="369" t="e">
        <f aca="false">(AL223+AM223+AN223)</f>
        <v>#VALUE!</v>
      </c>
      <c r="AT223" s="370" t="e">
        <f aca="false">VLOOKUP(D223,CurveTbl,$AK$6)</f>
        <v>#VALUE!</v>
      </c>
      <c r="AU223" s="370" t="e">
        <f aca="false">(1+$AT223/2)^(-2*($D223-$G$5)/365.25)*$AF223</f>
        <v>#VALUE!</v>
      </c>
      <c r="AV223" s="506" t="e">
        <f aca="false">ROUND((F223/(1-AR223))-F223,0)*AF223*AH223*AU223</f>
        <v>#VALUE!</v>
      </c>
      <c r="AW223" s="370" t="e">
        <f aca="false">VLOOKUP($D223,CurveTbl,$AK$8)</f>
        <v>#VALUE!</v>
      </c>
      <c r="AX223" s="370" t="e">
        <f aca="false">VLOOKUP($D223,CurveTbl,$AH$7)</f>
        <v>#VALUE!</v>
      </c>
      <c r="AY223" s="370" t="e">
        <f aca="false">VLOOKUP($D223,CurveTbl,$AH$8)</f>
        <v>#VALUE!</v>
      </c>
      <c r="AZ223" s="370"/>
      <c r="BA223" s="507"/>
      <c r="BB223" s="505" t="e">
        <f aca="false">$H223-$BV223</f>
        <v>#VALUE!</v>
      </c>
      <c r="BC223" s="505" t="e">
        <f aca="false">I223-BW223</f>
        <v>#VALUE!</v>
      </c>
      <c r="BD223" s="370" t="e">
        <f aca="false">N223-BX223</f>
        <v>#VALUE!</v>
      </c>
      <c r="BE223" s="370" t="e">
        <f aca="false">O223-BY223</f>
        <v>#VALUE!</v>
      </c>
      <c r="BF223" s="370" t="e">
        <f aca="false">xSPRDOPT($BW223,$BV223,$CG223,0,$BY223,$BX223,$BZ223,$AJ223,1,4)*$CB223</f>
        <v>#NAME?</v>
      </c>
      <c r="BG223" s="370" t="e">
        <f aca="false">xSPRDOPT($BW223,$BV223,$CG223,0,$BY223,$BX223,$BZ223,$AJ223,1,3)*$CB223</f>
        <v>#NAME?</v>
      </c>
      <c r="BH223" s="370" t="e">
        <f aca="false">IF(OR(BF223&lt;&gt;0,BG223&lt;&gt;0),xSPRDOPT($BW223,$BV223,$CG223,0,$BY223,$BX223,$BZ223,$AJ223,1,12)*$CB223,0)</f>
        <v>#NAME?</v>
      </c>
      <c r="BI223" s="370" t="e">
        <f aca="false">xSPRDOPT($BW223,$BV223,$CG223,2*LN(1+CA223/2),$BY223,$BX223,$BZ223,$AJ223,1,9)</f>
        <v>#NAME?</v>
      </c>
      <c r="BJ223" s="370" t="e">
        <f aca="false">xSPRDOPT($BW223,$BV223,$CG223,0,$BY223,$BX223,$BZ223,$AJ223,1,6)*$CB223</f>
        <v>#NAME?</v>
      </c>
      <c r="BK223" s="370" t="e">
        <f aca="false">xSPRDOPT($BW223,$BV223,$CG223,0,$BY223,$BX223,$BZ223,$AJ223,1,5)*$CB223</f>
        <v>#NAME?</v>
      </c>
      <c r="BL223" s="370" t="e">
        <f aca="false">xSPRDOPT(BW223,BV223,CG223,0,BY223,BX223,BZ223,AJ223,1,2)*CB223</f>
        <v>#NAME?</v>
      </c>
      <c r="BM223" s="370" t="e">
        <f aca="false">xSPRDOPT(BW223,BV223,CG223,0,BY223,BX223,BZ223,AJ223,1,1)*CB223</f>
        <v>#NAME?</v>
      </c>
      <c r="BN223" s="370" t="e">
        <f aca="false">IF(AH223&lt;&gt;0,xSPRDOPT($BW223,$BV223,$CG223,2*LN(1+CA223/2),$BY223,$BX223,$BZ223,$AJ223,1,8)+(AJ223/365.25)*CH223/AH223,0)</f>
        <v>#VALUE!</v>
      </c>
      <c r="BO223" s="370" t="e">
        <f aca="false">xSPRDOPT($BW223,$BV223,$CG223,0,$BY223,$BX223,$BZ223,$AJ223,1,0)</f>
        <v>#NAME?</v>
      </c>
      <c r="BP223" s="370"/>
      <c r="BQ223" s="370"/>
      <c r="BR223" s="370"/>
      <c r="BS223" s="370"/>
      <c r="BV223" s="508" t="n">
        <v>4.62205128205128</v>
      </c>
      <c r="BW223" s="369" t="n">
        <v>4.9295</v>
      </c>
      <c r="BX223" s="370" t="n">
        <v>0.172436689357097</v>
      </c>
      <c r="BY223" s="370" t="n">
        <v>0.172436689357097</v>
      </c>
      <c r="BZ223" s="370" t="n">
        <v>1</v>
      </c>
      <c r="CA223" s="370" t="n">
        <v>0.0652095882208768</v>
      </c>
      <c r="CB223" s="370" t="n">
        <v>0.339497332536057</v>
      </c>
      <c r="CC223" s="505" t="n">
        <v>0.017</v>
      </c>
      <c r="CD223" s="505" t="n">
        <v>0.01</v>
      </c>
      <c r="CE223" s="505" t="n">
        <v>0.45</v>
      </c>
      <c r="CF223" s="505" t="n">
        <v>0</v>
      </c>
      <c r="CG223" s="505" t="n">
        <v>0.0364</v>
      </c>
      <c r="CH223" s="505" t="n">
        <v>3.88035266168738</v>
      </c>
      <c r="CI223" s="505" t="n">
        <v>4.4795</v>
      </c>
      <c r="CJ223" s="505"/>
      <c r="CK223" s="505"/>
      <c r="CL223" s="505"/>
      <c r="CM223" s="505"/>
    </row>
    <row r="224" customFormat="false" ht="12.75" hidden="false" customHeight="false" outlineLevel="0" collapsed="false">
      <c r="A224" s="500"/>
      <c r="B224" s="500"/>
      <c r="D224" s="361" t="e">
        <f aca="false">D223+AH223</f>
        <v>#VALUE!</v>
      </c>
      <c r="F224" s="362" t="e">
        <f aca="false">VLOOKUP(AG224,$AL$4:$AS$15,2)</f>
        <v>#VALUE!</v>
      </c>
      <c r="G224" s="362" t="e">
        <f aca="false">F224*$AU224</f>
        <v>#VALUE!</v>
      </c>
      <c r="H224" s="363" t="e">
        <f aca="false">(AL224+AM224+AN224)/(1-(AR224))</f>
        <v>#VALUE!</v>
      </c>
      <c r="I224" s="363" t="e">
        <f aca="false">(AL224+AO224+AP224)</f>
        <v>#VALUE!</v>
      </c>
      <c r="K224" s="363" t="e">
        <f aca="false">MAX(((I224-H224)-AQ224)*AU224*AH224,0)</f>
        <v>#VALUE!</v>
      </c>
      <c r="L224" s="501" t="e">
        <f aca="false">MAX(Q224-K224,0)</f>
        <v>#VALUE!</v>
      </c>
      <c r="N224" s="502" t="e">
        <f aca="false">SQRT(($AX224^2*($AH224/2)+$AW224^2*$AI224)/(($AH224/2)+$AI224))</f>
        <v>#VALUE!</v>
      </c>
      <c r="O224" s="502" t="e">
        <f aca="false">SQRT(($AY224^2*($AH224/2)+$AW224^2*$AI224)/(($AH224/2)+$AI224))</f>
        <v>#VALUE!</v>
      </c>
      <c r="P224" s="371" t="e">
        <f aca="false">(VLOOKUP(AI224,CorrelationTwo,2)*(AW224^2)*AI224+VLOOKUP(D224,CorrelationOne,$AK$9)*AX224*AY224*(AH224/2))/((AI224+(AH224/2))*O224*N224)*AF224</f>
        <v>#VALUE!</v>
      </c>
      <c r="Q224" s="501" t="e">
        <f aca="false">xSPRDOPT(I224,H224,AQ224,0,O224,N224,P224,D224-$G$5,1,0)*AH224*AU224</f>
        <v>#VALUE!</v>
      </c>
      <c r="R224" s="501"/>
      <c r="S224" s="365" t="e">
        <f aca="false">-T224/(1-AR224)</f>
        <v>#VALUE!</v>
      </c>
      <c r="T224" s="365" t="e">
        <f aca="false">xSPRDOPT(I224,H224,AQ224,AT224,O224,N224,P224,D224-$G$5,1,1)*AF224*F224*AH224</f>
        <v>#VALUE!</v>
      </c>
      <c r="U224" s="501"/>
      <c r="V224" s="503" t="e">
        <f aca="false">VLOOKUP($AG224,$AL$4:$AS$15,8)*AH224*AU224</f>
        <v>#VALUE!</v>
      </c>
      <c r="W224" s="503"/>
      <c r="X224" s="504" t="e">
        <f aca="false">((BM224*BC224)+(BL224*BB224))*AH224*F224</f>
        <v>#VALUE!</v>
      </c>
      <c r="Y224" s="504" t="e">
        <f aca="false">($F224*$AH224)*((($BG224/2)*($BC224)^2)+(($BF224/2)*($BB224)^2)+($BH224*$BC224*$BB224))</f>
        <v>#VALUE!</v>
      </c>
      <c r="Z224" s="504" t="e">
        <f aca="false">($BI224*$F224*$AH224*($G$5-$BV$5))/365.25</f>
        <v>#VALUE!</v>
      </c>
      <c r="AA224" s="504" t="e">
        <f aca="false">(($BK224*$BE224)+($BJ224*$BD224))*$F224*$AH224*$AF224</f>
        <v>#VALUE!</v>
      </c>
      <c r="AB224" s="504" t="e">
        <f aca="false">BN224*(AT224-CA224)*F224*AH224</f>
        <v>#VALUE!</v>
      </c>
      <c r="AC224" s="504" t="e">
        <f aca="false">BO224*CB224*F224*AH224*CA224*($G$5-$BV$5)/365.25</f>
        <v>#NAME?</v>
      </c>
      <c r="AF224" s="378" t="e">
        <f aca="false">IF(AND(D224&gt;=$G$7,D224&lt;=$G$8),1,0)</f>
        <v>#VALUE!</v>
      </c>
      <c r="AG224" s="378" t="e">
        <f aca="false">MONTH(D224)</f>
        <v>#VALUE!</v>
      </c>
      <c r="AH224" s="378" t="e">
        <f aca="false">(EOMONTH(D224,0)-EOMONTH(D224-DAY(D224),0))*AF224</f>
        <v>#VALUE!</v>
      </c>
      <c r="AI224" s="378" t="e">
        <f aca="false">AI223+AH223</f>
        <v>#VALUE!</v>
      </c>
      <c r="AJ224" s="378" t="e">
        <f aca="false">D224-$BV$5</f>
        <v>#VALUE!</v>
      </c>
      <c r="AL224" s="369" t="e">
        <f aca="false">VLOOKUP($D224,CurveTbl,$AK$4)</f>
        <v>#VALUE!</v>
      </c>
      <c r="AM224" s="505" t="e">
        <f aca="false">VLOOKUP($D224,CurveTbl,$AH$3)</f>
        <v>#VALUE!</v>
      </c>
      <c r="AN224" s="505" t="e">
        <f aca="false">VLOOKUP($D224,CurveTbl,$AH$4)+VLOOKUP($AG224,$AL$3:$AS$15,6)</f>
        <v>#VALUE!</v>
      </c>
      <c r="AO224" s="505" t="e">
        <f aca="false">VLOOKUP($D224,CurveTbl,$AH$5)</f>
        <v>#VALUE!</v>
      </c>
      <c r="AP224" s="505" t="e">
        <f aca="false">VLOOKUP($D224,CurveTbl,$AH$6)+VLOOKUP($AG224,$AL$3:$AS$15,7)</f>
        <v>#VALUE!</v>
      </c>
      <c r="AQ224" s="369" t="e">
        <f aca="false">VLOOKUP($AG224,$AL$4:$AS$15,3)+VLOOKUP($AG224,$AL$4:$AS$15,5)+($AH$10*VLOOKUP(D224,GRITable,2))</f>
        <v>#VALUE!</v>
      </c>
      <c r="AR224" s="370" t="e">
        <f aca="false">VLOOKUP($AG224,$AL$4:$AS$15,4)</f>
        <v>#VALUE!</v>
      </c>
      <c r="AS224" s="369" t="e">
        <f aca="false">(AL224+AM224+AN224)</f>
        <v>#VALUE!</v>
      </c>
      <c r="AT224" s="370" t="e">
        <f aca="false">VLOOKUP(D224,CurveTbl,$AK$6)</f>
        <v>#VALUE!</v>
      </c>
      <c r="AU224" s="370" t="e">
        <f aca="false">(1+$AT224/2)^(-2*($D224-$G$5)/365.25)*$AF224</f>
        <v>#VALUE!</v>
      </c>
      <c r="AV224" s="506" t="e">
        <f aca="false">ROUND((F224/(1-AR224))-F224,0)*AF224*AH224*AU224</f>
        <v>#VALUE!</v>
      </c>
      <c r="AW224" s="370" t="e">
        <f aca="false">VLOOKUP($D224,CurveTbl,$AK$8)</f>
        <v>#VALUE!</v>
      </c>
      <c r="AX224" s="370" t="e">
        <f aca="false">VLOOKUP($D224,CurveTbl,$AH$7)</f>
        <v>#VALUE!</v>
      </c>
      <c r="AY224" s="370" t="e">
        <f aca="false">VLOOKUP($D224,CurveTbl,$AH$8)</f>
        <v>#VALUE!</v>
      </c>
      <c r="AZ224" s="370"/>
      <c r="BA224" s="507"/>
      <c r="BB224" s="505" t="e">
        <f aca="false">$H224-$BV224</f>
        <v>#VALUE!</v>
      </c>
      <c r="BC224" s="505" t="e">
        <f aca="false">I224-BW224</f>
        <v>#VALUE!</v>
      </c>
      <c r="BD224" s="370" t="e">
        <f aca="false">N224-BX224</f>
        <v>#VALUE!</v>
      </c>
      <c r="BE224" s="370" t="e">
        <f aca="false">O224-BY224</f>
        <v>#VALUE!</v>
      </c>
      <c r="BF224" s="370" t="e">
        <f aca="false">xSPRDOPT($BW224,$BV224,$CG224,0,$BY224,$BX224,$BZ224,$AJ224,1,4)*$CB224</f>
        <v>#NAME?</v>
      </c>
      <c r="BG224" s="370" t="e">
        <f aca="false">xSPRDOPT($BW224,$BV224,$CG224,0,$BY224,$BX224,$BZ224,$AJ224,1,3)*$CB224</f>
        <v>#NAME?</v>
      </c>
      <c r="BH224" s="370" t="e">
        <f aca="false">IF(OR(BF224&lt;&gt;0,BG224&lt;&gt;0),xSPRDOPT($BW224,$BV224,$CG224,0,$BY224,$BX224,$BZ224,$AJ224,1,12)*$CB224,0)</f>
        <v>#NAME?</v>
      </c>
      <c r="BI224" s="370" t="e">
        <f aca="false">xSPRDOPT($BW224,$BV224,$CG224,2*LN(1+CA224/2),$BY224,$BX224,$BZ224,$AJ224,1,9)</f>
        <v>#NAME?</v>
      </c>
      <c r="BJ224" s="370" t="e">
        <f aca="false">xSPRDOPT($BW224,$BV224,$CG224,0,$BY224,$BX224,$BZ224,$AJ224,1,6)*$CB224</f>
        <v>#NAME?</v>
      </c>
      <c r="BK224" s="370" t="e">
        <f aca="false">xSPRDOPT($BW224,$BV224,$CG224,0,$BY224,$BX224,$BZ224,$AJ224,1,5)*$CB224</f>
        <v>#NAME?</v>
      </c>
      <c r="BL224" s="370" t="e">
        <f aca="false">xSPRDOPT(BW224,BV224,CG224,0,BY224,BX224,BZ224,AJ224,1,2)*CB224</f>
        <v>#NAME?</v>
      </c>
      <c r="BM224" s="370" t="e">
        <f aca="false">xSPRDOPT(BW224,BV224,CG224,0,BY224,BX224,BZ224,AJ224,1,1)*CB224</f>
        <v>#NAME?</v>
      </c>
      <c r="BN224" s="370" t="e">
        <f aca="false">IF(AH224&lt;&gt;0,xSPRDOPT($BW224,$BV224,$CG224,2*LN(1+CA224/2),$BY224,$BX224,$BZ224,$AJ224,1,8)+(AJ224/365.25)*CH224/AH224,0)</f>
        <v>#VALUE!</v>
      </c>
      <c r="BO224" s="370" t="e">
        <f aca="false">xSPRDOPT($BW224,$BV224,$CG224,0,$BY224,$BX224,$BZ224,$AJ224,1,0)</f>
        <v>#NAME?</v>
      </c>
      <c r="BP224" s="370"/>
      <c r="BQ224" s="370"/>
      <c r="BR224" s="370"/>
      <c r="BS224" s="370"/>
      <c r="BV224" s="508" t="n">
        <v>4.76419437340153</v>
      </c>
      <c r="BW224" s="369" t="n">
        <v>5.0815</v>
      </c>
      <c r="BX224" s="370" t="n">
        <v>0.174307235815187</v>
      </c>
      <c r="BY224" s="370" t="n">
        <v>0.174307235815187</v>
      </c>
      <c r="BZ224" s="370" t="n">
        <v>1</v>
      </c>
      <c r="CA224" s="370" t="n">
        <v>0.0652501323484382</v>
      </c>
      <c r="CB224" s="370" t="n">
        <v>0.337429131724462</v>
      </c>
      <c r="CC224" s="505" t="n">
        <v>0.018</v>
      </c>
      <c r="CD224" s="505" t="n">
        <v>0.0075</v>
      </c>
      <c r="CE224" s="505" t="n">
        <v>0.45</v>
      </c>
      <c r="CF224" s="505" t="n">
        <v>0</v>
      </c>
      <c r="CG224" s="505" t="n">
        <v>0.0364</v>
      </c>
      <c r="CH224" s="505" t="n">
        <v>3.73230362600428</v>
      </c>
      <c r="CI224" s="505" t="n">
        <v>4.6315</v>
      </c>
      <c r="CJ224" s="505"/>
      <c r="CK224" s="505"/>
      <c r="CL224" s="505"/>
      <c r="CM224" s="505"/>
    </row>
    <row r="225" customFormat="false" ht="12.75" hidden="false" customHeight="false" outlineLevel="0" collapsed="false">
      <c r="A225" s="500"/>
      <c r="B225" s="500"/>
      <c r="D225" s="361" t="e">
        <f aca="false">D224+AH224</f>
        <v>#VALUE!</v>
      </c>
      <c r="F225" s="362" t="e">
        <f aca="false">VLOOKUP(AG225,$AL$4:$AS$15,2)</f>
        <v>#VALUE!</v>
      </c>
      <c r="G225" s="362" t="e">
        <f aca="false">F225*$AU225</f>
        <v>#VALUE!</v>
      </c>
      <c r="H225" s="363" t="e">
        <f aca="false">(AL225+AM225+AN225)/(1-(AR225))</f>
        <v>#VALUE!</v>
      </c>
      <c r="I225" s="363" t="e">
        <f aca="false">(AL225+AO225+AP225)</f>
        <v>#VALUE!</v>
      </c>
      <c r="K225" s="363" t="e">
        <f aca="false">MAX(((I225-H225)-AQ225)*AU225*AH225,0)</f>
        <v>#VALUE!</v>
      </c>
      <c r="L225" s="501" t="e">
        <f aca="false">MAX(Q225-K225,0)</f>
        <v>#VALUE!</v>
      </c>
      <c r="N225" s="502" t="e">
        <f aca="false">SQRT(($AX225^2*($AH225/2)+$AW225^2*$AI225)/(($AH225/2)+$AI225))</f>
        <v>#VALUE!</v>
      </c>
      <c r="O225" s="502" t="e">
        <f aca="false">SQRT(($AY225^2*($AH225/2)+$AW225^2*$AI225)/(($AH225/2)+$AI225))</f>
        <v>#VALUE!</v>
      </c>
      <c r="P225" s="371" t="e">
        <f aca="false">(VLOOKUP(AI225,CorrelationTwo,2)*(AW225^2)*AI225+VLOOKUP(D225,CorrelationOne,$AK$9)*AX225*AY225*(AH225/2))/((AI225+(AH225/2))*O225*N225)*AF225</f>
        <v>#VALUE!</v>
      </c>
      <c r="Q225" s="501" t="e">
        <f aca="false">xSPRDOPT(I225,H225,AQ225,0,O225,N225,P225,D225-$G$5,1,0)*AH225*AU225</f>
        <v>#VALUE!</v>
      </c>
      <c r="R225" s="501"/>
      <c r="S225" s="365" t="e">
        <f aca="false">-T225/(1-AR225)</f>
        <v>#VALUE!</v>
      </c>
      <c r="T225" s="365" t="e">
        <f aca="false">xSPRDOPT(I225,H225,AQ225,AT225,O225,N225,P225,D225-$G$5,1,1)*AF225*F225*AH225</f>
        <v>#VALUE!</v>
      </c>
      <c r="U225" s="501"/>
      <c r="V225" s="503" t="e">
        <f aca="false">VLOOKUP($AG225,$AL$4:$AS$15,8)*AH225*AU225</f>
        <v>#VALUE!</v>
      </c>
      <c r="W225" s="503"/>
      <c r="X225" s="504" t="e">
        <f aca="false">((BM225*BC225)+(BL225*BB225))*AH225*F225</f>
        <v>#VALUE!</v>
      </c>
      <c r="Y225" s="504" t="e">
        <f aca="false">($F225*$AH225)*((($BG225/2)*($BC225)^2)+(($BF225/2)*($BB225)^2)+($BH225*$BC225*$BB225))</f>
        <v>#VALUE!</v>
      </c>
      <c r="Z225" s="504" t="e">
        <f aca="false">($BI225*$F225*$AH225*($G$5-$BV$5))/365.25</f>
        <v>#VALUE!</v>
      </c>
      <c r="AA225" s="504" t="e">
        <f aca="false">(($BK225*$BE225)+($BJ225*$BD225))*$F225*$AH225*$AF225</f>
        <v>#VALUE!</v>
      </c>
      <c r="AB225" s="504" t="e">
        <f aca="false">BN225*(AT225-CA225)*F225*AH225</f>
        <v>#VALUE!</v>
      </c>
      <c r="AC225" s="504" t="e">
        <f aca="false">BO225*CB225*F225*AH225*CA225*($G$5-$BV$5)/365.25</f>
        <v>#NAME?</v>
      </c>
      <c r="AF225" s="378" t="e">
        <f aca="false">IF(AND(D225&gt;=$G$7,D225&lt;=$G$8),1,0)</f>
        <v>#VALUE!</v>
      </c>
      <c r="AG225" s="378" t="e">
        <f aca="false">MONTH(D225)</f>
        <v>#VALUE!</v>
      </c>
      <c r="AH225" s="378" t="e">
        <f aca="false">(EOMONTH(D225,0)-EOMONTH(D225-DAY(D225),0))*AF225</f>
        <v>#VALUE!</v>
      </c>
      <c r="AI225" s="378" t="e">
        <f aca="false">AI224+AH224</f>
        <v>#VALUE!</v>
      </c>
      <c r="AJ225" s="378" t="e">
        <f aca="false">D225-$BV$5</f>
        <v>#VALUE!</v>
      </c>
      <c r="AL225" s="369" t="e">
        <f aca="false">VLOOKUP($D225,CurveTbl,$AK$4)</f>
        <v>#VALUE!</v>
      </c>
      <c r="AM225" s="505" t="e">
        <f aca="false">VLOOKUP($D225,CurveTbl,$AH$3)</f>
        <v>#VALUE!</v>
      </c>
      <c r="AN225" s="505" t="e">
        <f aca="false">VLOOKUP($D225,CurveTbl,$AH$4)+VLOOKUP($AG225,$AL$3:$AS$15,6)</f>
        <v>#VALUE!</v>
      </c>
      <c r="AO225" s="505" t="e">
        <f aca="false">VLOOKUP($D225,CurveTbl,$AH$5)</f>
        <v>#VALUE!</v>
      </c>
      <c r="AP225" s="505" t="e">
        <f aca="false">VLOOKUP($D225,CurveTbl,$AH$6)+VLOOKUP($AG225,$AL$3:$AS$15,7)</f>
        <v>#VALUE!</v>
      </c>
      <c r="AQ225" s="369" t="e">
        <f aca="false">VLOOKUP($AG225,$AL$4:$AS$15,3)+VLOOKUP($AG225,$AL$4:$AS$15,5)+($AH$10*VLOOKUP(D225,GRITable,2))</f>
        <v>#VALUE!</v>
      </c>
      <c r="AR225" s="370" t="e">
        <f aca="false">VLOOKUP($AG225,$AL$4:$AS$15,4)</f>
        <v>#VALUE!</v>
      </c>
      <c r="AS225" s="369" t="e">
        <f aca="false">(AL225+AM225+AN225)</f>
        <v>#VALUE!</v>
      </c>
      <c r="AT225" s="370" t="e">
        <f aca="false">VLOOKUP(D225,CurveTbl,$AK$6)</f>
        <v>#VALUE!</v>
      </c>
      <c r="AU225" s="370" t="e">
        <f aca="false">(1+$AT225/2)^(-2*($D225-$G$5)/365.25)*$AF225</f>
        <v>#VALUE!</v>
      </c>
      <c r="AV225" s="506" t="e">
        <f aca="false">ROUND((F225/(1-AR225))-F225,0)*AF225*AH225*AU225</f>
        <v>#VALUE!</v>
      </c>
      <c r="AW225" s="370" t="e">
        <f aca="false">VLOOKUP($D225,CurveTbl,$AK$8)</f>
        <v>#VALUE!</v>
      </c>
      <c r="AX225" s="370" t="e">
        <f aca="false">VLOOKUP($D225,CurveTbl,$AH$7)</f>
        <v>#VALUE!</v>
      </c>
      <c r="AY225" s="370" t="e">
        <f aca="false">VLOOKUP($D225,CurveTbl,$AH$8)</f>
        <v>#VALUE!</v>
      </c>
      <c r="AZ225" s="370"/>
      <c r="BA225" s="507"/>
      <c r="BB225" s="505" t="e">
        <f aca="false">$H225-$BV225</f>
        <v>#VALUE!</v>
      </c>
      <c r="BC225" s="505" t="e">
        <f aca="false">I225-BW225</f>
        <v>#VALUE!</v>
      </c>
      <c r="BD225" s="370" t="e">
        <f aca="false">N225-BX225</f>
        <v>#VALUE!</v>
      </c>
      <c r="BE225" s="370" t="e">
        <f aca="false">O225-BY225</f>
        <v>#VALUE!</v>
      </c>
      <c r="BF225" s="370" t="e">
        <f aca="false">xSPRDOPT($BW225,$BV225,$CG225,0,$BY225,$BX225,$BZ225,$AJ225,1,4)*$CB225</f>
        <v>#NAME?</v>
      </c>
      <c r="BG225" s="370" t="e">
        <f aca="false">xSPRDOPT($BW225,$BV225,$CG225,0,$BY225,$BX225,$BZ225,$AJ225,1,3)*$CB225</f>
        <v>#NAME?</v>
      </c>
      <c r="BH225" s="370" t="e">
        <f aca="false">IF(OR(BF225&lt;&gt;0,BG225&lt;&gt;0),xSPRDOPT($BW225,$BV225,$CG225,0,$BY225,$BX225,$BZ225,$AJ225,1,12)*$CB225,0)</f>
        <v>#NAME?</v>
      </c>
      <c r="BI225" s="370" t="e">
        <f aca="false">xSPRDOPT($BW225,$BV225,$CG225,2*LN(1+CA225/2),$BY225,$BX225,$BZ225,$AJ225,1,9)</f>
        <v>#NAME?</v>
      </c>
      <c r="BJ225" s="370" t="e">
        <f aca="false">xSPRDOPT($BW225,$BV225,$CG225,0,$BY225,$BX225,$BZ225,$AJ225,1,6)*$CB225</f>
        <v>#NAME?</v>
      </c>
      <c r="BK225" s="370" t="e">
        <f aca="false">xSPRDOPT($BW225,$BV225,$CG225,0,$BY225,$BX225,$BZ225,$AJ225,1,5)*$CB225</f>
        <v>#NAME?</v>
      </c>
      <c r="BL225" s="370" t="e">
        <f aca="false">xSPRDOPT(BW225,BV225,CG225,0,BY225,BX225,BZ225,AJ225,1,2)*CB225</f>
        <v>#NAME?</v>
      </c>
      <c r="BM225" s="370" t="e">
        <f aca="false">xSPRDOPT(BW225,BV225,CG225,0,BY225,BX225,BZ225,AJ225,1,1)*CB225</f>
        <v>#NAME?</v>
      </c>
      <c r="BN225" s="370" t="e">
        <f aca="false">IF(AH225&lt;&gt;0,xSPRDOPT($BW225,$BV225,$CG225,2*LN(1+CA225/2),$BY225,$BX225,$BZ225,$AJ225,1,8)+(AJ225/365.25)*CH225/AH225,0)</f>
        <v>#VALUE!</v>
      </c>
      <c r="BO225" s="370" t="e">
        <f aca="false">xSPRDOPT($BW225,$BV225,$CG225,0,$BY225,$BX225,$BZ225,$AJ225,1,0)</f>
        <v>#NAME?</v>
      </c>
      <c r="BP225" s="370"/>
      <c r="BQ225" s="370"/>
      <c r="BR225" s="370"/>
      <c r="BS225" s="370"/>
      <c r="BV225" s="508" t="n">
        <v>4.91048593350384</v>
      </c>
      <c r="BW225" s="369" t="n">
        <v>5.1745</v>
      </c>
      <c r="BX225" s="370" t="n">
        <v>0.176983771155308</v>
      </c>
      <c r="BY225" s="370" t="n">
        <v>0.176983771155308</v>
      </c>
      <c r="BZ225" s="370" t="n">
        <v>1</v>
      </c>
      <c r="CA225" s="370" t="n">
        <v>0.065289368601436</v>
      </c>
      <c r="CB225" s="370" t="n">
        <v>0.335437519684418</v>
      </c>
      <c r="CC225" s="505" t="n">
        <v>0.018</v>
      </c>
      <c r="CD225" s="505" t="n">
        <v>0.0075</v>
      </c>
      <c r="CE225" s="505" t="n">
        <v>0.4</v>
      </c>
      <c r="CF225" s="505" t="n">
        <v>0</v>
      </c>
      <c r="CG225" s="505" t="n">
        <v>0.0364</v>
      </c>
      <c r="CH225" s="505" t="n">
        <v>3.83395021873699</v>
      </c>
      <c r="CI225" s="505" t="n">
        <v>4.7745</v>
      </c>
      <c r="CJ225" s="505"/>
      <c r="CK225" s="505"/>
      <c r="CL225" s="505"/>
      <c r="CM225" s="505"/>
    </row>
    <row r="226" customFormat="false" ht="12.75" hidden="false" customHeight="false" outlineLevel="0" collapsed="false">
      <c r="A226" s="500"/>
      <c r="B226" s="500"/>
      <c r="D226" s="361" t="e">
        <f aca="false">D225+AH225</f>
        <v>#VALUE!</v>
      </c>
      <c r="F226" s="362" t="e">
        <f aca="false">VLOOKUP(AG226,$AL$4:$AS$15,2)</f>
        <v>#VALUE!</v>
      </c>
      <c r="G226" s="362" t="e">
        <f aca="false">F226*$AU226</f>
        <v>#VALUE!</v>
      </c>
      <c r="H226" s="363" t="e">
        <f aca="false">(AL226+AM226+AN226)/(1-(AR226))</f>
        <v>#VALUE!</v>
      </c>
      <c r="I226" s="363" t="e">
        <f aca="false">(AL226+AO226+AP226)</f>
        <v>#VALUE!</v>
      </c>
      <c r="K226" s="363" t="e">
        <f aca="false">MAX(((I226-H226)-AQ226)*AU226*AH226,0)</f>
        <v>#VALUE!</v>
      </c>
      <c r="L226" s="501" t="e">
        <f aca="false">MAX(Q226-K226,0)</f>
        <v>#VALUE!</v>
      </c>
      <c r="N226" s="502" t="e">
        <f aca="false">SQRT(($AX226^2*($AH226/2)+$AW226^2*$AI226)/(($AH226/2)+$AI226))</f>
        <v>#VALUE!</v>
      </c>
      <c r="O226" s="502" t="e">
        <f aca="false">SQRT(($AY226^2*($AH226/2)+$AW226^2*$AI226)/(($AH226/2)+$AI226))</f>
        <v>#VALUE!</v>
      </c>
      <c r="P226" s="371" t="e">
        <f aca="false">(VLOOKUP(AI226,CorrelationTwo,2)*(AW226^2)*AI226+VLOOKUP(D226,CorrelationOne,$AK$9)*AX226*AY226*(AH226/2))/((AI226+(AH226/2))*O226*N226)*AF226</f>
        <v>#VALUE!</v>
      </c>
      <c r="Q226" s="501" t="e">
        <f aca="false">xSPRDOPT(I226,H226,AQ226,0,O226,N226,P226,D226-$G$5,1,0)*AH226*AU226</f>
        <v>#VALUE!</v>
      </c>
      <c r="R226" s="501"/>
      <c r="S226" s="365" t="e">
        <f aca="false">-T226/(1-AR226)</f>
        <v>#VALUE!</v>
      </c>
      <c r="T226" s="365" t="e">
        <f aca="false">xSPRDOPT(I226,H226,AQ226,AT226,O226,N226,P226,D226-$G$5,1,1)*AF226*F226*AH226</f>
        <v>#VALUE!</v>
      </c>
      <c r="U226" s="501"/>
      <c r="V226" s="503" t="e">
        <f aca="false">VLOOKUP($AG226,$AL$4:$AS$15,8)*AH226*AU226</f>
        <v>#VALUE!</v>
      </c>
      <c r="W226" s="503"/>
      <c r="X226" s="504" t="e">
        <f aca="false">((BM226*BC226)+(BL226*BB226))*AH226*F226</f>
        <v>#VALUE!</v>
      </c>
      <c r="Y226" s="504" t="e">
        <f aca="false">($F226*$AH226)*((($BG226/2)*($BC226)^2)+(($BF226/2)*($BB226)^2)+($BH226*$BC226*$BB226))</f>
        <v>#VALUE!</v>
      </c>
      <c r="Z226" s="504" t="e">
        <f aca="false">($BI226*$F226*$AH226*($G$5-$BV$5))/365.25</f>
        <v>#VALUE!</v>
      </c>
      <c r="AA226" s="504" t="e">
        <f aca="false">(($BK226*$BE226)+($BJ226*$BD226))*$F226*$AH226*$AF226</f>
        <v>#VALUE!</v>
      </c>
      <c r="AB226" s="504" t="e">
        <f aca="false">BN226*(AT226-CA226)*F226*AH226</f>
        <v>#VALUE!</v>
      </c>
      <c r="AC226" s="504" t="e">
        <f aca="false">BO226*CB226*F226*AH226*CA226*($G$5-$BV$5)/365.25</f>
        <v>#NAME?</v>
      </c>
      <c r="AF226" s="378" t="e">
        <f aca="false">IF(AND(D226&gt;=$G$7,D226&lt;=$G$8),1,0)</f>
        <v>#VALUE!</v>
      </c>
      <c r="AG226" s="378" t="e">
        <f aca="false">MONTH(D226)</f>
        <v>#VALUE!</v>
      </c>
      <c r="AH226" s="378" t="e">
        <f aca="false">(EOMONTH(D226,0)-EOMONTH(D226-DAY(D226),0))*AF226</f>
        <v>#VALUE!</v>
      </c>
      <c r="AI226" s="378" t="e">
        <f aca="false">AI225+AH225</f>
        <v>#VALUE!</v>
      </c>
      <c r="AJ226" s="378" t="e">
        <f aca="false">D226-$BV$5</f>
        <v>#VALUE!</v>
      </c>
      <c r="AL226" s="369" t="e">
        <f aca="false">VLOOKUP($D226,CurveTbl,$AK$4)</f>
        <v>#VALUE!</v>
      </c>
      <c r="AM226" s="505" t="e">
        <f aca="false">VLOOKUP($D226,CurveTbl,$AH$3)</f>
        <v>#VALUE!</v>
      </c>
      <c r="AN226" s="505" t="e">
        <f aca="false">VLOOKUP($D226,CurveTbl,$AH$4)+VLOOKUP($AG226,$AL$3:$AS$15,6)</f>
        <v>#VALUE!</v>
      </c>
      <c r="AO226" s="505" t="e">
        <f aca="false">VLOOKUP($D226,CurveTbl,$AH$5)</f>
        <v>#VALUE!</v>
      </c>
      <c r="AP226" s="505" t="e">
        <f aca="false">VLOOKUP($D226,CurveTbl,$AH$6)+VLOOKUP($AG226,$AL$3:$AS$15,7)</f>
        <v>#VALUE!</v>
      </c>
      <c r="AQ226" s="369" t="e">
        <f aca="false">VLOOKUP($AG226,$AL$4:$AS$15,3)+VLOOKUP($AG226,$AL$4:$AS$15,5)+($AH$10*VLOOKUP(D226,GRITable,2))</f>
        <v>#VALUE!</v>
      </c>
      <c r="AR226" s="370" t="e">
        <f aca="false">VLOOKUP($AG226,$AL$4:$AS$15,4)</f>
        <v>#VALUE!</v>
      </c>
      <c r="AS226" s="369" t="e">
        <f aca="false">(AL226+AM226+AN226)</f>
        <v>#VALUE!</v>
      </c>
      <c r="AT226" s="370" t="e">
        <f aca="false">VLOOKUP(D226,CurveTbl,$AK$6)</f>
        <v>#VALUE!</v>
      </c>
      <c r="AU226" s="370" t="e">
        <f aca="false">(1+$AT226/2)^(-2*($D226-$G$5)/365.25)*$AF226</f>
        <v>#VALUE!</v>
      </c>
      <c r="AV226" s="506" t="e">
        <f aca="false">ROUND((F226/(1-AR226))-F226,0)*AF226*AH226*AU226</f>
        <v>#VALUE!</v>
      </c>
      <c r="AW226" s="370" t="e">
        <f aca="false">VLOOKUP($D226,CurveTbl,$AK$8)</f>
        <v>#VALUE!</v>
      </c>
      <c r="AX226" s="370" t="e">
        <f aca="false">VLOOKUP($D226,CurveTbl,$AH$7)</f>
        <v>#VALUE!</v>
      </c>
      <c r="AY226" s="370" t="e">
        <f aca="false">VLOOKUP($D226,CurveTbl,$AH$8)</f>
        <v>#VALUE!</v>
      </c>
      <c r="AZ226" s="370"/>
      <c r="BA226" s="507"/>
      <c r="BB226" s="505" t="e">
        <f aca="false">$H226-$BV226</f>
        <v>#VALUE!</v>
      </c>
      <c r="BC226" s="505" t="e">
        <f aca="false">I226-BW226</f>
        <v>#VALUE!</v>
      </c>
      <c r="BD226" s="370" t="e">
        <f aca="false">N226-BX226</f>
        <v>#VALUE!</v>
      </c>
      <c r="BE226" s="370" t="e">
        <f aca="false">O226-BY226</f>
        <v>#VALUE!</v>
      </c>
      <c r="BF226" s="370" t="e">
        <f aca="false">xSPRDOPT($BW226,$BV226,$CG226,0,$BY226,$BX226,$BZ226,$AJ226,1,4)*$CB226</f>
        <v>#NAME?</v>
      </c>
      <c r="BG226" s="370" t="e">
        <f aca="false">xSPRDOPT($BW226,$BV226,$CG226,0,$BY226,$BX226,$BZ226,$AJ226,1,3)*$CB226</f>
        <v>#NAME?</v>
      </c>
      <c r="BH226" s="370" t="e">
        <f aca="false">IF(OR(BF226&lt;&gt;0,BG226&lt;&gt;0),xSPRDOPT($BW226,$BV226,$CG226,0,$BY226,$BX226,$BZ226,$AJ226,1,12)*$CB226,0)</f>
        <v>#NAME?</v>
      </c>
      <c r="BI226" s="370" t="e">
        <f aca="false">xSPRDOPT($BW226,$BV226,$CG226,2*LN(1+CA226/2),$BY226,$BX226,$BZ226,$AJ226,1,9)</f>
        <v>#NAME?</v>
      </c>
      <c r="BJ226" s="370" t="e">
        <f aca="false">xSPRDOPT($BW226,$BV226,$CG226,0,$BY226,$BX226,$BZ226,$AJ226,1,6)*$CB226</f>
        <v>#NAME?</v>
      </c>
      <c r="BK226" s="370" t="e">
        <f aca="false">xSPRDOPT($BW226,$BV226,$CG226,0,$BY226,$BX226,$BZ226,$AJ226,1,5)*$CB226</f>
        <v>#NAME?</v>
      </c>
      <c r="BL226" s="370" t="e">
        <f aca="false">xSPRDOPT(BW226,BV226,CG226,0,BY226,BX226,BZ226,AJ226,1,2)*CB226</f>
        <v>#NAME?</v>
      </c>
      <c r="BM226" s="370" t="e">
        <f aca="false">xSPRDOPT(BW226,BV226,CG226,0,BY226,BX226,BZ226,AJ226,1,1)*CB226</f>
        <v>#NAME?</v>
      </c>
      <c r="BN226" s="370" t="e">
        <f aca="false">IF(AH226&lt;&gt;0,xSPRDOPT($BW226,$BV226,$CG226,2*LN(1+CA226/2),$BY226,$BX226,$BZ226,$AJ226,1,8)+(AJ226/365.25)*CH226/AH226,0)</f>
        <v>#VALUE!</v>
      </c>
      <c r="BO226" s="370" t="e">
        <f aca="false">xSPRDOPT($BW226,$BV226,$CG226,0,$BY226,$BX226,$BZ226,$AJ226,1,0)</f>
        <v>#NAME?</v>
      </c>
      <c r="BP226" s="370"/>
      <c r="BQ226" s="370"/>
      <c r="BR226" s="370"/>
      <c r="BS226" s="370"/>
      <c r="BV226" s="508" t="n">
        <v>4.97186700767264</v>
      </c>
      <c r="BW226" s="369" t="n">
        <v>5.1845</v>
      </c>
      <c r="BX226" s="370" t="n">
        <v>0.176949771024884</v>
      </c>
      <c r="BY226" s="370" t="n">
        <v>0.176949771024884</v>
      </c>
      <c r="BZ226" s="370" t="n">
        <v>1</v>
      </c>
      <c r="CA226" s="370" t="n">
        <v>0.0653299127300695</v>
      </c>
      <c r="CB226" s="370" t="n">
        <v>0.333389687362662</v>
      </c>
      <c r="CC226" s="505" t="n">
        <v>0.018</v>
      </c>
      <c r="CD226" s="505" t="n">
        <v>0.0075</v>
      </c>
      <c r="CE226" s="505" t="n">
        <v>0.35</v>
      </c>
      <c r="CF226" s="505" t="n">
        <v>0</v>
      </c>
      <c r="CG226" s="505" t="n">
        <v>0.0364</v>
      </c>
      <c r="CH226" s="505" t="n">
        <v>3.81054410964901</v>
      </c>
      <c r="CI226" s="505" t="n">
        <v>4.8345</v>
      </c>
      <c r="CJ226" s="505"/>
      <c r="CK226" s="505"/>
      <c r="CL226" s="505"/>
      <c r="CM226" s="505"/>
    </row>
    <row r="227" customFormat="false" ht="12.75" hidden="false" customHeight="false" outlineLevel="0" collapsed="false">
      <c r="A227" s="500"/>
      <c r="B227" s="500"/>
      <c r="D227" s="361" t="e">
        <f aca="false">D226+AH226</f>
        <v>#VALUE!</v>
      </c>
      <c r="F227" s="362" t="e">
        <f aca="false">VLOOKUP(AG227,$AL$4:$AS$15,2)</f>
        <v>#VALUE!</v>
      </c>
      <c r="G227" s="362" t="e">
        <f aca="false">F227*$AU227</f>
        <v>#VALUE!</v>
      </c>
      <c r="H227" s="363" t="e">
        <f aca="false">(AL227+AM227+AN227)/(1-(AR227))</f>
        <v>#VALUE!</v>
      </c>
      <c r="I227" s="363" t="e">
        <f aca="false">(AL227+AO227+AP227)</f>
        <v>#VALUE!</v>
      </c>
      <c r="K227" s="363" t="e">
        <f aca="false">MAX(((I227-H227)-AQ227)*AU227*AH227,0)</f>
        <v>#VALUE!</v>
      </c>
      <c r="L227" s="501" t="e">
        <f aca="false">MAX(Q227-K227,0)</f>
        <v>#VALUE!</v>
      </c>
      <c r="N227" s="502" t="e">
        <f aca="false">SQRT(($AX227^2*($AH227/2)+$AW227^2*$AI227)/(($AH227/2)+$AI227))</f>
        <v>#VALUE!</v>
      </c>
      <c r="O227" s="502" t="e">
        <f aca="false">SQRT(($AY227^2*($AH227/2)+$AW227^2*$AI227)/(($AH227/2)+$AI227))</f>
        <v>#VALUE!</v>
      </c>
      <c r="P227" s="371" t="e">
        <f aca="false">(VLOOKUP(AI227,CorrelationTwo,2)*(AW227^2)*AI227+VLOOKUP(D227,CorrelationOne,$AK$9)*AX227*AY227*(AH227/2))/((AI227+(AH227/2))*O227*N227)*AF227</f>
        <v>#VALUE!</v>
      </c>
      <c r="Q227" s="501" t="e">
        <f aca="false">xSPRDOPT(I227,H227,AQ227,0,O227,N227,P227,D227-$G$5,1,0)*AH227*AU227</f>
        <v>#VALUE!</v>
      </c>
      <c r="R227" s="501"/>
      <c r="S227" s="365" t="e">
        <f aca="false">-T227/(1-AR227)</f>
        <v>#VALUE!</v>
      </c>
      <c r="T227" s="365" t="e">
        <f aca="false">xSPRDOPT(I227,H227,AQ227,AT227,O227,N227,P227,D227-$G$5,1,1)*AF227*F227*AH227</f>
        <v>#VALUE!</v>
      </c>
      <c r="U227" s="501"/>
      <c r="V227" s="503" t="e">
        <f aca="false">VLOOKUP($AG227,$AL$4:$AS$15,8)*AH227*AU227</f>
        <v>#VALUE!</v>
      </c>
      <c r="W227" s="503"/>
      <c r="X227" s="504" t="e">
        <f aca="false">((BM227*BC227)+(BL227*BB227))*AH227*F227</f>
        <v>#VALUE!</v>
      </c>
      <c r="Y227" s="504" t="e">
        <f aca="false">($F227*$AH227)*((($BG227/2)*($BC227)^2)+(($BF227/2)*($BB227)^2)+($BH227*$BC227*$BB227))</f>
        <v>#VALUE!</v>
      </c>
      <c r="Z227" s="504" t="e">
        <f aca="false">($BI227*$F227*$AH227*($G$5-$BV$5))/365.25</f>
        <v>#VALUE!</v>
      </c>
      <c r="AA227" s="504" t="e">
        <f aca="false">(($BK227*$BE227)+($BJ227*$BD227))*$F227*$AH227*$AF227</f>
        <v>#VALUE!</v>
      </c>
      <c r="AB227" s="504" t="e">
        <f aca="false">BN227*(AT227-CA227)*F227*AH227</f>
        <v>#VALUE!</v>
      </c>
      <c r="AC227" s="504" t="e">
        <f aca="false">BO227*CB227*F227*AH227*CA227*($G$5-$BV$5)/365.25</f>
        <v>#NAME?</v>
      </c>
      <c r="AF227" s="378" t="e">
        <f aca="false">IF(AND(D227&gt;=$G$7,D227&lt;=$G$8),1,0)</f>
        <v>#VALUE!</v>
      </c>
      <c r="AG227" s="378" t="e">
        <f aca="false">MONTH(D227)</f>
        <v>#VALUE!</v>
      </c>
      <c r="AH227" s="378" t="e">
        <f aca="false">(EOMONTH(D227,0)-EOMONTH(D227-DAY(D227),0))*AF227</f>
        <v>#VALUE!</v>
      </c>
      <c r="AI227" s="378" t="e">
        <f aca="false">AI226+AH226</f>
        <v>#VALUE!</v>
      </c>
      <c r="AJ227" s="378" t="e">
        <f aca="false">D227-$BV$5</f>
        <v>#VALUE!</v>
      </c>
      <c r="AL227" s="369" t="e">
        <f aca="false">VLOOKUP($D227,CurveTbl,$AK$4)</f>
        <v>#VALUE!</v>
      </c>
      <c r="AM227" s="505" t="e">
        <f aca="false">VLOOKUP($D227,CurveTbl,$AH$3)</f>
        <v>#VALUE!</v>
      </c>
      <c r="AN227" s="505" t="e">
        <f aca="false">VLOOKUP($D227,CurveTbl,$AH$4)+VLOOKUP($AG227,$AL$3:$AS$15,6)</f>
        <v>#VALUE!</v>
      </c>
      <c r="AO227" s="505" t="e">
        <f aca="false">VLOOKUP($D227,CurveTbl,$AH$5)</f>
        <v>#VALUE!</v>
      </c>
      <c r="AP227" s="505" t="e">
        <f aca="false">VLOOKUP($D227,CurveTbl,$AH$6)+VLOOKUP($AG227,$AL$3:$AS$15,7)</f>
        <v>#VALUE!</v>
      </c>
      <c r="AQ227" s="369" t="e">
        <f aca="false">VLOOKUP($AG227,$AL$4:$AS$15,3)+VLOOKUP($AG227,$AL$4:$AS$15,5)+($AH$10*VLOOKUP(D227,GRITable,2))</f>
        <v>#VALUE!</v>
      </c>
      <c r="AR227" s="370" t="e">
        <f aca="false">VLOOKUP($AG227,$AL$4:$AS$15,4)</f>
        <v>#VALUE!</v>
      </c>
      <c r="AS227" s="369" t="e">
        <f aca="false">(AL227+AM227+AN227)</f>
        <v>#VALUE!</v>
      </c>
      <c r="AT227" s="370" t="e">
        <f aca="false">VLOOKUP(D227,CurveTbl,$AK$6)</f>
        <v>#VALUE!</v>
      </c>
      <c r="AU227" s="370" t="e">
        <f aca="false">(1+$AT227/2)^(-2*($D227-$G$5)/365.25)*$AF227</f>
        <v>#VALUE!</v>
      </c>
      <c r="AV227" s="506" t="e">
        <f aca="false">ROUND((F227/(1-AR227))-F227,0)*AF227*AH227*AU227</f>
        <v>#VALUE!</v>
      </c>
      <c r="AW227" s="370" t="e">
        <f aca="false">VLOOKUP($D227,CurveTbl,$AK$8)</f>
        <v>#VALUE!</v>
      </c>
      <c r="AX227" s="370" t="e">
        <f aca="false">VLOOKUP($D227,CurveTbl,$AH$7)</f>
        <v>#VALUE!</v>
      </c>
      <c r="AY227" s="370" t="e">
        <f aca="false">VLOOKUP($D227,CurveTbl,$AH$8)</f>
        <v>#VALUE!</v>
      </c>
      <c r="AZ227" s="370"/>
      <c r="BA227" s="507"/>
      <c r="BB227" s="505" t="e">
        <f aca="false">$H227-$BV227</f>
        <v>#VALUE!</v>
      </c>
      <c r="BC227" s="505" t="e">
        <f aca="false">I227-BW227</f>
        <v>#VALUE!</v>
      </c>
      <c r="BD227" s="370" t="e">
        <f aca="false">N227-BX227</f>
        <v>#VALUE!</v>
      </c>
      <c r="BE227" s="370" t="e">
        <f aca="false">O227-BY227</f>
        <v>#VALUE!</v>
      </c>
      <c r="BF227" s="370" t="e">
        <f aca="false">xSPRDOPT($BW227,$BV227,$CG227,0,$BY227,$BX227,$BZ227,$AJ227,1,4)*$CB227</f>
        <v>#NAME?</v>
      </c>
      <c r="BG227" s="370" t="e">
        <f aca="false">xSPRDOPT($BW227,$BV227,$CG227,0,$BY227,$BX227,$BZ227,$AJ227,1,3)*$CB227</f>
        <v>#NAME?</v>
      </c>
      <c r="BH227" s="370" t="e">
        <f aca="false">IF(OR(BF227&lt;&gt;0,BG227&lt;&gt;0),xSPRDOPT($BW227,$BV227,$CG227,0,$BY227,$BX227,$BZ227,$AJ227,1,12)*$CB227,0)</f>
        <v>#NAME?</v>
      </c>
      <c r="BI227" s="370" t="e">
        <f aca="false">xSPRDOPT($BW227,$BV227,$CG227,2*LN(1+CA227/2),$BY227,$BX227,$BZ227,$AJ227,1,9)</f>
        <v>#NAME?</v>
      </c>
      <c r="BJ227" s="370" t="e">
        <f aca="false">xSPRDOPT($BW227,$BV227,$CG227,0,$BY227,$BX227,$BZ227,$AJ227,1,6)*$CB227</f>
        <v>#NAME?</v>
      </c>
      <c r="BK227" s="370" t="e">
        <f aca="false">xSPRDOPT($BW227,$BV227,$CG227,0,$BY227,$BX227,$BZ227,$AJ227,1,5)*$CB227</f>
        <v>#NAME?</v>
      </c>
      <c r="BL227" s="370" t="e">
        <f aca="false">xSPRDOPT(BW227,BV227,CG227,0,BY227,BX227,BZ227,AJ227,1,2)*CB227</f>
        <v>#NAME?</v>
      </c>
      <c r="BM227" s="370" t="e">
        <f aca="false">xSPRDOPT(BW227,BV227,CG227,0,BY227,BX227,BZ227,AJ227,1,1)*CB227</f>
        <v>#NAME?</v>
      </c>
      <c r="BN227" s="370" t="e">
        <f aca="false">IF(AH227&lt;&gt;0,xSPRDOPT($BW227,$BV227,$CG227,2*LN(1+CA227/2),$BY227,$BX227,$BZ227,$AJ227,1,8)+(AJ227/365.25)*CH227/AH227,0)</f>
        <v>#VALUE!</v>
      </c>
      <c r="BO227" s="370" t="e">
        <f aca="false">xSPRDOPT($BW227,$BV227,$CG227,0,$BY227,$BX227,$BZ227,$AJ227,1,0)</f>
        <v>#NAME?</v>
      </c>
      <c r="BP227" s="370"/>
      <c r="BQ227" s="370"/>
      <c r="BR227" s="370"/>
      <c r="BS227" s="370"/>
      <c r="BV227" s="508" t="n">
        <v>4.8849104859335</v>
      </c>
      <c r="BW227" s="369" t="n">
        <v>5.0995</v>
      </c>
      <c r="BX227" s="370" t="n">
        <v>0.176260131421066</v>
      </c>
      <c r="BY227" s="370" t="n">
        <v>0.176260131421066</v>
      </c>
      <c r="BZ227" s="370" t="n">
        <v>1</v>
      </c>
      <c r="CA227" s="370" t="n">
        <v>0.0653704568592479</v>
      </c>
      <c r="CB227" s="370" t="n">
        <v>0.33135215301805</v>
      </c>
      <c r="CC227" s="505" t="n">
        <v>0.018</v>
      </c>
      <c r="CD227" s="505" t="n">
        <v>0.0075</v>
      </c>
      <c r="CE227" s="505" t="n">
        <v>0.35</v>
      </c>
      <c r="CF227" s="505" t="n">
        <v>0</v>
      </c>
      <c r="CG227" s="505" t="n">
        <v>0.0364</v>
      </c>
      <c r="CH227" s="505" t="n">
        <v>3.42074708689714</v>
      </c>
      <c r="CI227" s="505" t="n">
        <v>4.7495</v>
      </c>
      <c r="CJ227" s="505"/>
      <c r="CK227" s="505"/>
      <c r="CL227" s="505"/>
      <c r="CM227" s="505"/>
    </row>
    <row r="228" customFormat="false" ht="12.75" hidden="false" customHeight="false" outlineLevel="0" collapsed="false">
      <c r="A228" s="500"/>
      <c r="B228" s="500"/>
      <c r="D228" s="361" t="e">
        <f aca="false">D227+AH227</f>
        <v>#VALUE!</v>
      </c>
      <c r="F228" s="362" t="e">
        <f aca="false">VLOOKUP(AG228,$AL$4:$AS$15,2)</f>
        <v>#VALUE!</v>
      </c>
      <c r="G228" s="362" t="e">
        <f aca="false">F228*$AU228</f>
        <v>#VALUE!</v>
      </c>
      <c r="H228" s="363" t="e">
        <f aca="false">(AL228+AM228+AN228)/(1-(AR228))</f>
        <v>#VALUE!</v>
      </c>
      <c r="I228" s="363" t="e">
        <f aca="false">(AL228+AO228+AP228)</f>
        <v>#VALUE!</v>
      </c>
      <c r="K228" s="363" t="e">
        <f aca="false">MAX(((I228-H228)-AQ228)*AU228*AH228,0)</f>
        <v>#VALUE!</v>
      </c>
      <c r="L228" s="501" t="e">
        <f aca="false">MAX(Q228-K228,0)</f>
        <v>#VALUE!</v>
      </c>
      <c r="N228" s="502" t="e">
        <f aca="false">SQRT(($AX228^2*($AH228/2)+$AW228^2*$AI228)/(($AH228/2)+$AI228))</f>
        <v>#VALUE!</v>
      </c>
      <c r="O228" s="502" t="e">
        <f aca="false">SQRT(($AY228^2*($AH228/2)+$AW228^2*$AI228)/(($AH228/2)+$AI228))</f>
        <v>#VALUE!</v>
      </c>
      <c r="P228" s="371" t="e">
        <f aca="false">(VLOOKUP(AI228,CorrelationTwo,2)*(AW228^2)*AI228+VLOOKUP(D228,CorrelationOne,$AK$9)*AX228*AY228*(AH228/2))/((AI228+(AH228/2))*O228*N228)*AF228</f>
        <v>#VALUE!</v>
      </c>
      <c r="Q228" s="501" t="e">
        <f aca="false">xSPRDOPT(I228,H228,AQ228,0,O228,N228,P228,D228-$G$5,1,0)*AH228*AU228</f>
        <v>#VALUE!</v>
      </c>
      <c r="R228" s="501"/>
      <c r="S228" s="365" t="e">
        <f aca="false">-T228/(1-AR228)</f>
        <v>#VALUE!</v>
      </c>
      <c r="T228" s="365" t="e">
        <f aca="false">xSPRDOPT(I228,H228,AQ228,AT228,O228,N228,P228,D228-$G$5,1,1)*AF228*F228*AH228</f>
        <v>#VALUE!</v>
      </c>
      <c r="U228" s="501"/>
      <c r="V228" s="503" t="e">
        <f aca="false">VLOOKUP($AG228,$AL$4:$AS$15,8)*AH228*AU228</f>
        <v>#VALUE!</v>
      </c>
      <c r="W228" s="503"/>
      <c r="X228" s="504" t="e">
        <f aca="false">((BM228*BC228)+(BL228*BB228))*AH228*F228</f>
        <v>#VALUE!</v>
      </c>
      <c r="Y228" s="504" t="e">
        <f aca="false">($F228*$AH228)*((($BG228/2)*($BC228)^2)+(($BF228/2)*($BB228)^2)+($BH228*$BC228*$BB228))</f>
        <v>#VALUE!</v>
      </c>
      <c r="Z228" s="504" t="e">
        <f aca="false">($BI228*$F228*$AH228*($G$5-$BV$5))/365.25</f>
        <v>#VALUE!</v>
      </c>
      <c r="AA228" s="504" t="e">
        <f aca="false">(($BK228*$BE228)+($BJ228*$BD228))*$F228*$AH228*$AF228</f>
        <v>#VALUE!</v>
      </c>
      <c r="AB228" s="504" t="e">
        <f aca="false">BN228*(AT228-CA228)*F228*AH228</f>
        <v>#VALUE!</v>
      </c>
      <c r="AC228" s="504" t="e">
        <f aca="false">BO228*CB228*F228*AH228*CA228*($G$5-$BV$5)/365.25</f>
        <v>#NAME?</v>
      </c>
      <c r="AF228" s="378" t="e">
        <f aca="false">IF(AND(D228&gt;=$G$7,D228&lt;=$G$8),1,0)</f>
        <v>#VALUE!</v>
      </c>
      <c r="AG228" s="378" t="e">
        <f aca="false">MONTH(D228)</f>
        <v>#VALUE!</v>
      </c>
      <c r="AH228" s="378" t="e">
        <f aca="false">(EOMONTH(D228,0)-EOMONTH(D228-DAY(D228),0))*AF228</f>
        <v>#VALUE!</v>
      </c>
      <c r="AI228" s="378" t="e">
        <f aca="false">AI227+AH227</f>
        <v>#VALUE!</v>
      </c>
      <c r="AJ228" s="378" t="e">
        <f aca="false">D228-$BV$5</f>
        <v>#VALUE!</v>
      </c>
      <c r="AL228" s="369" t="e">
        <f aca="false">VLOOKUP($D228,CurveTbl,$AK$4)</f>
        <v>#VALUE!</v>
      </c>
      <c r="AM228" s="505" t="e">
        <f aca="false">VLOOKUP($D228,CurveTbl,$AH$3)</f>
        <v>#VALUE!</v>
      </c>
      <c r="AN228" s="505" t="e">
        <f aca="false">VLOOKUP($D228,CurveTbl,$AH$4)+VLOOKUP($AG228,$AL$3:$AS$15,6)</f>
        <v>#VALUE!</v>
      </c>
      <c r="AO228" s="505" t="e">
        <f aca="false">VLOOKUP($D228,CurveTbl,$AH$5)</f>
        <v>#VALUE!</v>
      </c>
      <c r="AP228" s="505" t="e">
        <f aca="false">VLOOKUP($D228,CurveTbl,$AH$6)+VLOOKUP($AG228,$AL$3:$AS$15,7)</f>
        <v>#VALUE!</v>
      </c>
      <c r="AQ228" s="369" t="e">
        <f aca="false">VLOOKUP($AG228,$AL$4:$AS$15,3)+VLOOKUP($AG228,$AL$4:$AS$15,5)+($AH$10*VLOOKUP(D228,GRITable,2))</f>
        <v>#VALUE!</v>
      </c>
      <c r="AR228" s="370" t="e">
        <f aca="false">VLOOKUP($AG228,$AL$4:$AS$15,4)</f>
        <v>#VALUE!</v>
      </c>
      <c r="AS228" s="369" t="e">
        <f aca="false">(AL228+AM228+AN228)</f>
        <v>#VALUE!</v>
      </c>
      <c r="AT228" s="370" t="e">
        <f aca="false">VLOOKUP(D228,CurveTbl,$AK$6)</f>
        <v>#VALUE!</v>
      </c>
      <c r="AU228" s="370" t="e">
        <f aca="false">(1+$AT228/2)^(-2*($D228-$G$5)/365.25)*$AF228</f>
        <v>#VALUE!</v>
      </c>
      <c r="AV228" s="506" t="e">
        <f aca="false">ROUND((F228/(1-AR228))-F228,0)*AF228*AH228*AU228</f>
        <v>#VALUE!</v>
      </c>
      <c r="AW228" s="370" t="e">
        <f aca="false">VLOOKUP($D228,CurveTbl,$AK$8)</f>
        <v>#VALUE!</v>
      </c>
      <c r="AX228" s="370" t="e">
        <f aca="false">VLOOKUP($D228,CurveTbl,$AH$7)</f>
        <v>#VALUE!</v>
      </c>
      <c r="AY228" s="370" t="e">
        <f aca="false">VLOOKUP($D228,CurveTbl,$AH$8)</f>
        <v>#VALUE!</v>
      </c>
      <c r="AZ228" s="370"/>
      <c r="BA228" s="507"/>
      <c r="BB228" s="505" t="e">
        <f aca="false">$H228-$BV228</f>
        <v>#VALUE!</v>
      </c>
      <c r="BC228" s="505" t="e">
        <f aca="false">I228-BW228</f>
        <v>#VALUE!</v>
      </c>
      <c r="BD228" s="370" t="e">
        <f aca="false">N228-BX228</f>
        <v>#VALUE!</v>
      </c>
      <c r="BE228" s="370" t="e">
        <f aca="false">O228-BY228</f>
        <v>#VALUE!</v>
      </c>
      <c r="BF228" s="370" t="e">
        <f aca="false">xSPRDOPT($BW228,$BV228,$CG228,0,$BY228,$BX228,$BZ228,$AJ228,1,4)*$CB228</f>
        <v>#NAME?</v>
      </c>
      <c r="BG228" s="370" t="e">
        <f aca="false">xSPRDOPT($BW228,$BV228,$CG228,0,$BY228,$BX228,$BZ228,$AJ228,1,3)*$CB228</f>
        <v>#NAME?</v>
      </c>
      <c r="BH228" s="370" t="e">
        <f aca="false">IF(OR(BF228&lt;&gt;0,BG228&lt;&gt;0),xSPRDOPT($BW228,$BV228,$CG228,0,$BY228,$BX228,$BZ228,$AJ228,1,12)*$CB228,0)</f>
        <v>#NAME?</v>
      </c>
      <c r="BI228" s="370" t="e">
        <f aca="false">xSPRDOPT($BW228,$BV228,$CG228,2*LN(1+CA228/2),$BY228,$BX228,$BZ228,$AJ228,1,9)</f>
        <v>#NAME?</v>
      </c>
      <c r="BJ228" s="370" t="e">
        <f aca="false">xSPRDOPT($BW228,$BV228,$CG228,0,$BY228,$BX228,$BZ228,$AJ228,1,6)*$CB228</f>
        <v>#NAME?</v>
      </c>
      <c r="BK228" s="370" t="e">
        <f aca="false">xSPRDOPT($BW228,$BV228,$CG228,0,$BY228,$BX228,$BZ228,$AJ228,1,5)*$CB228</f>
        <v>#NAME?</v>
      </c>
      <c r="BL228" s="370" t="e">
        <f aca="false">xSPRDOPT(BW228,BV228,CG228,0,BY228,BX228,BZ228,AJ228,1,2)*CB228</f>
        <v>#NAME?</v>
      </c>
      <c r="BM228" s="370" t="e">
        <f aca="false">xSPRDOPT(BW228,BV228,CG228,0,BY228,BX228,BZ228,AJ228,1,1)*CB228</f>
        <v>#NAME?</v>
      </c>
      <c r="BN228" s="370" t="e">
        <f aca="false">IF(AH228&lt;&gt;0,xSPRDOPT($BW228,$BV228,$CG228,2*LN(1+CA228/2),$BY228,$BX228,$BZ228,$AJ228,1,8)+(AJ228/365.25)*CH228/AH228,0)</f>
        <v>#VALUE!</v>
      </c>
      <c r="BO228" s="370" t="e">
        <f aca="false">xSPRDOPT($BW228,$BV228,$CG228,0,$BY228,$BX228,$BZ228,$AJ228,1,0)</f>
        <v>#NAME?</v>
      </c>
      <c r="BP228" s="370"/>
      <c r="BQ228" s="370"/>
      <c r="BR228" s="370"/>
      <c r="BS228" s="370"/>
      <c r="BV228" s="508" t="n">
        <v>4.75703324808184</v>
      </c>
      <c r="BW228" s="369" t="n">
        <v>5.0195</v>
      </c>
      <c r="BX228" s="370" t="n">
        <v>0.173817470047621</v>
      </c>
      <c r="BY228" s="370" t="n">
        <v>0.173817470047621</v>
      </c>
      <c r="BZ228" s="370" t="n">
        <v>1</v>
      </c>
      <c r="CA228" s="370" t="n">
        <v>0.0654070773634903</v>
      </c>
      <c r="CB228" s="370" t="n">
        <v>0.329520620926965</v>
      </c>
      <c r="CC228" s="505" t="n">
        <v>0.023</v>
      </c>
      <c r="CD228" s="505" t="n">
        <v>0.0075</v>
      </c>
      <c r="CE228" s="505" t="n">
        <v>0.4</v>
      </c>
      <c r="CF228" s="505" t="n">
        <v>0</v>
      </c>
      <c r="CG228" s="505" t="n">
        <v>0.0364</v>
      </c>
      <c r="CH228" s="505" t="n">
        <v>3.76632184100893</v>
      </c>
      <c r="CI228" s="505" t="n">
        <v>4.6195</v>
      </c>
      <c r="CJ228" s="505"/>
      <c r="CK228" s="505"/>
      <c r="CL228" s="505"/>
      <c r="CM228" s="505"/>
    </row>
    <row r="229" customFormat="false" ht="12.75" hidden="false" customHeight="false" outlineLevel="0" collapsed="false">
      <c r="A229" s="500"/>
      <c r="B229" s="500"/>
      <c r="D229" s="361" t="e">
        <f aca="false">D228+AH228</f>
        <v>#VALUE!</v>
      </c>
      <c r="F229" s="362" t="e">
        <f aca="false">VLOOKUP(AG229,$AL$4:$AS$15,2)</f>
        <v>#VALUE!</v>
      </c>
      <c r="G229" s="362" t="e">
        <f aca="false">F229*$AU229</f>
        <v>#VALUE!</v>
      </c>
      <c r="H229" s="363" t="e">
        <f aca="false">(AL229+AM229+AN229)/(1-(AR229))</f>
        <v>#VALUE!</v>
      </c>
      <c r="I229" s="363" t="e">
        <f aca="false">(AL229+AO229+AP229)</f>
        <v>#VALUE!</v>
      </c>
      <c r="K229" s="363" t="e">
        <f aca="false">MAX(((I229-H229)-AQ229)*AU229*AH229,0)</f>
        <v>#VALUE!</v>
      </c>
      <c r="L229" s="501" t="e">
        <f aca="false">MAX(Q229-K229,0)</f>
        <v>#VALUE!</v>
      </c>
      <c r="N229" s="502" t="e">
        <f aca="false">SQRT(($AX229^2*($AH229/2)+$AW229^2*$AI229)/(($AH229/2)+$AI229))</f>
        <v>#VALUE!</v>
      </c>
      <c r="O229" s="502" t="e">
        <f aca="false">SQRT(($AY229^2*($AH229/2)+$AW229^2*$AI229)/(($AH229/2)+$AI229))</f>
        <v>#VALUE!</v>
      </c>
      <c r="P229" s="371" t="e">
        <f aca="false">(VLOOKUP(AI229,CorrelationTwo,2)*(AW229^2)*AI229+VLOOKUP(D229,CorrelationOne,$AK$9)*AX229*AY229*(AH229/2))/((AI229+(AH229/2))*O229*N229)*AF229</f>
        <v>#VALUE!</v>
      </c>
      <c r="Q229" s="501" t="e">
        <f aca="false">xSPRDOPT(I229,H229,AQ229,0,O229,N229,P229,D229-$G$5,1,0)*AH229*AU229</f>
        <v>#VALUE!</v>
      </c>
      <c r="R229" s="501"/>
      <c r="S229" s="365" t="e">
        <f aca="false">-T229/(1-AR229)</f>
        <v>#VALUE!</v>
      </c>
      <c r="T229" s="365" t="e">
        <f aca="false">xSPRDOPT(I229,H229,AQ229,AT229,O229,N229,P229,D229-$G$5,1,1)*AF229*F229*AH229</f>
        <v>#VALUE!</v>
      </c>
      <c r="U229" s="501"/>
      <c r="V229" s="503" t="e">
        <f aca="false">VLOOKUP($AG229,$AL$4:$AS$15,8)*AH229*AU229</f>
        <v>#VALUE!</v>
      </c>
      <c r="W229" s="503"/>
      <c r="X229" s="504" t="e">
        <f aca="false">((BM229*BC229)+(BL229*BB229))*AH229*F229</f>
        <v>#VALUE!</v>
      </c>
      <c r="Y229" s="504" t="e">
        <f aca="false">($F229*$AH229)*((($BG229/2)*($BC229)^2)+(($BF229/2)*($BB229)^2)+($BH229*$BC229*$BB229))</f>
        <v>#VALUE!</v>
      </c>
      <c r="Z229" s="504" t="e">
        <f aca="false">($BI229*$F229*$AH229*($G$5-$BV$5))/365.25</f>
        <v>#VALUE!</v>
      </c>
      <c r="AA229" s="504" t="e">
        <f aca="false">(($BK229*$BE229)+($BJ229*$BD229))*$F229*$AH229*$AF229</f>
        <v>#VALUE!</v>
      </c>
      <c r="AB229" s="504" t="e">
        <f aca="false">BN229*(AT229-CA229)*F229*AH229</f>
        <v>#VALUE!</v>
      </c>
      <c r="AC229" s="504" t="e">
        <f aca="false">BO229*CB229*F229*AH229*CA229*($G$5-$BV$5)/365.25</f>
        <v>#NAME?</v>
      </c>
      <c r="AF229" s="378" t="e">
        <f aca="false">IF(AND(D229&gt;=$G$7,D229&lt;=$G$8),1,0)</f>
        <v>#VALUE!</v>
      </c>
      <c r="AG229" s="378" t="e">
        <f aca="false">MONTH(D229)</f>
        <v>#VALUE!</v>
      </c>
      <c r="AH229" s="378" t="e">
        <f aca="false">(EOMONTH(D229,0)-EOMONTH(D229-DAY(D229),0))*AF229</f>
        <v>#VALUE!</v>
      </c>
      <c r="AI229" s="378" t="e">
        <f aca="false">AI228+AH228</f>
        <v>#VALUE!</v>
      </c>
      <c r="AJ229" s="378" t="e">
        <f aca="false">D229-$BV$5</f>
        <v>#VALUE!</v>
      </c>
      <c r="AL229" s="369" t="e">
        <f aca="false">VLOOKUP($D229,CurveTbl,$AK$4)</f>
        <v>#VALUE!</v>
      </c>
      <c r="AM229" s="505" t="e">
        <f aca="false">VLOOKUP($D229,CurveTbl,$AH$3)</f>
        <v>#VALUE!</v>
      </c>
      <c r="AN229" s="505" t="e">
        <f aca="false">VLOOKUP($D229,CurveTbl,$AH$4)+VLOOKUP($AG229,$AL$3:$AS$15,6)</f>
        <v>#VALUE!</v>
      </c>
      <c r="AO229" s="505" t="e">
        <f aca="false">VLOOKUP($D229,CurveTbl,$AH$5)</f>
        <v>#VALUE!</v>
      </c>
      <c r="AP229" s="505" t="e">
        <f aca="false">VLOOKUP($D229,CurveTbl,$AH$6)+VLOOKUP($AG229,$AL$3:$AS$15,7)</f>
        <v>#VALUE!</v>
      </c>
      <c r="AQ229" s="369" t="e">
        <f aca="false">VLOOKUP($AG229,$AL$4:$AS$15,3)+VLOOKUP($AG229,$AL$4:$AS$15,5)+($AH$10*VLOOKUP(D229,GRITable,2))</f>
        <v>#VALUE!</v>
      </c>
      <c r="AR229" s="370" t="e">
        <f aca="false">VLOOKUP($AG229,$AL$4:$AS$15,4)</f>
        <v>#VALUE!</v>
      </c>
      <c r="AS229" s="369" t="e">
        <f aca="false">(AL229+AM229+AN229)</f>
        <v>#VALUE!</v>
      </c>
      <c r="AT229" s="370" t="e">
        <f aca="false">VLOOKUP(D229,CurveTbl,$AK$6)</f>
        <v>#VALUE!</v>
      </c>
      <c r="AU229" s="370" t="e">
        <f aca="false">(1+$AT229/2)^(-2*($D229-$G$5)/365.25)*$AF229</f>
        <v>#VALUE!</v>
      </c>
      <c r="AV229" s="506" t="e">
        <f aca="false">ROUND((F229/(1-AR229))-F229,0)*AF229*AH229*AU229</f>
        <v>#VALUE!</v>
      </c>
      <c r="AW229" s="370" t="e">
        <f aca="false">VLOOKUP($D229,CurveTbl,$AK$8)</f>
        <v>#VALUE!</v>
      </c>
      <c r="AX229" s="370" t="e">
        <f aca="false">VLOOKUP($D229,CurveTbl,$AH$7)</f>
        <v>#VALUE!</v>
      </c>
      <c r="AY229" s="370" t="e">
        <f aca="false">VLOOKUP($D229,CurveTbl,$AH$8)</f>
        <v>#VALUE!</v>
      </c>
      <c r="AZ229" s="370"/>
      <c r="BA229" s="507"/>
      <c r="BB229" s="505" t="e">
        <f aca="false">$H229-$BV229</f>
        <v>#VALUE!</v>
      </c>
      <c r="BC229" s="505" t="e">
        <f aca="false">I229-BW229</f>
        <v>#VALUE!</v>
      </c>
      <c r="BD229" s="370" t="e">
        <f aca="false">N229-BX229</f>
        <v>#VALUE!</v>
      </c>
      <c r="BE229" s="370" t="e">
        <f aca="false">O229-BY229</f>
        <v>#VALUE!</v>
      </c>
      <c r="BF229" s="370" t="e">
        <f aca="false">xSPRDOPT($BW229,$BV229,$CG229,0,$BY229,$BX229,$BZ229,$AJ229,1,4)*$CB229</f>
        <v>#NAME?</v>
      </c>
      <c r="BG229" s="370" t="e">
        <f aca="false">xSPRDOPT($BW229,$BV229,$CG229,0,$BY229,$BX229,$BZ229,$AJ229,1,3)*$CB229</f>
        <v>#NAME?</v>
      </c>
      <c r="BH229" s="370" t="e">
        <f aca="false">IF(OR(BF229&lt;&gt;0,BG229&lt;&gt;0),xSPRDOPT($BW229,$BV229,$CG229,0,$BY229,$BX229,$BZ229,$AJ229,1,12)*$CB229,0)</f>
        <v>#NAME?</v>
      </c>
      <c r="BI229" s="370" t="e">
        <f aca="false">xSPRDOPT($BW229,$BV229,$CG229,2*LN(1+CA229/2),$BY229,$BX229,$BZ229,$AJ229,1,9)</f>
        <v>#NAME?</v>
      </c>
      <c r="BJ229" s="370" t="e">
        <f aca="false">xSPRDOPT($BW229,$BV229,$CG229,0,$BY229,$BX229,$BZ229,$AJ229,1,6)*$CB229</f>
        <v>#NAME?</v>
      </c>
      <c r="BK229" s="370" t="e">
        <f aca="false">xSPRDOPT($BW229,$BV229,$CG229,0,$BY229,$BX229,$BZ229,$AJ229,1,5)*$CB229</f>
        <v>#NAME?</v>
      </c>
      <c r="BL229" s="370" t="e">
        <f aca="false">xSPRDOPT(BW229,BV229,CG229,0,BY229,BX229,BZ229,AJ229,1,2)*CB229</f>
        <v>#NAME?</v>
      </c>
      <c r="BM229" s="370" t="e">
        <f aca="false">xSPRDOPT(BW229,BV229,CG229,0,BY229,BX229,BZ229,AJ229,1,1)*CB229</f>
        <v>#NAME?</v>
      </c>
      <c r="BN229" s="370" t="e">
        <f aca="false">IF(AH229&lt;&gt;0,xSPRDOPT($BW229,$BV229,$CG229,2*LN(1+CA229/2),$BY229,$BX229,$BZ229,$AJ229,1,8)+(AJ229/365.25)*CH229/AH229,0)</f>
        <v>#VALUE!</v>
      </c>
      <c r="BO229" s="370" t="e">
        <f aca="false">xSPRDOPT($BW229,$BV229,$CG229,0,$BY229,$BX229,$BZ229,$AJ229,1,0)</f>
        <v>#NAME?</v>
      </c>
      <c r="BP229" s="370"/>
      <c r="BQ229" s="370"/>
      <c r="BR229" s="370"/>
      <c r="BS229" s="370"/>
      <c r="BV229" s="508" t="n">
        <v>4.57033248081841</v>
      </c>
      <c r="BW229" s="369" t="n">
        <v>5.0345</v>
      </c>
      <c r="BX229" s="370" t="n">
        <v>0.170910986721702</v>
      </c>
      <c r="BY229" s="370" t="n">
        <v>0.170910986721702</v>
      </c>
      <c r="BZ229" s="370" t="n">
        <v>1</v>
      </c>
      <c r="CA229" s="370" t="n">
        <v>0.0654476214937056</v>
      </c>
      <c r="CB229" s="370" t="n">
        <v>0.327502586923898</v>
      </c>
      <c r="CC229" s="505" t="n">
        <v>0.023</v>
      </c>
      <c r="CD229" s="505" t="n">
        <v>0.01</v>
      </c>
      <c r="CE229" s="505" t="n">
        <v>0.6</v>
      </c>
      <c r="CF229" s="505" t="n">
        <v>0</v>
      </c>
      <c r="CG229" s="505" t="n">
        <v>0.0364</v>
      </c>
      <c r="CH229" s="505" t="n">
        <v>3.62250611396523</v>
      </c>
      <c r="CI229" s="505" t="n">
        <v>4.4345</v>
      </c>
      <c r="CJ229" s="505"/>
      <c r="CK229" s="505"/>
      <c r="CL229" s="505"/>
      <c r="CM229" s="505"/>
    </row>
    <row r="230" customFormat="false" ht="12.75" hidden="false" customHeight="false" outlineLevel="0" collapsed="false">
      <c r="A230" s="500"/>
      <c r="B230" s="500"/>
      <c r="D230" s="361" t="e">
        <f aca="false">D229+AH229</f>
        <v>#VALUE!</v>
      </c>
      <c r="F230" s="362" t="e">
        <f aca="false">VLOOKUP(AG230,$AL$4:$AS$15,2)</f>
        <v>#VALUE!</v>
      </c>
      <c r="G230" s="362" t="e">
        <f aca="false">F230*$AU230</f>
        <v>#VALUE!</v>
      </c>
      <c r="H230" s="363" t="e">
        <f aca="false">(AL230+AM230+AN230)/(1-(AR230))</f>
        <v>#VALUE!</v>
      </c>
      <c r="I230" s="363" t="e">
        <f aca="false">(AL230+AO230+AP230)</f>
        <v>#VALUE!</v>
      </c>
      <c r="K230" s="363" t="e">
        <f aca="false">MAX(((I230-H230)-AQ230)*AU230*AH230,0)</f>
        <v>#VALUE!</v>
      </c>
      <c r="L230" s="501" t="e">
        <f aca="false">MAX(Q230-K230,0)</f>
        <v>#VALUE!</v>
      </c>
      <c r="N230" s="502" t="e">
        <f aca="false">SQRT(($AX230^2*($AH230/2)+$AW230^2*$AI230)/(($AH230/2)+$AI230))</f>
        <v>#VALUE!</v>
      </c>
      <c r="O230" s="502" t="e">
        <f aca="false">SQRT(($AY230^2*($AH230/2)+$AW230^2*$AI230)/(($AH230/2)+$AI230))</f>
        <v>#VALUE!</v>
      </c>
      <c r="P230" s="371" t="e">
        <f aca="false">(VLOOKUP(AI230,CorrelationTwo,2)*(AW230^2)*AI230+VLOOKUP(D230,CorrelationOne,$AK$9)*AX230*AY230*(AH230/2))/((AI230+(AH230/2))*O230*N230)*AF230</f>
        <v>#VALUE!</v>
      </c>
      <c r="Q230" s="501" t="e">
        <f aca="false">xSPRDOPT(I230,H230,AQ230,0,O230,N230,P230,D230-$G$5,1,0)*AH230*AU230</f>
        <v>#VALUE!</v>
      </c>
      <c r="R230" s="501"/>
      <c r="S230" s="365" t="e">
        <f aca="false">-T230/(1-AR230)</f>
        <v>#VALUE!</v>
      </c>
      <c r="T230" s="365" t="e">
        <f aca="false">xSPRDOPT(I230,H230,AQ230,AT230,O230,N230,P230,D230-$G$5,1,1)*AF230*F230*AH230</f>
        <v>#VALUE!</v>
      </c>
      <c r="U230" s="501"/>
      <c r="V230" s="503" t="e">
        <f aca="false">VLOOKUP($AG230,$AL$4:$AS$15,8)*AH230*AU230</f>
        <v>#VALUE!</v>
      </c>
      <c r="W230" s="503"/>
      <c r="X230" s="504" t="e">
        <f aca="false">((BM230*BC230)+(BL230*BB230))*AH230*F230</f>
        <v>#VALUE!</v>
      </c>
      <c r="Y230" s="504" t="e">
        <f aca="false">($F230*$AH230)*((($BG230/2)*($BC230)^2)+(($BF230/2)*($BB230)^2)+($BH230*$BC230*$BB230))</f>
        <v>#VALUE!</v>
      </c>
      <c r="Z230" s="504" t="e">
        <f aca="false">($BI230*$F230*$AH230*($G$5-$BV$5))/365.25</f>
        <v>#VALUE!</v>
      </c>
      <c r="AA230" s="504" t="e">
        <f aca="false">(($BK230*$BE230)+($BJ230*$BD230))*$F230*$AH230*$AF230</f>
        <v>#VALUE!</v>
      </c>
      <c r="AB230" s="504" t="e">
        <f aca="false">BN230*(AT230-CA230)*F230*AH230</f>
        <v>#VALUE!</v>
      </c>
      <c r="AC230" s="504" t="e">
        <f aca="false">BO230*CB230*F230*AH230*CA230*($G$5-$BV$5)/365.25</f>
        <v>#NAME?</v>
      </c>
      <c r="AF230" s="378" t="e">
        <f aca="false">IF(AND(D230&gt;=$G$7,D230&lt;=$G$8),1,0)</f>
        <v>#VALUE!</v>
      </c>
      <c r="AG230" s="378" t="e">
        <f aca="false">MONTH(D230)</f>
        <v>#VALUE!</v>
      </c>
      <c r="AH230" s="378" t="e">
        <f aca="false">(EOMONTH(D230,0)-EOMONTH(D230-DAY(D230),0))*AF230</f>
        <v>#VALUE!</v>
      </c>
      <c r="AI230" s="378" t="e">
        <f aca="false">AI229+AH229</f>
        <v>#VALUE!</v>
      </c>
      <c r="AJ230" s="378" t="e">
        <f aca="false">D230-$BV$5</f>
        <v>#VALUE!</v>
      </c>
      <c r="AL230" s="369" t="e">
        <f aca="false">VLOOKUP($D230,CurveTbl,$AK$4)</f>
        <v>#VALUE!</v>
      </c>
      <c r="AM230" s="505" t="e">
        <f aca="false">VLOOKUP($D230,CurveTbl,$AH$3)</f>
        <v>#VALUE!</v>
      </c>
      <c r="AN230" s="505" t="e">
        <f aca="false">VLOOKUP($D230,CurveTbl,$AH$4)+VLOOKUP($AG230,$AL$3:$AS$15,6)</f>
        <v>#VALUE!</v>
      </c>
      <c r="AO230" s="505" t="e">
        <f aca="false">VLOOKUP($D230,CurveTbl,$AH$5)</f>
        <v>#VALUE!</v>
      </c>
      <c r="AP230" s="505" t="e">
        <f aca="false">VLOOKUP($D230,CurveTbl,$AH$6)+VLOOKUP($AG230,$AL$3:$AS$15,7)</f>
        <v>#VALUE!</v>
      </c>
      <c r="AQ230" s="369" t="e">
        <f aca="false">VLOOKUP($AG230,$AL$4:$AS$15,3)+VLOOKUP($AG230,$AL$4:$AS$15,5)+($AH$10*VLOOKUP(D230,GRITable,2))</f>
        <v>#VALUE!</v>
      </c>
      <c r="AR230" s="370" t="e">
        <f aca="false">VLOOKUP($AG230,$AL$4:$AS$15,4)</f>
        <v>#VALUE!</v>
      </c>
      <c r="AS230" s="369" t="e">
        <f aca="false">(AL230+AM230+AN230)</f>
        <v>#VALUE!</v>
      </c>
      <c r="AT230" s="370" t="e">
        <f aca="false">VLOOKUP(D230,CurveTbl,$AK$6)</f>
        <v>#VALUE!</v>
      </c>
      <c r="AU230" s="370" t="e">
        <f aca="false">(1+$AT230/2)^(-2*($D230-$G$5)/365.25)*$AF230</f>
        <v>#VALUE!</v>
      </c>
      <c r="AV230" s="506" t="e">
        <f aca="false">ROUND((F230/(1-AR230))-F230,0)*AF230*AH230*AU230</f>
        <v>#VALUE!</v>
      </c>
      <c r="AW230" s="370" t="e">
        <f aca="false">VLOOKUP($D230,CurveTbl,$AK$8)</f>
        <v>#VALUE!</v>
      </c>
      <c r="AX230" s="370" t="e">
        <f aca="false">VLOOKUP($D230,CurveTbl,$AH$7)</f>
        <v>#VALUE!</v>
      </c>
      <c r="AY230" s="370" t="e">
        <f aca="false">VLOOKUP($D230,CurveTbl,$AH$8)</f>
        <v>#VALUE!</v>
      </c>
      <c r="AZ230" s="370"/>
      <c r="BA230" s="507"/>
      <c r="BB230" s="505" t="e">
        <f aca="false">$H230-$BV230</f>
        <v>#VALUE!</v>
      </c>
      <c r="BC230" s="505" t="e">
        <f aca="false">I230-BW230</f>
        <v>#VALUE!</v>
      </c>
      <c r="BD230" s="370" t="e">
        <f aca="false">N230-BX230</f>
        <v>#VALUE!</v>
      </c>
      <c r="BE230" s="370" t="e">
        <f aca="false">O230-BY230</f>
        <v>#VALUE!</v>
      </c>
      <c r="BF230" s="370" t="e">
        <f aca="false">xSPRDOPT($BW230,$BV230,$CG230,0,$BY230,$BX230,$BZ230,$AJ230,1,4)*$CB230</f>
        <v>#NAME?</v>
      </c>
      <c r="BG230" s="370" t="e">
        <f aca="false">xSPRDOPT($BW230,$BV230,$CG230,0,$BY230,$BX230,$BZ230,$AJ230,1,3)*$CB230</f>
        <v>#NAME?</v>
      </c>
      <c r="BH230" s="370" t="e">
        <f aca="false">IF(OR(BF230&lt;&gt;0,BG230&lt;&gt;0),xSPRDOPT($BW230,$BV230,$CG230,0,$BY230,$BX230,$BZ230,$AJ230,1,12)*$CB230,0)</f>
        <v>#NAME?</v>
      </c>
      <c r="BI230" s="370" t="e">
        <f aca="false">xSPRDOPT($BW230,$BV230,$CG230,2*LN(1+CA230/2),$BY230,$BX230,$BZ230,$AJ230,1,9)</f>
        <v>#NAME?</v>
      </c>
      <c r="BJ230" s="370" t="e">
        <f aca="false">xSPRDOPT($BW230,$BV230,$CG230,0,$BY230,$BX230,$BZ230,$AJ230,1,6)*$CB230</f>
        <v>#NAME?</v>
      </c>
      <c r="BK230" s="370" t="e">
        <f aca="false">xSPRDOPT($BW230,$BV230,$CG230,0,$BY230,$BX230,$BZ230,$AJ230,1,5)*$CB230</f>
        <v>#NAME?</v>
      </c>
      <c r="BL230" s="370" t="e">
        <f aca="false">xSPRDOPT(BW230,BV230,CG230,0,BY230,BX230,BZ230,AJ230,1,2)*CB230</f>
        <v>#NAME?</v>
      </c>
      <c r="BM230" s="370" t="e">
        <f aca="false">xSPRDOPT(BW230,BV230,CG230,0,BY230,BX230,BZ230,AJ230,1,1)*CB230</f>
        <v>#NAME?</v>
      </c>
      <c r="BN230" s="370" t="e">
        <f aca="false">IF(AH230&lt;&gt;0,xSPRDOPT($BW230,$BV230,$CG230,2*LN(1+CA230/2),$BY230,$BX230,$BZ230,$AJ230,1,8)+(AJ230/365.25)*CH230/AH230,0)</f>
        <v>#VALUE!</v>
      </c>
      <c r="BO230" s="370" t="e">
        <f aca="false">xSPRDOPT($BW230,$BV230,$CG230,0,$BY230,$BX230,$BZ230,$AJ230,1,0)</f>
        <v>#NAME?</v>
      </c>
      <c r="BP230" s="370"/>
      <c r="BQ230" s="370"/>
      <c r="BR230" s="370"/>
      <c r="BS230" s="370"/>
      <c r="BV230" s="508" t="n">
        <v>4.56777493606138</v>
      </c>
      <c r="BW230" s="369" t="n">
        <v>5.1795</v>
      </c>
      <c r="BX230" s="370" t="n">
        <v>0.171239351553983</v>
      </c>
      <c r="BY230" s="370" t="n">
        <v>0.171239351553983</v>
      </c>
      <c r="BZ230" s="370" t="n">
        <v>1</v>
      </c>
      <c r="CA230" s="370" t="n">
        <v>0.0654868577492715</v>
      </c>
      <c r="CB230" s="370" t="n">
        <v>0.325559357141649</v>
      </c>
      <c r="CC230" s="505" t="n">
        <v>0.0255</v>
      </c>
      <c r="CD230" s="505" t="n">
        <v>0.01</v>
      </c>
      <c r="CE230" s="505" t="n">
        <v>0.75</v>
      </c>
      <c r="CF230" s="505" t="n">
        <v>0</v>
      </c>
      <c r="CG230" s="505" t="n">
        <v>0.0364</v>
      </c>
      <c r="CH230" s="505" t="n">
        <v>3.7210457843219</v>
      </c>
      <c r="CI230" s="505" t="n">
        <v>4.4295</v>
      </c>
      <c r="CJ230" s="505"/>
      <c r="CK230" s="505"/>
      <c r="CL230" s="505"/>
      <c r="CM230" s="505"/>
    </row>
    <row r="231" customFormat="false" ht="12.75" hidden="false" customHeight="false" outlineLevel="0" collapsed="false">
      <c r="A231" s="500"/>
      <c r="B231" s="500"/>
      <c r="D231" s="361" t="e">
        <f aca="false">D230+AH230</f>
        <v>#VALUE!</v>
      </c>
      <c r="F231" s="362" t="e">
        <f aca="false">VLOOKUP(AG231,$AL$4:$AS$15,2)</f>
        <v>#VALUE!</v>
      </c>
      <c r="G231" s="362" t="e">
        <f aca="false">F231*$AU231</f>
        <v>#VALUE!</v>
      </c>
      <c r="H231" s="363" t="e">
        <f aca="false">(AL231+AM231+AN231)/(1-(AR231))</f>
        <v>#VALUE!</v>
      </c>
      <c r="I231" s="363" t="e">
        <f aca="false">(AL231+AO231+AP231)</f>
        <v>#VALUE!</v>
      </c>
      <c r="K231" s="363" t="e">
        <f aca="false">MAX(((I231-H231)-AQ231)*AU231*AH231,0)</f>
        <v>#VALUE!</v>
      </c>
      <c r="L231" s="501" t="e">
        <f aca="false">MAX(Q231-K231,0)</f>
        <v>#VALUE!</v>
      </c>
      <c r="N231" s="502" t="e">
        <f aca="false">SQRT(($AX231^2*($AH231/2)+$AW231^2*$AI231)/(($AH231/2)+$AI231))</f>
        <v>#VALUE!</v>
      </c>
      <c r="O231" s="502" t="e">
        <f aca="false">SQRT(($AY231^2*($AH231/2)+$AW231^2*$AI231)/(($AH231/2)+$AI231))</f>
        <v>#VALUE!</v>
      </c>
      <c r="P231" s="371" t="e">
        <f aca="false">(VLOOKUP(AI231,CorrelationTwo,2)*(AW231^2)*AI231+VLOOKUP(D231,CorrelationOne,$AK$9)*AX231*AY231*(AH231/2))/((AI231+(AH231/2))*O231*N231)*AF231</f>
        <v>#VALUE!</v>
      </c>
      <c r="Q231" s="501" t="e">
        <f aca="false">xSPRDOPT(I231,H231,AQ231,0,O231,N231,P231,D231-$G$5,1,0)*AH231*AU231</f>
        <v>#VALUE!</v>
      </c>
      <c r="R231" s="501"/>
      <c r="S231" s="365" t="e">
        <f aca="false">-T231/(1-AR231)</f>
        <v>#VALUE!</v>
      </c>
      <c r="T231" s="365" t="e">
        <f aca="false">xSPRDOPT(I231,H231,AQ231,AT231,O231,N231,P231,D231-$G$5,1,1)*AF231*F231*AH231</f>
        <v>#VALUE!</v>
      </c>
      <c r="U231" s="501"/>
      <c r="V231" s="503" t="e">
        <f aca="false">VLOOKUP($AG231,$AL$4:$AS$15,8)*AH231*AU231</f>
        <v>#VALUE!</v>
      </c>
      <c r="W231" s="503"/>
      <c r="X231" s="504" t="e">
        <f aca="false">((BM231*BC231)+(BL231*BB231))*AH231*F231</f>
        <v>#VALUE!</v>
      </c>
      <c r="Y231" s="504" t="e">
        <f aca="false">($F231*$AH231)*((($BG231/2)*($BC231)^2)+(($BF231/2)*($BB231)^2)+($BH231*$BC231*$BB231))</f>
        <v>#VALUE!</v>
      </c>
      <c r="Z231" s="504" t="e">
        <f aca="false">($BI231*$F231*$AH231*($G$5-$BV$5))/365.25</f>
        <v>#VALUE!</v>
      </c>
      <c r="AA231" s="504" t="e">
        <f aca="false">(($BK231*$BE231)+($BJ231*$BD231))*$F231*$AH231*$AF231</f>
        <v>#VALUE!</v>
      </c>
      <c r="AB231" s="504" t="e">
        <f aca="false">BN231*(AT231-CA231)*F231*AH231</f>
        <v>#VALUE!</v>
      </c>
      <c r="AC231" s="504" t="e">
        <f aca="false">BO231*CB231*F231*AH231*CA231*($G$5-$BV$5)/365.25</f>
        <v>#NAME?</v>
      </c>
      <c r="AF231" s="378" t="e">
        <f aca="false">IF(AND(D231&gt;=$G$7,D231&lt;=$G$8),1,0)</f>
        <v>#VALUE!</v>
      </c>
      <c r="AG231" s="378" t="e">
        <f aca="false">MONTH(D231)</f>
        <v>#VALUE!</v>
      </c>
      <c r="AH231" s="378" t="e">
        <f aca="false">(EOMONTH(D231,0)-EOMONTH(D231-DAY(D231),0))*AF231</f>
        <v>#VALUE!</v>
      </c>
      <c r="AI231" s="378" t="e">
        <f aca="false">AI230+AH230</f>
        <v>#VALUE!</v>
      </c>
      <c r="AJ231" s="378" t="e">
        <f aca="false">D231-$BV$5</f>
        <v>#VALUE!</v>
      </c>
      <c r="AL231" s="369" t="e">
        <f aca="false">VLOOKUP($D231,CurveTbl,$AK$4)</f>
        <v>#VALUE!</v>
      </c>
      <c r="AM231" s="505" t="e">
        <f aca="false">VLOOKUP($D231,CurveTbl,$AH$3)</f>
        <v>#VALUE!</v>
      </c>
      <c r="AN231" s="505" t="e">
        <f aca="false">VLOOKUP($D231,CurveTbl,$AH$4)+VLOOKUP($AG231,$AL$3:$AS$15,6)</f>
        <v>#VALUE!</v>
      </c>
      <c r="AO231" s="505" t="e">
        <f aca="false">VLOOKUP($D231,CurveTbl,$AH$5)</f>
        <v>#VALUE!</v>
      </c>
      <c r="AP231" s="505" t="e">
        <f aca="false">VLOOKUP($D231,CurveTbl,$AH$6)+VLOOKUP($AG231,$AL$3:$AS$15,7)</f>
        <v>#VALUE!</v>
      </c>
      <c r="AQ231" s="369" t="e">
        <f aca="false">VLOOKUP($AG231,$AL$4:$AS$15,3)+VLOOKUP($AG231,$AL$4:$AS$15,5)+($AH$10*VLOOKUP(D231,GRITable,2))</f>
        <v>#VALUE!</v>
      </c>
      <c r="AR231" s="370" t="e">
        <f aca="false">VLOOKUP($AG231,$AL$4:$AS$15,4)</f>
        <v>#VALUE!</v>
      </c>
      <c r="AS231" s="369" t="e">
        <f aca="false">(AL231+AM231+AN231)</f>
        <v>#VALUE!</v>
      </c>
      <c r="AT231" s="370" t="e">
        <f aca="false">VLOOKUP(D231,CurveTbl,$AK$6)</f>
        <v>#VALUE!</v>
      </c>
      <c r="AU231" s="370" t="e">
        <f aca="false">(1+$AT231/2)^(-2*($D231-$G$5)/365.25)*$AF231</f>
        <v>#VALUE!</v>
      </c>
      <c r="AV231" s="506" t="e">
        <f aca="false">ROUND((F231/(1-AR231))-F231,0)*AF231*AH231*AU231</f>
        <v>#VALUE!</v>
      </c>
      <c r="AW231" s="370" t="e">
        <f aca="false">VLOOKUP($D231,CurveTbl,$AK$8)</f>
        <v>#VALUE!</v>
      </c>
      <c r="AX231" s="370" t="e">
        <f aca="false">VLOOKUP($D231,CurveTbl,$AH$7)</f>
        <v>#VALUE!</v>
      </c>
      <c r="AY231" s="370" t="e">
        <f aca="false">VLOOKUP($D231,CurveTbl,$AH$8)</f>
        <v>#VALUE!</v>
      </c>
      <c r="AZ231" s="370"/>
      <c r="BA231" s="507"/>
      <c r="BB231" s="505" t="e">
        <f aca="false">$H231-$BV231</f>
        <v>#VALUE!</v>
      </c>
      <c r="BC231" s="505" t="e">
        <f aca="false">I231-BW231</f>
        <v>#VALUE!</v>
      </c>
      <c r="BD231" s="370" t="e">
        <f aca="false">N231-BX231</f>
        <v>#VALUE!</v>
      </c>
      <c r="BE231" s="370" t="e">
        <f aca="false">O231-BY231</f>
        <v>#VALUE!</v>
      </c>
      <c r="BF231" s="370" t="e">
        <f aca="false">xSPRDOPT($BW231,$BV231,$CG231,0,$BY231,$BX231,$BZ231,$AJ231,1,4)*$CB231</f>
        <v>#NAME?</v>
      </c>
      <c r="BG231" s="370" t="e">
        <f aca="false">xSPRDOPT($BW231,$BV231,$CG231,0,$BY231,$BX231,$BZ231,$AJ231,1,3)*$CB231</f>
        <v>#NAME?</v>
      </c>
      <c r="BH231" s="370" t="e">
        <f aca="false">IF(OR(BF231&lt;&gt;0,BG231&lt;&gt;0),xSPRDOPT($BW231,$BV231,$CG231,0,$BY231,$BX231,$BZ231,$AJ231,1,12)*$CB231,0)</f>
        <v>#NAME?</v>
      </c>
      <c r="BI231" s="370" t="e">
        <f aca="false">xSPRDOPT($BW231,$BV231,$CG231,2*LN(1+CA231/2),$BY231,$BX231,$BZ231,$AJ231,1,9)</f>
        <v>#NAME?</v>
      </c>
      <c r="BJ231" s="370" t="e">
        <f aca="false">xSPRDOPT($BW231,$BV231,$CG231,0,$BY231,$BX231,$BZ231,$AJ231,1,6)*$CB231</f>
        <v>#NAME?</v>
      </c>
      <c r="BK231" s="370" t="e">
        <f aca="false">xSPRDOPT($BW231,$BV231,$CG231,0,$BY231,$BX231,$BZ231,$AJ231,1,5)*$CB231</f>
        <v>#NAME?</v>
      </c>
      <c r="BL231" s="370" t="e">
        <f aca="false">xSPRDOPT(BW231,BV231,CG231,0,BY231,BX231,BZ231,AJ231,1,2)*CB231</f>
        <v>#NAME?</v>
      </c>
      <c r="BM231" s="370" t="e">
        <f aca="false">xSPRDOPT(BW231,BV231,CG231,0,BY231,BX231,BZ231,AJ231,1,1)*CB231</f>
        <v>#NAME?</v>
      </c>
      <c r="BN231" s="370" t="e">
        <f aca="false">IF(AH231&lt;&gt;0,xSPRDOPT($BW231,$BV231,$CG231,2*LN(1+CA231/2),$BY231,$BX231,$BZ231,$AJ231,1,8)+(AJ231/365.25)*CH231/AH231,0)</f>
        <v>#VALUE!</v>
      </c>
      <c r="BO231" s="370" t="e">
        <f aca="false">xSPRDOPT($BW231,$BV231,$CG231,0,$BY231,$BX231,$BZ231,$AJ231,1,0)</f>
        <v>#NAME?</v>
      </c>
      <c r="BP231" s="370"/>
      <c r="BQ231" s="370"/>
      <c r="BR231" s="370"/>
      <c r="BS231" s="370"/>
      <c r="BV231" s="508" t="n">
        <v>4.60358056265985</v>
      </c>
      <c r="BW231" s="369" t="n">
        <v>5.3145</v>
      </c>
      <c r="BX231" s="370" t="n">
        <v>0.171193809779455</v>
      </c>
      <c r="BY231" s="370" t="n">
        <v>0.171193809779455</v>
      </c>
      <c r="BZ231" s="370" t="n">
        <v>1</v>
      </c>
      <c r="CA231" s="370" t="n">
        <v>0.0655274018805585</v>
      </c>
      <c r="CB231" s="370" t="n">
        <v>0.323561348076434</v>
      </c>
      <c r="CC231" s="505" t="n">
        <v>0.0255</v>
      </c>
      <c r="CD231" s="505" t="n">
        <v>0.01</v>
      </c>
      <c r="CE231" s="505" t="n">
        <v>0.85</v>
      </c>
      <c r="CF231" s="505" t="n">
        <v>0</v>
      </c>
      <c r="CG231" s="505" t="n">
        <v>0.0364</v>
      </c>
      <c r="CH231" s="505" t="n">
        <v>3.57891207107344</v>
      </c>
      <c r="CI231" s="505" t="n">
        <v>4.4645</v>
      </c>
      <c r="CJ231" s="505"/>
      <c r="CK231" s="505"/>
      <c r="CL231" s="505"/>
      <c r="CM231" s="505"/>
    </row>
    <row r="232" customFormat="false" ht="12.75" hidden="false" customHeight="false" outlineLevel="0" collapsed="false">
      <c r="A232" s="500"/>
      <c r="B232" s="500"/>
      <c r="D232" s="361" t="e">
        <f aca="false">D231+AH231</f>
        <v>#VALUE!</v>
      </c>
      <c r="F232" s="362" t="e">
        <f aca="false">VLOOKUP(AG232,$AL$4:$AS$15,2)</f>
        <v>#VALUE!</v>
      </c>
      <c r="G232" s="362" t="e">
        <f aca="false">F232*$AU232</f>
        <v>#VALUE!</v>
      </c>
      <c r="H232" s="363" t="e">
        <f aca="false">(AL232+AM232+AN232)/(1-(AR232))</f>
        <v>#VALUE!</v>
      </c>
      <c r="I232" s="363" t="e">
        <f aca="false">(AL232+AO232+AP232)</f>
        <v>#VALUE!</v>
      </c>
      <c r="K232" s="363" t="e">
        <f aca="false">MAX(((I232-H232)-AQ232)*AU232*AH232,0)</f>
        <v>#VALUE!</v>
      </c>
      <c r="L232" s="501" t="e">
        <f aca="false">MAX(Q232-K232,0)</f>
        <v>#VALUE!</v>
      </c>
      <c r="N232" s="502" t="e">
        <f aca="false">SQRT(($AX232^2*($AH232/2)+$AW232^2*$AI232)/(($AH232/2)+$AI232))</f>
        <v>#VALUE!</v>
      </c>
      <c r="O232" s="502" t="e">
        <f aca="false">SQRT(($AY232^2*($AH232/2)+$AW232^2*$AI232)/(($AH232/2)+$AI232))</f>
        <v>#VALUE!</v>
      </c>
      <c r="P232" s="371" t="e">
        <f aca="false">(VLOOKUP(AI232,CorrelationTwo,2)*(AW232^2)*AI232+VLOOKUP(D232,CorrelationOne,$AK$9)*AX232*AY232*(AH232/2))/((AI232+(AH232/2))*O232*N232)*AF232</f>
        <v>#VALUE!</v>
      </c>
      <c r="Q232" s="501" t="e">
        <f aca="false">xSPRDOPT(I232,H232,AQ232,0,O232,N232,P232,D232-$G$5,1,0)*AH232*AU232</f>
        <v>#VALUE!</v>
      </c>
      <c r="R232" s="501"/>
      <c r="S232" s="365" t="e">
        <f aca="false">-T232/(1-AR232)</f>
        <v>#VALUE!</v>
      </c>
      <c r="T232" s="365" t="e">
        <f aca="false">xSPRDOPT(I232,H232,AQ232,AT232,O232,N232,P232,D232-$G$5,1,1)*AF232*F232*AH232</f>
        <v>#VALUE!</v>
      </c>
      <c r="U232" s="501"/>
      <c r="V232" s="503" t="e">
        <f aca="false">VLOOKUP($AG232,$AL$4:$AS$15,8)*AH232*AU232</f>
        <v>#VALUE!</v>
      </c>
      <c r="W232" s="503"/>
      <c r="X232" s="504" t="e">
        <f aca="false">((BM232*BC232)+(BL232*BB232))*AH232*F232</f>
        <v>#VALUE!</v>
      </c>
      <c r="Y232" s="504" t="e">
        <f aca="false">($F232*$AH232)*((($BG232/2)*($BC232)^2)+(($BF232/2)*($BB232)^2)+($BH232*$BC232*$BB232))</f>
        <v>#VALUE!</v>
      </c>
      <c r="Z232" s="504" t="e">
        <f aca="false">($BI232*$F232*$AH232*($G$5-$BV$5))/365.25</f>
        <v>#VALUE!</v>
      </c>
      <c r="AA232" s="504" t="e">
        <f aca="false">(($BK232*$BE232)+($BJ232*$BD232))*$F232*$AH232*$AF232</f>
        <v>#VALUE!</v>
      </c>
      <c r="AB232" s="504" t="e">
        <f aca="false">BN232*(AT232-CA232)*F232*AH232</f>
        <v>#VALUE!</v>
      </c>
      <c r="AC232" s="504" t="e">
        <f aca="false">BO232*CB232*F232*AH232*CA232*($G$5-$BV$5)/365.25</f>
        <v>#NAME?</v>
      </c>
      <c r="AF232" s="378" t="e">
        <f aca="false">IF(AND(D232&gt;=$G$7,D232&lt;=$G$8),1,0)</f>
        <v>#VALUE!</v>
      </c>
      <c r="AG232" s="378" t="e">
        <f aca="false">MONTH(D232)</f>
        <v>#VALUE!</v>
      </c>
      <c r="AH232" s="378" t="e">
        <f aca="false">(EOMONTH(D232,0)-EOMONTH(D232-DAY(D232),0))*AF232</f>
        <v>#VALUE!</v>
      </c>
      <c r="AI232" s="378" t="e">
        <f aca="false">AI231+AH231</f>
        <v>#VALUE!</v>
      </c>
      <c r="AJ232" s="378" t="e">
        <f aca="false">D232-$BV$5</f>
        <v>#VALUE!</v>
      </c>
      <c r="AL232" s="369" t="e">
        <f aca="false">VLOOKUP($D232,CurveTbl,$AK$4)</f>
        <v>#VALUE!</v>
      </c>
      <c r="AM232" s="505" t="e">
        <f aca="false">VLOOKUP($D232,CurveTbl,$AH$3)</f>
        <v>#VALUE!</v>
      </c>
      <c r="AN232" s="505" t="e">
        <f aca="false">VLOOKUP($D232,CurveTbl,$AH$4)+VLOOKUP($AG232,$AL$3:$AS$15,6)</f>
        <v>#VALUE!</v>
      </c>
      <c r="AO232" s="505" t="e">
        <f aca="false">VLOOKUP($D232,CurveTbl,$AH$5)</f>
        <v>#VALUE!</v>
      </c>
      <c r="AP232" s="505" t="e">
        <f aca="false">VLOOKUP($D232,CurveTbl,$AH$6)+VLOOKUP($AG232,$AL$3:$AS$15,7)</f>
        <v>#VALUE!</v>
      </c>
      <c r="AQ232" s="369" t="e">
        <f aca="false">VLOOKUP($AG232,$AL$4:$AS$15,3)+VLOOKUP($AG232,$AL$4:$AS$15,5)+($AH$10*VLOOKUP(D232,GRITable,2))</f>
        <v>#VALUE!</v>
      </c>
      <c r="AR232" s="370" t="e">
        <f aca="false">VLOOKUP($AG232,$AL$4:$AS$15,4)</f>
        <v>#VALUE!</v>
      </c>
      <c r="AS232" s="369" t="e">
        <f aca="false">(AL232+AM232+AN232)</f>
        <v>#VALUE!</v>
      </c>
      <c r="AT232" s="370" t="e">
        <f aca="false">VLOOKUP(D232,CurveTbl,$AK$6)</f>
        <v>#VALUE!</v>
      </c>
      <c r="AU232" s="370" t="e">
        <f aca="false">(1+$AT232/2)^(-2*($D232-$G$5)/365.25)*$AF232</f>
        <v>#VALUE!</v>
      </c>
      <c r="AV232" s="506" t="e">
        <f aca="false">ROUND((F232/(1-AR232))-F232,0)*AF232*AH232*AU232</f>
        <v>#VALUE!</v>
      </c>
      <c r="AW232" s="370" t="e">
        <f aca="false">VLOOKUP($D232,CurveTbl,$AK$8)</f>
        <v>#VALUE!</v>
      </c>
      <c r="AX232" s="370" t="e">
        <f aca="false">VLOOKUP($D232,CurveTbl,$AH$7)</f>
        <v>#VALUE!</v>
      </c>
      <c r="AY232" s="370" t="e">
        <f aca="false">VLOOKUP($D232,CurveTbl,$AH$8)</f>
        <v>#VALUE!</v>
      </c>
      <c r="AZ232" s="370"/>
      <c r="BA232" s="507"/>
      <c r="BB232" s="505" t="e">
        <f aca="false">$H232-$BV232</f>
        <v>#VALUE!</v>
      </c>
      <c r="BC232" s="505" t="e">
        <f aca="false">I232-BW232</f>
        <v>#VALUE!</v>
      </c>
      <c r="BD232" s="370" t="e">
        <f aca="false">N232-BX232</f>
        <v>#VALUE!</v>
      </c>
      <c r="BE232" s="370" t="e">
        <f aca="false">O232-BY232</f>
        <v>#VALUE!</v>
      </c>
      <c r="BF232" s="370" t="e">
        <f aca="false">xSPRDOPT($BW232,$BV232,$CG232,0,$BY232,$BX232,$BZ232,$AJ232,1,4)*$CB232</f>
        <v>#NAME?</v>
      </c>
      <c r="BG232" s="370" t="e">
        <f aca="false">xSPRDOPT($BW232,$BV232,$CG232,0,$BY232,$BX232,$BZ232,$AJ232,1,3)*$CB232</f>
        <v>#NAME?</v>
      </c>
      <c r="BH232" s="370" t="e">
        <f aca="false">IF(OR(BF232&lt;&gt;0,BG232&lt;&gt;0),xSPRDOPT($BW232,$BV232,$CG232,0,$BY232,$BX232,$BZ232,$AJ232,1,12)*$CB232,0)</f>
        <v>#NAME?</v>
      </c>
      <c r="BI232" s="370" t="e">
        <f aca="false">xSPRDOPT($BW232,$BV232,$CG232,2*LN(1+CA232/2),$BY232,$BX232,$BZ232,$AJ232,1,9)</f>
        <v>#NAME?</v>
      </c>
      <c r="BJ232" s="370" t="e">
        <f aca="false">xSPRDOPT($BW232,$BV232,$CG232,0,$BY232,$BX232,$BZ232,$AJ232,1,6)*$CB232</f>
        <v>#NAME?</v>
      </c>
      <c r="BK232" s="370" t="e">
        <f aca="false">xSPRDOPT($BW232,$BV232,$CG232,0,$BY232,$BX232,$BZ232,$AJ232,1,5)*$CB232</f>
        <v>#NAME?</v>
      </c>
      <c r="BL232" s="370" t="e">
        <f aca="false">xSPRDOPT(BW232,BV232,CG232,0,BY232,BX232,BZ232,AJ232,1,2)*CB232</f>
        <v>#NAME?</v>
      </c>
      <c r="BM232" s="370" t="e">
        <f aca="false">xSPRDOPT(BW232,BV232,CG232,0,BY232,BX232,BZ232,AJ232,1,1)*CB232</f>
        <v>#NAME?</v>
      </c>
      <c r="BN232" s="370" t="e">
        <f aca="false">IF(AH232&lt;&gt;0,xSPRDOPT($BW232,$BV232,$CG232,2*LN(1+CA232/2),$BY232,$BX232,$BZ232,$AJ232,1,8)+(AJ232/365.25)*CH232/AH232,0)</f>
        <v>#VALUE!</v>
      </c>
      <c r="BO232" s="370" t="e">
        <f aca="false">xSPRDOPT($BW232,$BV232,$CG232,0,$BY232,$BX232,$BZ232,$AJ232,1,0)</f>
        <v>#NAME?</v>
      </c>
      <c r="BP232" s="370"/>
      <c r="BQ232" s="370"/>
      <c r="BR232" s="370"/>
      <c r="BS232" s="370"/>
      <c r="BV232" s="508" t="n">
        <v>4.64450127877238</v>
      </c>
      <c r="BW232" s="369" t="n">
        <v>5.5545</v>
      </c>
      <c r="BX232" s="370" t="n">
        <v>0.171561993322344</v>
      </c>
      <c r="BY232" s="370" t="n">
        <v>0.171561993322344</v>
      </c>
      <c r="BZ232" s="370" t="n">
        <v>1</v>
      </c>
      <c r="CA232" s="370" t="n">
        <v>0.0655666381371618</v>
      </c>
      <c r="CB232" s="370" t="n">
        <v>0.321637430193154</v>
      </c>
      <c r="CC232" s="505" t="n">
        <v>0.0255</v>
      </c>
      <c r="CD232" s="505" t="n">
        <v>0.01</v>
      </c>
      <c r="CE232" s="505" t="n">
        <v>1.05</v>
      </c>
      <c r="CF232" s="505" t="n">
        <v>0</v>
      </c>
      <c r="CG232" s="505" t="n">
        <v>0.0364</v>
      </c>
      <c r="CH232" s="505" t="n">
        <v>3.67621933587869</v>
      </c>
      <c r="CI232" s="505" t="n">
        <v>4.5045</v>
      </c>
      <c r="CJ232" s="505"/>
      <c r="CK232" s="505"/>
      <c r="CL232" s="505"/>
      <c r="CM232" s="505"/>
    </row>
    <row r="233" customFormat="false" ht="12.75" hidden="false" customHeight="false" outlineLevel="0" collapsed="false">
      <c r="A233" s="500"/>
      <c r="B233" s="500"/>
      <c r="D233" s="361" t="e">
        <f aca="false">D232+AH232</f>
        <v>#VALUE!</v>
      </c>
      <c r="F233" s="362" t="e">
        <f aca="false">VLOOKUP(AG233,$AL$4:$AS$15,2)</f>
        <v>#VALUE!</v>
      </c>
      <c r="G233" s="362" t="e">
        <f aca="false">F233*$AU233</f>
        <v>#VALUE!</v>
      </c>
      <c r="H233" s="363" t="e">
        <f aca="false">(AL233+AM233+AN233)/(1-(AR233))</f>
        <v>#VALUE!</v>
      </c>
      <c r="I233" s="363" t="e">
        <f aca="false">(AL233+AO233+AP233)</f>
        <v>#VALUE!</v>
      </c>
      <c r="K233" s="363" t="e">
        <f aca="false">MAX(((I233-H233)-AQ233)*AU233*AH233,0)</f>
        <v>#VALUE!</v>
      </c>
      <c r="L233" s="501" t="e">
        <f aca="false">MAX(Q233-K233,0)</f>
        <v>#VALUE!</v>
      </c>
      <c r="N233" s="502" t="e">
        <f aca="false">SQRT(($AX233^2*($AH233/2)+$AW233^2*$AI233)/(($AH233/2)+$AI233))</f>
        <v>#VALUE!</v>
      </c>
      <c r="O233" s="502" t="e">
        <f aca="false">SQRT(($AY233^2*($AH233/2)+$AW233^2*$AI233)/(($AH233/2)+$AI233))</f>
        <v>#VALUE!</v>
      </c>
      <c r="P233" s="371" t="e">
        <f aca="false">(VLOOKUP(AI233,CorrelationTwo,2)*(AW233^2)*AI233+VLOOKUP(D233,CorrelationOne,$AK$9)*AX233*AY233*(AH233/2))/((AI233+(AH233/2))*O233*N233)*AF233</f>
        <v>#VALUE!</v>
      </c>
      <c r="Q233" s="501" t="e">
        <f aca="false">xSPRDOPT(I233,H233,AQ233,0,O233,N233,P233,D233-$G$5,1,0)*AH233*AU233</f>
        <v>#VALUE!</v>
      </c>
      <c r="R233" s="501"/>
      <c r="S233" s="365" t="e">
        <f aca="false">-T233/(1-AR233)</f>
        <v>#VALUE!</v>
      </c>
      <c r="T233" s="365" t="e">
        <f aca="false">xSPRDOPT(I233,H233,AQ233,AT233,O233,N233,P233,D233-$G$5,1,1)*AF233*F233*AH233</f>
        <v>#VALUE!</v>
      </c>
      <c r="U233" s="501"/>
      <c r="V233" s="503" t="e">
        <f aca="false">VLOOKUP($AG233,$AL$4:$AS$15,8)*AH233*AU233</f>
        <v>#VALUE!</v>
      </c>
      <c r="W233" s="503"/>
      <c r="X233" s="504" t="e">
        <f aca="false">((BM233*BC233)+(BL233*BB233))*AH233*F233</f>
        <v>#VALUE!</v>
      </c>
      <c r="Y233" s="504" t="e">
        <f aca="false">($F233*$AH233)*((($BG233/2)*($BC233)^2)+(($BF233/2)*($BB233)^2)+($BH233*$BC233*$BB233))</f>
        <v>#VALUE!</v>
      </c>
      <c r="Z233" s="504" t="e">
        <f aca="false">($BI233*$F233*$AH233*($G$5-$BV$5))/365.25</f>
        <v>#VALUE!</v>
      </c>
      <c r="AA233" s="504" t="e">
        <f aca="false">(($BK233*$BE233)+($BJ233*$BD233))*$F233*$AH233*$AF233</f>
        <v>#VALUE!</v>
      </c>
      <c r="AB233" s="504" t="e">
        <f aca="false">BN233*(AT233-CA233)*F233*AH233</f>
        <v>#VALUE!</v>
      </c>
      <c r="AC233" s="504" t="e">
        <f aca="false">BO233*CB233*F233*AH233*CA233*($G$5-$BV$5)/365.25</f>
        <v>#NAME?</v>
      </c>
      <c r="AF233" s="378" t="e">
        <f aca="false">IF(AND(D233&gt;=$G$7,D233&lt;=$G$8),1,0)</f>
        <v>#VALUE!</v>
      </c>
      <c r="AG233" s="378" t="e">
        <f aca="false">MONTH(D233)</f>
        <v>#VALUE!</v>
      </c>
      <c r="AH233" s="378" t="e">
        <f aca="false">(EOMONTH(D233,0)-EOMONTH(D233-DAY(D233),0))*AF233</f>
        <v>#VALUE!</v>
      </c>
      <c r="AI233" s="378" t="e">
        <f aca="false">AI232+AH232</f>
        <v>#VALUE!</v>
      </c>
      <c r="AJ233" s="378" t="e">
        <f aca="false">D233-$BV$5</f>
        <v>#VALUE!</v>
      </c>
      <c r="AL233" s="369" t="e">
        <f aca="false">VLOOKUP($D233,CurveTbl,$AK$4)</f>
        <v>#VALUE!</v>
      </c>
      <c r="AM233" s="505" t="e">
        <f aca="false">VLOOKUP($D233,CurveTbl,$AH$3)</f>
        <v>#VALUE!</v>
      </c>
      <c r="AN233" s="505" t="e">
        <f aca="false">VLOOKUP($D233,CurveTbl,$AH$4)+VLOOKUP($AG233,$AL$3:$AS$15,6)</f>
        <v>#VALUE!</v>
      </c>
      <c r="AO233" s="505" t="e">
        <f aca="false">VLOOKUP($D233,CurveTbl,$AH$5)</f>
        <v>#VALUE!</v>
      </c>
      <c r="AP233" s="505" t="e">
        <f aca="false">VLOOKUP($D233,CurveTbl,$AH$6)+VLOOKUP($AG233,$AL$3:$AS$15,7)</f>
        <v>#VALUE!</v>
      </c>
      <c r="AQ233" s="369" t="e">
        <f aca="false">VLOOKUP($AG233,$AL$4:$AS$15,3)+VLOOKUP($AG233,$AL$4:$AS$15,5)+($AH$10*VLOOKUP(D233,GRITable,2))</f>
        <v>#VALUE!</v>
      </c>
      <c r="AR233" s="370" t="e">
        <f aca="false">VLOOKUP($AG233,$AL$4:$AS$15,4)</f>
        <v>#VALUE!</v>
      </c>
      <c r="AS233" s="369" t="e">
        <f aca="false">(AL233+AM233+AN233)</f>
        <v>#VALUE!</v>
      </c>
      <c r="AT233" s="370" t="e">
        <f aca="false">VLOOKUP(D233,CurveTbl,$AK$6)</f>
        <v>#VALUE!</v>
      </c>
      <c r="AU233" s="370" t="e">
        <f aca="false">(1+$AT233/2)^(-2*($D233-$G$5)/365.25)*$AF233</f>
        <v>#VALUE!</v>
      </c>
      <c r="AV233" s="506" t="e">
        <f aca="false">ROUND((F233/(1-AR233))-F233,0)*AF233*AH233*AU233</f>
        <v>#VALUE!</v>
      </c>
      <c r="AW233" s="370" t="e">
        <f aca="false">VLOOKUP($D233,CurveTbl,$AK$8)</f>
        <v>#VALUE!</v>
      </c>
      <c r="AX233" s="370" t="e">
        <f aca="false">VLOOKUP($D233,CurveTbl,$AH$7)</f>
        <v>#VALUE!</v>
      </c>
      <c r="AY233" s="370" t="e">
        <f aca="false">VLOOKUP($D233,CurveTbl,$AH$8)</f>
        <v>#VALUE!</v>
      </c>
      <c r="AZ233" s="370"/>
      <c r="BA233" s="507"/>
      <c r="BB233" s="505" t="e">
        <f aca="false">$H233-$BV233</f>
        <v>#VALUE!</v>
      </c>
      <c r="BC233" s="505" t="e">
        <f aca="false">I233-BW233</f>
        <v>#VALUE!</v>
      </c>
      <c r="BD233" s="370" t="e">
        <f aca="false">N233-BX233</f>
        <v>#VALUE!</v>
      </c>
      <c r="BE233" s="370" t="e">
        <f aca="false">O233-BY233</f>
        <v>#VALUE!</v>
      </c>
      <c r="BF233" s="370" t="e">
        <f aca="false">xSPRDOPT($BW233,$BV233,$CG233,0,$BY233,$BX233,$BZ233,$AJ233,1,4)*$CB233</f>
        <v>#NAME?</v>
      </c>
      <c r="BG233" s="370" t="e">
        <f aca="false">xSPRDOPT($BW233,$BV233,$CG233,0,$BY233,$BX233,$BZ233,$AJ233,1,3)*$CB233</f>
        <v>#NAME?</v>
      </c>
      <c r="BH233" s="370" t="e">
        <f aca="false">IF(OR(BF233&lt;&gt;0,BG233&lt;&gt;0),xSPRDOPT($BW233,$BV233,$CG233,0,$BY233,$BX233,$BZ233,$AJ233,1,12)*$CB233,0)</f>
        <v>#NAME?</v>
      </c>
      <c r="BI233" s="370" t="e">
        <f aca="false">xSPRDOPT($BW233,$BV233,$CG233,2*LN(1+CA233/2),$BY233,$BX233,$BZ233,$AJ233,1,9)</f>
        <v>#NAME?</v>
      </c>
      <c r="BJ233" s="370" t="e">
        <f aca="false">xSPRDOPT($BW233,$BV233,$CG233,0,$BY233,$BX233,$BZ233,$AJ233,1,6)*$CB233</f>
        <v>#NAME?</v>
      </c>
      <c r="BK233" s="370" t="e">
        <f aca="false">xSPRDOPT($BW233,$BV233,$CG233,0,$BY233,$BX233,$BZ233,$AJ233,1,5)*$CB233</f>
        <v>#NAME?</v>
      </c>
      <c r="BL233" s="370" t="e">
        <f aca="false">xSPRDOPT(BW233,BV233,CG233,0,BY233,BX233,BZ233,AJ233,1,2)*CB233</f>
        <v>#NAME?</v>
      </c>
      <c r="BM233" s="370" t="e">
        <f aca="false">xSPRDOPT(BW233,BV233,CG233,0,BY233,BX233,BZ233,AJ233,1,1)*CB233</f>
        <v>#NAME?</v>
      </c>
      <c r="BN233" s="370" t="e">
        <f aca="false">IF(AH233&lt;&gt;0,xSPRDOPT($BW233,$BV233,$CG233,2*LN(1+CA233/2),$BY233,$BX233,$BZ233,$AJ233,1,8)+(AJ233/365.25)*CH233/AH233,0)</f>
        <v>#VALUE!</v>
      </c>
      <c r="BO233" s="370" t="e">
        <f aca="false">xSPRDOPT($BW233,$BV233,$CG233,0,$BY233,$BX233,$BZ233,$AJ233,1,0)</f>
        <v>#NAME?</v>
      </c>
      <c r="BP233" s="370"/>
      <c r="BQ233" s="370"/>
      <c r="BR233" s="370"/>
      <c r="BS233" s="370"/>
      <c r="BV233" s="508" t="n">
        <v>4.68030690537084</v>
      </c>
      <c r="BW233" s="369" t="n">
        <v>5.5945</v>
      </c>
      <c r="BX233" s="370" t="n">
        <v>0.171921580899794</v>
      </c>
      <c r="BY233" s="370" t="n">
        <v>0.171921580899794</v>
      </c>
      <c r="BZ233" s="370" t="n">
        <v>1</v>
      </c>
      <c r="CA233" s="370" t="n">
        <v>0.0656071822695208</v>
      </c>
      <c r="CB233" s="370" t="n">
        <v>0.319659307480178</v>
      </c>
      <c r="CC233" s="505" t="n">
        <v>0.0205</v>
      </c>
      <c r="CD233" s="505" t="n">
        <v>0.01</v>
      </c>
      <c r="CE233" s="505" t="n">
        <v>1.05</v>
      </c>
      <c r="CF233" s="505" t="n">
        <v>0</v>
      </c>
      <c r="CG233" s="505" t="n">
        <v>0.0364</v>
      </c>
      <c r="CH233" s="505" t="n">
        <v>3.65360998670619</v>
      </c>
      <c r="CI233" s="505" t="n">
        <v>4.5445</v>
      </c>
      <c r="CJ233" s="505"/>
      <c r="CK233" s="505"/>
      <c r="CL233" s="505"/>
      <c r="CM233" s="505"/>
    </row>
    <row r="234" customFormat="false" ht="12.75" hidden="false" customHeight="false" outlineLevel="0" collapsed="false">
      <c r="A234" s="500"/>
      <c r="B234" s="500"/>
      <c r="D234" s="361" t="e">
        <f aca="false">D233+AH233</f>
        <v>#VALUE!</v>
      </c>
      <c r="F234" s="362" t="e">
        <f aca="false">VLOOKUP(AG234,$AL$4:$AS$15,2)</f>
        <v>#VALUE!</v>
      </c>
      <c r="G234" s="362" t="e">
        <f aca="false">F234*$AU234</f>
        <v>#VALUE!</v>
      </c>
      <c r="H234" s="363" t="e">
        <f aca="false">(AL234+AM234+AN234)/(1-(AR234))</f>
        <v>#VALUE!</v>
      </c>
      <c r="I234" s="363" t="e">
        <f aca="false">(AL234+AO234+AP234)</f>
        <v>#VALUE!</v>
      </c>
      <c r="K234" s="363" t="e">
        <f aca="false">MAX(((I234-H234)-AQ234)*AU234*AH234,0)</f>
        <v>#VALUE!</v>
      </c>
      <c r="L234" s="501" t="e">
        <f aca="false">MAX(Q234-K234,0)</f>
        <v>#VALUE!</v>
      </c>
      <c r="N234" s="502" t="e">
        <f aca="false">SQRT(($AX234^2*($AH234/2)+$AW234^2*$AI234)/(($AH234/2)+$AI234))</f>
        <v>#VALUE!</v>
      </c>
      <c r="O234" s="502" t="e">
        <f aca="false">SQRT(($AY234^2*($AH234/2)+$AW234^2*$AI234)/(($AH234/2)+$AI234))</f>
        <v>#VALUE!</v>
      </c>
      <c r="P234" s="371" t="e">
        <f aca="false">(VLOOKUP(AI234,CorrelationTwo,2)*(AW234^2)*AI234+VLOOKUP(D234,CorrelationOne,$AK$9)*AX234*AY234*(AH234/2))/((AI234+(AH234/2))*O234*N234)*AF234</f>
        <v>#VALUE!</v>
      </c>
      <c r="Q234" s="501" t="e">
        <f aca="false">xSPRDOPT(I234,H234,AQ234,0,O234,N234,P234,D234-$G$5,1,0)*AH234*AU234</f>
        <v>#VALUE!</v>
      </c>
      <c r="R234" s="501"/>
      <c r="S234" s="365" t="e">
        <f aca="false">-T234/(1-AR234)</f>
        <v>#VALUE!</v>
      </c>
      <c r="T234" s="365" t="e">
        <f aca="false">xSPRDOPT(I234,H234,AQ234,AT234,O234,N234,P234,D234-$G$5,1,1)*AF234*F234*AH234</f>
        <v>#VALUE!</v>
      </c>
      <c r="U234" s="501"/>
      <c r="V234" s="503" t="e">
        <f aca="false">VLOOKUP($AG234,$AL$4:$AS$15,8)*AH234*AU234</f>
        <v>#VALUE!</v>
      </c>
      <c r="W234" s="503"/>
      <c r="X234" s="504" t="e">
        <f aca="false">((BM234*BC234)+(BL234*BB234))*AH234*F234</f>
        <v>#VALUE!</v>
      </c>
      <c r="Y234" s="504" t="e">
        <f aca="false">($F234*$AH234)*((($BG234/2)*($BC234)^2)+(($BF234/2)*($BB234)^2)+($BH234*$BC234*$BB234))</f>
        <v>#VALUE!</v>
      </c>
      <c r="Z234" s="504" t="e">
        <f aca="false">($BI234*$F234*$AH234*($G$5-$BV$5))/365.25</f>
        <v>#VALUE!</v>
      </c>
      <c r="AA234" s="504" t="e">
        <f aca="false">(($BK234*$BE234)+($BJ234*$BD234))*$F234*$AH234*$AF234</f>
        <v>#VALUE!</v>
      </c>
      <c r="AB234" s="504" t="e">
        <f aca="false">BN234*(AT234-CA234)*F234*AH234</f>
        <v>#VALUE!</v>
      </c>
      <c r="AC234" s="504" t="e">
        <f aca="false">BO234*CB234*F234*AH234*CA234*($G$5-$BV$5)/365.25</f>
        <v>#NAME?</v>
      </c>
      <c r="AF234" s="378" t="e">
        <f aca="false">IF(AND(D234&gt;=$G$7,D234&lt;=$G$8),1,0)</f>
        <v>#VALUE!</v>
      </c>
      <c r="AG234" s="378" t="e">
        <f aca="false">MONTH(D234)</f>
        <v>#VALUE!</v>
      </c>
      <c r="AH234" s="378" t="e">
        <f aca="false">(EOMONTH(D234,0)-EOMONTH(D234-DAY(D234),0))*AF234</f>
        <v>#VALUE!</v>
      </c>
      <c r="AI234" s="378" t="e">
        <f aca="false">AI233+AH233</f>
        <v>#VALUE!</v>
      </c>
      <c r="AJ234" s="378" t="e">
        <f aca="false">D234-$BV$5</f>
        <v>#VALUE!</v>
      </c>
      <c r="AL234" s="369" t="e">
        <f aca="false">VLOOKUP($D234,CurveTbl,$AK$4)</f>
        <v>#VALUE!</v>
      </c>
      <c r="AM234" s="505" t="e">
        <f aca="false">VLOOKUP($D234,CurveTbl,$AH$3)</f>
        <v>#VALUE!</v>
      </c>
      <c r="AN234" s="505" t="e">
        <f aca="false">VLOOKUP($D234,CurveTbl,$AH$4)+VLOOKUP($AG234,$AL$3:$AS$15,6)</f>
        <v>#VALUE!</v>
      </c>
      <c r="AO234" s="505" t="e">
        <f aca="false">VLOOKUP($D234,CurveTbl,$AH$5)</f>
        <v>#VALUE!</v>
      </c>
      <c r="AP234" s="505" t="e">
        <f aca="false">VLOOKUP($D234,CurveTbl,$AH$6)+VLOOKUP($AG234,$AL$3:$AS$15,7)</f>
        <v>#VALUE!</v>
      </c>
      <c r="AQ234" s="369" t="e">
        <f aca="false">VLOOKUP($AG234,$AL$4:$AS$15,3)+VLOOKUP($AG234,$AL$4:$AS$15,5)+($AH$10*VLOOKUP(D234,GRITable,2))</f>
        <v>#VALUE!</v>
      </c>
      <c r="AR234" s="370" t="e">
        <f aca="false">VLOOKUP($AG234,$AL$4:$AS$15,4)</f>
        <v>#VALUE!</v>
      </c>
      <c r="AS234" s="369" t="e">
        <f aca="false">(AL234+AM234+AN234)</f>
        <v>#VALUE!</v>
      </c>
      <c r="AT234" s="370" t="e">
        <f aca="false">VLOOKUP(D234,CurveTbl,$AK$6)</f>
        <v>#VALUE!</v>
      </c>
      <c r="AU234" s="370" t="e">
        <f aca="false">(1+$AT234/2)^(-2*($D234-$G$5)/365.25)*$AF234</f>
        <v>#VALUE!</v>
      </c>
      <c r="AV234" s="506" t="e">
        <f aca="false">ROUND((F234/(1-AR234))-F234,0)*AF234*AH234*AU234</f>
        <v>#VALUE!</v>
      </c>
      <c r="AW234" s="370" t="e">
        <f aca="false">VLOOKUP($D234,CurveTbl,$AK$8)</f>
        <v>#VALUE!</v>
      </c>
      <c r="AX234" s="370" t="e">
        <f aca="false">VLOOKUP($D234,CurveTbl,$AH$7)</f>
        <v>#VALUE!</v>
      </c>
      <c r="AY234" s="370" t="e">
        <f aca="false">VLOOKUP($D234,CurveTbl,$AH$8)</f>
        <v>#VALUE!</v>
      </c>
      <c r="AZ234" s="370"/>
      <c r="BA234" s="507"/>
      <c r="BB234" s="505" t="e">
        <f aca="false">$H234-$BV234</f>
        <v>#VALUE!</v>
      </c>
      <c r="BC234" s="505" t="e">
        <f aca="false">I234-BW234</f>
        <v>#VALUE!</v>
      </c>
      <c r="BD234" s="370" t="e">
        <f aca="false">N234-BX234</f>
        <v>#VALUE!</v>
      </c>
      <c r="BE234" s="370" t="e">
        <f aca="false">O234-BY234</f>
        <v>#VALUE!</v>
      </c>
      <c r="BF234" s="370" t="e">
        <f aca="false">xSPRDOPT($BW234,$BV234,$CG234,0,$BY234,$BX234,$BZ234,$AJ234,1,4)*$CB234</f>
        <v>#NAME?</v>
      </c>
      <c r="BG234" s="370" t="e">
        <f aca="false">xSPRDOPT($BW234,$BV234,$CG234,0,$BY234,$BX234,$BZ234,$AJ234,1,3)*$CB234</f>
        <v>#NAME?</v>
      </c>
      <c r="BH234" s="370" t="e">
        <f aca="false">IF(OR(BF234&lt;&gt;0,BG234&lt;&gt;0),xSPRDOPT($BW234,$BV234,$CG234,0,$BY234,$BX234,$BZ234,$AJ234,1,12)*$CB234,0)</f>
        <v>#NAME?</v>
      </c>
      <c r="BI234" s="370" t="e">
        <f aca="false">xSPRDOPT($BW234,$BV234,$CG234,2*LN(1+CA234/2),$BY234,$BX234,$BZ234,$AJ234,1,9)</f>
        <v>#NAME?</v>
      </c>
      <c r="BJ234" s="370" t="e">
        <f aca="false">xSPRDOPT($BW234,$BV234,$CG234,0,$BY234,$BX234,$BZ234,$AJ234,1,6)*$CB234</f>
        <v>#NAME?</v>
      </c>
      <c r="BK234" s="370" t="e">
        <f aca="false">xSPRDOPT($BW234,$BV234,$CG234,0,$BY234,$BX234,$BZ234,$AJ234,1,5)*$CB234</f>
        <v>#NAME?</v>
      </c>
      <c r="BL234" s="370" t="e">
        <f aca="false">xSPRDOPT(BW234,BV234,CG234,0,BY234,BX234,BZ234,AJ234,1,2)*CB234</f>
        <v>#NAME?</v>
      </c>
      <c r="BM234" s="370" t="e">
        <f aca="false">xSPRDOPT(BW234,BV234,CG234,0,BY234,BX234,BZ234,AJ234,1,1)*CB234</f>
        <v>#NAME?</v>
      </c>
      <c r="BN234" s="370" t="e">
        <f aca="false">IF(AH234&lt;&gt;0,xSPRDOPT($BW234,$BV234,$CG234,2*LN(1+CA234/2),$BY234,$BX234,$BZ234,$AJ234,1,8)+(AJ234/365.25)*CH234/AH234,0)</f>
        <v>#VALUE!</v>
      </c>
      <c r="BO234" s="370" t="e">
        <f aca="false">xSPRDOPT($BW234,$BV234,$CG234,0,$BY234,$BX234,$BZ234,$AJ234,1,0)</f>
        <v>#NAME?</v>
      </c>
      <c r="BP234" s="370"/>
      <c r="BQ234" s="370"/>
      <c r="BR234" s="370"/>
      <c r="BS234" s="370"/>
      <c r="BV234" s="508" t="n">
        <v>4.67519181585678</v>
      </c>
      <c r="BW234" s="369" t="n">
        <v>5.2895</v>
      </c>
      <c r="BX234" s="370" t="n">
        <v>0.171851229343829</v>
      </c>
      <c r="BY234" s="370" t="n">
        <v>0.171851229343829</v>
      </c>
      <c r="BZ234" s="370" t="n">
        <v>1</v>
      </c>
      <c r="CA234" s="370" t="n">
        <v>0.0656477264024247</v>
      </c>
      <c r="CB234" s="370" t="n">
        <v>0.317691237878624</v>
      </c>
      <c r="CC234" s="505" t="n">
        <v>0.0205</v>
      </c>
      <c r="CD234" s="505" t="n">
        <v>0.01</v>
      </c>
      <c r="CE234" s="505" t="n">
        <v>0.75</v>
      </c>
      <c r="CF234" s="505" t="n">
        <v>0</v>
      </c>
      <c r="CG234" s="505" t="n">
        <v>0.0364</v>
      </c>
      <c r="CH234" s="505" t="n">
        <v>3.51398278217546</v>
      </c>
      <c r="CI234" s="505" t="n">
        <v>4.5395</v>
      </c>
      <c r="CJ234" s="505"/>
      <c r="CK234" s="505"/>
      <c r="CL234" s="505"/>
      <c r="CM234" s="505"/>
    </row>
    <row r="235" customFormat="false" ht="12.75" hidden="false" customHeight="false" outlineLevel="0" collapsed="false">
      <c r="A235" s="500"/>
      <c r="B235" s="500"/>
      <c r="D235" s="361" t="e">
        <f aca="false">D234+AH234</f>
        <v>#VALUE!</v>
      </c>
      <c r="F235" s="362" t="e">
        <f aca="false">VLOOKUP(AG235,$AL$4:$AS$15,2)</f>
        <v>#VALUE!</v>
      </c>
      <c r="G235" s="362" t="e">
        <f aca="false">F235*$AU235</f>
        <v>#VALUE!</v>
      </c>
      <c r="H235" s="363" t="e">
        <f aca="false">(AL235+AM235+AN235)/(1-(AR235))</f>
        <v>#VALUE!</v>
      </c>
      <c r="I235" s="363" t="e">
        <f aca="false">(AL235+AO235+AP235)</f>
        <v>#VALUE!</v>
      </c>
      <c r="K235" s="363" t="e">
        <f aca="false">MAX(((I235-H235)-AQ235)*AU235*AH235,0)</f>
        <v>#VALUE!</v>
      </c>
      <c r="L235" s="501" t="e">
        <f aca="false">MAX(Q235-K235,0)</f>
        <v>#VALUE!</v>
      </c>
      <c r="N235" s="502" t="e">
        <f aca="false">SQRT(($AX235^2*($AH235/2)+$AW235^2*$AI235)/(($AH235/2)+$AI235))</f>
        <v>#VALUE!</v>
      </c>
      <c r="O235" s="502" t="e">
        <f aca="false">SQRT(($AY235^2*($AH235/2)+$AW235^2*$AI235)/(($AH235/2)+$AI235))</f>
        <v>#VALUE!</v>
      </c>
      <c r="P235" s="371" t="e">
        <f aca="false">(VLOOKUP(AI235,CorrelationTwo,2)*(AW235^2)*AI235+VLOOKUP(D235,CorrelationOne,$AK$9)*AX235*AY235*(AH235/2))/((AI235+(AH235/2))*O235*N235)*AF235</f>
        <v>#VALUE!</v>
      </c>
      <c r="Q235" s="501" t="e">
        <f aca="false">xSPRDOPT(I235,H235,AQ235,0,O235,N235,P235,D235-$G$5,1,0)*AH235*AU235</f>
        <v>#VALUE!</v>
      </c>
      <c r="R235" s="501"/>
      <c r="S235" s="365" t="e">
        <f aca="false">-T235/(1-AR235)</f>
        <v>#VALUE!</v>
      </c>
      <c r="T235" s="365" t="e">
        <f aca="false">xSPRDOPT(I235,H235,AQ235,AT235,O235,N235,P235,D235-$G$5,1,1)*AF235*F235*AH235</f>
        <v>#VALUE!</v>
      </c>
      <c r="U235" s="501"/>
      <c r="V235" s="503" t="e">
        <f aca="false">VLOOKUP($AG235,$AL$4:$AS$15,8)*AH235*AU235</f>
        <v>#VALUE!</v>
      </c>
      <c r="W235" s="503"/>
      <c r="X235" s="504" t="e">
        <f aca="false">((BM235*BC235)+(BL235*BB235))*AH235*F235</f>
        <v>#VALUE!</v>
      </c>
      <c r="Y235" s="504" t="e">
        <f aca="false">($F235*$AH235)*((($BG235/2)*($BC235)^2)+(($BF235/2)*($BB235)^2)+($BH235*$BC235*$BB235))</f>
        <v>#VALUE!</v>
      </c>
      <c r="Z235" s="504" t="e">
        <f aca="false">($BI235*$F235*$AH235*($G$5-$BV$5))/365.25</f>
        <v>#VALUE!</v>
      </c>
      <c r="AA235" s="504" t="e">
        <f aca="false">(($BK235*$BE235)+($BJ235*$BD235))*$F235*$AH235*$AF235</f>
        <v>#VALUE!</v>
      </c>
      <c r="AB235" s="504" t="e">
        <f aca="false">BN235*(AT235-CA235)*F235*AH235</f>
        <v>#VALUE!</v>
      </c>
      <c r="AC235" s="504" t="e">
        <f aca="false">BO235*CB235*F235*AH235*CA235*($G$5-$BV$5)/365.25</f>
        <v>#NAME?</v>
      </c>
      <c r="AF235" s="378" t="e">
        <f aca="false">IF(AND(D235&gt;=$G$7,D235&lt;=$G$8),1,0)</f>
        <v>#VALUE!</v>
      </c>
      <c r="AG235" s="378" t="e">
        <f aca="false">MONTH(D235)</f>
        <v>#VALUE!</v>
      </c>
      <c r="AH235" s="378" t="e">
        <f aca="false">(EOMONTH(D235,0)-EOMONTH(D235-DAY(D235),0))*AF235</f>
        <v>#VALUE!</v>
      </c>
      <c r="AI235" s="378" t="e">
        <f aca="false">AI234+AH234</f>
        <v>#VALUE!</v>
      </c>
      <c r="AJ235" s="378" t="e">
        <f aca="false">D235-$BV$5</f>
        <v>#VALUE!</v>
      </c>
      <c r="AL235" s="369" t="e">
        <f aca="false">VLOOKUP($D235,CurveTbl,$AK$4)</f>
        <v>#VALUE!</v>
      </c>
      <c r="AM235" s="505" t="e">
        <f aca="false">VLOOKUP($D235,CurveTbl,$AH$3)</f>
        <v>#VALUE!</v>
      </c>
      <c r="AN235" s="505" t="e">
        <f aca="false">VLOOKUP($D235,CurveTbl,$AH$4)+VLOOKUP($AG235,$AL$3:$AS$15,6)</f>
        <v>#VALUE!</v>
      </c>
      <c r="AO235" s="505" t="e">
        <f aca="false">VLOOKUP($D235,CurveTbl,$AH$5)</f>
        <v>#VALUE!</v>
      </c>
      <c r="AP235" s="505" t="e">
        <f aca="false">VLOOKUP($D235,CurveTbl,$AH$6)+VLOOKUP($AG235,$AL$3:$AS$15,7)</f>
        <v>#VALUE!</v>
      </c>
      <c r="AQ235" s="369" t="e">
        <f aca="false">VLOOKUP($AG235,$AL$4:$AS$15,3)+VLOOKUP($AG235,$AL$4:$AS$15,5)+($AH$10*VLOOKUP(D235,GRITable,2))</f>
        <v>#VALUE!</v>
      </c>
      <c r="AR235" s="370" t="e">
        <f aca="false">VLOOKUP($AG235,$AL$4:$AS$15,4)</f>
        <v>#VALUE!</v>
      </c>
      <c r="AS235" s="369" t="e">
        <f aca="false">(AL235+AM235+AN235)</f>
        <v>#VALUE!</v>
      </c>
      <c r="AT235" s="370" t="e">
        <f aca="false">VLOOKUP(D235,CurveTbl,$AK$6)</f>
        <v>#VALUE!</v>
      </c>
      <c r="AU235" s="370" t="e">
        <f aca="false">(1+$AT235/2)^(-2*($D235-$G$5)/365.25)*$AF235</f>
        <v>#VALUE!</v>
      </c>
      <c r="AV235" s="506" t="e">
        <f aca="false">ROUND((F235/(1-AR235))-F235,0)*AF235*AH235*AU235</f>
        <v>#VALUE!</v>
      </c>
      <c r="AW235" s="370" t="e">
        <f aca="false">VLOOKUP($D235,CurveTbl,$AK$8)</f>
        <v>#VALUE!</v>
      </c>
      <c r="AX235" s="370" t="e">
        <f aca="false">VLOOKUP($D235,CurveTbl,$AH$7)</f>
        <v>#VALUE!</v>
      </c>
      <c r="AY235" s="370" t="e">
        <f aca="false">VLOOKUP($D235,CurveTbl,$AH$8)</f>
        <v>#VALUE!</v>
      </c>
      <c r="AZ235" s="370"/>
      <c r="BA235" s="507"/>
      <c r="BB235" s="505" t="e">
        <f aca="false">$H235-$BV235</f>
        <v>#VALUE!</v>
      </c>
      <c r="BC235" s="505" t="e">
        <f aca="false">I235-BW235</f>
        <v>#VALUE!</v>
      </c>
      <c r="BD235" s="370" t="e">
        <f aca="false">N235-BX235</f>
        <v>#VALUE!</v>
      </c>
      <c r="BE235" s="370" t="e">
        <f aca="false">O235-BY235</f>
        <v>#VALUE!</v>
      </c>
      <c r="BF235" s="370" t="e">
        <f aca="false">xSPRDOPT($BW235,$BV235,$CG235,0,$BY235,$BX235,$BZ235,$AJ235,1,4)*$CB235</f>
        <v>#NAME?</v>
      </c>
      <c r="BG235" s="370" t="e">
        <f aca="false">xSPRDOPT($BW235,$BV235,$CG235,0,$BY235,$BX235,$BZ235,$AJ235,1,3)*$CB235</f>
        <v>#NAME?</v>
      </c>
      <c r="BH235" s="370" t="e">
        <f aca="false">IF(OR(BF235&lt;&gt;0,BG235&lt;&gt;0),xSPRDOPT($BW235,$BV235,$CG235,0,$BY235,$BX235,$BZ235,$AJ235,1,12)*$CB235,0)</f>
        <v>#NAME?</v>
      </c>
      <c r="BI235" s="370" t="e">
        <f aca="false">xSPRDOPT($BW235,$BV235,$CG235,2*LN(1+CA235/2),$BY235,$BX235,$BZ235,$AJ235,1,9)</f>
        <v>#NAME?</v>
      </c>
      <c r="BJ235" s="370" t="e">
        <f aca="false">xSPRDOPT($BW235,$BV235,$CG235,0,$BY235,$BX235,$BZ235,$AJ235,1,6)*$CB235</f>
        <v>#NAME?</v>
      </c>
      <c r="BK235" s="370" t="e">
        <f aca="false">xSPRDOPT($BW235,$BV235,$CG235,0,$BY235,$BX235,$BZ235,$AJ235,1,5)*$CB235</f>
        <v>#NAME?</v>
      </c>
      <c r="BL235" s="370" t="e">
        <f aca="false">xSPRDOPT(BW235,BV235,CG235,0,BY235,BX235,BZ235,AJ235,1,2)*CB235</f>
        <v>#NAME?</v>
      </c>
      <c r="BM235" s="370" t="e">
        <f aca="false">xSPRDOPT(BW235,BV235,CG235,0,BY235,BX235,BZ235,AJ235,1,1)*CB235</f>
        <v>#NAME?</v>
      </c>
      <c r="BN235" s="370" t="e">
        <f aca="false">IF(AH235&lt;&gt;0,xSPRDOPT($BW235,$BV235,$CG235,2*LN(1+CA235/2),$BY235,$BX235,$BZ235,$AJ235,1,8)+(AJ235/365.25)*CH235/AH235,0)</f>
        <v>#VALUE!</v>
      </c>
      <c r="BO235" s="370" t="e">
        <f aca="false">xSPRDOPT($BW235,$BV235,$CG235,0,$BY235,$BX235,$BZ235,$AJ235,1,0)</f>
        <v>#NAME?</v>
      </c>
      <c r="BP235" s="370"/>
      <c r="BQ235" s="370"/>
      <c r="BR235" s="370"/>
      <c r="BS235" s="370"/>
      <c r="BV235" s="508" t="n">
        <v>4.71025641025641</v>
      </c>
      <c r="BW235" s="369" t="n">
        <v>5.0145</v>
      </c>
      <c r="BX235" s="370" t="n">
        <v>0.172301096540121</v>
      </c>
      <c r="BY235" s="370" t="n">
        <v>0.172301096540121</v>
      </c>
      <c r="BZ235" s="370" t="n">
        <v>1</v>
      </c>
      <c r="CA235" s="370" t="n">
        <v>0.0656869626605916</v>
      </c>
      <c r="CB235" s="370" t="n">
        <v>0.315796192632586</v>
      </c>
      <c r="CC235" s="505" t="n">
        <v>0.018</v>
      </c>
      <c r="CD235" s="505" t="n">
        <v>0.01</v>
      </c>
      <c r="CE235" s="505" t="n">
        <v>0.45</v>
      </c>
      <c r="CF235" s="505" t="n">
        <v>0</v>
      </c>
      <c r="CG235" s="505" t="n">
        <v>0.0364</v>
      </c>
      <c r="CH235" s="505" t="n">
        <v>3.60945574293267</v>
      </c>
      <c r="CI235" s="505" t="n">
        <v>4.5645</v>
      </c>
      <c r="CJ235" s="505"/>
      <c r="CK235" s="505"/>
      <c r="CL235" s="505"/>
      <c r="CM235" s="505"/>
    </row>
    <row r="236" customFormat="false" ht="12.75" hidden="false" customHeight="false" outlineLevel="0" collapsed="false">
      <c r="A236" s="500"/>
      <c r="B236" s="500"/>
      <c r="D236" s="361" t="e">
        <f aca="false">D235+AH235</f>
        <v>#VALUE!</v>
      </c>
      <c r="F236" s="362" t="e">
        <f aca="false">VLOOKUP(AG236,$AL$4:$AS$15,2)</f>
        <v>#VALUE!</v>
      </c>
      <c r="G236" s="362" t="e">
        <f aca="false">F236*$AU236</f>
        <v>#VALUE!</v>
      </c>
      <c r="H236" s="363" t="e">
        <f aca="false">(AL236+AM236+AN236)/(1-(AR236))</f>
        <v>#VALUE!</v>
      </c>
      <c r="I236" s="363" t="e">
        <f aca="false">(AL236+AO236+AP236)</f>
        <v>#VALUE!</v>
      </c>
      <c r="K236" s="363" t="e">
        <f aca="false">MAX(((I236-H236)-AQ236)*AU236*AH236,0)</f>
        <v>#VALUE!</v>
      </c>
      <c r="L236" s="501" t="e">
        <f aca="false">MAX(Q236-K236,0)</f>
        <v>#VALUE!</v>
      </c>
      <c r="N236" s="502" t="e">
        <f aca="false">SQRT(($AX236^2*($AH236/2)+$AW236^2*$AI236)/(($AH236/2)+$AI236))</f>
        <v>#VALUE!</v>
      </c>
      <c r="O236" s="502" t="e">
        <f aca="false">SQRT(($AY236^2*($AH236/2)+$AW236^2*$AI236)/(($AH236/2)+$AI236))</f>
        <v>#VALUE!</v>
      </c>
      <c r="P236" s="371" t="e">
        <f aca="false">(VLOOKUP(AI236,CorrelationTwo,2)*(AW236^2)*AI236+VLOOKUP(D236,CorrelationOne,$AK$9)*AX236*AY236*(AH236/2))/((AI236+(AH236/2))*O236*N236)*AF236</f>
        <v>#VALUE!</v>
      </c>
      <c r="Q236" s="501" t="e">
        <f aca="false">xSPRDOPT(I236,H236,AQ236,0,O236,N236,P236,D236-$G$5,1,0)*AH236*AU236</f>
        <v>#VALUE!</v>
      </c>
      <c r="R236" s="501"/>
      <c r="S236" s="365" t="e">
        <f aca="false">-T236/(1-AR236)</f>
        <v>#VALUE!</v>
      </c>
      <c r="T236" s="365" t="e">
        <f aca="false">xSPRDOPT(I236,H236,AQ236,AT236,O236,N236,P236,D236-$G$5,1,1)*AF236*F236*AH236</f>
        <v>#VALUE!</v>
      </c>
      <c r="U236" s="501"/>
      <c r="V236" s="503" t="e">
        <f aca="false">VLOOKUP($AG236,$AL$4:$AS$15,8)*AH236*AU236</f>
        <v>#VALUE!</v>
      </c>
      <c r="W236" s="503"/>
      <c r="X236" s="504" t="e">
        <f aca="false">((BM236*BC236)+(BL236*BB236))*AH236*F236</f>
        <v>#VALUE!</v>
      </c>
      <c r="Y236" s="504" t="e">
        <f aca="false">($F236*$AH236)*((($BG236/2)*($BC236)^2)+(($BF236/2)*($BB236)^2)+($BH236*$BC236*$BB236))</f>
        <v>#VALUE!</v>
      </c>
      <c r="Z236" s="504" t="e">
        <f aca="false">($BI236*$F236*$AH236*($G$5-$BV$5))/365.25</f>
        <v>#VALUE!</v>
      </c>
      <c r="AA236" s="504" t="e">
        <f aca="false">(($BK236*$BE236)+($BJ236*$BD236))*$F236*$AH236*$AF236</f>
        <v>#VALUE!</v>
      </c>
      <c r="AB236" s="504" t="e">
        <f aca="false">BN236*(AT236-CA236)*F236*AH236</f>
        <v>#VALUE!</v>
      </c>
      <c r="AC236" s="504" t="e">
        <f aca="false">BO236*CB236*F236*AH236*CA236*($G$5-$BV$5)/365.25</f>
        <v>#NAME?</v>
      </c>
      <c r="AF236" s="378" t="e">
        <f aca="false">IF(AND(D236&gt;=$G$7,D236&lt;=$G$8),1,0)</f>
        <v>#VALUE!</v>
      </c>
      <c r="AG236" s="378" t="e">
        <f aca="false">MONTH(D236)</f>
        <v>#VALUE!</v>
      </c>
      <c r="AH236" s="378" t="e">
        <f aca="false">(EOMONTH(D236,0)-EOMONTH(D236-DAY(D236),0))*AF236</f>
        <v>#VALUE!</v>
      </c>
      <c r="AI236" s="378" t="e">
        <f aca="false">AI235+AH235</f>
        <v>#VALUE!</v>
      </c>
      <c r="AJ236" s="378" t="e">
        <f aca="false">D236-$BV$5</f>
        <v>#VALUE!</v>
      </c>
      <c r="AL236" s="369" t="e">
        <f aca="false">VLOOKUP($D236,CurveTbl,$AK$4)</f>
        <v>#VALUE!</v>
      </c>
      <c r="AM236" s="505" t="e">
        <f aca="false">VLOOKUP($D236,CurveTbl,$AH$3)</f>
        <v>#VALUE!</v>
      </c>
      <c r="AN236" s="505" t="e">
        <f aca="false">VLOOKUP($D236,CurveTbl,$AH$4)+VLOOKUP($AG236,$AL$3:$AS$15,6)</f>
        <v>#VALUE!</v>
      </c>
      <c r="AO236" s="505" t="e">
        <f aca="false">VLOOKUP($D236,CurveTbl,$AH$5)</f>
        <v>#VALUE!</v>
      </c>
      <c r="AP236" s="505" t="e">
        <f aca="false">VLOOKUP($D236,CurveTbl,$AH$6)+VLOOKUP($AG236,$AL$3:$AS$15,7)</f>
        <v>#VALUE!</v>
      </c>
      <c r="AQ236" s="369" t="e">
        <f aca="false">VLOOKUP($AG236,$AL$4:$AS$15,3)+VLOOKUP($AG236,$AL$4:$AS$15,5)+($AH$10*VLOOKUP(D236,GRITable,2))</f>
        <v>#VALUE!</v>
      </c>
      <c r="AR236" s="370" t="e">
        <f aca="false">VLOOKUP($AG236,$AL$4:$AS$15,4)</f>
        <v>#VALUE!</v>
      </c>
      <c r="AS236" s="369" t="e">
        <f aca="false">(AL236+AM236+AN236)</f>
        <v>#VALUE!</v>
      </c>
      <c r="AT236" s="370" t="e">
        <f aca="false">VLOOKUP(D236,CurveTbl,$AK$6)</f>
        <v>#VALUE!</v>
      </c>
      <c r="AU236" s="370" t="e">
        <f aca="false">(1+$AT236/2)^(-2*($D236-$G$5)/365.25)*$AF236</f>
        <v>#VALUE!</v>
      </c>
      <c r="AV236" s="506" t="e">
        <f aca="false">ROUND((F236/(1-AR236))-F236,0)*AF236*AH236*AU236</f>
        <v>#VALUE!</v>
      </c>
      <c r="AW236" s="370" t="e">
        <f aca="false">VLOOKUP($D236,CurveTbl,$AK$8)</f>
        <v>#VALUE!</v>
      </c>
      <c r="AX236" s="370" t="e">
        <f aca="false">VLOOKUP($D236,CurveTbl,$AH$7)</f>
        <v>#VALUE!</v>
      </c>
      <c r="AY236" s="370" t="e">
        <f aca="false">VLOOKUP($D236,CurveTbl,$AH$8)</f>
        <v>#VALUE!</v>
      </c>
      <c r="AZ236" s="370"/>
      <c r="BA236" s="507"/>
      <c r="BB236" s="505" t="e">
        <f aca="false">$H236-$BV236</f>
        <v>#VALUE!</v>
      </c>
      <c r="BC236" s="505" t="e">
        <f aca="false">I236-BW236</f>
        <v>#VALUE!</v>
      </c>
      <c r="BD236" s="370" t="e">
        <f aca="false">N236-BX236</f>
        <v>#VALUE!</v>
      </c>
      <c r="BE236" s="370" t="e">
        <f aca="false">O236-BY236</f>
        <v>#VALUE!</v>
      </c>
      <c r="BF236" s="370" t="e">
        <f aca="false">xSPRDOPT($BW236,$BV236,$CG236,0,$BY236,$BX236,$BZ236,$AJ236,1,4)*$CB236</f>
        <v>#NAME?</v>
      </c>
      <c r="BG236" s="370" t="e">
        <f aca="false">xSPRDOPT($BW236,$BV236,$CG236,0,$BY236,$BX236,$BZ236,$AJ236,1,3)*$CB236</f>
        <v>#NAME?</v>
      </c>
      <c r="BH236" s="370" t="e">
        <f aca="false">IF(OR(BF236&lt;&gt;0,BG236&lt;&gt;0),xSPRDOPT($BW236,$BV236,$CG236,0,$BY236,$BX236,$BZ236,$AJ236,1,12)*$CB236,0)</f>
        <v>#NAME?</v>
      </c>
      <c r="BI236" s="370" t="e">
        <f aca="false">xSPRDOPT($BW236,$BV236,$CG236,2*LN(1+CA236/2),$BY236,$BX236,$BZ236,$AJ236,1,9)</f>
        <v>#NAME?</v>
      </c>
      <c r="BJ236" s="370" t="e">
        <f aca="false">xSPRDOPT($BW236,$BV236,$CG236,0,$BY236,$BX236,$BZ236,$AJ236,1,6)*$CB236</f>
        <v>#NAME?</v>
      </c>
      <c r="BK236" s="370" t="e">
        <f aca="false">xSPRDOPT($BW236,$BV236,$CG236,0,$BY236,$BX236,$BZ236,$AJ236,1,5)*$CB236</f>
        <v>#NAME?</v>
      </c>
      <c r="BL236" s="370" t="e">
        <f aca="false">xSPRDOPT(BW236,BV236,CG236,0,BY236,BX236,BZ236,AJ236,1,2)*CB236</f>
        <v>#NAME?</v>
      </c>
      <c r="BM236" s="370" t="e">
        <f aca="false">xSPRDOPT(BW236,BV236,CG236,0,BY236,BX236,BZ236,AJ236,1,1)*CB236</f>
        <v>#NAME?</v>
      </c>
      <c r="BN236" s="370" t="e">
        <f aca="false">IF(AH236&lt;&gt;0,xSPRDOPT($BW236,$BV236,$CG236,2*LN(1+CA236/2),$BY236,$BX236,$BZ236,$AJ236,1,8)+(AJ236/365.25)*CH236/AH236,0)</f>
        <v>#VALUE!</v>
      </c>
      <c r="BO236" s="370" t="e">
        <f aca="false">xSPRDOPT($BW236,$BV236,$CG236,0,$BY236,$BX236,$BZ236,$AJ236,1,0)</f>
        <v>#NAME?</v>
      </c>
      <c r="BP236" s="370"/>
      <c r="BQ236" s="370"/>
      <c r="BR236" s="370"/>
      <c r="BS236" s="370"/>
      <c r="BV236" s="508" t="n">
        <v>4.85217391304348</v>
      </c>
      <c r="BW236" s="369" t="n">
        <v>5.1665</v>
      </c>
      <c r="BX236" s="370" t="n">
        <v>0.174069873345733</v>
      </c>
      <c r="BY236" s="370" t="n">
        <v>0.174069873345733</v>
      </c>
      <c r="BZ236" s="370" t="n">
        <v>1</v>
      </c>
      <c r="CA236" s="370" t="n">
        <v>0.0657275067945675</v>
      </c>
      <c r="CB236" s="370" t="n">
        <v>0.31384780062758</v>
      </c>
      <c r="CC236" s="505" t="n">
        <v>0.019</v>
      </c>
      <c r="CD236" s="505" t="n">
        <v>0.0075</v>
      </c>
      <c r="CE236" s="505" t="n">
        <v>0.45</v>
      </c>
      <c r="CF236" s="505" t="n">
        <v>0</v>
      </c>
      <c r="CG236" s="505" t="n">
        <v>0.0364</v>
      </c>
      <c r="CH236" s="505" t="n">
        <v>3.47147052274166</v>
      </c>
      <c r="CI236" s="505" t="n">
        <v>4.7165</v>
      </c>
      <c r="CJ236" s="505"/>
      <c r="CK236" s="505"/>
      <c r="CL236" s="505"/>
      <c r="CM236" s="505"/>
    </row>
    <row r="237" customFormat="false" ht="12.75" hidden="false" customHeight="false" outlineLevel="0" collapsed="false">
      <c r="A237" s="500"/>
      <c r="B237" s="500"/>
      <c r="D237" s="361" t="e">
        <f aca="false">D236+AH236</f>
        <v>#VALUE!</v>
      </c>
      <c r="F237" s="362" t="e">
        <f aca="false">VLOOKUP(AG237,$AL$4:$AS$15,2)</f>
        <v>#VALUE!</v>
      </c>
      <c r="G237" s="362" t="e">
        <f aca="false">F237*$AU237</f>
        <v>#VALUE!</v>
      </c>
      <c r="H237" s="363" t="e">
        <f aca="false">(AL237+AM237+AN237)/(1-(AR237))</f>
        <v>#VALUE!</v>
      </c>
      <c r="I237" s="363" t="e">
        <f aca="false">(AL237+AO237+AP237)</f>
        <v>#VALUE!</v>
      </c>
      <c r="K237" s="363" t="e">
        <f aca="false">MAX(((I237-H237)-AQ237)*AU237*AH237,0)</f>
        <v>#VALUE!</v>
      </c>
      <c r="L237" s="501" t="e">
        <f aca="false">MAX(Q237-K237,0)</f>
        <v>#VALUE!</v>
      </c>
      <c r="N237" s="502" t="e">
        <f aca="false">SQRT(($AX237^2*($AH237/2)+$AW237^2*$AI237)/(($AH237/2)+$AI237))</f>
        <v>#VALUE!</v>
      </c>
      <c r="O237" s="502" t="e">
        <f aca="false">SQRT(($AY237^2*($AH237/2)+$AW237^2*$AI237)/(($AH237/2)+$AI237))</f>
        <v>#VALUE!</v>
      </c>
      <c r="P237" s="371" t="e">
        <f aca="false">(VLOOKUP(AI237,CorrelationTwo,2)*(AW237^2)*AI237+VLOOKUP(D237,CorrelationOne,$AK$9)*AX237*AY237*(AH237/2))/((AI237+(AH237/2))*O237*N237)*AF237</f>
        <v>#VALUE!</v>
      </c>
      <c r="Q237" s="501" t="e">
        <f aca="false">xSPRDOPT(I237,H237,AQ237,0,O237,N237,P237,D237-$G$5,1,0)*AH237*AU237</f>
        <v>#VALUE!</v>
      </c>
      <c r="R237" s="501"/>
      <c r="S237" s="365" t="e">
        <f aca="false">-T237/(1-AR237)</f>
        <v>#VALUE!</v>
      </c>
      <c r="T237" s="365" t="e">
        <f aca="false">xSPRDOPT(I237,H237,AQ237,AT237,O237,N237,P237,D237-$G$5,1,1)*AF237*F237*AH237</f>
        <v>#VALUE!</v>
      </c>
      <c r="U237" s="501"/>
      <c r="V237" s="503" t="e">
        <f aca="false">VLOOKUP($AG237,$AL$4:$AS$15,8)*AH237*AU237</f>
        <v>#VALUE!</v>
      </c>
      <c r="W237" s="503"/>
      <c r="X237" s="504" t="e">
        <f aca="false">((BM237*BC237)+(BL237*BB237))*AH237*F237</f>
        <v>#VALUE!</v>
      </c>
      <c r="Y237" s="504" t="e">
        <f aca="false">($F237*$AH237)*((($BG237/2)*($BC237)^2)+(($BF237/2)*($BB237)^2)+($BH237*$BC237*$BB237))</f>
        <v>#VALUE!</v>
      </c>
      <c r="Z237" s="504" t="e">
        <f aca="false">($BI237*$F237*$AH237*($G$5-$BV$5))/365.25</f>
        <v>#VALUE!</v>
      </c>
      <c r="AA237" s="504" t="e">
        <f aca="false">(($BK237*$BE237)+($BJ237*$BD237))*$F237*$AH237*$AF237</f>
        <v>#VALUE!</v>
      </c>
      <c r="AB237" s="504" t="e">
        <f aca="false">BN237*(AT237-CA237)*F237*AH237</f>
        <v>#VALUE!</v>
      </c>
      <c r="AC237" s="504" t="e">
        <f aca="false">BO237*CB237*F237*AH237*CA237*($G$5-$BV$5)/365.25</f>
        <v>#NAME?</v>
      </c>
      <c r="AF237" s="378" t="e">
        <f aca="false">IF(AND(D237&gt;=$G$7,D237&lt;=$G$8),1,0)</f>
        <v>#VALUE!</v>
      </c>
      <c r="AG237" s="378" t="e">
        <f aca="false">MONTH(D237)</f>
        <v>#VALUE!</v>
      </c>
      <c r="AH237" s="378" t="e">
        <f aca="false">(EOMONTH(D237,0)-EOMONTH(D237-DAY(D237),0))*AF237</f>
        <v>#VALUE!</v>
      </c>
      <c r="AI237" s="378" t="e">
        <f aca="false">AI236+AH236</f>
        <v>#VALUE!</v>
      </c>
      <c r="AJ237" s="378" t="e">
        <f aca="false">D237-$BV$5</f>
        <v>#VALUE!</v>
      </c>
      <c r="AL237" s="369" t="e">
        <f aca="false">VLOOKUP($D237,CurveTbl,$AK$4)</f>
        <v>#VALUE!</v>
      </c>
      <c r="AM237" s="505" t="e">
        <f aca="false">VLOOKUP($D237,CurveTbl,$AH$3)</f>
        <v>#VALUE!</v>
      </c>
      <c r="AN237" s="505" t="e">
        <f aca="false">VLOOKUP($D237,CurveTbl,$AH$4)+VLOOKUP($AG237,$AL$3:$AS$15,6)</f>
        <v>#VALUE!</v>
      </c>
      <c r="AO237" s="505" t="e">
        <f aca="false">VLOOKUP($D237,CurveTbl,$AH$5)</f>
        <v>#VALUE!</v>
      </c>
      <c r="AP237" s="505" t="e">
        <f aca="false">VLOOKUP($D237,CurveTbl,$AH$6)+VLOOKUP($AG237,$AL$3:$AS$15,7)</f>
        <v>#VALUE!</v>
      </c>
      <c r="AQ237" s="369" t="e">
        <f aca="false">VLOOKUP($AG237,$AL$4:$AS$15,3)+VLOOKUP($AG237,$AL$4:$AS$15,5)+($AH$10*VLOOKUP(D237,GRITable,2))</f>
        <v>#VALUE!</v>
      </c>
      <c r="AR237" s="370" t="e">
        <f aca="false">VLOOKUP($AG237,$AL$4:$AS$15,4)</f>
        <v>#VALUE!</v>
      </c>
      <c r="AS237" s="369" t="e">
        <f aca="false">(AL237+AM237+AN237)</f>
        <v>#VALUE!</v>
      </c>
      <c r="AT237" s="370" t="e">
        <f aca="false">VLOOKUP(D237,CurveTbl,$AK$6)</f>
        <v>#VALUE!</v>
      </c>
      <c r="AU237" s="370" t="e">
        <f aca="false">(1+$AT237/2)^(-2*($D237-$G$5)/365.25)*$AF237</f>
        <v>#VALUE!</v>
      </c>
      <c r="AV237" s="506" t="e">
        <f aca="false">ROUND((F237/(1-AR237))-F237,0)*AF237*AH237*AU237</f>
        <v>#VALUE!</v>
      </c>
      <c r="AW237" s="370" t="e">
        <f aca="false">VLOOKUP($D237,CurveTbl,$AK$8)</f>
        <v>#VALUE!</v>
      </c>
      <c r="AX237" s="370" t="e">
        <f aca="false">VLOOKUP($D237,CurveTbl,$AH$7)</f>
        <v>#VALUE!</v>
      </c>
      <c r="AY237" s="370" t="e">
        <f aca="false">VLOOKUP($D237,CurveTbl,$AH$8)</f>
        <v>#VALUE!</v>
      </c>
      <c r="AZ237" s="370"/>
      <c r="BA237" s="507"/>
      <c r="BB237" s="505" t="e">
        <f aca="false">$H237-$BV237</f>
        <v>#VALUE!</v>
      </c>
      <c r="BC237" s="505" t="e">
        <f aca="false">I237-BW237</f>
        <v>#VALUE!</v>
      </c>
      <c r="BD237" s="370" t="e">
        <f aca="false">N237-BX237</f>
        <v>#VALUE!</v>
      </c>
      <c r="BE237" s="370" t="e">
        <f aca="false">O237-BY237</f>
        <v>#VALUE!</v>
      </c>
      <c r="BF237" s="370" t="e">
        <f aca="false">xSPRDOPT($BW237,$BV237,$CG237,0,$BY237,$BX237,$BZ237,$AJ237,1,4)*$CB237</f>
        <v>#NAME?</v>
      </c>
      <c r="BG237" s="370" t="e">
        <f aca="false">xSPRDOPT($BW237,$BV237,$CG237,0,$BY237,$BX237,$BZ237,$AJ237,1,3)*$CB237</f>
        <v>#NAME?</v>
      </c>
      <c r="BH237" s="370" t="e">
        <f aca="false">IF(OR(BF237&lt;&gt;0,BG237&lt;&gt;0),xSPRDOPT($BW237,$BV237,$CG237,0,$BY237,$BX237,$BZ237,$AJ237,1,12)*$CB237,0)</f>
        <v>#NAME?</v>
      </c>
      <c r="BI237" s="370" t="e">
        <f aca="false">xSPRDOPT($BW237,$BV237,$CG237,2*LN(1+CA237/2),$BY237,$BX237,$BZ237,$AJ237,1,9)</f>
        <v>#NAME?</v>
      </c>
      <c r="BJ237" s="370" t="e">
        <f aca="false">xSPRDOPT($BW237,$BV237,$CG237,0,$BY237,$BX237,$BZ237,$AJ237,1,6)*$CB237</f>
        <v>#NAME?</v>
      </c>
      <c r="BK237" s="370" t="e">
        <f aca="false">xSPRDOPT($BW237,$BV237,$CG237,0,$BY237,$BX237,$BZ237,$AJ237,1,5)*$CB237</f>
        <v>#NAME?</v>
      </c>
      <c r="BL237" s="370" t="e">
        <f aca="false">xSPRDOPT(BW237,BV237,CG237,0,BY237,BX237,BZ237,AJ237,1,2)*CB237</f>
        <v>#NAME?</v>
      </c>
      <c r="BM237" s="370" t="e">
        <f aca="false">xSPRDOPT(BW237,BV237,CG237,0,BY237,BX237,BZ237,AJ237,1,1)*CB237</f>
        <v>#NAME?</v>
      </c>
      <c r="BN237" s="370" t="e">
        <f aca="false">IF(AH237&lt;&gt;0,xSPRDOPT($BW237,$BV237,$CG237,2*LN(1+CA237/2),$BY237,$BX237,$BZ237,$AJ237,1,8)+(AJ237/365.25)*CH237/AH237,0)</f>
        <v>#VALUE!</v>
      </c>
      <c r="BO237" s="370" t="e">
        <f aca="false">xSPRDOPT($BW237,$BV237,$CG237,0,$BY237,$BX237,$BZ237,$AJ237,1,0)</f>
        <v>#NAME?</v>
      </c>
      <c r="BP237" s="370"/>
      <c r="BQ237" s="370"/>
      <c r="BR237" s="370"/>
      <c r="BS237" s="370"/>
      <c r="BV237" s="508" t="n">
        <v>4.99846547314578</v>
      </c>
      <c r="BW237" s="369" t="n">
        <v>5.2595</v>
      </c>
      <c r="BX237" s="370" t="n">
        <v>0.176603406025601</v>
      </c>
      <c r="BY237" s="370" t="n">
        <v>0.176603406025601</v>
      </c>
      <c r="BZ237" s="370" t="n">
        <v>1</v>
      </c>
      <c r="CA237" s="370" t="n">
        <v>0.0657667430537723</v>
      </c>
      <c r="CB237" s="370" t="n">
        <v>0.311971731314876</v>
      </c>
      <c r="CC237" s="505" t="n">
        <v>0.019</v>
      </c>
      <c r="CD237" s="505" t="n">
        <v>0.0075</v>
      </c>
      <c r="CE237" s="505" t="n">
        <v>0.4</v>
      </c>
      <c r="CF237" s="505" t="n">
        <v>0</v>
      </c>
      <c r="CG237" s="505" t="n">
        <v>0.0364</v>
      </c>
      <c r="CH237" s="505" t="n">
        <v>3.56574329740964</v>
      </c>
      <c r="CI237" s="505" t="n">
        <v>4.8595</v>
      </c>
      <c r="CJ237" s="505"/>
      <c r="CK237" s="505"/>
      <c r="CL237" s="505"/>
      <c r="CM237" s="505"/>
    </row>
    <row r="238" customFormat="false" ht="12.75" hidden="false" customHeight="false" outlineLevel="0" collapsed="false">
      <c r="A238" s="500"/>
      <c r="B238" s="500"/>
      <c r="D238" s="361" t="e">
        <f aca="false">D237+AH237</f>
        <v>#VALUE!</v>
      </c>
      <c r="F238" s="362" t="e">
        <f aca="false">VLOOKUP(AG238,$AL$4:$AS$15,2)</f>
        <v>#VALUE!</v>
      </c>
      <c r="G238" s="362" t="e">
        <f aca="false">F238*$AU238</f>
        <v>#VALUE!</v>
      </c>
      <c r="H238" s="363" t="e">
        <f aca="false">(AL238+AM238+AN238)/(1-(AR238))</f>
        <v>#VALUE!</v>
      </c>
      <c r="I238" s="363" t="e">
        <f aca="false">(AL238+AO238+AP238)</f>
        <v>#VALUE!</v>
      </c>
      <c r="K238" s="363" t="e">
        <f aca="false">MAX(((I238-H238)-AQ238)*AU238*AH238,0)</f>
        <v>#VALUE!</v>
      </c>
      <c r="L238" s="501" t="e">
        <f aca="false">MAX(Q238-K238,0)</f>
        <v>#VALUE!</v>
      </c>
      <c r="N238" s="502" t="e">
        <f aca="false">SQRT(($AX238^2*($AH238/2)+$AW238^2*$AI238)/(($AH238/2)+$AI238))</f>
        <v>#VALUE!</v>
      </c>
      <c r="O238" s="502" t="e">
        <f aca="false">SQRT(($AY238^2*($AH238/2)+$AW238^2*$AI238)/(($AH238/2)+$AI238))</f>
        <v>#VALUE!</v>
      </c>
      <c r="P238" s="371" t="e">
        <f aca="false">(VLOOKUP(AI238,CorrelationTwo,2)*(AW238^2)*AI238+VLOOKUP(D238,CorrelationOne,$AK$9)*AX238*AY238*(AH238/2))/((AI238+(AH238/2))*O238*N238)*AF238</f>
        <v>#VALUE!</v>
      </c>
      <c r="Q238" s="501" t="e">
        <f aca="false">xSPRDOPT(I238,H238,AQ238,0,O238,N238,P238,D238-$G$5,1,0)*AH238*AU238</f>
        <v>#VALUE!</v>
      </c>
      <c r="R238" s="501"/>
      <c r="S238" s="365" t="e">
        <f aca="false">-T238/(1-AR238)</f>
        <v>#VALUE!</v>
      </c>
      <c r="T238" s="365" t="e">
        <f aca="false">xSPRDOPT(I238,H238,AQ238,AT238,O238,N238,P238,D238-$G$5,1,1)*AF238*F238*AH238</f>
        <v>#VALUE!</v>
      </c>
      <c r="U238" s="501"/>
      <c r="V238" s="503" t="e">
        <f aca="false">VLOOKUP($AG238,$AL$4:$AS$15,8)*AH238*AU238</f>
        <v>#VALUE!</v>
      </c>
      <c r="W238" s="503"/>
      <c r="X238" s="504" t="e">
        <f aca="false">((BM238*BC238)+(BL238*BB238))*AH238*F238</f>
        <v>#VALUE!</v>
      </c>
      <c r="Y238" s="504" t="e">
        <f aca="false">($F238*$AH238)*((($BG238/2)*($BC238)^2)+(($BF238/2)*($BB238)^2)+($BH238*$BC238*$BB238))</f>
        <v>#VALUE!</v>
      </c>
      <c r="Z238" s="504" t="e">
        <f aca="false">($BI238*$F238*$AH238*($G$5-$BV$5))/365.25</f>
        <v>#VALUE!</v>
      </c>
      <c r="AA238" s="504" t="e">
        <f aca="false">(($BK238*$BE238)+($BJ238*$BD238))*$F238*$AH238*$AF238</f>
        <v>#VALUE!</v>
      </c>
      <c r="AB238" s="504" t="e">
        <f aca="false">BN238*(AT238-CA238)*F238*AH238</f>
        <v>#VALUE!</v>
      </c>
      <c r="AC238" s="504" t="e">
        <f aca="false">BO238*CB238*F238*AH238*CA238*($G$5-$BV$5)/365.25</f>
        <v>#NAME?</v>
      </c>
      <c r="AF238" s="378" t="e">
        <f aca="false">IF(AND(D238&gt;=$G$7,D238&lt;=$G$8),1,0)</f>
        <v>#VALUE!</v>
      </c>
      <c r="AG238" s="378" t="e">
        <f aca="false">MONTH(D238)</f>
        <v>#VALUE!</v>
      </c>
      <c r="AH238" s="378" t="e">
        <f aca="false">(EOMONTH(D238,0)-EOMONTH(D238-DAY(D238),0))*AF238</f>
        <v>#VALUE!</v>
      </c>
      <c r="AI238" s="378" t="e">
        <f aca="false">AI237+AH237</f>
        <v>#VALUE!</v>
      </c>
      <c r="AJ238" s="378" t="e">
        <f aca="false">D238-$BV$5</f>
        <v>#VALUE!</v>
      </c>
      <c r="AL238" s="369" t="e">
        <f aca="false">VLOOKUP($D238,CurveTbl,$AK$4)</f>
        <v>#VALUE!</v>
      </c>
      <c r="AM238" s="505" t="e">
        <f aca="false">VLOOKUP($D238,CurveTbl,$AH$3)</f>
        <v>#VALUE!</v>
      </c>
      <c r="AN238" s="505" t="e">
        <f aca="false">VLOOKUP($D238,CurveTbl,$AH$4)+VLOOKUP($AG238,$AL$3:$AS$15,6)</f>
        <v>#VALUE!</v>
      </c>
      <c r="AO238" s="505" t="e">
        <f aca="false">VLOOKUP($D238,CurveTbl,$AH$5)</f>
        <v>#VALUE!</v>
      </c>
      <c r="AP238" s="505" t="e">
        <f aca="false">VLOOKUP($D238,CurveTbl,$AH$6)+VLOOKUP($AG238,$AL$3:$AS$15,7)</f>
        <v>#VALUE!</v>
      </c>
      <c r="AQ238" s="369" t="e">
        <f aca="false">VLOOKUP($AG238,$AL$4:$AS$15,3)+VLOOKUP($AG238,$AL$4:$AS$15,5)+($AH$10*VLOOKUP(D238,GRITable,2))</f>
        <v>#VALUE!</v>
      </c>
      <c r="AR238" s="370" t="e">
        <f aca="false">VLOOKUP($AG238,$AL$4:$AS$15,4)</f>
        <v>#VALUE!</v>
      </c>
      <c r="AS238" s="369" t="e">
        <f aca="false">(AL238+AM238+AN238)</f>
        <v>#VALUE!</v>
      </c>
      <c r="AT238" s="370" t="e">
        <f aca="false">VLOOKUP(D238,CurveTbl,$AK$6)</f>
        <v>#VALUE!</v>
      </c>
      <c r="AU238" s="370" t="e">
        <f aca="false">(1+$AT238/2)^(-2*($D238-$G$5)/365.25)*$AF238</f>
        <v>#VALUE!</v>
      </c>
      <c r="AV238" s="506" t="e">
        <f aca="false">ROUND((F238/(1-AR238))-F238,0)*AF238*AH238*AU238</f>
        <v>#VALUE!</v>
      </c>
      <c r="AW238" s="370" t="e">
        <f aca="false">VLOOKUP($D238,CurveTbl,$AK$8)</f>
        <v>#VALUE!</v>
      </c>
      <c r="AX238" s="370" t="e">
        <f aca="false">VLOOKUP($D238,CurveTbl,$AH$7)</f>
        <v>#VALUE!</v>
      </c>
      <c r="AY238" s="370" t="e">
        <f aca="false">VLOOKUP($D238,CurveTbl,$AH$8)</f>
        <v>#VALUE!</v>
      </c>
      <c r="AZ238" s="370"/>
      <c r="BA238" s="507"/>
      <c r="BB238" s="505" t="e">
        <f aca="false">$H238-$BV238</f>
        <v>#VALUE!</v>
      </c>
      <c r="BC238" s="505" t="e">
        <f aca="false">I238-BW238</f>
        <v>#VALUE!</v>
      </c>
      <c r="BD238" s="370" t="e">
        <f aca="false">N238-BX238</f>
        <v>#VALUE!</v>
      </c>
      <c r="BE238" s="370" t="e">
        <f aca="false">O238-BY238</f>
        <v>#VALUE!</v>
      </c>
      <c r="BF238" s="370" t="e">
        <f aca="false">xSPRDOPT($BW238,$BV238,$CG238,0,$BY238,$BX238,$BZ238,$AJ238,1,4)*$CB238</f>
        <v>#NAME?</v>
      </c>
      <c r="BG238" s="370" t="e">
        <f aca="false">xSPRDOPT($BW238,$BV238,$CG238,0,$BY238,$BX238,$BZ238,$AJ238,1,3)*$CB238</f>
        <v>#NAME?</v>
      </c>
      <c r="BH238" s="370" t="e">
        <f aca="false">IF(OR(BF238&lt;&gt;0,BG238&lt;&gt;0),xSPRDOPT($BW238,$BV238,$CG238,0,$BY238,$BX238,$BZ238,$AJ238,1,12)*$CB238,0)</f>
        <v>#NAME?</v>
      </c>
      <c r="BI238" s="370" t="e">
        <f aca="false">xSPRDOPT($BW238,$BV238,$CG238,2*LN(1+CA238/2),$BY238,$BX238,$BZ238,$AJ238,1,9)</f>
        <v>#NAME?</v>
      </c>
      <c r="BJ238" s="370" t="e">
        <f aca="false">xSPRDOPT($BW238,$BV238,$CG238,0,$BY238,$BX238,$BZ238,$AJ238,1,6)*$CB238</f>
        <v>#NAME?</v>
      </c>
      <c r="BK238" s="370" t="e">
        <f aca="false">xSPRDOPT($BW238,$BV238,$CG238,0,$BY238,$BX238,$BZ238,$AJ238,1,5)*$CB238</f>
        <v>#NAME?</v>
      </c>
      <c r="BL238" s="370" t="e">
        <f aca="false">xSPRDOPT(BW238,BV238,CG238,0,BY238,BX238,BZ238,AJ238,1,2)*CB238</f>
        <v>#NAME?</v>
      </c>
      <c r="BM238" s="370" t="e">
        <f aca="false">xSPRDOPT(BW238,BV238,CG238,0,BY238,BX238,BZ238,AJ238,1,1)*CB238</f>
        <v>#NAME?</v>
      </c>
      <c r="BN238" s="370" t="e">
        <f aca="false">IF(AH238&lt;&gt;0,xSPRDOPT($BW238,$BV238,$CG238,2*LN(1+CA238/2),$BY238,$BX238,$BZ238,$AJ238,1,8)+(AJ238/365.25)*CH238/AH238,0)</f>
        <v>#VALUE!</v>
      </c>
      <c r="BO238" s="370" t="e">
        <f aca="false">xSPRDOPT($BW238,$BV238,$CG238,0,$BY238,$BX238,$BZ238,$AJ238,1,0)</f>
        <v>#NAME?</v>
      </c>
      <c r="BP238" s="370"/>
      <c r="BQ238" s="370"/>
      <c r="BR238" s="370"/>
      <c r="BS238" s="370"/>
      <c r="BV238" s="508" t="n">
        <v>5.05984654731458</v>
      </c>
      <c r="BW238" s="369" t="n">
        <v>5.2695</v>
      </c>
      <c r="BX238" s="370" t="n">
        <v>0.17657300181971</v>
      </c>
      <c r="BY238" s="370" t="n">
        <v>0.17657300181971</v>
      </c>
      <c r="BZ238" s="370" t="n">
        <v>1</v>
      </c>
      <c r="CA238" s="370" t="n">
        <v>0.0658072871888193</v>
      </c>
      <c r="CB238" s="370" t="n">
        <v>0.310042878682439</v>
      </c>
      <c r="CC238" s="505" t="n">
        <v>0.019</v>
      </c>
      <c r="CD238" s="505" t="n">
        <v>0.0075</v>
      </c>
      <c r="CE238" s="505" t="n">
        <v>0.35</v>
      </c>
      <c r="CF238" s="505" t="n">
        <v>0</v>
      </c>
      <c r="CG238" s="505" t="n">
        <v>0.0364</v>
      </c>
      <c r="CH238" s="505" t="n">
        <v>3.54369709047667</v>
      </c>
      <c r="CI238" s="505" t="n">
        <v>4.9195</v>
      </c>
      <c r="CJ238" s="505"/>
      <c r="CK238" s="505"/>
      <c r="CL238" s="505"/>
      <c r="CM238" s="505"/>
    </row>
    <row r="239" customFormat="false" ht="12.75" hidden="false" customHeight="false" outlineLevel="0" collapsed="false">
      <c r="A239" s="500"/>
      <c r="B239" s="500"/>
      <c r="D239" s="361" t="e">
        <f aca="false">D238+AH238</f>
        <v>#VALUE!</v>
      </c>
      <c r="F239" s="362" t="e">
        <f aca="false">VLOOKUP(AG239,$AL$4:$AS$15,2)</f>
        <v>#VALUE!</v>
      </c>
      <c r="G239" s="362" t="e">
        <f aca="false">F239*$AU239</f>
        <v>#VALUE!</v>
      </c>
      <c r="H239" s="363" t="e">
        <f aca="false">(AL239+AM239+AN239)/(1-(AR239))</f>
        <v>#VALUE!</v>
      </c>
      <c r="I239" s="363" t="e">
        <f aca="false">(AL239+AO239+AP239)</f>
        <v>#VALUE!</v>
      </c>
      <c r="K239" s="363" t="e">
        <f aca="false">MAX(((I239-H239)-AQ239)*AU239*AH239,0)</f>
        <v>#VALUE!</v>
      </c>
      <c r="L239" s="501" t="e">
        <f aca="false">MAX(Q239-K239,0)</f>
        <v>#VALUE!</v>
      </c>
      <c r="N239" s="502" t="e">
        <f aca="false">SQRT(($AX239^2*($AH239/2)+$AW239^2*$AI239)/(($AH239/2)+$AI239))</f>
        <v>#VALUE!</v>
      </c>
      <c r="O239" s="502" t="e">
        <f aca="false">SQRT(($AY239^2*($AH239/2)+$AW239^2*$AI239)/(($AH239/2)+$AI239))</f>
        <v>#VALUE!</v>
      </c>
      <c r="P239" s="371" t="e">
        <f aca="false">(VLOOKUP(AI239,CorrelationTwo,2)*(AW239^2)*AI239+VLOOKUP(D239,CorrelationOne,$AK$9)*AX239*AY239*(AH239/2))/((AI239+(AH239/2))*O239*N239)*AF239</f>
        <v>#VALUE!</v>
      </c>
      <c r="Q239" s="501" t="e">
        <f aca="false">xSPRDOPT(I239,H239,AQ239,0,O239,N239,P239,D239-$G$5,1,0)*AH239*AU239</f>
        <v>#VALUE!</v>
      </c>
      <c r="R239" s="501"/>
      <c r="S239" s="365" t="e">
        <f aca="false">-T239/(1-AR239)</f>
        <v>#VALUE!</v>
      </c>
      <c r="T239" s="365" t="e">
        <f aca="false">xSPRDOPT(I239,H239,AQ239,AT239,O239,N239,P239,D239-$G$5,1,1)*AF239*F239*AH239</f>
        <v>#VALUE!</v>
      </c>
      <c r="U239" s="501"/>
      <c r="V239" s="503" t="e">
        <f aca="false">VLOOKUP($AG239,$AL$4:$AS$15,8)*AH239*AU239</f>
        <v>#VALUE!</v>
      </c>
      <c r="W239" s="503"/>
      <c r="X239" s="504" t="e">
        <f aca="false">((BM239*BC239)+(BL239*BB239))*AH239*F239</f>
        <v>#VALUE!</v>
      </c>
      <c r="Y239" s="504" t="e">
        <f aca="false">($F239*$AH239)*((($BG239/2)*($BC239)^2)+(($BF239/2)*($BB239)^2)+($BH239*$BC239*$BB239))</f>
        <v>#VALUE!</v>
      </c>
      <c r="Z239" s="504" t="e">
        <f aca="false">($BI239*$F239*$AH239*($G$5-$BV$5))/365.25</f>
        <v>#VALUE!</v>
      </c>
      <c r="AA239" s="504" t="e">
        <f aca="false">(($BK239*$BE239)+($BJ239*$BD239))*$F239*$AH239*$AF239</f>
        <v>#VALUE!</v>
      </c>
      <c r="AB239" s="504" t="e">
        <f aca="false">BN239*(AT239-CA239)*F239*AH239</f>
        <v>#VALUE!</v>
      </c>
      <c r="AC239" s="504" t="e">
        <f aca="false">BO239*CB239*F239*AH239*CA239*($G$5-$BV$5)/365.25</f>
        <v>#NAME?</v>
      </c>
      <c r="AF239" s="378" t="e">
        <f aca="false">IF(AND(D239&gt;=$G$7,D239&lt;=$G$8),1,0)</f>
        <v>#VALUE!</v>
      </c>
      <c r="AG239" s="378" t="e">
        <f aca="false">MONTH(D239)</f>
        <v>#VALUE!</v>
      </c>
      <c r="AH239" s="378" t="e">
        <f aca="false">(EOMONTH(D239,0)-EOMONTH(D239-DAY(D239),0))*AF239</f>
        <v>#VALUE!</v>
      </c>
      <c r="AI239" s="378" t="e">
        <f aca="false">AI238+AH238</f>
        <v>#VALUE!</v>
      </c>
      <c r="AJ239" s="378" t="e">
        <f aca="false">D239-$BV$5</f>
        <v>#VALUE!</v>
      </c>
      <c r="AL239" s="369" t="e">
        <f aca="false">VLOOKUP($D239,CurveTbl,$AK$4)</f>
        <v>#VALUE!</v>
      </c>
      <c r="AM239" s="505" t="e">
        <f aca="false">VLOOKUP($D239,CurveTbl,$AH$3)</f>
        <v>#VALUE!</v>
      </c>
      <c r="AN239" s="505" t="e">
        <f aca="false">VLOOKUP($D239,CurveTbl,$AH$4)+VLOOKUP($AG239,$AL$3:$AS$15,6)</f>
        <v>#VALUE!</v>
      </c>
      <c r="AO239" s="505" t="e">
        <f aca="false">VLOOKUP($D239,CurveTbl,$AH$5)</f>
        <v>#VALUE!</v>
      </c>
      <c r="AP239" s="505" t="e">
        <f aca="false">VLOOKUP($D239,CurveTbl,$AH$6)+VLOOKUP($AG239,$AL$3:$AS$15,7)</f>
        <v>#VALUE!</v>
      </c>
      <c r="AQ239" s="369" t="e">
        <f aca="false">VLOOKUP($AG239,$AL$4:$AS$15,3)+VLOOKUP($AG239,$AL$4:$AS$15,5)+($AH$10*VLOOKUP(D239,GRITable,2))</f>
        <v>#VALUE!</v>
      </c>
      <c r="AR239" s="370" t="e">
        <f aca="false">VLOOKUP($AG239,$AL$4:$AS$15,4)</f>
        <v>#VALUE!</v>
      </c>
      <c r="AS239" s="369" t="e">
        <f aca="false">(AL239+AM239+AN239)</f>
        <v>#VALUE!</v>
      </c>
      <c r="AT239" s="370" t="e">
        <f aca="false">VLOOKUP(D239,CurveTbl,$AK$6)</f>
        <v>#VALUE!</v>
      </c>
      <c r="AU239" s="370" t="e">
        <f aca="false">(1+$AT239/2)^(-2*($D239-$G$5)/365.25)*$AF239</f>
        <v>#VALUE!</v>
      </c>
      <c r="AV239" s="506" t="e">
        <f aca="false">ROUND((F239/(1-AR239))-F239,0)*AF239*AH239*AU239</f>
        <v>#VALUE!</v>
      </c>
      <c r="AW239" s="370" t="e">
        <f aca="false">VLOOKUP($D239,CurveTbl,$AK$8)</f>
        <v>#VALUE!</v>
      </c>
      <c r="AX239" s="370" t="e">
        <f aca="false">VLOOKUP($D239,CurveTbl,$AH$7)</f>
        <v>#VALUE!</v>
      </c>
      <c r="AY239" s="370" t="e">
        <f aca="false">VLOOKUP($D239,CurveTbl,$AH$8)</f>
        <v>#VALUE!</v>
      </c>
      <c r="AZ239" s="370"/>
      <c r="BA239" s="507"/>
      <c r="BB239" s="505" t="e">
        <f aca="false">$H239-$BV239</f>
        <v>#VALUE!</v>
      </c>
      <c r="BC239" s="505" t="e">
        <f aca="false">I239-BW239</f>
        <v>#VALUE!</v>
      </c>
      <c r="BD239" s="370" t="e">
        <f aca="false">N239-BX239</f>
        <v>#VALUE!</v>
      </c>
      <c r="BE239" s="370" t="e">
        <f aca="false">O239-BY239</f>
        <v>#VALUE!</v>
      </c>
      <c r="BF239" s="370" t="e">
        <f aca="false">xSPRDOPT($BW239,$BV239,$CG239,0,$BY239,$BX239,$BZ239,$AJ239,1,4)*$CB239</f>
        <v>#NAME?</v>
      </c>
      <c r="BG239" s="370" t="e">
        <f aca="false">xSPRDOPT($BW239,$BV239,$CG239,0,$BY239,$BX239,$BZ239,$AJ239,1,3)*$CB239</f>
        <v>#NAME?</v>
      </c>
      <c r="BH239" s="370" t="e">
        <f aca="false">IF(OR(BF239&lt;&gt;0,BG239&lt;&gt;0),xSPRDOPT($BW239,$BV239,$CG239,0,$BY239,$BX239,$BZ239,$AJ239,1,12)*$CB239,0)</f>
        <v>#NAME?</v>
      </c>
      <c r="BI239" s="370" t="e">
        <f aca="false">xSPRDOPT($BW239,$BV239,$CG239,2*LN(1+CA239/2),$BY239,$BX239,$BZ239,$AJ239,1,9)</f>
        <v>#NAME?</v>
      </c>
      <c r="BJ239" s="370" t="e">
        <f aca="false">xSPRDOPT($BW239,$BV239,$CG239,0,$BY239,$BX239,$BZ239,$AJ239,1,6)*$CB239</f>
        <v>#NAME?</v>
      </c>
      <c r="BK239" s="370" t="e">
        <f aca="false">xSPRDOPT($BW239,$BV239,$CG239,0,$BY239,$BX239,$BZ239,$AJ239,1,5)*$CB239</f>
        <v>#NAME?</v>
      </c>
      <c r="BL239" s="370" t="e">
        <f aca="false">xSPRDOPT(BW239,BV239,CG239,0,BY239,BX239,BZ239,AJ239,1,2)*CB239</f>
        <v>#NAME?</v>
      </c>
      <c r="BM239" s="370" t="e">
        <f aca="false">xSPRDOPT(BW239,BV239,CG239,0,BY239,BX239,BZ239,AJ239,1,1)*CB239</f>
        <v>#NAME?</v>
      </c>
      <c r="BN239" s="370" t="e">
        <f aca="false">IF(AH239&lt;&gt;0,xSPRDOPT($BW239,$BV239,$CG239,2*LN(1+CA239/2),$BY239,$BX239,$BZ239,$AJ239,1,8)+(AJ239/365.25)*CH239/AH239,0)</f>
        <v>#VALUE!</v>
      </c>
      <c r="BO239" s="370" t="e">
        <f aca="false">xSPRDOPT($BW239,$BV239,$CG239,0,$BY239,$BX239,$BZ239,$AJ239,1,0)</f>
        <v>#NAME?</v>
      </c>
      <c r="BP239" s="370"/>
      <c r="BQ239" s="370"/>
      <c r="BR239" s="370"/>
      <c r="BS239" s="370"/>
      <c r="BV239" s="508" t="n">
        <v>4.97289002557545</v>
      </c>
      <c r="BW239" s="369" t="n">
        <v>5.1845</v>
      </c>
      <c r="BX239" s="370" t="n">
        <v>0.176128997410459</v>
      </c>
      <c r="BY239" s="370" t="n">
        <v>0.176128997410459</v>
      </c>
      <c r="BZ239" s="370" t="n">
        <v>1</v>
      </c>
      <c r="CA239" s="370" t="n">
        <v>0.0658478313244113</v>
      </c>
      <c r="CB239" s="370" t="n">
        <v>0.308123902976217</v>
      </c>
      <c r="CC239" s="505" t="n">
        <v>0.019</v>
      </c>
      <c r="CD239" s="505" t="n">
        <v>0.0075</v>
      </c>
      <c r="CE239" s="505" t="n">
        <v>0.35</v>
      </c>
      <c r="CF239" s="505" t="n">
        <v>0</v>
      </c>
      <c r="CG239" s="505" t="n">
        <v>0.0364</v>
      </c>
      <c r="CH239" s="505" t="n">
        <v>3.29455320779261</v>
      </c>
      <c r="CI239" s="505" t="n">
        <v>4.8345</v>
      </c>
      <c r="CJ239" s="505"/>
      <c r="CK239" s="505"/>
      <c r="CL239" s="505"/>
      <c r="CM239" s="505"/>
    </row>
    <row r="240" customFormat="false" ht="12.75" hidden="false" customHeight="false" outlineLevel="0" collapsed="false">
      <c r="A240" s="500"/>
      <c r="B240" s="500"/>
      <c r="D240" s="361" t="e">
        <f aca="false">D239+AH239</f>
        <v>#VALUE!</v>
      </c>
      <c r="F240" s="362" t="e">
        <f aca="false">VLOOKUP(AG240,$AL$4:$AS$15,2)</f>
        <v>#VALUE!</v>
      </c>
      <c r="G240" s="362" t="e">
        <f aca="false">F240*$AU240</f>
        <v>#VALUE!</v>
      </c>
      <c r="H240" s="363" t="e">
        <f aca="false">(AL240+AM240+AN240)/(1-(AR240))</f>
        <v>#VALUE!</v>
      </c>
      <c r="I240" s="363" t="e">
        <f aca="false">(AL240+AO240+AP240)</f>
        <v>#VALUE!</v>
      </c>
      <c r="K240" s="363" t="e">
        <f aca="false">MAX(((I240-H240)-AQ240)*AU240*AH240,0)</f>
        <v>#VALUE!</v>
      </c>
      <c r="L240" s="501" t="e">
        <f aca="false">MAX(Q240-K240,0)</f>
        <v>#VALUE!</v>
      </c>
      <c r="N240" s="502" t="e">
        <f aca="false">SQRT(($AX240^2*($AH240/2)+$AW240^2*$AI240)/(($AH240/2)+$AI240))</f>
        <v>#VALUE!</v>
      </c>
      <c r="O240" s="502" t="e">
        <f aca="false">SQRT(($AY240^2*($AH240/2)+$AW240^2*$AI240)/(($AH240/2)+$AI240))</f>
        <v>#VALUE!</v>
      </c>
      <c r="P240" s="371" t="e">
        <f aca="false">(VLOOKUP(AI240,CorrelationTwo,2)*(AW240^2)*AI240+VLOOKUP(D240,CorrelationOne,$AK$9)*AX240*AY240*(AH240/2))/((AI240+(AH240/2))*O240*N240)*AF240</f>
        <v>#VALUE!</v>
      </c>
      <c r="Q240" s="501" t="e">
        <f aca="false">xSPRDOPT(I240,H240,AQ240,0,O240,N240,P240,D240-$G$5,1,0)*AH240*AU240</f>
        <v>#VALUE!</v>
      </c>
      <c r="R240" s="501"/>
      <c r="S240" s="365" t="e">
        <f aca="false">-T240/(1-AR240)</f>
        <v>#VALUE!</v>
      </c>
      <c r="T240" s="365" t="e">
        <f aca="false">xSPRDOPT(I240,H240,AQ240,AT240,O240,N240,P240,D240-$G$5,1,1)*AF240*F240*AH240</f>
        <v>#VALUE!</v>
      </c>
      <c r="U240" s="501"/>
      <c r="V240" s="503" t="e">
        <f aca="false">VLOOKUP($AG240,$AL$4:$AS$15,8)*AH240*AU240</f>
        <v>#VALUE!</v>
      </c>
      <c r="W240" s="503"/>
      <c r="X240" s="504" t="e">
        <f aca="false">((BM240*BC240)+(BL240*BB240))*AH240*F240</f>
        <v>#VALUE!</v>
      </c>
      <c r="Y240" s="504" t="e">
        <f aca="false">($F240*$AH240)*((($BG240/2)*($BC240)^2)+(($BF240/2)*($BB240)^2)+($BH240*$BC240*$BB240))</f>
        <v>#VALUE!</v>
      </c>
      <c r="Z240" s="504" t="e">
        <f aca="false">($BI240*$F240*$AH240*($G$5-$BV$5))/365.25</f>
        <v>#VALUE!</v>
      </c>
      <c r="AA240" s="504" t="e">
        <f aca="false">(($BK240*$BE240)+($BJ240*$BD240))*$F240*$AH240*$AF240</f>
        <v>#VALUE!</v>
      </c>
      <c r="AB240" s="504" t="e">
        <f aca="false">BN240*(AT240-CA240)*F240*AH240</f>
        <v>#VALUE!</v>
      </c>
      <c r="AC240" s="504" t="e">
        <f aca="false">BO240*CB240*F240*AH240*CA240*($G$5-$BV$5)/365.25</f>
        <v>#NAME?</v>
      </c>
      <c r="AF240" s="378" t="e">
        <f aca="false">IF(AND(D240&gt;=$G$7,D240&lt;=$G$8),1,0)</f>
        <v>#VALUE!</v>
      </c>
      <c r="AG240" s="378" t="e">
        <f aca="false">MONTH(D240)</f>
        <v>#VALUE!</v>
      </c>
      <c r="AH240" s="378" t="e">
        <f aca="false">(EOMONTH(D240,0)-EOMONTH(D240-DAY(D240),0))*AF240</f>
        <v>#VALUE!</v>
      </c>
      <c r="AI240" s="378" t="e">
        <f aca="false">AI239+AH239</f>
        <v>#VALUE!</v>
      </c>
      <c r="AJ240" s="378" t="e">
        <f aca="false">D240-$BV$5</f>
        <v>#VALUE!</v>
      </c>
      <c r="AL240" s="369" t="e">
        <f aca="false">VLOOKUP($D240,CurveTbl,$AK$4)</f>
        <v>#VALUE!</v>
      </c>
      <c r="AM240" s="505" t="e">
        <f aca="false">VLOOKUP($D240,CurveTbl,$AH$3)</f>
        <v>#VALUE!</v>
      </c>
      <c r="AN240" s="505" t="e">
        <f aca="false">VLOOKUP($D240,CurveTbl,$AH$4)+VLOOKUP($AG240,$AL$3:$AS$15,6)</f>
        <v>#VALUE!</v>
      </c>
      <c r="AO240" s="505" t="e">
        <f aca="false">VLOOKUP($D240,CurveTbl,$AH$5)</f>
        <v>#VALUE!</v>
      </c>
      <c r="AP240" s="505" t="e">
        <f aca="false">VLOOKUP($D240,CurveTbl,$AH$6)+VLOOKUP($AG240,$AL$3:$AS$15,7)</f>
        <v>#VALUE!</v>
      </c>
      <c r="AQ240" s="369" t="e">
        <f aca="false">VLOOKUP($AG240,$AL$4:$AS$15,3)+VLOOKUP($AG240,$AL$4:$AS$15,5)+($AH$10*VLOOKUP(D240,GRITable,2))</f>
        <v>#VALUE!</v>
      </c>
      <c r="AR240" s="370" t="e">
        <f aca="false">VLOOKUP($AG240,$AL$4:$AS$15,4)</f>
        <v>#VALUE!</v>
      </c>
      <c r="AS240" s="369" t="e">
        <f aca="false">(AL240+AM240+AN240)</f>
        <v>#VALUE!</v>
      </c>
      <c r="AT240" s="370" t="e">
        <f aca="false">VLOOKUP(D240,CurveTbl,$AK$6)</f>
        <v>#VALUE!</v>
      </c>
      <c r="AU240" s="370" t="e">
        <f aca="false">(1+$AT240/2)^(-2*($D240-$G$5)/365.25)*$AF240</f>
        <v>#VALUE!</v>
      </c>
      <c r="AV240" s="506" t="e">
        <f aca="false">ROUND((F240/(1-AR240))-F240,0)*AF240*AH240*AU240</f>
        <v>#VALUE!</v>
      </c>
      <c r="AW240" s="370" t="e">
        <f aca="false">VLOOKUP($D240,CurveTbl,$AK$8)</f>
        <v>#VALUE!</v>
      </c>
      <c r="AX240" s="370" t="e">
        <f aca="false">VLOOKUP($D240,CurveTbl,$AH$7)</f>
        <v>#VALUE!</v>
      </c>
      <c r="AY240" s="370" t="e">
        <f aca="false">VLOOKUP($D240,CurveTbl,$AH$8)</f>
        <v>#VALUE!</v>
      </c>
      <c r="AZ240" s="370"/>
      <c r="BA240" s="507"/>
      <c r="BB240" s="505" t="e">
        <f aca="false">$H240-$BV240</f>
        <v>#VALUE!</v>
      </c>
      <c r="BC240" s="505" t="e">
        <f aca="false">I240-BW240</f>
        <v>#VALUE!</v>
      </c>
      <c r="BD240" s="370" t="e">
        <f aca="false">N240-BX240</f>
        <v>#VALUE!</v>
      </c>
      <c r="BE240" s="370" t="e">
        <f aca="false">O240-BY240</f>
        <v>#VALUE!</v>
      </c>
      <c r="BF240" s="370" t="e">
        <f aca="false">xSPRDOPT($BW240,$BV240,$CG240,0,$BY240,$BX240,$BZ240,$AJ240,1,4)*$CB240</f>
        <v>#NAME?</v>
      </c>
      <c r="BG240" s="370" t="e">
        <f aca="false">xSPRDOPT($BW240,$BV240,$CG240,0,$BY240,$BX240,$BZ240,$AJ240,1,3)*$CB240</f>
        <v>#NAME?</v>
      </c>
      <c r="BH240" s="370" t="e">
        <f aca="false">IF(OR(BF240&lt;&gt;0,BG240&lt;&gt;0),xSPRDOPT($BW240,$BV240,$CG240,0,$BY240,$BX240,$BZ240,$AJ240,1,12)*$CB240,0)</f>
        <v>#NAME?</v>
      </c>
      <c r="BI240" s="370" t="e">
        <f aca="false">xSPRDOPT($BW240,$BV240,$CG240,2*LN(1+CA240/2),$BY240,$BX240,$BZ240,$AJ240,1,9)</f>
        <v>#NAME?</v>
      </c>
      <c r="BJ240" s="370" t="e">
        <f aca="false">xSPRDOPT($BW240,$BV240,$CG240,0,$BY240,$BX240,$BZ240,$AJ240,1,6)*$CB240</f>
        <v>#NAME?</v>
      </c>
      <c r="BK240" s="370" t="e">
        <f aca="false">xSPRDOPT($BW240,$BV240,$CG240,0,$BY240,$BX240,$BZ240,$AJ240,1,5)*$CB240</f>
        <v>#NAME?</v>
      </c>
      <c r="BL240" s="370" t="e">
        <f aca="false">xSPRDOPT(BW240,BV240,CG240,0,BY240,BX240,BZ240,AJ240,1,2)*CB240</f>
        <v>#NAME?</v>
      </c>
      <c r="BM240" s="370" t="e">
        <f aca="false">xSPRDOPT(BW240,BV240,CG240,0,BY240,BX240,BZ240,AJ240,1,1)*CB240</f>
        <v>#NAME?</v>
      </c>
      <c r="BN240" s="370" t="e">
        <f aca="false">IF(AH240&lt;&gt;0,xSPRDOPT($BW240,$BV240,$CG240,2*LN(1+CA240/2),$BY240,$BX240,$BZ240,$AJ240,1,8)+(AJ240/365.25)*CH240/AH240,0)</f>
        <v>#VALUE!</v>
      </c>
      <c r="BO240" s="370" t="e">
        <f aca="false">xSPRDOPT($BW240,$BV240,$CG240,0,$BY240,$BX240,$BZ240,$AJ240,1,0)</f>
        <v>#NAME?</v>
      </c>
      <c r="BP240" s="370"/>
      <c r="BQ240" s="370"/>
      <c r="BR240" s="370"/>
      <c r="BS240" s="370"/>
      <c r="BV240" s="508" t="n">
        <v>4.84501278772379</v>
      </c>
      <c r="BW240" s="369" t="n">
        <v>5.1045</v>
      </c>
      <c r="BX240" s="370" t="n">
        <v>0.173610094585201</v>
      </c>
      <c r="BY240" s="370" t="n">
        <v>0.173610094585201</v>
      </c>
      <c r="BZ240" s="370" t="n">
        <v>1</v>
      </c>
      <c r="CA240" s="370" t="n">
        <v>0.065885759709813</v>
      </c>
      <c r="CB240" s="370" t="n">
        <v>0.306337642239465</v>
      </c>
      <c r="CC240" s="505" t="n">
        <v>0.024</v>
      </c>
      <c r="CD240" s="505" t="n">
        <v>0.0075</v>
      </c>
      <c r="CE240" s="505" t="n">
        <v>0.4</v>
      </c>
      <c r="CF240" s="505" t="n">
        <v>0</v>
      </c>
      <c r="CG240" s="505" t="n">
        <v>0.0364</v>
      </c>
      <c r="CH240" s="505" t="n">
        <v>3.50134734950442</v>
      </c>
      <c r="CI240" s="505" t="n">
        <v>4.7045</v>
      </c>
      <c r="CJ240" s="505"/>
      <c r="CK240" s="505"/>
      <c r="CL240" s="505"/>
      <c r="CM240" s="505"/>
    </row>
    <row r="241" customFormat="false" ht="12.75" hidden="false" customHeight="false" outlineLevel="0" collapsed="false">
      <c r="A241" s="500"/>
      <c r="B241" s="500"/>
      <c r="D241" s="361" t="e">
        <f aca="false">D240+AH240</f>
        <v>#VALUE!</v>
      </c>
      <c r="F241" s="362" t="e">
        <f aca="false">VLOOKUP(AG241,$AL$4:$AS$15,2)</f>
        <v>#VALUE!</v>
      </c>
      <c r="G241" s="362" t="e">
        <f aca="false">F241*$AU241</f>
        <v>#VALUE!</v>
      </c>
      <c r="H241" s="363" t="e">
        <f aca="false">(AL241+AM241+AN241)/(1-(AR241))</f>
        <v>#VALUE!</v>
      </c>
      <c r="I241" s="363" t="e">
        <f aca="false">(AL241+AO241+AP241)</f>
        <v>#VALUE!</v>
      </c>
      <c r="K241" s="363" t="e">
        <f aca="false">MAX(((I241-H241)-AQ241)*AU241*AH241,0)</f>
        <v>#VALUE!</v>
      </c>
      <c r="L241" s="501" t="e">
        <f aca="false">MAX(Q241-K241,0)</f>
        <v>#VALUE!</v>
      </c>
      <c r="N241" s="502" t="e">
        <f aca="false">SQRT(($AX241^2*($AH241/2)+$AW241^2*$AI241)/(($AH241/2)+$AI241))</f>
        <v>#VALUE!</v>
      </c>
      <c r="O241" s="502" t="e">
        <f aca="false">SQRT(($AY241^2*($AH241/2)+$AW241^2*$AI241)/(($AH241/2)+$AI241))</f>
        <v>#VALUE!</v>
      </c>
      <c r="P241" s="371" t="e">
        <f aca="false">(VLOOKUP(AI241,CorrelationTwo,2)*(AW241^2)*AI241+VLOOKUP(D241,CorrelationOne,$AK$9)*AX241*AY241*(AH241/2))/((AI241+(AH241/2))*O241*N241)*AF241</f>
        <v>#VALUE!</v>
      </c>
      <c r="Q241" s="501" t="e">
        <f aca="false">xSPRDOPT(I241,H241,AQ241,0,O241,N241,P241,D241-$G$5,1,0)*AH241*AU241</f>
        <v>#VALUE!</v>
      </c>
      <c r="R241" s="501"/>
      <c r="S241" s="365" t="e">
        <f aca="false">-T241/(1-AR241)</f>
        <v>#VALUE!</v>
      </c>
      <c r="T241" s="365" t="e">
        <f aca="false">xSPRDOPT(I241,H241,AQ241,AT241,O241,N241,P241,D241-$G$5,1,1)*AF241*F241*AH241</f>
        <v>#VALUE!</v>
      </c>
      <c r="U241" s="501"/>
      <c r="V241" s="503" t="e">
        <f aca="false">VLOOKUP($AG241,$AL$4:$AS$15,8)*AH241*AU241</f>
        <v>#VALUE!</v>
      </c>
      <c r="W241" s="503"/>
      <c r="X241" s="504" t="e">
        <f aca="false">((BM241*BC241)+(BL241*BB241))*AH241*F241</f>
        <v>#VALUE!</v>
      </c>
      <c r="Y241" s="504" t="e">
        <f aca="false">($F241*$AH241)*((($BG241/2)*($BC241)^2)+(($BF241/2)*($BB241)^2)+($BH241*$BC241*$BB241))</f>
        <v>#VALUE!</v>
      </c>
      <c r="Z241" s="504" t="e">
        <f aca="false">($BI241*$F241*$AH241*($G$5-$BV$5))/365.25</f>
        <v>#VALUE!</v>
      </c>
      <c r="AA241" s="504" t="e">
        <f aca="false">(($BK241*$BE241)+($BJ241*$BD241))*$F241*$AH241*$AF241</f>
        <v>#VALUE!</v>
      </c>
      <c r="AB241" s="504" t="e">
        <f aca="false">BN241*(AT241-CA241)*F241*AH241</f>
        <v>#VALUE!</v>
      </c>
      <c r="AC241" s="504" t="e">
        <f aca="false">BO241*CB241*F241*AH241*CA241*($G$5-$BV$5)/365.25</f>
        <v>#NAME?</v>
      </c>
      <c r="AF241" s="378" t="e">
        <f aca="false">IF(AND(D241&gt;=$G$7,D241&lt;=$G$8),1,0)</f>
        <v>#VALUE!</v>
      </c>
      <c r="AG241" s="378" t="e">
        <f aca="false">MONTH(D241)</f>
        <v>#VALUE!</v>
      </c>
      <c r="AH241" s="378" t="e">
        <f aca="false">(EOMONTH(D241,0)-EOMONTH(D241-DAY(D241),0))*AF241</f>
        <v>#VALUE!</v>
      </c>
      <c r="AI241" s="378" t="e">
        <f aca="false">AI240+AH240</f>
        <v>#VALUE!</v>
      </c>
      <c r="AJ241" s="378" t="e">
        <f aca="false">D241-$BV$5</f>
        <v>#VALUE!</v>
      </c>
      <c r="AL241" s="369" t="e">
        <f aca="false">VLOOKUP($D241,CurveTbl,$AK$4)</f>
        <v>#VALUE!</v>
      </c>
      <c r="AM241" s="505" t="e">
        <f aca="false">VLOOKUP($D241,CurveTbl,$AH$3)</f>
        <v>#VALUE!</v>
      </c>
      <c r="AN241" s="505" t="e">
        <f aca="false">VLOOKUP($D241,CurveTbl,$AH$4)+VLOOKUP($AG241,$AL$3:$AS$15,6)</f>
        <v>#VALUE!</v>
      </c>
      <c r="AO241" s="505" t="e">
        <f aca="false">VLOOKUP($D241,CurveTbl,$AH$5)</f>
        <v>#VALUE!</v>
      </c>
      <c r="AP241" s="505" t="e">
        <f aca="false">VLOOKUP($D241,CurveTbl,$AH$6)+VLOOKUP($AG241,$AL$3:$AS$15,7)</f>
        <v>#VALUE!</v>
      </c>
      <c r="AQ241" s="369" t="e">
        <f aca="false">VLOOKUP($AG241,$AL$4:$AS$15,3)+VLOOKUP($AG241,$AL$4:$AS$15,5)+($AH$10*VLOOKUP(D241,GRITable,2))</f>
        <v>#VALUE!</v>
      </c>
      <c r="AR241" s="370" t="e">
        <f aca="false">VLOOKUP($AG241,$AL$4:$AS$15,4)</f>
        <v>#VALUE!</v>
      </c>
      <c r="AS241" s="369" t="e">
        <f aca="false">(AL241+AM241+AN241)</f>
        <v>#VALUE!</v>
      </c>
      <c r="AT241" s="370" t="e">
        <f aca="false">VLOOKUP(D241,CurveTbl,$AK$6)</f>
        <v>#VALUE!</v>
      </c>
      <c r="AU241" s="370" t="e">
        <f aca="false">(1+$AT241/2)^(-2*($D241-$G$5)/365.25)*$AF241</f>
        <v>#VALUE!</v>
      </c>
      <c r="AV241" s="506" t="e">
        <f aca="false">ROUND((F241/(1-AR241))-F241,0)*AF241*AH241*AU241</f>
        <v>#VALUE!</v>
      </c>
      <c r="AW241" s="370" t="e">
        <f aca="false">VLOOKUP($D241,CurveTbl,$AK$8)</f>
        <v>#VALUE!</v>
      </c>
      <c r="AX241" s="370" t="e">
        <f aca="false">VLOOKUP($D241,CurveTbl,$AH$7)</f>
        <v>#VALUE!</v>
      </c>
      <c r="AY241" s="370" t="e">
        <f aca="false">VLOOKUP($D241,CurveTbl,$AH$8)</f>
        <v>#VALUE!</v>
      </c>
      <c r="AZ241" s="370"/>
      <c r="BA241" s="507"/>
      <c r="BB241" s="505" t="e">
        <f aca="false">$H241-$BV241</f>
        <v>#VALUE!</v>
      </c>
      <c r="BC241" s="505" t="e">
        <f aca="false">I241-BW241</f>
        <v>#VALUE!</v>
      </c>
      <c r="BD241" s="370" t="e">
        <f aca="false">N241-BX241</f>
        <v>#VALUE!</v>
      </c>
      <c r="BE241" s="370" t="e">
        <f aca="false">O241-BY241</f>
        <v>#VALUE!</v>
      </c>
      <c r="BF241" s="370" t="e">
        <f aca="false">xSPRDOPT($BW241,$BV241,$CG241,0,$BY241,$BX241,$BZ241,$AJ241,1,4)*$CB241</f>
        <v>#NAME?</v>
      </c>
      <c r="BG241" s="370" t="e">
        <f aca="false">xSPRDOPT($BW241,$BV241,$CG241,0,$BY241,$BX241,$BZ241,$AJ241,1,3)*$CB241</f>
        <v>#NAME?</v>
      </c>
      <c r="BH241" s="370" t="e">
        <f aca="false">IF(OR(BF241&lt;&gt;0,BG241&lt;&gt;0),xSPRDOPT($BW241,$BV241,$CG241,0,$BY241,$BX241,$BZ241,$AJ241,1,12)*$CB241,0)</f>
        <v>#NAME?</v>
      </c>
      <c r="BI241" s="370" t="e">
        <f aca="false">xSPRDOPT($BW241,$BV241,$CG241,2*LN(1+CA241/2),$BY241,$BX241,$BZ241,$AJ241,1,9)</f>
        <v>#NAME?</v>
      </c>
      <c r="BJ241" s="370" t="e">
        <f aca="false">xSPRDOPT($BW241,$BV241,$CG241,0,$BY241,$BX241,$BZ241,$AJ241,1,6)*$CB241</f>
        <v>#NAME?</v>
      </c>
      <c r="BK241" s="370" t="e">
        <f aca="false">xSPRDOPT($BW241,$BV241,$CG241,0,$BY241,$BX241,$BZ241,$AJ241,1,5)*$CB241</f>
        <v>#NAME?</v>
      </c>
      <c r="BL241" s="370" t="e">
        <f aca="false">xSPRDOPT(BW241,BV241,CG241,0,BY241,BX241,BZ241,AJ241,1,2)*CB241</f>
        <v>#NAME?</v>
      </c>
      <c r="BM241" s="370" t="e">
        <f aca="false">xSPRDOPT(BW241,BV241,CG241,0,BY241,BX241,BZ241,AJ241,1,1)*CB241</f>
        <v>#NAME?</v>
      </c>
      <c r="BN241" s="370" t="e">
        <f aca="false">IF(AH241&lt;&gt;0,xSPRDOPT($BW241,$BV241,$CG241,2*LN(1+CA241/2),$BY241,$BX241,$BZ241,$AJ241,1,8)+(AJ241/365.25)*CH241/AH241,0)</f>
        <v>#VALUE!</v>
      </c>
      <c r="BO241" s="370" t="e">
        <f aca="false">xSPRDOPT($BW241,$BV241,$CG241,0,$BY241,$BX241,$BZ241,$AJ241,1,0)</f>
        <v>#NAME?</v>
      </c>
      <c r="BP241" s="370"/>
      <c r="BQ241" s="370"/>
      <c r="BR241" s="370"/>
      <c r="BS241" s="370"/>
      <c r="BV241" s="508" t="n">
        <v>4.65831202046036</v>
      </c>
      <c r="BW241" s="369" t="n">
        <v>5.1195</v>
      </c>
      <c r="BX241" s="370" t="n">
        <v>0.170861332966285</v>
      </c>
      <c r="BY241" s="370" t="n">
        <v>0.170861332966285</v>
      </c>
      <c r="BZ241" s="370" t="n">
        <v>1</v>
      </c>
      <c r="CA241" s="370" t="n">
        <v>0.0659263038464588</v>
      </c>
      <c r="CB241" s="370" t="n">
        <v>0.304437681961246</v>
      </c>
      <c r="CC241" s="505" t="n">
        <v>0.024</v>
      </c>
      <c r="CD241" s="505" t="n">
        <v>0.01</v>
      </c>
      <c r="CE241" s="505" t="n">
        <v>0.6</v>
      </c>
      <c r="CF241" s="505" t="n">
        <v>0</v>
      </c>
      <c r="CG241" s="505" t="n">
        <v>0.0364</v>
      </c>
      <c r="CH241" s="505" t="n">
        <v>3.36738520017335</v>
      </c>
      <c r="CI241" s="505" t="n">
        <v>4.5195</v>
      </c>
      <c r="CJ241" s="505"/>
      <c r="CK241" s="505"/>
      <c r="CL241" s="505"/>
      <c r="CM241" s="505"/>
    </row>
    <row r="242" customFormat="false" ht="12.75" hidden="false" customHeight="false" outlineLevel="0" collapsed="false">
      <c r="A242" s="500"/>
      <c r="B242" s="500"/>
      <c r="D242" s="361" t="e">
        <f aca="false">D241+AH241</f>
        <v>#VALUE!</v>
      </c>
      <c r="F242" s="362" t="e">
        <f aca="false">VLOOKUP(AG242,$AL$4:$AS$15,2)</f>
        <v>#VALUE!</v>
      </c>
      <c r="G242" s="362" t="e">
        <f aca="false">F242*$AU242</f>
        <v>#VALUE!</v>
      </c>
      <c r="H242" s="363" t="e">
        <f aca="false">(AL242+AM242+AN242)/(1-(AR242))</f>
        <v>#VALUE!</v>
      </c>
      <c r="I242" s="363" t="e">
        <f aca="false">(AL242+AO242+AP242)</f>
        <v>#VALUE!</v>
      </c>
      <c r="K242" s="363" t="e">
        <f aca="false">MAX(((I242-H242)-AQ242)*AU242*AH242,0)</f>
        <v>#VALUE!</v>
      </c>
      <c r="L242" s="501" t="e">
        <f aca="false">MAX(Q242-K242,0)</f>
        <v>#VALUE!</v>
      </c>
      <c r="N242" s="502" t="e">
        <f aca="false">SQRT(($AX242^2*($AH242/2)+$AW242^2*$AI242)/(($AH242/2)+$AI242))</f>
        <v>#VALUE!</v>
      </c>
      <c r="O242" s="502" t="e">
        <f aca="false">SQRT(($AY242^2*($AH242/2)+$AW242^2*$AI242)/(($AH242/2)+$AI242))</f>
        <v>#VALUE!</v>
      </c>
      <c r="P242" s="371" t="e">
        <f aca="false">(VLOOKUP(AI242,CorrelationTwo,2)*(AW242^2)*AI242+VLOOKUP(D242,CorrelationOne,$AK$9)*AX242*AY242*(AH242/2))/((AI242+(AH242/2))*O242*N242)*AF242</f>
        <v>#VALUE!</v>
      </c>
      <c r="Q242" s="501" t="e">
        <f aca="false">xSPRDOPT(I242,H242,AQ242,0,O242,N242,P242,D242-$G$5,1,0)*AH242*AU242</f>
        <v>#VALUE!</v>
      </c>
      <c r="R242" s="501"/>
      <c r="S242" s="365" t="e">
        <f aca="false">-T242/(1-AR242)</f>
        <v>#VALUE!</v>
      </c>
      <c r="T242" s="365" t="e">
        <f aca="false">xSPRDOPT(I242,H242,AQ242,AT242,O242,N242,P242,D242-$G$5,1,1)*AF242*F242*AH242</f>
        <v>#VALUE!</v>
      </c>
      <c r="U242" s="501"/>
      <c r="V242" s="503" t="e">
        <f aca="false">VLOOKUP($AG242,$AL$4:$AS$15,8)*AH242*AU242</f>
        <v>#VALUE!</v>
      </c>
      <c r="W242" s="503"/>
      <c r="X242" s="504" t="e">
        <f aca="false">((BM242*BC242)+(BL242*BB242))*AH242*F242</f>
        <v>#VALUE!</v>
      </c>
      <c r="Y242" s="504" t="e">
        <f aca="false">($F242*$AH242)*((($BG242/2)*($BC242)^2)+(($BF242/2)*($BB242)^2)+($BH242*$BC242*$BB242))</f>
        <v>#VALUE!</v>
      </c>
      <c r="Z242" s="504" t="e">
        <f aca="false">($BI242*$F242*$AH242*($G$5-$BV$5))/365.25</f>
        <v>#VALUE!</v>
      </c>
      <c r="AA242" s="504" t="e">
        <f aca="false">(($BK242*$BE242)+($BJ242*$BD242))*$F242*$AH242*$AF242</f>
        <v>#VALUE!</v>
      </c>
      <c r="AB242" s="504" t="e">
        <f aca="false">BN242*(AT242-CA242)*F242*AH242</f>
        <v>#VALUE!</v>
      </c>
      <c r="AC242" s="504" t="e">
        <f aca="false">BO242*CB242*F242*AH242*CA242*($G$5-$BV$5)/365.25</f>
        <v>#NAME?</v>
      </c>
      <c r="AF242" s="378" t="e">
        <f aca="false">IF(AND(D242&gt;=$G$7,D242&lt;=$G$8),1,0)</f>
        <v>#VALUE!</v>
      </c>
      <c r="AG242" s="378" t="e">
        <f aca="false">MONTH(D242)</f>
        <v>#VALUE!</v>
      </c>
      <c r="AH242" s="378" t="e">
        <f aca="false">(EOMONTH(D242,0)-EOMONTH(D242-DAY(D242),0))*AF242</f>
        <v>#VALUE!</v>
      </c>
      <c r="AI242" s="378" t="e">
        <f aca="false">AI241+AH241</f>
        <v>#VALUE!</v>
      </c>
      <c r="AJ242" s="378" t="e">
        <f aca="false">D242-$BV$5</f>
        <v>#VALUE!</v>
      </c>
      <c r="AL242" s="369" t="e">
        <f aca="false">VLOOKUP($D242,CurveTbl,$AK$4)</f>
        <v>#VALUE!</v>
      </c>
      <c r="AM242" s="505" t="e">
        <f aca="false">VLOOKUP($D242,CurveTbl,$AH$3)</f>
        <v>#VALUE!</v>
      </c>
      <c r="AN242" s="505" t="e">
        <f aca="false">VLOOKUP($D242,CurveTbl,$AH$4)+VLOOKUP($AG242,$AL$3:$AS$15,6)</f>
        <v>#VALUE!</v>
      </c>
      <c r="AO242" s="505" t="e">
        <f aca="false">VLOOKUP($D242,CurveTbl,$AH$5)</f>
        <v>#VALUE!</v>
      </c>
      <c r="AP242" s="505" t="e">
        <f aca="false">VLOOKUP($D242,CurveTbl,$AH$6)+VLOOKUP($AG242,$AL$3:$AS$15,7)</f>
        <v>#VALUE!</v>
      </c>
      <c r="AQ242" s="369" t="e">
        <f aca="false">VLOOKUP($AG242,$AL$4:$AS$15,3)+VLOOKUP($AG242,$AL$4:$AS$15,5)+($AH$10*VLOOKUP(D242,GRITable,2))</f>
        <v>#VALUE!</v>
      </c>
      <c r="AR242" s="370" t="e">
        <f aca="false">VLOOKUP($AG242,$AL$4:$AS$15,4)</f>
        <v>#VALUE!</v>
      </c>
      <c r="AS242" s="369" t="e">
        <f aca="false">(AL242+AM242+AN242)</f>
        <v>#VALUE!</v>
      </c>
      <c r="AT242" s="370" t="e">
        <f aca="false">VLOOKUP(D242,CurveTbl,$AK$6)</f>
        <v>#VALUE!</v>
      </c>
      <c r="AU242" s="370" t="e">
        <f aca="false">(1+$AT242/2)^(-2*($D242-$G$5)/365.25)*$AF242</f>
        <v>#VALUE!</v>
      </c>
      <c r="AV242" s="506" t="e">
        <f aca="false">ROUND((F242/(1-AR242))-F242,0)*AF242*AH242*AU242</f>
        <v>#VALUE!</v>
      </c>
      <c r="AW242" s="370" t="e">
        <f aca="false">VLOOKUP($D242,CurveTbl,$AK$8)</f>
        <v>#VALUE!</v>
      </c>
      <c r="AX242" s="370" t="e">
        <f aca="false">VLOOKUP($D242,CurveTbl,$AH$7)</f>
        <v>#VALUE!</v>
      </c>
      <c r="AY242" s="370" t="e">
        <f aca="false">VLOOKUP($D242,CurveTbl,$AH$8)</f>
        <v>#VALUE!</v>
      </c>
      <c r="AZ242" s="370"/>
      <c r="BA242" s="507"/>
      <c r="BB242" s="505" t="e">
        <f aca="false">$H242-$BV242</f>
        <v>#VALUE!</v>
      </c>
      <c r="BC242" s="505" t="e">
        <f aca="false">I242-BW242</f>
        <v>#VALUE!</v>
      </c>
      <c r="BD242" s="370" t="e">
        <f aca="false">N242-BX242</f>
        <v>#VALUE!</v>
      </c>
      <c r="BE242" s="370" t="e">
        <f aca="false">O242-BY242</f>
        <v>#VALUE!</v>
      </c>
      <c r="BF242" s="370" t="e">
        <f aca="false">xSPRDOPT($BW242,$BV242,$CG242,0,$BY242,$BX242,$BZ242,$AJ242,1,4)*$CB242</f>
        <v>#NAME?</v>
      </c>
      <c r="BG242" s="370" t="e">
        <f aca="false">xSPRDOPT($BW242,$BV242,$CG242,0,$BY242,$BX242,$BZ242,$AJ242,1,3)*$CB242</f>
        <v>#NAME?</v>
      </c>
      <c r="BH242" s="370" t="e">
        <f aca="false">IF(OR(BF242&lt;&gt;0,BG242&lt;&gt;0),xSPRDOPT($BW242,$BV242,$CG242,0,$BY242,$BX242,$BZ242,$AJ242,1,12)*$CB242,0)</f>
        <v>#NAME?</v>
      </c>
      <c r="BI242" s="370" t="e">
        <f aca="false">xSPRDOPT($BW242,$BV242,$CG242,2*LN(1+CA242/2),$BY242,$BX242,$BZ242,$AJ242,1,9)</f>
        <v>#NAME?</v>
      </c>
      <c r="BJ242" s="370" t="e">
        <f aca="false">xSPRDOPT($BW242,$BV242,$CG242,0,$BY242,$BX242,$BZ242,$AJ242,1,6)*$CB242</f>
        <v>#NAME?</v>
      </c>
      <c r="BK242" s="370" t="e">
        <f aca="false">xSPRDOPT($BW242,$BV242,$CG242,0,$BY242,$BX242,$BZ242,$AJ242,1,5)*$CB242</f>
        <v>#NAME?</v>
      </c>
      <c r="BL242" s="370" t="e">
        <f aca="false">xSPRDOPT(BW242,BV242,CG242,0,BY242,BX242,BZ242,AJ242,1,2)*CB242</f>
        <v>#NAME?</v>
      </c>
      <c r="BM242" s="370" t="e">
        <f aca="false">xSPRDOPT(BW242,BV242,CG242,0,BY242,BX242,BZ242,AJ242,1,1)*CB242</f>
        <v>#NAME?</v>
      </c>
      <c r="BN242" s="370" t="e">
        <f aca="false">IF(AH242&lt;&gt;0,xSPRDOPT($BW242,$BV242,$CG242,2*LN(1+CA242/2),$BY242,$BX242,$BZ242,$AJ242,1,8)+(AJ242/365.25)*CH242/AH242,0)</f>
        <v>#VALUE!</v>
      </c>
      <c r="BO242" s="370" t="e">
        <f aca="false">xSPRDOPT($BW242,$BV242,$CG242,0,$BY242,$BX242,$BZ242,$AJ242,1,0)</f>
        <v>#NAME?</v>
      </c>
      <c r="BP242" s="370"/>
      <c r="BQ242" s="370"/>
      <c r="BR242" s="370"/>
      <c r="BS242" s="370"/>
      <c r="BV242" s="508" t="n">
        <v>4.65575447570333</v>
      </c>
      <c r="BW242" s="369" t="n">
        <v>5.2645</v>
      </c>
      <c r="BX242" s="370" t="n">
        <v>0.171172167209155</v>
      </c>
      <c r="BY242" s="370" t="n">
        <v>0.171172167209155</v>
      </c>
      <c r="BZ242" s="370" t="n">
        <v>1</v>
      </c>
      <c r="CA242" s="370" t="n">
        <v>0.0659655401082482</v>
      </c>
      <c r="CB242" s="370" t="n">
        <v>0.302608315711039</v>
      </c>
      <c r="CC242" s="505" t="n">
        <v>0.0265</v>
      </c>
      <c r="CD242" s="505" t="n">
        <v>0.01</v>
      </c>
      <c r="CE242" s="505" t="n">
        <v>0.75</v>
      </c>
      <c r="CF242" s="505" t="n">
        <v>0</v>
      </c>
      <c r="CG242" s="505" t="n">
        <v>0.0364</v>
      </c>
      <c r="CH242" s="505" t="n">
        <v>3.45872226608246</v>
      </c>
      <c r="CI242" s="505" t="n">
        <v>4.5145</v>
      </c>
      <c r="CJ242" s="505"/>
      <c r="CK242" s="505"/>
      <c r="CL242" s="505"/>
      <c r="CM242" s="505"/>
    </row>
    <row r="243" customFormat="false" ht="12.75" hidden="false" customHeight="false" outlineLevel="0" collapsed="false">
      <c r="A243" s="500"/>
      <c r="B243" s="500"/>
      <c r="D243" s="361" t="e">
        <f aca="false">D242+AH242</f>
        <v>#VALUE!</v>
      </c>
      <c r="F243" s="362" t="e">
        <f aca="false">VLOOKUP(AG243,$AL$4:$AS$15,2)</f>
        <v>#VALUE!</v>
      </c>
      <c r="G243" s="362" t="e">
        <f aca="false">F243*$AU243</f>
        <v>#VALUE!</v>
      </c>
      <c r="H243" s="363" t="e">
        <f aca="false">(AL243+AM243+AN243)/(1-(AR243))</f>
        <v>#VALUE!</v>
      </c>
      <c r="I243" s="363" t="e">
        <f aca="false">(AL243+AO243+AP243)</f>
        <v>#VALUE!</v>
      </c>
      <c r="K243" s="363" t="e">
        <f aca="false">MAX(((I243-H243)-AQ243)*AU243*AH243,0)</f>
        <v>#VALUE!</v>
      </c>
      <c r="L243" s="501" t="e">
        <f aca="false">MAX(Q243-K243,0)</f>
        <v>#VALUE!</v>
      </c>
      <c r="N243" s="502" t="e">
        <f aca="false">SQRT(($AX243^2*($AH243/2)+$AW243^2*$AI243)/(($AH243/2)+$AI243))</f>
        <v>#VALUE!</v>
      </c>
      <c r="O243" s="502" t="e">
        <f aca="false">SQRT(($AY243^2*($AH243/2)+$AW243^2*$AI243)/(($AH243/2)+$AI243))</f>
        <v>#VALUE!</v>
      </c>
      <c r="P243" s="371" t="e">
        <f aca="false">(VLOOKUP(AI243,CorrelationTwo,2)*(AW243^2)*AI243+VLOOKUP(D243,CorrelationOne,$AK$9)*AX243*AY243*(AH243/2))/((AI243+(AH243/2))*O243*N243)*AF243</f>
        <v>#VALUE!</v>
      </c>
      <c r="Q243" s="501" t="e">
        <f aca="false">xSPRDOPT(I243,H243,AQ243,0,O243,N243,P243,D243-$G$5,1,0)*AH243*AU243</f>
        <v>#VALUE!</v>
      </c>
      <c r="R243" s="501"/>
      <c r="S243" s="365" t="e">
        <f aca="false">-T243/(1-AR243)</f>
        <v>#VALUE!</v>
      </c>
      <c r="T243" s="365" t="e">
        <f aca="false">xSPRDOPT(I243,H243,AQ243,AT243,O243,N243,P243,D243-$G$5,1,1)*AF243*F243*AH243</f>
        <v>#VALUE!</v>
      </c>
      <c r="U243" s="501"/>
      <c r="V243" s="503" t="e">
        <f aca="false">VLOOKUP($AG243,$AL$4:$AS$15,8)*AH243*AU243</f>
        <v>#VALUE!</v>
      </c>
      <c r="W243" s="503"/>
      <c r="X243" s="504" t="e">
        <f aca="false">((BM243*BC243)+(BL243*BB243))*AH243*F243</f>
        <v>#VALUE!</v>
      </c>
      <c r="Y243" s="504" t="e">
        <f aca="false">($F243*$AH243)*((($BG243/2)*($BC243)^2)+(($BF243/2)*($BB243)^2)+($BH243*$BC243*$BB243))</f>
        <v>#VALUE!</v>
      </c>
      <c r="Z243" s="504" t="e">
        <f aca="false">($BI243*$F243*$AH243*($G$5-$BV$5))/365.25</f>
        <v>#VALUE!</v>
      </c>
      <c r="AA243" s="504" t="e">
        <f aca="false">(($BK243*$BE243)+($BJ243*$BD243))*$F243*$AH243*$AF243</f>
        <v>#VALUE!</v>
      </c>
      <c r="AB243" s="504" t="e">
        <f aca="false">BN243*(AT243-CA243)*F243*AH243</f>
        <v>#VALUE!</v>
      </c>
      <c r="AC243" s="504" t="e">
        <f aca="false">BO243*CB243*F243*AH243*CA243*($G$5-$BV$5)/365.25</f>
        <v>#NAME?</v>
      </c>
      <c r="AF243" s="378" t="e">
        <f aca="false">IF(AND(D243&gt;=$G$7,D243&lt;=$G$8),1,0)</f>
        <v>#VALUE!</v>
      </c>
      <c r="AG243" s="378" t="e">
        <f aca="false">MONTH(D243)</f>
        <v>#VALUE!</v>
      </c>
      <c r="AH243" s="378" t="e">
        <f aca="false">(EOMONTH(D243,0)-EOMONTH(D243-DAY(D243),0))*AF243</f>
        <v>#VALUE!</v>
      </c>
      <c r="AI243" s="378" t="e">
        <f aca="false">AI242+AH242</f>
        <v>#VALUE!</v>
      </c>
      <c r="AJ243" s="378" t="e">
        <f aca="false">D243-$BV$5</f>
        <v>#VALUE!</v>
      </c>
      <c r="AL243" s="369" t="e">
        <f aca="false">VLOOKUP($D243,CurveTbl,$AK$4)</f>
        <v>#VALUE!</v>
      </c>
      <c r="AM243" s="505" t="e">
        <f aca="false">VLOOKUP($D243,CurveTbl,$AH$3)</f>
        <v>#VALUE!</v>
      </c>
      <c r="AN243" s="505" t="e">
        <f aca="false">VLOOKUP($D243,CurveTbl,$AH$4)+VLOOKUP($AG243,$AL$3:$AS$15,6)</f>
        <v>#VALUE!</v>
      </c>
      <c r="AO243" s="505" t="e">
        <f aca="false">VLOOKUP($D243,CurveTbl,$AH$5)</f>
        <v>#VALUE!</v>
      </c>
      <c r="AP243" s="505" t="e">
        <f aca="false">VLOOKUP($D243,CurveTbl,$AH$6)+VLOOKUP($AG243,$AL$3:$AS$15,7)</f>
        <v>#VALUE!</v>
      </c>
      <c r="AQ243" s="369" t="e">
        <f aca="false">VLOOKUP($AG243,$AL$4:$AS$15,3)+VLOOKUP($AG243,$AL$4:$AS$15,5)+($AH$10*VLOOKUP(D243,GRITable,2))</f>
        <v>#VALUE!</v>
      </c>
      <c r="AR243" s="370" t="e">
        <f aca="false">VLOOKUP($AG243,$AL$4:$AS$15,4)</f>
        <v>#VALUE!</v>
      </c>
      <c r="AS243" s="369" t="e">
        <f aca="false">(AL243+AM243+AN243)</f>
        <v>#VALUE!</v>
      </c>
      <c r="AT243" s="370" t="e">
        <f aca="false">VLOOKUP(D243,CurveTbl,$AK$6)</f>
        <v>#VALUE!</v>
      </c>
      <c r="AU243" s="370" t="e">
        <f aca="false">(1+$AT243/2)^(-2*($D243-$G$5)/365.25)*$AF243</f>
        <v>#VALUE!</v>
      </c>
      <c r="AV243" s="506" t="e">
        <f aca="false">ROUND((F243/(1-AR243))-F243,0)*AF243*AH243*AU243</f>
        <v>#VALUE!</v>
      </c>
      <c r="AW243" s="370" t="e">
        <f aca="false">VLOOKUP($D243,CurveTbl,$AK$8)</f>
        <v>#VALUE!</v>
      </c>
      <c r="AX243" s="370" t="e">
        <f aca="false">VLOOKUP($D243,CurveTbl,$AH$7)</f>
        <v>#VALUE!</v>
      </c>
      <c r="AY243" s="370" t="e">
        <f aca="false">VLOOKUP($D243,CurveTbl,$AH$8)</f>
        <v>#VALUE!</v>
      </c>
      <c r="AZ243" s="370"/>
      <c r="BA243" s="507"/>
      <c r="BB243" s="505" t="e">
        <f aca="false">$H243-$BV243</f>
        <v>#VALUE!</v>
      </c>
      <c r="BC243" s="505" t="e">
        <f aca="false">I243-BW243</f>
        <v>#VALUE!</v>
      </c>
      <c r="BD243" s="370" t="e">
        <f aca="false">N243-BX243</f>
        <v>#VALUE!</v>
      </c>
      <c r="BE243" s="370" t="e">
        <f aca="false">O243-BY243</f>
        <v>#VALUE!</v>
      </c>
      <c r="BF243" s="370" t="e">
        <f aca="false">xSPRDOPT($BW243,$BV243,$CG243,0,$BY243,$BX243,$BZ243,$AJ243,1,4)*$CB243</f>
        <v>#NAME?</v>
      </c>
      <c r="BG243" s="370" t="e">
        <f aca="false">xSPRDOPT($BW243,$BV243,$CG243,0,$BY243,$BX243,$BZ243,$AJ243,1,3)*$CB243</f>
        <v>#NAME?</v>
      </c>
      <c r="BH243" s="370" t="e">
        <f aca="false">IF(OR(BF243&lt;&gt;0,BG243&lt;&gt;0),xSPRDOPT($BW243,$BV243,$CG243,0,$BY243,$BX243,$BZ243,$AJ243,1,12)*$CB243,0)</f>
        <v>#NAME?</v>
      </c>
      <c r="BI243" s="370" t="e">
        <f aca="false">xSPRDOPT($BW243,$BV243,$CG243,2*LN(1+CA243/2),$BY243,$BX243,$BZ243,$AJ243,1,9)</f>
        <v>#NAME?</v>
      </c>
      <c r="BJ243" s="370" t="e">
        <f aca="false">xSPRDOPT($BW243,$BV243,$CG243,0,$BY243,$BX243,$BZ243,$AJ243,1,6)*$CB243</f>
        <v>#NAME?</v>
      </c>
      <c r="BK243" s="370" t="e">
        <f aca="false">xSPRDOPT($BW243,$BV243,$CG243,0,$BY243,$BX243,$BZ243,$AJ243,1,5)*$CB243</f>
        <v>#NAME?</v>
      </c>
      <c r="BL243" s="370" t="e">
        <f aca="false">xSPRDOPT(BW243,BV243,CG243,0,BY243,BX243,BZ243,AJ243,1,2)*CB243</f>
        <v>#NAME?</v>
      </c>
      <c r="BM243" s="370" t="e">
        <f aca="false">xSPRDOPT(BW243,BV243,CG243,0,BY243,BX243,BZ243,AJ243,1,1)*CB243</f>
        <v>#NAME?</v>
      </c>
      <c r="BN243" s="370" t="e">
        <f aca="false">IF(AH243&lt;&gt;0,xSPRDOPT($BW243,$BV243,$CG243,2*LN(1+CA243/2),$BY243,$BX243,$BZ243,$AJ243,1,8)+(AJ243/365.25)*CH243/AH243,0)</f>
        <v>#VALUE!</v>
      </c>
      <c r="BO243" s="370" t="e">
        <f aca="false">xSPRDOPT($BW243,$BV243,$CG243,0,$BY243,$BX243,$BZ243,$AJ243,1,0)</f>
        <v>#NAME?</v>
      </c>
      <c r="BP243" s="370"/>
      <c r="BQ243" s="370"/>
      <c r="BR243" s="370"/>
      <c r="BS243" s="370"/>
      <c r="BV243" s="508" t="n">
        <v>4.69156010230179</v>
      </c>
      <c r="BW243" s="369" t="n">
        <v>5.3995</v>
      </c>
      <c r="BX243" s="370" t="n">
        <v>0.171129378226888</v>
      </c>
      <c r="BY243" s="370" t="n">
        <v>0.171129378226888</v>
      </c>
      <c r="BZ243" s="370" t="n">
        <v>1</v>
      </c>
      <c r="CA243" s="370" t="n">
        <v>0.066006084245966</v>
      </c>
      <c r="CB243" s="370" t="n">
        <v>0.300727551127966</v>
      </c>
      <c r="CC243" s="505" t="n">
        <v>0.0265</v>
      </c>
      <c r="CD243" s="505" t="n">
        <v>0.01</v>
      </c>
      <c r="CE243" s="505" t="n">
        <v>0.85</v>
      </c>
      <c r="CF243" s="505" t="n">
        <v>0</v>
      </c>
      <c r="CG243" s="505" t="n">
        <v>0.0364</v>
      </c>
      <c r="CH243" s="505" t="n">
        <v>3.32634744302643</v>
      </c>
      <c r="CI243" s="505" t="n">
        <v>4.5495</v>
      </c>
      <c r="CJ243" s="505"/>
      <c r="CK243" s="505"/>
      <c r="CL243" s="505"/>
      <c r="CM243" s="505"/>
    </row>
    <row r="244" customFormat="false" ht="12.75" hidden="false" customHeight="false" outlineLevel="0" collapsed="false">
      <c r="A244" s="500"/>
      <c r="B244" s="500"/>
      <c r="D244" s="361" t="e">
        <f aca="false">D243+AH243</f>
        <v>#VALUE!</v>
      </c>
      <c r="F244" s="362" t="e">
        <f aca="false">VLOOKUP(AG244,$AL$4:$AS$15,2)</f>
        <v>#VALUE!</v>
      </c>
      <c r="G244" s="362" t="e">
        <f aca="false">F244*$AU244</f>
        <v>#VALUE!</v>
      </c>
      <c r="H244" s="363" t="e">
        <f aca="false">(AL244+AM244+AN244)/(1-(AR244))</f>
        <v>#VALUE!</v>
      </c>
      <c r="I244" s="363" t="e">
        <f aca="false">(AL244+AO244+AP244)</f>
        <v>#VALUE!</v>
      </c>
      <c r="K244" s="363" t="e">
        <f aca="false">MAX(((I244-H244)-AQ244)*AU244*AH244,0)</f>
        <v>#VALUE!</v>
      </c>
      <c r="L244" s="501" t="e">
        <f aca="false">MAX(Q244-K244,0)</f>
        <v>#VALUE!</v>
      </c>
      <c r="N244" s="502" t="e">
        <f aca="false">SQRT(($AX244^2*($AH244/2)+$AW244^2*$AI244)/(($AH244/2)+$AI244))</f>
        <v>#VALUE!</v>
      </c>
      <c r="O244" s="502" t="e">
        <f aca="false">SQRT(($AY244^2*($AH244/2)+$AW244^2*$AI244)/(($AH244/2)+$AI244))</f>
        <v>#VALUE!</v>
      </c>
      <c r="P244" s="371" t="e">
        <f aca="false">(VLOOKUP(AI244,CorrelationTwo,2)*(AW244^2)*AI244+VLOOKUP(D244,CorrelationOne,$AK$9)*AX244*AY244*(AH244/2))/((AI244+(AH244/2))*O244*N244)*AF244</f>
        <v>#VALUE!</v>
      </c>
      <c r="Q244" s="501" t="e">
        <f aca="false">xSPRDOPT(I244,H244,AQ244,0,O244,N244,P244,D244-$G$5,1,0)*AH244*AU244</f>
        <v>#VALUE!</v>
      </c>
      <c r="R244" s="501"/>
      <c r="S244" s="365" t="e">
        <f aca="false">-T244/(1-AR244)</f>
        <v>#VALUE!</v>
      </c>
      <c r="T244" s="365" t="e">
        <f aca="false">xSPRDOPT(I244,H244,AQ244,AT244,O244,N244,P244,D244-$G$5,1,1)*AF244*F244*AH244</f>
        <v>#VALUE!</v>
      </c>
      <c r="U244" s="501"/>
      <c r="V244" s="503" t="e">
        <f aca="false">VLOOKUP($AG244,$AL$4:$AS$15,8)*AH244*AU244</f>
        <v>#VALUE!</v>
      </c>
      <c r="W244" s="503"/>
      <c r="X244" s="504" t="e">
        <f aca="false">((BM244*BC244)+(BL244*BB244))*AH244*F244</f>
        <v>#VALUE!</v>
      </c>
      <c r="Y244" s="504" t="e">
        <f aca="false">($F244*$AH244)*((($BG244/2)*($BC244)^2)+(($BF244/2)*($BB244)^2)+($BH244*$BC244*$BB244))</f>
        <v>#VALUE!</v>
      </c>
      <c r="Z244" s="504" t="e">
        <f aca="false">($BI244*$F244*$AH244*($G$5-$BV$5))/365.25</f>
        <v>#VALUE!</v>
      </c>
      <c r="AA244" s="504" t="e">
        <f aca="false">(($BK244*$BE244)+($BJ244*$BD244))*$F244*$AH244*$AF244</f>
        <v>#VALUE!</v>
      </c>
      <c r="AB244" s="504" t="e">
        <f aca="false">BN244*(AT244-CA244)*F244*AH244</f>
        <v>#VALUE!</v>
      </c>
      <c r="AC244" s="504" t="e">
        <f aca="false">BO244*CB244*F244*AH244*CA244*($G$5-$BV$5)/365.25</f>
        <v>#NAME?</v>
      </c>
      <c r="AF244" s="378" t="e">
        <f aca="false">IF(AND(D244&gt;=$G$7,D244&lt;=$G$8),1,0)</f>
        <v>#VALUE!</v>
      </c>
      <c r="AG244" s="378" t="e">
        <f aca="false">MONTH(D244)</f>
        <v>#VALUE!</v>
      </c>
      <c r="AH244" s="378" t="e">
        <f aca="false">(EOMONTH(D244,0)-EOMONTH(D244-DAY(D244),0))*AF244</f>
        <v>#VALUE!</v>
      </c>
      <c r="AI244" s="378" t="e">
        <f aca="false">AI243+AH243</f>
        <v>#VALUE!</v>
      </c>
      <c r="AJ244" s="378" t="e">
        <f aca="false">D244-$BV$5</f>
        <v>#VALUE!</v>
      </c>
      <c r="AL244" s="369" t="e">
        <f aca="false">VLOOKUP($D244,CurveTbl,$AK$4)</f>
        <v>#VALUE!</v>
      </c>
      <c r="AM244" s="505" t="e">
        <f aca="false">VLOOKUP($D244,CurveTbl,$AH$3)</f>
        <v>#VALUE!</v>
      </c>
      <c r="AN244" s="505" t="e">
        <f aca="false">VLOOKUP($D244,CurveTbl,$AH$4)+VLOOKUP($AG244,$AL$3:$AS$15,6)</f>
        <v>#VALUE!</v>
      </c>
      <c r="AO244" s="505" t="e">
        <f aca="false">VLOOKUP($D244,CurveTbl,$AH$5)</f>
        <v>#VALUE!</v>
      </c>
      <c r="AP244" s="505" t="e">
        <f aca="false">VLOOKUP($D244,CurveTbl,$AH$6)+VLOOKUP($AG244,$AL$3:$AS$15,7)</f>
        <v>#VALUE!</v>
      </c>
      <c r="AQ244" s="369" t="e">
        <f aca="false">VLOOKUP($AG244,$AL$4:$AS$15,3)+VLOOKUP($AG244,$AL$4:$AS$15,5)+($AH$10*VLOOKUP(D244,GRITable,2))</f>
        <v>#VALUE!</v>
      </c>
      <c r="AR244" s="370" t="e">
        <f aca="false">VLOOKUP($AG244,$AL$4:$AS$15,4)</f>
        <v>#VALUE!</v>
      </c>
      <c r="AS244" s="369" t="e">
        <f aca="false">(AL244+AM244+AN244)</f>
        <v>#VALUE!</v>
      </c>
      <c r="AT244" s="370" t="e">
        <f aca="false">VLOOKUP(D244,CurveTbl,$AK$6)</f>
        <v>#VALUE!</v>
      </c>
      <c r="AU244" s="370" t="e">
        <f aca="false">(1+$AT244/2)^(-2*($D244-$G$5)/365.25)*$AF244</f>
        <v>#VALUE!</v>
      </c>
      <c r="AV244" s="506" t="e">
        <f aca="false">ROUND((F244/(1-AR244))-F244,0)*AF244*AH244*AU244</f>
        <v>#VALUE!</v>
      </c>
      <c r="AW244" s="370" t="e">
        <f aca="false">VLOOKUP($D244,CurveTbl,$AK$8)</f>
        <v>#VALUE!</v>
      </c>
      <c r="AX244" s="370" t="e">
        <f aca="false">VLOOKUP($D244,CurveTbl,$AH$7)</f>
        <v>#VALUE!</v>
      </c>
      <c r="AY244" s="370" t="e">
        <f aca="false">VLOOKUP($D244,CurveTbl,$AH$8)</f>
        <v>#VALUE!</v>
      </c>
      <c r="AZ244" s="370"/>
      <c r="BA244" s="507"/>
      <c r="BB244" s="505" t="e">
        <f aca="false">$H244-$BV244</f>
        <v>#VALUE!</v>
      </c>
      <c r="BC244" s="505" t="e">
        <f aca="false">I244-BW244</f>
        <v>#VALUE!</v>
      </c>
      <c r="BD244" s="370" t="e">
        <f aca="false">N244-BX244</f>
        <v>#VALUE!</v>
      </c>
      <c r="BE244" s="370" t="e">
        <f aca="false">O244-BY244</f>
        <v>#VALUE!</v>
      </c>
      <c r="BF244" s="370" t="e">
        <f aca="false">xSPRDOPT($BW244,$BV244,$CG244,0,$BY244,$BX244,$BZ244,$AJ244,1,4)*$CB244</f>
        <v>#NAME?</v>
      </c>
      <c r="BG244" s="370" t="e">
        <f aca="false">xSPRDOPT($BW244,$BV244,$CG244,0,$BY244,$BX244,$BZ244,$AJ244,1,3)*$CB244</f>
        <v>#NAME?</v>
      </c>
      <c r="BH244" s="370" t="e">
        <f aca="false">IF(OR(BF244&lt;&gt;0,BG244&lt;&gt;0),xSPRDOPT($BW244,$BV244,$CG244,0,$BY244,$BX244,$BZ244,$AJ244,1,12)*$CB244,0)</f>
        <v>#NAME?</v>
      </c>
      <c r="BI244" s="370" t="e">
        <f aca="false">xSPRDOPT($BW244,$BV244,$CG244,2*LN(1+CA244/2),$BY244,$BX244,$BZ244,$AJ244,1,9)</f>
        <v>#NAME?</v>
      </c>
      <c r="BJ244" s="370" t="e">
        <f aca="false">xSPRDOPT($BW244,$BV244,$CG244,0,$BY244,$BX244,$BZ244,$AJ244,1,6)*$CB244</f>
        <v>#NAME?</v>
      </c>
      <c r="BK244" s="370" t="e">
        <f aca="false">xSPRDOPT($BW244,$BV244,$CG244,0,$BY244,$BX244,$BZ244,$AJ244,1,5)*$CB244</f>
        <v>#NAME?</v>
      </c>
      <c r="BL244" s="370" t="e">
        <f aca="false">xSPRDOPT(BW244,BV244,CG244,0,BY244,BX244,BZ244,AJ244,1,2)*CB244</f>
        <v>#NAME?</v>
      </c>
      <c r="BM244" s="370" t="e">
        <f aca="false">xSPRDOPT(BW244,BV244,CG244,0,BY244,BX244,BZ244,AJ244,1,1)*CB244</f>
        <v>#NAME?</v>
      </c>
      <c r="BN244" s="370" t="e">
        <f aca="false">IF(AH244&lt;&gt;0,xSPRDOPT($BW244,$BV244,$CG244,2*LN(1+CA244/2),$BY244,$BX244,$BZ244,$AJ244,1,8)+(AJ244/365.25)*CH244/AH244,0)</f>
        <v>#VALUE!</v>
      </c>
      <c r="BO244" s="370" t="e">
        <f aca="false">xSPRDOPT($BW244,$BV244,$CG244,0,$BY244,$BX244,$BZ244,$AJ244,1,0)</f>
        <v>#NAME?</v>
      </c>
      <c r="BP244" s="370"/>
      <c r="BQ244" s="370"/>
      <c r="BR244" s="370"/>
      <c r="BS244" s="370"/>
      <c r="BV244" s="508" t="n">
        <v>4.73248081841432</v>
      </c>
      <c r="BW244" s="369" t="n">
        <v>5.6395</v>
      </c>
      <c r="BX244" s="370" t="n">
        <v>0.171478154136035</v>
      </c>
      <c r="BY244" s="370" t="n">
        <v>0.171478154136035</v>
      </c>
      <c r="BZ244" s="370" t="n">
        <v>1</v>
      </c>
      <c r="CA244" s="370" t="n">
        <v>0.0660453205087914</v>
      </c>
      <c r="CB244" s="370" t="n">
        <v>0.298916694756229</v>
      </c>
      <c r="CC244" s="505" t="n">
        <v>0.0265</v>
      </c>
      <c r="CD244" s="505" t="n">
        <v>0.01</v>
      </c>
      <c r="CE244" s="505" t="n">
        <v>1.05</v>
      </c>
      <c r="CF244" s="505" t="n">
        <v>0</v>
      </c>
      <c r="CG244" s="505" t="n">
        <v>0.0364</v>
      </c>
      <c r="CH244" s="505" t="n">
        <v>3.41652814605527</v>
      </c>
      <c r="CI244" s="505" t="n">
        <v>4.5895</v>
      </c>
      <c r="CJ244" s="505"/>
      <c r="CK244" s="505"/>
      <c r="CL244" s="505"/>
      <c r="CM244" s="505"/>
    </row>
    <row r="245" customFormat="false" ht="12.75" hidden="false" customHeight="false" outlineLevel="0" collapsed="false">
      <c r="A245" s="500"/>
      <c r="B245" s="500"/>
      <c r="D245" s="361" t="e">
        <f aca="false">D244+AH244</f>
        <v>#VALUE!</v>
      </c>
      <c r="F245" s="362" t="e">
        <f aca="false">VLOOKUP(AG245,$AL$4:$AS$15,2)</f>
        <v>#VALUE!</v>
      </c>
      <c r="G245" s="362" t="e">
        <f aca="false">F245*$AU245</f>
        <v>#VALUE!</v>
      </c>
      <c r="H245" s="363" t="e">
        <f aca="false">(AL245+AM245+AN245)/(1-(AR245))</f>
        <v>#VALUE!</v>
      </c>
      <c r="I245" s="363" t="e">
        <f aca="false">(AL245+AO245+AP245)</f>
        <v>#VALUE!</v>
      </c>
      <c r="K245" s="363" t="e">
        <f aca="false">MAX(((I245-H245)-AQ245)*AU245*AH245,0)</f>
        <v>#VALUE!</v>
      </c>
      <c r="L245" s="501" t="e">
        <f aca="false">MAX(Q245-K245,0)</f>
        <v>#VALUE!</v>
      </c>
      <c r="N245" s="502" t="e">
        <f aca="false">SQRT(($AX245^2*($AH245/2)+$AW245^2*$AI245)/(($AH245/2)+$AI245))</f>
        <v>#VALUE!</v>
      </c>
      <c r="O245" s="502" t="e">
        <f aca="false">SQRT(($AY245^2*($AH245/2)+$AW245^2*$AI245)/(($AH245/2)+$AI245))</f>
        <v>#VALUE!</v>
      </c>
      <c r="P245" s="371" t="e">
        <f aca="false">(VLOOKUP(AI245,CorrelationTwo,2)*(AW245^2)*AI245+VLOOKUP(D245,CorrelationOne,$AK$9)*AX245*AY245*(AH245/2))/((AI245+(AH245/2))*O245*N245)*AF245</f>
        <v>#VALUE!</v>
      </c>
      <c r="Q245" s="501" t="e">
        <f aca="false">xSPRDOPT(I245,H245,AQ245,0,O245,N245,P245,D245-$G$5,1,0)*AH245*AU245</f>
        <v>#VALUE!</v>
      </c>
      <c r="R245" s="501"/>
      <c r="S245" s="365" t="e">
        <f aca="false">-T245/(1-AR245)</f>
        <v>#VALUE!</v>
      </c>
      <c r="T245" s="365" t="e">
        <f aca="false">xSPRDOPT(I245,H245,AQ245,AT245,O245,N245,P245,D245-$G$5,1,1)*AF245*F245*AH245</f>
        <v>#VALUE!</v>
      </c>
      <c r="U245" s="501"/>
      <c r="V245" s="503" t="e">
        <f aca="false">VLOOKUP($AG245,$AL$4:$AS$15,8)*AH245*AU245</f>
        <v>#VALUE!</v>
      </c>
      <c r="W245" s="503"/>
      <c r="X245" s="504" t="e">
        <f aca="false">((BM245*BC245)+(BL245*BB245))*AH245*F245</f>
        <v>#VALUE!</v>
      </c>
      <c r="Y245" s="504" t="e">
        <f aca="false">($F245*$AH245)*((($BG245/2)*($BC245)^2)+(($BF245/2)*($BB245)^2)+($BH245*$BC245*$BB245))</f>
        <v>#VALUE!</v>
      </c>
      <c r="Z245" s="504" t="e">
        <f aca="false">($BI245*$F245*$AH245*($G$5-$BV$5))/365.25</f>
        <v>#VALUE!</v>
      </c>
      <c r="AA245" s="504" t="e">
        <f aca="false">(($BK245*$BE245)+($BJ245*$BD245))*$F245*$AH245*$AF245</f>
        <v>#VALUE!</v>
      </c>
      <c r="AB245" s="504" t="e">
        <f aca="false">BN245*(AT245-CA245)*F245*AH245</f>
        <v>#VALUE!</v>
      </c>
      <c r="AC245" s="504" t="e">
        <f aca="false">BO245*CB245*F245*AH245*CA245*($G$5-$BV$5)/365.25</f>
        <v>#NAME?</v>
      </c>
      <c r="AF245" s="378" t="e">
        <f aca="false">IF(AND(D245&gt;=$G$7,D245&lt;=$G$8),1,0)</f>
        <v>#VALUE!</v>
      </c>
      <c r="AG245" s="378" t="e">
        <f aca="false">MONTH(D245)</f>
        <v>#VALUE!</v>
      </c>
      <c r="AH245" s="378" t="e">
        <f aca="false">(EOMONTH(D245,0)-EOMONTH(D245-DAY(D245),0))*AF245</f>
        <v>#VALUE!</v>
      </c>
      <c r="AI245" s="378" t="e">
        <f aca="false">AI244+AH244</f>
        <v>#VALUE!</v>
      </c>
      <c r="AJ245" s="378" t="e">
        <f aca="false">D245-$BV$5</f>
        <v>#VALUE!</v>
      </c>
      <c r="AL245" s="369" t="e">
        <f aca="false">VLOOKUP($D245,CurveTbl,$AK$4)</f>
        <v>#VALUE!</v>
      </c>
      <c r="AM245" s="505" t="e">
        <f aca="false">VLOOKUP($D245,CurveTbl,$AH$3)</f>
        <v>#VALUE!</v>
      </c>
      <c r="AN245" s="505" t="e">
        <f aca="false">VLOOKUP($D245,CurveTbl,$AH$4)+VLOOKUP($AG245,$AL$3:$AS$15,6)</f>
        <v>#VALUE!</v>
      </c>
      <c r="AO245" s="505" t="e">
        <f aca="false">VLOOKUP($D245,CurveTbl,$AH$5)</f>
        <v>#VALUE!</v>
      </c>
      <c r="AP245" s="505" t="e">
        <f aca="false">VLOOKUP($D245,CurveTbl,$AH$6)+VLOOKUP($AG245,$AL$3:$AS$15,7)</f>
        <v>#VALUE!</v>
      </c>
      <c r="AQ245" s="369" t="e">
        <f aca="false">VLOOKUP($AG245,$AL$4:$AS$15,3)+VLOOKUP($AG245,$AL$4:$AS$15,5)+($AH$10*VLOOKUP(D245,GRITable,2))</f>
        <v>#VALUE!</v>
      </c>
      <c r="AR245" s="370" t="e">
        <f aca="false">VLOOKUP($AG245,$AL$4:$AS$15,4)</f>
        <v>#VALUE!</v>
      </c>
      <c r="AS245" s="369" t="e">
        <f aca="false">(AL245+AM245+AN245)</f>
        <v>#VALUE!</v>
      </c>
      <c r="AT245" s="370" t="e">
        <f aca="false">VLOOKUP(D245,CurveTbl,$AK$6)</f>
        <v>#VALUE!</v>
      </c>
      <c r="AU245" s="370" t="e">
        <f aca="false">(1+$AT245/2)^(-2*($D245-$G$5)/365.25)*$AF245</f>
        <v>#VALUE!</v>
      </c>
      <c r="AV245" s="506" t="e">
        <f aca="false">ROUND((F245/(1-AR245))-F245,0)*AF245*AH245*AU245</f>
        <v>#VALUE!</v>
      </c>
      <c r="AW245" s="370" t="e">
        <f aca="false">VLOOKUP($D245,CurveTbl,$AK$8)</f>
        <v>#VALUE!</v>
      </c>
      <c r="AX245" s="370" t="e">
        <f aca="false">VLOOKUP($D245,CurveTbl,$AH$7)</f>
        <v>#VALUE!</v>
      </c>
      <c r="AY245" s="370" t="e">
        <f aca="false">VLOOKUP($D245,CurveTbl,$AH$8)</f>
        <v>#VALUE!</v>
      </c>
      <c r="AZ245" s="370"/>
      <c r="BA245" s="507"/>
      <c r="BB245" s="505" t="e">
        <f aca="false">$H245-$BV245</f>
        <v>#VALUE!</v>
      </c>
      <c r="BC245" s="505" t="e">
        <f aca="false">I245-BW245</f>
        <v>#VALUE!</v>
      </c>
      <c r="BD245" s="370" t="e">
        <f aca="false">N245-BX245</f>
        <v>#VALUE!</v>
      </c>
      <c r="BE245" s="370" t="e">
        <f aca="false">O245-BY245</f>
        <v>#VALUE!</v>
      </c>
      <c r="BF245" s="370" t="e">
        <f aca="false">xSPRDOPT($BW245,$BV245,$CG245,0,$BY245,$BX245,$BZ245,$AJ245,1,4)*$CB245</f>
        <v>#NAME?</v>
      </c>
      <c r="BG245" s="370" t="e">
        <f aca="false">xSPRDOPT($BW245,$BV245,$CG245,0,$BY245,$BX245,$BZ245,$AJ245,1,3)*$CB245</f>
        <v>#NAME?</v>
      </c>
      <c r="BH245" s="370" t="e">
        <f aca="false">IF(OR(BF245&lt;&gt;0,BG245&lt;&gt;0),xSPRDOPT($BW245,$BV245,$CG245,0,$BY245,$BX245,$BZ245,$AJ245,1,12)*$CB245,0)</f>
        <v>#NAME?</v>
      </c>
      <c r="BI245" s="370" t="e">
        <f aca="false">xSPRDOPT($BW245,$BV245,$CG245,2*LN(1+CA245/2),$BY245,$BX245,$BZ245,$AJ245,1,9)</f>
        <v>#NAME?</v>
      </c>
      <c r="BJ245" s="370" t="e">
        <f aca="false">xSPRDOPT($BW245,$BV245,$CG245,0,$BY245,$BX245,$BZ245,$AJ245,1,6)*$CB245</f>
        <v>#NAME?</v>
      </c>
      <c r="BK245" s="370" t="e">
        <f aca="false">xSPRDOPT($BW245,$BV245,$CG245,0,$BY245,$BX245,$BZ245,$AJ245,1,5)*$CB245</f>
        <v>#NAME?</v>
      </c>
      <c r="BL245" s="370" t="e">
        <f aca="false">xSPRDOPT(BW245,BV245,CG245,0,BY245,BX245,BZ245,AJ245,1,2)*CB245</f>
        <v>#NAME?</v>
      </c>
      <c r="BM245" s="370" t="e">
        <f aca="false">xSPRDOPT(BW245,BV245,CG245,0,BY245,BX245,BZ245,AJ245,1,1)*CB245</f>
        <v>#NAME?</v>
      </c>
      <c r="BN245" s="370" t="e">
        <f aca="false">IF(AH245&lt;&gt;0,xSPRDOPT($BW245,$BV245,$CG245,2*LN(1+CA245/2),$BY245,$BX245,$BZ245,$AJ245,1,8)+(AJ245/365.25)*CH245/AH245,0)</f>
        <v>#VALUE!</v>
      </c>
      <c r="BO245" s="370" t="e">
        <f aca="false">xSPRDOPT($BW245,$BV245,$CG245,0,$BY245,$BX245,$BZ245,$AJ245,1,0)</f>
        <v>#NAME?</v>
      </c>
      <c r="BP245" s="370"/>
      <c r="BQ245" s="370"/>
      <c r="BR245" s="370"/>
      <c r="BS245" s="370"/>
      <c r="BV245" s="508" t="n">
        <v>4.76828644501279</v>
      </c>
      <c r="BW245" s="369" t="n">
        <v>5.6795</v>
      </c>
      <c r="BX245" s="370" t="n">
        <v>0.17</v>
      </c>
      <c r="BY245" s="370" t="n">
        <v>0.17</v>
      </c>
      <c r="BZ245" s="370" t="n">
        <v>0</v>
      </c>
      <c r="CA245" s="370" t="n">
        <v>0.0660858646475808</v>
      </c>
      <c r="CB245" s="370" t="n">
        <v>0</v>
      </c>
      <c r="CC245" s="505" t="n">
        <v>0.0215</v>
      </c>
      <c r="CD245" s="505" t="n">
        <v>0.01</v>
      </c>
      <c r="CE245" s="505" t="n">
        <v>1.05</v>
      </c>
      <c r="CF245" s="505" t="n">
        <v>0</v>
      </c>
      <c r="CG245" s="505" t="n">
        <v>0.0364</v>
      </c>
      <c r="CH245" s="505" t="n">
        <v>0</v>
      </c>
      <c r="CI245" s="505" t="n">
        <v>4.6295</v>
      </c>
      <c r="CJ245" s="505"/>
      <c r="CK245" s="505"/>
      <c r="CL245" s="505"/>
      <c r="CM245" s="505"/>
    </row>
    <row r="246" customFormat="false" ht="12.75" hidden="false" customHeight="false" outlineLevel="0" collapsed="false">
      <c r="A246" s="500"/>
      <c r="B246" s="500"/>
      <c r="D246" s="361" t="e">
        <f aca="false">D245+AH245</f>
        <v>#VALUE!</v>
      </c>
      <c r="F246" s="362" t="e">
        <f aca="false">VLOOKUP(AG246,$AL$4:$AS$15,2)</f>
        <v>#VALUE!</v>
      </c>
      <c r="G246" s="362" t="e">
        <f aca="false">F246*$AU246</f>
        <v>#VALUE!</v>
      </c>
      <c r="H246" s="363" t="e">
        <f aca="false">(AL246+AM246+AN246)/(1-(AR246))</f>
        <v>#VALUE!</v>
      </c>
      <c r="I246" s="363" t="e">
        <f aca="false">(AL246+AO246+AP246)</f>
        <v>#VALUE!</v>
      </c>
      <c r="K246" s="363" t="e">
        <f aca="false">MAX(((I246-H246)-AQ246)*AU246*AH246,0)</f>
        <v>#VALUE!</v>
      </c>
      <c r="L246" s="501" t="e">
        <f aca="false">MAX(Q246-K246,0)</f>
        <v>#VALUE!</v>
      </c>
      <c r="N246" s="502" t="e">
        <f aca="false">SQRT(($AX246^2*($AH246/2)+$AW246^2*$AI246)/(($AH246/2)+$AI246))</f>
        <v>#VALUE!</v>
      </c>
      <c r="O246" s="502" t="e">
        <f aca="false">SQRT(($AY246^2*($AH246/2)+$AW246^2*$AI246)/(($AH246/2)+$AI246))</f>
        <v>#VALUE!</v>
      </c>
      <c r="P246" s="371" t="e">
        <f aca="false">(VLOOKUP(AI246,CorrelationTwo,2)*(AW246^2)*AI246+VLOOKUP(D246,CorrelationOne,$AK$9)*AX246*AY246*(AH246/2))/((AI246+(AH246/2))*O246*N246)*AF246</f>
        <v>#VALUE!</v>
      </c>
      <c r="Q246" s="501" t="e">
        <f aca="false">xSPRDOPT(I246,H246,AQ246,0,O246,N246,P246,D246-$G$5,1,0)*AH246*AU246</f>
        <v>#VALUE!</v>
      </c>
      <c r="R246" s="501"/>
      <c r="S246" s="365" t="e">
        <f aca="false">-T246/(1-AR246)</f>
        <v>#VALUE!</v>
      </c>
      <c r="T246" s="365" t="e">
        <f aca="false">xSPRDOPT(I246,H246,AQ246,AT246,O246,N246,P246,D246-$G$5,1,1)*AF246*F246*AH246</f>
        <v>#VALUE!</v>
      </c>
      <c r="U246" s="501"/>
      <c r="V246" s="503" t="e">
        <f aca="false">VLOOKUP($AG246,$AL$4:$AS$15,8)*AH246*AU246</f>
        <v>#VALUE!</v>
      </c>
      <c r="W246" s="503"/>
      <c r="X246" s="504" t="e">
        <f aca="false">((BM246*BC246)+(BL246*BB246))*AH246*F246</f>
        <v>#VALUE!</v>
      </c>
      <c r="Y246" s="504" t="e">
        <f aca="false">($F246*$AH246)*((($BG246/2)*($BC246)^2)+(($BF246/2)*($BB246)^2)+($BH246*$BC246*$BB246))</f>
        <v>#VALUE!</v>
      </c>
      <c r="Z246" s="504" t="e">
        <f aca="false">($BI246*$F246*$AH246*($G$5-$BV$5))/365.25</f>
        <v>#VALUE!</v>
      </c>
      <c r="AA246" s="504" t="e">
        <f aca="false">(($BK246*$BE246)+($BJ246*$BD246))*$F246*$AH246*$AF246</f>
        <v>#VALUE!</v>
      </c>
      <c r="AB246" s="504" t="e">
        <f aca="false">BN246*(AT246-CA246)*F246*AH246</f>
        <v>#VALUE!</v>
      </c>
      <c r="AC246" s="504" t="e">
        <f aca="false">BO246*CB246*F246*AH246*CA246*($G$5-$BV$5)/365.25</f>
        <v>#NAME?</v>
      </c>
      <c r="AF246" s="378" t="e">
        <f aca="false">IF(AND(D246&gt;=$G$7,D246&lt;=$G$8),1,0)</f>
        <v>#VALUE!</v>
      </c>
      <c r="AG246" s="378" t="e">
        <f aca="false">MONTH(D246)</f>
        <v>#VALUE!</v>
      </c>
      <c r="AH246" s="378" t="e">
        <f aca="false">(EOMONTH(D246,0)-EOMONTH(D246-DAY(D246),0))*AF246</f>
        <v>#VALUE!</v>
      </c>
      <c r="AI246" s="378" t="e">
        <f aca="false">AI245+AH245</f>
        <v>#VALUE!</v>
      </c>
      <c r="AJ246" s="378" t="e">
        <f aca="false">D246-$BV$5</f>
        <v>#VALUE!</v>
      </c>
      <c r="AL246" s="369" t="e">
        <f aca="false">VLOOKUP($D246,CurveTbl,$AK$4)</f>
        <v>#VALUE!</v>
      </c>
      <c r="AM246" s="505" t="e">
        <f aca="false">VLOOKUP($D246,CurveTbl,$AH$3)</f>
        <v>#VALUE!</v>
      </c>
      <c r="AN246" s="505" t="e">
        <f aca="false">VLOOKUP($D246,CurveTbl,$AH$4)+VLOOKUP($AG246,$AL$3:$AS$15,6)</f>
        <v>#VALUE!</v>
      </c>
      <c r="AO246" s="505" t="e">
        <f aca="false">VLOOKUP($D246,CurveTbl,$AH$5)</f>
        <v>#VALUE!</v>
      </c>
      <c r="AP246" s="505" t="e">
        <f aca="false">VLOOKUP($D246,CurveTbl,$AH$6)+VLOOKUP($AG246,$AL$3:$AS$15,7)</f>
        <v>#VALUE!</v>
      </c>
      <c r="AQ246" s="369" t="e">
        <f aca="false">VLOOKUP($AG246,$AL$4:$AS$15,3)+VLOOKUP($AG246,$AL$4:$AS$15,5)+($AH$10*VLOOKUP(D246,GRITable,2))</f>
        <v>#VALUE!</v>
      </c>
      <c r="AR246" s="370" t="e">
        <f aca="false">VLOOKUP($AG246,$AL$4:$AS$15,4)</f>
        <v>#VALUE!</v>
      </c>
      <c r="AS246" s="369" t="e">
        <f aca="false">(AL246+AM246+AN246)</f>
        <v>#VALUE!</v>
      </c>
      <c r="AT246" s="370" t="e">
        <f aca="false">VLOOKUP(D246,CurveTbl,$AK$6)</f>
        <v>#VALUE!</v>
      </c>
      <c r="AU246" s="370" t="e">
        <f aca="false">(1+$AT246/2)^(-2*($D246-$G$5)/365.25)*$AF246</f>
        <v>#VALUE!</v>
      </c>
      <c r="AV246" s="506" t="e">
        <f aca="false">ROUND((F246/(1-AR246))-F246,0)*AF246*AH246*AU246</f>
        <v>#VALUE!</v>
      </c>
      <c r="AW246" s="370" t="e">
        <f aca="false">VLOOKUP($D246,CurveTbl,$AK$8)</f>
        <v>#VALUE!</v>
      </c>
      <c r="AX246" s="370" t="e">
        <f aca="false">VLOOKUP($D246,CurveTbl,$AH$7)</f>
        <v>#VALUE!</v>
      </c>
      <c r="AY246" s="370" t="e">
        <f aca="false">VLOOKUP($D246,CurveTbl,$AH$8)</f>
        <v>#VALUE!</v>
      </c>
      <c r="AZ246" s="370"/>
      <c r="BA246" s="507"/>
      <c r="BB246" s="505" t="e">
        <f aca="false">$H246-$BV246</f>
        <v>#VALUE!</v>
      </c>
      <c r="BC246" s="505" t="e">
        <f aca="false">I246-BW246</f>
        <v>#VALUE!</v>
      </c>
      <c r="BD246" s="370" t="e">
        <f aca="false">N246-BX246</f>
        <v>#VALUE!</v>
      </c>
      <c r="BE246" s="370" t="e">
        <f aca="false">O246-BY246</f>
        <v>#VALUE!</v>
      </c>
      <c r="BF246" s="370" t="e">
        <f aca="false">xSPRDOPT($BW246,$BV246,$CG246,0,$BY246,$BX246,$BZ246,$AJ246,1,4)*$CB246</f>
        <v>#NAME?</v>
      </c>
      <c r="BG246" s="370" t="e">
        <f aca="false">xSPRDOPT($BW246,$BV246,$CG246,0,$BY246,$BX246,$BZ246,$AJ246,1,3)*$CB246</f>
        <v>#NAME?</v>
      </c>
      <c r="BH246" s="370" t="e">
        <f aca="false">IF(OR(BF246&lt;&gt;0,BG246&lt;&gt;0),xSPRDOPT($BW246,$BV246,$CG246,0,$BY246,$BX246,$BZ246,$AJ246,1,12)*$CB246,0)</f>
        <v>#NAME?</v>
      </c>
      <c r="BI246" s="370" t="e">
        <f aca="false">xSPRDOPT($BW246,$BV246,$CG246,2*LN(1+CA246/2),$BY246,$BX246,$BZ246,$AJ246,1,9)</f>
        <v>#NAME?</v>
      </c>
      <c r="BJ246" s="370" t="e">
        <f aca="false">xSPRDOPT($BW246,$BV246,$CG246,0,$BY246,$BX246,$BZ246,$AJ246,1,6)*$CB246</f>
        <v>#NAME?</v>
      </c>
      <c r="BK246" s="370" t="e">
        <f aca="false">xSPRDOPT($BW246,$BV246,$CG246,0,$BY246,$BX246,$BZ246,$AJ246,1,5)*$CB246</f>
        <v>#NAME?</v>
      </c>
      <c r="BL246" s="370" t="e">
        <f aca="false">xSPRDOPT(BW246,BV246,CG246,0,BY246,BX246,BZ246,AJ246,1,2)*CB246</f>
        <v>#NAME?</v>
      </c>
      <c r="BM246" s="370" t="e">
        <f aca="false">xSPRDOPT(BW246,BV246,CG246,0,BY246,BX246,BZ246,AJ246,1,1)*CB246</f>
        <v>#NAME?</v>
      </c>
      <c r="BN246" s="370" t="e">
        <f aca="false">IF(AH246&lt;&gt;0,xSPRDOPT($BW246,$BV246,$CG246,2*LN(1+CA246/2),$BY246,$BX246,$BZ246,$AJ246,1,8)+(AJ246/365.25)*CH246/AH246,0)</f>
        <v>#VALUE!</v>
      </c>
      <c r="BO246" s="370" t="e">
        <f aca="false">xSPRDOPT($BW246,$BV246,$CG246,0,$BY246,$BX246,$BZ246,$AJ246,1,0)</f>
        <v>#NAME?</v>
      </c>
      <c r="BP246" s="370"/>
      <c r="BQ246" s="370"/>
      <c r="BR246" s="370"/>
      <c r="BS246" s="370"/>
      <c r="BV246" s="508" t="n">
        <v>4.76828644501279</v>
      </c>
      <c r="BW246" s="369" t="n">
        <v>5.6795</v>
      </c>
      <c r="BX246" s="370" t="n">
        <v>0.17</v>
      </c>
      <c r="BY246" s="370" t="n">
        <v>0.17</v>
      </c>
      <c r="BZ246" s="370" t="n">
        <v>0</v>
      </c>
      <c r="CA246" s="370" t="n">
        <v>0.0660858646475808</v>
      </c>
      <c r="CB246" s="370" t="n">
        <v>0</v>
      </c>
      <c r="CC246" s="505" t="n">
        <v>0.0215</v>
      </c>
      <c r="CD246" s="505" t="n">
        <v>0.01</v>
      </c>
      <c r="CE246" s="505" t="n">
        <v>1.05</v>
      </c>
      <c r="CF246" s="505" t="n">
        <v>0</v>
      </c>
      <c r="CG246" s="505" t="n">
        <v>0.0364</v>
      </c>
      <c r="CH246" s="505" t="n">
        <v>0</v>
      </c>
      <c r="CI246" s="505" t="n">
        <v>4.6295</v>
      </c>
      <c r="CJ246" s="505"/>
      <c r="CK246" s="505"/>
      <c r="CL246" s="505"/>
      <c r="CM246" s="505"/>
    </row>
    <row r="247" customFormat="false" ht="12.75" hidden="false" customHeight="false" outlineLevel="0" collapsed="false">
      <c r="A247" s="500"/>
      <c r="B247" s="500"/>
      <c r="D247" s="361" t="e">
        <f aca="false">D246+AH246</f>
        <v>#VALUE!</v>
      </c>
      <c r="F247" s="362" t="e">
        <f aca="false">VLOOKUP(AG247,$AL$4:$AS$15,2)</f>
        <v>#VALUE!</v>
      </c>
      <c r="G247" s="362" t="e">
        <f aca="false">F247*$AU247</f>
        <v>#VALUE!</v>
      </c>
      <c r="H247" s="363" t="e">
        <f aca="false">(AL247+AM247+AN247)/(1-(AR247))</f>
        <v>#VALUE!</v>
      </c>
      <c r="I247" s="363" t="e">
        <f aca="false">(AL247+AO247+AP247)</f>
        <v>#VALUE!</v>
      </c>
      <c r="K247" s="363" t="e">
        <f aca="false">MAX(((I247-H247)-AQ247)*AU247*AH247,0)</f>
        <v>#VALUE!</v>
      </c>
      <c r="L247" s="501" t="e">
        <f aca="false">MAX(Q247-K247,0)</f>
        <v>#VALUE!</v>
      </c>
      <c r="N247" s="502" t="e">
        <f aca="false">SQRT(($AX247^2*($AH247/2)+$AW247^2*$AI247)/(($AH247/2)+$AI247))</f>
        <v>#VALUE!</v>
      </c>
      <c r="O247" s="502" t="e">
        <f aca="false">SQRT(($AY247^2*($AH247/2)+$AW247^2*$AI247)/(($AH247/2)+$AI247))</f>
        <v>#VALUE!</v>
      </c>
      <c r="P247" s="371" t="e">
        <f aca="false">(VLOOKUP(AI247,CorrelationTwo,2)*(AW247^2)*AI247+VLOOKUP(D247,CorrelationOne,$AK$9)*AX247*AY247*(AH247/2))/((AI247+(AH247/2))*O247*N247)*AF247</f>
        <v>#VALUE!</v>
      </c>
      <c r="Q247" s="501" t="e">
        <f aca="false">xSPRDOPT(I247,H247,AQ247,0,O247,N247,P247,D247-$G$5,1,0)*AH247*AU247</f>
        <v>#VALUE!</v>
      </c>
      <c r="R247" s="501"/>
      <c r="S247" s="365" t="e">
        <f aca="false">-T247/(1-AR247)</f>
        <v>#VALUE!</v>
      </c>
      <c r="T247" s="365" t="e">
        <f aca="false">xSPRDOPT(I247,H247,AQ247,AT247,O247,N247,P247,D247-$G$5,1,1)*AF247*F247*AH247</f>
        <v>#VALUE!</v>
      </c>
      <c r="U247" s="501"/>
      <c r="V247" s="503" t="e">
        <f aca="false">VLOOKUP($AG247,$AL$4:$AS$15,8)*AH247*AU247</f>
        <v>#VALUE!</v>
      </c>
      <c r="W247" s="503"/>
      <c r="X247" s="504" t="e">
        <f aca="false">((BM247*BC247)+(BL247*BB247))*AH247*F247</f>
        <v>#VALUE!</v>
      </c>
      <c r="Y247" s="504" t="e">
        <f aca="false">($F247*$AH247)*((($BG247/2)*($BC247)^2)+(($BF247/2)*($BB247)^2)+($BH247*$BC247*$BB247))</f>
        <v>#VALUE!</v>
      </c>
      <c r="Z247" s="504" t="e">
        <f aca="false">($BI247*$F247*$AH247*($G$5-$BV$5))/365.25</f>
        <v>#VALUE!</v>
      </c>
      <c r="AA247" s="504" t="e">
        <f aca="false">(($BK247*$BE247)+($BJ247*$BD247))*$F247*$AH247*$AF247</f>
        <v>#VALUE!</v>
      </c>
      <c r="AB247" s="504" t="e">
        <f aca="false">BN247*(AT247-CA247)*F247*AH247</f>
        <v>#VALUE!</v>
      </c>
      <c r="AC247" s="504" t="e">
        <f aca="false">BO247*CB247*F247*AH247*CA247*($G$5-$BV$5)/365.25</f>
        <v>#NAME?</v>
      </c>
      <c r="AF247" s="378" t="e">
        <f aca="false">IF(AND(D247&gt;=$G$7,D247&lt;=$G$8),1,0)</f>
        <v>#VALUE!</v>
      </c>
      <c r="AG247" s="378" t="e">
        <f aca="false">MONTH(D247)</f>
        <v>#VALUE!</v>
      </c>
      <c r="AH247" s="378" t="e">
        <f aca="false">(EOMONTH(D247,0)-EOMONTH(D247-DAY(D247),0))*AF247</f>
        <v>#VALUE!</v>
      </c>
      <c r="AI247" s="378" t="e">
        <f aca="false">AI246+AH246</f>
        <v>#VALUE!</v>
      </c>
      <c r="AJ247" s="378" t="e">
        <f aca="false">D247-$BV$5</f>
        <v>#VALUE!</v>
      </c>
      <c r="AL247" s="369" t="e">
        <f aca="false">VLOOKUP($D247,CurveTbl,$AK$4)</f>
        <v>#VALUE!</v>
      </c>
      <c r="AM247" s="505" t="e">
        <f aca="false">VLOOKUP($D247,CurveTbl,$AH$3)</f>
        <v>#VALUE!</v>
      </c>
      <c r="AN247" s="505" t="e">
        <f aca="false">VLOOKUP($D247,CurveTbl,$AH$4)+VLOOKUP($AG247,$AL$3:$AS$15,6)</f>
        <v>#VALUE!</v>
      </c>
      <c r="AO247" s="505" t="e">
        <f aca="false">VLOOKUP($D247,CurveTbl,$AH$5)</f>
        <v>#VALUE!</v>
      </c>
      <c r="AP247" s="505" t="e">
        <f aca="false">VLOOKUP($D247,CurveTbl,$AH$6)+VLOOKUP($AG247,$AL$3:$AS$15,7)</f>
        <v>#VALUE!</v>
      </c>
      <c r="AQ247" s="369" t="e">
        <f aca="false">VLOOKUP($AG247,$AL$4:$AS$15,3)+VLOOKUP($AG247,$AL$4:$AS$15,5)+($AH$10*VLOOKUP(D247,GRITable,2))</f>
        <v>#VALUE!</v>
      </c>
      <c r="AR247" s="370" t="e">
        <f aca="false">VLOOKUP($AG247,$AL$4:$AS$15,4)</f>
        <v>#VALUE!</v>
      </c>
      <c r="AS247" s="369" t="e">
        <f aca="false">(AL247+AM247+AN247)</f>
        <v>#VALUE!</v>
      </c>
      <c r="AT247" s="370" t="e">
        <f aca="false">VLOOKUP(D247,CurveTbl,$AK$6)</f>
        <v>#VALUE!</v>
      </c>
      <c r="AU247" s="370" t="e">
        <f aca="false">(1+$AT247/2)^(-2*($D247-$G$5)/365.25)*$AF247</f>
        <v>#VALUE!</v>
      </c>
      <c r="AV247" s="506" t="e">
        <f aca="false">ROUND((F247/(1-AR247))-F247,0)*AF247*AH247*AU247</f>
        <v>#VALUE!</v>
      </c>
      <c r="AW247" s="370" t="e">
        <f aca="false">VLOOKUP($D247,CurveTbl,$AK$8)</f>
        <v>#VALUE!</v>
      </c>
      <c r="AX247" s="370" t="e">
        <f aca="false">VLOOKUP($D247,CurveTbl,$AH$7)</f>
        <v>#VALUE!</v>
      </c>
      <c r="AY247" s="370" t="e">
        <f aca="false">VLOOKUP($D247,CurveTbl,$AH$8)</f>
        <v>#VALUE!</v>
      </c>
      <c r="AZ247" s="370"/>
      <c r="BA247" s="507"/>
      <c r="BB247" s="505" t="e">
        <f aca="false">$H247-$BV247</f>
        <v>#VALUE!</v>
      </c>
      <c r="BC247" s="505" t="e">
        <f aca="false">I247-BW247</f>
        <v>#VALUE!</v>
      </c>
      <c r="BD247" s="370" t="e">
        <f aca="false">N247-BX247</f>
        <v>#VALUE!</v>
      </c>
      <c r="BE247" s="370" t="e">
        <f aca="false">O247-BY247</f>
        <v>#VALUE!</v>
      </c>
      <c r="BF247" s="370" t="e">
        <f aca="false">xSPRDOPT($BW247,$BV247,$CG247,0,$BY247,$BX247,$BZ247,$AJ247,1,4)*$CB247</f>
        <v>#NAME?</v>
      </c>
      <c r="BG247" s="370" t="e">
        <f aca="false">xSPRDOPT($BW247,$BV247,$CG247,0,$BY247,$BX247,$BZ247,$AJ247,1,3)*$CB247</f>
        <v>#NAME?</v>
      </c>
      <c r="BH247" s="370" t="e">
        <f aca="false">IF(OR(BF247&lt;&gt;0,BG247&lt;&gt;0),xSPRDOPT($BW247,$BV247,$CG247,0,$BY247,$BX247,$BZ247,$AJ247,1,12)*$CB247,0)</f>
        <v>#NAME?</v>
      </c>
      <c r="BI247" s="370" t="e">
        <f aca="false">xSPRDOPT($BW247,$BV247,$CG247,2*LN(1+CA247/2),$BY247,$BX247,$BZ247,$AJ247,1,9)</f>
        <v>#NAME?</v>
      </c>
      <c r="BJ247" s="370" t="e">
        <f aca="false">xSPRDOPT($BW247,$BV247,$CG247,0,$BY247,$BX247,$BZ247,$AJ247,1,6)*$CB247</f>
        <v>#NAME?</v>
      </c>
      <c r="BK247" s="370" t="e">
        <f aca="false">xSPRDOPT($BW247,$BV247,$CG247,0,$BY247,$BX247,$BZ247,$AJ247,1,5)*$CB247</f>
        <v>#NAME?</v>
      </c>
      <c r="BL247" s="370" t="e">
        <f aca="false">xSPRDOPT(BW247,BV247,CG247,0,BY247,BX247,BZ247,AJ247,1,2)*CB247</f>
        <v>#NAME?</v>
      </c>
      <c r="BM247" s="370" t="e">
        <f aca="false">xSPRDOPT(BW247,BV247,CG247,0,BY247,BX247,BZ247,AJ247,1,1)*CB247</f>
        <v>#NAME?</v>
      </c>
      <c r="BN247" s="370" t="e">
        <f aca="false">IF(AH247&lt;&gt;0,xSPRDOPT($BW247,$BV247,$CG247,2*LN(1+CA247/2),$BY247,$BX247,$BZ247,$AJ247,1,8)+(AJ247/365.25)*CH247/AH247,0)</f>
        <v>#VALUE!</v>
      </c>
      <c r="BO247" s="370" t="e">
        <f aca="false">xSPRDOPT($BW247,$BV247,$CG247,0,$BY247,$BX247,$BZ247,$AJ247,1,0)</f>
        <v>#NAME?</v>
      </c>
      <c r="BP247" s="370"/>
      <c r="BQ247" s="370"/>
      <c r="BR247" s="370"/>
      <c r="BS247" s="370"/>
      <c r="BV247" s="508" t="n">
        <v>4.76828644501279</v>
      </c>
      <c r="BW247" s="369" t="n">
        <v>5.6795</v>
      </c>
      <c r="BX247" s="370" t="n">
        <v>0.17</v>
      </c>
      <c r="BY247" s="370" t="n">
        <v>0.17</v>
      </c>
      <c r="BZ247" s="370" t="n">
        <v>0</v>
      </c>
      <c r="CA247" s="370" t="n">
        <v>0.0660858646475808</v>
      </c>
      <c r="CB247" s="370" t="n">
        <v>0</v>
      </c>
      <c r="CC247" s="505" t="n">
        <v>0.0215</v>
      </c>
      <c r="CD247" s="505" t="n">
        <v>0.01</v>
      </c>
      <c r="CE247" s="505" t="n">
        <v>1.05</v>
      </c>
      <c r="CF247" s="505" t="n">
        <v>0</v>
      </c>
      <c r="CG247" s="505" t="n">
        <v>0.0364</v>
      </c>
      <c r="CH247" s="505" t="n">
        <v>0</v>
      </c>
      <c r="CI247" s="505" t="n">
        <v>4.6295</v>
      </c>
      <c r="CJ247" s="505"/>
      <c r="CK247" s="505"/>
      <c r="CL247" s="505"/>
      <c r="CM247" s="505"/>
    </row>
    <row r="248" customFormat="false" ht="12.75" hidden="false" customHeight="false" outlineLevel="0" collapsed="false">
      <c r="A248" s="500"/>
      <c r="B248" s="500"/>
      <c r="D248" s="361" t="e">
        <f aca="false">D247+AH247</f>
        <v>#VALUE!</v>
      </c>
      <c r="F248" s="362" t="e">
        <f aca="false">VLOOKUP(AG248,$AL$4:$AS$15,2)</f>
        <v>#VALUE!</v>
      </c>
      <c r="G248" s="362" t="e">
        <f aca="false">F248*$AU248</f>
        <v>#VALUE!</v>
      </c>
      <c r="H248" s="363" t="e">
        <f aca="false">(AL248+AM248+AN248)/(1-(AR248))</f>
        <v>#VALUE!</v>
      </c>
      <c r="I248" s="363" t="e">
        <f aca="false">(AL248+AO248+AP248)</f>
        <v>#VALUE!</v>
      </c>
      <c r="K248" s="363" t="e">
        <f aca="false">MAX(((I248-H248)-AQ248)*AU248*AH248,0)</f>
        <v>#VALUE!</v>
      </c>
      <c r="L248" s="501" t="e">
        <f aca="false">MAX(Q248-K248,0)</f>
        <v>#VALUE!</v>
      </c>
      <c r="N248" s="502" t="e">
        <f aca="false">SQRT(($AX248^2*($AH248/2)+$AW248^2*$AI248)/(($AH248/2)+$AI248))</f>
        <v>#VALUE!</v>
      </c>
      <c r="O248" s="502" t="e">
        <f aca="false">SQRT(($AY248^2*($AH248/2)+$AW248^2*$AI248)/(($AH248/2)+$AI248))</f>
        <v>#VALUE!</v>
      </c>
      <c r="P248" s="371" t="e">
        <f aca="false">(VLOOKUP(AI248,CorrelationTwo,2)*(AW248^2)*AI248+VLOOKUP(D248,CorrelationOne,$AK$9)*AX248*AY248*(AH248/2))/((AI248+(AH248/2))*O248*N248)*AF248</f>
        <v>#VALUE!</v>
      </c>
      <c r="Q248" s="501" t="e">
        <f aca="false">xSPRDOPT(I248,H248,AQ248,0,O248,N248,P248,D248-$G$5,1,0)*AH248*AU248</f>
        <v>#VALUE!</v>
      </c>
      <c r="R248" s="501"/>
      <c r="S248" s="365" t="e">
        <f aca="false">-T248/(1-AR248)</f>
        <v>#VALUE!</v>
      </c>
      <c r="T248" s="365" t="e">
        <f aca="false">xSPRDOPT(I248,H248,AQ248,AT248,O248,N248,P248,D248-$G$5,1,1)*AF248*F248*AH248</f>
        <v>#VALUE!</v>
      </c>
      <c r="U248" s="501"/>
      <c r="V248" s="503" t="e">
        <f aca="false">VLOOKUP($AG248,$AL$4:$AS$15,8)*AH248*AU248</f>
        <v>#VALUE!</v>
      </c>
      <c r="W248" s="503"/>
      <c r="X248" s="504" t="e">
        <f aca="false">((BM248*BC248)+(BL248*BB248))*AH248*F248</f>
        <v>#VALUE!</v>
      </c>
      <c r="Y248" s="504" t="e">
        <f aca="false">($F248*$AH248)*((($BG248/2)*($BC248)^2)+(($BF248/2)*($BB248)^2)+($BH248*$BC248*$BB248))</f>
        <v>#VALUE!</v>
      </c>
      <c r="Z248" s="504" t="e">
        <f aca="false">($BI248*$F248*$AH248*($G$5-$BV$5))/365.25</f>
        <v>#VALUE!</v>
      </c>
      <c r="AA248" s="504" t="e">
        <f aca="false">(($BK248*$BE248)+($BJ248*$BD248))*$F248*$AH248*$AF248</f>
        <v>#VALUE!</v>
      </c>
      <c r="AB248" s="504" t="e">
        <f aca="false">BN248*(AT248-CA248)*F248*AH248</f>
        <v>#VALUE!</v>
      </c>
      <c r="AC248" s="504" t="e">
        <f aca="false">BO248*CB248*F248*AH248*CA248*($G$5-$BV$5)/365.25</f>
        <v>#NAME?</v>
      </c>
      <c r="AF248" s="378" t="e">
        <f aca="false">IF(AND(D248&gt;=$G$7,D248&lt;=$G$8),1,0)</f>
        <v>#VALUE!</v>
      </c>
      <c r="AG248" s="378" t="e">
        <f aca="false">MONTH(D248)</f>
        <v>#VALUE!</v>
      </c>
      <c r="AH248" s="378" t="e">
        <f aca="false">(EOMONTH(D248,0)-EOMONTH(D248-DAY(D248),0))*AF248</f>
        <v>#VALUE!</v>
      </c>
      <c r="AI248" s="378" t="e">
        <f aca="false">AI247+AH247</f>
        <v>#VALUE!</v>
      </c>
      <c r="AJ248" s="378" t="e">
        <f aca="false">D248-$BV$5</f>
        <v>#VALUE!</v>
      </c>
      <c r="AL248" s="369" t="e">
        <f aca="false">VLOOKUP($D248,CurveTbl,$AK$4)</f>
        <v>#VALUE!</v>
      </c>
      <c r="AM248" s="505" t="e">
        <f aca="false">VLOOKUP($D248,CurveTbl,$AH$3)</f>
        <v>#VALUE!</v>
      </c>
      <c r="AN248" s="505" t="e">
        <f aca="false">VLOOKUP($D248,CurveTbl,$AH$4)+VLOOKUP($AG248,$AL$3:$AS$15,6)</f>
        <v>#VALUE!</v>
      </c>
      <c r="AO248" s="505" t="e">
        <f aca="false">VLOOKUP($D248,CurveTbl,$AH$5)</f>
        <v>#VALUE!</v>
      </c>
      <c r="AP248" s="505" t="e">
        <f aca="false">VLOOKUP($D248,CurveTbl,$AH$6)+VLOOKUP($AG248,$AL$3:$AS$15,7)</f>
        <v>#VALUE!</v>
      </c>
      <c r="AQ248" s="369" t="e">
        <f aca="false">VLOOKUP($AG248,$AL$4:$AS$15,3)+VLOOKUP($AG248,$AL$4:$AS$15,5)+($AH$10*VLOOKUP(D248,GRITable,2))</f>
        <v>#VALUE!</v>
      </c>
      <c r="AR248" s="370" t="e">
        <f aca="false">VLOOKUP($AG248,$AL$4:$AS$15,4)</f>
        <v>#VALUE!</v>
      </c>
      <c r="AS248" s="369" t="e">
        <f aca="false">(AL248+AM248+AN248)</f>
        <v>#VALUE!</v>
      </c>
      <c r="AT248" s="370" t="e">
        <f aca="false">VLOOKUP(D248,CurveTbl,$AK$6)</f>
        <v>#VALUE!</v>
      </c>
      <c r="AU248" s="370" t="e">
        <f aca="false">(1+$AT248/2)^(-2*($D248-$G$5)/365.25)*$AF248</f>
        <v>#VALUE!</v>
      </c>
      <c r="AV248" s="506" t="e">
        <f aca="false">ROUND((F248/(1-AR248))-F248,0)*AF248*AH248*AU248</f>
        <v>#VALUE!</v>
      </c>
      <c r="AW248" s="370" t="e">
        <f aca="false">VLOOKUP($D248,CurveTbl,$AK$8)</f>
        <v>#VALUE!</v>
      </c>
      <c r="AX248" s="370" t="e">
        <f aca="false">VLOOKUP($D248,CurveTbl,$AH$7)</f>
        <v>#VALUE!</v>
      </c>
      <c r="AY248" s="370" t="e">
        <f aca="false">VLOOKUP($D248,CurveTbl,$AH$8)</f>
        <v>#VALUE!</v>
      </c>
      <c r="AZ248" s="370"/>
      <c r="BA248" s="507"/>
      <c r="BB248" s="505" t="e">
        <f aca="false">$H248-$BV248</f>
        <v>#VALUE!</v>
      </c>
      <c r="BC248" s="505" t="e">
        <f aca="false">I248-BW248</f>
        <v>#VALUE!</v>
      </c>
      <c r="BD248" s="370" t="e">
        <f aca="false">N248-BX248</f>
        <v>#VALUE!</v>
      </c>
      <c r="BE248" s="370" t="e">
        <f aca="false">O248-BY248</f>
        <v>#VALUE!</v>
      </c>
      <c r="BF248" s="370" t="e">
        <f aca="false">xSPRDOPT($BW248,$BV248,$CG248,0,$BY248,$BX248,$BZ248,$AJ248,1,4)*$CB248</f>
        <v>#NAME?</v>
      </c>
      <c r="BG248" s="370" t="e">
        <f aca="false">xSPRDOPT($BW248,$BV248,$CG248,0,$BY248,$BX248,$BZ248,$AJ248,1,3)*$CB248</f>
        <v>#NAME?</v>
      </c>
      <c r="BH248" s="370" t="e">
        <f aca="false">IF(OR(BF248&lt;&gt;0,BG248&lt;&gt;0),xSPRDOPT($BW248,$BV248,$CG248,0,$BY248,$BX248,$BZ248,$AJ248,1,12)*$CB248,0)</f>
        <v>#NAME?</v>
      </c>
      <c r="BI248" s="370" t="e">
        <f aca="false">xSPRDOPT($BW248,$BV248,$CG248,2*LN(1+CA248/2),$BY248,$BX248,$BZ248,$AJ248,1,9)</f>
        <v>#NAME?</v>
      </c>
      <c r="BJ248" s="370" t="e">
        <f aca="false">xSPRDOPT($BW248,$BV248,$CG248,0,$BY248,$BX248,$BZ248,$AJ248,1,6)*$CB248</f>
        <v>#NAME?</v>
      </c>
      <c r="BK248" s="370" t="e">
        <f aca="false">xSPRDOPT($BW248,$BV248,$CG248,0,$BY248,$BX248,$BZ248,$AJ248,1,5)*$CB248</f>
        <v>#NAME?</v>
      </c>
      <c r="BL248" s="370" t="e">
        <f aca="false">xSPRDOPT(BW248,BV248,CG248,0,BY248,BX248,BZ248,AJ248,1,2)*CB248</f>
        <v>#NAME?</v>
      </c>
      <c r="BM248" s="370" t="e">
        <f aca="false">xSPRDOPT(BW248,BV248,CG248,0,BY248,BX248,BZ248,AJ248,1,1)*CB248</f>
        <v>#NAME?</v>
      </c>
      <c r="BN248" s="370" t="e">
        <f aca="false">IF(AH248&lt;&gt;0,xSPRDOPT($BW248,$BV248,$CG248,2*LN(1+CA248/2),$BY248,$BX248,$BZ248,$AJ248,1,8)+(AJ248/365.25)*CH248/AH248,0)</f>
        <v>#VALUE!</v>
      </c>
      <c r="BO248" s="370" t="e">
        <f aca="false">xSPRDOPT($BW248,$BV248,$CG248,0,$BY248,$BX248,$BZ248,$AJ248,1,0)</f>
        <v>#NAME?</v>
      </c>
      <c r="BP248" s="370"/>
      <c r="BQ248" s="370"/>
      <c r="BR248" s="370"/>
      <c r="BS248" s="370"/>
      <c r="BV248" s="508" t="n">
        <v>4.76828644501279</v>
      </c>
      <c r="BW248" s="369" t="n">
        <v>5.6795</v>
      </c>
      <c r="BX248" s="370" t="n">
        <v>0.17</v>
      </c>
      <c r="BY248" s="370" t="n">
        <v>0.17</v>
      </c>
      <c r="BZ248" s="370" t="n">
        <v>0</v>
      </c>
      <c r="CA248" s="370" t="n">
        <v>0.0660858646475808</v>
      </c>
      <c r="CB248" s="370" t="n">
        <v>0</v>
      </c>
      <c r="CC248" s="505" t="n">
        <v>0.0215</v>
      </c>
      <c r="CD248" s="505" t="n">
        <v>0.01</v>
      </c>
      <c r="CE248" s="505" t="n">
        <v>1.05</v>
      </c>
      <c r="CF248" s="505" t="n">
        <v>0</v>
      </c>
      <c r="CG248" s="505" t="n">
        <v>0.0364</v>
      </c>
      <c r="CH248" s="505" t="n">
        <v>0</v>
      </c>
      <c r="CI248" s="505" t="n">
        <v>4.6295</v>
      </c>
      <c r="CJ248" s="505"/>
      <c r="CK248" s="505"/>
      <c r="CL248" s="505"/>
      <c r="CM248" s="505"/>
    </row>
    <row r="249" customFormat="false" ht="12.75" hidden="false" customHeight="false" outlineLevel="0" collapsed="false">
      <c r="A249" s="500"/>
      <c r="B249" s="500"/>
      <c r="D249" s="95"/>
      <c r="E249" s="95"/>
      <c r="F249" s="95"/>
      <c r="G249" s="95"/>
      <c r="H249" s="95"/>
      <c r="I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U249" s="95"/>
      <c r="BV249" s="95"/>
    </row>
    <row r="250" customFormat="false" ht="12.75" hidden="false" customHeight="false" outlineLevel="0" collapsed="false">
      <c r="A250" s="500"/>
      <c r="B250" s="500"/>
      <c r="D250" s="95"/>
      <c r="E250" s="95"/>
      <c r="F250" s="95"/>
      <c r="G250" s="95"/>
      <c r="H250" s="95"/>
      <c r="I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U250" s="95"/>
      <c r="BV250" s="95"/>
    </row>
    <row r="251" customFormat="false" ht="12.75" hidden="false" customHeight="false" outlineLevel="0" collapsed="false">
      <c r="A251" s="500"/>
      <c r="B251" s="500"/>
      <c r="D251" s="95"/>
      <c r="E251" s="95"/>
      <c r="F251" s="95"/>
      <c r="G251" s="95"/>
      <c r="H251" s="95"/>
      <c r="I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c r="BS251" s="95"/>
      <c r="BU251" s="95"/>
      <c r="BV251" s="95"/>
    </row>
    <row r="252" customFormat="false" ht="12.75" hidden="false" customHeight="false" outlineLevel="0" collapsed="false">
      <c r="A252" s="500"/>
      <c r="B252" s="500"/>
      <c r="D252" s="95"/>
      <c r="E252" s="95"/>
      <c r="F252" s="95"/>
      <c r="G252" s="95"/>
      <c r="H252" s="95"/>
      <c r="I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c r="BS252" s="95"/>
      <c r="BU252" s="95"/>
      <c r="BV252" s="95"/>
    </row>
    <row r="253" customFormat="false" ht="12.75" hidden="false" customHeight="false" outlineLevel="0" collapsed="false">
      <c r="A253" s="500"/>
      <c r="B253" s="500"/>
      <c r="D253" s="95"/>
      <c r="E253" s="95"/>
      <c r="F253" s="95"/>
      <c r="G253" s="95"/>
      <c r="H253" s="95"/>
      <c r="I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c r="BS253" s="95"/>
      <c r="BU253" s="95"/>
      <c r="BV253" s="95"/>
    </row>
    <row r="254" customFormat="false" ht="12.75" hidden="false" customHeight="false" outlineLevel="0" collapsed="false">
      <c r="A254" s="500"/>
      <c r="B254" s="500"/>
      <c r="D254" s="95"/>
      <c r="E254" s="95"/>
      <c r="F254" s="95"/>
      <c r="G254" s="95"/>
      <c r="H254" s="95"/>
      <c r="I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c r="BS254" s="95"/>
      <c r="BU254" s="95"/>
      <c r="BV254" s="95"/>
    </row>
    <row r="255" customFormat="false" ht="12.75" hidden="false" customHeight="false" outlineLevel="0" collapsed="false">
      <c r="A255" s="500"/>
      <c r="B255" s="500"/>
      <c r="D255" s="95"/>
      <c r="E255" s="95"/>
      <c r="F255" s="95"/>
      <c r="G255" s="95"/>
      <c r="H255" s="95"/>
      <c r="I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5"/>
      <c r="BL255" s="95"/>
      <c r="BM255" s="95"/>
      <c r="BN255" s="95"/>
      <c r="BO255" s="95"/>
      <c r="BP255" s="95"/>
      <c r="BQ255" s="95"/>
      <c r="BR255" s="95"/>
      <c r="BS255" s="95"/>
      <c r="BU255" s="95"/>
      <c r="BV255" s="95"/>
    </row>
    <row r="256" customFormat="false" ht="12.75" hidden="false" customHeight="false" outlineLevel="0" collapsed="false">
      <c r="A256" s="500"/>
      <c r="B256" s="500"/>
      <c r="D256" s="95"/>
      <c r="E256" s="95"/>
      <c r="F256" s="95"/>
      <c r="G256" s="95"/>
      <c r="H256" s="95"/>
      <c r="I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c r="BS256" s="95"/>
      <c r="BU256" s="95"/>
      <c r="BV256" s="95"/>
    </row>
    <row r="257" customFormat="false" ht="12.75" hidden="false" customHeight="false" outlineLevel="0" collapsed="false">
      <c r="A257" s="500"/>
      <c r="B257" s="500"/>
      <c r="D257" s="95"/>
      <c r="E257" s="95"/>
      <c r="F257" s="95"/>
      <c r="G257" s="95"/>
      <c r="H257" s="95"/>
      <c r="I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95"/>
      <c r="BS257" s="95"/>
      <c r="BU257" s="95"/>
      <c r="BV257" s="95"/>
    </row>
    <row r="258" customFormat="false" ht="12.75" hidden="false" customHeight="false" outlineLevel="0" collapsed="false">
      <c r="A258" s="500"/>
      <c r="B258" s="500"/>
      <c r="D258" s="95"/>
      <c r="E258" s="95"/>
      <c r="F258" s="95"/>
      <c r="G258" s="95"/>
      <c r="H258" s="95"/>
      <c r="I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c r="BS258" s="95"/>
      <c r="BU258" s="95"/>
      <c r="BV258" s="95"/>
    </row>
    <row r="259" customFormat="false" ht="12.75" hidden="false" customHeight="false" outlineLevel="0" collapsed="false">
      <c r="A259" s="500"/>
      <c r="B259" s="500"/>
      <c r="D259" s="95"/>
      <c r="E259" s="95"/>
      <c r="F259" s="95"/>
      <c r="G259" s="95"/>
      <c r="H259" s="95"/>
      <c r="I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U259" s="95"/>
      <c r="BV259" s="95"/>
    </row>
    <row r="260" customFormat="false" ht="12.75" hidden="false" customHeight="false" outlineLevel="0" collapsed="false">
      <c r="A260" s="500"/>
      <c r="B260" s="500"/>
      <c r="D260" s="95"/>
      <c r="E260" s="95"/>
      <c r="F260" s="95"/>
      <c r="G260" s="95"/>
      <c r="H260" s="95"/>
      <c r="I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U260" s="95"/>
      <c r="BV260" s="95"/>
    </row>
    <row r="261" customFormat="false" ht="12.75" hidden="false" customHeight="false" outlineLevel="0" collapsed="false">
      <c r="A261" s="500"/>
      <c r="B261" s="500"/>
      <c r="D261" s="95"/>
      <c r="E261" s="95"/>
      <c r="F261" s="95"/>
      <c r="G261" s="95"/>
      <c r="H261" s="95"/>
      <c r="I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U261" s="95"/>
      <c r="BV261" s="95"/>
    </row>
    <row r="262" customFormat="false" ht="12.75" hidden="false" customHeight="false" outlineLevel="0" collapsed="false">
      <c r="A262" s="500"/>
      <c r="B262" s="500"/>
      <c r="D262" s="95"/>
      <c r="E262" s="95"/>
      <c r="F262" s="95"/>
      <c r="G262" s="95"/>
      <c r="H262" s="95"/>
      <c r="I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U262" s="95"/>
      <c r="BV262" s="95"/>
    </row>
    <row r="263" customFormat="false" ht="12.75" hidden="false" customHeight="false" outlineLevel="0" collapsed="false">
      <c r="A263" s="500"/>
      <c r="B263" s="500"/>
      <c r="D263" s="95"/>
      <c r="E263" s="95"/>
      <c r="F263" s="95"/>
      <c r="G263" s="95"/>
      <c r="H263" s="95"/>
      <c r="I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U263" s="95"/>
      <c r="BV263" s="95"/>
    </row>
    <row r="264" customFormat="false" ht="12.75" hidden="false" customHeight="false" outlineLevel="0" collapsed="false">
      <c r="A264" s="500"/>
      <c r="B264" s="500"/>
      <c r="D264" s="95"/>
      <c r="E264" s="95"/>
      <c r="F264" s="95"/>
      <c r="G264" s="95"/>
      <c r="H264" s="95"/>
      <c r="I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U264" s="95"/>
      <c r="BV264" s="95"/>
    </row>
    <row r="265" customFormat="false" ht="12.75" hidden="false" customHeight="false" outlineLevel="0" collapsed="false">
      <c r="D265" s="95"/>
      <c r="E265" s="95"/>
      <c r="F265" s="95"/>
      <c r="G265" s="95"/>
      <c r="H265" s="95"/>
      <c r="I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U265" s="95"/>
      <c r="BV265" s="95"/>
    </row>
    <row r="266" customFormat="false" ht="12.75" hidden="false" customHeight="false" outlineLevel="0" collapsed="false">
      <c r="D266" s="95"/>
      <c r="E266" s="95"/>
      <c r="F266" s="95"/>
      <c r="G266" s="95"/>
      <c r="H266" s="95"/>
      <c r="I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U266" s="95"/>
      <c r="BV266" s="95"/>
    </row>
    <row r="267" customFormat="false" ht="12.75" hidden="false" customHeight="false" outlineLevel="0" collapsed="false">
      <c r="D267" s="95"/>
      <c r="E267" s="95"/>
      <c r="F267" s="95"/>
      <c r="G267" s="95"/>
      <c r="H267" s="95"/>
      <c r="I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U267" s="95"/>
      <c r="BV267" s="95"/>
    </row>
    <row r="268" customFormat="false" ht="12.75" hidden="false" customHeight="false" outlineLevel="0" collapsed="false">
      <c r="D268" s="95"/>
      <c r="E268" s="95"/>
      <c r="F268" s="95"/>
      <c r="G268" s="95"/>
      <c r="H268" s="95"/>
      <c r="I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U268" s="95"/>
      <c r="BV268" s="95"/>
    </row>
    <row r="269" customFormat="false" ht="12.75" hidden="false" customHeight="false" outlineLevel="0" collapsed="false">
      <c r="D269" s="95"/>
      <c r="E269" s="95"/>
      <c r="F269" s="95"/>
      <c r="G269" s="95"/>
      <c r="H269" s="95"/>
      <c r="I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U269" s="95"/>
      <c r="BV269" s="95"/>
    </row>
    <row r="270" customFormat="false" ht="12.75" hidden="false" customHeight="false" outlineLevel="0" collapsed="false">
      <c r="D270" s="95"/>
      <c r="E270" s="95"/>
      <c r="F270" s="95"/>
      <c r="G270" s="95"/>
      <c r="H270" s="95"/>
      <c r="I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c r="BS270" s="95"/>
      <c r="BU270" s="95"/>
      <c r="BV270" s="95"/>
    </row>
    <row r="271" customFormat="false" ht="12.75" hidden="false" customHeight="false" outlineLevel="0" collapsed="false">
      <c r="D271" s="95"/>
      <c r="E271" s="95"/>
      <c r="F271" s="95"/>
      <c r="G271" s="95"/>
      <c r="H271" s="95"/>
      <c r="I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U271" s="95"/>
      <c r="BV271" s="95"/>
    </row>
    <row r="272" customFormat="false" ht="12.75" hidden="false" customHeight="false" outlineLevel="0" collapsed="false">
      <c r="D272" s="95"/>
      <c r="E272" s="95"/>
      <c r="F272" s="95"/>
      <c r="G272" s="95"/>
      <c r="H272" s="95"/>
      <c r="I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U272" s="95"/>
      <c r="BV272" s="95"/>
    </row>
    <row r="273" customFormat="false" ht="12.75" hidden="false" customHeight="false" outlineLevel="0" collapsed="false">
      <c r="D273" s="95"/>
      <c r="E273" s="95"/>
      <c r="F273" s="95"/>
      <c r="G273" s="95"/>
      <c r="H273" s="95"/>
      <c r="I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U273" s="95"/>
      <c r="BV273" s="95"/>
    </row>
    <row r="274" customFormat="false" ht="12.75" hidden="false" customHeight="false" outlineLevel="0" collapsed="false">
      <c r="D274" s="95"/>
      <c r="E274" s="95"/>
      <c r="F274" s="95"/>
      <c r="G274" s="95"/>
      <c r="H274" s="95"/>
      <c r="I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U274" s="95"/>
      <c r="BV274" s="95"/>
    </row>
    <row r="275" customFormat="false" ht="12.75" hidden="false" customHeight="false" outlineLevel="0" collapsed="false">
      <c r="D275" s="95"/>
      <c r="E275" s="95"/>
      <c r="F275" s="95"/>
      <c r="G275" s="95"/>
      <c r="H275" s="95"/>
      <c r="I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U275" s="95"/>
      <c r="BV275" s="95"/>
    </row>
    <row r="276" customFormat="false" ht="12.75" hidden="false" customHeight="false" outlineLevel="0" collapsed="false">
      <c r="D276" s="95"/>
      <c r="E276" s="95"/>
      <c r="F276" s="95"/>
      <c r="G276" s="95"/>
      <c r="H276" s="95"/>
      <c r="I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5"/>
      <c r="BL276" s="95"/>
      <c r="BM276" s="95"/>
      <c r="BN276" s="95"/>
      <c r="BO276" s="95"/>
      <c r="BP276" s="95"/>
      <c r="BQ276" s="95"/>
      <c r="BR276" s="95"/>
      <c r="BS276" s="95"/>
      <c r="BU276" s="95"/>
      <c r="BV276" s="95"/>
    </row>
    <row r="277" customFormat="false" ht="12.75" hidden="false" customHeight="false" outlineLevel="0" collapsed="false">
      <c r="D277" s="95"/>
      <c r="E277" s="95"/>
      <c r="F277" s="95"/>
      <c r="G277" s="95"/>
      <c r="H277" s="95"/>
      <c r="I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U277" s="95"/>
      <c r="BV277" s="95"/>
    </row>
    <row r="278" customFormat="false" ht="12.75" hidden="false" customHeight="false" outlineLevel="0" collapsed="false">
      <c r="D278" s="95"/>
      <c r="E278" s="95"/>
      <c r="F278" s="95"/>
      <c r="G278" s="95"/>
      <c r="H278" s="95"/>
      <c r="I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c r="BS278" s="95"/>
      <c r="BU278" s="95"/>
      <c r="BV278" s="95"/>
    </row>
    <row r="279" customFormat="false" ht="12.75" hidden="false" customHeight="false" outlineLevel="0" collapsed="false">
      <c r="D279" s="95"/>
      <c r="E279" s="95"/>
      <c r="F279" s="95"/>
      <c r="G279" s="95"/>
      <c r="H279" s="95"/>
      <c r="I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U279" s="95"/>
      <c r="BV279" s="95"/>
    </row>
    <row r="280" customFormat="false" ht="12.75" hidden="false" customHeight="false" outlineLevel="0" collapsed="false">
      <c r="D280" s="95"/>
      <c r="E280" s="95"/>
      <c r="F280" s="95"/>
      <c r="G280" s="95"/>
      <c r="H280" s="95"/>
      <c r="I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c r="BS280" s="95"/>
      <c r="BU280" s="95"/>
      <c r="BV280" s="95"/>
    </row>
    <row r="281" customFormat="false" ht="12.75" hidden="false" customHeight="false" outlineLevel="0" collapsed="false">
      <c r="D281" s="95"/>
      <c r="E281" s="95"/>
      <c r="F281" s="95"/>
      <c r="G281" s="95"/>
      <c r="H281" s="95"/>
      <c r="I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U281" s="95"/>
      <c r="BV281" s="95"/>
    </row>
    <row r="282" customFormat="false" ht="12.75" hidden="false" customHeight="false" outlineLevel="0" collapsed="false">
      <c r="D282" s="95"/>
      <c r="E282" s="95"/>
      <c r="F282" s="95"/>
      <c r="G282" s="95"/>
      <c r="H282" s="95"/>
      <c r="I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c r="BS282" s="95"/>
      <c r="BU282" s="95"/>
      <c r="BV282" s="95"/>
    </row>
    <row r="283" customFormat="false" ht="12.75" hidden="false" customHeight="false" outlineLevel="0" collapsed="false">
      <c r="D283" s="95"/>
      <c r="E283" s="95"/>
      <c r="F283" s="95"/>
      <c r="G283" s="95"/>
      <c r="H283" s="95"/>
      <c r="I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U283" s="95"/>
      <c r="BV283" s="95"/>
    </row>
    <row r="284" customFormat="false" ht="12.75" hidden="false" customHeight="false" outlineLevel="0" collapsed="false">
      <c r="D284" s="95"/>
      <c r="E284" s="95"/>
      <c r="F284" s="95"/>
      <c r="G284" s="95"/>
      <c r="H284" s="95"/>
      <c r="I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U284" s="95"/>
      <c r="BV284" s="95"/>
    </row>
    <row r="285" customFormat="false" ht="12.75" hidden="false" customHeight="false" outlineLevel="0" collapsed="false">
      <c r="D285" s="95"/>
      <c r="E285" s="95"/>
      <c r="F285" s="95"/>
      <c r="G285" s="95"/>
      <c r="H285" s="95"/>
      <c r="I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U285" s="95"/>
      <c r="BV285" s="95"/>
    </row>
    <row r="286" customFormat="false" ht="12.75" hidden="false" customHeight="false" outlineLevel="0" collapsed="false">
      <c r="D286" s="95"/>
      <c r="E286" s="95"/>
      <c r="F286" s="95"/>
      <c r="G286" s="95"/>
      <c r="H286" s="95"/>
      <c r="I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U286" s="95"/>
      <c r="BV286" s="95"/>
    </row>
    <row r="287" customFormat="false" ht="12.75" hidden="false" customHeight="false" outlineLevel="0" collapsed="false">
      <c r="D287" s="95"/>
      <c r="E287" s="95"/>
      <c r="F287" s="95"/>
      <c r="G287" s="95"/>
      <c r="H287" s="95"/>
      <c r="I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c r="BS287" s="95"/>
      <c r="BU287" s="95"/>
      <c r="BV287" s="95"/>
    </row>
    <row r="288" customFormat="false" ht="12.75" hidden="false" customHeight="false" outlineLevel="0" collapsed="false">
      <c r="D288" s="95"/>
      <c r="E288" s="95"/>
      <c r="F288" s="95"/>
      <c r="G288" s="95"/>
      <c r="H288" s="95"/>
      <c r="I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5"/>
      <c r="BL288" s="95"/>
      <c r="BM288" s="95"/>
      <c r="BN288" s="95"/>
      <c r="BO288" s="95"/>
      <c r="BP288" s="95"/>
      <c r="BQ288" s="95"/>
      <c r="BR288" s="95"/>
      <c r="BS288" s="95"/>
      <c r="BU288" s="95"/>
      <c r="BV288" s="95"/>
    </row>
    <row r="289" customFormat="false" ht="12.75" hidden="false" customHeight="false" outlineLevel="0" collapsed="false">
      <c r="D289" s="95"/>
      <c r="E289" s="95"/>
      <c r="F289" s="95"/>
      <c r="G289" s="95"/>
      <c r="H289" s="95"/>
      <c r="I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c r="BS289" s="95"/>
      <c r="BU289" s="95"/>
      <c r="BV289" s="95"/>
    </row>
    <row r="290" customFormat="false" ht="12.75" hidden="false" customHeight="false" outlineLevel="0" collapsed="false">
      <c r="D290" s="95"/>
      <c r="E290" s="95"/>
      <c r="F290" s="95"/>
      <c r="G290" s="95"/>
      <c r="H290" s="95"/>
      <c r="I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c r="BS290" s="95"/>
      <c r="BU290" s="95"/>
      <c r="BV290" s="95"/>
    </row>
    <row r="291" customFormat="false" ht="12.75" hidden="false" customHeight="false" outlineLevel="0" collapsed="false">
      <c r="D291" s="95"/>
      <c r="E291" s="95"/>
      <c r="F291" s="95"/>
      <c r="G291" s="95"/>
      <c r="H291" s="95"/>
      <c r="I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5"/>
      <c r="BL291" s="95"/>
      <c r="BM291" s="95"/>
      <c r="BN291" s="95"/>
      <c r="BO291" s="95"/>
      <c r="BP291" s="95"/>
      <c r="BQ291" s="95"/>
      <c r="BR291" s="95"/>
      <c r="BS291" s="95"/>
      <c r="BU291" s="95"/>
      <c r="BV291" s="95"/>
    </row>
    <row r="292" customFormat="false" ht="12.75" hidden="false" customHeight="false" outlineLevel="0" collapsed="false">
      <c r="D292" s="95"/>
      <c r="E292" s="95"/>
      <c r="F292" s="95"/>
      <c r="G292" s="95"/>
      <c r="H292" s="95"/>
      <c r="I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U292" s="95"/>
      <c r="BV292" s="95"/>
    </row>
    <row r="293" customFormat="false" ht="12.75" hidden="false" customHeight="false" outlineLevel="0" collapsed="false">
      <c r="D293" s="95"/>
      <c r="E293" s="95"/>
      <c r="F293" s="95"/>
      <c r="G293" s="95"/>
      <c r="H293" s="95"/>
      <c r="I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U293" s="95"/>
      <c r="BV293" s="95"/>
    </row>
    <row r="294" customFormat="false" ht="12.75" hidden="false" customHeight="false" outlineLevel="0" collapsed="false">
      <c r="D294" s="95"/>
      <c r="E294" s="95"/>
      <c r="F294" s="95"/>
      <c r="G294" s="95"/>
      <c r="H294" s="95"/>
      <c r="I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c r="BG294" s="95"/>
      <c r="BH294" s="95"/>
      <c r="BI294" s="95"/>
      <c r="BJ294" s="95"/>
      <c r="BK294" s="95"/>
      <c r="BL294" s="95"/>
      <c r="BM294" s="95"/>
      <c r="BN294" s="95"/>
      <c r="BO294" s="95"/>
      <c r="BP294" s="95"/>
      <c r="BQ294" s="95"/>
      <c r="BR294" s="95"/>
      <c r="BS294" s="95"/>
      <c r="BU294" s="95"/>
      <c r="BV294" s="95"/>
    </row>
    <row r="295" customFormat="false" ht="12.75" hidden="false" customHeight="false" outlineLevel="0" collapsed="false">
      <c r="D295" s="95"/>
      <c r="E295" s="95"/>
      <c r="F295" s="95"/>
      <c r="G295" s="95"/>
      <c r="H295" s="95"/>
      <c r="I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5"/>
      <c r="BL295" s="95"/>
      <c r="BM295" s="95"/>
      <c r="BN295" s="95"/>
      <c r="BO295" s="95"/>
      <c r="BP295" s="95"/>
      <c r="BQ295" s="95"/>
      <c r="BR295" s="95"/>
      <c r="BS295" s="95"/>
      <c r="BU295" s="95"/>
      <c r="BV295" s="95"/>
    </row>
    <row r="296" customFormat="false" ht="12.75" hidden="false" customHeight="false" outlineLevel="0" collapsed="false">
      <c r="D296" s="95"/>
      <c r="E296" s="95"/>
      <c r="F296" s="95"/>
      <c r="G296" s="95"/>
      <c r="H296" s="95"/>
      <c r="I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c r="BS296" s="95"/>
      <c r="BU296" s="95"/>
      <c r="BV296" s="95"/>
    </row>
    <row r="297" customFormat="false" ht="12.75" hidden="false" customHeight="false" outlineLevel="0" collapsed="false">
      <c r="D297" s="95"/>
      <c r="E297" s="95"/>
      <c r="F297" s="95"/>
      <c r="G297" s="95"/>
      <c r="H297" s="95"/>
      <c r="I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5"/>
      <c r="BL297" s="95"/>
      <c r="BM297" s="95"/>
      <c r="BN297" s="95"/>
      <c r="BO297" s="95"/>
      <c r="BP297" s="95"/>
      <c r="BQ297" s="95"/>
      <c r="BR297" s="95"/>
      <c r="BS297" s="95"/>
      <c r="BU297" s="95"/>
      <c r="BV297" s="95"/>
    </row>
    <row r="298" customFormat="false" ht="12.75" hidden="false" customHeight="false" outlineLevel="0" collapsed="false">
      <c r="D298" s="95"/>
      <c r="E298" s="95"/>
      <c r="F298" s="95"/>
      <c r="G298" s="95"/>
      <c r="H298" s="95"/>
      <c r="I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5"/>
      <c r="BL298" s="95"/>
      <c r="BM298" s="95"/>
      <c r="BN298" s="95"/>
      <c r="BO298" s="95"/>
      <c r="BP298" s="95"/>
      <c r="BQ298" s="95"/>
      <c r="BR298" s="95"/>
      <c r="BS298" s="95"/>
      <c r="BU298" s="95"/>
      <c r="BV298" s="95"/>
    </row>
    <row r="299" customFormat="false" ht="12.75" hidden="false" customHeight="false" outlineLevel="0" collapsed="false">
      <c r="D299" s="95"/>
      <c r="E299" s="95"/>
      <c r="F299" s="95"/>
      <c r="G299" s="95"/>
      <c r="H299" s="95"/>
      <c r="I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5"/>
      <c r="BL299" s="95"/>
      <c r="BM299" s="95"/>
      <c r="BN299" s="95"/>
      <c r="BO299" s="95"/>
      <c r="BP299" s="95"/>
      <c r="BQ299" s="95"/>
      <c r="BR299" s="95"/>
      <c r="BS299" s="95"/>
      <c r="BU299" s="95"/>
      <c r="BV299" s="95"/>
    </row>
    <row r="300" customFormat="false" ht="12.75" hidden="false" customHeight="false" outlineLevel="0" collapsed="false">
      <c r="D300" s="95"/>
      <c r="E300" s="95"/>
      <c r="F300" s="95"/>
      <c r="G300" s="95"/>
      <c r="H300" s="95"/>
      <c r="I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c r="BG300" s="95"/>
      <c r="BH300" s="95"/>
      <c r="BI300" s="95"/>
      <c r="BJ300" s="95"/>
      <c r="BK300" s="95"/>
      <c r="BL300" s="95"/>
      <c r="BM300" s="95"/>
      <c r="BN300" s="95"/>
      <c r="BO300" s="95"/>
      <c r="BP300" s="95"/>
      <c r="BQ300" s="95"/>
      <c r="BR300" s="95"/>
      <c r="BS300" s="95"/>
      <c r="BU300" s="95"/>
      <c r="BV300" s="95"/>
    </row>
    <row r="301" customFormat="false" ht="12.75" hidden="false" customHeight="false" outlineLevel="0" collapsed="false">
      <c r="D301" s="95"/>
      <c r="E301" s="95"/>
      <c r="F301" s="95"/>
      <c r="G301" s="95"/>
      <c r="H301" s="95"/>
      <c r="I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5"/>
      <c r="BL301" s="95"/>
      <c r="BM301" s="95"/>
      <c r="BN301" s="95"/>
      <c r="BO301" s="95"/>
      <c r="BP301" s="95"/>
      <c r="BQ301" s="95"/>
      <c r="BR301" s="95"/>
      <c r="BS301" s="95"/>
      <c r="BU301" s="95"/>
      <c r="BV301" s="95"/>
    </row>
    <row r="302" customFormat="false" ht="12.75" hidden="false" customHeight="false" outlineLevel="0" collapsed="false">
      <c r="D302" s="95"/>
      <c r="E302" s="95"/>
      <c r="F302" s="95"/>
      <c r="G302" s="95"/>
      <c r="H302" s="95"/>
      <c r="I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c r="BG302" s="95"/>
      <c r="BH302" s="95"/>
      <c r="BI302" s="95"/>
      <c r="BJ302" s="95"/>
      <c r="BK302" s="95"/>
      <c r="BL302" s="95"/>
      <c r="BM302" s="95"/>
      <c r="BN302" s="95"/>
      <c r="BO302" s="95"/>
      <c r="BP302" s="95"/>
      <c r="BQ302" s="95"/>
      <c r="BR302" s="95"/>
      <c r="BS302" s="95"/>
      <c r="BU302" s="95"/>
      <c r="BV302" s="95"/>
    </row>
    <row r="303" customFormat="false" ht="12.75" hidden="false" customHeight="false" outlineLevel="0" collapsed="false">
      <c r="D303" s="95"/>
      <c r="E303" s="95"/>
      <c r="F303" s="95"/>
      <c r="G303" s="95"/>
      <c r="H303" s="95"/>
      <c r="I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c r="BR303" s="95"/>
      <c r="BS303" s="95"/>
      <c r="BU303" s="95"/>
      <c r="BV303" s="95"/>
    </row>
    <row r="304" customFormat="false" ht="12.75" hidden="false" customHeight="false" outlineLevel="0" collapsed="false">
      <c r="D304" s="95"/>
      <c r="E304" s="95"/>
      <c r="F304" s="95"/>
      <c r="G304" s="95"/>
      <c r="H304" s="95"/>
      <c r="I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U304" s="95"/>
      <c r="BV304" s="95"/>
    </row>
    <row r="305" customFormat="false" ht="12.75" hidden="false" customHeight="false" outlineLevel="0" collapsed="false">
      <c r="D305" s="95"/>
      <c r="E305" s="95"/>
      <c r="F305" s="95"/>
      <c r="G305" s="95"/>
      <c r="H305" s="95"/>
      <c r="I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c r="BG305" s="95"/>
      <c r="BH305" s="95"/>
      <c r="BI305" s="95"/>
      <c r="BJ305" s="95"/>
      <c r="BK305" s="95"/>
      <c r="BL305" s="95"/>
      <c r="BM305" s="95"/>
      <c r="BN305" s="95"/>
      <c r="BO305" s="95"/>
      <c r="BP305" s="95"/>
      <c r="BQ305" s="95"/>
      <c r="BR305" s="95"/>
      <c r="BS305" s="95"/>
      <c r="BU305" s="95"/>
      <c r="BV305" s="95"/>
    </row>
    <row r="306" customFormat="false" ht="12.75" hidden="false" customHeight="false" outlineLevel="0" collapsed="false">
      <c r="D306" s="95"/>
      <c r="E306" s="95"/>
      <c r="F306" s="95"/>
      <c r="G306" s="95"/>
      <c r="H306" s="95"/>
      <c r="I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c r="BG306" s="95"/>
      <c r="BH306" s="95"/>
      <c r="BI306" s="95"/>
      <c r="BJ306" s="95"/>
      <c r="BK306" s="95"/>
      <c r="BL306" s="95"/>
      <c r="BM306" s="95"/>
      <c r="BN306" s="95"/>
      <c r="BO306" s="95"/>
      <c r="BP306" s="95"/>
      <c r="BQ306" s="95"/>
      <c r="BR306" s="95"/>
      <c r="BS306" s="95"/>
      <c r="BU306" s="95"/>
      <c r="BV306" s="95"/>
    </row>
    <row r="307" customFormat="false" ht="12.75" hidden="false" customHeight="false" outlineLevel="0" collapsed="false">
      <c r="D307" s="95"/>
      <c r="E307" s="95"/>
      <c r="F307" s="95"/>
      <c r="G307" s="95"/>
      <c r="H307" s="95"/>
      <c r="I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95"/>
      <c r="BB307" s="95"/>
      <c r="BC307" s="95"/>
      <c r="BD307" s="95"/>
      <c r="BE307" s="95"/>
      <c r="BF307" s="95"/>
      <c r="BG307" s="95"/>
      <c r="BH307" s="95"/>
      <c r="BI307" s="95"/>
      <c r="BJ307" s="95"/>
      <c r="BK307" s="95"/>
      <c r="BL307" s="95"/>
      <c r="BM307" s="95"/>
      <c r="BN307" s="95"/>
      <c r="BO307" s="95"/>
      <c r="BP307" s="95"/>
      <c r="BQ307" s="95"/>
      <c r="BR307" s="95"/>
      <c r="BS307" s="95"/>
      <c r="BU307" s="95"/>
      <c r="BV307" s="95"/>
    </row>
    <row r="308" customFormat="false" ht="12.75" hidden="false" customHeight="false" outlineLevel="0" collapsed="false">
      <c r="D308" s="95"/>
      <c r="E308" s="95"/>
      <c r="F308" s="95"/>
      <c r="G308" s="95"/>
      <c r="H308" s="95"/>
      <c r="I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c r="BG308" s="95"/>
      <c r="BH308" s="95"/>
      <c r="BI308" s="95"/>
      <c r="BJ308" s="95"/>
      <c r="BK308" s="95"/>
      <c r="BL308" s="95"/>
      <c r="BM308" s="95"/>
      <c r="BN308" s="95"/>
      <c r="BO308" s="95"/>
      <c r="BP308" s="95"/>
      <c r="BQ308" s="95"/>
      <c r="BR308" s="95"/>
      <c r="BS308" s="95"/>
      <c r="BU308" s="95"/>
      <c r="BV308" s="95"/>
    </row>
    <row r="309" customFormat="false" ht="12.75" hidden="false" customHeight="false" outlineLevel="0" collapsed="false">
      <c r="D309" s="95"/>
      <c r="E309" s="95"/>
      <c r="F309" s="95"/>
      <c r="G309" s="95"/>
      <c r="H309" s="95"/>
      <c r="I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95"/>
      <c r="BB309" s="95"/>
      <c r="BC309" s="95"/>
      <c r="BD309" s="95"/>
      <c r="BE309" s="95"/>
      <c r="BF309" s="95"/>
      <c r="BG309" s="95"/>
      <c r="BH309" s="95"/>
      <c r="BI309" s="95"/>
      <c r="BJ309" s="95"/>
      <c r="BK309" s="95"/>
      <c r="BL309" s="95"/>
      <c r="BM309" s="95"/>
      <c r="BN309" s="95"/>
      <c r="BO309" s="95"/>
      <c r="BP309" s="95"/>
      <c r="BQ309" s="95"/>
      <c r="BR309" s="95"/>
      <c r="BS309" s="95"/>
      <c r="BU309" s="95"/>
      <c r="BV309" s="95"/>
    </row>
    <row r="310" customFormat="false" ht="12.75" hidden="false" customHeight="false" outlineLevel="0" collapsed="false">
      <c r="D310" s="95"/>
      <c r="E310" s="95"/>
      <c r="F310" s="95"/>
      <c r="G310" s="95"/>
      <c r="H310" s="95"/>
      <c r="I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c r="BC310" s="95"/>
      <c r="BD310" s="95"/>
      <c r="BE310" s="95"/>
      <c r="BF310" s="95"/>
      <c r="BG310" s="95"/>
      <c r="BH310" s="95"/>
      <c r="BI310" s="95"/>
      <c r="BJ310" s="95"/>
      <c r="BK310" s="95"/>
      <c r="BL310" s="95"/>
      <c r="BM310" s="95"/>
      <c r="BN310" s="95"/>
      <c r="BO310" s="95"/>
      <c r="BP310" s="95"/>
      <c r="BQ310" s="95"/>
      <c r="BR310" s="95"/>
      <c r="BS310" s="95"/>
      <c r="BU310" s="95"/>
      <c r="BV310" s="95"/>
    </row>
    <row r="311" customFormat="false" ht="12.75" hidden="false" customHeight="false" outlineLevel="0" collapsed="false">
      <c r="D311" s="95"/>
      <c r="E311" s="95"/>
      <c r="F311" s="95"/>
      <c r="G311" s="95"/>
      <c r="H311" s="95"/>
      <c r="I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95"/>
      <c r="BB311" s="95"/>
      <c r="BC311" s="95"/>
      <c r="BD311" s="95"/>
      <c r="BE311" s="95"/>
      <c r="BF311" s="95"/>
      <c r="BG311" s="95"/>
      <c r="BH311" s="95"/>
      <c r="BI311" s="95"/>
      <c r="BJ311" s="95"/>
      <c r="BK311" s="95"/>
      <c r="BL311" s="95"/>
      <c r="BM311" s="95"/>
      <c r="BN311" s="95"/>
      <c r="BO311" s="95"/>
      <c r="BP311" s="95"/>
      <c r="BQ311" s="95"/>
      <c r="BR311" s="95"/>
      <c r="BS311" s="95"/>
      <c r="BU311" s="95"/>
      <c r="BV311" s="95"/>
    </row>
    <row r="312" customFormat="false" ht="12.75" hidden="false" customHeight="false" outlineLevel="0" collapsed="false">
      <c r="D312" s="95"/>
      <c r="E312" s="95"/>
      <c r="F312" s="95"/>
      <c r="G312" s="95"/>
      <c r="H312" s="95"/>
      <c r="I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c r="BG312" s="95"/>
      <c r="BH312" s="95"/>
      <c r="BI312" s="95"/>
      <c r="BJ312" s="95"/>
      <c r="BK312" s="95"/>
      <c r="BL312" s="95"/>
      <c r="BM312" s="95"/>
      <c r="BN312" s="95"/>
      <c r="BO312" s="95"/>
      <c r="BP312" s="95"/>
      <c r="BQ312" s="95"/>
      <c r="BR312" s="95"/>
      <c r="BS312" s="95"/>
      <c r="BU312" s="95"/>
      <c r="BV312" s="95"/>
    </row>
    <row r="313" customFormat="false" ht="12.75" hidden="false" customHeight="false" outlineLevel="0" collapsed="false">
      <c r="D313" s="95"/>
      <c r="E313" s="95"/>
      <c r="F313" s="95"/>
      <c r="G313" s="95"/>
      <c r="H313" s="95"/>
      <c r="I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95"/>
      <c r="BB313" s="95"/>
      <c r="BC313" s="95"/>
      <c r="BD313" s="95"/>
      <c r="BE313" s="95"/>
      <c r="BF313" s="95"/>
      <c r="BG313" s="95"/>
      <c r="BH313" s="95"/>
      <c r="BI313" s="95"/>
      <c r="BJ313" s="95"/>
      <c r="BK313" s="95"/>
      <c r="BL313" s="95"/>
      <c r="BM313" s="95"/>
      <c r="BN313" s="95"/>
      <c r="BO313" s="95"/>
      <c r="BP313" s="95"/>
      <c r="BQ313" s="95"/>
      <c r="BR313" s="95"/>
      <c r="BS313" s="95"/>
      <c r="BU313" s="95"/>
      <c r="BV313" s="95"/>
    </row>
    <row r="314" customFormat="false" ht="12.75" hidden="false" customHeight="false" outlineLevel="0" collapsed="false">
      <c r="D314" s="95"/>
      <c r="E314" s="95"/>
      <c r="F314" s="95"/>
      <c r="G314" s="95"/>
      <c r="H314" s="95"/>
      <c r="I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5"/>
      <c r="BL314" s="95"/>
      <c r="BM314" s="95"/>
      <c r="BN314" s="95"/>
      <c r="BO314" s="95"/>
      <c r="BP314" s="95"/>
      <c r="BQ314" s="95"/>
      <c r="BR314" s="95"/>
      <c r="BS314" s="95"/>
      <c r="BU314" s="95"/>
      <c r="BV314" s="95"/>
    </row>
    <row r="315" customFormat="false" ht="12.75" hidden="false" customHeight="false" outlineLevel="0" collapsed="false">
      <c r="D315" s="95"/>
      <c r="E315" s="95"/>
      <c r="F315" s="95"/>
      <c r="G315" s="95"/>
      <c r="H315" s="95"/>
      <c r="I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c r="BS315" s="95"/>
      <c r="BU315" s="95"/>
      <c r="BV315" s="95"/>
    </row>
    <row r="316" customFormat="false" ht="12.75" hidden="false" customHeight="false" outlineLevel="0" collapsed="false">
      <c r="D316" s="95"/>
      <c r="E316" s="95"/>
      <c r="F316" s="95"/>
      <c r="G316" s="95"/>
      <c r="H316" s="95"/>
      <c r="I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U316" s="95"/>
      <c r="BV316" s="95"/>
    </row>
    <row r="317" customFormat="false" ht="12.75" hidden="false" customHeight="false" outlineLevel="0" collapsed="false">
      <c r="D317" s="95"/>
      <c r="E317" s="95"/>
      <c r="F317" s="95"/>
      <c r="G317" s="95"/>
      <c r="H317" s="95"/>
      <c r="I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c r="BG317" s="95"/>
      <c r="BH317" s="95"/>
      <c r="BI317" s="95"/>
      <c r="BJ317" s="95"/>
      <c r="BK317" s="95"/>
      <c r="BL317" s="95"/>
      <c r="BM317" s="95"/>
      <c r="BN317" s="95"/>
      <c r="BO317" s="95"/>
      <c r="BP317" s="95"/>
      <c r="BQ317" s="95"/>
      <c r="BR317" s="95"/>
      <c r="BS317" s="95"/>
      <c r="BU317" s="95"/>
      <c r="BV317" s="95"/>
    </row>
    <row r="318" customFormat="false" ht="12.75" hidden="false" customHeight="false" outlineLevel="0" collapsed="false">
      <c r="D318" s="95"/>
      <c r="E318" s="95"/>
      <c r="F318" s="95"/>
      <c r="G318" s="95"/>
      <c r="H318" s="95"/>
      <c r="I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95"/>
      <c r="BB318" s="95"/>
      <c r="BC318" s="95"/>
      <c r="BD318" s="95"/>
      <c r="BE318" s="95"/>
      <c r="BF318" s="95"/>
      <c r="BG318" s="95"/>
      <c r="BH318" s="95"/>
      <c r="BI318" s="95"/>
      <c r="BJ318" s="95"/>
      <c r="BK318" s="95"/>
      <c r="BL318" s="95"/>
      <c r="BM318" s="95"/>
      <c r="BN318" s="95"/>
      <c r="BO318" s="95"/>
      <c r="BP318" s="95"/>
      <c r="BQ318" s="95"/>
      <c r="BR318" s="95"/>
      <c r="BS318" s="95"/>
      <c r="BU318" s="95"/>
      <c r="BV318" s="95"/>
    </row>
    <row r="319" customFormat="false" ht="12.75" hidden="false" customHeight="false" outlineLevel="0" collapsed="false">
      <c r="D319" s="95"/>
      <c r="E319" s="95"/>
      <c r="F319" s="95"/>
      <c r="G319" s="95"/>
      <c r="H319" s="95"/>
      <c r="I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95"/>
      <c r="BS319" s="95"/>
      <c r="BU319" s="95"/>
      <c r="BV319" s="95"/>
    </row>
    <row r="320" customFormat="false" ht="12.75" hidden="false" customHeight="false" outlineLevel="0" collapsed="false">
      <c r="D320" s="95"/>
      <c r="E320" s="95"/>
      <c r="F320" s="95"/>
      <c r="G320" s="95"/>
      <c r="H320" s="95"/>
      <c r="I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95"/>
      <c r="BB320" s="95"/>
      <c r="BC320" s="95"/>
      <c r="BD320" s="95"/>
      <c r="BE320" s="95"/>
      <c r="BF320" s="95"/>
      <c r="BG320" s="95"/>
      <c r="BH320" s="95"/>
      <c r="BI320" s="95"/>
      <c r="BJ320" s="95"/>
      <c r="BK320" s="95"/>
      <c r="BL320" s="95"/>
      <c r="BM320" s="95"/>
      <c r="BN320" s="95"/>
      <c r="BO320" s="95"/>
      <c r="BP320" s="95"/>
      <c r="BQ320" s="95"/>
      <c r="BR320" s="95"/>
      <c r="BS320" s="95"/>
      <c r="BU320" s="95"/>
      <c r="BV320" s="95"/>
    </row>
    <row r="321" customFormat="false" ht="12.75" hidden="false" customHeight="false" outlineLevel="0" collapsed="false">
      <c r="D321" s="95"/>
      <c r="E321" s="95"/>
      <c r="F321" s="95"/>
      <c r="G321" s="95"/>
      <c r="H321" s="95"/>
      <c r="I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c r="BG321" s="95"/>
      <c r="BH321" s="95"/>
      <c r="BI321" s="95"/>
      <c r="BJ321" s="95"/>
      <c r="BK321" s="95"/>
      <c r="BL321" s="95"/>
      <c r="BM321" s="95"/>
      <c r="BN321" s="95"/>
      <c r="BO321" s="95"/>
      <c r="BP321" s="95"/>
      <c r="BQ321" s="95"/>
      <c r="BR321" s="95"/>
      <c r="BS321" s="95"/>
      <c r="BU321" s="95"/>
      <c r="BV321" s="95"/>
    </row>
    <row r="322" customFormat="false" ht="12.75" hidden="false" customHeight="false" outlineLevel="0" collapsed="false">
      <c r="D322" s="95"/>
      <c r="E322" s="95"/>
      <c r="F322" s="95"/>
      <c r="G322" s="95"/>
      <c r="H322" s="95"/>
      <c r="I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5"/>
      <c r="BL322" s="95"/>
      <c r="BM322" s="95"/>
      <c r="BN322" s="95"/>
      <c r="BO322" s="95"/>
      <c r="BP322" s="95"/>
      <c r="BQ322" s="95"/>
      <c r="BR322" s="95"/>
      <c r="BS322" s="95"/>
      <c r="BU322" s="95"/>
      <c r="BV322" s="95"/>
    </row>
    <row r="323" customFormat="false" ht="12.75" hidden="false" customHeight="false" outlineLevel="0" collapsed="false">
      <c r="D323" s="95"/>
      <c r="E323" s="95"/>
      <c r="F323" s="95"/>
      <c r="G323" s="95"/>
      <c r="H323" s="95"/>
      <c r="I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95"/>
      <c r="BB323" s="95"/>
      <c r="BC323" s="95"/>
      <c r="BD323" s="95"/>
      <c r="BE323" s="95"/>
      <c r="BF323" s="95"/>
      <c r="BG323" s="95"/>
      <c r="BH323" s="95"/>
      <c r="BI323" s="95"/>
      <c r="BJ323" s="95"/>
      <c r="BK323" s="95"/>
      <c r="BL323" s="95"/>
      <c r="BM323" s="95"/>
      <c r="BN323" s="95"/>
      <c r="BO323" s="95"/>
      <c r="BP323" s="95"/>
      <c r="BQ323" s="95"/>
      <c r="BR323" s="95"/>
      <c r="BS323" s="95"/>
      <c r="BU323" s="95"/>
      <c r="BV323" s="95"/>
    </row>
    <row r="324" customFormat="false" ht="12.75" hidden="false" customHeight="false" outlineLevel="0" collapsed="false">
      <c r="D324" s="95"/>
      <c r="E324" s="95"/>
      <c r="F324" s="95"/>
      <c r="G324" s="95"/>
      <c r="H324" s="95"/>
      <c r="I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95"/>
      <c r="BB324" s="95"/>
      <c r="BC324" s="95"/>
      <c r="BD324" s="95"/>
      <c r="BE324" s="95"/>
      <c r="BF324" s="95"/>
      <c r="BG324" s="95"/>
      <c r="BH324" s="95"/>
      <c r="BI324" s="95"/>
      <c r="BJ324" s="95"/>
      <c r="BK324" s="95"/>
      <c r="BL324" s="95"/>
      <c r="BM324" s="95"/>
      <c r="BN324" s="95"/>
      <c r="BO324" s="95"/>
      <c r="BP324" s="95"/>
      <c r="BQ324" s="95"/>
      <c r="BR324" s="95"/>
      <c r="BS324" s="95"/>
      <c r="BU324" s="95"/>
      <c r="BV324" s="95"/>
    </row>
    <row r="325" customFormat="false" ht="12.75" hidden="false" customHeight="false" outlineLevel="0" collapsed="false">
      <c r="D325" s="95"/>
      <c r="E325" s="95"/>
      <c r="F325" s="95"/>
      <c r="G325" s="95"/>
      <c r="H325" s="95"/>
      <c r="I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95"/>
      <c r="BB325" s="95"/>
      <c r="BC325" s="95"/>
      <c r="BD325" s="95"/>
      <c r="BE325" s="95"/>
      <c r="BF325" s="95"/>
      <c r="BG325" s="95"/>
      <c r="BH325" s="95"/>
      <c r="BI325" s="95"/>
      <c r="BJ325" s="95"/>
      <c r="BK325" s="95"/>
      <c r="BL325" s="95"/>
      <c r="BM325" s="95"/>
      <c r="BN325" s="95"/>
      <c r="BO325" s="95"/>
      <c r="BP325" s="95"/>
      <c r="BQ325" s="95"/>
      <c r="BR325" s="95"/>
      <c r="BS325" s="95"/>
      <c r="BU325" s="95"/>
      <c r="BV325" s="95"/>
    </row>
    <row r="326" customFormat="false" ht="12.75" hidden="false" customHeight="false" outlineLevel="0" collapsed="false">
      <c r="D326" s="95"/>
      <c r="E326" s="95"/>
      <c r="F326" s="95"/>
      <c r="G326" s="95"/>
      <c r="H326" s="95"/>
      <c r="I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95"/>
      <c r="BB326" s="95"/>
      <c r="BC326" s="95"/>
      <c r="BD326" s="95"/>
      <c r="BE326" s="95"/>
      <c r="BF326" s="95"/>
      <c r="BG326" s="95"/>
      <c r="BH326" s="95"/>
      <c r="BI326" s="95"/>
      <c r="BJ326" s="95"/>
      <c r="BK326" s="95"/>
      <c r="BL326" s="95"/>
      <c r="BM326" s="95"/>
      <c r="BN326" s="95"/>
      <c r="BO326" s="95"/>
      <c r="BP326" s="95"/>
      <c r="BQ326" s="95"/>
      <c r="BR326" s="95"/>
      <c r="BS326" s="95"/>
      <c r="BU326" s="95"/>
      <c r="BV326" s="95"/>
    </row>
    <row r="327" customFormat="false" ht="12.75" hidden="false" customHeight="false" outlineLevel="0" collapsed="false">
      <c r="D327" s="95"/>
      <c r="E327" s="95"/>
      <c r="F327" s="95"/>
      <c r="G327" s="95"/>
      <c r="H327" s="95"/>
      <c r="I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c r="BG327" s="95"/>
      <c r="BH327" s="95"/>
      <c r="BI327" s="95"/>
      <c r="BJ327" s="95"/>
      <c r="BK327" s="95"/>
      <c r="BL327" s="95"/>
      <c r="BM327" s="95"/>
      <c r="BN327" s="95"/>
      <c r="BO327" s="95"/>
      <c r="BP327" s="95"/>
      <c r="BQ327" s="95"/>
      <c r="BR327" s="95"/>
      <c r="BS327" s="95"/>
      <c r="BU327" s="95"/>
      <c r="BV327" s="95"/>
    </row>
    <row r="328" customFormat="false" ht="12.75" hidden="false" customHeight="false" outlineLevel="0" collapsed="false">
      <c r="D328" s="95"/>
      <c r="E328" s="95"/>
      <c r="F328" s="95"/>
      <c r="G328" s="95"/>
      <c r="H328" s="95"/>
      <c r="I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U328" s="95"/>
      <c r="BV328" s="95"/>
    </row>
    <row r="329" customFormat="false" ht="12.75" hidden="false" customHeight="false" outlineLevel="0" collapsed="false">
      <c r="D329" s="95"/>
      <c r="E329" s="95"/>
      <c r="F329" s="95"/>
      <c r="G329" s="95"/>
      <c r="H329" s="95"/>
      <c r="I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95"/>
      <c r="BB329" s="95"/>
      <c r="BC329" s="95"/>
      <c r="BD329" s="95"/>
      <c r="BE329" s="95"/>
      <c r="BF329" s="95"/>
      <c r="BG329" s="95"/>
      <c r="BH329" s="95"/>
      <c r="BI329" s="95"/>
      <c r="BJ329" s="95"/>
      <c r="BK329" s="95"/>
      <c r="BL329" s="95"/>
      <c r="BM329" s="95"/>
      <c r="BN329" s="95"/>
      <c r="BO329" s="95"/>
      <c r="BP329" s="95"/>
      <c r="BQ329" s="95"/>
      <c r="BR329" s="95"/>
      <c r="BS329" s="95"/>
      <c r="BU329" s="95"/>
      <c r="BV329" s="95"/>
    </row>
    <row r="330" customFormat="false" ht="12.75" hidden="false" customHeight="false" outlineLevel="0" collapsed="false">
      <c r="D330" s="95"/>
      <c r="E330" s="95"/>
      <c r="F330" s="95"/>
      <c r="G330" s="95"/>
      <c r="H330" s="95"/>
      <c r="I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95"/>
      <c r="BB330" s="95"/>
      <c r="BC330" s="95"/>
      <c r="BD330" s="95"/>
      <c r="BE330" s="95"/>
      <c r="BF330" s="95"/>
      <c r="BG330" s="95"/>
      <c r="BH330" s="95"/>
      <c r="BI330" s="95"/>
      <c r="BJ330" s="95"/>
      <c r="BK330" s="95"/>
      <c r="BL330" s="95"/>
      <c r="BM330" s="95"/>
      <c r="BN330" s="95"/>
      <c r="BO330" s="95"/>
      <c r="BP330" s="95"/>
      <c r="BQ330" s="95"/>
      <c r="BR330" s="95"/>
      <c r="BS330" s="95"/>
      <c r="BU330" s="95"/>
      <c r="BV330" s="95"/>
    </row>
    <row r="331" customFormat="false" ht="12.75" hidden="false" customHeight="false" outlineLevel="0" collapsed="false">
      <c r="D331" s="95"/>
      <c r="E331" s="95"/>
      <c r="F331" s="95"/>
      <c r="G331" s="95"/>
      <c r="H331" s="95"/>
      <c r="I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95"/>
      <c r="BB331" s="95"/>
      <c r="BC331" s="95"/>
      <c r="BD331" s="95"/>
      <c r="BE331" s="95"/>
      <c r="BF331" s="95"/>
      <c r="BG331" s="95"/>
      <c r="BH331" s="95"/>
      <c r="BI331" s="95"/>
      <c r="BJ331" s="95"/>
      <c r="BK331" s="95"/>
      <c r="BL331" s="95"/>
      <c r="BM331" s="95"/>
      <c r="BN331" s="95"/>
      <c r="BO331" s="95"/>
      <c r="BP331" s="95"/>
      <c r="BQ331" s="95"/>
      <c r="BR331" s="95"/>
      <c r="BS331" s="95"/>
      <c r="BU331" s="95"/>
      <c r="BV331" s="95"/>
    </row>
    <row r="332" customFormat="false" ht="12.75" hidden="false" customHeight="false" outlineLevel="0" collapsed="false">
      <c r="D332" s="95"/>
      <c r="E332" s="95"/>
      <c r="F332" s="95"/>
      <c r="G332" s="95"/>
      <c r="H332" s="95"/>
      <c r="I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95"/>
      <c r="BB332" s="95"/>
      <c r="BC332" s="95"/>
      <c r="BD332" s="95"/>
      <c r="BE332" s="95"/>
      <c r="BF332" s="95"/>
      <c r="BG332" s="95"/>
      <c r="BH332" s="95"/>
      <c r="BI332" s="95"/>
      <c r="BJ332" s="95"/>
      <c r="BK332" s="95"/>
      <c r="BL332" s="95"/>
      <c r="BM332" s="95"/>
      <c r="BN332" s="95"/>
      <c r="BO332" s="95"/>
      <c r="BP332" s="95"/>
      <c r="BQ332" s="95"/>
      <c r="BR332" s="95"/>
      <c r="BS332" s="95"/>
      <c r="BU332" s="95"/>
      <c r="BV332" s="95"/>
    </row>
    <row r="333" customFormat="false" ht="12.75" hidden="false" customHeight="false" outlineLevel="0" collapsed="false">
      <c r="D333" s="95"/>
      <c r="E333" s="95"/>
      <c r="F333" s="95"/>
      <c r="G333" s="95"/>
      <c r="H333" s="95"/>
      <c r="I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95"/>
      <c r="BB333" s="95"/>
      <c r="BC333" s="95"/>
      <c r="BD333" s="95"/>
      <c r="BE333" s="95"/>
      <c r="BF333" s="95"/>
      <c r="BG333" s="95"/>
      <c r="BH333" s="95"/>
      <c r="BI333" s="95"/>
      <c r="BJ333" s="95"/>
      <c r="BK333" s="95"/>
      <c r="BL333" s="95"/>
      <c r="BM333" s="95"/>
      <c r="BN333" s="95"/>
      <c r="BO333" s="95"/>
      <c r="BP333" s="95"/>
      <c r="BQ333" s="95"/>
      <c r="BR333" s="95"/>
      <c r="BS333" s="95"/>
      <c r="BU333" s="95"/>
      <c r="BV333" s="95"/>
    </row>
    <row r="334" customFormat="false" ht="12.75" hidden="false" customHeight="false" outlineLevel="0" collapsed="false">
      <c r="D334" s="95"/>
      <c r="E334" s="95"/>
      <c r="F334" s="95"/>
      <c r="G334" s="95"/>
      <c r="H334" s="95"/>
      <c r="I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95"/>
      <c r="BI334" s="95"/>
      <c r="BJ334" s="95"/>
      <c r="BK334" s="95"/>
      <c r="BL334" s="95"/>
      <c r="BM334" s="95"/>
      <c r="BN334" s="95"/>
      <c r="BO334" s="95"/>
      <c r="BP334" s="95"/>
      <c r="BQ334" s="95"/>
      <c r="BR334" s="95"/>
      <c r="BS334" s="95"/>
      <c r="BU334" s="95"/>
      <c r="BV334" s="95"/>
    </row>
    <row r="335" customFormat="false" ht="12.75" hidden="false" customHeight="false" outlineLevel="0" collapsed="false">
      <c r="D335" s="95"/>
      <c r="E335" s="95"/>
      <c r="F335" s="95"/>
      <c r="G335" s="95"/>
      <c r="H335" s="95"/>
      <c r="I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95"/>
      <c r="BB335" s="95"/>
      <c r="BC335" s="95"/>
      <c r="BD335" s="95"/>
      <c r="BE335" s="95"/>
      <c r="BF335" s="95"/>
      <c r="BG335" s="95"/>
      <c r="BH335" s="95"/>
      <c r="BI335" s="95"/>
      <c r="BJ335" s="95"/>
      <c r="BK335" s="95"/>
      <c r="BL335" s="95"/>
      <c r="BM335" s="95"/>
      <c r="BN335" s="95"/>
      <c r="BO335" s="95"/>
      <c r="BP335" s="95"/>
      <c r="BQ335" s="95"/>
      <c r="BR335" s="95"/>
      <c r="BS335" s="95"/>
      <c r="BU335" s="95"/>
      <c r="BV335" s="95"/>
    </row>
    <row r="336" customFormat="false" ht="12.75" hidden="false" customHeight="false" outlineLevel="0" collapsed="false">
      <c r="D336" s="95"/>
      <c r="E336" s="95"/>
      <c r="F336" s="95"/>
      <c r="G336" s="95"/>
      <c r="H336" s="95"/>
      <c r="I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c r="BG336" s="95"/>
      <c r="BH336" s="95"/>
      <c r="BI336" s="95"/>
      <c r="BJ336" s="95"/>
      <c r="BK336" s="95"/>
      <c r="BL336" s="95"/>
      <c r="BM336" s="95"/>
      <c r="BN336" s="95"/>
      <c r="BO336" s="95"/>
      <c r="BP336" s="95"/>
      <c r="BQ336" s="95"/>
      <c r="BR336" s="95"/>
      <c r="BS336" s="95"/>
      <c r="BU336" s="95"/>
      <c r="BV336" s="95"/>
    </row>
    <row r="337" customFormat="false" ht="12.75" hidden="false" customHeight="false" outlineLevel="0" collapsed="false">
      <c r="D337" s="95"/>
      <c r="E337" s="95"/>
      <c r="F337" s="95"/>
      <c r="G337" s="95"/>
      <c r="H337" s="95"/>
      <c r="I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c r="BG337" s="95"/>
      <c r="BH337" s="95"/>
      <c r="BI337" s="95"/>
      <c r="BJ337" s="95"/>
      <c r="BK337" s="95"/>
      <c r="BL337" s="95"/>
      <c r="BM337" s="95"/>
      <c r="BN337" s="95"/>
      <c r="BO337" s="95"/>
      <c r="BP337" s="95"/>
      <c r="BQ337" s="95"/>
      <c r="BR337" s="95"/>
      <c r="BS337" s="95"/>
      <c r="BU337" s="95"/>
      <c r="BV337" s="95"/>
    </row>
    <row r="338" customFormat="false" ht="12.75" hidden="false" customHeight="false" outlineLevel="0" collapsed="false">
      <c r="D338" s="95"/>
      <c r="E338" s="95"/>
      <c r="F338" s="95"/>
      <c r="G338" s="95"/>
      <c r="H338" s="95"/>
      <c r="I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95"/>
      <c r="BB338" s="95"/>
      <c r="BC338" s="95"/>
      <c r="BD338" s="95"/>
      <c r="BE338" s="95"/>
      <c r="BF338" s="95"/>
      <c r="BG338" s="95"/>
      <c r="BH338" s="95"/>
      <c r="BI338" s="95"/>
      <c r="BJ338" s="95"/>
      <c r="BK338" s="95"/>
      <c r="BL338" s="95"/>
      <c r="BM338" s="95"/>
      <c r="BN338" s="95"/>
      <c r="BO338" s="95"/>
      <c r="BP338" s="95"/>
      <c r="BQ338" s="95"/>
      <c r="BR338" s="95"/>
      <c r="BS338" s="95"/>
      <c r="BU338" s="95"/>
      <c r="BV338" s="95"/>
    </row>
    <row r="339" customFormat="false" ht="12.75" hidden="false" customHeight="false" outlineLevel="0" collapsed="false">
      <c r="D339" s="95"/>
      <c r="E339" s="95"/>
      <c r="F339" s="95"/>
      <c r="G339" s="95"/>
      <c r="H339" s="95"/>
      <c r="I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95"/>
      <c r="BB339" s="95"/>
      <c r="BC339" s="95"/>
      <c r="BD339" s="95"/>
      <c r="BE339" s="95"/>
      <c r="BF339" s="95"/>
      <c r="BG339" s="95"/>
      <c r="BH339" s="95"/>
      <c r="BI339" s="95"/>
      <c r="BJ339" s="95"/>
      <c r="BK339" s="95"/>
      <c r="BL339" s="95"/>
      <c r="BM339" s="95"/>
      <c r="BN339" s="95"/>
      <c r="BO339" s="95"/>
      <c r="BP339" s="95"/>
      <c r="BQ339" s="95"/>
      <c r="BR339" s="95"/>
      <c r="BS339" s="95"/>
      <c r="BU339" s="95"/>
      <c r="BV339" s="95"/>
    </row>
    <row r="340" customFormat="false" ht="12.75" hidden="false" customHeight="false" outlineLevel="0" collapsed="false">
      <c r="D340" s="95"/>
      <c r="E340" s="95"/>
      <c r="F340" s="95"/>
      <c r="G340" s="95"/>
      <c r="H340" s="95"/>
      <c r="I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95"/>
      <c r="BB340" s="95"/>
      <c r="BC340" s="95"/>
      <c r="BD340" s="95"/>
      <c r="BE340" s="95"/>
      <c r="BF340" s="95"/>
      <c r="BG340" s="95"/>
      <c r="BH340" s="95"/>
      <c r="BI340" s="95"/>
      <c r="BJ340" s="95"/>
      <c r="BK340" s="95"/>
      <c r="BL340" s="95"/>
      <c r="BM340" s="95"/>
      <c r="BN340" s="95"/>
      <c r="BO340" s="95"/>
      <c r="BP340" s="95"/>
      <c r="BQ340" s="95"/>
      <c r="BR340" s="95"/>
      <c r="BS340" s="95"/>
      <c r="BU340" s="95"/>
      <c r="BV340" s="95"/>
    </row>
    <row r="341" customFormat="false" ht="12.75" hidden="false" customHeight="false" outlineLevel="0" collapsed="false">
      <c r="D341" s="95"/>
      <c r="E341" s="95"/>
      <c r="F341" s="95"/>
      <c r="G341" s="95"/>
      <c r="H341" s="95"/>
      <c r="I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95"/>
      <c r="BB341" s="95"/>
      <c r="BC341" s="95"/>
      <c r="BD341" s="95"/>
      <c r="BE341" s="95"/>
      <c r="BF341" s="95"/>
      <c r="BG341" s="95"/>
      <c r="BH341" s="95"/>
      <c r="BI341" s="95"/>
      <c r="BJ341" s="95"/>
      <c r="BK341" s="95"/>
      <c r="BL341" s="95"/>
      <c r="BM341" s="95"/>
      <c r="BN341" s="95"/>
      <c r="BO341" s="95"/>
      <c r="BP341" s="95"/>
      <c r="BQ341" s="95"/>
      <c r="BR341" s="95"/>
      <c r="BS341" s="95"/>
      <c r="BU341" s="95"/>
      <c r="BV341" s="95"/>
    </row>
    <row r="342" customFormat="false" ht="12.75" hidden="false" customHeight="false" outlineLevel="0" collapsed="false">
      <c r="D342" s="95"/>
      <c r="E342" s="95"/>
      <c r="F342" s="95"/>
      <c r="G342" s="95"/>
      <c r="H342" s="95"/>
      <c r="I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95"/>
      <c r="BB342" s="95"/>
      <c r="BC342" s="95"/>
      <c r="BD342" s="95"/>
      <c r="BE342" s="95"/>
      <c r="BF342" s="95"/>
      <c r="BG342" s="95"/>
      <c r="BH342" s="95"/>
      <c r="BI342" s="95"/>
      <c r="BJ342" s="95"/>
      <c r="BK342" s="95"/>
      <c r="BL342" s="95"/>
      <c r="BM342" s="95"/>
      <c r="BN342" s="95"/>
      <c r="BO342" s="95"/>
      <c r="BP342" s="95"/>
      <c r="BQ342" s="95"/>
      <c r="BR342" s="95"/>
      <c r="BS342" s="95"/>
      <c r="BU342" s="95"/>
      <c r="BV342" s="95"/>
    </row>
    <row r="343" customFormat="false" ht="12.75" hidden="false" customHeight="false" outlineLevel="0" collapsed="false">
      <c r="D343" s="95"/>
      <c r="E343" s="95"/>
      <c r="F343" s="95"/>
      <c r="G343" s="95"/>
      <c r="H343" s="95"/>
      <c r="I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95"/>
      <c r="BB343" s="95"/>
      <c r="BC343" s="95"/>
      <c r="BD343" s="95"/>
      <c r="BE343" s="95"/>
      <c r="BF343" s="95"/>
      <c r="BG343" s="95"/>
      <c r="BH343" s="95"/>
      <c r="BI343" s="95"/>
      <c r="BJ343" s="95"/>
      <c r="BK343" s="95"/>
      <c r="BL343" s="95"/>
      <c r="BM343" s="95"/>
      <c r="BN343" s="95"/>
      <c r="BO343" s="95"/>
      <c r="BP343" s="95"/>
      <c r="BQ343" s="95"/>
      <c r="BR343" s="95"/>
      <c r="BS343" s="95"/>
      <c r="BU343" s="95"/>
      <c r="BV343" s="95"/>
    </row>
    <row r="344" customFormat="false" ht="12.75" hidden="false" customHeight="false" outlineLevel="0" collapsed="false">
      <c r="D344" s="95"/>
      <c r="E344" s="95"/>
      <c r="F344" s="95"/>
      <c r="G344" s="95"/>
      <c r="H344" s="95"/>
      <c r="I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95"/>
      <c r="BB344" s="95"/>
      <c r="BC344" s="95"/>
      <c r="BD344" s="95"/>
      <c r="BE344" s="95"/>
      <c r="BF344" s="95"/>
      <c r="BG344" s="95"/>
      <c r="BH344" s="95"/>
      <c r="BI344" s="95"/>
      <c r="BJ344" s="95"/>
      <c r="BK344" s="95"/>
      <c r="BL344" s="95"/>
      <c r="BM344" s="95"/>
      <c r="BN344" s="95"/>
      <c r="BO344" s="95"/>
      <c r="BP344" s="95"/>
      <c r="BQ344" s="95"/>
      <c r="BR344" s="95"/>
      <c r="BS344" s="95"/>
      <c r="BU344" s="95"/>
      <c r="BV344" s="95"/>
    </row>
    <row r="345" customFormat="false" ht="12.75" hidden="false" customHeight="false" outlineLevel="0" collapsed="false">
      <c r="D345" s="95"/>
      <c r="E345" s="95"/>
      <c r="F345" s="95"/>
      <c r="G345" s="95"/>
      <c r="H345" s="95"/>
      <c r="I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5"/>
      <c r="BL345" s="95"/>
      <c r="BM345" s="95"/>
      <c r="BN345" s="95"/>
      <c r="BO345" s="95"/>
      <c r="BP345" s="95"/>
      <c r="BQ345" s="95"/>
      <c r="BR345" s="95"/>
      <c r="BS345" s="95"/>
      <c r="BU345" s="95"/>
      <c r="BV345" s="95"/>
    </row>
    <row r="346" customFormat="false" ht="12.75" hidden="false" customHeight="false" outlineLevel="0" collapsed="false">
      <c r="D346" s="95"/>
      <c r="E346" s="95"/>
      <c r="F346" s="95"/>
      <c r="G346" s="95"/>
      <c r="H346" s="95"/>
      <c r="I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95"/>
      <c r="BJ346" s="95"/>
      <c r="BK346" s="95"/>
      <c r="BL346" s="95"/>
      <c r="BM346" s="95"/>
      <c r="BN346" s="95"/>
      <c r="BO346" s="95"/>
      <c r="BP346" s="95"/>
      <c r="BQ346" s="95"/>
      <c r="BR346" s="95"/>
      <c r="BS346" s="95"/>
      <c r="BU346" s="95"/>
      <c r="BV346" s="95"/>
    </row>
    <row r="347" customFormat="false" ht="12.75" hidden="false" customHeight="false" outlineLevel="0" collapsed="false">
      <c r="D347" s="95"/>
      <c r="E347" s="95"/>
      <c r="F347" s="95"/>
      <c r="G347" s="95"/>
      <c r="H347" s="95"/>
      <c r="I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95"/>
      <c r="BB347" s="95"/>
      <c r="BC347" s="95"/>
      <c r="BD347" s="95"/>
      <c r="BE347" s="95"/>
      <c r="BF347" s="95"/>
      <c r="BG347" s="95"/>
      <c r="BH347" s="95"/>
      <c r="BI347" s="95"/>
      <c r="BJ347" s="95"/>
      <c r="BK347" s="95"/>
      <c r="BL347" s="95"/>
      <c r="BM347" s="95"/>
      <c r="BN347" s="95"/>
      <c r="BO347" s="95"/>
      <c r="BP347" s="95"/>
      <c r="BQ347" s="95"/>
      <c r="BR347" s="95"/>
      <c r="BS347" s="95"/>
      <c r="BU347" s="95"/>
      <c r="BV347" s="95"/>
    </row>
    <row r="348" customFormat="false" ht="12.75" hidden="false" customHeight="false" outlineLevel="0" collapsed="false">
      <c r="D348" s="95"/>
      <c r="E348" s="95"/>
      <c r="F348" s="95"/>
      <c r="G348" s="95"/>
      <c r="H348" s="95"/>
      <c r="I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95"/>
      <c r="BB348" s="95"/>
      <c r="BC348" s="95"/>
      <c r="BD348" s="95"/>
      <c r="BE348" s="95"/>
      <c r="BF348" s="95"/>
      <c r="BG348" s="95"/>
      <c r="BH348" s="95"/>
      <c r="BI348" s="95"/>
      <c r="BJ348" s="95"/>
      <c r="BK348" s="95"/>
      <c r="BL348" s="95"/>
      <c r="BM348" s="95"/>
      <c r="BN348" s="95"/>
      <c r="BO348" s="95"/>
      <c r="BP348" s="95"/>
      <c r="BQ348" s="95"/>
      <c r="BR348" s="95"/>
      <c r="BS348" s="95"/>
      <c r="BU348" s="95"/>
      <c r="BV348" s="95"/>
    </row>
    <row r="349" customFormat="false" ht="12.75" hidden="false" customHeight="false" outlineLevel="0" collapsed="false">
      <c r="D349" s="95"/>
      <c r="E349" s="95"/>
      <c r="F349" s="95"/>
      <c r="G349" s="95"/>
      <c r="H349" s="95"/>
      <c r="I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5"/>
      <c r="BL349" s="95"/>
      <c r="BM349" s="95"/>
      <c r="BN349" s="95"/>
      <c r="BO349" s="95"/>
      <c r="BP349" s="95"/>
      <c r="BQ349" s="95"/>
      <c r="BR349" s="95"/>
      <c r="BS349" s="95"/>
      <c r="BU349" s="95"/>
      <c r="BV349" s="95"/>
    </row>
    <row r="350" customFormat="false" ht="12.75" hidden="false" customHeight="false" outlineLevel="0" collapsed="false">
      <c r="D350" s="95"/>
      <c r="E350" s="95"/>
      <c r="F350" s="95"/>
      <c r="G350" s="95"/>
      <c r="H350" s="95"/>
      <c r="I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95"/>
      <c r="BS350" s="95"/>
      <c r="BU350" s="95"/>
      <c r="BV350" s="95"/>
    </row>
    <row r="351" customFormat="false" ht="12.75" hidden="false" customHeight="false" outlineLevel="0" collapsed="false">
      <c r="D351" s="95"/>
      <c r="E351" s="95"/>
      <c r="F351" s="95"/>
      <c r="G351" s="95"/>
      <c r="H351" s="95"/>
      <c r="I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95"/>
      <c r="BB351" s="95"/>
      <c r="BC351" s="95"/>
      <c r="BD351" s="95"/>
      <c r="BE351" s="95"/>
      <c r="BF351" s="95"/>
      <c r="BG351" s="95"/>
      <c r="BH351" s="95"/>
      <c r="BI351" s="95"/>
      <c r="BJ351" s="95"/>
      <c r="BK351" s="95"/>
      <c r="BL351" s="95"/>
      <c r="BM351" s="95"/>
      <c r="BN351" s="95"/>
      <c r="BO351" s="95"/>
      <c r="BP351" s="95"/>
      <c r="BQ351" s="95"/>
      <c r="BR351" s="95"/>
      <c r="BS351" s="95"/>
      <c r="BU351" s="95"/>
      <c r="BV351" s="95"/>
    </row>
    <row r="352" customFormat="false" ht="12.75" hidden="false" customHeight="false" outlineLevel="0" collapsed="false">
      <c r="D352" s="95"/>
      <c r="E352" s="95"/>
      <c r="F352" s="95"/>
      <c r="G352" s="95"/>
      <c r="H352" s="95"/>
      <c r="I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95"/>
      <c r="BB352" s="95"/>
      <c r="BC352" s="95"/>
      <c r="BD352" s="95"/>
      <c r="BE352" s="95"/>
      <c r="BF352" s="95"/>
      <c r="BG352" s="95"/>
      <c r="BH352" s="95"/>
      <c r="BI352" s="95"/>
      <c r="BJ352" s="95"/>
      <c r="BK352" s="95"/>
      <c r="BL352" s="95"/>
      <c r="BM352" s="95"/>
      <c r="BN352" s="95"/>
      <c r="BO352" s="95"/>
      <c r="BP352" s="95"/>
      <c r="BQ352" s="95"/>
      <c r="BR352" s="95"/>
      <c r="BS352" s="95"/>
      <c r="BU352" s="95"/>
      <c r="BV352" s="95"/>
    </row>
    <row r="353" customFormat="false" ht="12.75" hidden="false" customHeight="false" outlineLevel="0" collapsed="false">
      <c r="D353" s="95"/>
      <c r="E353" s="95"/>
      <c r="F353" s="95"/>
      <c r="G353" s="95"/>
      <c r="H353" s="95"/>
      <c r="I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c r="BJ353" s="95"/>
      <c r="BK353" s="95"/>
      <c r="BL353" s="95"/>
      <c r="BM353" s="95"/>
      <c r="BN353" s="95"/>
      <c r="BO353" s="95"/>
      <c r="BP353" s="95"/>
      <c r="BQ353" s="95"/>
      <c r="BR353" s="95"/>
      <c r="BS353" s="95"/>
      <c r="BU353" s="95"/>
      <c r="BV353" s="95"/>
    </row>
    <row r="354" customFormat="false" ht="12.75" hidden="false" customHeight="false" outlineLevel="0" collapsed="false">
      <c r="D354" s="95"/>
      <c r="E354" s="95"/>
      <c r="F354" s="95"/>
      <c r="G354" s="95"/>
      <c r="H354" s="95"/>
      <c r="I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U354" s="95"/>
      <c r="BV354" s="95"/>
    </row>
    <row r="355" customFormat="false" ht="12.75" hidden="false" customHeight="false" outlineLevel="0" collapsed="false">
      <c r="D355" s="95"/>
      <c r="E355" s="95"/>
      <c r="F355" s="95"/>
      <c r="G355" s="95"/>
      <c r="H355" s="95"/>
      <c r="I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5"/>
      <c r="BL355" s="95"/>
      <c r="BM355" s="95"/>
      <c r="BN355" s="95"/>
      <c r="BO355" s="95"/>
      <c r="BP355" s="95"/>
      <c r="BQ355" s="95"/>
      <c r="BR355" s="95"/>
      <c r="BS355" s="95"/>
      <c r="BU355" s="95"/>
      <c r="BV355" s="95"/>
    </row>
    <row r="356" customFormat="false" ht="12.75" hidden="false" customHeight="false" outlineLevel="0" collapsed="false">
      <c r="D356" s="95"/>
      <c r="E356" s="95"/>
      <c r="F356" s="95"/>
      <c r="G356" s="95"/>
      <c r="H356" s="95"/>
      <c r="I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c r="BG356" s="95"/>
      <c r="BH356" s="95"/>
      <c r="BI356" s="95"/>
      <c r="BJ356" s="95"/>
      <c r="BK356" s="95"/>
      <c r="BL356" s="95"/>
      <c r="BM356" s="95"/>
      <c r="BN356" s="95"/>
      <c r="BO356" s="95"/>
      <c r="BP356" s="95"/>
      <c r="BQ356" s="95"/>
      <c r="BR356" s="95"/>
      <c r="BS356" s="95"/>
      <c r="BU356" s="95"/>
      <c r="BV356" s="95"/>
    </row>
    <row r="357" customFormat="false" ht="12.75" hidden="false" customHeight="false" outlineLevel="0" collapsed="false">
      <c r="D357" s="95"/>
      <c r="E357" s="95"/>
      <c r="F357" s="95"/>
      <c r="G357" s="95"/>
      <c r="H357" s="95"/>
      <c r="I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c r="BG357" s="95"/>
      <c r="BH357" s="95"/>
      <c r="BI357" s="95"/>
      <c r="BJ357" s="95"/>
      <c r="BK357" s="95"/>
      <c r="BL357" s="95"/>
      <c r="BM357" s="95"/>
      <c r="BN357" s="95"/>
      <c r="BO357" s="95"/>
      <c r="BP357" s="95"/>
      <c r="BQ357" s="95"/>
      <c r="BR357" s="95"/>
      <c r="BS357" s="95"/>
      <c r="BU357" s="95"/>
      <c r="BV357" s="95"/>
    </row>
    <row r="358" customFormat="false" ht="12.75" hidden="false" customHeight="false" outlineLevel="0" collapsed="false">
      <c r="D358" s="95"/>
      <c r="E358" s="95"/>
      <c r="F358" s="95"/>
      <c r="G358" s="95"/>
      <c r="H358" s="95"/>
      <c r="I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c r="BG358" s="95"/>
      <c r="BH358" s="95"/>
      <c r="BI358" s="95"/>
      <c r="BJ358" s="95"/>
      <c r="BK358" s="95"/>
      <c r="BL358" s="95"/>
      <c r="BM358" s="95"/>
      <c r="BN358" s="95"/>
      <c r="BO358" s="95"/>
      <c r="BP358" s="95"/>
      <c r="BQ358" s="95"/>
      <c r="BR358" s="95"/>
      <c r="BS358" s="95"/>
      <c r="BU358" s="95"/>
      <c r="BV358" s="95"/>
    </row>
    <row r="359" customFormat="false" ht="12.75" hidden="false" customHeight="false" outlineLevel="0" collapsed="false">
      <c r="D359" s="95"/>
      <c r="E359" s="95"/>
      <c r="F359" s="95"/>
      <c r="G359" s="95"/>
      <c r="H359" s="95"/>
      <c r="I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95"/>
      <c r="BB359" s="95"/>
      <c r="BC359" s="95"/>
      <c r="BD359" s="95"/>
      <c r="BE359" s="95"/>
      <c r="BF359" s="95"/>
      <c r="BG359" s="95"/>
      <c r="BH359" s="95"/>
      <c r="BI359" s="95"/>
      <c r="BJ359" s="95"/>
      <c r="BK359" s="95"/>
      <c r="BL359" s="95"/>
      <c r="BM359" s="95"/>
      <c r="BN359" s="95"/>
      <c r="BO359" s="95"/>
      <c r="BP359" s="95"/>
      <c r="BQ359" s="95"/>
      <c r="BR359" s="95"/>
      <c r="BS359" s="95"/>
      <c r="BU359" s="95"/>
      <c r="BV359" s="95"/>
    </row>
    <row r="360" customFormat="false" ht="12.75" hidden="false" customHeight="false" outlineLevel="0" collapsed="false">
      <c r="D360" s="95"/>
      <c r="E360" s="95"/>
      <c r="F360" s="95"/>
      <c r="G360" s="95"/>
      <c r="H360" s="95"/>
      <c r="I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95"/>
      <c r="BB360" s="95"/>
      <c r="BC360" s="95"/>
      <c r="BD360" s="95"/>
      <c r="BE360" s="95"/>
      <c r="BF360" s="95"/>
      <c r="BG360" s="95"/>
      <c r="BH360" s="95"/>
      <c r="BI360" s="95"/>
      <c r="BJ360" s="95"/>
      <c r="BK360" s="95"/>
      <c r="BL360" s="95"/>
      <c r="BM360" s="95"/>
      <c r="BN360" s="95"/>
      <c r="BO360" s="95"/>
      <c r="BP360" s="95"/>
      <c r="BQ360" s="95"/>
      <c r="BR360" s="95"/>
      <c r="BS360" s="95"/>
      <c r="BU360" s="95"/>
      <c r="BV360" s="95"/>
    </row>
    <row r="361" customFormat="false" ht="12.75" hidden="false" customHeight="false" outlineLevel="0" collapsed="false">
      <c r="D361" s="95"/>
      <c r="E361" s="95"/>
      <c r="F361" s="95"/>
      <c r="G361" s="95"/>
      <c r="H361" s="95"/>
      <c r="I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95"/>
      <c r="BB361" s="95"/>
      <c r="BC361" s="95"/>
      <c r="BD361" s="95"/>
      <c r="BE361" s="95"/>
      <c r="BF361" s="95"/>
      <c r="BG361" s="95"/>
      <c r="BH361" s="95"/>
      <c r="BI361" s="95"/>
      <c r="BJ361" s="95"/>
      <c r="BK361" s="95"/>
      <c r="BL361" s="95"/>
      <c r="BM361" s="95"/>
      <c r="BN361" s="95"/>
      <c r="BO361" s="95"/>
      <c r="BP361" s="95"/>
      <c r="BQ361" s="95"/>
      <c r="BR361" s="95"/>
      <c r="BS361" s="95"/>
      <c r="BU361" s="95"/>
      <c r="BV361" s="95"/>
    </row>
    <row r="362" customFormat="false" ht="12.75" hidden="false" customHeight="false" outlineLevel="0" collapsed="false">
      <c r="D362" s="95"/>
      <c r="E362" s="95"/>
      <c r="F362" s="95"/>
      <c r="G362" s="95"/>
      <c r="H362" s="95"/>
      <c r="I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U362" s="95"/>
      <c r="BV362" s="95"/>
    </row>
    <row r="363" customFormat="false" ht="12.75" hidden="false" customHeight="false" outlineLevel="0" collapsed="false">
      <c r="D363" s="95"/>
      <c r="E363" s="95"/>
      <c r="F363" s="95"/>
      <c r="G363" s="95"/>
      <c r="H363" s="95"/>
      <c r="I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U363" s="95"/>
      <c r="BV363" s="95"/>
    </row>
    <row r="364" customFormat="false" ht="12.75" hidden="false" customHeight="false" outlineLevel="0" collapsed="false">
      <c r="D364" s="95"/>
      <c r="E364" s="95"/>
      <c r="F364" s="95"/>
      <c r="G364" s="95"/>
      <c r="H364" s="95"/>
      <c r="I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95"/>
      <c r="BB364" s="95"/>
      <c r="BC364" s="95"/>
      <c r="BD364" s="95"/>
      <c r="BE364" s="95"/>
      <c r="BF364" s="95"/>
      <c r="BG364" s="95"/>
      <c r="BH364" s="95"/>
      <c r="BI364" s="95"/>
      <c r="BJ364" s="95"/>
      <c r="BK364" s="95"/>
      <c r="BL364" s="95"/>
      <c r="BM364" s="95"/>
      <c r="BN364" s="95"/>
      <c r="BO364" s="95"/>
      <c r="BP364" s="95"/>
      <c r="BQ364" s="95"/>
      <c r="BR364" s="95"/>
      <c r="BS364" s="95"/>
      <c r="BU364" s="95"/>
      <c r="BV364" s="95"/>
    </row>
    <row r="365" customFormat="false" ht="12.75" hidden="false" customHeight="false" outlineLevel="0" collapsed="false">
      <c r="D365" s="95"/>
      <c r="E365" s="95"/>
      <c r="F365" s="95"/>
      <c r="G365" s="95"/>
      <c r="H365" s="95"/>
      <c r="I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5"/>
      <c r="BL365" s="95"/>
      <c r="BM365" s="95"/>
      <c r="BN365" s="95"/>
      <c r="BO365" s="95"/>
      <c r="BP365" s="95"/>
      <c r="BQ365" s="95"/>
      <c r="BR365" s="95"/>
      <c r="BS365" s="95"/>
      <c r="BU365" s="95"/>
      <c r="BV365" s="95"/>
    </row>
    <row r="366" customFormat="false" ht="12.75" hidden="false" customHeight="false" outlineLevel="0" collapsed="false">
      <c r="D366" s="95"/>
      <c r="E366" s="95"/>
      <c r="F366" s="95"/>
      <c r="G366" s="95"/>
      <c r="H366" s="95"/>
      <c r="I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95"/>
      <c r="BB366" s="95"/>
      <c r="BC366" s="95"/>
      <c r="BD366" s="95"/>
      <c r="BE366" s="95"/>
      <c r="BF366" s="95"/>
      <c r="BG366" s="95"/>
      <c r="BH366" s="95"/>
      <c r="BI366" s="95"/>
      <c r="BJ366" s="95"/>
      <c r="BK366" s="95"/>
      <c r="BL366" s="95"/>
      <c r="BM366" s="95"/>
      <c r="BN366" s="95"/>
      <c r="BO366" s="95"/>
      <c r="BP366" s="95"/>
      <c r="BQ366" s="95"/>
      <c r="BR366" s="95"/>
      <c r="BS366" s="95"/>
      <c r="BU366" s="95"/>
      <c r="BV366" s="95"/>
    </row>
    <row r="367" customFormat="false" ht="12.75" hidden="false" customHeight="false" outlineLevel="0" collapsed="false">
      <c r="D367" s="95"/>
      <c r="E367" s="95"/>
      <c r="F367" s="95"/>
      <c r="G367" s="95"/>
      <c r="H367" s="95"/>
      <c r="I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95"/>
      <c r="BB367" s="95"/>
      <c r="BC367" s="95"/>
      <c r="BD367" s="95"/>
      <c r="BE367" s="95"/>
      <c r="BF367" s="95"/>
      <c r="BG367" s="95"/>
      <c r="BH367" s="95"/>
      <c r="BI367" s="95"/>
      <c r="BJ367" s="95"/>
      <c r="BK367" s="95"/>
      <c r="BL367" s="95"/>
      <c r="BM367" s="95"/>
      <c r="BN367" s="95"/>
      <c r="BO367" s="95"/>
      <c r="BP367" s="95"/>
      <c r="BQ367" s="95"/>
      <c r="BR367" s="95"/>
      <c r="BS367" s="95"/>
      <c r="BU367" s="95"/>
      <c r="BV367" s="95"/>
    </row>
    <row r="368" customFormat="false" ht="12.75" hidden="false" customHeight="false" outlineLevel="0" collapsed="false">
      <c r="D368" s="95"/>
      <c r="E368" s="95"/>
      <c r="F368" s="95"/>
      <c r="G368" s="95"/>
      <c r="H368" s="95"/>
      <c r="I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95"/>
      <c r="BB368" s="95"/>
      <c r="BC368" s="95"/>
      <c r="BD368" s="95"/>
      <c r="BE368" s="95"/>
      <c r="BF368" s="95"/>
      <c r="BG368" s="95"/>
      <c r="BH368" s="95"/>
      <c r="BI368" s="95"/>
      <c r="BJ368" s="95"/>
      <c r="BK368" s="95"/>
      <c r="BL368" s="95"/>
      <c r="BM368" s="95"/>
      <c r="BN368" s="95"/>
      <c r="BO368" s="95"/>
      <c r="BP368" s="95"/>
      <c r="BQ368" s="95"/>
      <c r="BR368" s="95"/>
      <c r="BS368" s="95"/>
      <c r="BU368" s="95"/>
      <c r="BV368" s="95"/>
    </row>
    <row r="369" customFormat="false" ht="12.75" hidden="false" customHeight="false" outlineLevel="0" collapsed="false">
      <c r="D369" s="95"/>
      <c r="E369" s="95"/>
      <c r="F369" s="95"/>
      <c r="G369" s="95"/>
      <c r="H369" s="95"/>
      <c r="I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95"/>
      <c r="BB369" s="95"/>
      <c r="BC369" s="95"/>
      <c r="BD369" s="95"/>
      <c r="BE369" s="95"/>
      <c r="BF369" s="95"/>
      <c r="BG369" s="95"/>
      <c r="BH369" s="95"/>
      <c r="BI369" s="95"/>
      <c r="BJ369" s="95"/>
      <c r="BK369" s="95"/>
      <c r="BL369" s="95"/>
      <c r="BM369" s="95"/>
      <c r="BN369" s="95"/>
      <c r="BO369" s="95"/>
      <c r="BP369" s="95"/>
      <c r="BQ369" s="95"/>
      <c r="BR369" s="95"/>
      <c r="BS369" s="95"/>
      <c r="BU369" s="95"/>
      <c r="BV369" s="95"/>
    </row>
    <row r="370" customFormat="false" ht="12.75" hidden="false" customHeight="false" outlineLevel="0" collapsed="false">
      <c r="D370" s="95"/>
      <c r="E370" s="95"/>
      <c r="F370" s="95"/>
      <c r="G370" s="95"/>
      <c r="H370" s="95"/>
      <c r="I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95"/>
      <c r="BB370" s="95"/>
      <c r="BC370" s="95"/>
      <c r="BD370" s="95"/>
      <c r="BE370" s="95"/>
      <c r="BF370" s="95"/>
      <c r="BG370" s="95"/>
      <c r="BH370" s="95"/>
      <c r="BI370" s="95"/>
      <c r="BJ370" s="95"/>
      <c r="BK370" s="95"/>
      <c r="BL370" s="95"/>
      <c r="BM370" s="95"/>
      <c r="BN370" s="95"/>
      <c r="BO370" s="95"/>
      <c r="BP370" s="95"/>
      <c r="BQ370" s="95"/>
      <c r="BR370" s="95"/>
      <c r="BS370" s="95"/>
      <c r="BU370" s="95"/>
      <c r="BV370" s="95"/>
    </row>
    <row r="371" customFormat="false" ht="12.75" hidden="false" customHeight="false" outlineLevel="0" collapsed="false">
      <c r="D371" s="95"/>
      <c r="E371" s="95"/>
      <c r="F371" s="95"/>
      <c r="G371" s="95"/>
      <c r="H371" s="95"/>
      <c r="I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95"/>
      <c r="BB371" s="95"/>
      <c r="BC371" s="95"/>
      <c r="BD371" s="95"/>
      <c r="BE371" s="95"/>
      <c r="BF371" s="95"/>
      <c r="BG371" s="95"/>
      <c r="BH371" s="95"/>
      <c r="BI371" s="95"/>
      <c r="BJ371" s="95"/>
      <c r="BK371" s="95"/>
      <c r="BL371" s="95"/>
      <c r="BM371" s="95"/>
      <c r="BN371" s="95"/>
      <c r="BO371" s="95"/>
      <c r="BP371" s="95"/>
      <c r="BQ371" s="95"/>
      <c r="BR371" s="95"/>
      <c r="BS371" s="95"/>
      <c r="BU371" s="95"/>
      <c r="BV371" s="95"/>
    </row>
    <row r="372" customFormat="false" ht="12.75" hidden="false" customHeight="false" outlineLevel="0" collapsed="false">
      <c r="D372" s="95"/>
      <c r="E372" s="95"/>
      <c r="F372" s="95"/>
      <c r="G372" s="95"/>
      <c r="H372" s="95"/>
      <c r="I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95"/>
      <c r="BB372" s="95"/>
      <c r="BC372" s="95"/>
      <c r="BD372" s="95"/>
      <c r="BE372" s="95"/>
      <c r="BF372" s="95"/>
      <c r="BG372" s="95"/>
      <c r="BH372" s="95"/>
      <c r="BI372" s="95"/>
      <c r="BJ372" s="95"/>
      <c r="BK372" s="95"/>
      <c r="BL372" s="95"/>
      <c r="BM372" s="95"/>
      <c r="BN372" s="95"/>
      <c r="BO372" s="95"/>
      <c r="BP372" s="95"/>
      <c r="BQ372" s="95"/>
      <c r="BR372" s="95"/>
      <c r="BS372" s="95"/>
      <c r="BU372" s="95"/>
      <c r="BV372" s="95"/>
    </row>
    <row r="373" customFormat="false" ht="12.75" hidden="false" customHeight="false" outlineLevel="0" collapsed="false">
      <c r="D373" s="95"/>
      <c r="E373" s="95"/>
      <c r="F373" s="95"/>
      <c r="G373" s="95"/>
      <c r="H373" s="95"/>
      <c r="I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c r="BG373" s="95"/>
      <c r="BH373" s="95"/>
      <c r="BI373" s="95"/>
      <c r="BJ373" s="95"/>
      <c r="BK373" s="95"/>
      <c r="BL373" s="95"/>
      <c r="BM373" s="95"/>
      <c r="BN373" s="95"/>
      <c r="BO373" s="95"/>
      <c r="BP373" s="95"/>
      <c r="BQ373" s="95"/>
      <c r="BR373" s="95"/>
      <c r="BS373" s="95"/>
      <c r="BU373" s="95"/>
      <c r="BV373" s="95"/>
    </row>
    <row r="374" customFormat="false" ht="12.75" hidden="false" customHeight="false" outlineLevel="0" collapsed="false">
      <c r="D374" s="95"/>
      <c r="E374" s="95"/>
      <c r="F374" s="95"/>
      <c r="G374" s="95"/>
      <c r="H374" s="95"/>
      <c r="I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95"/>
      <c r="BB374" s="95"/>
      <c r="BC374" s="95"/>
      <c r="BD374" s="95"/>
      <c r="BE374" s="95"/>
      <c r="BF374" s="95"/>
      <c r="BG374" s="95"/>
      <c r="BH374" s="95"/>
      <c r="BI374" s="95"/>
      <c r="BJ374" s="95"/>
      <c r="BK374" s="95"/>
      <c r="BL374" s="95"/>
      <c r="BM374" s="95"/>
      <c r="BN374" s="95"/>
      <c r="BO374" s="95"/>
      <c r="BP374" s="95"/>
      <c r="BQ374" s="95"/>
      <c r="BR374" s="95"/>
      <c r="BS374" s="95"/>
      <c r="BU374" s="95"/>
      <c r="BV374" s="95"/>
    </row>
    <row r="375" customFormat="false" ht="12.75" hidden="false" customHeight="false" outlineLevel="0" collapsed="false">
      <c r="D375" s="95"/>
      <c r="E375" s="95"/>
      <c r="F375" s="95"/>
      <c r="G375" s="95"/>
      <c r="H375" s="95"/>
      <c r="I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95"/>
      <c r="BB375" s="95"/>
      <c r="BC375" s="95"/>
      <c r="BD375" s="95"/>
      <c r="BE375" s="95"/>
      <c r="BF375" s="95"/>
      <c r="BG375" s="95"/>
      <c r="BH375" s="95"/>
      <c r="BI375" s="95"/>
      <c r="BJ375" s="95"/>
      <c r="BK375" s="95"/>
      <c r="BL375" s="95"/>
      <c r="BM375" s="95"/>
      <c r="BN375" s="95"/>
      <c r="BO375" s="95"/>
      <c r="BP375" s="95"/>
      <c r="BQ375" s="95"/>
      <c r="BR375" s="95"/>
      <c r="BS375" s="95"/>
      <c r="BU375" s="95"/>
      <c r="BV375" s="95"/>
    </row>
    <row r="376" customFormat="false" ht="12.75" hidden="false" customHeight="false" outlineLevel="0" collapsed="false">
      <c r="D376" s="95"/>
      <c r="E376" s="95"/>
      <c r="F376" s="95"/>
      <c r="G376" s="95"/>
      <c r="H376" s="95"/>
      <c r="I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95"/>
      <c r="BB376" s="95"/>
      <c r="BC376" s="95"/>
      <c r="BD376" s="95"/>
      <c r="BE376" s="95"/>
      <c r="BF376" s="95"/>
      <c r="BG376" s="95"/>
      <c r="BH376" s="95"/>
      <c r="BI376" s="95"/>
      <c r="BJ376" s="95"/>
      <c r="BK376" s="95"/>
      <c r="BL376" s="95"/>
      <c r="BM376" s="95"/>
      <c r="BN376" s="95"/>
      <c r="BO376" s="95"/>
      <c r="BP376" s="95"/>
      <c r="BQ376" s="95"/>
      <c r="BR376" s="95"/>
      <c r="BS376" s="95"/>
      <c r="BU376" s="95"/>
      <c r="BV376" s="95"/>
    </row>
    <row r="377" customFormat="false" ht="12.75" hidden="false" customHeight="false" outlineLevel="0" collapsed="false">
      <c r="D377" s="95"/>
      <c r="E377" s="95"/>
      <c r="F377" s="95"/>
      <c r="G377" s="95"/>
      <c r="H377" s="95"/>
      <c r="I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95"/>
      <c r="BB377" s="95"/>
      <c r="BC377" s="95"/>
      <c r="BD377" s="95"/>
      <c r="BE377" s="95"/>
      <c r="BF377" s="95"/>
      <c r="BG377" s="95"/>
      <c r="BH377" s="95"/>
      <c r="BI377" s="95"/>
      <c r="BJ377" s="95"/>
      <c r="BK377" s="95"/>
      <c r="BL377" s="95"/>
      <c r="BM377" s="95"/>
      <c r="BN377" s="95"/>
      <c r="BO377" s="95"/>
      <c r="BP377" s="95"/>
      <c r="BQ377" s="95"/>
      <c r="BR377" s="95"/>
      <c r="BS377" s="95"/>
      <c r="BU377" s="95"/>
      <c r="BV377" s="95"/>
    </row>
    <row r="378" customFormat="false" ht="12.75" hidden="false" customHeight="false" outlineLevel="0" collapsed="false">
      <c r="D378" s="95"/>
      <c r="E378" s="95"/>
      <c r="F378" s="95"/>
      <c r="G378" s="95"/>
      <c r="H378" s="95"/>
      <c r="I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95"/>
      <c r="BB378" s="95"/>
      <c r="BC378" s="95"/>
      <c r="BD378" s="95"/>
      <c r="BE378" s="95"/>
      <c r="BF378" s="95"/>
      <c r="BG378" s="95"/>
      <c r="BH378" s="95"/>
      <c r="BI378" s="95"/>
      <c r="BJ378" s="95"/>
      <c r="BK378" s="95"/>
      <c r="BL378" s="95"/>
      <c r="BM378" s="95"/>
      <c r="BN378" s="95"/>
      <c r="BO378" s="95"/>
      <c r="BP378" s="95"/>
      <c r="BQ378" s="95"/>
      <c r="BR378" s="95"/>
      <c r="BS378" s="95"/>
      <c r="BU378" s="95"/>
      <c r="BV378" s="95"/>
    </row>
    <row r="379" customFormat="false" ht="12.75" hidden="false" customHeight="false" outlineLevel="0" collapsed="false">
      <c r="D379" s="95"/>
      <c r="E379" s="95"/>
      <c r="F379" s="95"/>
      <c r="G379" s="95"/>
      <c r="H379" s="95"/>
      <c r="I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95"/>
      <c r="AS379" s="95"/>
      <c r="AT379" s="95"/>
      <c r="AU379" s="95"/>
      <c r="AV379" s="95"/>
      <c r="AW379" s="95"/>
      <c r="AX379" s="95"/>
      <c r="AY379" s="95"/>
      <c r="AZ379" s="95"/>
      <c r="BA379" s="95"/>
      <c r="BB379" s="95"/>
      <c r="BC379" s="95"/>
      <c r="BD379" s="95"/>
      <c r="BE379" s="95"/>
      <c r="BF379" s="95"/>
      <c r="BG379" s="95"/>
      <c r="BH379" s="95"/>
      <c r="BI379" s="95"/>
      <c r="BJ379" s="95"/>
      <c r="BK379" s="95"/>
      <c r="BL379" s="95"/>
      <c r="BM379" s="95"/>
      <c r="BN379" s="95"/>
      <c r="BO379" s="95"/>
      <c r="BP379" s="95"/>
      <c r="BQ379" s="95"/>
      <c r="BR379" s="95"/>
      <c r="BS379" s="95"/>
      <c r="BU379" s="95"/>
      <c r="BV379" s="95"/>
    </row>
    <row r="380" customFormat="false" ht="12.75" hidden="false" customHeight="false" outlineLevel="0" collapsed="false">
      <c r="D380" s="95"/>
      <c r="E380" s="95"/>
      <c r="F380" s="95"/>
      <c r="G380" s="95"/>
      <c r="H380" s="95"/>
      <c r="I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95"/>
      <c r="BB380" s="95"/>
      <c r="BC380" s="95"/>
      <c r="BD380" s="95"/>
      <c r="BE380" s="95"/>
      <c r="BF380" s="95"/>
      <c r="BG380" s="95"/>
      <c r="BH380" s="95"/>
      <c r="BI380" s="95"/>
      <c r="BJ380" s="95"/>
      <c r="BK380" s="95"/>
      <c r="BL380" s="95"/>
      <c r="BM380" s="95"/>
      <c r="BN380" s="95"/>
      <c r="BO380" s="95"/>
      <c r="BP380" s="95"/>
      <c r="BQ380" s="95"/>
      <c r="BR380" s="95"/>
      <c r="BS380" s="95"/>
      <c r="BU380" s="95"/>
      <c r="BV380" s="95"/>
    </row>
    <row r="381" customFormat="false" ht="12.75" hidden="false" customHeight="false" outlineLevel="0" collapsed="false">
      <c r="D381" s="95"/>
      <c r="E381" s="95"/>
      <c r="F381" s="95"/>
      <c r="G381" s="95"/>
      <c r="H381" s="95"/>
      <c r="I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c r="BG381" s="95"/>
      <c r="BH381" s="95"/>
      <c r="BI381" s="95"/>
      <c r="BJ381" s="95"/>
      <c r="BK381" s="95"/>
      <c r="BL381" s="95"/>
      <c r="BM381" s="95"/>
      <c r="BN381" s="95"/>
      <c r="BO381" s="95"/>
      <c r="BP381" s="95"/>
      <c r="BQ381" s="95"/>
      <c r="BR381" s="95"/>
      <c r="BS381" s="95"/>
      <c r="BU381" s="95"/>
      <c r="BV381" s="95"/>
    </row>
    <row r="382" customFormat="false" ht="12.75" hidden="false" customHeight="false" outlineLevel="0" collapsed="false">
      <c r="D382" s="95"/>
      <c r="E382" s="95"/>
      <c r="F382" s="95"/>
      <c r="G382" s="95"/>
      <c r="H382" s="95"/>
      <c r="I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c r="BG382" s="95"/>
      <c r="BH382" s="95"/>
      <c r="BI382" s="95"/>
      <c r="BJ382" s="95"/>
      <c r="BK382" s="95"/>
      <c r="BL382" s="95"/>
      <c r="BM382" s="95"/>
      <c r="BN382" s="95"/>
      <c r="BO382" s="95"/>
      <c r="BP382" s="95"/>
      <c r="BQ382" s="95"/>
      <c r="BR382" s="95"/>
      <c r="BS382" s="95"/>
      <c r="BU382" s="95"/>
      <c r="BV382" s="95"/>
    </row>
    <row r="383" customFormat="false" ht="12.75" hidden="false" customHeight="false" outlineLevel="0" collapsed="false">
      <c r="D383" s="95"/>
      <c r="E383" s="95"/>
      <c r="F383" s="95"/>
      <c r="G383" s="95"/>
      <c r="H383" s="95"/>
      <c r="I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95"/>
      <c r="BB383" s="95"/>
      <c r="BC383" s="95"/>
      <c r="BD383" s="95"/>
      <c r="BE383" s="95"/>
      <c r="BF383" s="95"/>
      <c r="BG383" s="95"/>
      <c r="BH383" s="95"/>
      <c r="BI383" s="95"/>
      <c r="BJ383" s="95"/>
      <c r="BK383" s="95"/>
      <c r="BL383" s="95"/>
      <c r="BM383" s="95"/>
      <c r="BN383" s="95"/>
      <c r="BO383" s="95"/>
      <c r="BP383" s="95"/>
      <c r="BQ383" s="95"/>
      <c r="BR383" s="95"/>
      <c r="BS383" s="95"/>
      <c r="BU383" s="95"/>
      <c r="BV383" s="95"/>
    </row>
    <row r="384" customFormat="false" ht="12.75" hidden="false" customHeight="false" outlineLevel="0" collapsed="false">
      <c r="D384" s="95"/>
      <c r="E384" s="95"/>
      <c r="F384" s="95"/>
      <c r="G384" s="95"/>
      <c r="H384" s="95"/>
      <c r="I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95"/>
      <c r="BB384" s="95"/>
      <c r="BC384" s="95"/>
      <c r="BD384" s="95"/>
      <c r="BE384" s="95"/>
      <c r="BF384" s="95"/>
      <c r="BG384" s="95"/>
      <c r="BH384" s="95"/>
      <c r="BI384" s="95"/>
      <c r="BJ384" s="95"/>
      <c r="BK384" s="95"/>
      <c r="BL384" s="95"/>
      <c r="BM384" s="95"/>
      <c r="BN384" s="95"/>
      <c r="BO384" s="95"/>
      <c r="BP384" s="95"/>
      <c r="BQ384" s="95"/>
      <c r="BR384" s="95"/>
      <c r="BS384" s="95"/>
      <c r="BU384" s="95"/>
      <c r="BV384" s="95"/>
    </row>
    <row r="385" customFormat="false" ht="12.75" hidden="false" customHeight="false" outlineLevel="0" collapsed="false">
      <c r="D385" s="95"/>
      <c r="E385" s="95"/>
      <c r="F385" s="95"/>
      <c r="G385" s="95"/>
      <c r="H385" s="95"/>
      <c r="I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95"/>
      <c r="BB385" s="95"/>
      <c r="BC385" s="95"/>
      <c r="BD385" s="95"/>
      <c r="BE385" s="95"/>
      <c r="BF385" s="95"/>
      <c r="BG385" s="95"/>
      <c r="BH385" s="95"/>
      <c r="BI385" s="95"/>
      <c r="BJ385" s="95"/>
      <c r="BK385" s="95"/>
      <c r="BL385" s="95"/>
      <c r="BM385" s="95"/>
      <c r="BN385" s="95"/>
      <c r="BO385" s="95"/>
      <c r="BP385" s="95"/>
      <c r="BQ385" s="95"/>
      <c r="BR385" s="95"/>
      <c r="BS385" s="95"/>
      <c r="BU385" s="95"/>
      <c r="BV385" s="95"/>
    </row>
    <row r="386" customFormat="false" ht="12.75" hidden="false" customHeight="false" outlineLevel="0" collapsed="false">
      <c r="D386" s="95"/>
      <c r="E386" s="95"/>
      <c r="F386" s="95"/>
      <c r="G386" s="95"/>
      <c r="H386" s="95"/>
      <c r="I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95"/>
      <c r="BB386" s="95"/>
      <c r="BC386" s="95"/>
      <c r="BD386" s="95"/>
      <c r="BE386" s="95"/>
      <c r="BF386" s="95"/>
      <c r="BG386" s="95"/>
      <c r="BH386" s="95"/>
      <c r="BI386" s="95"/>
      <c r="BJ386" s="95"/>
      <c r="BK386" s="95"/>
      <c r="BL386" s="95"/>
      <c r="BM386" s="95"/>
      <c r="BN386" s="95"/>
      <c r="BO386" s="95"/>
      <c r="BP386" s="95"/>
      <c r="BQ386" s="95"/>
      <c r="BR386" s="95"/>
      <c r="BS386" s="95"/>
      <c r="BU386" s="95"/>
      <c r="BV386" s="95"/>
    </row>
    <row r="387" customFormat="false" ht="12.75" hidden="false" customHeight="false" outlineLevel="0" collapsed="false">
      <c r="D387" s="95"/>
      <c r="E387" s="95"/>
      <c r="F387" s="95"/>
      <c r="G387" s="95"/>
      <c r="H387" s="95"/>
      <c r="I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95"/>
      <c r="BB387" s="95"/>
      <c r="BC387" s="95"/>
      <c r="BD387" s="95"/>
      <c r="BE387" s="95"/>
      <c r="BF387" s="95"/>
      <c r="BG387" s="95"/>
      <c r="BH387" s="95"/>
      <c r="BI387" s="95"/>
      <c r="BJ387" s="95"/>
      <c r="BK387" s="95"/>
      <c r="BL387" s="95"/>
      <c r="BM387" s="95"/>
      <c r="BN387" s="95"/>
      <c r="BO387" s="95"/>
      <c r="BP387" s="95"/>
      <c r="BQ387" s="95"/>
      <c r="BR387" s="95"/>
      <c r="BS387" s="95"/>
      <c r="BU387" s="95"/>
      <c r="BV387" s="95"/>
    </row>
    <row r="388" customFormat="false" ht="12.75" hidden="false" customHeight="false" outlineLevel="0" collapsed="false">
      <c r="D388" s="95"/>
      <c r="E388" s="95"/>
      <c r="F388" s="95"/>
      <c r="G388" s="95"/>
      <c r="H388" s="95"/>
      <c r="I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5"/>
      <c r="BL388" s="95"/>
      <c r="BM388" s="95"/>
      <c r="BN388" s="95"/>
      <c r="BO388" s="95"/>
      <c r="BP388" s="95"/>
      <c r="BQ388" s="95"/>
      <c r="BR388" s="95"/>
      <c r="BS388" s="95"/>
      <c r="BU388" s="95"/>
      <c r="BV388" s="95"/>
    </row>
    <row r="389" customFormat="false" ht="12.75" hidden="false" customHeight="false" outlineLevel="0" collapsed="false">
      <c r="D389" s="95"/>
      <c r="E389" s="95"/>
      <c r="F389" s="95"/>
      <c r="G389" s="95"/>
      <c r="H389" s="95"/>
      <c r="I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95"/>
      <c r="BB389" s="95"/>
      <c r="BC389" s="95"/>
      <c r="BD389" s="95"/>
      <c r="BE389" s="95"/>
      <c r="BF389" s="95"/>
      <c r="BG389" s="95"/>
      <c r="BH389" s="95"/>
      <c r="BI389" s="95"/>
      <c r="BJ389" s="95"/>
      <c r="BK389" s="95"/>
      <c r="BL389" s="95"/>
      <c r="BM389" s="95"/>
      <c r="BN389" s="95"/>
      <c r="BO389" s="95"/>
      <c r="BP389" s="95"/>
      <c r="BQ389" s="95"/>
      <c r="BR389" s="95"/>
      <c r="BS389" s="95"/>
      <c r="BU389" s="95"/>
      <c r="BV389" s="95"/>
    </row>
    <row r="390" customFormat="false" ht="12.75" hidden="false" customHeight="false" outlineLevel="0" collapsed="false">
      <c r="D390" s="95"/>
      <c r="E390" s="95"/>
      <c r="F390" s="95"/>
      <c r="G390" s="95"/>
      <c r="H390" s="95"/>
      <c r="I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95"/>
      <c r="BB390" s="95"/>
      <c r="BC390" s="95"/>
      <c r="BD390" s="95"/>
      <c r="BE390" s="95"/>
      <c r="BF390" s="95"/>
      <c r="BG390" s="95"/>
      <c r="BH390" s="95"/>
      <c r="BI390" s="95"/>
      <c r="BJ390" s="95"/>
      <c r="BK390" s="95"/>
      <c r="BL390" s="95"/>
      <c r="BM390" s="95"/>
      <c r="BN390" s="95"/>
      <c r="BO390" s="95"/>
      <c r="BP390" s="95"/>
      <c r="BQ390" s="95"/>
      <c r="BR390" s="95"/>
      <c r="BS390" s="95"/>
      <c r="BU390" s="95"/>
      <c r="BV390" s="95"/>
    </row>
    <row r="391" customFormat="false" ht="12.75" hidden="false" customHeight="false" outlineLevel="0" collapsed="false">
      <c r="D391" s="95"/>
      <c r="E391" s="95"/>
      <c r="F391" s="95"/>
      <c r="G391" s="95"/>
      <c r="H391" s="95"/>
      <c r="I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95"/>
      <c r="BB391" s="95"/>
      <c r="BC391" s="95"/>
      <c r="BD391" s="95"/>
      <c r="BE391" s="95"/>
      <c r="BF391" s="95"/>
      <c r="BG391" s="95"/>
      <c r="BH391" s="95"/>
      <c r="BI391" s="95"/>
      <c r="BJ391" s="95"/>
      <c r="BK391" s="95"/>
      <c r="BL391" s="95"/>
      <c r="BM391" s="95"/>
      <c r="BN391" s="95"/>
      <c r="BO391" s="95"/>
      <c r="BP391" s="95"/>
      <c r="BQ391" s="95"/>
      <c r="BR391" s="95"/>
      <c r="BS391" s="95"/>
      <c r="BU391" s="95"/>
      <c r="BV391" s="95"/>
    </row>
    <row r="392" customFormat="false" ht="12.75" hidden="false" customHeight="false" outlineLevel="0" collapsed="false">
      <c r="D392" s="95"/>
      <c r="E392" s="95"/>
      <c r="F392" s="95"/>
      <c r="G392" s="95"/>
      <c r="H392" s="95"/>
      <c r="I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c r="BG392" s="95"/>
      <c r="BH392" s="95"/>
      <c r="BI392" s="95"/>
      <c r="BJ392" s="95"/>
      <c r="BK392" s="95"/>
      <c r="BL392" s="95"/>
      <c r="BM392" s="95"/>
      <c r="BN392" s="95"/>
      <c r="BO392" s="95"/>
      <c r="BP392" s="95"/>
      <c r="BQ392" s="95"/>
      <c r="BR392" s="95"/>
      <c r="BS392" s="95"/>
      <c r="BU392" s="95"/>
      <c r="BV392" s="95"/>
    </row>
    <row r="393" customFormat="false" ht="12.75" hidden="false" customHeight="false" outlineLevel="0" collapsed="false">
      <c r="D393" s="95"/>
      <c r="E393" s="95"/>
      <c r="F393" s="95"/>
      <c r="G393" s="95"/>
      <c r="H393" s="95"/>
      <c r="I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c r="BG393" s="95"/>
      <c r="BH393" s="95"/>
      <c r="BI393" s="95"/>
      <c r="BJ393" s="95"/>
      <c r="BK393" s="95"/>
      <c r="BL393" s="95"/>
      <c r="BM393" s="95"/>
      <c r="BN393" s="95"/>
      <c r="BO393" s="95"/>
      <c r="BP393" s="95"/>
      <c r="BQ393" s="95"/>
      <c r="BR393" s="95"/>
      <c r="BS393" s="95"/>
      <c r="BU393" s="95"/>
      <c r="BV393" s="95"/>
    </row>
    <row r="394" customFormat="false" ht="12.75" hidden="false" customHeight="false" outlineLevel="0" collapsed="false">
      <c r="D394" s="95"/>
      <c r="E394" s="95"/>
      <c r="F394" s="95"/>
      <c r="G394" s="95"/>
      <c r="H394" s="95"/>
      <c r="I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95"/>
      <c r="BB394" s="95"/>
      <c r="BC394" s="95"/>
      <c r="BD394" s="95"/>
      <c r="BE394" s="95"/>
      <c r="BF394" s="95"/>
      <c r="BG394" s="95"/>
      <c r="BH394" s="95"/>
      <c r="BI394" s="95"/>
      <c r="BJ394" s="95"/>
      <c r="BK394" s="95"/>
      <c r="BL394" s="95"/>
      <c r="BM394" s="95"/>
      <c r="BN394" s="95"/>
      <c r="BO394" s="95"/>
      <c r="BP394" s="95"/>
      <c r="BQ394" s="95"/>
      <c r="BR394" s="95"/>
      <c r="BS394" s="95"/>
      <c r="BU394" s="95"/>
      <c r="BV394" s="95"/>
    </row>
    <row r="395" customFormat="false" ht="12.75" hidden="false" customHeight="false" outlineLevel="0" collapsed="false">
      <c r="D395" s="95"/>
      <c r="E395" s="95"/>
      <c r="F395" s="95"/>
      <c r="G395" s="95"/>
      <c r="H395" s="95"/>
      <c r="I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95"/>
      <c r="BB395" s="95"/>
      <c r="BC395" s="95"/>
      <c r="BD395" s="95"/>
      <c r="BE395" s="95"/>
      <c r="BF395" s="95"/>
      <c r="BG395" s="95"/>
      <c r="BH395" s="95"/>
      <c r="BI395" s="95"/>
      <c r="BJ395" s="95"/>
      <c r="BK395" s="95"/>
      <c r="BL395" s="95"/>
      <c r="BM395" s="95"/>
      <c r="BN395" s="95"/>
      <c r="BO395" s="95"/>
      <c r="BP395" s="95"/>
      <c r="BQ395" s="95"/>
      <c r="BR395" s="95"/>
      <c r="BS395" s="95"/>
      <c r="BU395" s="95"/>
      <c r="BV395" s="95"/>
    </row>
    <row r="396" customFormat="false" ht="12.75" hidden="false" customHeight="false" outlineLevel="0" collapsed="false">
      <c r="D396" s="95"/>
      <c r="E396" s="95"/>
      <c r="F396" s="95"/>
      <c r="G396" s="95"/>
      <c r="H396" s="95"/>
      <c r="I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95"/>
      <c r="BB396" s="95"/>
      <c r="BC396" s="95"/>
      <c r="BD396" s="95"/>
      <c r="BE396" s="95"/>
      <c r="BF396" s="95"/>
      <c r="BG396" s="95"/>
      <c r="BH396" s="95"/>
      <c r="BI396" s="95"/>
      <c r="BJ396" s="95"/>
      <c r="BK396" s="95"/>
      <c r="BL396" s="95"/>
      <c r="BM396" s="95"/>
      <c r="BN396" s="95"/>
      <c r="BO396" s="95"/>
      <c r="BP396" s="95"/>
      <c r="BQ396" s="95"/>
      <c r="BR396" s="95"/>
      <c r="BS396" s="95"/>
      <c r="BU396" s="95"/>
      <c r="BV396" s="95"/>
    </row>
    <row r="397" customFormat="false" ht="12.75" hidden="false" customHeight="false" outlineLevel="0" collapsed="false">
      <c r="D397" s="95"/>
      <c r="E397" s="95"/>
      <c r="F397" s="95"/>
      <c r="G397" s="95"/>
      <c r="H397" s="95"/>
      <c r="I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c r="BG397" s="95"/>
      <c r="BH397" s="95"/>
      <c r="BI397" s="95"/>
      <c r="BJ397" s="95"/>
      <c r="BK397" s="95"/>
      <c r="BL397" s="95"/>
      <c r="BM397" s="95"/>
      <c r="BN397" s="95"/>
      <c r="BO397" s="95"/>
      <c r="BP397" s="95"/>
      <c r="BQ397" s="95"/>
      <c r="BR397" s="95"/>
      <c r="BS397" s="95"/>
      <c r="BU397" s="95"/>
      <c r="BV397" s="95"/>
    </row>
    <row r="398" customFormat="false" ht="12.75" hidden="false" customHeight="false" outlineLevel="0" collapsed="false">
      <c r="D398" s="95"/>
      <c r="E398" s="95"/>
      <c r="F398" s="95"/>
      <c r="G398" s="95"/>
      <c r="H398" s="95"/>
      <c r="I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U398" s="95"/>
      <c r="BV398" s="95"/>
    </row>
    <row r="399" customFormat="false" ht="12.75" hidden="false" customHeight="false" outlineLevel="0" collapsed="false">
      <c r="D399" s="95"/>
      <c r="E399" s="95"/>
      <c r="F399" s="95"/>
      <c r="G399" s="95"/>
      <c r="H399" s="95"/>
      <c r="I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95"/>
      <c r="BB399" s="95"/>
      <c r="BC399" s="95"/>
      <c r="BD399" s="95"/>
      <c r="BE399" s="95"/>
      <c r="BF399" s="95"/>
      <c r="BG399" s="95"/>
      <c r="BH399" s="95"/>
      <c r="BI399" s="95"/>
      <c r="BJ399" s="95"/>
      <c r="BK399" s="95"/>
      <c r="BL399" s="95"/>
      <c r="BM399" s="95"/>
      <c r="BN399" s="95"/>
      <c r="BO399" s="95"/>
      <c r="BP399" s="95"/>
      <c r="BQ399" s="95"/>
      <c r="BR399" s="95"/>
      <c r="BS399" s="95"/>
      <c r="BU399" s="95"/>
      <c r="BV399" s="95"/>
    </row>
    <row r="400" customFormat="false" ht="12.75" hidden="false" customHeight="false" outlineLevel="0" collapsed="false">
      <c r="D400" s="95"/>
      <c r="E400" s="95"/>
      <c r="F400" s="95"/>
      <c r="G400" s="95"/>
      <c r="H400" s="95"/>
      <c r="I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95"/>
      <c r="BB400" s="95"/>
      <c r="BC400" s="95"/>
      <c r="BD400" s="95"/>
      <c r="BE400" s="95"/>
      <c r="BF400" s="95"/>
      <c r="BG400" s="95"/>
      <c r="BH400" s="95"/>
      <c r="BI400" s="95"/>
      <c r="BJ400" s="95"/>
      <c r="BK400" s="95"/>
      <c r="BL400" s="95"/>
      <c r="BM400" s="95"/>
      <c r="BN400" s="95"/>
      <c r="BO400" s="95"/>
      <c r="BP400" s="95"/>
      <c r="BQ400" s="95"/>
      <c r="BR400" s="95"/>
      <c r="BS400" s="95"/>
      <c r="BU400" s="95"/>
      <c r="BV400" s="95"/>
    </row>
    <row r="401" customFormat="false" ht="12.75" hidden="false" customHeight="false" outlineLevel="0" collapsed="false">
      <c r="D401" s="95"/>
      <c r="E401" s="95"/>
      <c r="F401" s="95"/>
      <c r="G401" s="95"/>
      <c r="H401" s="95"/>
      <c r="I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95"/>
      <c r="BB401" s="95"/>
      <c r="BC401" s="95"/>
      <c r="BD401" s="95"/>
      <c r="BE401" s="95"/>
      <c r="BF401" s="95"/>
      <c r="BG401" s="95"/>
      <c r="BH401" s="95"/>
      <c r="BI401" s="95"/>
      <c r="BJ401" s="95"/>
      <c r="BK401" s="95"/>
      <c r="BL401" s="95"/>
      <c r="BM401" s="95"/>
      <c r="BN401" s="95"/>
      <c r="BO401" s="95"/>
      <c r="BP401" s="95"/>
      <c r="BQ401" s="95"/>
      <c r="BR401" s="95"/>
      <c r="BS401" s="95"/>
      <c r="BU401" s="95"/>
      <c r="BV401" s="95"/>
    </row>
    <row r="402" customFormat="false" ht="12.75" hidden="false" customHeight="false" outlineLevel="0" collapsed="false">
      <c r="D402" s="95"/>
      <c r="E402" s="95"/>
      <c r="F402" s="95"/>
      <c r="G402" s="95"/>
      <c r="H402" s="95"/>
      <c r="I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95"/>
      <c r="BB402" s="95"/>
      <c r="BC402" s="95"/>
      <c r="BD402" s="95"/>
      <c r="BE402" s="95"/>
      <c r="BF402" s="95"/>
      <c r="BG402" s="95"/>
      <c r="BH402" s="95"/>
      <c r="BI402" s="95"/>
      <c r="BJ402" s="95"/>
      <c r="BK402" s="95"/>
      <c r="BL402" s="95"/>
      <c r="BM402" s="95"/>
      <c r="BN402" s="95"/>
      <c r="BO402" s="95"/>
      <c r="BP402" s="95"/>
      <c r="BQ402" s="95"/>
      <c r="BR402" s="95"/>
      <c r="BS402" s="95"/>
      <c r="BU402" s="95"/>
      <c r="BV402" s="95"/>
    </row>
    <row r="403" customFormat="false" ht="12.75" hidden="false" customHeight="false" outlineLevel="0" collapsed="false">
      <c r="D403" s="95"/>
      <c r="E403" s="95"/>
      <c r="F403" s="95"/>
      <c r="G403" s="95"/>
      <c r="H403" s="95"/>
      <c r="I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95"/>
      <c r="BB403" s="95"/>
      <c r="BC403" s="95"/>
      <c r="BD403" s="95"/>
      <c r="BE403" s="95"/>
      <c r="BF403" s="95"/>
      <c r="BG403" s="95"/>
      <c r="BH403" s="95"/>
      <c r="BI403" s="95"/>
      <c r="BJ403" s="95"/>
      <c r="BK403" s="95"/>
      <c r="BL403" s="95"/>
      <c r="BM403" s="95"/>
      <c r="BN403" s="95"/>
      <c r="BO403" s="95"/>
      <c r="BP403" s="95"/>
      <c r="BQ403" s="95"/>
      <c r="BR403" s="95"/>
      <c r="BS403" s="95"/>
      <c r="BU403" s="95"/>
      <c r="BV403" s="95"/>
    </row>
    <row r="404" customFormat="false" ht="12.75" hidden="false" customHeight="false" outlineLevel="0" collapsed="false">
      <c r="D404" s="95"/>
      <c r="E404" s="95"/>
      <c r="F404" s="95"/>
      <c r="G404" s="95"/>
      <c r="H404" s="95"/>
      <c r="I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95"/>
      <c r="BB404" s="95"/>
      <c r="BC404" s="95"/>
      <c r="BD404" s="95"/>
      <c r="BE404" s="95"/>
      <c r="BF404" s="95"/>
      <c r="BG404" s="95"/>
      <c r="BH404" s="95"/>
      <c r="BI404" s="95"/>
      <c r="BJ404" s="95"/>
      <c r="BK404" s="95"/>
      <c r="BL404" s="95"/>
      <c r="BM404" s="95"/>
      <c r="BN404" s="95"/>
      <c r="BO404" s="95"/>
      <c r="BP404" s="95"/>
      <c r="BQ404" s="95"/>
      <c r="BR404" s="95"/>
      <c r="BS404" s="95"/>
      <c r="BU404" s="95"/>
      <c r="BV404" s="95"/>
    </row>
    <row r="405" customFormat="false" ht="12.75" hidden="false" customHeight="false" outlineLevel="0" collapsed="false">
      <c r="D405" s="95"/>
      <c r="E405" s="95"/>
      <c r="F405" s="95"/>
      <c r="G405" s="95"/>
      <c r="H405" s="95"/>
      <c r="I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5"/>
      <c r="BL405" s="95"/>
      <c r="BM405" s="95"/>
      <c r="BN405" s="95"/>
      <c r="BO405" s="95"/>
      <c r="BP405" s="95"/>
      <c r="BQ405" s="95"/>
      <c r="BR405" s="95"/>
      <c r="BS405" s="95"/>
      <c r="BU405" s="95"/>
      <c r="BV405" s="95"/>
    </row>
    <row r="406" customFormat="false" ht="12.75" hidden="false" customHeight="false" outlineLevel="0" collapsed="false">
      <c r="D406" s="95"/>
      <c r="E406" s="95"/>
      <c r="F406" s="95"/>
      <c r="G406" s="95"/>
      <c r="H406" s="95"/>
      <c r="I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95"/>
      <c r="BB406" s="95"/>
      <c r="BC406" s="95"/>
      <c r="BD406" s="95"/>
      <c r="BE406" s="95"/>
      <c r="BF406" s="95"/>
      <c r="BG406" s="95"/>
      <c r="BH406" s="95"/>
      <c r="BI406" s="95"/>
      <c r="BJ406" s="95"/>
      <c r="BK406" s="95"/>
      <c r="BL406" s="95"/>
      <c r="BM406" s="95"/>
      <c r="BN406" s="95"/>
      <c r="BO406" s="95"/>
      <c r="BP406" s="95"/>
      <c r="BQ406" s="95"/>
      <c r="BR406" s="95"/>
      <c r="BS406" s="95"/>
      <c r="BU406" s="95"/>
      <c r="BV406" s="95"/>
    </row>
    <row r="407" customFormat="false" ht="12.75" hidden="false" customHeight="false" outlineLevel="0" collapsed="false">
      <c r="D407" s="95"/>
      <c r="E407" s="95"/>
      <c r="F407" s="95"/>
      <c r="G407" s="95"/>
      <c r="H407" s="95"/>
      <c r="I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95"/>
      <c r="BB407" s="95"/>
      <c r="BC407" s="95"/>
      <c r="BD407" s="95"/>
      <c r="BE407" s="95"/>
      <c r="BF407" s="95"/>
      <c r="BG407" s="95"/>
      <c r="BH407" s="95"/>
      <c r="BI407" s="95"/>
      <c r="BJ407" s="95"/>
      <c r="BK407" s="95"/>
      <c r="BL407" s="95"/>
      <c r="BM407" s="95"/>
      <c r="BN407" s="95"/>
      <c r="BO407" s="95"/>
      <c r="BP407" s="95"/>
      <c r="BQ407" s="95"/>
      <c r="BR407" s="95"/>
      <c r="BS407" s="95"/>
      <c r="BU407" s="95"/>
      <c r="BV407" s="95"/>
    </row>
    <row r="408" customFormat="false" ht="12.75" hidden="false" customHeight="false" outlineLevel="0" collapsed="false">
      <c r="D408" s="95"/>
      <c r="E408" s="95"/>
      <c r="F408" s="95"/>
      <c r="G408" s="95"/>
      <c r="H408" s="95"/>
      <c r="I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95"/>
      <c r="BB408" s="95"/>
      <c r="BC408" s="95"/>
      <c r="BD408" s="95"/>
      <c r="BE408" s="95"/>
      <c r="BF408" s="95"/>
      <c r="BG408" s="95"/>
      <c r="BH408" s="95"/>
      <c r="BI408" s="95"/>
      <c r="BJ408" s="95"/>
      <c r="BK408" s="95"/>
      <c r="BL408" s="95"/>
      <c r="BM408" s="95"/>
      <c r="BN408" s="95"/>
      <c r="BO408" s="95"/>
      <c r="BP408" s="95"/>
      <c r="BQ408" s="95"/>
      <c r="BR408" s="95"/>
      <c r="BS408" s="95"/>
      <c r="BU408" s="95"/>
      <c r="BV408" s="95"/>
    </row>
    <row r="409" customFormat="false" ht="12.75" hidden="false" customHeight="false" outlineLevel="0" collapsed="false">
      <c r="D409" s="95"/>
      <c r="E409" s="95"/>
      <c r="F409" s="95"/>
      <c r="G409" s="95"/>
      <c r="H409" s="95"/>
      <c r="I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95"/>
      <c r="BB409" s="95"/>
      <c r="BC409" s="95"/>
      <c r="BD409" s="95"/>
      <c r="BE409" s="95"/>
      <c r="BF409" s="95"/>
      <c r="BG409" s="95"/>
      <c r="BH409" s="95"/>
      <c r="BI409" s="95"/>
      <c r="BJ409" s="95"/>
      <c r="BK409" s="95"/>
      <c r="BL409" s="95"/>
      <c r="BM409" s="95"/>
      <c r="BN409" s="95"/>
      <c r="BO409" s="95"/>
      <c r="BP409" s="95"/>
      <c r="BQ409" s="95"/>
      <c r="BR409" s="95"/>
      <c r="BS409" s="95"/>
      <c r="BU409" s="95"/>
      <c r="BV409" s="95"/>
    </row>
    <row r="410" customFormat="false" ht="12.75" hidden="false" customHeight="false" outlineLevel="0" collapsed="false">
      <c r="D410" s="95"/>
      <c r="E410" s="95"/>
      <c r="F410" s="95"/>
      <c r="G410" s="95"/>
      <c r="H410" s="95"/>
      <c r="I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95"/>
      <c r="BB410" s="95"/>
      <c r="BC410" s="95"/>
      <c r="BD410" s="95"/>
      <c r="BE410" s="95"/>
      <c r="BF410" s="95"/>
      <c r="BG410" s="95"/>
      <c r="BH410" s="95"/>
      <c r="BI410" s="95"/>
      <c r="BJ410" s="95"/>
      <c r="BK410" s="95"/>
      <c r="BL410" s="95"/>
      <c r="BM410" s="95"/>
      <c r="BN410" s="95"/>
      <c r="BO410" s="95"/>
      <c r="BP410" s="95"/>
      <c r="BQ410" s="95"/>
      <c r="BR410" s="95"/>
      <c r="BS410" s="95"/>
      <c r="BU410" s="95"/>
      <c r="BV410" s="95"/>
    </row>
    <row r="411" customFormat="false" ht="12.75" hidden="false" customHeight="false" outlineLevel="0" collapsed="false">
      <c r="D411" s="95"/>
      <c r="E411" s="95"/>
      <c r="F411" s="95"/>
      <c r="G411" s="95"/>
      <c r="H411" s="95"/>
      <c r="I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95"/>
      <c r="BB411" s="95"/>
      <c r="BC411" s="95"/>
      <c r="BD411" s="95"/>
      <c r="BE411" s="95"/>
      <c r="BF411" s="95"/>
      <c r="BG411" s="95"/>
      <c r="BH411" s="95"/>
      <c r="BI411" s="95"/>
      <c r="BJ411" s="95"/>
      <c r="BK411" s="95"/>
      <c r="BL411" s="95"/>
      <c r="BM411" s="95"/>
      <c r="BN411" s="95"/>
      <c r="BO411" s="95"/>
      <c r="BP411" s="95"/>
      <c r="BQ411" s="95"/>
      <c r="BR411" s="95"/>
      <c r="BS411" s="95"/>
      <c r="BU411" s="95"/>
      <c r="BV411" s="95"/>
    </row>
    <row r="412" customFormat="false" ht="12.75" hidden="false" customHeight="false" outlineLevel="0" collapsed="false">
      <c r="D412" s="95"/>
      <c r="E412" s="95"/>
      <c r="F412" s="95"/>
      <c r="G412" s="95"/>
      <c r="H412" s="95"/>
      <c r="I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5"/>
      <c r="BL412" s="95"/>
      <c r="BM412" s="95"/>
      <c r="BN412" s="95"/>
      <c r="BO412" s="95"/>
      <c r="BP412" s="95"/>
      <c r="BQ412" s="95"/>
      <c r="BR412" s="95"/>
      <c r="BS412" s="95"/>
      <c r="BU412" s="95"/>
      <c r="BV412" s="95"/>
    </row>
    <row r="413" customFormat="false" ht="12.75" hidden="false" customHeight="false" outlineLevel="0" collapsed="false">
      <c r="D413" s="95"/>
      <c r="E413" s="95"/>
      <c r="F413" s="95"/>
      <c r="G413" s="95"/>
      <c r="H413" s="95"/>
      <c r="I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U413" s="95"/>
      <c r="BV413" s="95"/>
    </row>
    <row r="414" customFormat="false" ht="12.75" hidden="false" customHeight="false" outlineLevel="0" collapsed="false">
      <c r="D414" s="95"/>
      <c r="E414" s="95"/>
      <c r="F414" s="95"/>
      <c r="G414" s="95"/>
      <c r="H414" s="95"/>
      <c r="I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95"/>
      <c r="BB414" s="95"/>
      <c r="BC414" s="95"/>
      <c r="BD414" s="95"/>
      <c r="BE414" s="95"/>
      <c r="BF414" s="95"/>
      <c r="BG414" s="95"/>
      <c r="BH414" s="95"/>
      <c r="BI414" s="95"/>
      <c r="BJ414" s="95"/>
      <c r="BK414" s="95"/>
      <c r="BL414" s="95"/>
      <c r="BM414" s="95"/>
      <c r="BN414" s="95"/>
      <c r="BO414" s="95"/>
      <c r="BP414" s="95"/>
      <c r="BQ414" s="95"/>
      <c r="BR414" s="95"/>
      <c r="BS414" s="95"/>
      <c r="BU414" s="95"/>
      <c r="BV414" s="95"/>
    </row>
  </sheetData>
  <mergeCells count="268">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91"/>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5" ySplit="21" topLeftCell="N22" activePane="bottomRight" state="frozen"/>
      <selection pane="topLeft" activeCell="A1" activeCellId="0" sqref="A1"/>
      <selection pane="topRight" activeCell="N1" activeCellId="0" sqref="N1"/>
      <selection pane="bottomLeft" activeCell="A22" activeCellId="0" sqref="A22"/>
      <selection pane="bottomRight" activeCell="CI21" activeCellId="0" sqref="CI21:CI28"/>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9.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74</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0</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0</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0</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0</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0</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0</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0</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0</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0</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0</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0</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3.00828157349897</v>
      </c>
      <c r="BW22" s="369" t="n">
        <v>2.851</v>
      </c>
      <c r="BX22" s="370" t="n">
        <v>0.87</v>
      </c>
      <c r="BY22" s="370" t="n">
        <v>0.87</v>
      </c>
      <c r="BZ22" s="370" t="n">
        <v>0</v>
      </c>
      <c r="CA22" s="370" t="n">
        <v>0.0187659081571607</v>
      </c>
      <c r="CB22" s="370" t="n">
        <v>0</v>
      </c>
      <c r="CC22" s="505" t="n">
        <v>0.06</v>
      </c>
      <c r="CD22" s="505" t="n">
        <v>0</v>
      </c>
      <c r="CE22" s="505" t="n">
        <v>-0.015</v>
      </c>
      <c r="CF22" s="505" t="n">
        <v>0.02</v>
      </c>
      <c r="CG22" s="505" t="n">
        <v>0.0172</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3.00828157349897</v>
      </c>
      <c r="BW23" s="369" t="n">
        <v>2.851</v>
      </c>
      <c r="BX23" s="370" t="n">
        <v>0.87</v>
      </c>
      <c r="BY23" s="370" t="n">
        <v>0.87</v>
      </c>
      <c r="BZ23" s="370" t="n">
        <v>0</v>
      </c>
      <c r="CA23" s="370" t="n">
        <v>0.0187659081571607</v>
      </c>
      <c r="CB23" s="370" t="n">
        <v>0</v>
      </c>
      <c r="CC23" s="505" t="n">
        <v>0.06</v>
      </c>
      <c r="CD23" s="505" t="n">
        <v>0</v>
      </c>
      <c r="CE23" s="505" t="n">
        <v>-0.015</v>
      </c>
      <c r="CF23" s="505" t="n">
        <v>0.02</v>
      </c>
      <c r="CG23" s="505" t="n">
        <v>0.0172</v>
      </c>
      <c r="CH23" s="505" t="n">
        <v>0</v>
      </c>
      <c r="CI23" s="505" t="n">
        <v>2.846</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3.00828157349897</v>
      </c>
      <c r="BW24" s="369" t="n">
        <v>2.851</v>
      </c>
      <c r="BX24" s="370" t="n">
        <v>0.87</v>
      </c>
      <c r="BY24" s="370" t="n">
        <v>0.87</v>
      </c>
      <c r="BZ24" s="370" t="n">
        <v>0</v>
      </c>
      <c r="CA24" s="370" t="n">
        <v>0.0187659081571607</v>
      </c>
      <c r="CB24" s="370" t="n">
        <v>0</v>
      </c>
      <c r="CC24" s="505" t="n">
        <v>0.06</v>
      </c>
      <c r="CD24" s="505" t="n">
        <v>0</v>
      </c>
      <c r="CE24" s="505" t="n">
        <v>-0.015</v>
      </c>
      <c r="CF24" s="505" t="n">
        <v>0.02</v>
      </c>
      <c r="CG24" s="505" t="n">
        <v>0.0172</v>
      </c>
      <c r="CH24" s="505" t="n">
        <v>0</v>
      </c>
      <c r="CI24" s="505" t="n">
        <v>2.846</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3.00828157349897</v>
      </c>
      <c r="BW25" s="369" t="n">
        <v>2.851</v>
      </c>
      <c r="BX25" s="370" t="n">
        <v>0.87</v>
      </c>
      <c r="BY25" s="370" t="n">
        <v>0.87</v>
      </c>
      <c r="BZ25" s="370" t="n">
        <v>0</v>
      </c>
      <c r="CA25" s="370" t="n">
        <v>0.0187659081571607</v>
      </c>
      <c r="CB25" s="370" t="n">
        <v>0</v>
      </c>
      <c r="CC25" s="505" t="n">
        <v>0.06</v>
      </c>
      <c r="CD25" s="505" t="n">
        <v>0</v>
      </c>
      <c r="CE25" s="505" t="n">
        <v>-0.015</v>
      </c>
      <c r="CF25" s="505" t="n">
        <v>0.02</v>
      </c>
      <c r="CG25" s="505" t="n">
        <v>0.0172</v>
      </c>
      <c r="CH25" s="505" t="n">
        <v>0</v>
      </c>
      <c r="CI25" s="505" t="n">
        <v>2.846</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3.00828157349897</v>
      </c>
      <c r="BW26" s="369" t="n">
        <v>2.851</v>
      </c>
      <c r="BX26" s="370" t="n">
        <v>0.87</v>
      </c>
      <c r="BY26" s="370" t="n">
        <v>0.87</v>
      </c>
      <c r="BZ26" s="370" t="n">
        <v>0</v>
      </c>
      <c r="CA26" s="370" t="n">
        <v>0.0187659081571607</v>
      </c>
      <c r="CB26" s="370" t="n">
        <v>0</v>
      </c>
      <c r="CC26" s="505" t="n">
        <v>0.06</v>
      </c>
      <c r="CD26" s="505" t="n">
        <v>0</v>
      </c>
      <c r="CE26" s="505" t="n">
        <v>-0.015</v>
      </c>
      <c r="CF26" s="505" t="n">
        <v>0.02</v>
      </c>
      <c r="CG26" s="505" t="n">
        <v>0.0172</v>
      </c>
      <c r="CH26" s="505" t="n">
        <v>0</v>
      </c>
      <c r="CI26" s="505" t="n">
        <v>2.846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3.00828157349897</v>
      </c>
      <c r="BW27" s="369" t="n">
        <v>2.851</v>
      </c>
      <c r="BX27" s="370" t="n">
        <v>0.87</v>
      </c>
      <c r="BY27" s="370" t="n">
        <v>0.87</v>
      </c>
      <c r="BZ27" s="370" t="n">
        <v>0</v>
      </c>
      <c r="CA27" s="370" t="n">
        <v>0.0187659081571607</v>
      </c>
      <c r="CB27" s="370" t="n">
        <v>0</v>
      </c>
      <c r="CC27" s="505" t="n">
        <v>0.06</v>
      </c>
      <c r="CD27" s="505" t="n">
        <v>0</v>
      </c>
      <c r="CE27" s="505" t="n">
        <v>-0.015</v>
      </c>
      <c r="CF27" s="505" t="n">
        <v>0.02</v>
      </c>
      <c r="CG27" s="505" t="n">
        <v>0.0172</v>
      </c>
      <c r="CH27" s="505" t="n">
        <v>0</v>
      </c>
      <c r="CI27" s="505" t="n">
        <v>2.846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3.00828157349897</v>
      </c>
      <c r="BW28" s="369" t="n">
        <v>2.851</v>
      </c>
      <c r="BX28" s="370" t="n">
        <v>0.87</v>
      </c>
      <c r="BY28" s="370" t="n">
        <v>0.87</v>
      </c>
      <c r="BZ28" s="370" t="n">
        <v>0</v>
      </c>
      <c r="CA28" s="370" t="n">
        <v>0.0187659081571607</v>
      </c>
      <c r="CB28" s="370" t="n">
        <v>0</v>
      </c>
      <c r="CC28" s="505" t="n">
        <v>0.06</v>
      </c>
      <c r="CD28" s="505" t="n">
        <v>0</v>
      </c>
      <c r="CE28" s="505" t="n">
        <v>-0.015</v>
      </c>
      <c r="CF28" s="505" t="n">
        <v>0.02</v>
      </c>
      <c r="CG28" s="505" t="n">
        <v>0.0172</v>
      </c>
      <c r="CH28" s="505" t="n">
        <v>0</v>
      </c>
      <c r="CI28" s="505" t="n">
        <v>2.846</v>
      </c>
      <c r="CJ28" s="505"/>
      <c r="CK28" s="505"/>
      <c r="CL28" s="505"/>
      <c r="CM28" s="505"/>
    </row>
    <row r="29" customFormat="false" ht="12.75" hidden="false" customHeight="false" outlineLevel="0" collapsed="false">
      <c r="A29" s="500"/>
      <c r="B29" s="500"/>
      <c r="D29" s="95"/>
      <c r="E29" s="95"/>
      <c r="F29" s="95"/>
      <c r="G29" s="95"/>
      <c r="H29" s="95"/>
      <c r="I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U29" s="95"/>
      <c r="BV29" s="95"/>
    </row>
    <row r="30" customFormat="false" ht="12.75" hidden="false" customHeight="false" outlineLevel="0" collapsed="false">
      <c r="A30" s="500"/>
      <c r="B30" s="500"/>
      <c r="D30" s="95"/>
      <c r="E30" s="95"/>
      <c r="F30" s="95"/>
      <c r="G30" s="95"/>
      <c r="H30" s="95"/>
      <c r="I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U30" s="95"/>
      <c r="BV30" s="95"/>
    </row>
    <row r="31" customFormat="false" ht="12.75" hidden="false" customHeight="false" outlineLevel="0" collapsed="false">
      <c r="A31" s="500"/>
      <c r="B31" s="500"/>
      <c r="D31" s="95"/>
      <c r="E31" s="95"/>
      <c r="F31" s="95"/>
      <c r="G31" s="95"/>
      <c r="H31" s="95"/>
      <c r="I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U31" s="95"/>
      <c r="BV31" s="95"/>
    </row>
    <row r="32" customFormat="false" ht="12.75" hidden="false" customHeight="false" outlineLevel="0" collapsed="false">
      <c r="A32" s="500"/>
      <c r="B32" s="500"/>
      <c r="D32" s="95"/>
      <c r="E32" s="95"/>
      <c r="F32" s="95"/>
      <c r="G32" s="95"/>
      <c r="H32" s="95"/>
      <c r="I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U32" s="95"/>
      <c r="BV32" s="95"/>
    </row>
    <row r="33" customFormat="false" ht="12.75" hidden="false" customHeight="false" outlineLevel="0" collapsed="false">
      <c r="A33" s="500"/>
      <c r="B33" s="500"/>
      <c r="D33" s="95"/>
      <c r="E33" s="95"/>
      <c r="F33" s="95"/>
      <c r="G33" s="95"/>
      <c r="H33" s="95"/>
      <c r="I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U33" s="95"/>
      <c r="BV33" s="95"/>
    </row>
    <row r="34" customFormat="false" ht="12.75" hidden="false" customHeight="false" outlineLevel="0" collapsed="false">
      <c r="A34" s="500"/>
      <c r="B34" s="500"/>
      <c r="D34" s="95"/>
      <c r="E34" s="95"/>
      <c r="F34" s="95"/>
      <c r="G34" s="95"/>
      <c r="H34" s="95"/>
      <c r="I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U34" s="95"/>
      <c r="BV34" s="95"/>
    </row>
    <row r="35" customFormat="false" ht="12.75" hidden="false" customHeight="false" outlineLevel="0" collapsed="false">
      <c r="A35" s="500"/>
      <c r="B35" s="500"/>
      <c r="D35" s="95"/>
      <c r="E35" s="95"/>
      <c r="F35" s="95"/>
      <c r="G35" s="95"/>
      <c r="H35" s="95"/>
      <c r="I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U35" s="95"/>
      <c r="BV35" s="95"/>
    </row>
    <row r="36" customFormat="false" ht="12.75" hidden="false" customHeight="false" outlineLevel="0" collapsed="false">
      <c r="A36" s="500"/>
      <c r="B36" s="500"/>
      <c r="D36" s="95"/>
      <c r="E36" s="95"/>
      <c r="F36" s="95"/>
      <c r="G36" s="95"/>
      <c r="H36" s="95"/>
      <c r="I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U36" s="95"/>
      <c r="BV36" s="95"/>
    </row>
    <row r="37" customFormat="false" ht="12.75" hidden="false" customHeight="false" outlineLevel="0" collapsed="false">
      <c r="A37" s="500"/>
      <c r="B37" s="500"/>
      <c r="D37" s="95"/>
      <c r="E37" s="95"/>
      <c r="F37" s="95"/>
      <c r="G37" s="95"/>
      <c r="H37" s="95"/>
      <c r="I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U37" s="95"/>
      <c r="BV37" s="95"/>
    </row>
    <row r="38" customFormat="false" ht="12.75" hidden="false" customHeight="false" outlineLevel="0" collapsed="false">
      <c r="A38" s="500"/>
      <c r="B38" s="500"/>
      <c r="D38" s="95"/>
      <c r="E38" s="95"/>
      <c r="F38" s="95"/>
      <c r="G38" s="95"/>
      <c r="H38" s="95"/>
      <c r="I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U38" s="95"/>
      <c r="BV38" s="95"/>
    </row>
    <row r="39" customFormat="false" ht="12.75" hidden="false" customHeight="false" outlineLevel="0" collapsed="false">
      <c r="A39" s="500"/>
      <c r="B39" s="500"/>
      <c r="D39" s="95"/>
      <c r="E39" s="95"/>
      <c r="F39" s="95"/>
      <c r="G39" s="95"/>
      <c r="H39" s="95"/>
      <c r="I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U39" s="95"/>
      <c r="BV39" s="95"/>
    </row>
    <row r="40" customFormat="false" ht="12.75" hidden="false" customHeight="false" outlineLevel="0" collapsed="false">
      <c r="D40" s="95"/>
      <c r="E40" s="95"/>
      <c r="F40" s="95"/>
      <c r="G40" s="95"/>
      <c r="H40" s="95"/>
      <c r="I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U40" s="95"/>
      <c r="BV40" s="95"/>
    </row>
    <row r="41" customFormat="false" ht="12.75" hidden="false" customHeight="false" outlineLevel="0" collapsed="false">
      <c r="D41" s="95"/>
      <c r="E41" s="95"/>
      <c r="F41" s="95"/>
      <c r="G41" s="95"/>
      <c r="H41" s="95"/>
      <c r="I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U41" s="95"/>
      <c r="BV41" s="95"/>
    </row>
    <row r="42" customFormat="false" ht="12.75" hidden="false" customHeight="false" outlineLevel="0" collapsed="false">
      <c r="D42" s="95"/>
      <c r="E42" s="95"/>
      <c r="F42" s="95"/>
      <c r="G42" s="95"/>
      <c r="H42" s="95"/>
      <c r="I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U42" s="95"/>
      <c r="BV42" s="95"/>
    </row>
    <row r="43" customFormat="false" ht="12.75" hidden="false" customHeight="false" outlineLevel="0" collapsed="false">
      <c r="D43" s="95"/>
      <c r="E43" s="95"/>
      <c r="F43" s="95"/>
      <c r="G43" s="95"/>
      <c r="H43" s="95"/>
      <c r="I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U43" s="95"/>
      <c r="BV43" s="95"/>
    </row>
    <row r="44" customFormat="false" ht="12.75" hidden="false" customHeight="false" outlineLevel="0" collapsed="false">
      <c r="D44" s="95"/>
      <c r="E44" s="95"/>
      <c r="F44" s="95"/>
      <c r="G44" s="95"/>
      <c r="H44" s="95"/>
      <c r="I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U44" s="95"/>
      <c r="BV44" s="95"/>
    </row>
    <row r="45" customFormat="false" ht="12.75" hidden="false" customHeight="false" outlineLevel="0" collapsed="false">
      <c r="D45" s="95"/>
      <c r="E45" s="95"/>
      <c r="F45" s="95"/>
      <c r="G45" s="95"/>
      <c r="H45" s="95"/>
      <c r="I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U45" s="95"/>
      <c r="BV45" s="95"/>
    </row>
    <row r="46" customFormat="false" ht="12.75" hidden="false" customHeight="false" outlineLevel="0" collapsed="false">
      <c r="D46" s="95"/>
      <c r="E46" s="95"/>
      <c r="F46" s="95"/>
      <c r="G46" s="95"/>
      <c r="H46" s="95"/>
      <c r="I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U46" s="95"/>
      <c r="BV46" s="95"/>
    </row>
    <row r="47" customFormat="false" ht="12.75" hidden="false" customHeight="false" outlineLevel="0" collapsed="false">
      <c r="D47" s="95"/>
      <c r="E47" s="95"/>
      <c r="F47" s="95"/>
      <c r="G47" s="95"/>
      <c r="H47" s="95"/>
      <c r="I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U47" s="95"/>
      <c r="BV47" s="95"/>
    </row>
    <row r="48" customFormat="false" ht="12.75" hidden="false" customHeight="false" outlineLevel="0" collapsed="false">
      <c r="D48" s="95"/>
      <c r="E48" s="95"/>
      <c r="F48" s="95"/>
      <c r="G48" s="95"/>
      <c r="H48" s="95"/>
      <c r="I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U48" s="95"/>
      <c r="BV48" s="95"/>
    </row>
    <row r="49" customFormat="false" ht="12.75" hidden="false" customHeight="false" outlineLevel="0" collapsed="false">
      <c r="D49" s="95"/>
      <c r="E49" s="95"/>
      <c r="F49" s="95"/>
      <c r="G49" s="95"/>
      <c r="H49" s="95"/>
      <c r="I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U49" s="95"/>
      <c r="BV49" s="95"/>
    </row>
    <row r="50" customFormat="false" ht="12.75" hidden="false" customHeight="false" outlineLevel="0" collapsed="false">
      <c r="D50" s="95"/>
      <c r="E50" s="95"/>
      <c r="F50" s="95"/>
      <c r="G50" s="95"/>
      <c r="H50" s="95"/>
      <c r="I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U50" s="95"/>
      <c r="BV50" s="95"/>
    </row>
    <row r="51" customFormat="false" ht="12.75" hidden="false" customHeight="false" outlineLevel="0" collapsed="false">
      <c r="D51" s="95"/>
      <c r="E51" s="95"/>
      <c r="F51" s="95"/>
      <c r="G51" s="95"/>
      <c r="H51" s="95"/>
      <c r="I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U51" s="95"/>
      <c r="BV51" s="95"/>
    </row>
    <row r="52" customFormat="false" ht="12.75" hidden="false" customHeight="false" outlineLevel="0" collapsed="false">
      <c r="D52" s="95"/>
      <c r="E52" s="95"/>
      <c r="F52" s="95"/>
      <c r="G52" s="95"/>
      <c r="H52" s="95"/>
      <c r="I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U52" s="95"/>
      <c r="BV52" s="95"/>
    </row>
    <row r="53" customFormat="false" ht="12.75" hidden="false" customHeight="false" outlineLevel="0" collapsed="false">
      <c r="D53" s="95"/>
      <c r="E53" s="95"/>
      <c r="F53" s="95"/>
      <c r="G53" s="95"/>
      <c r="H53" s="95"/>
      <c r="I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U53" s="95"/>
      <c r="BV53" s="95"/>
    </row>
    <row r="54" customFormat="false" ht="12.75" hidden="false" customHeight="false" outlineLevel="0" collapsed="false">
      <c r="D54" s="95"/>
      <c r="E54" s="95"/>
      <c r="F54" s="95"/>
      <c r="G54" s="95"/>
      <c r="H54" s="95"/>
      <c r="I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U54" s="95"/>
      <c r="BV54" s="95"/>
    </row>
    <row r="55" customFormat="false" ht="12.75" hidden="false" customHeight="false" outlineLevel="0" collapsed="false">
      <c r="D55" s="95"/>
      <c r="E55" s="95"/>
      <c r="F55" s="95"/>
      <c r="G55" s="95"/>
      <c r="H55" s="95"/>
      <c r="I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U55" s="95"/>
      <c r="BV55" s="95"/>
    </row>
    <row r="56" customFormat="false" ht="12.75" hidden="false" customHeight="false" outlineLevel="0" collapsed="false">
      <c r="D56" s="95"/>
      <c r="E56" s="95"/>
      <c r="F56" s="95"/>
      <c r="G56" s="95"/>
      <c r="H56" s="95"/>
      <c r="I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U56" s="95"/>
      <c r="BV56" s="95"/>
    </row>
    <row r="57" customFormat="false" ht="12.75" hidden="false" customHeight="false" outlineLevel="0" collapsed="false">
      <c r="D57" s="95"/>
      <c r="E57" s="95"/>
      <c r="F57" s="95"/>
      <c r="G57" s="95"/>
      <c r="H57" s="95"/>
      <c r="I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U57" s="95"/>
      <c r="BV57" s="95"/>
    </row>
    <row r="58" customFormat="false" ht="12.75" hidden="false" customHeight="false" outlineLevel="0" collapsed="false">
      <c r="D58" s="95"/>
      <c r="E58" s="95"/>
      <c r="F58" s="95"/>
      <c r="G58" s="95"/>
      <c r="H58" s="95"/>
      <c r="I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U58" s="95"/>
      <c r="BV58" s="95"/>
    </row>
    <row r="59" customFormat="false" ht="12.75" hidden="false" customHeight="false" outlineLevel="0" collapsed="false">
      <c r="D59" s="95"/>
      <c r="E59" s="95"/>
      <c r="F59" s="95"/>
      <c r="G59" s="95"/>
      <c r="H59" s="95"/>
      <c r="I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U59" s="95"/>
      <c r="BV59" s="95"/>
    </row>
    <row r="60" customFormat="false" ht="12.75" hidden="false" customHeight="false" outlineLevel="0" collapsed="false">
      <c r="D60" s="95"/>
      <c r="E60" s="95"/>
      <c r="F60" s="95"/>
      <c r="G60" s="95"/>
      <c r="H60" s="95"/>
      <c r="I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U60" s="95"/>
      <c r="BV60" s="95"/>
    </row>
    <row r="61" customFormat="false" ht="12.75" hidden="false" customHeight="false" outlineLevel="0" collapsed="false">
      <c r="D61" s="95"/>
      <c r="E61" s="95"/>
      <c r="F61" s="95"/>
      <c r="G61" s="95"/>
      <c r="H61" s="95"/>
      <c r="I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U61" s="95"/>
      <c r="BV61" s="95"/>
    </row>
    <row r="62" customFormat="false" ht="12.75" hidden="false" customHeight="false" outlineLevel="0" collapsed="false">
      <c r="D62" s="95"/>
      <c r="E62" s="95"/>
      <c r="F62" s="95"/>
      <c r="G62" s="95"/>
      <c r="H62" s="95"/>
      <c r="I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U62" s="95"/>
      <c r="BV62" s="95"/>
    </row>
    <row r="63" customFormat="false" ht="12.75" hidden="false" customHeight="false" outlineLevel="0" collapsed="false">
      <c r="D63" s="95"/>
      <c r="E63" s="95"/>
      <c r="F63" s="95"/>
      <c r="G63" s="95"/>
      <c r="H63" s="95"/>
      <c r="I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U63" s="95"/>
      <c r="BV63" s="95"/>
    </row>
    <row r="64" customFormat="false" ht="12.75" hidden="false" customHeight="false" outlineLevel="0" collapsed="false">
      <c r="D64" s="95"/>
      <c r="E64" s="95"/>
      <c r="F64" s="95"/>
      <c r="G64" s="95"/>
      <c r="H64" s="95"/>
      <c r="I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U64" s="95"/>
      <c r="BV64" s="95"/>
    </row>
    <row r="65" customFormat="false" ht="12.75" hidden="false" customHeight="false" outlineLevel="0" collapsed="false">
      <c r="D65" s="95"/>
      <c r="E65" s="95"/>
      <c r="F65" s="95"/>
      <c r="G65" s="95"/>
      <c r="H65" s="95"/>
      <c r="I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U65" s="95"/>
      <c r="BV65" s="95"/>
    </row>
    <row r="66" customFormat="false" ht="12.75" hidden="false" customHeight="false" outlineLevel="0" collapsed="false">
      <c r="D66" s="95"/>
      <c r="E66" s="95"/>
      <c r="F66" s="95"/>
      <c r="G66" s="95"/>
      <c r="H66" s="95"/>
      <c r="I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U66" s="95"/>
      <c r="BV66" s="95"/>
    </row>
    <row r="67" customFormat="false" ht="12.75" hidden="false" customHeight="false" outlineLevel="0" collapsed="false">
      <c r="D67" s="95"/>
      <c r="E67" s="95"/>
      <c r="F67" s="95"/>
      <c r="G67" s="95"/>
      <c r="H67" s="95"/>
      <c r="I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U67" s="95"/>
      <c r="BV67" s="95"/>
    </row>
    <row r="68" customFormat="false" ht="12.75" hidden="false" customHeight="false" outlineLevel="0" collapsed="false">
      <c r="D68" s="95"/>
      <c r="E68" s="95"/>
      <c r="F68" s="95"/>
      <c r="G68" s="95"/>
      <c r="H68" s="95"/>
      <c r="I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U68" s="95"/>
      <c r="BV68" s="95"/>
    </row>
    <row r="69" customFormat="false" ht="12.75" hidden="false" customHeight="false" outlineLevel="0" collapsed="false">
      <c r="D69" s="95"/>
      <c r="E69" s="95"/>
      <c r="F69" s="95"/>
      <c r="G69" s="95"/>
      <c r="H69" s="95"/>
      <c r="I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U69" s="95"/>
      <c r="BV69" s="95"/>
    </row>
    <row r="70" customFormat="false" ht="12.75" hidden="false" customHeight="false" outlineLevel="0" collapsed="false">
      <c r="D70" s="95"/>
      <c r="E70" s="95"/>
      <c r="F70" s="95"/>
      <c r="G70" s="95"/>
      <c r="H70" s="95"/>
      <c r="I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U70" s="95"/>
      <c r="BV70" s="95"/>
    </row>
    <row r="71" customFormat="false" ht="12.75" hidden="false" customHeight="false" outlineLevel="0" collapsed="false">
      <c r="D71" s="95"/>
      <c r="E71" s="95"/>
      <c r="F71" s="95"/>
      <c r="G71" s="95"/>
      <c r="H71" s="95"/>
      <c r="I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U71" s="95"/>
      <c r="BV71" s="95"/>
    </row>
    <row r="72" customFormat="false" ht="12.75" hidden="false" customHeight="false" outlineLevel="0" collapsed="false">
      <c r="D72" s="95"/>
      <c r="E72" s="95"/>
      <c r="F72" s="95"/>
      <c r="G72" s="95"/>
      <c r="H72" s="95"/>
      <c r="I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U72" s="95"/>
      <c r="BV72" s="95"/>
    </row>
    <row r="73" customFormat="false" ht="12.75" hidden="false" customHeight="false" outlineLevel="0" collapsed="false">
      <c r="D73" s="95"/>
      <c r="E73" s="95"/>
      <c r="F73" s="95"/>
      <c r="G73" s="95"/>
      <c r="H73" s="95"/>
      <c r="I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U73" s="95"/>
      <c r="BV73" s="95"/>
    </row>
    <row r="74" customFormat="false" ht="12.75" hidden="false" customHeight="false" outlineLevel="0" collapsed="false">
      <c r="D74" s="95"/>
      <c r="E74" s="95"/>
      <c r="F74" s="95"/>
      <c r="G74" s="95"/>
      <c r="H74" s="95"/>
      <c r="I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U74" s="95"/>
      <c r="BV74" s="95"/>
    </row>
    <row r="75" customFormat="false" ht="12.75" hidden="false" customHeight="false" outlineLevel="0" collapsed="false">
      <c r="D75" s="95"/>
      <c r="E75" s="95"/>
      <c r="F75" s="95"/>
      <c r="G75" s="95"/>
      <c r="H75" s="95"/>
      <c r="I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U75" s="95"/>
      <c r="BV75" s="95"/>
    </row>
    <row r="76" customFormat="false" ht="12.75" hidden="false" customHeight="false" outlineLevel="0" collapsed="false">
      <c r="D76" s="95"/>
      <c r="E76" s="95"/>
      <c r="F76" s="95"/>
      <c r="G76" s="95"/>
      <c r="H76" s="95"/>
      <c r="I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U76" s="95"/>
      <c r="BV76" s="95"/>
    </row>
    <row r="77" customFormat="false" ht="12.75" hidden="false" customHeight="false" outlineLevel="0" collapsed="false">
      <c r="D77" s="95"/>
      <c r="E77" s="95"/>
      <c r="F77" s="95"/>
      <c r="G77" s="95"/>
      <c r="H77" s="95"/>
      <c r="I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U77" s="95"/>
      <c r="BV77" s="95"/>
    </row>
    <row r="78" customFormat="false" ht="12.75" hidden="false" customHeight="false" outlineLevel="0" collapsed="false">
      <c r="D78" s="95"/>
      <c r="E78" s="95"/>
      <c r="F78" s="95"/>
      <c r="G78" s="95"/>
      <c r="H78" s="95"/>
      <c r="I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U78" s="95"/>
      <c r="BV78" s="95"/>
    </row>
    <row r="79" customFormat="false" ht="12.75" hidden="false" customHeight="false" outlineLevel="0" collapsed="false">
      <c r="D79" s="95"/>
      <c r="E79" s="95"/>
      <c r="F79" s="95"/>
      <c r="G79" s="95"/>
      <c r="H79" s="95"/>
      <c r="I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U79" s="95"/>
      <c r="BV79" s="95"/>
    </row>
    <row r="80" customFormat="false" ht="12.75" hidden="false" customHeight="false" outlineLevel="0" collapsed="false">
      <c r="D80" s="95"/>
      <c r="E80" s="95"/>
      <c r="F80" s="95"/>
      <c r="G80" s="95"/>
      <c r="H80" s="95"/>
      <c r="I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U80" s="95"/>
      <c r="BV80" s="95"/>
    </row>
    <row r="81" customFormat="false" ht="12.75" hidden="false" customHeight="false" outlineLevel="0" collapsed="false">
      <c r="D81" s="95"/>
      <c r="E81" s="95"/>
      <c r="F81" s="95"/>
      <c r="G81" s="95"/>
      <c r="H81" s="95"/>
      <c r="I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U81" s="95"/>
      <c r="BV81" s="95"/>
    </row>
    <row r="82" customFormat="false" ht="12.75" hidden="false" customHeight="false" outlineLevel="0" collapsed="false">
      <c r="D82" s="95"/>
      <c r="E82" s="95"/>
      <c r="F82" s="95"/>
      <c r="G82" s="95"/>
      <c r="H82" s="95"/>
      <c r="I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U82" s="95"/>
      <c r="BV82" s="95"/>
    </row>
    <row r="83" customFormat="false" ht="12.75" hidden="false" customHeight="false" outlineLevel="0" collapsed="false">
      <c r="D83" s="95"/>
      <c r="E83" s="95"/>
      <c r="F83" s="95"/>
      <c r="G83" s="95"/>
      <c r="H83" s="95"/>
      <c r="I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U83" s="95"/>
      <c r="BV83" s="95"/>
    </row>
    <row r="84" customFormat="false" ht="12.75" hidden="false" customHeight="false" outlineLevel="0" collapsed="false">
      <c r="D84" s="95"/>
      <c r="E84" s="95"/>
      <c r="F84" s="95"/>
      <c r="G84" s="95"/>
      <c r="H84" s="95"/>
      <c r="I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U84" s="95"/>
      <c r="BV84" s="95"/>
    </row>
    <row r="85" customFormat="false" ht="12.75" hidden="false" customHeight="false" outlineLevel="0" collapsed="false">
      <c r="D85" s="95"/>
      <c r="E85" s="95"/>
      <c r="F85" s="95"/>
      <c r="G85" s="95"/>
      <c r="H85" s="95"/>
      <c r="I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U85" s="95"/>
      <c r="BV85" s="95"/>
    </row>
    <row r="86" customFormat="false" ht="12.75" hidden="false" customHeight="false" outlineLevel="0" collapsed="false">
      <c r="D86" s="95"/>
      <c r="E86" s="95"/>
      <c r="F86" s="95"/>
      <c r="G86" s="95"/>
      <c r="H86" s="95"/>
      <c r="I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U86" s="95"/>
      <c r="BV86" s="95"/>
    </row>
    <row r="87" customFormat="false" ht="12.75" hidden="false" customHeight="false" outlineLevel="0" collapsed="false">
      <c r="D87" s="95"/>
      <c r="E87" s="95"/>
      <c r="F87" s="95"/>
      <c r="G87" s="95"/>
      <c r="H87" s="95"/>
      <c r="I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U87" s="95"/>
      <c r="BV87" s="95"/>
    </row>
    <row r="88" customFormat="false" ht="12.75" hidden="false" customHeight="false" outlineLevel="0" collapsed="false">
      <c r="D88" s="95"/>
      <c r="E88" s="95"/>
      <c r="F88" s="95"/>
      <c r="G88" s="95"/>
      <c r="H88" s="95"/>
      <c r="I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U88" s="95"/>
      <c r="BV88" s="95"/>
    </row>
    <row r="89" customFormat="false" ht="12.75" hidden="false" customHeight="false" outlineLevel="0" collapsed="false">
      <c r="D89" s="95"/>
      <c r="E89" s="95"/>
      <c r="F89" s="95"/>
      <c r="G89" s="95"/>
      <c r="H89" s="95"/>
      <c r="I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U89" s="95"/>
      <c r="BV89" s="95"/>
    </row>
    <row r="90" customFormat="false" ht="12.75" hidden="false" customHeight="false" outlineLevel="0" collapsed="false">
      <c r="D90" s="95"/>
      <c r="E90" s="95"/>
      <c r="F90" s="95"/>
      <c r="G90" s="95"/>
      <c r="H90" s="95"/>
      <c r="I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U90" s="95"/>
      <c r="BV90" s="95"/>
    </row>
    <row r="91" customFormat="false" ht="12.75" hidden="false" customHeight="false" outlineLevel="0" collapsed="false">
      <c r="D91" s="95"/>
      <c r="E91" s="95"/>
      <c r="F91" s="95"/>
      <c r="G91" s="95"/>
      <c r="H91" s="95"/>
      <c r="I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U91" s="95"/>
      <c r="BV91" s="95"/>
    </row>
  </sheetData>
  <mergeCells count="4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95"/>
  <sheetViews>
    <sheetView showFormulas="false" showGridLines="true" showRowColHeaders="true" showZeros="true" rightToLeft="false" tabSelected="false" showOutlineSymbols="true" defaultGridColor="true" view="normal" topLeftCell="I1" colorId="64" zoomScale="80" zoomScaleNormal="80" zoomScalePageLayoutView="100" workbookViewId="0">
      <selection pane="topLeft" activeCell="CI21" activeCellId="0" sqref="CI21:CI31"/>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83</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8120356.93</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9582537.51</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-1462180.59</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44992.92</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SUMPRODUCT(L22:L31,F22:F31)</f>
        <v>#VALUE!</v>
      </c>
      <c r="L10" s="414" t="s">
        <v>478</v>
      </c>
      <c r="M10" s="414"/>
      <c r="N10" s="400" t="e">
        <f aca="true">-SUMPRODUCT(INDIRECT(CONCATENATE(AV10,":",AW10)),INDIRECT(CONCATENATE($AX$7,":",$AY$7)),INDIRECT(CONCATENATE($AV$3,":",$AW$3)))</f>
        <v>#VALUE!</v>
      </c>
      <c r="O10" s="400" t="n">
        <v>-2631572.35</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SUMPRODUCT(K22:K31,F22:F31)</f>
        <v>#VALUE!</v>
      </c>
      <c r="L11" s="425" t="s">
        <v>481</v>
      </c>
      <c r="M11" s="425"/>
      <c r="N11" s="426" t="e">
        <f aca="true">-SUMPRODUCT(INDIRECT(CONCATENATE(AV11,":",AW11)),INDIRECT(CONCATENATE($AV$2,":",$AW$2)),INDIRECT(CONCATENATE($AV$3,":",$AW$3)),INDIRECT(CONCATENATE(AX3,":",AY3)))</f>
        <v>#VALUE!</v>
      </c>
      <c r="O11" s="427" t="n">
        <v>-3490020</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-44852.33</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-0.02</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365.03</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595.33</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322.98</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470.42</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8111718.34</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8638.59</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2.75575382743587</v>
      </c>
      <c r="BW22" s="369" t="n">
        <v>2.948</v>
      </c>
      <c r="BX22" s="370" t="n">
        <v>0.640885439327079</v>
      </c>
      <c r="BY22" s="370" t="n">
        <v>0.640885439327079</v>
      </c>
      <c r="BZ22" s="370" t="n">
        <v>1</v>
      </c>
      <c r="CA22" s="370" t="n">
        <v>0.0194226401196236</v>
      </c>
      <c r="CB22" s="370" t="n">
        <v>0.993564587749983</v>
      </c>
      <c r="CC22" s="505" t="n">
        <v>-0.13</v>
      </c>
      <c r="CD22" s="505" t="n">
        <v>0</v>
      </c>
      <c r="CE22" s="505" t="n">
        <v>0.07</v>
      </c>
      <c r="CF22" s="505" t="n">
        <v>0.03</v>
      </c>
      <c r="CG22" s="505" t="n">
        <v>0.0552</v>
      </c>
      <c r="CH22" s="505" t="n">
        <v>4.58430700787842</v>
      </c>
      <c r="CI22" s="505" t="n">
        <v>2.848</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2.80442056169523</v>
      </c>
      <c r="BW23" s="369" t="n">
        <v>2.996</v>
      </c>
      <c r="BX23" s="370" t="n">
        <v>0.6010526190063</v>
      </c>
      <c r="BY23" s="370" t="n">
        <v>0.6010526190063</v>
      </c>
      <c r="BZ23" s="370" t="n">
        <v>1</v>
      </c>
      <c r="CA23" s="370" t="n">
        <v>0.019712159578257</v>
      </c>
      <c r="CB23" s="370" t="n">
        <v>0.991870109542169</v>
      </c>
      <c r="CC23" s="505" t="n">
        <v>-0.13</v>
      </c>
      <c r="CD23" s="505" t="n">
        <v>0</v>
      </c>
      <c r="CE23" s="505" t="n">
        <v>0.07</v>
      </c>
      <c r="CF23" s="505" t="n">
        <v>0.03</v>
      </c>
      <c r="CG23" s="505" t="n">
        <v>0.0552</v>
      </c>
      <c r="CH23" s="505" t="n">
        <v>4.72903830827515</v>
      </c>
      <c r="CI23" s="505" t="n">
        <v>2.896</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2.85511507654872</v>
      </c>
      <c r="BW24" s="369" t="n">
        <v>3.046</v>
      </c>
      <c r="BX24" s="370" t="n">
        <v>0.581764586381288</v>
      </c>
      <c r="BY24" s="370" t="n">
        <v>0.581764586381288</v>
      </c>
      <c r="BZ24" s="370" t="n">
        <v>1</v>
      </c>
      <c r="CA24" s="370" t="n">
        <v>0.0200113297153544</v>
      </c>
      <c r="CB24" s="370" t="n">
        <v>0.990073216017117</v>
      </c>
      <c r="CC24" s="505" t="n">
        <v>-0.13</v>
      </c>
      <c r="CD24" s="505" t="n">
        <v>0</v>
      </c>
      <c r="CE24" s="505" t="n">
        <v>0.07</v>
      </c>
      <c r="CF24" s="505" t="n">
        <v>0.03</v>
      </c>
      <c r="CG24" s="505" t="n">
        <v>0.0552</v>
      </c>
      <c r="CH24" s="505" t="n">
        <v>4.56819781870298</v>
      </c>
      <c r="CI24" s="505" t="n">
        <v>2.946</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3.10655987022204</v>
      </c>
      <c r="BW25" s="369" t="n">
        <v>3.294</v>
      </c>
      <c r="BX25" s="370" t="n">
        <v>0.573583768215977</v>
      </c>
      <c r="BY25" s="370" t="n">
        <v>0.573583768215977</v>
      </c>
      <c r="BZ25" s="370" t="n">
        <v>1</v>
      </c>
      <c r="CA25" s="370" t="n">
        <v>0.0204286298094831</v>
      </c>
      <c r="CB25" s="370" t="n">
        <v>0.988217193800728</v>
      </c>
      <c r="CC25" s="505" t="n">
        <v>0.08</v>
      </c>
      <c r="CD25" s="505" t="n">
        <v>0</v>
      </c>
      <c r="CE25" s="505" t="n">
        <v>0.28</v>
      </c>
      <c r="CF25" s="505" t="n">
        <v>0.03</v>
      </c>
      <c r="CG25" s="505" t="n">
        <v>0.0552</v>
      </c>
      <c r="CH25" s="505" t="n">
        <v>4.71162193660311</v>
      </c>
      <c r="CI25" s="505" t="n">
        <v>2.984</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3.14914326269898</v>
      </c>
      <c r="BW26" s="369" t="n">
        <v>3.336</v>
      </c>
      <c r="BX26" s="370" t="n">
        <v>0.577776480928793</v>
      </c>
      <c r="BY26" s="370" t="n">
        <v>0.577776480928793</v>
      </c>
      <c r="BZ26" s="370" t="n">
        <v>1</v>
      </c>
      <c r="CA26" s="370" t="n">
        <v>0.021065008234304</v>
      </c>
      <c r="CB26" s="370" t="n">
        <v>0.986098940667972</v>
      </c>
      <c r="CC26" s="505" t="n">
        <v>0.08</v>
      </c>
      <c r="CD26" s="505" t="n">
        <v>0</v>
      </c>
      <c r="CE26" s="505" t="n">
        <v>0.28</v>
      </c>
      <c r="CF26" s="505" t="n">
        <v>0.03</v>
      </c>
      <c r="CG26" s="505" t="n">
        <v>0.0552</v>
      </c>
      <c r="CH26" s="505" t="n">
        <v>4.70152252931676</v>
      </c>
      <c r="CI26" s="505" t="n">
        <v>3.026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3.14103214032242</v>
      </c>
      <c r="BW27" s="369" t="n">
        <v>3.328</v>
      </c>
      <c r="BX27" s="370" t="n">
        <v>0.568117601114111</v>
      </c>
      <c r="BY27" s="370" t="n">
        <v>0.568117601114111</v>
      </c>
      <c r="BZ27" s="370" t="n">
        <v>1</v>
      </c>
      <c r="CA27" s="370" t="n">
        <v>0.0217013867962765</v>
      </c>
      <c r="CB27" s="370" t="n">
        <v>0.983880178541275</v>
      </c>
      <c r="CC27" s="505" t="n">
        <v>0.08</v>
      </c>
      <c r="CD27" s="505" t="n">
        <v>0</v>
      </c>
      <c r="CE27" s="505" t="n">
        <v>0.28</v>
      </c>
      <c r="CF27" s="505" t="n">
        <v>0.03</v>
      </c>
      <c r="CG27" s="505" t="n">
        <v>0.0552</v>
      </c>
      <c r="CH27" s="505" t="n">
        <v>4.53962314378944</v>
      </c>
      <c r="CI27" s="505" t="n">
        <v>3.018</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3.03254587853594</v>
      </c>
      <c r="BW28" s="369" t="n">
        <v>3.221</v>
      </c>
      <c r="BX28" s="370" t="n">
        <v>0.570457587999636</v>
      </c>
      <c r="BY28" s="370" t="n">
        <v>0.570457587999636</v>
      </c>
      <c r="BZ28" s="370" t="n">
        <v>1</v>
      </c>
      <c r="CA28" s="370" t="n">
        <v>0.022410164045374</v>
      </c>
      <c r="CB28" s="370" t="n">
        <v>0.981562668478235</v>
      </c>
      <c r="CC28" s="505" t="n">
        <v>-0.04</v>
      </c>
      <c r="CD28" s="505" t="n">
        <v>0</v>
      </c>
      <c r="CE28" s="505" t="n">
        <v>0.16</v>
      </c>
      <c r="CF28" s="505" t="n">
        <v>0.03</v>
      </c>
      <c r="CG28" s="505" t="n">
        <v>0.0552</v>
      </c>
      <c r="CH28" s="505" t="n">
        <v>4.67989449077053</v>
      </c>
      <c r="CI28" s="505" t="n">
        <v>3.031</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3.29615735577411</v>
      </c>
      <c r="BW29" s="369" t="n">
        <v>3.471</v>
      </c>
      <c r="BX29" s="370" t="n">
        <v>0.564616148067653</v>
      </c>
      <c r="BY29" s="370" t="n">
        <v>0.564616148067653</v>
      </c>
      <c r="BZ29" s="370" t="n">
        <v>1</v>
      </c>
      <c r="CA29" s="370" t="n">
        <v>0.0232740649677528</v>
      </c>
      <c r="CB29" s="370" t="n">
        <v>0.97893835036076</v>
      </c>
      <c r="CC29" s="505" t="n">
        <v>0.02</v>
      </c>
      <c r="CD29" s="505" t="n">
        <v>0.02</v>
      </c>
      <c r="CE29" s="505" t="n">
        <v>0.22</v>
      </c>
      <c r="CF29" s="505" t="n">
        <v>0.04</v>
      </c>
      <c r="CG29" s="505" t="n">
        <v>0.0552</v>
      </c>
      <c r="CH29" s="505" t="n">
        <v>4.51682154856455</v>
      </c>
      <c r="CI29" s="505" t="n">
        <v>3.211</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3.56990773598297</v>
      </c>
      <c r="BW30" s="369" t="n">
        <v>3.741</v>
      </c>
      <c r="BX30" s="370" t="n">
        <v>0.578861068007188</v>
      </c>
      <c r="BY30" s="370" t="n">
        <v>0.578861068007188</v>
      </c>
      <c r="BZ30" s="370" t="n">
        <v>1</v>
      </c>
      <c r="CA30" s="370" t="n">
        <v>0.024110098358836</v>
      </c>
      <c r="CB30" s="370" t="n">
        <v>0.976270925999808</v>
      </c>
      <c r="CC30" s="505" t="n">
        <v>0.13</v>
      </c>
      <c r="CD30" s="505" t="n">
        <v>0.02</v>
      </c>
      <c r="CE30" s="505" t="n">
        <v>0.33</v>
      </c>
      <c r="CF30" s="505" t="n">
        <v>0.04</v>
      </c>
      <c r="CG30" s="505" t="n">
        <v>0.0552</v>
      </c>
      <c r="CH30" s="505" t="n">
        <v>4.65466452098189</v>
      </c>
      <c r="CI30" s="505" t="n">
        <v>3.371</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3.646</v>
      </c>
      <c r="BW31" s="369" t="n">
        <v>3.866</v>
      </c>
      <c r="BX31" s="370" t="n">
        <v>0.5375</v>
      </c>
      <c r="BY31" s="370" t="n">
        <v>0.5375</v>
      </c>
      <c r="BZ31" s="370" t="n">
        <v>0</v>
      </c>
      <c r="CA31" s="370" t="n">
        <v>0.0250384261928196</v>
      </c>
      <c r="CB31" s="370" t="n">
        <v>0</v>
      </c>
      <c r="CC31" s="505" t="n">
        <v>0.18</v>
      </c>
      <c r="CD31" s="505" t="n">
        <v>0.02</v>
      </c>
      <c r="CE31" s="505" t="n">
        <v>0.38</v>
      </c>
      <c r="CF31" s="505" t="n">
        <v>0.04</v>
      </c>
      <c r="CG31" s="505" t="n">
        <v>0</v>
      </c>
      <c r="CH31" s="505" t="n">
        <v>0</v>
      </c>
      <c r="CI31" s="505" t="n">
        <v>3.446</v>
      </c>
      <c r="CJ31" s="505"/>
      <c r="CK31" s="505"/>
      <c r="CL31" s="505"/>
      <c r="CM31" s="505"/>
    </row>
    <row r="32" customFormat="false" ht="12.75" hidden="false" customHeight="false" outlineLevel="0" collapsed="false">
      <c r="A32" s="500"/>
      <c r="B32" s="500"/>
      <c r="K32" s="363"/>
      <c r="L32" s="501"/>
      <c r="N32" s="502"/>
      <c r="O32" s="502"/>
      <c r="P32" s="371"/>
      <c r="Q32" s="501"/>
      <c r="R32" s="501"/>
      <c r="U32" s="501"/>
      <c r="V32" s="503"/>
      <c r="W32" s="503"/>
      <c r="X32" s="504"/>
      <c r="Y32" s="504"/>
      <c r="Z32" s="504"/>
      <c r="AA32" s="504"/>
      <c r="AB32" s="504"/>
      <c r="AC32" s="504"/>
      <c r="AF32" s="378"/>
      <c r="AG32" s="378"/>
      <c r="AH32" s="378"/>
      <c r="AI32" s="378"/>
      <c r="AJ32" s="378"/>
      <c r="AM32" s="505"/>
      <c r="AN32" s="505"/>
      <c r="AO32" s="505"/>
      <c r="AP32" s="505"/>
      <c r="AR32" s="370"/>
      <c r="AT32" s="370"/>
      <c r="AV32" s="506"/>
      <c r="AW32" s="370"/>
      <c r="AX32" s="370"/>
      <c r="AY32" s="370"/>
      <c r="AZ32" s="370"/>
      <c r="BA32" s="507"/>
      <c r="BB32" s="505"/>
      <c r="BC32" s="505"/>
      <c r="BD32" s="370"/>
      <c r="BE32" s="370"/>
      <c r="BF32" s="370"/>
      <c r="BG32" s="370"/>
      <c r="BH32" s="370"/>
      <c r="BI32" s="370"/>
      <c r="BJ32" s="370"/>
      <c r="BK32" s="370"/>
      <c r="BL32" s="370"/>
      <c r="BM32" s="370"/>
      <c r="BN32" s="370"/>
      <c r="BO32" s="370"/>
      <c r="BP32" s="370"/>
      <c r="BQ32" s="370"/>
      <c r="BR32" s="370"/>
      <c r="BS32" s="370"/>
      <c r="BV32" s="508"/>
      <c r="BW32" s="369"/>
      <c r="BX32" s="370"/>
      <c r="BY32" s="370"/>
      <c r="BZ32" s="370"/>
      <c r="CA32" s="370"/>
      <c r="CB32" s="370"/>
      <c r="CC32" s="505"/>
      <c r="CD32" s="505"/>
      <c r="CE32" s="505"/>
      <c r="CF32" s="505"/>
      <c r="CG32" s="505"/>
      <c r="CH32" s="505"/>
      <c r="CI32" s="505"/>
      <c r="CJ32" s="505"/>
      <c r="CK32" s="505"/>
      <c r="CL32" s="505"/>
      <c r="CM32" s="505"/>
    </row>
    <row r="33" customFormat="false" ht="12.75" hidden="false" customHeight="false" outlineLevel="0" collapsed="false">
      <c r="A33" s="500"/>
      <c r="B33" s="500"/>
      <c r="K33" s="363"/>
      <c r="L33" s="501"/>
      <c r="N33" s="502"/>
      <c r="O33" s="502"/>
      <c r="P33" s="371"/>
      <c r="Q33" s="501"/>
      <c r="R33" s="501"/>
      <c r="U33" s="501"/>
      <c r="V33" s="503"/>
      <c r="W33" s="503"/>
      <c r="X33" s="504"/>
      <c r="Y33" s="504"/>
      <c r="Z33" s="504"/>
      <c r="AA33" s="504"/>
      <c r="AB33" s="504"/>
      <c r="AC33" s="504"/>
      <c r="AF33" s="378"/>
      <c r="AG33" s="378"/>
      <c r="AH33" s="378"/>
      <c r="AI33" s="378"/>
      <c r="AJ33" s="378"/>
      <c r="AM33" s="505"/>
      <c r="AN33" s="505"/>
      <c r="AO33" s="505"/>
      <c r="AP33" s="505"/>
      <c r="AR33" s="370"/>
      <c r="AT33" s="370"/>
      <c r="AV33" s="506"/>
      <c r="AW33" s="370"/>
      <c r="AX33" s="370"/>
      <c r="AY33" s="370"/>
      <c r="AZ33" s="370"/>
      <c r="BA33" s="507"/>
      <c r="BB33" s="505"/>
      <c r="BC33" s="505"/>
      <c r="BD33" s="370"/>
      <c r="BE33" s="370"/>
      <c r="BF33" s="370"/>
      <c r="BG33" s="370"/>
      <c r="BH33" s="370"/>
      <c r="BI33" s="370"/>
      <c r="BJ33" s="370"/>
      <c r="BK33" s="370"/>
      <c r="BL33" s="370"/>
      <c r="BM33" s="370"/>
      <c r="BN33" s="370"/>
      <c r="BO33" s="370"/>
      <c r="BP33" s="370"/>
      <c r="BQ33" s="370"/>
      <c r="BR33" s="370"/>
      <c r="BS33" s="370"/>
      <c r="BV33" s="508"/>
      <c r="BW33" s="369"/>
      <c r="BX33" s="370"/>
      <c r="BY33" s="370"/>
      <c r="BZ33" s="370"/>
      <c r="CA33" s="370"/>
      <c r="CB33" s="370"/>
      <c r="CC33" s="505"/>
      <c r="CD33" s="505"/>
      <c r="CE33" s="505"/>
      <c r="CF33" s="505"/>
      <c r="CG33" s="505"/>
      <c r="CH33" s="505"/>
      <c r="CI33" s="505"/>
      <c r="CJ33" s="505"/>
      <c r="CK33" s="505"/>
      <c r="CL33" s="505"/>
      <c r="CM33" s="505"/>
    </row>
    <row r="34" customFormat="false" ht="12.75" hidden="false" customHeight="false" outlineLevel="0" collapsed="false">
      <c r="A34" s="500"/>
      <c r="B34" s="500"/>
      <c r="K34" s="363"/>
      <c r="L34" s="501"/>
      <c r="N34" s="502"/>
      <c r="O34" s="502"/>
      <c r="P34" s="371"/>
      <c r="Q34" s="501"/>
      <c r="R34" s="501"/>
      <c r="U34" s="501"/>
      <c r="V34" s="503"/>
      <c r="W34" s="503"/>
      <c r="X34" s="504"/>
      <c r="Y34" s="504"/>
      <c r="Z34" s="504"/>
      <c r="AA34" s="504"/>
      <c r="AB34" s="504"/>
      <c r="AC34" s="504"/>
      <c r="AF34" s="378"/>
      <c r="AG34" s="378"/>
      <c r="AH34" s="378"/>
      <c r="AI34" s="378"/>
      <c r="AJ34" s="378"/>
      <c r="AM34" s="505"/>
      <c r="AN34" s="505"/>
      <c r="AO34" s="505"/>
      <c r="AP34" s="505"/>
      <c r="AR34" s="370"/>
      <c r="AT34" s="370"/>
      <c r="AV34" s="506"/>
      <c r="AW34" s="370"/>
      <c r="AX34" s="370"/>
      <c r="AY34" s="370"/>
      <c r="AZ34" s="370"/>
      <c r="BA34" s="507"/>
      <c r="BB34" s="505"/>
      <c r="BC34" s="505"/>
      <c r="BD34" s="370"/>
      <c r="BE34" s="370"/>
      <c r="BF34" s="370"/>
      <c r="BG34" s="370"/>
      <c r="BH34" s="370"/>
      <c r="BI34" s="370"/>
      <c r="BJ34" s="370"/>
      <c r="BK34" s="370"/>
      <c r="BL34" s="370"/>
      <c r="BM34" s="370"/>
      <c r="BN34" s="370"/>
      <c r="BO34" s="370"/>
      <c r="BP34" s="370"/>
      <c r="BQ34" s="370"/>
      <c r="BR34" s="370"/>
      <c r="BS34" s="370"/>
      <c r="BV34" s="508"/>
      <c r="BW34" s="369"/>
      <c r="BX34" s="370"/>
      <c r="BY34" s="370"/>
      <c r="BZ34" s="370"/>
      <c r="CA34" s="370"/>
      <c r="CB34" s="370"/>
      <c r="CC34" s="505"/>
      <c r="CD34" s="505"/>
      <c r="CE34" s="505"/>
      <c r="CF34" s="505"/>
      <c r="CG34" s="505"/>
      <c r="CH34" s="505"/>
      <c r="CI34" s="505"/>
      <c r="CJ34" s="505"/>
      <c r="CK34" s="505"/>
      <c r="CL34" s="505"/>
      <c r="CM34" s="505"/>
    </row>
    <row r="35" customFormat="false" ht="12.75" hidden="false" customHeight="false" outlineLevel="0" collapsed="false">
      <c r="A35" s="500"/>
      <c r="B35" s="500"/>
      <c r="K35" s="363"/>
      <c r="L35" s="501"/>
      <c r="N35" s="502"/>
      <c r="O35" s="502"/>
      <c r="P35" s="371"/>
      <c r="Q35" s="501"/>
      <c r="R35" s="501"/>
      <c r="U35" s="501"/>
      <c r="V35" s="503"/>
      <c r="W35" s="503"/>
      <c r="X35" s="504"/>
      <c r="Y35" s="504"/>
      <c r="Z35" s="504"/>
      <c r="AA35" s="504"/>
      <c r="AB35" s="504"/>
      <c r="AC35" s="504"/>
      <c r="AF35" s="378"/>
      <c r="AG35" s="378"/>
      <c r="AH35" s="378"/>
      <c r="AI35" s="378"/>
      <c r="AJ35" s="378"/>
      <c r="AM35" s="505"/>
      <c r="AN35" s="505"/>
      <c r="AO35" s="505"/>
      <c r="AP35" s="505"/>
      <c r="AR35" s="370"/>
      <c r="AT35" s="370"/>
      <c r="AV35" s="506"/>
      <c r="AW35" s="370"/>
      <c r="AX35" s="370"/>
      <c r="AY35" s="370"/>
      <c r="AZ35" s="370"/>
      <c r="BA35" s="507"/>
      <c r="BB35" s="505"/>
      <c r="BC35" s="505"/>
      <c r="BD35" s="370"/>
      <c r="BE35" s="370"/>
      <c r="BF35" s="370"/>
      <c r="BG35" s="370"/>
      <c r="BH35" s="370"/>
      <c r="BI35" s="370"/>
      <c r="BJ35" s="370"/>
      <c r="BK35" s="370"/>
      <c r="BL35" s="370"/>
      <c r="BM35" s="370"/>
      <c r="BN35" s="370"/>
      <c r="BO35" s="370"/>
      <c r="BP35" s="370"/>
      <c r="BQ35" s="370"/>
      <c r="BR35" s="370"/>
      <c r="BS35" s="370"/>
      <c r="BV35" s="508"/>
      <c r="BW35" s="369"/>
      <c r="BX35" s="370"/>
      <c r="BY35" s="370"/>
      <c r="BZ35" s="370"/>
      <c r="CA35" s="370"/>
      <c r="CB35" s="370"/>
      <c r="CC35" s="505"/>
      <c r="CD35" s="505"/>
      <c r="CE35" s="505"/>
      <c r="CF35" s="505"/>
      <c r="CG35" s="505"/>
      <c r="CH35" s="505"/>
      <c r="CI35" s="505"/>
      <c r="CJ35" s="505"/>
      <c r="CK35" s="505"/>
      <c r="CL35" s="505"/>
      <c r="CM35" s="505"/>
    </row>
    <row r="36" customFormat="false" ht="12.75" hidden="false" customHeight="false" outlineLevel="0" collapsed="false">
      <c r="A36" s="500"/>
      <c r="B36" s="500"/>
      <c r="K36" s="363"/>
      <c r="L36" s="501"/>
      <c r="N36" s="502"/>
      <c r="O36" s="502"/>
      <c r="P36" s="371"/>
      <c r="Q36" s="501"/>
      <c r="R36" s="501"/>
      <c r="U36" s="501"/>
      <c r="V36" s="503"/>
      <c r="W36" s="503"/>
      <c r="X36" s="504"/>
      <c r="Y36" s="504"/>
      <c r="Z36" s="504"/>
      <c r="AA36" s="504"/>
      <c r="AB36" s="504"/>
      <c r="AC36" s="504"/>
      <c r="AF36" s="378"/>
      <c r="AG36" s="378"/>
      <c r="AH36" s="378"/>
      <c r="AI36" s="378"/>
      <c r="AJ36" s="378"/>
      <c r="AM36" s="505"/>
      <c r="AN36" s="505"/>
      <c r="AO36" s="505"/>
      <c r="AP36" s="505"/>
      <c r="AR36" s="370"/>
      <c r="AT36" s="370"/>
      <c r="AV36" s="506"/>
      <c r="AW36" s="370"/>
      <c r="AX36" s="370"/>
      <c r="AY36" s="370"/>
      <c r="AZ36" s="370"/>
      <c r="BA36" s="507"/>
      <c r="BB36" s="505"/>
      <c r="BC36" s="505"/>
      <c r="BD36" s="370"/>
      <c r="BE36" s="370"/>
      <c r="BF36" s="370"/>
      <c r="BG36" s="370"/>
      <c r="BH36" s="370"/>
      <c r="BI36" s="370"/>
      <c r="BJ36" s="370"/>
      <c r="BK36" s="370"/>
      <c r="BL36" s="370"/>
      <c r="BM36" s="370"/>
      <c r="BN36" s="370"/>
      <c r="BO36" s="370"/>
      <c r="BP36" s="370"/>
      <c r="BQ36" s="370"/>
      <c r="BR36" s="370"/>
      <c r="BS36" s="370"/>
      <c r="BV36" s="508"/>
      <c r="BW36" s="369"/>
      <c r="BX36" s="370"/>
      <c r="BY36" s="370"/>
      <c r="BZ36" s="370"/>
      <c r="CA36" s="370"/>
      <c r="CB36" s="370"/>
      <c r="CC36" s="505"/>
      <c r="CD36" s="505"/>
      <c r="CE36" s="505"/>
      <c r="CF36" s="505"/>
      <c r="CG36" s="505"/>
      <c r="CH36" s="505"/>
      <c r="CI36" s="505"/>
      <c r="CJ36" s="505"/>
      <c r="CK36" s="505"/>
      <c r="CL36" s="505"/>
      <c r="CM36" s="505"/>
    </row>
    <row r="37" customFormat="false" ht="12.75" hidden="false" customHeight="false" outlineLevel="0" collapsed="false">
      <c r="A37" s="500"/>
      <c r="B37" s="500"/>
      <c r="K37" s="363"/>
      <c r="L37" s="501"/>
      <c r="N37" s="502"/>
      <c r="O37" s="502"/>
      <c r="P37" s="371"/>
      <c r="Q37" s="501"/>
      <c r="R37" s="501"/>
      <c r="U37" s="501"/>
      <c r="V37" s="503"/>
      <c r="W37" s="503"/>
      <c r="X37" s="504"/>
      <c r="Y37" s="504"/>
      <c r="Z37" s="504"/>
      <c r="AA37" s="504"/>
      <c r="AB37" s="504"/>
      <c r="AC37" s="504"/>
      <c r="AF37" s="378"/>
      <c r="AG37" s="378"/>
      <c r="AH37" s="378"/>
      <c r="AI37" s="378"/>
      <c r="AJ37" s="378"/>
      <c r="AM37" s="505"/>
      <c r="AN37" s="505"/>
      <c r="AO37" s="505"/>
      <c r="AP37" s="505"/>
      <c r="AR37" s="370"/>
      <c r="AT37" s="370"/>
      <c r="AV37" s="506"/>
      <c r="AW37" s="370"/>
      <c r="AX37" s="370"/>
      <c r="AY37" s="370"/>
      <c r="AZ37" s="370"/>
      <c r="BA37" s="507"/>
      <c r="BB37" s="505"/>
      <c r="BC37" s="505"/>
      <c r="BD37" s="370"/>
      <c r="BE37" s="370"/>
      <c r="BF37" s="370"/>
      <c r="BG37" s="370"/>
      <c r="BH37" s="370"/>
      <c r="BI37" s="370"/>
      <c r="BJ37" s="370"/>
      <c r="BK37" s="370"/>
      <c r="BL37" s="370"/>
      <c r="BM37" s="370"/>
      <c r="BN37" s="370"/>
      <c r="BO37" s="370"/>
      <c r="BP37" s="370"/>
      <c r="BQ37" s="370"/>
      <c r="BR37" s="370"/>
      <c r="BS37" s="370"/>
      <c r="BV37" s="508"/>
      <c r="BW37" s="369"/>
      <c r="BX37" s="370"/>
      <c r="BY37" s="370"/>
      <c r="BZ37" s="370"/>
      <c r="CA37" s="370"/>
      <c r="CB37" s="370"/>
      <c r="CC37" s="505"/>
      <c r="CD37" s="505"/>
      <c r="CE37" s="505"/>
      <c r="CF37" s="505"/>
      <c r="CG37" s="505"/>
      <c r="CH37" s="505"/>
      <c r="CI37" s="505"/>
      <c r="CJ37" s="505"/>
      <c r="CK37" s="505"/>
      <c r="CL37" s="505"/>
      <c r="CM37" s="505"/>
    </row>
    <row r="38" customFormat="false" ht="12.75" hidden="false" customHeight="false" outlineLevel="0" collapsed="false">
      <c r="A38" s="500"/>
      <c r="B38" s="500"/>
      <c r="K38" s="363"/>
      <c r="L38" s="501"/>
      <c r="N38" s="502"/>
      <c r="O38" s="502"/>
      <c r="P38" s="371"/>
      <c r="Q38" s="501"/>
      <c r="R38" s="501"/>
      <c r="U38" s="501"/>
      <c r="V38" s="503"/>
      <c r="W38" s="503"/>
      <c r="X38" s="504"/>
      <c r="Y38" s="504"/>
      <c r="Z38" s="504"/>
      <c r="AA38" s="504"/>
      <c r="AB38" s="504"/>
      <c r="AC38" s="504"/>
      <c r="AF38" s="378"/>
      <c r="AG38" s="378"/>
      <c r="AH38" s="378"/>
      <c r="AI38" s="378"/>
      <c r="AJ38" s="378"/>
      <c r="AM38" s="505"/>
      <c r="AN38" s="505"/>
      <c r="AO38" s="505"/>
      <c r="AP38" s="505"/>
      <c r="AR38" s="370"/>
      <c r="AT38" s="370"/>
      <c r="AV38" s="506"/>
      <c r="AW38" s="370"/>
      <c r="AX38" s="370"/>
      <c r="AY38" s="370"/>
      <c r="AZ38" s="370"/>
      <c r="BA38" s="507"/>
      <c r="BB38" s="505"/>
      <c r="BC38" s="505"/>
      <c r="BD38" s="370"/>
      <c r="BE38" s="370"/>
      <c r="BF38" s="370"/>
      <c r="BG38" s="370"/>
      <c r="BH38" s="370"/>
      <c r="BI38" s="370"/>
      <c r="BJ38" s="370"/>
      <c r="BK38" s="370"/>
      <c r="BL38" s="370"/>
      <c r="BM38" s="370"/>
      <c r="BN38" s="370"/>
      <c r="BO38" s="370"/>
      <c r="BP38" s="370"/>
      <c r="BQ38" s="370"/>
      <c r="BR38" s="370"/>
      <c r="BS38" s="370"/>
      <c r="BV38" s="508"/>
      <c r="BW38" s="369"/>
      <c r="BX38" s="370"/>
      <c r="BY38" s="370"/>
      <c r="BZ38" s="370"/>
      <c r="CA38" s="370"/>
      <c r="CB38" s="370"/>
      <c r="CC38" s="505"/>
      <c r="CD38" s="505"/>
      <c r="CE38" s="505"/>
      <c r="CF38" s="505"/>
      <c r="CG38" s="505"/>
      <c r="CH38" s="505"/>
      <c r="CI38" s="505"/>
      <c r="CJ38" s="505"/>
      <c r="CK38" s="505"/>
      <c r="CL38" s="505"/>
      <c r="CM38" s="505"/>
    </row>
    <row r="39" customFormat="false" ht="12.75" hidden="false" customHeight="false" outlineLevel="0" collapsed="false">
      <c r="A39" s="500"/>
      <c r="B39" s="500"/>
      <c r="K39" s="363"/>
      <c r="L39" s="501"/>
      <c r="N39" s="502"/>
      <c r="O39" s="502"/>
      <c r="P39" s="371"/>
      <c r="Q39" s="501"/>
      <c r="R39" s="501"/>
      <c r="U39" s="501"/>
      <c r="V39" s="503"/>
      <c r="W39" s="503"/>
      <c r="X39" s="504"/>
      <c r="Y39" s="504"/>
      <c r="Z39" s="504"/>
      <c r="AA39" s="504"/>
      <c r="AB39" s="504"/>
      <c r="AC39" s="504"/>
      <c r="AF39" s="378"/>
      <c r="AG39" s="378"/>
      <c r="AH39" s="378"/>
      <c r="AI39" s="378"/>
      <c r="AJ39" s="378"/>
      <c r="AM39" s="505"/>
      <c r="AN39" s="505"/>
      <c r="AO39" s="505"/>
      <c r="AP39" s="505"/>
      <c r="AR39" s="370"/>
      <c r="AT39" s="370"/>
      <c r="AV39" s="506"/>
      <c r="AW39" s="370"/>
      <c r="AX39" s="370"/>
      <c r="AY39" s="370"/>
      <c r="AZ39" s="370"/>
      <c r="BA39" s="507"/>
      <c r="BB39" s="505"/>
      <c r="BC39" s="505"/>
      <c r="BD39" s="370"/>
      <c r="BE39" s="370"/>
      <c r="BF39" s="370"/>
      <c r="BG39" s="370"/>
      <c r="BH39" s="370"/>
      <c r="BI39" s="370"/>
      <c r="BJ39" s="370"/>
      <c r="BK39" s="370"/>
      <c r="BL39" s="370"/>
      <c r="BM39" s="370"/>
      <c r="BN39" s="370"/>
      <c r="BO39" s="370"/>
      <c r="BP39" s="370"/>
      <c r="BQ39" s="370"/>
      <c r="BR39" s="370"/>
      <c r="BS39" s="370"/>
      <c r="BV39" s="508"/>
      <c r="BW39" s="369"/>
      <c r="BX39" s="370"/>
      <c r="BY39" s="370"/>
      <c r="BZ39" s="370"/>
      <c r="CA39" s="370"/>
      <c r="CB39" s="370"/>
      <c r="CC39" s="505"/>
      <c r="CD39" s="505"/>
      <c r="CE39" s="505"/>
      <c r="CF39" s="505"/>
      <c r="CG39" s="505"/>
      <c r="CH39" s="505"/>
      <c r="CI39" s="505"/>
      <c r="CJ39" s="505"/>
      <c r="CK39" s="505"/>
      <c r="CL39" s="505"/>
      <c r="CM39" s="505"/>
    </row>
    <row r="40" customFormat="false" ht="12.75" hidden="false" customHeight="false" outlineLevel="0" collapsed="false">
      <c r="A40" s="500"/>
      <c r="B40" s="500"/>
      <c r="K40" s="363"/>
      <c r="L40" s="501"/>
      <c r="N40" s="502"/>
      <c r="O40" s="502"/>
      <c r="P40" s="371"/>
      <c r="Q40" s="501"/>
      <c r="R40" s="501"/>
      <c r="U40" s="501"/>
      <c r="V40" s="503"/>
      <c r="W40" s="503"/>
      <c r="X40" s="504"/>
      <c r="Y40" s="504"/>
      <c r="Z40" s="504"/>
      <c r="AA40" s="504"/>
      <c r="AB40" s="504"/>
      <c r="AC40" s="504"/>
      <c r="AF40" s="378"/>
      <c r="AG40" s="378"/>
      <c r="AH40" s="378"/>
      <c r="AI40" s="378"/>
      <c r="AJ40" s="378"/>
      <c r="AM40" s="505"/>
      <c r="AN40" s="505"/>
      <c r="AO40" s="505"/>
      <c r="AP40" s="505"/>
      <c r="AR40" s="370"/>
      <c r="AT40" s="370"/>
      <c r="AV40" s="506"/>
      <c r="AW40" s="370"/>
      <c r="AX40" s="370"/>
      <c r="AY40" s="370"/>
      <c r="AZ40" s="370"/>
      <c r="BA40" s="507"/>
      <c r="BB40" s="505"/>
      <c r="BC40" s="505"/>
      <c r="BD40" s="370"/>
      <c r="BE40" s="370"/>
      <c r="BF40" s="370"/>
      <c r="BG40" s="370"/>
      <c r="BH40" s="370"/>
      <c r="BI40" s="370"/>
      <c r="BJ40" s="370"/>
      <c r="BK40" s="370"/>
      <c r="BL40" s="370"/>
      <c r="BM40" s="370"/>
      <c r="BN40" s="370"/>
      <c r="BO40" s="370"/>
      <c r="BP40" s="370"/>
      <c r="BQ40" s="370"/>
      <c r="BR40" s="370"/>
      <c r="BS40" s="370"/>
      <c r="BV40" s="508"/>
      <c r="BW40" s="369"/>
      <c r="BX40" s="370"/>
      <c r="BY40" s="370"/>
      <c r="BZ40" s="370"/>
      <c r="CA40" s="370"/>
      <c r="CB40" s="370"/>
      <c r="CC40" s="505"/>
      <c r="CD40" s="505"/>
      <c r="CE40" s="505"/>
      <c r="CF40" s="505"/>
      <c r="CG40" s="505"/>
      <c r="CH40" s="505"/>
      <c r="CI40" s="505"/>
      <c r="CJ40" s="505"/>
      <c r="CK40" s="505"/>
      <c r="CL40" s="505"/>
      <c r="CM40" s="505"/>
    </row>
    <row r="41" customFormat="false" ht="12.75" hidden="false" customHeight="false" outlineLevel="0" collapsed="false">
      <c r="A41" s="500"/>
      <c r="B41" s="500"/>
      <c r="K41" s="363"/>
      <c r="L41" s="501"/>
      <c r="N41" s="502"/>
      <c r="O41" s="502"/>
      <c r="P41" s="371"/>
      <c r="Q41" s="501"/>
      <c r="R41" s="501"/>
      <c r="U41" s="501"/>
      <c r="V41" s="503"/>
      <c r="W41" s="503"/>
      <c r="X41" s="504"/>
      <c r="Y41" s="504"/>
      <c r="Z41" s="504"/>
      <c r="AA41" s="504"/>
      <c r="AB41" s="504"/>
      <c r="AC41" s="504"/>
      <c r="AF41" s="378"/>
      <c r="AG41" s="378"/>
      <c r="AH41" s="378"/>
      <c r="AI41" s="378"/>
      <c r="AJ41" s="378"/>
      <c r="AM41" s="505"/>
      <c r="AN41" s="505"/>
      <c r="AO41" s="505"/>
      <c r="AP41" s="505"/>
      <c r="AR41" s="370"/>
      <c r="AT41" s="370"/>
      <c r="AV41" s="506"/>
      <c r="AW41" s="370"/>
      <c r="AX41" s="370"/>
      <c r="AY41" s="370"/>
      <c r="AZ41" s="370"/>
      <c r="BA41" s="507"/>
      <c r="BB41" s="505"/>
      <c r="BC41" s="505"/>
      <c r="BD41" s="370"/>
      <c r="BE41" s="370"/>
      <c r="BF41" s="370"/>
      <c r="BG41" s="370"/>
      <c r="BH41" s="370"/>
      <c r="BI41" s="370"/>
      <c r="BJ41" s="370"/>
      <c r="BK41" s="370"/>
      <c r="BL41" s="370"/>
      <c r="BM41" s="370"/>
      <c r="BN41" s="370"/>
      <c r="BO41" s="370"/>
      <c r="BP41" s="370"/>
      <c r="BQ41" s="370"/>
      <c r="BR41" s="370"/>
      <c r="BS41" s="370"/>
      <c r="BV41" s="508"/>
      <c r="BW41" s="369"/>
      <c r="BX41" s="370"/>
      <c r="BY41" s="370"/>
      <c r="BZ41" s="370"/>
      <c r="CA41" s="370"/>
      <c r="CB41" s="370"/>
      <c r="CC41" s="505"/>
      <c r="CD41" s="505"/>
      <c r="CE41" s="505"/>
      <c r="CF41" s="505"/>
      <c r="CG41" s="505"/>
      <c r="CH41" s="505"/>
      <c r="CI41" s="505"/>
      <c r="CJ41" s="505"/>
      <c r="CK41" s="505"/>
      <c r="CL41" s="505"/>
      <c r="CM41" s="505"/>
    </row>
    <row r="42" customFormat="false" ht="12.75" hidden="false" customHeight="false" outlineLevel="0" collapsed="false">
      <c r="A42" s="500"/>
      <c r="B42" s="500"/>
      <c r="K42" s="363"/>
      <c r="L42" s="501"/>
      <c r="N42" s="502"/>
      <c r="O42" s="502"/>
      <c r="P42" s="371"/>
      <c r="Q42" s="501"/>
      <c r="R42" s="501"/>
      <c r="U42" s="501"/>
      <c r="V42" s="503"/>
      <c r="W42" s="503"/>
      <c r="X42" s="504"/>
      <c r="Y42" s="504"/>
      <c r="Z42" s="504"/>
      <c r="AA42" s="504"/>
      <c r="AB42" s="504"/>
      <c r="AC42" s="504"/>
      <c r="AF42" s="378"/>
      <c r="AG42" s="378"/>
      <c r="AH42" s="378"/>
      <c r="AI42" s="378"/>
      <c r="AJ42" s="378"/>
      <c r="AM42" s="505"/>
      <c r="AN42" s="505"/>
      <c r="AO42" s="505"/>
      <c r="AP42" s="505"/>
      <c r="AR42" s="370"/>
      <c r="AT42" s="370"/>
      <c r="AV42" s="506"/>
      <c r="AW42" s="370"/>
      <c r="AX42" s="370"/>
      <c r="AY42" s="370"/>
      <c r="AZ42" s="370"/>
      <c r="BA42" s="507"/>
      <c r="BB42" s="505"/>
      <c r="BC42" s="505"/>
      <c r="BD42" s="370"/>
      <c r="BE42" s="370"/>
      <c r="BF42" s="370"/>
      <c r="BG42" s="370"/>
      <c r="BH42" s="370"/>
      <c r="BI42" s="370"/>
      <c r="BJ42" s="370"/>
      <c r="BK42" s="370"/>
      <c r="BL42" s="370"/>
      <c r="BM42" s="370"/>
      <c r="BN42" s="370"/>
      <c r="BO42" s="370"/>
      <c r="BP42" s="370"/>
      <c r="BQ42" s="370"/>
      <c r="BR42" s="370"/>
      <c r="BS42" s="370"/>
      <c r="BV42" s="508"/>
      <c r="BW42" s="369"/>
      <c r="BX42" s="370"/>
      <c r="BY42" s="370"/>
      <c r="BZ42" s="370"/>
      <c r="CA42" s="370"/>
      <c r="CB42" s="370"/>
      <c r="CC42" s="505"/>
      <c r="CD42" s="505"/>
      <c r="CE42" s="505"/>
      <c r="CF42" s="505"/>
      <c r="CG42" s="505"/>
      <c r="CH42" s="505"/>
      <c r="CI42" s="505"/>
      <c r="CJ42" s="505"/>
      <c r="CK42" s="505"/>
      <c r="CL42" s="505"/>
      <c r="CM42" s="505"/>
    </row>
    <row r="43" customFormat="false" ht="12.75" hidden="false" customHeight="false" outlineLevel="0" collapsed="false">
      <c r="A43" s="500"/>
      <c r="B43" s="500"/>
      <c r="K43" s="363"/>
      <c r="L43" s="501"/>
      <c r="N43" s="502"/>
      <c r="O43" s="502"/>
      <c r="P43" s="371"/>
      <c r="Q43" s="501"/>
      <c r="R43" s="501"/>
      <c r="U43" s="501"/>
      <c r="V43" s="503"/>
      <c r="W43" s="503"/>
      <c r="X43" s="504"/>
      <c r="Y43" s="504"/>
      <c r="Z43" s="504"/>
      <c r="AA43" s="504"/>
      <c r="AB43" s="504"/>
      <c r="AC43" s="504"/>
      <c r="AF43" s="378"/>
      <c r="AG43" s="378"/>
      <c r="AH43" s="378"/>
      <c r="AI43" s="378"/>
      <c r="AJ43" s="378"/>
      <c r="AM43" s="505"/>
      <c r="AN43" s="505"/>
      <c r="AO43" s="505"/>
      <c r="AP43" s="505"/>
      <c r="AR43" s="370"/>
      <c r="AT43" s="370"/>
      <c r="AV43" s="506"/>
      <c r="AW43" s="370"/>
      <c r="AX43" s="370"/>
      <c r="AY43" s="370"/>
      <c r="AZ43" s="370"/>
      <c r="BA43" s="507"/>
      <c r="BB43" s="505"/>
      <c r="BC43" s="505"/>
      <c r="BD43" s="370"/>
      <c r="BE43" s="370"/>
      <c r="BF43" s="370"/>
      <c r="BG43" s="370"/>
      <c r="BH43" s="370"/>
      <c r="BI43" s="370"/>
      <c r="BJ43" s="370"/>
      <c r="BK43" s="370"/>
      <c r="BL43" s="370"/>
      <c r="BM43" s="370"/>
      <c r="BN43" s="370"/>
      <c r="BO43" s="370"/>
      <c r="BP43" s="370"/>
      <c r="BQ43" s="370"/>
      <c r="BR43" s="370"/>
      <c r="BS43" s="370"/>
      <c r="BV43" s="508"/>
      <c r="BW43" s="369"/>
      <c r="BX43" s="370"/>
      <c r="BY43" s="370"/>
      <c r="BZ43" s="370"/>
      <c r="CA43" s="370"/>
      <c r="CB43" s="370"/>
      <c r="CC43" s="505"/>
      <c r="CD43" s="505"/>
      <c r="CE43" s="505"/>
      <c r="CF43" s="505"/>
      <c r="CG43" s="505"/>
      <c r="CH43" s="505"/>
      <c r="CI43" s="505"/>
      <c r="CJ43" s="505"/>
      <c r="CK43" s="505"/>
      <c r="CL43" s="505"/>
      <c r="CM43" s="505"/>
    </row>
    <row r="44" customFormat="false" ht="12.75" hidden="false" customHeight="false" outlineLevel="0" collapsed="false">
      <c r="A44" s="500"/>
      <c r="B44" s="500"/>
      <c r="K44" s="363"/>
      <c r="L44" s="501"/>
      <c r="N44" s="502"/>
      <c r="O44" s="502"/>
      <c r="P44" s="371"/>
      <c r="Q44" s="501"/>
      <c r="R44" s="501"/>
      <c r="U44" s="501"/>
      <c r="V44" s="503"/>
      <c r="W44" s="503"/>
      <c r="X44" s="504"/>
      <c r="Y44" s="504"/>
      <c r="Z44" s="504"/>
      <c r="AA44" s="504"/>
      <c r="AB44" s="504"/>
      <c r="AC44" s="504"/>
      <c r="AF44" s="378"/>
      <c r="AG44" s="378"/>
      <c r="AH44" s="378"/>
      <c r="AI44" s="378"/>
      <c r="AJ44" s="378"/>
      <c r="AM44" s="505"/>
      <c r="AN44" s="505"/>
      <c r="AO44" s="505"/>
      <c r="AP44" s="505"/>
      <c r="AR44" s="370"/>
      <c r="AT44" s="370"/>
      <c r="AV44" s="506"/>
      <c r="AW44" s="370"/>
      <c r="AX44" s="370"/>
      <c r="AY44" s="370"/>
      <c r="AZ44" s="370"/>
      <c r="BA44" s="507"/>
      <c r="BB44" s="505"/>
      <c r="BC44" s="505"/>
      <c r="BD44" s="370"/>
      <c r="BE44" s="370"/>
      <c r="BF44" s="370"/>
      <c r="BG44" s="370"/>
      <c r="BH44" s="370"/>
      <c r="BI44" s="370"/>
      <c r="BJ44" s="370"/>
      <c r="BK44" s="370"/>
      <c r="BL44" s="370"/>
      <c r="BM44" s="370"/>
      <c r="BN44" s="370"/>
      <c r="BO44" s="370"/>
      <c r="BP44" s="370"/>
      <c r="BQ44" s="370"/>
      <c r="BR44" s="370"/>
      <c r="BS44" s="370"/>
      <c r="BV44" s="508"/>
      <c r="BW44" s="369"/>
      <c r="BX44" s="370"/>
      <c r="BY44" s="370"/>
      <c r="BZ44" s="370"/>
      <c r="CA44" s="370"/>
      <c r="CB44" s="370"/>
      <c r="CC44" s="505"/>
      <c r="CD44" s="505"/>
      <c r="CE44" s="505"/>
      <c r="CF44" s="505"/>
      <c r="CG44" s="505"/>
      <c r="CH44" s="505"/>
      <c r="CI44" s="505"/>
      <c r="CJ44" s="505"/>
      <c r="CK44" s="505"/>
      <c r="CL44" s="505"/>
      <c r="CM44" s="505"/>
    </row>
    <row r="45" customFormat="false" ht="12.75" hidden="false" customHeight="false" outlineLevel="0" collapsed="false">
      <c r="A45" s="500"/>
      <c r="B45" s="500"/>
      <c r="K45" s="363"/>
      <c r="L45" s="501"/>
      <c r="N45" s="502"/>
      <c r="O45" s="502"/>
      <c r="P45" s="371"/>
      <c r="Q45" s="501"/>
      <c r="R45" s="501"/>
      <c r="U45" s="501"/>
      <c r="V45" s="503"/>
      <c r="W45" s="503"/>
      <c r="X45" s="504"/>
      <c r="Y45" s="504"/>
      <c r="Z45" s="504"/>
      <c r="AA45" s="504"/>
      <c r="AB45" s="504"/>
      <c r="AC45" s="504"/>
      <c r="AF45" s="378"/>
      <c r="AG45" s="378"/>
      <c r="AH45" s="378"/>
      <c r="AI45" s="378"/>
      <c r="AJ45" s="378"/>
      <c r="AM45" s="505"/>
      <c r="AN45" s="505"/>
      <c r="AO45" s="505"/>
      <c r="AP45" s="505"/>
      <c r="AR45" s="370"/>
      <c r="AT45" s="370"/>
      <c r="AV45" s="506"/>
      <c r="AW45" s="370"/>
      <c r="AX45" s="370"/>
      <c r="AY45" s="370"/>
      <c r="AZ45" s="370"/>
      <c r="BA45" s="507"/>
      <c r="BB45" s="505"/>
      <c r="BC45" s="505"/>
      <c r="BD45" s="370"/>
      <c r="BE45" s="370"/>
      <c r="BF45" s="370"/>
      <c r="BG45" s="370"/>
      <c r="BH45" s="370"/>
      <c r="BI45" s="370"/>
      <c r="BJ45" s="370"/>
      <c r="BK45" s="370"/>
      <c r="BL45" s="370"/>
      <c r="BM45" s="370"/>
      <c r="BN45" s="370"/>
      <c r="BO45" s="370"/>
      <c r="BP45" s="370"/>
      <c r="BQ45" s="370"/>
      <c r="BR45" s="370"/>
      <c r="BS45" s="370"/>
      <c r="BV45" s="508"/>
      <c r="BW45" s="369"/>
      <c r="BX45" s="370"/>
      <c r="BY45" s="370"/>
      <c r="BZ45" s="370"/>
      <c r="CA45" s="370"/>
      <c r="CB45" s="370"/>
      <c r="CC45" s="505"/>
      <c r="CD45" s="505"/>
      <c r="CE45" s="505"/>
      <c r="CF45" s="505"/>
      <c r="CG45" s="505"/>
      <c r="CH45" s="505"/>
      <c r="CI45" s="505"/>
      <c r="CJ45" s="505"/>
      <c r="CK45" s="505"/>
      <c r="CL45" s="505"/>
      <c r="CM45" s="505"/>
    </row>
    <row r="46" customFormat="false" ht="12.75" hidden="false" customHeight="false" outlineLevel="0" collapsed="false">
      <c r="A46" s="500"/>
      <c r="B46" s="500"/>
      <c r="K46" s="363"/>
      <c r="L46" s="501"/>
      <c r="N46" s="502"/>
      <c r="O46" s="502"/>
      <c r="P46" s="371"/>
      <c r="Q46" s="501"/>
      <c r="R46" s="501"/>
      <c r="U46" s="501"/>
      <c r="V46" s="503"/>
      <c r="W46" s="503"/>
      <c r="X46" s="504"/>
      <c r="Y46" s="504"/>
      <c r="Z46" s="504"/>
      <c r="AA46" s="504"/>
      <c r="AB46" s="504"/>
      <c r="AC46" s="504"/>
      <c r="AF46" s="378"/>
      <c r="AG46" s="378"/>
      <c r="AH46" s="378"/>
      <c r="AI46" s="378"/>
      <c r="AJ46" s="378"/>
      <c r="AM46" s="505"/>
      <c r="AN46" s="505"/>
      <c r="AO46" s="505"/>
      <c r="AP46" s="505"/>
      <c r="AR46" s="370"/>
      <c r="AT46" s="370"/>
      <c r="AV46" s="506"/>
      <c r="AW46" s="370"/>
      <c r="AX46" s="370"/>
      <c r="AY46" s="370"/>
      <c r="AZ46" s="370"/>
      <c r="BA46" s="507"/>
      <c r="BB46" s="505"/>
      <c r="BC46" s="505"/>
      <c r="BD46" s="370"/>
      <c r="BE46" s="370"/>
      <c r="BF46" s="370"/>
      <c r="BG46" s="370"/>
      <c r="BH46" s="370"/>
      <c r="BI46" s="370"/>
      <c r="BJ46" s="370"/>
      <c r="BK46" s="370"/>
      <c r="BL46" s="370"/>
      <c r="BM46" s="370"/>
      <c r="BN46" s="370"/>
      <c r="BO46" s="370"/>
      <c r="BP46" s="370"/>
      <c r="BQ46" s="370"/>
      <c r="BR46" s="370"/>
      <c r="BS46" s="370"/>
      <c r="BV46" s="508"/>
      <c r="BW46" s="369"/>
      <c r="BX46" s="370"/>
      <c r="BY46" s="370"/>
      <c r="BZ46" s="370"/>
      <c r="CA46" s="370"/>
      <c r="CB46" s="370"/>
      <c r="CC46" s="505"/>
      <c r="CD46" s="505"/>
      <c r="CE46" s="505"/>
      <c r="CF46" s="505"/>
      <c r="CG46" s="505"/>
      <c r="CH46" s="505"/>
      <c r="CI46" s="505"/>
      <c r="CJ46" s="505"/>
      <c r="CK46" s="505"/>
      <c r="CL46" s="505"/>
      <c r="CM46" s="505"/>
    </row>
    <row r="47" customFormat="false" ht="12.75" hidden="false" customHeight="false" outlineLevel="0" collapsed="false">
      <c r="A47" s="500"/>
      <c r="B47" s="500"/>
      <c r="K47" s="363"/>
      <c r="L47" s="501"/>
      <c r="N47" s="502"/>
      <c r="O47" s="502"/>
      <c r="P47" s="371"/>
      <c r="Q47" s="501"/>
      <c r="R47" s="501"/>
      <c r="U47" s="501"/>
      <c r="V47" s="503"/>
      <c r="W47" s="503"/>
      <c r="X47" s="504"/>
      <c r="Y47" s="504"/>
      <c r="Z47" s="504"/>
      <c r="AA47" s="504"/>
      <c r="AB47" s="504"/>
      <c r="AC47" s="504"/>
      <c r="AF47" s="378"/>
      <c r="AG47" s="378"/>
      <c r="AH47" s="378"/>
      <c r="AI47" s="378"/>
      <c r="AJ47" s="378"/>
      <c r="AM47" s="505"/>
      <c r="AN47" s="505"/>
      <c r="AO47" s="505"/>
      <c r="AP47" s="505"/>
      <c r="AR47" s="370"/>
      <c r="AT47" s="370"/>
      <c r="AV47" s="506"/>
      <c r="AW47" s="370"/>
      <c r="AX47" s="370"/>
      <c r="AY47" s="370"/>
      <c r="AZ47" s="370"/>
      <c r="BA47" s="507"/>
      <c r="BB47" s="505"/>
      <c r="BC47" s="505"/>
      <c r="BD47" s="370"/>
      <c r="BE47" s="370"/>
      <c r="BF47" s="370"/>
      <c r="BG47" s="370"/>
      <c r="BH47" s="370"/>
      <c r="BI47" s="370"/>
      <c r="BJ47" s="370"/>
      <c r="BK47" s="370"/>
      <c r="BL47" s="370"/>
      <c r="BM47" s="370"/>
      <c r="BN47" s="370"/>
      <c r="BO47" s="370"/>
      <c r="BP47" s="370"/>
      <c r="BQ47" s="370"/>
      <c r="BR47" s="370"/>
      <c r="BS47" s="370"/>
      <c r="BV47" s="508"/>
      <c r="BW47" s="369"/>
      <c r="BX47" s="370"/>
      <c r="BY47" s="370"/>
      <c r="BZ47" s="370"/>
      <c r="CA47" s="370"/>
      <c r="CB47" s="370"/>
      <c r="CC47" s="505"/>
      <c r="CD47" s="505"/>
      <c r="CE47" s="505"/>
      <c r="CF47" s="505"/>
      <c r="CG47" s="505"/>
      <c r="CH47" s="505"/>
      <c r="CI47" s="505"/>
      <c r="CJ47" s="505"/>
      <c r="CK47" s="505"/>
      <c r="CL47" s="505"/>
      <c r="CM47" s="505"/>
    </row>
    <row r="48" customFormat="false" ht="12.75" hidden="false" customHeight="false" outlineLevel="0" collapsed="false">
      <c r="A48" s="500"/>
      <c r="B48" s="500"/>
      <c r="K48" s="363"/>
      <c r="L48" s="501"/>
      <c r="N48" s="502"/>
      <c r="O48" s="502"/>
      <c r="P48" s="371"/>
      <c r="Q48" s="501"/>
      <c r="R48" s="501"/>
      <c r="U48" s="501"/>
      <c r="V48" s="503"/>
      <c r="W48" s="503"/>
      <c r="X48" s="504"/>
      <c r="Y48" s="504"/>
      <c r="Z48" s="504"/>
      <c r="AA48" s="504"/>
      <c r="AB48" s="504"/>
      <c r="AC48" s="504"/>
      <c r="AF48" s="378"/>
      <c r="AG48" s="378"/>
      <c r="AH48" s="378"/>
      <c r="AI48" s="378"/>
      <c r="AJ48" s="378"/>
      <c r="AM48" s="505"/>
      <c r="AN48" s="505"/>
      <c r="AO48" s="505"/>
      <c r="AP48" s="505"/>
      <c r="AR48" s="370"/>
      <c r="AT48" s="370"/>
      <c r="AV48" s="506"/>
      <c r="AW48" s="370"/>
      <c r="AX48" s="370"/>
      <c r="AY48" s="370"/>
      <c r="AZ48" s="370"/>
      <c r="BA48" s="507"/>
      <c r="BB48" s="505"/>
      <c r="BC48" s="505"/>
      <c r="BD48" s="370"/>
      <c r="BE48" s="370"/>
      <c r="BF48" s="370"/>
      <c r="BG48" s="370"/>
      <c r="BH48" s="370"/>
      <c r="BI48" s="370"/>
      <c r="BJ48" s="370"/>
      <c r="BK48" s="370"/>
      <c r="BL48" s="370"/>
      <c r="BM48" s="370"/>
      <c r="BN48" s="370"/>
      <c r="BO48" s="370"/>
      <c r="BP48" s="370"/>
      <c r="BQ48" s="370"/>
      <c r="BR48" s="370"/>
      <c r="BS48" s="370"/>
      <c r="BV48" s="508"/>
      <c r="BW48" s="369"/>
      <c r="BX48" s="370"/>
      <c r="BY48" s="370"/>
      <c r="BZ48" s="370"/>
      <c r="CA48" s="370"/>
      <c r="CB48" s="370"/>
      <c r="CC48" s="505"/>
      <c r="CD48" s="505"/>
      <c r="CE48" s="505"/>
      <c r="CF48" s="505"/>
      <c r="CG48" s="505"/>
      <c r="CH48" s="505"/>
      <c r="CI48" s="505"/>
      <c r="CJ48" s="505"/>
      <c r="CK48" s="505"/>
      <c r="CL48" s="505"/>
      <c r="CM48" s="505"/>
    </row>
    <row r="49" customFormat="false" ht="12.75" hidden="false" customHeight="false" outlineLevel="0" collapsed="false">
      <c r="A49" s="500"/>
      <c r="B49" s="500"/>
      <c r="K49" s="363"/>
      <c r="L49" s="501"/>
      <c r="N49" s="502"/>
      <c r="O49" s="502"/>
      <c r="P49" s="371"/>
      <c r="Q49" s="501"/>
      <c r="R49" s="501"/>
      <c r="U49" s="501"/>
      <c r="V49" s="503"/>
      <c r="W49" s="503"/>
      <c r="X49" s="504"/>
      <c r="Y49" s="504"/>
      <c r="Z49" s="504"/>
      <c r="AA49" s="504"/>
      <c r="AB49" s="504"/>
      <c r="AC49" s="504"/>
      <c r="AF49" s="378"/>
      <c r="AG49" s="378"/>
      <c r="AH49" s="378"/>
      <c r="AI49" s="378"/>
      <c r="AJ49" s="378"/>
      <c r="AM49" s="505"/>
      <c r="AN49" s="505"/>
      <c r="AO49" s="505"/>
      <c r="AP49" s="505"/>
      <c r="AR49" s="370"/>
      <c r="AT49" s="370"/>
      <c r="AV49" s="506"/>
      <c r="AW49" s="370"/>
      <c r="AX49" s="370"/>
      <c r="AY49" s="370"/>
      <c r="AZ49" s="370"/>
      <c r="BA49" s="507"/>
      <c r="BB49" s="505"/>
      <c r="BC49" s="505"/>
      <c r="BD49" s="370"/>
      <c r="BE49" s="370"/>
      <c r="BF49" s="370"/>
      <c r="BG49" s="370"/>
      <c r="BH49" s="370"/>
      <c r="BI49" s="370"/>
      <c r="BJ49" s="370"/>
      <c r="BK49" s="370"/>
      <c r="BL49" s="370"/>
      <c r="BM49" s="370"/>
      <c r="BN49" s="370"/>
      <c r="BO49" s="370"/>
      <c r="BP49" s="370"/>
      <c r="BQ49" s="370"/>
      <c r="BR49" s="370"/>
      <c r="BS49" s="370"/>
      <c r="BV49" s="508"/>
      <c r="BW49" s="369"/>
      <c r="BX49" s="370"/>
      <c r="BY49" s="370"/>
      <c r="BZ49" s="370"/>
      <c r="CA49" s="370"/>
      <c r="CB49" s="370"/>
      <c r="CC49" s="505"/>
      <c r="CD49" s="505"/>
      <c r="CE49" s="505"/>
      <c r="CF49" s="505"/>
      <c r="CG49" s="505"/>
      <c r="CH49" s="505"/>
      <c r="CI49" s="505"/>
      <c r="CJ49" s="505"/>
      <c r="CK49" s="505"/>
      <c r="CL49" s="505"/>
      <c r="CM49" s="505"/>
    </row>
    <row r="50" customFormat="false" ht="12.75" hidden="false" customHeight="false" outlineLevel="0" collapsed="false">
      <c r="A50" s="500"/>
      <c r="B50" s="500"/>
      <c r="K50" s="363"/>
      <c r="L50" s="501"/>
      <c r="N50" s="502"/>
      <c r="O50" s="502"/>
      <c r="P50" s="371"/>
      <c r="Q50" s="501"/>
      <c r="R50" s="501"/>
      <c r="U50" s="501"/>
      <c r="V50" s="503"/>
      <c r="W50" s="503"/>
      <c r="X50" s="504"/>
      <c r="Y50" s="504"/>
      <c r="Z50" s="504"/>
      <c r="AA50" s="504"/>
      <c r="AB50" s="504"/>
      <c r="AC50" s="504"/>
      <c r="AF50" s="378"/>
      <c r="AG50" s="378"/>
      <c r="AH50" s="378"/>
      <c r="AI50" s="378"/>
      <c r="AJ50" s="378"/>
      <c r="AM50" s="505"/>
      <c r="AN50" s="505"/>
      <c r="AO50" s="505"/>
      <c r="AP50" s="505"/>
      <c r="AR50" s="370"/>
      <c r="AT50" s="370"/>
      <c r="AV50" s="506"/>
      <c r="AW50" s="370"/>
      <c r="AX50" s="370"/>
      <c r="AY50" s="370"/>
      <c r="AZ50" s="370"/>
      <c r="BA50" s="507"/>
      <c r="BB50" s="505"/>
      <c r="BC50" s="505"/>
      <c r="BD50" s="370"/>
      <c r="BE50" s="370"/>
      <c r="BF50" s="370"/>
      <c r="BG50" s="370"/>
      <c r="BH50" s="370"/>
      <c r="BI50" s="370"/>
      <c r="BJ50" s="370"/>
      <c r="BK50" s="370"/>
      <c r="BL50" s="370"/>
      <c r="BM50" s="370"/>
      <c r="BN50" s="370"/>
      <c r="BO50" s="370"/>
      <c r="BP50" s="370"/>
      <c r="BQ50" s="370"/>
      <c r="BR50" s="370"/>
      <c r="BS50" s="370"/>
      <c r="BV50" s="508"/>
      <c r="BW50" s="369"/>
      <c r="BX50" s="370"/>
      <c r="BY50" s="370"/>
      <c r="BZ50" s="370"/>
      <c r="CA50" s="370"/>
      <c r="CB50" s="370"/>
      <c r="CC50" s="505"/>
      <c r="CD50" s="505"/>
      <c r="CE50" s="505"/>
      <c r="CF50" s="505"/>
      <c r="CG50" s="505"/>
      <c r="CH50" s="505"/>
      <c r="CI50" s="505"/>
      <c r="CJ50" s="505"/>
      <c r="CK50" s="505"/>
      <c r="CL50" s="505"/>
      <c r="CM50" s="505"/>
    </row>
    <row r="51" customFormat="false" ht="12.75" hidden="false" customHeight="false" outlineLevel="0" collapsed="false">
      <c r="A51" s="500"/>
      <c r="B51" s="500"/>
      <c r="K51" s="363"/>
      <c r="L51" s="501"/>
      <c r="N51" s="502"/>
      <c r="O51" s="502"/>
      <c r="P51" s="371"/>
      <c r="Q51" s="501"/>
      <c r="R51" s="501"/>
      <c r="U51" s="501"/>
      <c r="V51" s="503"/>
      <c r="W51" s="503"/>
      <c r="X51" s="504"/>
      <c r="Y51" s="504"/>
      <c r="Z51" s="504"/>
      <c r="AA51" s="504"/>
      <c r="AB51" s="504"/>
      <c r="AC51" s="504"/>
      <c r="AF51" s="378"/>
      <c r="AG51" s="378"/>
      <c r="AH51" s="378"/>
      <c r="AI51" s="378"/>
      <c r="AJ51" s="378"/>
      <c r="AM51" s="505"/>
      <c r="AN51" s="505"/>
      <c r="AO51" s="505"/>
      <c r="AP51" s="505"/>
      <c r="AR51" s="370"/>
      <c r="AT51" s="370"/>
      <c r="AV51" s="506"/>
      <c r="AW51" s="370"/>
      <c r="AX51" s="370"/>
      <c r="AY51" s="370"/>
      <c r="AZ51" s="370"/>
      <c r="BA51" s="507"/>
      <c r="BB51" s="505"/>
      <c r="BC51" s="505"/>
      <c r="BD51" s="370"/>
      <c r="BE51" s="370"/>
      <c r="BF51" s="370"/>
      <c r="BG51" s="370"/>
      <c r="BH51" s="370"/>
      <c r="BI51" s="370"/>
      <c r="BJ51" s="370"/>
      <c r="BK51" s="370"/>
      <c r="BL51" s="370"/>
      <c r="BM51" s="370"/>
      <c r="BN51" s="370"/>
      <c r="BO51" s="370"/>
      <c r="BP51" s="370"/>
      <c r="BQ51" s="370"/>
      <c r="BR51" s="370"/>
      <c r="BS51" s="370"/>
      <c r="BV51" s="508"/>
      <c r="BW51" s="369"/>
      <c r="BX51" s="370"/>
      <c r="BY51" s="370"/>
      <c r="BZ51" s="370"/>
      <c r="CA51" s="370"/>
      <c r="CB51" s="370"/>
      <c r="CC51" s="505"/>
      <c r="CD51" s="505"/>
      <c r="CE51" s="505"/>
      <c r="CF51" s="505"/>
      <c r="CG51" s="505"/>
      <c r="CH51" s="505"/>
      <c r="CI51" s="505"/>
      <c r="CJ51" s="505"/>
      <c r="CK51" s="505"/>
      <c r="CL51" s="505"/>
      <c r="CM51" s="505"/>
    </row>
    <row r="52" customFormat="false" ht="12.75" hidden="false" customHeight="false" outlineLevel="0" collapsed="false">
      <c r="A52" s="500"/>
      <c r="B52" s="500"/>
      <c r="K52" s="363"/>
      <c r="L52" s="501"/>
      <c r="N52" s="502"/>
      <c r="O52" s="502"/>
      <c r="P52" s="371"/>
      <c r="Q52" s="501"/>
      <c r="R52" s="501"/>
      <c r="U52" s="501"/>
      <c r="V52" s="503"/>
      <c r="W52" s="503"/>
      <c r="X52" s="504"/>
      <c r="Y52" s="504"/>
      <c r="Z52" s="504"/>
      <c r="AA52" s="504"/>
      <c r="AB52" s="504"/>
      <c r="AC52" s="504"/>
      <c r="AF52" s="378"/>
      <c r="AG52" s="378"/>
      <c r="AH52" s="378"/>
      <c r="AI52" s="378"/>
      <c r="AJ52" s="378"/>
      <c r="AM52" s="505"/>
      <c r="AN52" s="505"/>
      <c r="AO52" s="505"/>
      <c r="AP52" s="505"/>
      <c r="AR52" s="370"/>
      <c r="AT52" s="370"/>
      <c r="AV52" s="506"/>
      <c r="AW52" s="370"/>
      <c r="AX52" s="370"/>
      <c r="AY52" s="370"/>
      <c r="AZ52" s="370"/>
      <c r="BA52" s="507"/>
      <c r="BB52" s="505"/>
      <c r="BC52" s="505"/>
      <c r="BD52" s="370"/>
      <c r="BE52" s="370"/>
      <c r="BF52" s="370"/>
      <c r="BG52" s="370"/>
      <c r="BH52" s="370"/>
      <c r="BI52" s="370"/>
      <c r="BJ52" s="370"/>
      <c r="BK52" s="370"/>
      <c r="BL52" s="370"/>
      <c r="BM52" s="370"/>
      <c r="BN52" s="370"/>
      <c r="BO52" s="370"/>
      <c r="BP52" s="370"/>
      <c r="BQ52" s="370"/>
      <c r="BR52" s="370"/>
      <c r="BS52" s="370"/>
      <c r="BV52" s="508"/>
      <c r="BW52" s="369"/>
      <c r="BX52" s="370"/>
      <c r="BY52" s="370"/>
      <c r="BZ52" s="370"/>
      <c r="CA52" s="370"/>
      <c r="CB52" s="370"/>
      <c r="CC52" s="505"/>
      <c r="CD52" s="505"/>
      <c r="CE52" s="505"/>
      <c r="CF52" s="505"/>
      <c r="CG52" s="505"/>
      <c r="CH52" s="505"/>
      <c r="CI52" s="505"/>
      <c r="CJ52" s="505"/>
      <c r="CK52" s="505"/>
      <c r="CL52" s="505"/>
      <c r="CM52" s="505"/>
    </row>
    <row r="53" customFormat="false" ht="12.75" hidden="false" customHeight="false" outlineLevel="0" collapsed="false">
      <c r="A53" s="500"/>
      <c r="B53" s="500"/>
      <c r="K53" s="363"/>
      <c r="L53" s="501"/>
      <c r="N53" s="502"/>
      <c r="O53" s="502"/>
      <c r="P53" s="371"/>
      <c r="Q53" s="501"/>
      <c r="R53" s="501"/>
      <c r="U53" s="501"/>
      <c r="V53" s="503"/>
      <c r="W53" s="503"/>
      <c r="X53" s="504"/>
      <c r="Y53" s="504"/>
      <c r="Z53" s="504"/>
      <c r="AA53" s="504"/>
      <c r="AB53" s="504"/>
      <c r="AC53" s="504"/>
      <c r="AF53" s="378"/>
      <c r="AG53" s="378"/>
      <c r="AH53" s="378"/>
      <c r="AI53" s="378"/>
      <c r="AJ53" s="378"/>
      <c r="AM53" s="505"/>
      <c r="AN53" s="505"/>
      <c r="AO53" s="505"/>
      <c r="AP53" s="505"/>
      <c r="AR53" s="370"/>
      <c r="AT53" s="370"/>
      <c r="AV53" s="506"/>
      <c r="AW53" s="370"/>
      <c r="AX53" s="370"/>
      <c r="AY53" s="370"/>
      <c r="AZ53" s="370"/>
      <c r="BA53" s="507"/>
      <c r="BB53" s="505"/>
      <c r="BC53" s="505"/>
      <c r="BD53" s="370"/>
      <c r="BE53" s="370"/>
      <c r="BF53" s="370"/>
      <c r="BG53" s="370"/>
      <c r="BH53" s="370"/>
      <c r="BI53" s="370"/>
      <c r="BJ53" s="370"/>
      <c r="BK53" s="370"/>
      <c r="BL53" s="370"/>
      <c r="BM53" s="370"/>
      <c r="BN53" s="370"/>
      <c r="BO53" s="370"/>
      <c r="BP53" s="370"/>
      <c r="BQ53" s="370"/>
      <c r="BR53" s="370"/>
      <c r="BS53" s="370"/>
      <c r="BV53" s="508"/>
      <c r="BW53" s="369"/>
      <c r="BX53" s="370"/>
      <c r="BY53" s="370"/>
      <c r="BZ53" s="370"/>
      <c r="CA53" s="370"/>
      <c r="CB53" s="370"/>
      <c r="CC53" s="505"/>
      <c r="CD53" s="505"/>
      <c r="CE53" s="505"/>
      <c r="CF53" s="505"/>
      <c r="CG53" s="505"/>
      <c r="CH53" s="505"/>
      <c r="CI53" s="505"/>
      <c r="CJ53" s="505"/>
      <c r="CK53" s="505"/>
      <c r="CL53" s="505"/>
      <c r="CM53" s="505"/>
    </row>
    <row r="54" customFormat="false" ht="12.75" hidden="false" customHeight="false" outlineLevel="0" collapsed="false">
      <c r="A54" s="500"/>
      <c r="B54" s="500"/>
      <c r="K54" s="363"/>
      <c r="L54" s="501"/>
      <c r="N54" s="502"/>
      <c r="O54" s="502"/>
      <c r="P54" s="371"/>
      <c r="Q54" s="501"/>
      <c r="R54" s="501"/>
      <c r="U54" s="501"/>
      <c r="V54" s="503"/>
      <c r="W54" s="503"/>
      <c r="X54" s="504"/>
      <c r="Y54" s="504"/>
      <c r="Z54" s="504"/>
      <c r="AA54" s="504"/>
      <c r="AB54" s="504"/>
      <c r="AC54" s="504"/>
      <c r="AF54" s="378"/>
      <c r="AG54" s="378"/>
      <c r="AH54" s="378"/>
      <c r="AI54" s="378"/>
      <c r="AJ54" s="378"/>
      <c r="AM54" s="505"/>
      <c r="AN54" s="505"/>
      <c r="AO54" s="505"/>
      <c r="AP54" s="505"/>
      <c r="AR54" s="370"/>
      <c r="AT54" s="370"/>
      <c r="AV54" s="506"/>
      <c r="AW54" s="370"/>
      <c r="AX54" s="370"/>
      <c r="AY54" s="370"/>
      <c r="AZ54" s="370"/>
      <c r="BA54" s="507"/>
      <c r="BB54" s="505"/>
      <c r="BC54" s="505"/>
      <c r="BD54" s="370"/>
      <c r="BE54" s="370"/>
      <c r="BF54" s="370"/>
      <c r="BG54" s="370"/>
      <c r="BH54" s="370"/>
      <c r="BI54" s="370"/>
      <c r="BJ54" s="370"/>
      <c r="BK54" s="370"/>
      <c r="BL54" s="370"/>
      <c r="BM54" s="370"/>
      <c r="BN54" s="370"/>
      <c r="BO54" s="370"/>
      <c r="BP54" s="370"/>
      <c r="BQ54" s="370"/>
      <c r="BR54" s="370"/>
      <c r="BS54" s="370"/>
      <c r="BV54" s="508"/>
      <c r="BW54" s="369"/>
      <c r="BX54" s="370"/>
      <c r="BY54" s="370"/>
      <c r="BZ54" s="370"/>
      <c r="CA54" s="370"/>
      <c r="CB54" s="370"/>
      <c r="CC54" s="505"/>
      <c r="CD54" s="505"/>
      <c r="CE54" s="505"/>
      <c r="CF54" s="505"/>
      <c r="CG54" s="505"/>
      <c r="CH54" s="505"/>
      <c r="CI54" s="505"/>
      <c r="CJ54" s="505"/>
      <c r="CK54" s="505"/>
      <c r="CL54" s="505"/>
      <c r="CM54" s="505"/>
    </row>
    <row r="55" customFormat="false" ht="12.75" hidden="false" customHeight="false" outlineLevel="0" collapsed="false">
      <c r="A55" s="500"/>
      <c r="B55" s="500"/>
      <c r="K55" s="363"/>
      <c r="L55" s="501"/>
      <c r="N55" s="502"/>
      <c r="O55" s="502"/>
      <c r="P55" s="371"/>
      <c r="Q55" s="501"/>
      <c r="R55" s="501"/>
      <c r="U55" s="501"/>
      <c r="V55" s="503"/>
      <c r="W55" s="503"/>
      <c r="X55" s="504"/>
      <c r="Y55" s="504"/>
      <c r="Z55" s="504"/>
      <c r="AA55" s="504"/>
      <c r="AB55" s="504"/>
      <c r="AC55" s="504"/>
      <c r="AF55" s="378"/>
      <c r="AG55" s="378"/>
      <c r="AH55" s="378"/>
      <c r="AI55" s="378"/>
      <c r="AJ55" s="378"/>
      <c r="AM55" s="505"/>
      <c r="AN55" s="505"/>
      <c r="AO55" s="505"/>
      <c r="AP55" s="505"/>
      <c r="AR55" s="370"/>
      <c r="AT55" s="370"/>
      <c r="AV55" s="506"/>
      <c r="AW55" s="370"/>
      <c r="AX55" s="370"/>
      <c r="AY55" s="370"/>
      <c r="AZ55" s="370"/>
      <c r="BA55" s="507"/>
      <c r="BB55" s="505"/>
      <c r="BC55" s="505"/>
      <c r="BD55" s="370"/>
      <c r="BE55" s="370"/>
      <c r="BF55" s="370"/>
      <c r="BG55" s="370"/>
      <c r="BH55" s="370"/>
      <c r="BI55" s="370"/>
      <c r="BJ55" s="370"/>
      <c r="BK55" s="370"/>
      <c r="BL55" s="370"/>
      <c r="BM55" s="370"/>
      <c r="BN55" s="370"/>
      <c r="BO55" s="370"/>
      <c r="BP55" s="370"/>
      <c r="BQ55" s="370"/>
      <c r="BR55" s="370"/>
      <c r="BS55" s="370"/>
      <c r="BV55" s="508"/>
      <c r="BW55" s="369"/>
      <c r="BX55" s="370"/>
      <c r="BY55" s="370"/>
      <c r="BZ55" s="370"/>
      <c r="CA55" s="370"/>
      <c r="CB55" s="370"/>
      <c r="CC55" s="505"/>
      <c r="CD55" s="505"/>
      <c r="CE55" s="505"/>
      <c r="CF55" s="505"/>
      <c r="CG55" s="505"/>
      <c r="CH55" s="505"/>
      <c r="CI55" s="505"/>
      <c r="CJ55" s="505"/>
      <c r="CK55" s="505"/>
      <c r="CL55" s="505"/>
      <c r="CM55" s="505"/>
    </row>
    <row r="56" customFormat="false" ht="12.75" hidden="false" customHeight="false" outlineLevel="0" collapsed="false">
      <c r="A56" s="500"/>
      <c r="B56" s="500"/>
      <c r="K56" s="363"/>
      <c r="L56" s="501"/>
      <c r="N56" s="502"/>
      <c r="O56" s="502"/>
      <c r="P56" s="371"/>
      <c r="Q56" s="501"/>
      <c r="R56" s="501"/>
      <c r="U56" s="501"/>
      <c r="V56" s="503"/>
      <c r="W56" s="503"/>
      <c r="X56" s="504"/>
      <c r="Y56" s="504"/>
      <c r="Z56" s="504"/>
      <c r="AA56" s="504"/>
      <c r="AB56" s="504"/>
      <c r="AC56" s="504"/>
      <c r="AF56" s="378"/>
      <c r="AG56" s="378"/>
      <c r="AH56" s="378"/>
      <c r="AI56" s="378"/>
      <c r="AJ56" s="378"/>
      <c r="AM56" s="505"/>
      <c r="AN56" s="505"/>
      <c r="AO56" s="505"/>
      <c r="AP56" s="505"/>
      <c r="AR56" s="370"/>
      <c r="AT56" s="370"/>
      <c r="AV56" s="506"/>
      <c r="AW56" s="370"/>
      <c r="AX56" s="370"/>
      <c r="AY56" s="370"/>
      <c r="AZ56" s="370"/>
      <c r="BA56" s="507"/>
      <c r="BB56" s="505"/>
      <c r="BC56" s="505"/>
      <c r="BD56" s="370"/>
      <c r="BE56" s="370"/>
      <c r="BF56" s="370"/>
      <c r="BG56" s="370"/>
      <c r="BH56" s="370"/>
      <c r="BI56" s="370"/>
      <c r="BJ56" s="370"/>
      <c r="BK56" s="370"/>
      <c r="BL56" s="370"/>
      <c r="BM56" s="370"/>
      <c r="BN56" s="370"/>
      <c r="BO56" s="370"/>
      <c r="BP56" s="370"/>
      <c r="BQ56" s="370"/>
      <c r="BR56" s="370"/>
      <c r="BS56" s="370"/>
      <c r="BV56" s="508"/>
      <c r="BW56" s="369"/>
      <c r="BX56" s="370"/>
      <c r="BY56" s="370"/>
      <c r="BZ56" s="370"/>
      <c r="CA56" s="370"/>
      <c r="CB56" s="370"/>
      <c r="CC56" s="505"/>
      <c r="CD56" s="505"/>
      <c r="CE56" s="505"/>
      <c r="CF56" s="505"/>
      <c r="CG56" s="505"/>
      <c r="CH56" s="505"/>
      <c r="CI56" s="505"/>
      <c r="CJ56" s="505"/>
      <c r="CK56" s="505"/>
      <c r="CL56" s="505"/>
      <c r="CM56" s="505"/>
    </row>
    <row r="57" customFormat="false" ht="12.75" hidden="false" customHeight="false" outlineLevel="0" collapsed="false">
      <c r="A57" s="500"/>
      <c r="B57" s="500"/>
      <c r="K57" s="363"/>
      <c r="L57" s="501"/>
      <c r="N57" s="502"/>
      <c r="O57" s="502"/>
      <c r="P57" s="371"/>
      <c r="Q57" s="501"/>
      <c r="R57" s="501"/>
      <c r="U57" s="501"/>
      <c r="V57" s="503"/>
      <c r="W57" s="503"/>
      <c r="X57" s="504"/>
      <c r="Y57" s="504"/>
      <c r="Z57" s="504"/>
      <c r="AA57" s="504"/>
      <c r="AB57" s="504"/>
      <c r="AC57" s="504"/>
      <c r="AF57" s="378"/>
      <c r="AG57" s="378"/>
      <c r="AH57" s="378"/>
      <c r="AI57" s="378"/>
      <c r="AJ57" s="378"/>
      <c r="AM57" s="505"/>
      <c r="AN57" s="505"/>
      <c r="AO57" s="505"/>
      <c r="AP57" s="505"/>
      <c r="AR57" s="370"/>
      <c r="AT57" s="370"/>
      <c r="AV57" s="506"/>
      <c r="AW57" s="370"/>
      <c r="AX57" s="370"/>
      <c r="AY57" s="370"/>
      <c r="AZ57" s="370"/>
      <c r="BA57" s="507"/>
      <c r="BB57" s="505"/>
      <c r="BC57" s="505"/>
      <c r="BD57" s="370"/>
      <c r="BE57" s="370"/>
      <c r="BF57" s="370"/>
      <c r="BG57" s="370"/>
      <c r="BH57" s="370"/>
      <c r="BI57" s="370"/>
      <c r="BJ57" s="370"/>
      <c r="BK57" s="370"/>
      <c r="BL57" s="370"/>
      <c r="BM57" s="370"/>
      <c r="BN57" s="370"/>
      <c r="BO57" s="370"/>
      <c r="BP57" s="370"/>
      <c r="BQ57" s="370"/>
      <c r="BR57" s="370"/>
      <c r="BS57" s="370"/>
      <c r="BV57" s="508"/>
      <c r="BW57" s="369"/>
      <c r="BX57" s="370"/>
      <c r="BY57" s="370"/>
      <c r="BZ57" s="370"/>
      <c r="CA57" s="370"/>
      <c r="CB57" s="370"/>
      <c r="CC57" s="505"/>
      <c r="CD57" s="505"/>
      <c r="CE57" s="505"/>
      <c r="CF57" s="505"/>
      <c r="CG57" s="505"/>
      <c r="CH57" s="505"/>
      <c r="CI57" s="505"/>
      <c r="CJ57" s="505"/>
      <c r="CK57" s="505"/>
      <c r="CL57" s="505"/>
      <c r="CM57" s="505"/>
    </row>
    <row r="58" customFormat="false" ht="12.75" hidden="false" customHeight="false" outlineLevel="0" collapsed="false">
      <c r="A58" s="500"/>
      <c r="B58" s="500"/>
      <c r="K58" s="363"/>
      <c r="L58" s="501"/>
      <c r="N58" s="502"/>
      <c r="O58" s="502"/>
      <c r="P58" s="371"/>
      <c r="Q58" s="501"/>
      <c r="R58" s="501"/>
      <c r="U58" s="501"/>
      <c r="V58" s="503"/>
      <c r="W58" s="503"/>
      <c r="X58" s="504"/>
      <c r="Y58" s="504"/>
      <c r="Z58" s="504"/>
      <c r="AA58" s="504"/>
      <c r="AB58" s="504"/>
      <c r="AC58" s="504"/>
      <c r="AF58" s="378"/>
      <c r="AG58" s="378"/>
      <c r="AH58" s="378"/>
      <c r="AI58" s="378"/>
      <c r="AJ58" s="378"/>
      <c r="AM58" s="505"/>
      <c r="AN58" s="505"/>
      <c r="AO58" s="505"/>
      <c r="AP58" s="505"/>
      <c r="AR58" s="370"/>
      <c r="AT58" s="370"/>
      <c r="AV58" s="506"/>
      <c r="AW58" s="370"/>
      <c r="AX58" s="370"/>
      <c r="AY58" s="370"/>
      <c r="AZ58" s="370"/>
      <c r="BA58" s="507"/>
      <c r="BB58" s="505"/>
      <c r="BC58" s="505"/>
      <c r="BD58" s="370"/>
      <c r="BE58" s="370"/>
      <c r="BF58" s="370"/>
      <c r="BG58" s="370"/>
      <c r="BH58" s="370"/>
      <c r="BI58" s="370"/>
      <c r="BJ58" s="370"/>
      <c r="BK58" s="370"/>
      <c r="BL58" s="370"/>
      <c r="BM58" s="370"/>
      <c r="BN58" s="370"/>
      <c r="BO58" s="370"/>
      <c r="BP58" s="370"/>
      <c r="BQ58" s="370"/>
      <c r="BR58" s="370"/>
      <c r="BS58" s="370"/>
      <c r="BV58" s="508"/>
      <c r="BW58" s="369"/>
      <c r="BX58" s="370"/>
      <c r="BY58" s="370"/>
      <c r="BZ58" s="370"/>
      <c r="CA58" s="370"/>
      <c r="CB58" s="370"/>
      <c r="CC58" s="505"/>
      <c r="CD58" s="505"/>
      <c r="CE58" s="505"/>
      <c r="CF58" s="505"/>
      <c r="CG58" s="505"/>
      <c r="CH58" s="505"/>
      <c r="CI58" s="505"/>
      <c r="CJ58" s="505"/>
      <c r="CK58" s="505"/>
      <c r="CL58" s="505"/>
      <c r="CM58" s="505"/>
    </row>
    <row r="59" customFormat="false" ht="12.75" hidden="false" customHeight="false" outlineLevel="0" collapsed="false">
      <c r="A59" s="500"/>
      <c r="B59" s="500"/>
      <c r="K59" s="363"/>
      <c r="L59" s="501"/>
      <c r="N59" s="502"/>
      <c r="O59" s="502"/>
      <c r="P59" s="371"/>
      <c r="Q59" s="501"/>
      <c r="R59" s="501"/>
      <c r="U59" s="501"/>
      <c r="V59" s="503"/>
      <c r="W59" s="503"/>
      <c r="X59" s="504"/>
      <c r="Y59" s="504"/>
      <c r="Z59" s="504"/>
      <c r="AA59" s="504"/>
      <c r="AB59" s="504"/>
      <c r="AC59" s="504"/>
      <c r="AF59" s="378"/>
      <c r="AG59" s="378"/>
      <c r="AH59" s="378"/>
      <c r="AI59" s="378"/>
      <c r="AJ59" s="378"/>
      <c r="AM59" s="505"/>
      <c r="AN59" s="505"/>
      <c r="AO59" s="505"/>
      <c r="AP59" s="505"/>
      <c r="AR59" s="370"/>
      <c r="AT59" s="370"/>
      <c r="AV59" s="506"/>
      <c r="AW59" s="370"/>
      <c r="AX59" s="370"/>
      <c r="AY59" s="370"/>
      <c r="AZ59" s="370"/>
      <c r="BA59" s="507"/>
      <c r="BB59" s="505"/>
      <c r="BC59" s="505"/>
      <c r="BD59" s="370"/>
      <c r="BE59" s="370"/>
      <c r="BF59" s="370"/>
      <c r="BG59" s="370"/>
      <c r="BH59" s="370"/>
      <c r="BI59" s="370"/>
      <c r="BJ59" s="370"/>
      <c r="BK59" s="370"/>
      <c r="BL59" s="370"/>
      <c r="BM59" s="370"/>
      <c r="BN59" s="370"/>
      <c r="BO59" s="370"/>
      <c r="BP59" s="370"/>
      <c r="BQ59" s="370"/>
      <c r="BR59" s="370"/>
      <c r="BS59" s="370"/>
      <c r="BV59" s="508"/>
      <c r="BW59" s="369"/>
      <c r="BX59" s="370"/>
      <c r="BY59" s="370"/>
      <c r="BZ59" s="370"/>
      <c r="CA59" s="370"/>
      <c r="CB59" s="370"/>
      <c r="CC59" s="505"/>
      <c r="CD59" s="505"/>
      <c r="CE59" s="505"/>
      <c r="CF59" s="505"/>
      <c r="CG59" s="505"/>
      <c r="CH59" s="505"/>
      <c r="CI59" s="505"/>
      <c r="CJ59" s="505"/>
      <c r="CK59" s="505"/>
      <c r="CL59" s="505"/>
      <c r="CM59" s="505"/>
    </row>
    <row r="60" customFormat="false" ht="12.75" hidden="false" customHeight="false" outlineLevel="0" collapsed="false">
      <c r="A60" s="500"/>
      <c r="B60" s="500"/>
      <c r="K60" s="363"/>
      <c r="L60" s="501"/>
      <c r="N60" s="502"/>
      <c r="O60" s="502"/>
      <c r="P60" s="371"/>
      <c r="Q60" s="501"/>
      <c r="R60" s="501"/>
      <c r="U60" s="501"/>
      <c r="V60" s="503"/>
      <c r="W60" s="503"/>
      <c r="X60" s="504"/>
      <c r="Y60" s="504"/>
      <c r="Z60" s="504"/>
      <c r="AA60" s="504"/>
      <c r="AB60" s="504"/>
      <c r="AC60" s="504"/>
      <c r="AF60" s="378"/>
      <c r="AG60" s="378"/>
      <c r="AH60" s="378"/>
      <c r="AI60" s="378"/>
      <c r="AJ60" s="378"/>
      <c r="AM60" s="505"/>
      <c r="AN60" s="505"/>
      <c r="AO60" s="505"/>
      <c r="AP60" s="505"/>
      <c r="AR60" s="370"/>
      <c r="AT60" s="370"/>
      <c r="AV60" s="506"/>
      <c r="AW60" s="370"/>
      <c r="AX60" s="370"/>
      <c r="AY60" s="370"/>
      <c r="AZ60" s="370"/>
      <c r="BA60" s="507"/>
      <c r="BB60" s="505"/>
      <c r="BC60" s="505"/>
      <c r="BD60" s="370"/>
      <c r="BE60" s="370"/>
      <c r="BF60" s="370"/>
      <c r="BG60" s="370"/>
      <c r="BH60" s="370"/>
      <c r="BI60" s="370"/>
      <c r="BJ60" s="370"/>
      <c r="BK60" s="370"/>
      <c r="BL60" s="370"/>
      <c r="BM60" s="370"/>
      <c r="BN60" s="370"/>
      <c r="BO60" s="370"/>
      <c r="BP60" s="370"/>
      <c r="BQ60" s="370"/>
      <c r="BR60" s="370"/>
      <c r="BS60" s="370"/>
      <c r="BV60" s="508"/>
      <c r="BW60" s="369"/>
      <c r="BX60" s="370"/>
      <c r="BY60" s="370"/>
      <c r="BZ60" s="370"/>
      <c r="CA60" s="370"/>
      <c r="CB60" s="370"/>
      <c r="CC60" s="505"/>
      <c r="CD60" s="505"/>
      <c r="CE60" s="505"/>
      <c r="CF60" s="505"/>
      <c r="CG60" s="505"/>
      <c r="CH60" s="505"/>
      <c r="CI60" s="505"/>
      <c r="CJ60" s="505"/>
      <c r="CK60" s="505"/>
      <c r="CL60" s="505"/>
      <c r="CM60" s="505"/>
    </row>
    <row r="61" customFormat="false" ht="12.75" hidden="false" customHeight="false" outlineLevel="0" collapsed="false">
      <c r="A61" s="500"/>
      <c r="B61" s="500"/>
      <c r="K61" s="363"/>
      <c r="L61" s="501"/>
      <c r="N61" s="502"/>
      <c r="O61" s="502"/>
      <c r="P61" s="371"/>
      <c r="Q61" s="501"/>
      <c r="R61" s="501"/>
      <c r="U61" s="501"/>
      <c r="V61" s="503"/>
      <c r="W61" s="503"/>
      <c r="X61" s="504"/>
      <c r="Y61" s="504"/>
      <c r="Z61" s="504"/>
      <c r="AA61" s="504"/>
      <c r="AB61" s="504"/>
      <c r="AC61" s="504"/>
      <c r="AF61" s="378"/>
      <c r="AG61" s="378"/>
      <c r="AH61" s="378"/>
      <c r="AI61" s="378"/>
      <c r="AJ61" s="378"/>
      <c r="AM61" s="505"/>
      <c r="AN61" s="505"/>
      <c r="AO61" s="505"/>
      <c r="AP61" s="505"/>
      <c r="AR61" s="370"/>
      <c r="AT61" s="370"/>
      <c r="AV61" s="506"/>
      <c r="AW61" s="370"/>
      <c r="AX61" s="370"/>
      <c r="AY61" s="370"/>
      <c r="AZ61" s="370"/>
      <c r="BA61" s="507"/>
      <c r="BB61" s="505"/>
      <c r="BC61" s="505"/>
      <c r="BD61" s="370"/>
      <c r="BE61" s="370"/>
      <c r="BF61" s="370"/>
      <c r="BG61" s="370"/>
      <c r="BH61" s="370"/>
      <c r="BI61" s="370"/>
      <c r="BJ61" s="370"/>
      <c r="BK61" s="370"/>
      <c r="BL61" s="370"/>
      <c r="BM61" s="370"/>
      <c r="BN61" s="370"/>
      <c r="BO61" s="370"/>
      <c r="BP61" s="370"/>
      <c r="BQ61" s="370"/>
      <c r="BR61" s="370"/>
      <c r="BS61" s="370"/>
      <c r="BV61" s="508"/>
      <c r="BW61" s="369"/>
      <c r="BX61" s="370"/>
      <c r="BY61" s="370"/>
      <c r="BZ61" s="370"/>
      <c r="CA61" s="370"/>
      <c r="CB61" s="370"/>
      <c r="CC61" s="505"/>
      <c r="CD61" s="505"/>
      <c r="CE61" s="505"/>
      <c r="CF61" s="505"/>
      <c r="CG61" s="505"/>
      <c r="CH61" s="505"/>
      <c r="CI61" s="505"/>
      <c r="CJ61" s="505"/>
      <c r="CK61" s="505"/>
      <c r="CL61" s="505"/>
      <c r="CM61" s="505"/>
    </row>
    <row r="62" customFormat="false" ht="12.75" hidden="false" customHeight="false" outlineLevel="0" collapsed="false">
      <c r="A62" s="500"/>
      <c r="B62" s="500"/>
      <c r="K62" s="363"/>
      <c r="L62" s="501"/>
      <c r="N62" s="502"/>
      <c r="O62" s="502"/>
      <c r="P62" s="371"/>
      <c r="Q62" s="501"/>
      <c r="R62" s="501"/>
      <c r="U62" s="501"/>
      <c r="V62" s="503"/>
      <c r="W62" s="503"/>
      <c r="X62" s="504"/>
      <c r="Y62" s="504"/>
      <c r="Z62" s="504"/>
      <c r="AA62" s="504"/>
      <c r="AB62" s="504"/>
      <c r="AC62" s="504"/>
      <c r="AF62" s="378"/>
      <c r="AG62" s="378"/>
      <c r="AH62" s="378"/>
      <c r="AI62" s="378"/>
      <c r="AJ62" s="378"/>
      <c r="AM62" s="505"/>
      <c r="AN62" s="505"/>
      <c r="AO62" s="505"/>
      <c r="AP62" s="505"/>
      <c r="AR62" s="370"/>
      <c r="AT62" s="370"/>
      <c r="AV62" s="506"/>
      <c r="AW62" s="370"/>
      <c r="AX62" s="370"/>
      <c r="AY62" s="370"/>
      <c r="AZ62" s="370"/>
      <c r="BA62" s="507"/>
      <c r="BB62" s="505"/>
      <c r="BC62" s="505"/>
      <c r="BD62" s="370"/>
      <c r="BE62" s="370"/>
      <c r="BF62" s="370"/>
      <c r="BG62" s="370"/>
      <c r="BH62" s="370"/>
      <c r="BI62" s="370"/>
      <c r="BJ62" s="370"/>
      <c r="BK62" s="370"/>
      <c r="BL62" s="370"/>
      <c r="BM62" s="370"/>
      <c r="BN62" s="370"/>
      <c r="BO62" s="370"/>
      <c r="BP62" s="370"/>
      <c r="BQ62" s="370"/>
      <c r="BR62" s="370"/>
      <c r="BS62" s="370"/>
      <c r="BV62" s="508"/>
      <c r="BW62" s="369"/>
      <c r="BX62" s="370"/>
      <c r="BY62" s="370"/>
      <c r="BZ62" s="370"/>
      <c r="CA62" s="370"/>
      <c r="CB62" s="370"/>
      <c r="CC62" s="505"/>
      <c r="CD62" s="505"/>
      <c r="CE62" s="505"/>
      <c r="CF62" s="505"/>
      <c r="CG62" s="505"/>
      <c r="CH62" s="505"/>
      <c r="CI62" s="505"/>
      <c r="CJ62" s="505"/>
      <c r="CK62" s="505"/>
      <c r="CL62" s="505"/>
      <c r="CM62" s="505"/>
    </row>
    <row r="63" customFormat="false" ht="12.75" hidden="false" customHeight="false" outlineLevel="0" collapsed="false">
      <c r="A63" s="500"/>
      <c r="B63" s="500"/>
      <c r="K63" s="363"/>
      <c r="L63" s="501"/>
      <c r="N63" s="502"/>
      <c r="O63" s="502"/>
      <c r="P63" s="371"/>
      <c r="Q63" s="501"/>
      <c r="R63" s="501"/>
      <c r="U63" s="501"/>
      <c r="V63" s="503"/>
      <c r="W63" s="503"/>
      <c r="X63" s="504"/>
      <c r="Y63" s="504"/>
      <c r="Z63" s="504"/>
      <c r="AA63" s="504"/>
      <c r="AB63" s="504"/>
      <c r="AC63" s="504"/>
      <c r="AF63" s="378"/>
      <c r="AG63" s="378"/>
      <c r="AH63" s="378"/>
      <c r="AI63" s="378"/>
      <c r="AJ63" s="378"/>
      <c r="AM63" s="505"/>
      <c r="AN63" s="505"/>
      <c r="AO63" s="505"/>
      <c r="AP63" s="505"/>
      <c r="AR63" s="370"/>
      <c r="AT63" s="370"/>
      <c r="AV63" s="506"/>
      <c r="AW63" s="370"/>
      <c r="AX63" s="370"/>
      <c r="AY63" s="370"/>
      <c r="AZ63" s="370"/>
      <c r="BA63" s="507"/>
      <c r="BB63" s="505"/>
      <c r="BC63" s="505"/>
      <c r="BD63" s="370"/>
      <c r="BE63" s="370"/>
      <c r="BF63" s="370"/>
      <c r="BG63" s="370"/>
      <c r="BH63" s="370"/>
      <c r="BI63" s="370"/>
      <c r="BJ63" s="370"/>
      <c r="BK63" s="370"/>
      <c r="BL63" s="370"/>
      <c r="BM63" s="370"/>
      <c r="BN63" s="370"/>
      <c r="BO63" s="370"/>
      <c r="BP63" s="370"/>
      <c r="BQ63" s="370"/>
      <c r="BR63" s="370"/>
      <c r="BS63" s="370"/>
      <c r="BV63" s="508"/>
      <c r="BW63" s="369"/>
      <c r="BX63" s="370"/>
      <c r="BY63" s="370"/>
      <c r="BZ63" s="370"/>
      <c r="CA63" s="370"/>
      <c r="CB63" s="370"/>
      <c r="CC63" s="505"/>
      <c r="CD63" s="505"/>
      <c r="CE63" s="505"/>
      <c r="CF63" s="505"/>
      <c r="CG63" s="505"/>
      <c r="CH63" s="505"/>
      <c r="CI63" s="505"/>
      <c r="CJ63" s="505"/>
      <c r="CK63" s="505"/>
      <c r="CL63" s="505"/>
      <c r="CM63" s="505"/>
    </row>
    <row r="64" customFormat="false" ht="12.75" hidden="false" customHeight="false" outlineLevel="0" collapsed="false">
      <c r="A64" s="500"/>
      <c r="B64" s="500"/>
      <c r="K64" s="363"/>
      <c r="L64" s="501"/>
      <c r="N64" s="502"/>
      <c r="O64" s="502"/>
      <c r="P64" s="371"/>
      <c r="Q64" s="501"/>
      <c r="R64" s="501"/>
      <c r="U64" s="501"/>
      <c r="V64" s="503"/>
      <c r="W64" s="503"/>
      <c r="X64" s="504"/>
      <c r="Y64" s="504"/>
      <c r="Z64" s="504"/>
      <c r="AA64" s="504"/>
      <c r="AB64" s="504"/>
      <c r="AC64" s="504"/>
      <c r="AF64" s="378"/>
      <c r="AG64" s="378"/>
      <c r="AH64" s="378"/>
      <c r="AI64" s="378"/>
      <c r="AJ64" s="378"/>
      <c r="AM64" s="505"/>
      <c r="AN64" s="505"/>
      <c r="AO64" s="505"/>
      <c r="AP64" s="505"/>
      <c r="AR64" s="370"/>
      <c r="AT64" s="370"/>
      <c r="AV64" s="506"/>
      <c r="AW64" s="370"/>
      <c r="AX64" s="370"/>
      <c r="AY64" s="370"/>
      <c r="AZ64" s="370"/>
      <c r="BA64" s="507"/>
      <c r="BB64" s="505"/>
      <c r="BC64" s="505"/>
      <c r="BD64" s="370"/>
      <c r="BE64" s="370"/>
      <c r="BF64" s="370"/>
      <c r="BG64" s="370"/>
      <c r="BH64" s="370"/>
      <c r="BI64" s="370"/>
      <c r="BJ64" s="370"/>
      <c r="BK64" s="370"/>
      <c r="BL64" s="370"/>
      <c r="BM64" s="370"/>
      <c r="BN64" s="370"/>
      <c r="BO64" s="370"/>
      <c r="BP64" s="370"/>
      <c r="BQ64" s="370"/>
      <c r="BR64" s="370"/>
      <c r="BS64" s="370"/>
      <c r="BV64" s="508"/>
      <c r="BW64" s="369"/>
      <c r="BX64" s="370"/>
      <c r="BY64" s="370"/>
      <c r="BZ64" s="370"/>
      <c r="CA64" s="370"/>
      <c r="CB64" s="370"/>
      <c r="CC64" s="505"/>
      <c r="CD64" s="505"/>
      <c r="CE64" s="505"/>
      <c r="CF64" s="505"/>
      <c r="CG64" s="505"/>
      <c r="CH64" s="505"/>
      <c r="CI64" s="505"/>
      <c r="CJ64" s="505"/>
      <c r="CK64" s="505"/>
      <c r="CL64" s="505"/>
      <c r="CM64" s="505"/>
    </row>
    <row r="65" customFormat="false" ht="12.75" hidden="false" customHeight="false" outlineLevel="0" collapsed="false">
      <c r="A65" s="500"/>
      <c r="B65" s="500"/>
      <c r="K65" s="363"/>
      <c r="L65" s="501"/>
      <c r="N65" s="502"/>
      <c r="O65" s="502"/>
      <c r="P65" s="371"/>
      <c r="Q65" s="501"/>
      <c r="R65" s="501"/>
      <c r="U65" s="501"/>
      <c r="V65" s="503"/>
      <c r="W65" s="503"/>
      <c r="X65" s="504"/>
      <c r="Y65" s="504"/>
      <c r="Z65" s="504"/>
      <c r="AA65" s="504"/>
      <c r="AB65" s="504"/>
      <c r="AC65" s="504"/>
      <c r="AF65" s="378"/>
      <c r="AG65" s="378"/>
      <c r="AH65" s="378"/>
      <c r="AI65" s="378"/>
      <c r="AJ65" s="378"/>
      <c r="AM65" s="505"/>
      <c r="AN65" s="505"/>
      <c r="AO65" s="505"/>
      <c r="AP65" s="505"/>
      <c r="AR65" s="370"/>
      <c r="AT65" s="370"/>
      <c r="AV65" s="506"/>
      <c r="AW65" s="370"/>
      <c r="AX65" s="370"/>
      <c r="AY65" s="370"/>
      <c r="AZ65" s="370"/>
      <c r="BA65" s="507"/>
      <c r="BB65" s="505"/>
      <c r="BC65" s="505"/>
      <c r="BD65" s="370"/>
      <c r="BE65" s="370"/>
      <c r="BF65" s="370"/>
      <c r="BG65" s="370"/>
      <c r="BH65" s="370"/>
      <c r="BI65" s="370"/>
      <c r="BJ65" s="370"/>
      <c r="BK65" s="370"/>
      <c r="BL65" s="370"/>
      <c r="BM65" s="370"/>
      <c r="BN65" s="370"/>
      <c r="BO65" s="370"/>
      <c r="BP65" s="370"/>
      <c r="BQ65" s="370"/>
      <c r="BR65" s="370"/>
      <c r="BS65" s="370"/>
      <c r="BV65" s="508"/>
      <c r="BW65" s="369"/>
      <c r="BX65" s="370"/>
      <c r="BY65" s="370"/>
      <c r="BZ65" s="370"/>
      <c r="CA65" s="370"/>
      <c r="CB65" s="370"/>
      <c r="CC65" s="505"/>
      <c r="CD65" s="505"/>
      <c r="CE65" s="505"/>
      <c r="CF65" s="505"/>
      <c r="CG65" s="505"/>
      <c r="CH65" s="505"/>
      <c r="CI65" s="505"/>
      <c r="CJ65" s="505"/>
      <c r="CK65" s="505"/>
      <c r="CL65" s="505"/>
      <c r="CM65" s="505"/>
    </row>
    <row r="66" customFormat="false" ht="12.75" hidden="false" customHeight="false" outlineLevel="0" collapsed="false">
      <c r="A66" s="500"/>
      <c r="B66" s="500"/>
      <c r="K66" s="363"/>
      <c r="L66" s="501"/>
      <c r="N66" s="502"/>
      <c r="O66" s="502"/>
      <c r="P66" s="371"/>
      <c r="Q66" s="501"/>
      <c r="R66" s="501"/>
      <c r="U66" s="501"/>
      <c r="V66" s="503"/>
      <c r="W66" s="503"/>
      <c r="X66" s="504"/>
      <c r="Y66" s="504"/>
      <c r="Z66" s="504"/>
      <c r="AA66" s="504"/>
      <c r="AB66" s="504"/>
      <c r="AC66" s="504"/>
      <c r="AF66" s="378"/>
      <c r="AG66" s="378"/>
      <c r="AH66" s="378"/>
      <c r="AI66" s="378"/>
      <c r="AJ66" s="378"/>
      <c r="AM66" s="505"/>
      <c r="AN66" s="505"/>
      <c r="AO66" s="505"/>
      <c r="AP66" s="505"/>
      <c r="AR66" s="370"/>
      <c r="AT66" s="370"/>
      <c r="AV66" s="506"/>
      <c r="AW66" s="370"/>
      <c r="AX66" s="370"/>
      <c r="AY66" s="370"/>
      <c r="AZ66" s="370"/>
      <c r="BA66" s="507"/>
      <c r="BB66" s="505"/>
      <c r="BC66" s="505"/>
      <c r="BD66" s="370"/>
      <c r="BE66" s="370"/>
      <c r="BF66" s="370"/>
      <c r="BG66" s="370"/>
      <c r="BH66" s="370"/>
      <c r="BI66" s="370"/>
      <c r="BJ66" s="370"/>
      <c r="BK66" s="370"/>
      <c r="BL66" s="370"/>
      <c r="BM66" s="370"/>
      <c r="BN66" s="370"/>
      <c r="BO66" s="370"/>
      <c r="BP66" s="370"/>
      <c r="BQ66" s="370"/>
      <c r="BR66" s="370"/>
      <c r="BS66" s="370"/>
      <c r="BV66" s="508"/>
      <c r="BW66" s="369"/>
      <c r="BX66" s="370"/>
      <c r="BY66" s="370"/>
      <c r="BZ66" s="370"/>
      <c r="CA66" s="370"/>
      <c r="CB66" s="370"/>
      <c r="CC66" s="505"/>
      <c r="CD66" s="505"/>
      <c r="CE66" s="505"/>
      <c r="CF66" s="505"/>
      <c r="CG66" s="505"/>
      <c r="CH66" s="505"/>
      <c r="CI66" s="505"/>
      <c r="CJ66" s="505"/>
      <c r="CK66" s="505"/>
      <c r="CL66" s="505"/>
      <c r="CM66" s="505"/>
    </row>
    <row r="67" customFormat="false" ht="12.75" hidden="false" customHeight="false" outlineLevel="0" collapsed="false">
      <c r="A67" s="500"/>
      <c r="B67" s="500"/>
      <c r="K67" s="363"/>
      <c r="L67" s="501"/>
      <c r="N67" s="502"/>
      <c r="O67" s="502"/>
      <c r="P67" s="371"/>
      <c r="Q67" s="501"/>
      <c r="R67" s="501"/>
      <c r="U67" s="501"/>
      <c r="V67" s="503"/>
      <c r="W67" s="503"/>
      <c r="X67" s="504"/>
      <c r="Y67" s="504"/>
      <c r="Z67" s="504"/>
      <c r="AA67" s="504"/>
      <c r="AB67" s="504"/>
      <c r="AC67" s="504"/>
      <c r="AF67" s="378"/>
      <c r="AG67" s="378"/>
      <c r="AH67" s="378"/>
      <c r="AI67" s="378"/>
      <c r="AJ67" s="378"/>
      <c r="AM67" s="505"/>
      <c r="AN67" s="505"/>
      <c r="AO67" s="505"/>
      <c r="AP67" s="505"/>
      <c r="AR67" s="370"/>
      <c r="AT67" s="370"/>
      <c r="AV67" s="506"/>
      <c r="AW67" s="370"/>
      <c r="AX67" s="370"/>
      <c r="AY67" s="370"/>
      <c r="AZ67" s="370"/>
      <c r="BA67" s="507"/>
      <c r="BB67" s="505"/>
      <c r="BC67" s="505"/>
      <c r="BD67" s="370"/>
      <c r="BE67" s="370"/>
      <c r="BF67" s="370"/>
      <c r="BG67" s="370"/>
      <c r="BH67" s="370"/>
      <c r="BI67" s="370"/>
      <c r="BJ67" s="370"/>
      <c r="BK67" s="370"/>
      <c r="BL67" s="370"/>
      <c r="BM67" s="370"/>
      <c r="BN67" s="370"/>
      <c r="BO67" s="370"/>
      <c r="BP67" s="370"/>
      <c r="BQ67" s="370"/>
      <c r="BR67" s="370"/>
      <c r="BS67" s="370"/>
      <c r="BV67" s="508"/>
      <c r="BW67" s="369"/>
      <c r="BX67" s="370"/>
      <c r="BY67" s="370"/>
      <c r="BZ67" s="370"/>
      <c r="CA67" s="370"/>
      <c r="CB67" s="370"/>
      <c r="CC67" s="505"/>
      <c r="CD67" s="505"/>
      <c r="CE67" s="505"/>
      <c r="CF67" s="505"/>
      <c r="CG67" s="505"/>
      <c r="CH67" s="505"/>
      <c r="CI67" s="505"/>
      <c r="CJ67" s="505"/>
      <c r="CK67" s="505"/>
      <c r="CL67" s="505"/>
      <c r="CM67" s="505"/>
    </row>
    <row r="68" customFormat="false" ht="12.75" hidden="false" customHeight="false" outlineLevel="0" collapsed="false">
      <c r="A68" s="500"/>
      <c r="B68" s="500"/>
      <c r="K68" s="363"/>
      <c r="L68" s="501"/>
      <c r="N68" s="502"/>
      <c r="O68" s="502"/>
      <c r="P68" s="371"/>
      <c r="Q68" s="501"/>
      <c r="R68" s="501"/>
      <c r="U68" s="501"/>
      <c r="V68" s="503"/>
      <c r="W68" s="503"/>
      <c r="X68" s="504"/>
      <c r="Y68" s="504"/>
      <c r="Z68" s="504"/>
      <c r="AA68" s="504"/>
      <c r="AB68" s="504"/>
      <c r="AC68" s="504"/>
      <c r="AF68" s="378"/>
      <c r="AG68" s="378"/>
      <c r="AH68" s="378"/>
      <c r="AI68" s="378"/>
      <c r="AJ68" s="378"/>
      <c r="AM68" s="505"/>
      <c r="AN68" s="505"/>
      <c r="AO68" s="505"/>
      <c r="AP68" s="505"/>
      <c r="AR68" s="370"/>
      <c r="AT68" s="370"/>
      <c r="AV68" s="506"/>
      <c r="AW68" s="370"/>
      <c r="AX68" s="370"/>
      <c r="AY68" s="370"/>
      <c r="AZ68" s="370"/>
      <c r="BA68" s="507"/>
      <c r="BB68" s="505"/>
      <c r="BC68" s="505"/>
      <c r="BD68" s="370"/>
      <c r="BE68" s="370"/>
      <c r="BF68" s="370"/>
      <c r="BG68" s="370"/>
      <c r="BH68" s="370"/>
      <c r="BI68" s="370"/>
      <c r="BJ68" s="370"/>
      <c r="BK68" s="370"/>
      <c r="BL68" s="370"/>
      <c r="BM68" s="370"/>
      <c r="BN68" s="370"/>
      <c r="BO68" s="370"/>
      <c r="BP68" s="370"/>
      <c r="BQ68" s="370"/>
      <c r="BR68" s="370"/>
      <c r="BS68" s="370"/>
      <c r="BV68" s="508"/>
      <c r="BW68" s="369"/>
      <c r="BX68" s="370"/>
      <c r="BY68" s="370"/>
      <c r="BZ68" s="370"/>
      <c r="CA68" s="370"/>
      <c r="CB68" s="370"/>
      <c r="CC68" s="505"/>
      <c r="CD68" s="505"/>
      <c r="CE68" s="505"/>
      <c r="CF68" s="505"/>
      <c r="CG68" s="505"/>
      <c r="CH68" s="505"/>
      <c r="CI68" s="505"/>
      <c r="CJ68" s="505"/>
      <c r="CK68" s="505"/>
      <c r="CL68" s="505"/>
      <c r="CM68" s="505"/>
    </row>
    <row r="69" customFormat="false" ht="12.75" hidden="false" customHeight="false" outlineLevel="0" collapsed="false">
      <c r="A69" s="500"/>
      <c r="B69" s="500"/>
      <c r="K69" s="363"/>
      <c r="L69" s="501"/>
      <c r="N69" s="502"/>
      <c r="O69" s="502"/>
      <c r="P69" s="371"/>
      <c r="Q69" s="501"/>
      <c r="R69" s="501"/>
      <c r="U69" s="501"/>
      <c r="V69" s="503"/>
      <c r="W69" s="503"/>
      <c r="X69" s="504"/>
      <c r="Y69" s="504"/>
      <c r="Z69" s="504"/>
      <c r="AA69" s="504"/>
      <c r="AB69" s="504"/>
      <c r="AC69" s="504"/>
      <c r="AF69" s="378"/>
      <c r="AG69" s="378"/>
      <c r="AH69" s="378"/>
      <c r="AI69" s="378"/>
      <c r="AJ69" s="378"/>
      <c r="AM69" s="505"/>
      <c r="AN69" s="505"/>
      <c r="AO69" s="505"/>
      <c r="AP69" s="505"/>
      <c r="AR69" s="370"/>
      <c r="AT69" s="370"/>
      <c r="AV69" s="506"/>
      <c r="AW69" s="370"/>
      <c r="AX69" s="370"/>
      <c r="AY69" s="370"/>
      <c r="AZ69" s="370"/>
      <c r="BA69" s="507"/>
      <c r="BB69" s="505"/>
      <c r="BC69" s="505"/>
      <c r="BD69" s="370"/>
      <c r="BE69" s="370"/>
      <c r="BF69" s="370"/>
      <c r="BG69" s="370"/>
      <c r="BH69" s="370"/>
      <c r="BI69" s="370"/>
      <c r="BJ69" s="370"/>
      <c r="BK69" s="370"/>
      <c r="BL69" s="370"/>
      <c r="BM69" s="370"/>
      <c r="BN69" s="370"/>
      <c r="BO69" s="370"/>
      <c r="BP69" s="370"/>
      <c r="BQ69" s="370"/>
      <c r="BR69" s="370"/>
      <c r="BS69" s="370"/>
      <c r="BV69" s="508"/>
      <c r="BW69" s="369"/>
      <c r="BX69" s="370"/>
      <c r="BY69" s="370"/>
      <c r="BZ69" s="370"/>
      <c r="CA69" s="370"/>
      <c r="CB69" s="370"/>
      <c r="CC69" s="505"/>
      <c r="CD69" s="505"/>
      <c r="CE69" s="505"/>
      <c r="CF69" s="505"/>
      <c r="CG69" s="505"/>
      <c r="CH69" s="505"/>
      <c r="CI69" s="505"/>
      <c r="CJ69" s="505"/>
      <c r="CK69" s="505"/>
      <c r="CL69" s="505"/>
      <c r="CM69" s="505"/>
    </row>
    <row r="70" customFormat="false" ht="12.75" hidden="false" customHeight="false" outlineLevel="0" collapsed="false">
      <c r="A70" s="500"/>
      <c r="B70" s="500"/>
      <c r="K70" s="363"/>
      <c r="L70" s="501"/>
      <c r="N70" s="502"/>
      <c r="O70" s="502"/>
      <c r="P70" s="371"/>
      <c r="Q70" s="501"/>
      <c r="R70" s="501"/>
      <c r="U70" s="501"/>
      <c r="V70" s="503"/>
      <c r="W70" s="503"/>
      <c r="X70" s="504"/>
      <c r="Y70" s="504"/>
      <c r="Z70" s="504"/>
      <c r="AA70" s="504"/>
      <c r="AB70" s="504"/>
      <c r="AC70" s="504"/>
      <c r="AF70" s="378"/>
      <c r="AG70" s="378"/>
      <c r="AH70" s="378"/>
      <c r="AI70" s="378"/>
      <c r="AJ70" s="378"/>
      <c r="AM70" s="505"/>
      <c r="AN70" s="505"/>
      <c r="AO70" s="505"/>
      <c r="AP70" s="505"/>
      <c r="AR70" s="370"/>
      <c r="AT70" s="370"/>
      <c r="AV70" s="506"/>
      <c r="AW70" s="370"/>
      <c r="AX70" s="370"/>
      <c r="AY70" s="370"/>
      <c r="AZ70" s="370"/>
      <c r="BA70" s="507"/>
      <c r="BB70" s="505"/>
      <c r="BC70" s="505"/>
      <c r="BD70" s="370"/>
      <c r="BE70" s="370"/>
      <c r="BF70" s="370"/>
      <c r="BG70" s="370"/>
      <c r="BH70" s="370"/>
      <c r="BI70" s="370"/>
      <c r="BJ70" s="370"/>
      <c r="BK70" s="370"/>
      <c r="BL70" s="370"/>
      <c r="BM70" s="370"/>
      <c r="BN70" s="370"/>
      <c r="BO70" s="370"/>
      <c r="BP70" s="370"/>
      <c r="BQ70" s="370"/>
      <c r="BR70" s="370"/>
      <c r="BS70" s="370"/>
      <c r="BV70" s="508"/>
      <c r="BW70" s="369"/>
      <c r="BX70" s="370"/>
      <c r="BY70" s="370"/>
      <c r="BZ70" s="370"/>
      <c r="CA70" s="370"/>
      <c r="CB70" s="370"/>
      <c r="CC70" s="505"/>
      <c r="CD70" s="505"/>
      <c r="CE70" s="505"/>
      <c r="CF70" s="505"/>
      <c r="CG70" s="505"/>
      <c r="CH70" s="505"/>
      <c r="CI70" s="505"/>
      <c r="CJ70" s="505"/>
      <c r="CK70" s="505"/>
      <c r="CL70" s="505"/>
      <c r="CM70" s="505"/>
    </row>
    <row r="71" customFormat="false" ht="12.75" hidden="false" customHeight="false" outlineLevel="0" collapsed="false">
      <c r="A71" s="500"/>
      <c r="B71" s="500"/>
      <c r="K71" s="363"/>
      <c r="L71" s="501"/>
      <c r="N71" s="502"/>
      <c r="O71" s="502"/>
      <c r="P71" s="371"/>
      <c r="Q71" s="501"/>
      <c r="R71" s="501"/>
      <c r="U71" s="501"/>
      <c r="V71" s="503"/>
      <c r="W71" s="503"/>
      <c r="X71" s="504"/>
      <c r="Y71" s="504"/>
      <c r="Z71" s="504"/>
      <c r="AA71" s="504"/>
      <c r="AB71" s="504"/>
      <c r="AC71" s="504"/>
      <c r="AF71" s="378"/>
      <c r="AG71" s="378"/>
      <c r="AH71" s="378"/>
      <c r="AI71" s="378"/>
      <c r="AJ71" s="378"/>
      <c r="AM71" s="505"/>
      <c r="AN71" s="505"/>
      <c r="AO71" s="505"/>
      <c r="AP71" s="505"/>
      <c r="AR71" s="370"/>
      <c r="AT71" s="370"/>
      <c r="AV71" s="506"/>
      <c r="AW71" s="370"/>
      <c r="AX71" s="370"/>
      <c r="AY71" s="370"/>
      <c r="AZ71" s="370"/>
      <c r="BA71" s="507"/>
      <c r="BB71" s="505"/>
      <c r="BC71" s="505"/>
      <c r="BD71" s="370"/>
      <c r="BE71" s="370"/>
      <c r="BF71" s="370"/>
      <c r="BG71" s="370"/>
      <c r="BH71" s="370"/>
      <c r="BI71" s="370"/>
      <c r="BJ71" s="370"/>
      <c r="BK71" s="370"/>
      <c r="BL71" s="370"/>
      <c r="BM71" s="370"/>
      <c r="BN71" s="370"/>
      <c r="BO71" s="370"/>
      <c r="BP71" s="370"/>
      <c r="BQ71" s="370"/>
      <c r="BR71" s="370"/>
      <c r="BS71" s="370"/>
      <c r="BV71" s="508"/>
      <c r="BW71" s="369"/>
      <c r="BX71" s="370"/>
      <c r="BY71" s="370"/>
      <c r="BZ71" s="370"/>
      <c r="CA71" s="370"/>
      <c r="CB71" s="370"/>
      <c r="CC71" s="505"/>
      <c r="CD71" s="505"/>
      <c r="CE71" s="505"/>
      <c r="CF71" s="505"/>
      <c r="CG71" s="505"/>
      <c r="CH71" s="505"/>
      <c r="CI71" s="505"/>
      <c r="CJ71" s="505"/>
      <c r="CK71" s="505"/>
      <c r="CL71" s="505"/>
      <c r="CM71" s="505"/>
    </row>
    <row r="72" customFormat="false" ht="12.75" hidden="false" customHeight="false" outlineLevel="0" collapsed="false">
      <c r="A72" s="500"/>
      <c r="B72" s="500"/>
      <c r="K72" s="363"/>
      <c r="L72" s="501"/>
      <c r="N72" s="502"/>
      <c r="O72" s="502"/>
      <c r="P72" s="371"/>
      <c r="Q72" s="501"/>
      <c r="R72" s="501"/>
      <c r="U72" s="501"/>
      <c r="V72" s="503"/>
      <c r="W72" s="503"/>
      <c r="X72" s="504"/>
      <c r="Y72" s="504"/>
      <c r="Z72" s="504"/>
      <c r="AA72" s="504"/>
      <c r="AB72" s="504"/>
      <c r="AC72" s="504"/>
      <c r="AF72" s="378"/>
      <c r="AG72" s="378"/>
      <c r="AH72" s="378"/>
      <c r="AI72" s="378"/>
      <c r="AJ72" s="378"/>
      <c r="AM72" s="505"/>
      <c r="AN72" s="505"/>
      <c r="AO72" s="505"/>
      <c r="AP72" s="505"/>
      <c r="AR72" s="370"/>
      <c r="AT72" s="370"/>
      <c r="AV72" s="506"/>
      <c r="AW72" s="370"/>
      <c r="AX72" s="370"/>
      <c r="AY72" s="370"/>
      <c r="AZ72" s="370"/>
      <c r="BA72" s="507"/>
      <c r="BB72" s="505"/>
      <c r="BC72" s="505"/>
      <c r="BD72" s="370"/>
      <c r="BE72" s="370"/>
      <c r="BF72" s="370"/>
      <c r="BG72" s="370"/>
      <c r="BH72" s="370"/>
      <c r="BI72" s="370"/>
      <c r="BJ72" s="370"/>
      <c r="BK72" s="370"/>
      <c r="BL72" s="370"/>
      <c r="BM72" s="370"/>
      <c r="BN72" s="370"/>
      <c r="BO72" s="370"/>
      <c r="BP72" s="370"/>
      <c r="BQ72" s="370"/>
      <c r="BR72" s="370"/>
      <c r="BS72" s="370"/>
      <c r="BV72" s="508"/>
      <c r="BW72" s="369"/>
      <c r="BX72" s="370"/>
      <c r="BY72" s="370"/>
      <c r="BZ72" s="370"/>
      <c r="CA72" s="370"/>
      <c r="CB72" s="370"/>
      <c r="CC72" s="505"/>
      <c r="CD72" s="505"/>
      <c r="CE72" s="505"/>
      <c r="CF72" s="505"/>
      <c r="CG72" s="505"/>
      <c r="CH72" s="505"/>
      <c r="CI72" s="505"/>
      <c r="CJ72" s="505"/>
      <c r="CK72" s="505"/>
      <c r="CL72" s="505"/>
      <c r="CM72" s="505"/>
    </row>
    <row r="73" customFormat="false" ht="12.75" hidden="false" customHeight="false" outlineLevel="0" collapsed="false">
      <c r="A73" s="500"/>
      <c r="B73" s="500"/>
      <c r="K73" s="363"/>
      <c r="L73" s="501"/>
      <c r="N73" s="502"/>
      <c r="O73" s="502"/>
      <c r="P73" s="371"/>
      <c r="Q73" s="501"/>
      <c r="R73" s="501"/>
      <c r="U73" s="501"/>
      <c r="V73" s="503"/>
      <c r="W73" s="503"/>
      <c r="X73" s="504"/>
      <c r="Y73" s="504"/>
      <c r="Z73" s="504"/>
      <c r="AA73" s="504"/>
      <c r="AB73" s="504"/>
      <c r="AC73" s="504"/>
      <c r="AF73" s="378"/>
      <c r="AG73" s="378"/>
      <c r="AH73" s="378"/>
      <c r="AI73" s="378"/>
      <c r="AJ73" s="378"/>
      <c r="AM73" s="505"/>
      <c r="AN73" s="505"/>
      <c r="AO73" s="505"/>
      <c r="AP73" s="505"/>
      <c r="AR73" s="370"/>
      <c r="AT73" s="370"/>
      <c r="AV73" s="506"/>
      <c r="AW73" s="370"/>
      <c r="AX73" s="370"/>
      <c r="AY73" s="370"/>
      <c r="AZ73" s="370"/>
      <c r="BA73" s="507"/>
      <c r="BB73" s="505"/>
      <c r="BC73" s="505"/>
      <c r="BD73" s="370"/>
      <c r="BE73" s="370"/>
      <c r="BF73" s="370"/>
      <c r="BG73" s="370"/>
      <c r="BH73" s="370"/>
      <c r="BI73" s="370"/>
      <c r="BJ73" s="370"/>
      <c r="BK73" s="370"/>
      <c r="BL73" s="370"/>
      <c r="BM73" s="370"/>
      <c r="BN73" s="370"/>
      <c r="BO73" s="370"/>
      <c r="BP73" s="370"/>
      <c r="BQ73" s="370"/>
      <c r="BR73" s="370"/>
      <c r="BS73" s="370"/>
      <c r="BV73" s="508"/>
      <c r="BW73" s="369"/>
      <c r="BX73" s="370"/>
      <c r="BY73" s="370"/>
      <c r="BZ73" s="370"/>
      <c r="CA73" s="370"/>
      <c r="CB73" s="370"/>
      <c r="CC73" s="505"/>
      <c r="CD73" s="505"/>
      <c r="CE73" s="505"/>
      <c r="CF73" s="505"/>
      <c r="CG73" s="505"/>
      <c r="CH73" s="505"/>
      <c r="CI73" s="505"/>
      <c r="CJ73" s="505"/>
      <c r="CK73" s="505"/>
      <c r="CL73" s="505"/>
      <c r="CM73" s="505"/>
    </row>
    <row r="74" customFormat="false" ht="12.75" hidden="false" customHeight="false" outlineLevel="0" collapsed="false">
      <c r="A74" s="500"/>
      <c r="B74" s="500"/>
      <c r="K74" s="363"/>
      <c r="L74" s="501"/>
      <c r="N74" s="502"/>
      <c r="O74" s="502"/>
      <c r="P74" s="371"/>
      <c r="Q74" s="501"/>
      <c r="R74" s="501"/>
      <c r="U74" s="501"/>
      <c r="V74" s="503"/>
      <c r="W74" s="503"/>
      <c r="X74" s="504"/>
      <c r="Y74" s="504"/>
      <c r="Z74" s="504"/>
      <c r="AA74" s="504"/>
      <c r="AB74" s="504"/>
      <c r="AC74" s="504"/>
      <c r="AF74" s="378"/>
      <c r="AG74" s="378"/>
      <c r="AH74" s="378"/>
      <c r="AI74" s="378"/>
      <c r="AJ74" s="378"/>
      <c r="AM74" s="505"/>
      <c r="AN74" s="505"/>
      <c r="AO74" s="505"/>
      <c r="AP74" s="505"/>
      <c r="AR74" s="370"/>
      <c r="AT74" s="370"/>
      <c r="AV74" s="506"/>
      <c r="AW74" s="370"/>
      <c r="AX74" s="370"/>
      <c r="AY74" s="370"/>
      <c r="AZ74" s="370"/>
      <c r="BA74" s="507"/>
      <c r="BB74" s="505"/>
      <c r="BC74" s="505"/>
      <c r="BD74" s="370"/>
      <c r="BE74" s="370"/>
      <c r="BF74" s="370"/>
      <c r="BG74" s="370"/>
      <c r="BH74" s="370"/>
      <c r="BI74" s="370"/>
      <c r="BJ74" s="370"/>
      <c r="BK74" s="370"/>
      <c r="BL74" s="370"/>
      <c r="BM74" s="370"/>
      <c r="BN74" s="370"/>
      <c r="BO74" s="370"/>
      <c r="BP74" s="370"/>
      <c r="BQ74" s="370"/>
      <c r="BR74" s="370"/>
      <c r="BS74" s="370"/>
      <c r="BV74" s="508"/>
      <c r="BW74" s="369"/>
      <c r="BX74" s="370"/>
      <c r="BY74" s="370"/>
      <c r="BZ74" s="370"/>
      <c r="CA74" s="370"/>
      <c r="CB74" s="370"/>
      <c r="CC74" s="505"/>
      <c r="CD74" s="505"/>
      <c r="CE74" s="505"/>
      <c r="CF74" s="505"/>
      <c r="CG74" s="505"/>
      <c r="CH74" s="505"/>
      <c r="CI74" s="505"/>
      <c r="CJ74" s="505"/>
      <c r="CK74" s="505"/>
      <c r="CL74" s="505"/>
      <c r="CM74" s="505"/>
    </row>
    <row r="75" customFormat="false" ht="12.75" hidden="false" customHeight="false" outlineLevel="0" collapsed="false">
      <c r="A75" s="500"/>
      <c r="B75" s="500"/>
      <c r="K75" s="363"/>
      <c r="L75" s="501"/>
      <c r="N75" s="502"/>
      <c r="O75" s="502"/>
      <c r="P75" s="371"/>
      <c r="Q75" s="501"/>
      <c r="R75" s="501"/>
      <c r="U75" s="501"/>
      <c r="V75" s="503"/>
      <c r="W75" s="503"/>
      <c r="X75" s="504"/>
      <c r="Y75" s="504"/>
      <c r="Z75" s="504"/>
      <c r="AA75" s="504"/>
      <c r="AB75" s="504"/>
      <c r="AC75" s="504"/>
      <c r="AF75" s="378"/>
      <c r="AG75" s="378"/>
      <c r="AH75" s="378"/>
      <c r="AI75" s="378"/>
      <c r="AJ75" s="378"/>
      <c r="AM75" s="505"/>
      <c r="AN75" s="505"/>
      <c r="AO75" s="505"/>
      <c r="AP75" s="505"/>
      <c r="AR75" s="370"/>
      <c r="AT75" s="370"/>
      <c r="AV75" s="506"/>
      <c r="AW75" s="370"/>
      <c r="AX75" s="370"/>
      <c r="AY75" s="370"/>
      <c r="AZ75" s="370"/>
      <c r="BA75" s="507"/>
      <c r="BB75" s="505"/>
      <c r="BC75" s="505"/>
      <c r="BD75" s="370"/>
      <c r="BE75" s="370"/>
      <c r="BF75" s="370"/>
      <c r="BG75" s="370"/>
      <c r="BH75" s="370"/>
      <c r="BI75" s="370"/>
      <c r="BJ75" s="370"/>
      <c r="BK75" s="370"/>
      <c r="BL75" s="370"/>
      <c r="BM75" s="370"/>
      <c r="BN75" s="370"/>
      <c r="BO75" s="370"/>
      <c r="BP75" s="370"/>
      <c r="BQ75" s="370"/>
      <c r="BR75" s="370"/>
      <c r="BS75" s="370"/>
      <c r="BV75" s="508"/>
      <c r="BW75" s="369"/>
      <c r="BX75" s="370"/>
      <c r="BY75" s="370"/>
      <c r="BZ75" s="370"/>
      <c r="CA75" s="370"/>
      <c r="CB75" s="370"/>
      <c r="CC75" s="505"/>
      <c r="CD75" s="505"/>
      <c r="CE75" s="505"/>
      <c r="CF75" s="505"/>
      <c r="CG75" s="505"/>
      <c r="CH75" s="505"/>
      <c r="CI75" s="505"/>
      <c r="CJ75" s="505"/>
      <c r="CK75" s="505"/>
      <c r="CL75" s="505"/>
      <c r="CM75" s="505"/>
    </row>
    <row r="76" customFormat="false" ht="12.75" hidden="false" customHeight="false" outlineLevel="0" collapsed="false">
      <c r="A76" s="500"/>
      <c r="B76" s="500"/>
      <c r="K76" s="363"/>
      <c r="L76" s="501"/>
      <c r="N76" s="502"/>
      <c r="O76" s="502"/>
      <c r="P76" s="371"/>
      <c r="Q76" s="501"/>
      <c r="R76" s="501"/>
      <c r="U76" s="501"/>
      <c r="V76" s="503"/>
      <c r="W76" s="503"/>
      <c r="X76" s="504"/>
      <c r="Y76" s="504"/>
      <c r="Z76" s="504"/>
      <c r="AA76" s="504"/>
      <c r="AB76" s="504"/>
      <c r="AC76" s="504"/>
      <c r="AF76" s="378"/>
      <c r="AG76" s="378"/>
      <c r="AH76" s="378"/>
      <c r="AI76" s="378"/>
      <c r="AJ76" s="378"/>
      <c r="AM76" s="505"/>
      <c r="AN76" s="505"/>
      <c r="AO76" s="505"/>
      <c r="AP76" s="505"/>
      <c r="AR76" s="370"/>
      <c r="AT76" s="370"/>
      <c r="AV76" s="506"/>
      <c r="AW76" s="370"/>
      <c r="AX76" s="370"/>
      <c r="AY76" s="370"/>
      <c r="AZ76" s="370"/>
      <c r="BA76" s="507"/>
      <c r="BB76" s="505"/>
      <c r="BC76" s="505"/>
      <c r="BD76" s="370"/>
      <c r="BE76" s="370"/>
      <c r="BF76" s="370"/>
      <c r="BG76" s="370"/>
      <c r="BH76" s="370"/>
      <c r="BI76" s="370"/>
      <c r="BJ76" s="370"/>
      <c r="BK76" s="370"/>
      <c r="BL76" s="370"/>
      <c r="BM76" s="370"/>
      <c r="BN76" s="370"/>
      <c r="BO76" s="370"/>
      <c r="BP76" s="370"/>
      <c r="BQ76" s="370"/>
      <c r="BR76" s="370"/>
      <c r="BS76" s="370"/>
      <c r="BV76" s="508"/>
      <c r="BW76" s="369"/>
      <c r="BX76" s="370"/>
      <c r="BY76" s="370"/>
      <c r="BZ76" s="370"/>
      <c r="CA76" s="370"/>
      <c r="CB76" s="370"/>
      <c r="CC76" s="505"/>
      <c r="CD76" s="505"/>
      <c r="CE76" s="505"/>
      <c r="CF76" s="505"/>
      <c r="CG76" s="505"/>
      <c r="CH76" s="505"/>
      <c r="CI76" s="505"/>
      <c r="CJ76" s="505"/>
      <c r="CK76" s="505"/>
      <c r="CL76" s="505"/>
      <c r="CM76" s="505"/>
    </row>
    <row r="77" customFormat="false" ht="12.75" hidden="false" customHeight="false" outlineLevel="0" collapsed="false">
      <c r="A77" s="500"/>
      <c r="B77" s="500"/>
      <c r="K77" s="363"/>
      <c r="L77" s="501"/>
      <c r="N77" s="502"/>
      <c r="O77" s="502"/>
      <c r="P77" s="371"/>
      <c r="Q77" s="501"/>
      <c r="R77" s="501"/>
      <c r="U77" s="501"/>
      <c r="V77" s="503"/>
      <c r="W77" s="503"/>
      <c r="X77" s="504"/>
      <c r="Y77" s="504"/>
      <c r="Z77" s="504"/>
      <c r="AA77" s="504"/>
      <c r="AB77" s="504"/>
      <c r="AC77" s="504"/>
      <c r="AF77" s="378"/>
      <c r="AG77" s="378"/>
      <c r="AH77" s="378"/>
      <c r="AI77" s="378"/>
      <c r="AJ77" s="378"/>
      <c r="AM77" s="505"/>
      <c r="AN77" s="505"/>
      <c r="AO77" s="505"/>
      <c r="AP77" s="505"/>
      <c r="AR77" s="370"/>
      <c r="AT77" s="370"/>
      <c r="AV77" s="506"/>
      <c r="AW77" s="370"/>
      <c r="AX77" s="370"/>
      <c r="AY77" s="370"/>
      <c r="AZ77" s="370"/>
      <c r="BA77" s="507"/>
      <c r="BB77" s="505"/>
      <c r="BC77" s="505"/>
      <c r="BD77" s="370"/>
      <c r="BE77" s="370"/>
      <c r="BF77" s="370"/>
      <c r="BG77" s="370"/>
      <c r="BH77" s="370"/>
      <c r="BI77" s="370"/>
      <c r="BJ77" s="370"/>
      <c r="BK77" s="370"/>
      <c r="BL77" s="370"/>
      <c r="BM77" s="370"/>
      <c r="BN77" s="370"/>
      <c r="BO77" s="370"/>
      <c r="BP77" s="370"/>
      <c r="BQ77" s="370"/>
      <c r="BR77" s="370"/>
      <c r="BS77" s="370"/>
      <c r="BV77" s="508"/>
      <c r="BW77" s="369"/>
      <c r="BX77" s="370"/>
      <c r="BY77" s="370"/>
      <c r="BZ77" s="370"/>
      <c r="CA77" s="370"/>
      <c r="CB77" s="370"/>
      <c r="CC77" s="505"/>
      <c r="CD77" s="505"/>
      <c r="CE77" s="505"/>
      <c r="CF77" s="505"/>
      <c r="CG77" s="505"/>
      <c r="CH77" s="505"/>
      <c r="CI77" s="505"/>
      <c r="CJ77" s="505"/>
      <c r="CK77" s="505"/>
      <c r="CL77" s="505"/>
      <c r="CM77" s="505"/>
    </row>
    <row r="78" customFormat="false" ht="12.75" hidden="false" customHeight="false" outlineLevel="0" collapsed="false">
      <c r="A78" s="500"/>
      <c r="B78" s="500"/>
      <c r="K78" s="363"/>
      <c r="L78" s="501"/>
      <c r="N78" s="502"/>
      <c r="O78" s="502"/>
      <c r="P78" s="371"/>
      <c r="Q78" s="501"/>
      <c r="R78" s="501"/>
      <c r="U78" s="501"/>
      <c r="V78" s="503"/>
      <c r="W78" s="503"/>
      <c r="X78" s="504"/>
      <c r="Y78" s="504"/>
      <c r="Z78" s="504"/>
      <c r="AA78" s="504"/>
      <c r="AB78" s="504"/>
      <c r="AC78" s="504"/>
      <c r="AF78" s="378"/>
      <c r="AG78" s="378"/>
      <c r="AH78" s="378"/>
      <c r="AI78" s="378"/>
      <c r="AJ78" s="378"/>
      <c r="AM78" s="505"/>
      <c r="AN78" s="505"/>
      <c r="AO78" s="505"/>
      <c r="AP78" s="505"/>
      <c r="AR78" s="370"/>
      <c r="AT78" s="370"/>
      <c r="AV78" s="506"/>
      <c r="AW78" s="370"/>
      <c r="AX78" s="370"/>
      <c r="AY78" s="370"/>
      <c r="AZ78" s="370"/>
      <c r="BA78" s="507"/>
      <c r="BB78" s="505"/>
      <c r="BC78" s="505"/>
      <c r="BD78" s="370"/>
      <c r="BE78" s="370"/>
      <c r="BF78" s="370"/>
      <c r="BG78" s="370"/>
      <c r="BH78" s="370"/>
      <c r="BI78" s="370"/>
      <c r="BJ78" s="370"/>
      <c r="BK78" s="370"/>
      <c r="BL78" s="370"/>
      <c r="BM78" s="370"/>
      <c r="BN78" s="370"/>
      <c r="BO78" s="370"/>
      <c r="BP78" s="370"/>
      <c r="BQ78" s="370"/>
      <c r="BR78" s="370"/>
      <c r="BS78" s="370"/>
      <c r="BV78" s="508"/>
      <c r="BW78" s="369"/>
      <c r="BX78" s="370"/>
      <c r="BY78" s="370"/>
      <c r="BZ78" s="370"/>
      <c r="CA78" s="370"/>
      <c r="CB78" s="370"/>
      <c r="CC78" s="505"/>
      <c r="CD78" s="505"/>
      <c r="CE78" s="505"/>
      <c r="CF78" s="505"/>
      <c r="CG78" s="505"/>
      <c r="CH78" s="505"/>
      <c r="CI78" s="505"/>
      <c r="CJ78" s="505"/>
      <c r="CK78" s="505"/>
      <c r="CL78" s="505"/>
      <c r="CM78" s="505"/>
    </row>
    <row r="79" customFormat="false" ht="12.75" hidden="false" customHeight="false" outlineLevel="0" collapsed="false">
      <c r="A79" s="500"/>
      <c r="B79" s="500"/>
      <c r="K79" s="363"/>
      <c r="L79" s="501"/>
      <c r="N79" s="502"/>
      <c r="O79" s="502"/>
      <c r="P79" s="371"/>
      <c r="Q79" s="501"/>
      <c r="R79" s="501"/>
      <c r="U79" s="501"/>
      <c r="V79" s="503"/>
      <c r="W79" s="503"/>
      <c r="X79" s="504"/>
      <c r="Y79" s="504"/>
      <c r="Z79" s="504"/>
      <c r="AA79" s="504"/>
      <c r="AB79" s="504"/>
      <c r="AC79" s="504"/>
      <c r="AF79" s="378"/>
      <c r="AG79" s="378"/>
      <c r="AH79" s="378"/>
      <c r="AI79" s="378"/>
      <c r="AJ79" s="378"/>
      <c r="AM79" s="505"/>
      <c r="AN79" s="505"/>
      <c r="AO79" s="505"/>
      <c r="AP79" s="505"/>
      <c r="AR79" s="370"/>
      <c r="AT79" s="370"/>
      <c r="AV79" s="506"/>
      <c r="AW79" s="370"/>
      <c r="AX79" s="370"/>
      <c r="AY79" s="370"/>
      <c r="AZ79" s="370"/>
      <c r="BA79" s="507"/>
      <c r="BB79" s="505"/>
      <c r="BC79" s="505"/>
      <c r="BD79" s="370"/>
      <c r="BE79" s="370"/>
      <c r="BF79" s="370"/>
      <c r="BG79" s="370"/>
      <c r="BH79" s="370"/>
      <c r="BI79" s="370"/>
      <c r="BJ79" s="370"/>
      <c r="BK79" s="370"/>
      <c r="BL79" s="370"/>
      <c r="BM79" s="370"/>
      <c r="BN79" s="370"/>
      <c r="BO79" s="370"/>
      <c r="BP79" s="370"/>
      <c r="BQ79" s="370"/>
      <c r="BR79" s="370"/>
      <c r="BS79" s="370"/>
      <c r="BV79" s="508"/>
      <c r="BW79" s="369"/>
      <c r="BX79" s="370"/>
      <c r="BY79" s="370"/>
      <c r="BZ79" s="370"/>
      <c r="CA79" s="370"/>
      <c r="CB79" s="370"/>
      <c r="CC79" s="505"/>
      <c r="CD79" s="505"/>
      <c r="CE79" s="505"/>
      <c r="CF79" s="505"/>
      <c r="CG79" s="505"/>
      <c r="CH79" s="505"/>
      <c r="CI79" s="505"/>
      <c r="CJ79" s="505"/>
      <c r="CK79" s="505"/>
      <c r="CL79" s="505"/>
      <c r="CM79" s="505"/>
    </row>
    <row r="80" customFormat="false" ht="12.75" hidden="false" customHeight="false" outlineLevel="0" collapsed="false">
      <c r="A80" s="500"/>
      <c r="B80" s="500"/>
      <c r="K80" s="363"/>
      <c r="L80" s="501"/>
      <c r="N80" s="502"/>
      <c r="O80" s="502"/>
      <c r="P80" s="371"/>
      <c r="Q80" s="501"/>
      <c r="R80" s="501"/>
      <c r="U80" s="501"/>
      <c r="V80" s="503"/>
      <c r="W80" s="503"/>
      <c r="X80" s="504"/>
      <c r="Y80" s="504"/>
      <c r="Z80" s="504"/>
      <c r="AA80" s="504"/>
      <c r="AB80" s="504"/>
      <c r="AC80" s="504"/>
      <c r="AF80" s="378"/>
      <c r="AG80" s="378"/>
      <c r="AH80" s="378"/>
      <c r="AI80" s="378"/>
      <c r="AJ80" s="378"/>
      <c r="AM80" s="505"/>
      <c r="AN80" s="505"/>
      <c r="AO80" s="505"/>
      <c r="AP80" s="505"/>
      <c r="AR80" s="370"/>
      <c r="AT80" s="370"/>
      <c r="AV80" s="506"/>
      <c r="AW80" s="370"/>
      <c r="AX80" s="370"/>
      <c r="AY80" s="370"/>
      <c r="AZ80" s="370"/>
      <c r="BA80" s="507"/>
      <c r="BB80" s="505"/>
      <c r="BC80" s="505"/>
      <c r="BD80" s="370"/>
      <c r="BE80" s="370"/>
      <c r="BF80" s="370"/>
      <c r="BG80" s="370"/>
      <c r="BH80" s="370"/>
      <c r="BI80" s="370"/>
      <c r="BJ80" s="370"/>
      <c r="BK80" s="370"/>
      <c r="BL80" s="370"/>
      <c r="BM80" s="370"/>
      <c r="BN80" s="370"/>
      <c r="BO80" s="370"/>
      <c r="BP80" s="370"/>
      <c r="BQ80" s="370"/>
      <c r="BR80" s="370"/>
      <c r="BS80" s="370"/>
      <c r="BV80" s="508"/>
      <c r="BW80" s="369"/>
      <c r="BX80" s="370"/>
      <c r="BY80" s="370"/>
      <c r="BZ80" s="370"/>
      <c r="CA80" s="370"/>
      <c r="CB80" s="370"/>
      <c r="CC80" s="505"/>
      <c r="CD80" s="505"/>
      <c r="CE80" s="505"/>
      <c r="CF80" s="505"/>
      <c r="CG80" s="505"/>
      <c r="CH80" s="505"/>
      <c r="CI80" s="505"/>
      <c r="CJ80" s="505"/>
      <c r="CK80" s="505"/>
      <c r="CL80" s="505"/>
      <c r="CM80" s="505"/>
    </row>
    <row r="81" customFormat="false" ht="12.75" hidden="false" customHeight="false" outlineLevel="0" collapsed="false">
      <c r="A81" s="500"/>
      <c r="B81" s="500"/>
      <c r="K81" s="363"/>
      <c r="L81" s="501"/>
      <c r="N81" s="502"/>
      <c r="O81" s="502"/>
      <c r="P81" s="371"/>
      <c r="Q81" s="501"/>
      <c r="R81" s="501"/>
      <c r="U81" s="501"/>
      <c r="V81" s="503"/>
      <c r="W81" s="503"/>
      <c r="X81" s="504"/>
      <c r="Y81" s="504"/>
      <c r="Z81" s="504"/>
      <c r="AA81" s="504"/>
      <c r="AB81" s="504"/>
      <c r="AC81" s="504"/>
      <c r="AF81" s="378"/>
      <c r="AG81" s="378"/>
      <c r="AH81" s="378"/>
      <c r="AI81" s="378"/>
      <c r="AJ81" s="378"/>
      <c r="AM81" s="505"/>
      <c r="AN81" s="505"/>
      <c r="AO81" s="505"/>
      <c r="AP81" s="505"/>
      <c r="AR81" s="370"/>
      <c r="AT81" s="370"/>
      <c r="AV81" s="506"/>
      <c r="AW81" s="370"/>
      <c r="AX81" s="370"/>
      <c r="AY81" s="370"/>
      <c r="AZ81" s="370"/>
      <c r="BA81" s="507"/>
      <c r="BB81" s="505"/>
      <c r="BC81" s="505"/>
      <c r="BD81" s="370"/>
      <c r="BE81" s="370"/>
      <c r="BF81" s="370"/>
      <c r="BG81" s="370"/>
      <c r="BH81" s="370"/>
      <c r="BI81" s="370"/>
      <c r="BJ81" s="370"/>
      <c r="BK81" s="370"/>
      <c r="BL81" s="370"/>
      <c r="BM81" s="370"/>
      <c r="BN81" s="370"/>
      <c r="BO81" s="370"/>
      <c r="BP81" s="370"/>
      <c r="BQ81" s="370"/>
      <c r="BR81" s="370"/>
      <c r="BS81" s="370"/>
      <c r="BV81" s="508"/>
      <c r="BW81" s="369"/>
      <c r="BX81" s="370"/>
      <c r="BY81" s="370"/>
      <c r="BZ81" s="370"/>
      <c r="CA81" s="370"/>
      <c r="CB81" s="370"/>
      <c r="CC81" s="505"/>
      <c r="CD81" s="505"/>
      <c r="CE81" s="505"/>
      <c r="CF81" s="505"/>
      <c r="CG81" s="505"/>
      <c r="CH81" s="505"/>
      <c r="CI81" s="505"/>
      <c r="CJ81" s="505"/>
      <c r="CK81" s="505"/>
      <c r="CL81" s="505"/>
      <c r="CM81" s="505"/>
    </row>
    <row r="82" customFormat="false" ht="12.75" hidden="false" customHeight="false" outlineLevel="0" collapsed="false">
      <c r="A82" s="500"/>
      <c r="B82" s="500"/>
      <c r="K82" s="363"/>
      <c r="L82" s="501"/>
      <c r="N82" s="502"/>
      <c r="O82" s="502"/>
      <c r="P82" s="371"/>
      <c r="Q82" s="501"/>
      <c r="R82" s="501"/>
      <c r="U82" s="501"/>
      <c r="V82" s="503"/>
      <c r="W82" s="503"/>
      <c r="X82" s="504"/>
      <c r="Y82" s="504"/>
      <c r="Z82" s="504"/>
      <c r="AA82" s="504"/>
      <c r="AB82" s="504"/>
      <c r="AC82" s="504"/>
      <c r="AF82" s="378"/>
      <c r="AG82" s="378"/>
      <c r="AH82" s="378"/>
      <c r="AI82" s="378"/>
      <c r="AJ82" s="378"/>
      <c r="AM82" s="505"/>
      <c r="AN82" s="505"/>
      <c r="AO82" s="505"/>
      <c r="AP82" s="505"/>
      <c r="AR82" s="370"/>
      <c r="AT82" s="370"/>
      <c r="AV82" s="506"/>
      <c r="AW82" s="370"/>
      <c r="AX82" s="370"/>
      <c r="AY82" s="370"/>
      <c r="AZ82" s="370"/>
      <c r="BA82" s="507"/>
      <c r="BB82" s="505"/>
      <c r="BC82" s="505"/>
      <c r="BD82" s="370"/>
      <c r="BE82" s="370"/>
      <c r="BF82" s="370"/>
      <c r="BG82" s="370"/>
      <c r="BH82" s="370"/>
      <c r="BI82" s="370"/>
      <c r="BJ82" s="370"/>
      <c r="BK82" s="370"/>
      <c r="BL82" s="370"/>
      <c r="BM82" s="370"/>
      <c r="BN82" s="370"/>
      <c r="BO82" s="370"/>
      <c r="BP82" s="370"/>
      <c r="BQ82" s="370"/>
      <c r="BR82" s="370"/>
      <c r="BS82" s="370"/>
      <c r="BV82" s="508"/>
      <c r="BW82" s="369"/>
      <c r="BX82" s="370"/>
      <c r="BY82" s="370"/>
      <c r="BZ82" s="370"/>
      <c r="CA82" s="370"/>
      <c r="CB82" s="370"/>
      <c r="CC82" s="505"/>
      <c r="CD82" s="505"/>
      <c r="CE82" s="505"/>
      <c r="CF82" s="505"/>
      <c r="CG82" s="505"/>
      <c r="CH82" s="505"/>
      <c r="CI82" s="505"/>
      <c r="CJ82" s="505"/>
      <c r="CK82" s="505"/>
      <c r="CL82" s="505"/>
      <c r="CM82" s="505"/>
    </row>
    <row r="83" customFormat="false" ht="12.75" hidden="false" customHeight="false" outlineLevel="0" collapsed="false">
      <c r="A83" s="500"/>
      <c r="B83" s="500"/>
      <c r="K83" s="363"/>
      <c r="L83" s="501"/>
      <c r="N83" s="502"/>
      <c r="O83" s="502"/>
      <c r="P83" s="371"/>
      <c r="Q83" s="501"/>
      <c r="R83" s="501"/>
      <c r="U83" s="501"/>
      <c r="V83" s="503"/>
      <c r="W83" s="503"/>
      <c r="X83" s="504"/>
      <c r="Y83" s="504"/>
      <c r="Z83" s="504"/>
      <c r="AA83" s="504"/>
      <c r="AB83" s="504"/>
      <c r="AC83" s="504"/>
      <c r="AF83" s="378"/>
      <c r="AG83" s="378"/>
      <c r="AH83" s="378"/>
      <c r="AI83" s="378"/>
      <c r="AJ83" s="378"/>
      <c r="AM83" s="505"/>
      <c r="AN83" s="505"/>
      <c r="AO83" s="505"/>
      <c r="AP83" s="505"/>
      <c r="AR83" s="370"/>
      <c r="AT83" s="370"/>
      <c r="AV83" s="506"/>
      <c r="AW83" s="370"/>
      <c r="AX83" s="370"/>
      <c r="AY83" s="370"/>
      <c r="AZ83" s="370"/>
      <c r="BA83" s="507"/>
      <c r="BB83" s="505"/>
      <c r="BC83" s="505"/>
      <c r="BD83" s="370"/>
      <c r="BE83" s="370"/>
      <c r="BF83" s="370"/>
      <c r="BG83" s="370"/>
      <c r="BH83" s="370"/>
      <c r="BI83" s="370"/>
      <c r="BJ83" s="370"/>
      <c r="BK83" s="370"/>
      <c r="BL83" s="370"/>
      <c r="BM83" s="370"/>
      <c r="BN83" s="370"/>
      <c r="BO83" s="370"/>
      <c r="BP83" s="370"/>
      <c r="BQ83" s="370"/>
      <c r="BR83" s="370"/>
      <c r="BS83" s="370"/>
      <c r="BV83" s="508"/>
      <c r="BW83" s="369"/>
      <c r="BX83" s="370"/>
      <c r="BY83" s="370"/>
      <c r="BZ83" s="370"/>
      <c r="CA83" s="370"/>
      <c r="CB83" s="370"/>
      <c r="CC83" s="505"/>
      <c r="CD83" s="505"/>
      <c r="CE83" s="505"/>
      <c r="CF83" s="505"/>
      <c r="CG83" s="505"/>
      <c r="CH83" s="505"/>
      <c r="CI83" s="505"/>
      <c r="CJ83" s="505"/>
      <c r="CK83" s="505"/>
      <c r="CL83" s="505"/>
      <c r="CM83" s="505"/>
    </row>
    <row r="84" customFormat="false" ht="12.75" hidden="false" customHeight="false" outlineLevel="0" collapsed="false">
      <c r="A84" s="500"/>
      <c r="B84" s="500"/>
      <c r="K84" s="363"/>
      <c r="L84" s="501"/>
      <c r="N84" s="502"/>
      <c r="O84" s="502"/>
      <c r="P84" s="371"/>
      <c r="Q84" s="501"/>
      <c r="R84" s="501"/>
      <c r="U84" s="501"/>
      <c r="V84" s="503"/>
      <c r="W84" s="503"/>
      <c r="X84" s="504"/>
      <c r="Y84" s="504"/>
      <c r="Z84" s="504"/>
      <c r="AA84" s="504"/>
      <c r="AB84" s="504"/>
      <c r="AC84" s="504"/>
      <c r="AF84" s="378"/>
      <c r="AG84" s="378"/>
      <c r="AH84" s="378"/>
      <c r="AI84" s="378"/>
      <c r="AJ84" s="378"/>
      <c r="AM84" s="505"/>
      <c r="AN84" s="505"/>
      <c r="AO84" s="505"/>
      <c r="AP84" s="505"/>
      <c r="AR84" s="370"/>
      <c r="AT84" s="370"/>
      <c r="AV84" s="506"/>
      <c r="AW84" s="370"/>
      <c r="AX84" s="370"/>
      <c r="AY84" s="370"/>
      <c r="AZ84" s="370"/>
      <c r="BA84" s="507"/>
      <c r="BB84" s="505"/>
      <c r="BC84" s="505"/>
      <c r="BD84" s="370"/>
      <c r="BE84" s="370"/>
      <c r="BF84" s="370"/>
      <c r="BG84" s="370"/>
      <c r="BH84" s="370"/>
      <c r="BI84" s="370"/>
      <c r="BJ84" s="370"/>
      <c r="BK84" s="370"/>
      <c r="BL84" s="370"/>
      <c r="BM84" s="370"/>
      <c r="BN84" s="370"/>
      <c r="BO84" s="370"/>
      <c r="BP84" s="370"/>
      <c r="BQ84" s="370"/>
      <c r="BR84" s="370"/>
      <c r="BS84" s="370"/>
      <c r="BV84" s="508"/>
      <c r="BW84" s="369"/>
      <c r="BX84" s="370"/>
      <c r="BY84" s="370"/>
      <c r="BZ84" s="370"/>
      <c r="CA84" s="370"/>
      <c r="CB84" s="370"/>
      <c r="CC84" s="505"/>
      <c r="CD84" s="505"/>
      <c r="CE84" s="505"/>
      <c r="CF84" s="505"/>
      <c r="CG84" s="505"/>
      <c r="CH84" s="505"/>
      <c r="CI84" s="505"/>
      <c r="CJ84" s="505"/>
      <c r="CK84" s="505"/>
      <c r="CL84" s="505"/>
      <c r="CM84" s="505"/>
    </row>
    <row r="85" customFormat="false" ht="12.75" hidden="false" customHeight="false" outlineLevel="0" collapsed="false">
      <c r="A85" s="500"/>
      <c r="B85" s="500"/>
      <c r="K85" s="363"/>
      <c r="L85" s="501"/>
      <c r="N85" s="502"/>
      <c r="O85" s="502"/>
      <c r="P85" s="371"/>
      <c r="Q85" s="501"/>
      <c r="R85" s="501"/>
      <c r="U85" s="501"/>
      <c r="V85" s="503"/>
      <c r="W85" s="503"/>
      <c r="X85" s="504"/>
      <c r="Y85" s="504"/>
      <c r="Z85" s="504"/>
      <c r="AA85" s="504"/>
      <c r="AB85" s="504"/>
      <c r="AC85" s="504"/>
      <c r="AF85" s="378"/>
      <c r="AG85" s="378"/>
      <c r="AH85" s="378"/>
      <c r="AI85" s="378"/>
      <c r="AJ85" s="378"/>
      <c r="AM85" s="505"/>
      <c r="AN85" s="505"/>
      <c r="AO85" s="505"/>
      <c r="AP85" s="505"/>
      <c r="AR85" s="370"/>
      <c r="AT85" s="370"/>
      <c r="AV85" s="506"/>
      <c r="AW85" s="370"/>
      <c r="AX85" s="370"/>
      <c r="AY85" s="370"/>
      <c r="AZ85" s="370"/>
      <c r="BA85" s="507"/>
      <c r="BB85" s="505"/>
      <c r="BC85" s="505"/>
      <c r="BD85" s="370"/>
      <c r="BE85" s="370"/>
      <c r="BF85" s="370"/>
      <c r="BG85" s="370"/>
      <c r="BH85" s="370"/>
      <c r="BI85" s="370"/>
      <c r="BJ85" s="370"/>
      <c r="BK85" s="370"/>
      <c r="BL85" s="370"/>
      <c r="BM85" s="370"/>
      <c r="BN85" s="370"/>
      <c r="BO85" s="370"/>
      <c r="BP85" s="370"/>
      <c r="BQ85" s="370"/>
      <c r="BR85" s="370"/>
      <c r="BS85" s="370"/>
      <c r="BV85" s="508"/>
      <c r="BW85" s="369"/>
      <c r="BX85" s="370"/>
      <c r="BY85" s="370"/>
      <c r="BZ85" s="370"/>
      <c r="CA85" s="370"/>
      <c r="CB85" s="370"/>
      <c r="CC85" s="505"/>
      <c r="CD85" s="505"/>
      <c r="CE85" s="505"/>
      <c r="CF85" s="505"/>
      <c r="CG85" s="505"/>
      <c r="CH85" s="505"/>
      <c r="CI85" s="505"/>
      <c r="CJ85" s="505"/>
      <c r="CK85" s="505"/>
      <c r="CL85" s="505"/>
      <c r="CM85" s="505"/>
    </row>
    <row r="86" customFormat="false" ht="12.75" hidden="false" customHeight="false" outlineLevel="0" collapsed="false">
      <c r="A86" s="500"/>
      <c r="B86" s="500"/>
      <c r="K86" s="363"/>
      <c r="L86" s="501"/>
      <c r="N86" s="502"/>
      <c r="O86" s="502"/>
      <c r="P86" s="371"/>
      <c r="Q86" s="501"/>
      <c r="R86" s="501"/>
      <c r="U86" s="501"/>
      <c r="V86" s="503"/>
      <c r="W86" s="503"/>
      <c r="X86" s="504"/>
      <c r="Y86" s="504"/>
      <c r="Z86" s="504"/>
      <c r="AA86" s="504"/>
      <c r="AB86" s="504"/>
      <c r="AC86" s="504"/>
      <c r="AF86" s="378"/>
      <c r="AG86" s="378"/>
      <c r="AH86" s="378"/>
      <c r="AI86" s="378"/>
      <c r="AJ86" s="378"/>
      <c r="AM86" s="505"/>
      <c r="AN86" s="505"/>
      <c r="AO86" s="505"/>
      <c r="AP86" s="505"/>
      <c r="AR86" s="370"/>
      <c r="AT86" s="370"/>
      <c r="AV86" s="506"/>
      <c r="AW86" s="370"/>
      <c r="AX86" s="370"/>
      <c r="AY86" s="370"/>
      <c r="AZ86" s="370"/>
      <c r="BA86" s="507"/>
      <c r="BB86" s="505"/>
      <c r="BC86" s="505"/>
      <c r="BD86" s="370"/>
      <c r="BE86" s="370"/>
      <c r="BF86" s="370"/>
      <c r="BG86" s="370"/>
      <c r="BH86" s="370"/>
      <c r="BI86" s="370"/>
      <c r="BJ86" s="370"/>
      <c r="BK86" s="370"/>
      <c r="BL86" s="370"/>
      <c r="BM86" s="370"/>
      <c r="BN86" s="370"/>
      <c r="BO86" s="370"/>
      <c r="BP86" s="370"/>
      <c r="BQ86" s="370"/>
      <c r="BR86" s="370"/>
      <c r="BS86" s="370"/>
      <c r="BV86" s="508"/>
      <c r="BW86" s="369"/>
      <c r="BX86" s="370"/>
      <c r="BY86" s="370"/>
      <c r="BZ86" s="370"/>
      <c r="CA86" s="370"/>
      <c r="CB86" s="370"/>
      <c r="CC86" s="505"/>
      <c r="CD86" s="505"/>
      <c r="CE86" s="505"/>
      <c r="CF86" s="505"/>
      <c r="CG86" s="505"/>
      <c r="CH86" s="505"/>
      <c r="CI86" s="505"/>
      <c r="CJ86" s="505"/>
      <c r="CK86" s="505"/>
      <c r="CL86" s="505"/>
      <c r="CM86" s="505"/>
    </row>
    <row r="87" customFormat="false" ht="12.75" hidden="false" customHeight="false" outlineLevel="0" collapsed="false">
      <c r="A87" s="500"/>
      <c r="B87" s="500"/>
      <c r="K87" s="363"/>
      <c r="L87" s="501"/>
      <c r="N87" s="502"/>
      <c r="O87" s="502"/>
      <c r="P87" s="371"/>
      <c r="Q87" s="501"/>
      <c r="R87" s="501"/>
      <c r="U87" s="501"/>
      <c r="V87" s="503"/>
      <c r="W87" s="503"/>
      <c r="X87" s="504"/>
      <c r="Y87" s="504"/>
      <c r="Z87" s="504"/>
      <c r="AA87" s="504"/>
      <c r="AB87" s="504"/>
      <c r="AC87" s="504"/>
      <c r="AF87" s="378"/>
      <c r="AG87" s="378"/>
      <c r="AH87" s="378"/>
      <c r="AI87" s="378"/>
      <c r="AJ87" s="378"/>
      <c r="AM87" s="505"/>
      <c r="AN87" s="505"/>
      <c r="AO87" s="505"/>
      <c r="AP87" s="505"/>
      <c r="AR87" s="370"/>
      <c r="AT87" s="370"/>
      <c r="AV87" s="506"/>
      <c r="AW87" s="370"/>
      <c r="AX87" s="370"/>
      <c r="AY87" s="370"/>
      <c r="AZ87" s="370"/>
      <c r="BA87" s="507"/>
      <c r="BB87" s="505"/>
      <c r="BC87" s="505"/>
      <c r="BD87" s="370"/>
      <c r="BE87" s="370"/>
      <c r="BF87" s="370"/>
      <c r="BG87" s="370"/>
      <c r="BH87" s="370"/>
      <c r="BI87" s="370"/>
      <c r="BJ87" s="370"/>
      <c r="BK87" s="370"/>
      <c r="BL87" s="370"/>
      <c r="BM87" s="370"/>
      <c r="BN87" s="370"/>
      <c r="BO87" s="370"/>
      <c r="BP87" s="370"/>
      <c r="BQ87" s="370"/>
      <c r="BR87" s="370"/>
      <c r="BS87" s="370"/>
      <c r="BV87" s="508"/>
      <c r="BW87" s="369"/>
      <c r="BX87" s="370"/>
      <c r="BY87" s="370"/>
      <c r="BZ87" s="370"/>
      <c r="CA87" s="370"/>
      <c r="CB87" s="370"/>
      <c r="CC87" s="505"/>
      <c r="CD87" s="505"/>
      <c r="CE87" s="505"/>
      <c r="CF87" s="505"/>
      <c r="CG87" s="505"/>
      <c r="CH87" s="505"/>
      <c r="CI87" s="505"/>
      <c r="CJ87" s="505"/>
      <c r="CK87" s="505"/>
      <c r="CL87" s="505"/>
      <c r="CM87" s="505"/>
    </row>
    <row r="88" customFormat="false" ht="12.75" hidden="false" customHeight="false" outlineLevel="0" collapsed="false">
      <c r="A88" s="500"/>
      <c r="B88" s="500"/>
      <c r="K88" s="363"/>
      <c r="L88" s="501"/>
      <c r="N88" s="502"/>
      <c r="O88" s="502"/>
      <c r="P88" s="371"/>
      <c r="Q88" s="501"/>
      <c r="R88" s="501"/>
      <c r="U88" s="501"/>
      <c r="V88" s="503"/>
      <c r="W88" s="503"/>
      <c r="X88" s="504"/>
      <c r="Y88" s="504"/>
      <c r="Z88" s="504"/>
      <c r="AA88" s="504"/>
      <c r="AB88" s="504"/>
      <c r="AC88" s="504"/>
      <c r="AF88" s="378"/>
      <c r="AG88" s="378"/>
      <c r="AH88" s="378"/>
      <c r="AI88" s="378"/>
      <c r="AJ88" s="378"/>
      <c r="AM88" s="505"/>
      <c r="AN88" s="505"/>
      <c r="AO88" s="505"/>
      <c r="AP88" s="505"/>
      <c r="AR88" s="370"/>
      <c r="AT88" s="370"/>
      <c r="AV88" s="506"/>
      <c r="AW88" s="370"/>
      <c r="AX88" s="370"/>
      <c r="AY88" s="370"/>
      <c r="AZ88" s="370"/>
      <c r="BA88" s="507"/>
      <c r="BB88" s="505"/>
      <c r="BC88" s="505"/>
      <c r="BD88" s="370"/>
      <c r="BE88" s="370"/>
      <c r="BF88" s="370"/>
      <c r="BG88" s="370"/>
      <c r="BH88" s="370"/>
      <c r="BI88" s="370"/>
      <c r="BJ88" s="370"/>
      <c r="BK88" s="370"/>
      <c r="BL88" s="370"/>
      <c r="BM88" s="370"/>
      <c r="BN88" s="370"/>
      <c r="BO88" s="370"/>
      <c r="BP88" s="370"/>
      <c r="BQ88" s="370"/>
      <c r="BR88" s="370"/>
      <c r="BS88" s="370"/>
      <c r="BV88" s="508"/>
      <c r="BW88" s="369"/>
      <c r="BX88" s="370"/>
      <c r="BY88" s="370"/>
      <c r="BZ88" s="370"/>
      <c r="CA88" s="370"/>
      <c r="CB88" s="370"/>
      <c r="CC88" s="505"/>
      <c r="CD88" s="505"/>
      <c r="CE88" s="505"/>
      <c r="CF88" s="505"/>
      <c r="CG88" s="505"/>
      <c r="CH88" s="505"/>
      <c r="CI88" s="505"/>
      <c r="CJ88" s="505"/>
      <c r="CK88" s="505"/>
      <c r="CL88" s="505"/>
      <c r="CM88" s="505"/>
    </row>
    <row r="89" customFormat="false" ht="12.75" hidden="false" customHeight="false" outlineLevel="0" collapsed="false">
      <c r="A89" s="500"/>
      <c r="B89" s="500"/>
      <c r="K89" s="363"/>
      <c r="L89" s="501"/>
      <c r="N89" s="502"/>
      <c r="O89" s="502"/>
      <c r="P89" s="371"/>
      <c r="Q89" s="501"/>
      <c r="R89" s="501"/>
      <c r="U89" s="501"/>
      <c r="V89" s="503"/>
      <c r="W89" s="503"/>
      <c r="X89" s="504"/>
      <c r="Y89" s="504"/>
      <c r="Z89" s="504"/>
      <c r="AA89" s="504"/>
      <c r="AB89" s="504"/>
      <c r="AC89" s="504"/>
      <c r="AF89" s="378"/>
      <c r="AG89" s="378"/>
      <c r="AH89" s="378"/>
      <c r="AI89" s="378"/>
      <c r="AJ89" s="378"/>
      <c r="AM89" s="505"/>
      <c r="AN89" s="505"/>
      <c r="AO89" s="505"/>
      <c r="AP89" s="505"/>
      <c r="AR89" s="370"/>
      <c r="AT89" s="370"/>
      <c r="AV89" s="506"/>
      <c r="AW89" s="370"/>
      <c r="AX89" s="370"/>
      <c r="AY89" s="370"/>
      <c r="AZ89" s="370"/>
      <c r="BA89" s="507"/>
      <c r="BB89" s="505"/>
      <c r="BC89" s="505"/>
      <c r="BD89" s="370"/>
      <c r="BE89" s="370"/>
      <c r="BF89" s="370"/>
      <c r="BG89" s="370"/>
      <c r="BH89" s="370"/>
      <c r="BI89" s="370"/>
      <c r="BJ89" s="370"/>
      <c r="BK89" s="370"/>
      <c r="BL89" s="370"/>
      <c r="BM89" s="370"/>
      <c r="BN89" s="370"/>
      <c r="BO89" s="370"/>
      <c r="BP89" s="370"/>
      <c r="BQ89" s="370"/>
      <c r="BR89" s="370"/>
      <c r="BS89" s="370"/>
      <c r="BV89" s="508"/>
      <c r="BW89" s="369"/>
      <c r="BX89" s="370"/>
      <c r="BY89" s="370"/>
      <c r="BZ89" s="370"/>
      <c r="CA89" s="370"/>
      <c r="CB89" s="370"/>
      <c r="CC89" s="505"/>
      <c r="CD89" s="505"/>
      <c r="CE89" s="505"/>
      <c r="CF89" s="505"/>
      <c r="CG89" s="505"/>
      <c r="CH89" s="505"/>
      <c r="CI89" s="505"/>
      <c r="CJ89" s="505"/>
      <c r="CK89" s="505"/>
      <c r="CL89" s="505"/>
      <c r="CM89" s="505"/>
    </row>
    <row r="90" customFormat="false" ht="12.75" hidden="false" customHeight="false" outlineLevel="0" collapsed="false">
      <c r="A90" s="500"/>
      <c r="B90" s="500"/>
      <c r="K90" s="363"/>
      <c r="L90" s="501"/>
      <c r="N90" s="502"/>
      <c r="O90" s="502"/>
      <c r="P90" s="371"/>
      <c r="Q90" s="501"/>
      <c r="R90" s="501"/>
      <c r="U90" s="501"/>
      <c r="V90" s="503"/>
      <c r="W90" s="503"/>
      <c r="X90" s="504"/>
      <c r="Y90" s="504"/>
      <c r="Z90" s="504"/>
      <c r="AA90" s="504"/>
      <c r="AB90" s="504"/>
      <c r="AC90" s="504"/>
      <c r="AF90" s="378"/>
      <c r="AG90" s="378"/>
      <c r="AH90" s="378"/>
      <c r="AI90" s="378"/>
      <c r="AJ90" s="378"/>
      <c r="AM90" s="505"/>
      <c r="AN90" s="505"/>
      <c r="AO90" s="505"/>
      <c r="AP90" s="505"/>
      <c r="AR90" s="370"/>
      <c r="AT90" s="370"/>
      <c r="AV90" s="506"/>
      <c r="AW90" s="370"/>
      <c r="AX90" s="370"/>
      <c r="AY90" s="370"/>
      <c r="AZ90" s="370"/>
      <c r="BA90" s="507"/>
      <c r="BB90" s="505"/>
      <c r="BC90" s="505"/>
      <c r="BD90" s="370"/>
      <c r="BE90" s="370"/>
      <c r="BF90" s="370"/>
      <c r="BG90" s="370"/>
      <c r="BH90" s="370"/>
      <c r="BI90" s="370"/>
      <c r="BJ90" s="370"/>
      <c r="BK90" s="370"/>
      <c r="BL90" s="370"/>
      <c r="BM90" s="370"/>
      <c r="BN90" s="370"/>
      <c r="BO90" s="370"/>
      <c r="BP90" s="370"/>
      <c r="BQ90" s="370"/>
      <c r="BR90" s="370"/>
      <c r="BS90" s="370"/>
      <c r="BV90" s="508"/>
      <c r="BW90" s="369"/>
      <c r="BX90" s="370"/>
      <c r="BY90" s="370"/>
      <c r="BZ90" s="370"/>
      <c r="CA90" s="370"/>
      <c r="CB90" s="370"/>
      <c r="CC90" s="505"/>
      <c r="CD90" s="505"/>
      <c r="CE90" s="505"/>
      <c r="CF90" s="505"/>
      <c r="CG90" s="505"/>
      <c r="CH90" s="505"/>
      <c r="CI90" s="505"/>
      <c r="CJ90" s="505"/>
      <c r="CK90" s="505"/>
      <c r="CL90" s="505"/>
      <c r="CM90" s="505"/>
    </row>
    <row r="91" customFormat="false" ht="12.75" hidden="false" customHeight="false" outlineLevel="0" collapsed="false">
      <c r="A91" s="500"/>
      <c r="B91" s="500"/>
      <c r="K91" s="363"/>
      <c r="L91" s="501"/>
      <c r="N91" s="502"/>
      <c r="O91" s="502"/>
      <c r="P91" s="371"/>
      <c r="Q91" s="501"/>
      <c r="R91" s="501"/>
      <c r="U91" s="501"/>
      <c r="V91" s="503"/>
      <c r="W91" s="503"/>
      <c r="X91" s="504"/>
      <c r="Y91" s="504"/>
      <c r="Z91" s="504"/>
      <c r="AA91" s="504"/>
      <c r="AB91" s="504"/>
      <c r="AC91" s="504"/>
      <c r="AF91" s="378"/>
      <c r="AG91" s="378"/>
      <c r="AH91" s="378"/>
      <c r="AI91" s="378"/>
      <c r="AJ91" s="378"/>
      <c r="AM91" s="505"/>
      <c r="AN91" s="505"/>
      <c r="AO91" s="505"/>
      <c r="AP91" s="505"/>
      <c r="AR91" s="370"/>
      <c r="AT91" s="370"/>
      <c r="AV91" s="506"/>
      <c r="AW91" s="370"/>
      <c r="AX91" s="370"/>
      <c r="AY91" s="370"/>
      <c r="AZ91" s="370"/>
      <c r="BA91" s="507"/>
      <c r="BB91" s="505"/>
      <c r="BC91" s="505"/>
      <c r="BD91" s="370"/>
      <c r="BE91" s="370"/>
      <c r="BF91" s="370"/>
      <c r="BG91" s="370"/>
      <c r="BH91" s="370"/>
      <c r="BI91" s="370"/>
      <c r="BJ91" s="370"/>
      <c r="BK91" s="370"/>
      <c r="BL91" s="370"/>
      <c r="BM91" s="370"/>
      <c r="BN91" s="370"/>
      <c r="BO91" s="370"/>
      <c r="BP91" s="370"/>
      <c r="BQ91" s="370"/>
      <c r="BR91" s="370"/>
      <c r="BS91" s="370"/>
      <c r="BV91" s="508"/>
      <c r="BW91" s="369"/>
      <c r="BX91" s="370"/>
      <c r="BY91" s="370"/>
      <c r="BZ91" s="370"/>
      <c r="CA91" s="370"/>
      <c r="CB91" s="370"/>
      <c r="CC91" s="505"/>
      <c r="CD91" s="505"/>
      <c r="CE91" s="505"/>
      <c r="CF91" s="505"/>
      <c r="CG91" s="505"/>
      <c r="CH91" s="505"/>
      <c r="CI91" s="505"/>
      <c r="CJ91" s="505"/>
      <c r="CK91" s="505"/>
      <c r="CL91" s="505"/>
      <c r="CM91" s="505"/>
    </row>
    <row r="92" customFormat="false" ht="12.75" hidden="false" customHeight="false" outlineLevel="0" collapsed="false">
      <c r="A92" s="500"/>
      <c r="B92" s="500"/>
      <c r="K92" s="363"/>
      <c r="L92" s="501"/>
      <c r="N92" s="502"/>
      <c r="O92" s="502"/>
      <c r="P92" s="371"/>
      <c r="Q92" s="501"/>
      <c r="R92" s="501"/>
      <c r="U92" s="501"/>
      <c r="V92" s="503"/>
      <c r="W92" s="503"/>
      <c r="X92" s="504"/>
      <c r="Y92" s="504"/>
      <c r="Z92" s="504"/>
      <c r="AA92" s="504"/>
      <c r="AB92" s="504"/>
      <c r="AC92" s="504"/>
      <c r="AF92" s="378"/>
      <c r="AG92" s="378"/>
      <c r="AH92" s="378"/>
      <c r="AI92" s="378"/>
      <c r="AJ92" s="378"/>
      <c r="AM92" s="505"/>
      <c r="AN92" s="505"/>
      <c r="AO92" s="505"/>
      <c r="AP92" s="505"/>
      <c r="AR92" s="370"/>
      <c r="AT92" s="370"/>
      <c r="AV92" s="506"/>
      <c r="AW92" s="370"/>
      <c r="AX92" s="370"/>
      <c r="AY92" s="370"/>
      <c r="AZ92" s="370"/>
      <c r="BA92" s="507"/>
      <c r="BB92" s="505"/>
      <c r="BC92" s="505"/>
      <c r="BD92" s="370"/>
      <c r="BE92" s="370"/>
      <c r="BF92" s="370"/>
      <c r="BG92" s="370"/>
      <c r="BH92" s="370"/>
      <c r="BI92" s="370"/>
      <c r="BJ92" s="370"/>
      <c r="BK92" s="370"/>
      <c r="BL92" s="370"/>
      <c r="BM92" s="370"/>
      <c r="BN92" s="370"/>
      <c r="BO92" s="370"/>
      <c r="BP92" s="370"/>
      <c r="BQ92" s="370"/>
      <c r="BR92" s="370"/>
      <c r="BS92" s="370"/>
      <c r="BV92" s="508"/>
      <c r="BW92" s="369"/>
      <c r="BX92" s="370"/>
      <c r="BY92" s="370"/>
      <c r="BZ92" s="370"/>
      <c r="CA92" s="370"/>
      <c r="CB92" s="370"/>
      <c r="CC92" s="505"/>
      <c r="CD92" s="505"/>
      <c r="CE92" s="505"/>
      <c r="CF92" s="505"/>
      <c r="CG92" s="505"/>
      <c r="CH92" s="505"/>
      <c r="CI92" s="505"/>
      <c r="CJ92" s="505"/>
      <c r="CK92" s="505"/>
      <c r="CL92" s="505"/>
      <c r="CM92" s="505"/>
    </row>
    <row r="93" customFormat="false" ht="12.75" hidden="false" customHeight="false" outlineLevel="0" collapsed="false">
      <c r="A93" s="500"/>
      <c r="B93" s="500"/>
    </row>
    <row r="94" customFormat="false" ht="12.75" hidden="false" customHeight="false" outlineLevel="0" collapsed="false">
      <c r="A94" s="500"/>
      <c r="B94" s="500"/>
    </row>
    <row r="95" customFormat="false" ht="12.75" hidden="false" customHeight="false" outlineLevel="0" collapsed="false">
      <c r="A95" s="500"/>
      <c r="B95" s="500"/>
    </row>
  </sheetData>
  <mergeCells count="99">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33"/>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30"/>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84</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456276.18</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2367690.16</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-1911413.98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10172.78</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SUMPRODUCT(L22:L30,F22:F30)</f>
        <v>#VALUE!</v>
      </c>
      <c r="L10" s="414" t="s">
        <v>478</v>
      </c>
      <c r="M10" s="414"/>
      <c r="N10" s="400" t="e">
        <f aca="true">-SUMPRODUCT(INDIRECT(CONCATENATE(AV10,":",AW10)),INDIRECT(CONCATENATE($AX$7,":",$AY$7)),INDIRECT(CONCATENATE($AV$3,":",$AW$3)))</f>
        <v>#VALUE!</v>
      </c>
      <c r="O10" s="400" t="n">
        <v>-319465.84</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SUMPRODUCT(K22:K30,F22:F30)</f>
        <v>#VALUE!</v>
      </c>
      <c r="L11" s="425" t="s">
        <v>481</v>
      </c>
      <c r="M11" s="425"/>
      <c r="N11" s="426" t="e">
        <f aca="true">-SUMPRODUCT(INDIRECT(CONCATENATE(AV11,":",AW11)),INDIRECT(CONCATENATE($AV$2,":",$AW$2)),INDIRECT(CONCATENATE($AV$3,":",$AW$3)),INDIRECT(CONCATENATE(AX3,":",AY3)))</f>
        <v>#VALUE!</v>
      </c>
      <c r="O11" s="427" t="n">
        <v>-197568</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-8132.35</v>
      </c>
      <c r="P12" s="415" t="e">
        <f aca="false">N12-O12</f>
        <v>#VALUE!</v>
      </c>
      <c r="X12" s="532" t="s">
        <v>534</v>
      </c>
      <c r="Y12" s="533" t="n">
        <v>0.8066</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83.84</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-304.83</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70.19</v>
      </c>
      <c r="P15" s="415" t="e">
        <f aca="false">N15-O15</f>
        <v>#VALUE!</v>
      </c>
      <c r="X15" s="536" t="n">
        <v>2001</v>
      </c>
      <c r="Y15" s="537" t="n">
        <v>0.003</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49.53</v>
      </c>
      <c r="P16" s="415" t="e">
        <f aca="false">N16-O16</f>
        <v>#VALUE!</v>
      </c>
      <c r="X16" s="536" t="n">
        <v>2002</v>
      </c>
      <c r="Y16" s="537" t="n">
        <v>0.002</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24.35</v>
      </c>
      <c r="P17" s="428" t="e">
        <f aca="false">N17-O17</f>
        <v>#VALUE!</v>
      </c>
      <c r="X17" s="538" t="n">
        <v>2003</v>
      </c>
      <c r="Y17" s="539" t="n">
        <v>0.0016</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440281.39</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15994.8</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2.66283924843424</v>
      </c>
      <c r="BW22" s="369" t="n">
        <v>2.821</v>
      </c>
      <c r="BX22" s="370" t="n">
        <v>1.01983536862794</v>
      </c>
      <c r="BY22" s="370" t="n">
        <v>1.01983536862794</v>
      </c>
      <c r="BZ22" s="370" t="n">
        <v>0.996089736138556</v>
      </c>
      <c r="CA22" s="370" t="n">
        <v>0.0187659081571607</v>
      </c>
      <c r="CB22" s="370" t="n">
        <v>0.998364899395796</v>
      </c>
      <c r="CC22" s="505" t="n">
        <v>-0.31</v>
      </c>
      <c r="CD22" s="505" t="n">
        <v>0.015</v>
      </c>
      <c r="CE22" s="505" t="n">
        <v>-0.015</v>
      </c>
      <c r="CF22" s="505" t="n">
        <v>-0.01</v>
      </c>
      <c r="CG22" s="505" t="n">
        <v>0.0672</v>
      </c>
      <c r="CH22" s="505" t="n">
        <v>25.0256135871947</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2.69624217118998</v>
      </c>
      <c r="BW23" s="369" t="n">
        <v>2.808</v>
      </c>
      <c r="BX23" s="370" t="n">
        <v>0.941356881197444</v>
      </c>
      <c r="BY23" s="370" t="n">
        <v>0.941356881197444</v>
      </c>
      <c r="BZ23" s="370" t="n">
        <v>0.996716408319358</v>
      </c>
      <c r="CA23" s="370" t="n">
        <v>0.0193261872820063</v>
      </c>
      <c r="CB23" s="370" t="n">
        <v>0.996688029844541</v>
      </c>
      <c r="CC23" s="505" t="n">
        <v>-0.34</v>
      </c>
      <c r="CD23" s="505" t="n">
        <v>0.015</v>
      </c>
      <c r="CE23" s="505" t="n">
        <v>-0.09</v>
      </c>
      <c r="CF23" s="505" t="n">
        <v>-0.01</v>
      </c>
      <c r="CG23" s="505" t="n">
        <v>0.0672</v>
      </c>
      <c r="CH23" s="505" t="n">
        <v>22.5658143461043</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2.59603340292276</v>
      </c>
      <c r="BW24" s="369" t="n">
        <v>2.882</v>
      </c>
      <c r="BX24" s="370" t="n">
        <v>0.813234449756201</v>
      </c>
      <c r="BY24" s="370" t="n">
        <v>0.813234449756201</v>
      </c>
      <c r="BZ24" s="370" t="n">
        <v>0.998036134918079</v>
      </c>
      <c r="CA24" s="370" t="n">
        <v>0.0192731753639035</v>
      </c>
      <c r="CB24" s="370" t="n">
        <v>0.99523258517239</v>
      </c>
      <c r="CC24" s="505" t="n">
        <v>-0.43</v>
      </c>
      <c r="CD24" s="505" t="n">
        <v>0.015</v>
      </c>
      <c r="CE24" s="505" t="n">
        <v>-0.01</v>
      </c>
      <c r="CF24" s="505" t="n">
        <v>-0.01</v>
      </c>
      <c r="CG24" s="505" t="n">
        <v>0.0672</v>
      </c>
      <c r="CH24" s="505" t="n">
        <v>24.9470971194822</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2.44050104384134</v>
      </c>
      <c r="BW25" s="369" t="n">
        <v>2.748</v>
      </c>
      <c r="BX25" s="370" t="n">
        <v>0.640885439327079</v>
      </c>
      <c r="BY25" s="370" t="n">
        <v>0.640885439327079</v>
      </c>
      <c r="BZ25" s="370" t="n">
        <v>1</v>
      </c>
      <c r="CA25" s="370" t="n">
        <v>0.0194226401196236</v>
      </c>
      <c r="CB25" s="370" t="n">
        <v>0.993564587749983</v>
      </c>
      <c r="CC25" s="505" t="n">
        <v>-0.53</v>
      </c>
      <c r="CD25" s="505" t="n">
        <v>0.02</v>
      </c>
      <c r="CE25" s="505" t="n">
        <v>-0.09</v>
      </c>
      <c r="CF25" s="505" t="n">
        <v>-0.01</v>
      </c>
      <c r="CG25" s="505" t="n">
        <v>0.0672</v>
      </c>
      <c r="CH25" s="505" t="n">
        <v>24.1018897696391</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2.49060542797495</v>
      </c>
      <c r="BW26" s="369" t="n">
        <v>2.816</v>
      </c>
      <c r="BX26" s="370" t="n">
        <v>0.5775</v>
      </c>
      <c r="BY26" s="370" t="n">
        <v>0.5775</v>
      </c>
      <c r="BZ26" s="370" t="n">
        <v>0</v>
      </c>
      <c r="CA26" s="370" t="n">
        <v>0.019712159578257</v>
      </c>
      <c r="CB26" s="370" t="n">
        <v>0</v>
      </c>
      <c r="CC26" s="505" t="n">
        <v>-0.53</v>
      </c>
      <c r="CD26" s="505" t="n">
        <v>0.02</v>
      </c>
      <c r="CE26" s="505" t="n">
        <v>-0.07</v>
      </c>
      <c r="CF26" s="505" t="n">
        <v>-0.01</v>
      </c>
      <c r="CG26" s="505" t="n">
        <v>0.0672</v>
      </c>
      <c r="CH26" s="505" t="n">
        <v>0</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($Y$12+VLOOKUP(YEAR(D27),$X$15:$Y$17,2,FALSE()))*AH27*AU27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2.49060542797495</v>
      </c>
      <c r="BW27" s="369" t="n">
        <v>2.816</v>
      </c>
      <c r="BX27" s="370" t="n">
        <v>0.5775</v>
      </c>
      <c r="BY27" s="370" t="n">
        <v>0.5775</v>
      </c>
      <c r="BZ27" s="370" t="n">
        <v>0</v>
      </c>
      <c r="CA27" s="370" t="n">
        <v>0.019712159578257</v>
      </c>
      <c r="CB27" s="370" t="n">
        <v>0</v>
      </c>
      <c r="CC27" s="505" t="n">
        <v>-0.53</v>
      </c>
      <c r="CD27" s="505" t="n">
        <v>0.02</v>
      </c>
      <c r="CE27" s="505" t="n">
        <v>-0.07</v>
      </c>
      <c r="CF27" s="505" t="n">
        <v>-0.01</v>
      </c>
      <c r="CG27" s="505" t="n">
        <v>0.0672</v>
      </c>
      <c r="CH27" s="505" t="n">
        <v>0</v>
      </c>
      <c r="CI27" s="505" t="n">
        <v>2.896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($Y$12+VLOOKUP(YEAR(D28),$X$15:$Y$17,2,FALSE()))*AH28*AU28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2.49060542797495</v>
      </c>
      <c r="BW28" s="369" t="n">
        <v>2.816</v>
      </c>
      <c r="BX28" s="370" t="n">
        <v>0.5775</v>
      </c>
      <c r="BY28" s="370" t="n">
        <v>0.5775</v>
      </c>
      <c r="BZ28" s="370" t="n">
        <v>0</v>
      </c>
      <c r="CA28" s="370" t="n">
        <v>0.019712159578257</v>
      </c>
      <c r="CB28" s="370" t="n">
        <v>0</v>
      </c>
      <c r="CC28" s="505" t="n">
        <v>-0.53</v>
      </c>
      <c r="CD28" s="505" t="n">
        <v>0.02</v>
      </c>
      <c r="CE28" s="505" t="n">
        <v>-0.07</v>
      </c>
      <c r="CF28" s="505" t="n">
        <v>-0.01</v>
      </c>
      <c r="CG28" s="505" t="n">
        <v>0.0672</v>
      </c>
      <c r="CH28" s="505" t="n">
        <v>0</v>
      </c>
      <c r="CI28" s="505" t="n">
        <v>2.896</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($Y$12+VLOOKUP(YEAR(D29),$X$15:$Y$17,2,FALSE()))*AH29*AU29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2.49060542797495</v>
      </c>
      <c r="BW29" s="369" t="n">
        <v>2.816</v>
      </c>
      <c r="BX29" s="370" t="n">
        <v>0.5775</v>
      </c>
      <c r="BY29" s="370" t="n">
        <v>0.5775</v>
      </c>
      <c r="BZ29" s="370" t="n">
        <v>0</v>
      </c>
      <c r="CA29" s="370" t="n">
        <v>0.019712159578257</v>
      </c>
      <c r="CB29" s="370" t="n">
        <v>0</v>
      </c>
      <c r="CC29" s="505" t="n">
        <v>-0.53</v>
      </c>
      <c r="CD29" s="505" t="n">
        <v>0.02</v>
      </c>
      <c r="CE29" s="505" t="n">
        <v>-0.07</v>
      </c>
      <c r="CF29" s="505" t="n">
        <v>-0.01</v>
      </c>
      <c r="CG29" s="505" t="n">
        <v>0.0672</v>
      </c>
      <c r="CH29" s="505" t="n">
        <v>0</v>
      </c>
      <c r="CI29" s="505" t="n">
        <v>2.896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($Y$12+VLOOKUP(YEAR(D30),$X$15:$Y$17,2,FALSE()))*AH30*AU30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2.49060542797495</v>
      </c>
      <c r="BW30" s="369" t="n">
        <v>2.816</v>
      </c>
      <c r="BX30" s="370" t="n">
        <v>0.5775</v>
      </c>
      <c r="BY30" s="370" t="n">
        <v>0.5775</v>
      </c>
      <c r="BZ30" s="370" t="n">
        <v>0</v>
      </c>
      <c r="CA30" s="370" t="n">
        <v>0.019712159578257</v>
      </c>
      <c r="CB30" s="370" t="n">
        <v>0</v>
      </c>
      <c r="CC30" s="505" t="n">
        <v>-0.53</v>
      </c>
      <c r="CD30" s="505" t="n">
        <v>0.02</v>
      </c>
      <c r="CE30" s="505" t="n">
        <v>-0.07</v>
      </c>
      <c r="CF30" s="505" t="n">
        <v>-0.01</v>
      </c>
      <c r="CG30" s="505" t="n">
        <v>0.0672</v>
      </c>
      <c r="CH30" s="505" t="n">
        <v>0</v>
      </c>
      <c r="CI30" s="505" t="n">
        <v>2.896</v>
      </c>
      <c r="CJ30" s="505"/>
      <c r="CK30" s="505"/>
      <c r="CL30" s="505"/>
      <c r="CM30" s="505"/>
    </row>
    <row r="31" customFormat="false" ht="12.75" hidden="false" customHeight="false" outlineLevel="0" collapsed="false">
      <c r="A31" s="500"/>
      <c r="B31" s="500"/>
    </row>
    <row r="32" customFormat="false" ht="12.75" hidden="false" customHeight="false" outlineLevel="0" collapsed="false">
      <c r="A32" s="500"/>
      <c r="B32" s="500"/>
    </row>
    <row r="33" customFormat="false" ht="12.75" hidden="false" customHeight="false" outlineLevel="0" collapsed="false">
      <c r="A33" s="500"/>
      <c r="B33" s="500"/>
    </row>
  </sheetData>
  <mergeCells count="38">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33"/>
  <sheetViews>
    <sheetView showFormulas="false" showGridLines="true" showRowColHeaders="true" showZeros="true" rightToLeft="false" tabSelected="false" showOutlineSymbols="true" defaultGridColor="true" view="normal" topLeftCell="S1" colorId="64" zoomScale="80" zoomScaleNormal="80" zoomScalePageLayoutView="100" workbookViewId="0">
      <selection pane="topLeft" activeCell="CI21" activeCellId="0" sqref="CI21:CI33"/>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85</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265073.9</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1011478.88</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-746404.98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3757.33</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SUMPRODUCT(L22:L33,F22:F33)</f>
        <v>#VALUE!</v>
      </c>
      <c r="L10" s="414" t="s">
        <v>478</v>
      </c>
      <c r="M10" s="414"/>
      <c r="N10" s="400" t="e">
        <f aca="true">-SUMPRODUCT(INDIRECT(CONCATENATE(AV10,":",AW10)),INDIRECT(CONCATENATE($AX$7,":",$AY$7)),INDIRECT(CONCATENATE($AV$3,":",$AW$3)))</f>
        <v>#VALUE!</v>
      </c>
      <c r="O10" s="400" t="n">
        <v>-225615.98</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SUMPRODUCT(K22:K33,F22:F33)</f>
        <v>#VALUE!</v>
      </c>
      <c r="L11" s="425" t="s">
        <v>481</v>
      </c>
      <c r="M11" s="425"/>
      <c r="N11" s="426" t="e">
        <f aca="true">-SUMPRODUCT(INDIRECT(CONCATENATE(AV11,":",AW11)),INDIRECT(CONCATENATE($AV$2,":",$AW$2)),INDIRECT(CONCATENATE($AV$3,":",$AW$3)),INDIRECT(CONCATENATE(AX3,":",AY3)))</f>
        <v>#VALUE!</v>
      </c>
      <c r="O11" s="427" t="n">
        <v>-85428</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-3521.56</v>
      </c>
      <c r="P12" s="415" t="e">
        <f aca="false">N12-O12</f>
        <v>#VALUE!</v>
      </c>
      <c r="X12" s="532" t="s">
        <v>534</v>
      </c>
      <c r="Y12" s="533" t="n">
        <v>0.8066</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7.43</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74.57</v>
      </c>
      <c r="P15" s="415" t="e">
        <f aca="false">N15-O15</f>
        <v>#VALUE!</v>
      </c>
      <c r="X15" s="536" t="n">
        <v>2001</v>
      </c>
      <c r="Y15" s="537" t="n">
        <v>0.003</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248.82</v>
      </c>
      <c r="P16" s="415" t="e">
        <f aca="false">N16-O16</f>
        <v>#VALUE!</v>
      </c>
      <c r="X16" s="536" t="n">
        <v>2002</v>
      </c>
      <c r="Y16" s="537" t="n">
        <v>0.002</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16.12</v>
      </c>
      <c r="P17" s="428" t="e">
        <f aca="false">N17-O17</f>
        <v>#VALUE!</v>
      </c>
      <c r="X17" s="538" t="n">
        <v>2003</v>
      </c>
      <c r="Y17" s="539" t="n">
        <v>0.0016</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260931.51</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4142.39</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2.54371002132196</v>
      </c>
      <c r="BW22" s="369" t="n">
        <v>2.816</v>
      </c>
      <c r="BX22" s="370" t="n">
        <v>0.6010526190063</v>
      </c>
      <c r="BY22" s="370" t="n">
        <v>0.6010526190063</v>
      </c>
      <c r="BZ22" s="370" t="n">
        <v>1</v>
      </c>
      <c r="CA22" s="370" t="n">
        <v>0.019712159578257</v>
      </c>
      <c r="CB22" s="370" t="n">
        <v>0.991870109542169</v>
      </c>
      <c r="CC22" s="505" t="n">
        <v>-0.53</v>
      </c>
      <c r="CD22" s="505" t="n">
        <v>0.02</v>
      </c>
      <c r="CE22" s="505" t="n">
        <v>-0.07</v>
      </c>
      <c r="CF22" s="505" t="n">
        <v>-0.01</v>
      </c>
      <c r="CG22" s="505" t="n">
        <v>0.0672</v>
      </c>
      <c r="CH22" s="505" t="n">
        <v>24.8628112878497</v>
      </c>
      <c r="CI22" s="505" t="n">
        <v>2.896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2.59701492537313</v>
      </c>
      <c r="BW23" s="369" t="n">
        <v>2.886</v>
      </c>
      <c r="BX23" s="370" t="n">
        <v>0.581764586381288</v>
      </c>
      <c r="BY23" s="370" t="n">
        <v>0.581764586381288</v>
      </c>
      <c r="BZ23" s="370" t="n">
        <v>1</v>
      </c>
      <c r="CA23" s="370" t="n">
        <v>0.0200113297153544</v>
      </c>
      <c r="CB23" s="370" t="n">
        <v>0.990073216017117</v>
      </c>
      <c r="CC23" s="505" t="n">
        <v>-0.53</v>
      </c>
      <c r="CD23" s="505" t="n">
        <v>0.02</v>
      </c>
      <c r="CE23" s="505" t="n">
        <v>-0.05</v>
      </c>
      <c r="CF23" s="505" t="n">
        <v>-0.01</v>
      </c>
      <c r="CG23" s="505" t="n">
        <v>0.0672</v>
      </c>
      <c r="CH23" s="505" t="n">
        <v>24.0171960741432</v>
      </c>
      <c r="CI23" s="505" t="n">
        <v>2.946</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2.62686567164179</v>
      </c>
      <c r="BW24" s="369" t="n">
        <v>3.089</v>
      </c>
      <c r="BX24" s="370" t="n">
        <v>0.573583768215977</v>
      </c>
      <c r="BY24" s="370" t="n">
        <v>0.573583768215977</v>
      </c>
      <c r="BZ24" s="370" t="n">
        <v>1</v>
      </c>
      <c r="CA24" s="370" t="n">
        <v>0.0204286298094831</v>
      </c>
      <c r="CB24" s="370" t="n">
        <v>0.988217193800728</v>
      </c>
      <c r="CC24" s="505" t="n">
        <v>-0.54</v>
      </c>
      <c r="CD24" s="505" t="n">
        <v>0.02</v>
      </c>
      <c r="CE24" s="505" t="n">
        <v>0.115</v>
      </c>
      <c r="CF24" s="505" t="n">
        <v>-0.01</v>
      </c>
      <c r="CG24" s="505" t="n">
        <v>0.0672</v>
      </c>
      <c r="CH24" s="505" t="n">
        <v>24.7712451101253</v>
      </c>
      <c r="CI24" s="505" t="n">
        <v>2.984</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2.67164179104478</v>
      </c>
      <c r="BW25" s="369" t="n">
        <v>3.141</v>
      </c>
      <c r="BX25" s="370" t="n">
        <v>0.577776480928793</v>
      </c>
      <c r="BY25" s="370" t="n">
        <v>0.577776480928793</v>
      </c>
      <c r="BZ25" s="370" t="n">
        <v>1</v>
      </c>
      <c r="CA25" s="370" t="n">
        <v>0.021065008234304</v>
      </c>
      <c r="CB25" s="370" t="n">
        <v>0.986098940667972</v>
      </c>
      <c r="CC25" s="505" t="n">
        <v>-0.54</v>
      </c>
      <c r="CD25" s="505" t="n">
        <v>0.02</v>
      </c>
      <c r="CE25" s="505" t="n">
        <v>0.125</v>
      </c>
      <c r="CF25" s="505" t="n">
        <v>-0.01</v>
      </c>
      <c r="CG25" s="505" t="n">
        <v>0.0672</v>
      </c>
      <c r="CH25" s="505" t="n">
        <v>24.7181477061478</v>
      </c>
      <c r="CI25" s="505" t="n">
        <v>3.026</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2.64179104477612</v>
      </c>
      <c r="BW26" s="369" t="n">
        <v>3.123</v>
      </c>
      <c r="BX26" s="370" t="n">
        <v>0.568117601114111</v>
      </c>
      <c r="BY26" s="370" t="n">
        <v>0.568117601114111</v>
      </c>
      <c r="BZ26" s="370" t="n">
        <v>1</v>
      </c>
      <c r="CA26" s="370" t="n">
        <v>0.0217013867962765</v>
      </c>
      <c r="CB26" s="370" t="n">
        <v>0.983880178541275</v>
      </c>
      <c r="CC26" s="505" t="n">
        <v>-0.54</v>
      </c>
      <c r="CD26" s="505" t="n">
        <v>0</v>
      </c>
      <c r="CE26" s="505" t="n">
        <v>0.115</v>
      </c>
      <c r="CF26" s="505" t="n">
        <v>-0.01</v>
      </c>
      <c r="CG26" s="505" t="n">
        <v>0.0672</v>
      </c>
      <c r="CH26" s="505" t="n">
        <v>23.8669653710542</v>
      </c>
      <c r="CI26" s="505" t="n">
        <v>3.018</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($Y$12+VLOOKUP(YEAR(D27),$X$15:$Y$17,2,FALSE()))*AH27*AU27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2.63432835820896</v>
      </c>
      <c r="BW27" s="369" t="n">
        <v>3.051</v>
      </c>
      <c r="BX27" s="370" t="n">
        <v>0.570457587999636</v>
      </c>
      <c r="BY27" s="370" t="n">
        <v>0.570457587999636</v>
      </c>
      <c r="BZ27" s="370" t="n">
        <v>1</v>
      </c>
      <c r="CA27" s="370" t="n">
        <v>0.022410164045374</v>
      </c>
      <c r="CB27" s="370" t="n">
        <v>0.981562668478235</v>
      </c>
      <c r="CC27" s="505" t="n">
        <v>-0.58</v>
      </c>
      <c r="CD27" s="505" t="n">
        <v>0.02</v>
      </c>
      <c r="CE27" s="505" t="n">
        <v>0.03</v>
      </c>
      <c r="CF27" s="505" t="n">
        <v>-0.01</v>
      </c>
      <c r="CG27" s="505" t="n">
        <v>0.0672</v>
      </c>
      <c r="CH27" s="505" t="n">
        <v>24.6044387856765</v>
      </c>
      <c r="CI27" s="505" t="n">
        <v>3.031</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($Y$12+VLOOKUP(YEAR(D28),$X$15:$Y$17,2,FALSE()))*AH28*AU28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3.13805970149254</v>
      </c>
      <c r="BW28" s="369" t="n">
        <v>3.261</v>
      </c>
      <c r="BX28" s="370" t="n">
        <v>0.564616148067653</v>
      </c>
      <c r="BY28" s="370" t="n">
        <v>0.564616148067653</v>
      </c>
      <c r="BZ28" s="370" t="n">
        <v>1</v>
      </c>
      <c r="CA28" s="370" t="n">
        <v>0.0232740649677528</v>
      </c>
      <c r="CB28" s="370" t="n">
        <v>0.97893835036076</v>
      </c>
      <c r="CC28" s="505" t="n">
        <v>-0.295</v>
      </c>
      <c r="CD28" s="505" t="n">
        <v>0.0275</v>
      </c>
      <c r="CE28" s="505" t="n">
        <v>0.03</v>
      </c>
      <c r="CF28" s="505" t="n">
        <v>0.02</v>
      </c>
      <c r="CG28" s="505" t="n">
        <v>0.0672</v>
      </c>
      <c r="CH28" s="505" t="n">
        <v>23.7470865030513</v>
      </c>
      <c r="CI28" s="505" t="n">
        <v>3.211</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($Y$12+VLOOKUP(YEAR(D29),$X$15:$Y$17,2,FALSE()))*AH29*AU29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3.30863539445629</v>
      </c>
      <c r="BW29" s="369" t="n">
        <v>3.421</v>
      </c>
      <c r="BX29" s="370" t="n">
        <v>0.578861068007188</v>
      </c>
      <c r="BY29" s="370" t="n">
        <v>0.578861068007188</v>
      </c>
      <c r="BZ29" s="370" t="n">
        <v>1</v>
      </c>
      <c r="CA29" s="370" t="n">
        <v>0.024110098358836</v>
      </c>
      <c r="CB29" s="370" t="n">
        <v>0.976270925999808</v>
      </c>
      <c r="CC29" s="505" t="n">
        <v>-0.295</v>
      </c>
      <c r="CD29" s="505" t="n">
        <v>0.0275</v>
      </c>
      <c r="CE29" s="505" t="n">
        <v>0.03</v>
      </c>
      <c r="CF29" s="505" t="n">
        <v>0.02</v>
      </c>
      <c r="CG29" s="505" t="n">
        <v>0.0672</v>
      </c>
      <c r="CH29" s="505" t="n">
        <v>24.4717927936668</v>
      </c>
      <c r="CI29" s="505" t="n">
        <v>3.371</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($Y$12+VLOOKUP(YEAR(D30),$X$15:$Y$17,2,FALSE()))*AH30*AU30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3.41524520255864</v>
      </c>
      <c r="BW30" s="369" t="n">
        <v>3.486</v>
      </c>
      <c r="BX30" s="370" t="n">
        <v>0.576044779361258</v>
      </c>
      <c r="BY30" s="370" t="n">
        <v>0.576044779361258</v>
      </c>
      <c r="BZ30" s="370" t="n">
        <v>1</v>
      </c>
      <c r="CA30" s="370" t="n">
        <v>0.0250384261928196</v>
      </c>
      <c r="CB30" s="370" t="n">
        <v>0.97331647833328</v>
      </c>
      <c r="CC30" s="505" t="n">
        <v>-0.27</v>
      </c>
      <c r="CD30" s="505" t="n">
        <v>0.0275</v>
      </c>
      <c r="CE30" s="505" t="n">
        <v>0.02</v>
      </c>
      <c r="CF30" s="505" t="n">
        <v>0.02</v>
      </c>
      <c r="CG30" s="505" t="n">
        <v>0.0662</v>
      </c>
      <c r="CH30" s="505" t="n">
        <v>24.3856657114577</v>
      </c>
      <c r="CI30" s="505" t="n">
        <v>3.446</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($Y$12+VLOOKUP(YEAR(D31),$X$15:$Y$17,2,FALSE()))*AH31*AU31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3.34594882729211</v>
      </c>
      <c r="BW31" s="369" t="n">
        <v>3.411</v>
      </c>
      <c r="BX31" s="370" t="n">
        <v>0.560981465325952</v>
      </c>
      <c r="BY31" s="370" t="n">
        <v>0.560981465325952</v>
      </c>
      <c r="BZ31" s="370" t="n">
        <v>1</v>
      </c>
      <c r="CA31" s="370" t="n">
        <v>0.0260449864197474</v>
      </c>
      <c r="CB31" s="370" t="n">
        <v>0.970132608451962</v>
      </c>
      <c r="CC31" s="505" t="n">
        <v>-0.26</v>
      </c>
      <c r="CD31" s="505" t="n">
        <v>0.0275</v>
      </c>
      <c r="CE31" s="505" t="n">
        <v>0.02</v>
      </c>
      <c r="CF31" s="505" t="n">
        <v>0.02</v>
      </c>
      <c r="CG31" s="505" t="n">
        <v>0.0662</v>
      </c>
      <c r="CH31" s="505" t="n">
        <v>21.9537128762245</v>
      </c>
      <c r="CI31" s="505" t="n">
        <v>3.371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($Y$12+VLOOKUP(YEAR(D32),$X$15:$Y$17,2,FALSE()))*AH32*AU32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3.19669509594883</v>
      </c>
      <c r="BW32" s="369" t="n">
        <v>3.321</v>
      </c>
      <c r="BX32" s="370" t="n">
        <v>0.508829176784843</v>
      </c>
      <c r="BY32" s="370" t="n">
        <v>0.508829176784843</v>
      </c>
      <c r="BZ32" s="370" t="n">
        <v>1</v>
      </c>
      <c r="CA32" s="370" t="n">
        <v>0.0269541378866576</v>
      </c>
      <c r="CB32" s="370" t="n">
        <v>0.967126070368611</v>
      </c>
      <c r="CC32" s="505" t="n">
        <v>-0.31</v>
      </c>
      <c r="CD32" s="505" t="n">
        <v>0.0275</v>
      </c>
      <c r="CE32" s="505" t="n">
        <v>0.02</v>
      </c>
      <c r="CF32" s="505" t="n">
        <v>0.02</v>
      </c>
      <c r="CG32" s="505" t="n">
        <v>0.0662</v>
      </c>
      <c r="CH32" s="505" t="n">
        <v>24.2305699922293</v>
      </c>
      <c r="CI32" s="505" t="n">
        <v>3.281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($Y$12+VLOOKUP(YEAR(D33),$X$15:$Y$17,2,FALSE()))*AH33*AU33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2.89019189765458</v>
      </c>
      <c r="BW33" s="369" t="n">
        <v>3.286</v>
      </c>
      <c r="BX33" s="370" t="n">
        <v>0.39481762299868</v>
      </c>
      <c r="BY33" s="370" t="n">
        <v>0.39481762299868</v>
      </c>
      <c r="BZ33" s="370" t="n">
        <v>1</v>
      </c>
      <c r="CA33" s="370" t="n">
        <v>0.0279745964320606</v>
      </c>
      <c r="CB33" s="370" t="n">
        <v>0.963636615990319</v>
      </c>
      <c r="CC33" s="505" t="n">
        <v>-0.435</v>
      </c>
      <c r="CD33" s="505" t="n">
        <v>0.02</v>
      </c>
      <c r="CE33" s="505" t="n">
        <v>0.14</v>
      </c>
      <c r="CF33" s="505" t="n">
        <v>0.02</v>
      </c>
      <c r="CG33" s="505" t="n">
        <v>0.0662</v>
      </c>
      <c r="CH33" s="505" t="n">
        <v>23.3643333913013</v>
      </c>
      <c r="CI33" s="505" t="n">
        <v>3.126</v>
      </c>
      <c r="CJ33" s="505"/>
      <c r="CK33" s="505"/>
      <c r="CL33" s="505"/>
      <c r="CM33" s="505"/>
    </row>
  </sheetData>
  <mergeCells count="38">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33"/>
  <sheetViews>
    <sheetView showFormulas="false" showGridLines="true" showRowColHeaders="true" showZeros="true" rightToLeft="false" tabSelected="false" showOutlineSymbols="true" defaultGridColor="true" view="normal" topLeftCell="S1" colorId="64" zoomScale="80" zoomScaleNormal="80" zoomScalePageLayoutView="100" workbookViewId="0">
      <selection pane="topLeft" activeCell="CI21" activeCellId="0" sqref="CI21:CI30"/>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86</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68907.02</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357569.53</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-288662.52</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1534.44</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SUMPRODUCT(L22:L30,F22:F30)</f>
        <v>#VALUE!</v>
      </c>
      <c r="L10" s="414" t="s">
        <v>478</v>
      </c>
      <c r="M10" s="414"/>
      <c r="N10" s="400" t="e">
        <f aca="true">-SUMPRODUCT(INDIRECT(CONCATENATE(AV10,":",AW10)),INDIRECT(CONCATENATE($AX$7,":",$AY$7)),INDIRECT(CONCATENATE($AV$3,":",$AW$3)))</f>
        <v>#VALUE!</v>
      </c>
      <c r="O10" s="400" t="n">
        <v>-48187.58</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SUMPRODUCT(K22:K30,F22:F30)</f>
        <v>#VALUE!</v>
      </c>
      <c r="L11" s="425" t="s">
        <v>481</v>
      </c>
      <c r="M11" s="425"/>
      <c r="N11" s="426" t="e">
        <f aca="true">-SUMPRODUCT(INDIRECT(CONCATENATE(AV11,":",AW11)),INDIRECT(CONCATENATE($AV$2,":",$AW$2)),INDIRECT(CONCATENATE($AV$3,":",$AW$3)),INDIRECT(CONCATENATE(AX3,":",AY3)))</f>
        <v>#VALUE!</v>
      </c>
      <c r="O11" s="427" t="n">
        <v>-29836.8</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-1228.15</v>
      </c>
      <c r="P12" s="415" t="e">
        <f aca="false">N12-O12</f>
        <v>#VALUE!</v>
      </c>
      <c r="X12" s="532" t="s">
        <v>534</v>
      </c>
      <c r="Y12" s="533" t="n">
        <v>0.8066</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12.66</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-46.04</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10.6</v>
      </c>
      <c r="P15" s="415" t="e">
        <f aca="false">N15-O15</f>
        <v>#VALUE!</v>
      </c>
      <c r="X15" s="536" t="n">
        <v>2001</v>
      </c>
      <c r="Y15" s="537" t="n">
        <v>0.003</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7.48</v>
      </c>
      <c r="P16" s="415" t="e">
        <f aca="false">N16-O16</f>
        <v>#VALUE!</v>
      </c>
      <c r="X16" s="536" t="n">
        <v>2002</v>
      </c>
      <c r="Y16" s="537" t="n">
        <v>0.002</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3.68</v>
      </c>
      <c r="P17" s="428" t="e">
        <f aca="false">N17-O17</f>
        <v>#VALUE!</v>
      </c>
      <c r="X17" s="538" t="n">
        <v>2003</v>
      </c>
      <c r="Y17" s="539" t="n">
        <v>0.0016</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66491.47</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2415.54</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2.66283924843424</v>
      </c>
      <c r="BW22" s="369" t="n">
        <v>2.821</v>
      </c>
      <c r="BX22" s="370" t="n">
        <v>1.01983536862794</v>
      </c>
      <c r="BY22" s="370" t="n">
        <v>1.01983536862794</v>
      </c>
      <c r="BZ22" s="370" t="n">
        <v>0.996089736138556</v>
      </c>
      <c r="CA22" s="370" t="n">
        <v>0.0187659081571607</v>
      </c>
      <c r="CB22" s="370" t="n">
        <v>0.998364899395796</v>
      </c>
      <c r="CC22" s="505" t="n">
        <v>-0.31</v>
      </c>
      <c r="CD22" s="505" t="n">
        <v>0.015</v>
      </c>
      <c r="CE22" s="505" t="n">
        <v>-0.015</v>
      </c>
      <c r="CF22" s="505" t="n">
        <v>-0.01</v>
      </c>
      <c r="CG22" s="505" t="n">
        <v>0.0672</v>
      </c>
      <c r="CH22" s="505" t="n">
        <v>25.0256135871947</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2.69624217118998</v>
      </c>
      <c r="BW23" s="369" t="n">
        <v>2.808</v>
      </c>
      <c r="BX23" s="370" t="n">
        <v>0.941356881197444</v>
      </c>
      <c r="BY23" s="370" t="n">
        <v>0.941356881197444</v>
      </c>
      <c r="BZ23" s="370" t="n">
        <v>0.996716408319358</v>
      </c>
      <c r="CA23" s="370" t="n">
        <v>0.0193261872820063</v>
      </c>
      <c r="CB23" s="370" t="n">
        <v>0.996688029844541</v>
      </c>
      <c r="CC23" s="505" t="n">
        <v>-0.34</v>
      </c>
      <c r="CD23" s="505" t="n">
        <v>0.015</v>
      </c>
      <c r="CE23" s="505" t="n">
        <v>-0.09</v>
      </c>
      <c r="CF23" s="505" t="n">
        <v>-0.01</v>
      </c>
      <c r="CG23" s="505" t="n">
        <v>0.0672</v>
      </c>
      <c r="CH23" s="505" t="n">
        <v>22.5658143461043</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2.59603340292276</v>
      </c>
      <c r="BW24" s="369" t="n">
        <v>2.882</v>
      </c>
      <c r="BX24" s="370" t="n">
        <v>0.813234449756201</v>
      </c>
      <c r="BY24" s="370" t="n">
        <v>0.813234449756201</v>
      </c>
      <c r="BZ24" s="370" t="n">
        <v>0.998036134918079</v>
      </c>
      <c r="CA24" s="370" t="n">
        <v>0.0192731753639035</v>
      </c>
      <c r="CB24" s="370" t="n">
        <v>0.99523258517239</v>
      </c>
      <c r="CC24" s="505" t="n">
        <v>-0.43</v>
      </c>
      <c r="CD24" s="505" t="n">
        <v>0.015</v>
      </c>
      <c r="CE24" s="505" t="n">
        <v>-0.01</v>
      </c>
      <c r="CF24" s="505" t="n">
        <v>-0.01</v>
      </c>
      <c r="CG24" s="505" t="n">
        <v>0.0672</v>
      </c>
      <c r="CH24" s="505" t="n">
        <v>24.9470971194822</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2.44050104384134</v>
      </c>
      <c r="BW25" s="369" t="n">
        <v>2.748</v>
      </c>
      <c r="BX25" s="370" t="n">
        <v>0.640885439327079</v>
      </c>
      <c r="BY25" s="370" t="n">
        <v>0.640885439327079</v>
      </c>
      <c r="BZ25" s="370" t="n">
        <v>1</v>
      </c>
      <c r="CA25" s="370" t="n">
        <v>0.0194226401196236</v>
      </c>
      <c r="CB25" s="370" t="n">
        <v>0.993564587749983</v>
      </c>
      <c r="CC25" s="505" t="n">
        <v>-0.53</v>
      </c>
      <c r="CD25" s="505" t="n">
        <v>0.02</v>
      </c>
      <c r="CE25" s="505" t="n">
        <v>-0.09</v>
      </c>
      <c r="CF25" s="505" t="n">
        <v>-0.01</v>
      </c>
      <c r="CG25" s="505" t="n">
        <v>0.0672</v>
      </c>
      <c r="CH25" s="505" t="n">
        <v>24.1018897696391</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2.49060542797495</v>
      </c>
      <c r="BW26" s="369" t="n">
        <v>2.816</v>
      </c>
      <c r="BX26" s="370" t="n">
        <v>0.5775</v>
      </c>
      <c r="BY26" s="370" t="n">
        <v>0.5775</v>
      </c>
      <c r="BZ26" s="370" t="n">
        <v>0</v>
      </c>
      <c r="CA26" s="370" t="n">
        <v>0.019712159578257</v>
      </c>
      <c r="CB26" s="370" t="n">
        <v>0</v>
      </c>
      <c r="CC26" s="505" t="n">
        <v>-0.53</v>
      </c>
      <c r="CD26" s="505" t="n">
        <v>0.02</v>
      </c>
      <c r="CE26" s="505" t="n">
        <v>-0.07</v>
      </c>
      <c r="CF26" s="505" t="n">
        <v>-0.01</v>
      </c>
      <c r="CG26" s="505" t="n">
        <v>0.0672</v>
      </c>
      <c r="CH26" s="505" t="n">
        <v>0</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($Y$12+VLOOKUP(YEAR(D27),$X$15:$Y$17,2,FALSE()))*AH27*AU27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2.49060542797495</v>
      </c>
      <c r="BW27" s="369" t="n">
        <v>2.816</v>
      </c>
      <c r="BX27" s="370" t="n">
        <v>0.5775</v>
      </c>
      <c r="BY27" s="370" t="n">
        <v>0.5775</v>
      </c>
      <c r="BZ27" s="370" t="n">
        <v>0</v>
      </c>
      <c r="CA27" s="370" t="n">
        <v>0.019712159578257</v>
      </c>
      <c r="CB27" s="370" t="n">
        <v>0</v>
      </c>
      <c r="CC27" s="505" t="n">
        <v>-0.53</v>
      </c>
      <c r="CD27" s="505" t="n">
        <v>0.02</v>
      </c>
      <c r="CE27" s="505" t="n">
        <v>-0.07</v>
      </c>
      <c r="CF27" s="505" t="n">
        <v>-0.01</v>
      </c>
      <c r="CG27" s="505" t="n">
        <v>0.0672</v>
      </c>
      <c r="CH27" s="505" t="n">
        <v>0</v>
      </c>
      <c r="CI27" s="505" t="n">
        <v>2.896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($Y$12+VLOOKUP(YEAR(D28),$X$15:$Y$17,2,FALSE()))*AH28*AU28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2.49060542797495</v>
      </c>
      <c r="BW28" s="369" t="n">
        <v>2.816</v>
      </c>
      <c r="BX28" s="370" t="n">
        <v>0.5775</v>
      </c>
      <c r="BY28" s="370" t="n">
        <v>0.5775</v>
      </c>
      <c r="BZ28" s="370" t="n">
        <v>0</v>
      </c>
      <c r="CA28" s="370" t="n">
        <v>0.019712159578257</v>
      </c>
      <c r="CB28" s="370" t="n">
        <v>0</v>
      </c>
      <c r="CC28" s="505" t="n">
        <v>-0.53</v>
      </c>
      <c r="CD28" s="505" t="n">
        <v>0.02</v>
      </c>
      <c r="CE28" s="505" t="n">
        <v>-0.07</v>
      </c>
      <c r="CF28" s="505" t="n">
        <v>-0.01</v>
      </c>
      <c r="CG28" s="505" t="n">
        <v>0.0672</v>
      </c>
      <c r="CH28" s="505" t="n">
        <v>0</v>
      </c>
      <c r="CI28" s="505" t="n">
        <v>2.896</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($Y$12+VLOOKUP(YEAR(D29),$X$15:$Y$17,2,FALSE()))*AH29*AU29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2.49060542797495</v>
      </c>
      <c r="BW29" s="369" t="n">
        <v>2.816</v>
      </c>
      <c r="BX29" s="370" t="n">
        <v>0.5775</v>
      </c>
      <c r="BY29" s="370" t="n">
        <v>0.5775</v>
      </c>
      <c r="BZ29" s="370" t="n">
        <v>0</v>
      </c>
      <c r="CA29" s="370" t="n">
        <v>0.019712159578257</v>
      </c>
      <c r="CB29" s="370" t="n">
        <v>0</v>
      </c>
      <c r="CC29" s="505" t="n">
        <v>-0.53</v>
      </c>
      <c r="CD29" s="505" t="n">
        <v>0.02</v>
      </c>
      <c r="CE29" s="505" t="n">
        <v>-0.07</v>
      </c>
      <c r="CF29" s="505" t="n">
        <v>-0.01</v>
      </c>
      <c r="CG29" s="505" t="n">
        <v>0.0672</v>
      </c>
      <c r="CH29" s="505" t="n">
        <v>0</v>
      </c>
      <c r="CI29" s="505" t="n">
        <v>2.896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($Y$12+VLOOKUP(YEAR(D30),$X$15:$Y$17,2,FALSE()))*AH30*AU30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2.49060542797495</v>
      </c>
      <c r="BW30" s="369" t="n">
        <v>2.816</v>
      </c>
      <c r="BX30" s="370" t="n">
        <v>0.5775</v>
      </c>
      <c r="BY30" s="370" t="n">
        <v>0.5775</v>
      </c>
      <c r="BZ30" s="370" t="n">
        <v>0</v>
      </c>
      <c r="CA30" s="370" t="n">
        <v>0.019712159578257</v>
      </c>
      <c r="CB30" s="370" t="n">
        <v>0</v>
      </c>
      <c r="CC30" s="505" t="n">
        <v>-0.53</v>
      </c>
      <c r="CD30" s="505" t="n">
        <v>0.02</v>
      </c>
      <c r="CE30" s="505" t="n">
        <v>-0.07</v>
      </c>
      <c r="CF30" s="505" t="n">
        <v>-0.01</v>
      </c>
      <c r="CG30" s="505" t="n">
        <v>0.0672</v>
      </c>
      <c r="CH30" s="505" t="n">
        <v>0</v>
      </c>
      <c r="CI30" s="505" t="n">
        <v>2.896</v>
      </c>
      <c r="CJ30" s="505"/>
      <c r="CK30" s="505"/>
      <c r="CL30" s="505"/>
      <c r="CM30" s="505"/>
    </row>
    <row r="31" customFormat="false" ht="12.75" hidden="false" customHeight="false" outlineLevel="0" collapsed="false">
      <c r="A31" s="500"/>
      <c r="B31" s="500"/>
    </row>
    <row r="32" customFormat="false" ht="12.75" hidden="false" customHeight="false" outlineLevel="0" collapsed="false">
      <c r="A32" s="500"/>
      <c r="B32" s="500"/>
    </row>
    <row r="33" customFormat="false" ht="12.75" hidden="false" customHeight="false" outlineLevel="0" collapsed="false">
      <c r="A33" s="500"/>
      <c r="B33" s="500"/>
    </row>
  </sheetData>
  <mergeCells count="38">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33"/>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33"/>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87</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53014.78</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202295.78</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-149281</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748.21</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SUMPRODUCT(L22:L33,F22:F33)</f>
        <v>#VALUE!</v>
      </c>
      <c r="L10" s="414" t="s">
        <v>478</v>
      </c>
      <c r="M10" s="414"/>
      <c r="N10" s="400" t="e">
        <f aca="true">-SUMPRODUCT(INDIRECT(CONCATENATE(AV10,":",AW10)),INDIRECT(CONCATENATE($AX$7,":",$AY$7)),INDIRECT(CONCATENATE($AV$3,":",$AW$3)))</f>
        <v>#VALUE!</v>
      </c>
      <c r="O10" s="400" t="n">
        <v>-44927.86</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SUMPRODUCT(K22:K33,F22:F33)</f>
        <v>#VALUE!</v>
      </c>
      <c r="L11" s="425" t="s">
        <v>481</v>
      </c>
      <c r="M11" s="425"/>
      <c r="N11" s="426" t="e">
        <f aca="true">-SUMPRODUCT(INDIRECT(CONCATENATE(AV11,":",AW11)),INDIRECT(CONCATENATE($AV$2,":",$AW$2)),INDIRECT(CONCATENATE($AV$3,":",$AW$3)),INDIRECT(CONCATENATE(AX3,":",AY3)))</f>
        <v>#VALUE!</v>
      </c>
      <c r="O11" s="427" t="n">
        <v>-17085.6</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-704.31</v>
      </c>
      <c r="P12" s="415" t="e">
        <f aca="false">N12-O12</f>
        <v>#VALUE!</v>
      </c>
      <c r="X12" s="532" t="s">
        <v>534</v>
      </c>
      <c r="Y12" s="533" t="n">
        <v>0.8066</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0</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1.49</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14.91</v>
      </c>
      <c r="P15" s="415" t="e">
        <f aca="false">N15-O15</f>
        <v>#VALUE!</v>
      </c>
      <c r="X15" s="536" t="n">
        <v>2001</v>
      </c>
      <c r="Y15" s="537" t="n">
        <v>0.003</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49.76</v>
      </c>
      <c r="P16" s="415" t="e">
        <f aca="false">N16-O16</f>
        <v>#VALUE!</v>
      </c>
      <c r="X16" s="536" t="n">
        <v>2002</v>
      </c>
      <c r="Y16" s="537" t="n">
        <v>0.002</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3.22</v>
      </c>
      <c r="P17" s="428" t="e">
        <f aca="false">N17-O17</f>
        <v>#VALUE!</v>
      </c>
      <c r="X17" s="538" t="n">
        <v>2003</v>
      </c>
      <c r="Y17" s="539" t="n">
        <v>0.0016</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52186.3</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828.48</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2.54371002132196</v>
      </c>
      <c r="BW22" s="369" t="n">
        <v>2.816</v>
      </c>
      <c r="BX22" s="370" t="n">
        <v>0.6010526190063</v>
      </c>
      <c r="BY22" s="370" t="n">
        <v>0.6010526190063</v>
      </c>
      <c r="BZ22" s="370" t="n">
        <v>1</v>
      </c>
      <c r="CA22" s="370" t="n">
        <v>0.019712159578257</v>
      </c>
      <c r="CB22" s="370" t="n">
        <v>0.991870109542169</v>
      </c>
      <c r="CC22" s="505" t="n">
        <v>-0.53</v>
      </c>
      <c r="CD22" s="505" t="n">
        <v>0.02</v>
      </c>
      <c r="CE22" s="505" t="n">
        <v>-0.07</v>
      </c>
      <c r="CF22" s="505" t="n">
        <v>-0.01</v>
      </c>
      <c r="CG22" s="505" t="n">
        <v>0.0672</v>
      </c>
      <c r="CH22" s="505" t="n">
        <v>24.8628112878497</v>
      </c>
      <c r="CI22" s="505" t="n">
        <v>2.896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2.59701492537313</v>
      </c>
      <c r="BW23" s="369" t="n">
        <v>2.886</v>
      </c>
      <c r="BX23" s="370" t="n">
        <v>0.581764586381288</v>
      </c>
      <c r="BY23" s="370" t="n">
        <v>0.581764586381288</v>
      </c>
      <c r="BZ23" s="370" t="n">
        <v>1</v>
      </c>
      <c r="CA23" s="370" t="n">
        <v>0.0200113297153544</v>
      </c>
      <c r="CB23" s="370" t="n">
        <v>0.990073216017117</v>
      </c>
      <c r="CC23" s="505" t="n">
        <v>-0.53</v>
      </c>
      <c r="CD23" s="505" t="n">
        <v>0.02</v>
      </c>
      <c r="CE23" s="505" t="n">
        <v>-0.05</v>
      </c>
      <c r="CF23" s="505" t="n">
        <v>-0.01</v>
      </c>
      <c r="CG23" s="505" t="n">
        <v>0.0672</v>
      </c>
      <c r="CH23" s="505" t="n">
        <v>24.0171960741432</v>
      </c>
      <c r="CI23" s="505" t="n">
        <v>2.946</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2.62686567164179</v>
      </c>
      <c r="BW24" s="369" t="n">
        <v>3.089</v>
      </c>
      <c r="BX24" s="370" t="n">
        <v>0.573583768215977</v>
      </c>
      <c r="BY24" s="370" t="n">
        <v>0.573583768215977</v>
      </c>
      <c r="BZ24" s="370" t="n">
        <v>1</v>
      </c>
      <c r="CA24" s="370" t="n">
        <v>0.0204286298094831</v>
      </c>
      <c r="CB24" s="370" t="n">
        <v>0.988217193800728</v>
      </c>
      <c r="CC24" s="505" t="n">
        <v>-0.54</v>
      </c>
      <c r="CD24" s="505" t="n">
        <v>0.02</v>
      </c>
      <c r="CE24" s="505" t="n">
        <v>0.115</v>
      </c>
      <c r="CF24" s="505" t="n">
        <v>-0.01</v>
      </c>
      <c r="CG24" s="505" t="n">
        <v>0.0672</v>
      </c>
      <c r="CH24" s="505" t="n">
        <v>24.7712451101253</v>
      </c>
      <c r="CI24" s="505" t="n">
        <v>2.984</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2.67164179104478</v>
      </c>
      <c r="BW25" s="369" t="n">
        <v>3.141</v>
      </c>
      <c r="BX25" s="370" t="n">
        <v>0.577776480928793</v>
      </c>
      <c r="BY25" s="370" t="n">
        <v>0.577776480928793</v>
      </c>
      <c r="BZ25" s="370" t="n">
        <v>1</v>
      </c>
      <c r="CA25" s="370" t="n">
        <v>0.021065008234304</v>
      </c>
      <c r="CB25" s="370" t="n">
        <v>0.986098940667972</v>
      </c>
      <c r="CC25" s="505" t="n">
        <v>-0.54</v>
      </c>
      <c r="CD25" s="505" t="n">
        <v>0.02</v>
      </c>
      <c r="CE25" s="505" t="n">
        <v>0.125</v>
      </c>
      <c r="CF25" s="505" t="n">
        <v>-0.01</v>
      </c>
      <c r="CG25" s="505" t="n">
        <v>0.0672</v>
      </c>
      <c r="CH25" s="505" t="n">
        <v>24.7181477061478</v>
      </c>
      <c r="CI25" s="505" t="n">
        <v>3.026</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2.64179104477612</v>
      </c>
      <c r="BW26" s="369" t="n">
        <v>3.123</v>
      </c>
      <c r="BX26" s="370" t="n">
        <v>0.568117601114111</v>
      </c>
      <c r="BY26" s="370" t="n">
        <v>0.568117601114111</v>
      </c>
      <c r="BZ26" s="370" t="n">
        <v>1</v>
      </c>
      <c r="CA26" s="370" t="n">
        <v>0.0217013867962765</v>
      </c>
      <c r="CB26" s="370" t="n">
        <v>0.983880178541275</v>
      </c>
      <c r="CC26" s="505" t="n">
        <v>-0.54</v>
      </c>
      <c r="CD26" s="505" t="n">
        <v>0</v>
      </c>
      <c r="CE26" s="505" t="n">
        <v>0.115</v>
      </c>
      <c r="CF26" s="505" t="n">
        <v>-0.01</v>
      </c>
      <c r="CG26" s="505" t="n">
        <v>0.0672</v>
      </c>
      <c r="CH26" s="505" t="n">
        <v>23.8669653710542</v>
      </c>
      <c r="CI26" s="505" t="n">
        <v>3.018</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($Y$12+VLOOKUP(YEAR(D27),$X$15:$Y$17,2,FALSE()))*AH27*AU27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2.63432835820896</v>
      </c>
      <c r="BW27" s="369" t="n">
        <v>3.051</v>
      </c>
      <c r="BX27" s="370" t="n">
        <v>0.570457587999636</v>
      </c>
      <c r="BY27" s="370" t="n">
        <v>0.570457587999636</v>
      </c>
      <c r="BZ27" s="370" t="n">
        <v>1</v>
      </c>
      <c r="CA27" s="370" t="n">
        <v>0.022410164045374</v>
      </c>
      <c r="CB27" s="370" t="n">
        <v>0.981562668478235</v>
      </c>
      <c r="CC27" s="505" t="n">
        <v>-0.58</v>
      </c>
      <c r="CD27" s="505" t="n">
        <v>0.02</v>
      </c>
      <c r="CE27" s="505" t="n">
        <v>0.03</v>
      </c>
      <c r="CF27" s="505" t="n">
        <v>-0.01</v>
      </c>
      <c r="CG27" s="505" t="n">
        <v>0.0672</v>
      </c>
      <c r="CH27" s="505" t="n">
        <v>24.6044387856765</v>
      </c>
      <c r="CI27" s="505" t="n">
        <v>3.031</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($Y$12+VLOOKUP(YEAR(D28),$X$15:$Y$17,2,FALSE()))*AH28*AU28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3.13805970149254</v>
      </c>
      <c r="BW28" s="369" t="n">
        <v>3.261</v>
      </c>
      <c r="BX28" s="370" t="n">
        <v>0.564616148067653</v>
      </c>
      <c r="BY28" s="370" t="n">
        <v>0.564616148067653</v>
      </c>
      <c r="BZ28" s="370" t="n">
        <v>1</v>
      </c>
      <c r="CA28" s="370" t="n">
        <v>0.0232740649677528</v>
      </c>
      <c r="CB28" s="370" t="n">
        <v>0.97893835036076</v>
      </c>
      <c r="CC28" s="505" t="n">
        <v>-0.295</v>
      </c>
      <c r="CD28" s="505" t="n">
        <v>0.0275</v>
      </c>
      <c r="CE28" s="505" t="n">
        <v>0.03</v>
      </c>
      <c r="CF28" s="505" t="n">
        <v>0.02</v>
      </c>
      <c r="CG28" s="505" t="n">
        <v>0.0672</v>
      </c>
      <c r="CH28" s="505" t="n">
        <v>23.7470865030513</v>
      </c>
      <c r="CI28" s="505" t="n">
        <v>3.211</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($Y$12+VLOOKUP(YEAR(D29),$X$15:$Y$17,2,FALSE()))*AH29*AU29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3.30863539445629</v>
      </c>
      <c r="BW29" s="369" t="n">
        <v>3.421</v>
      </c>
      <c r="BX29" s="370" t="n">
        <v>0.578861068007188</v>
      </c>
      <c r="BY29" s="370" t="n">
        <v>0.578861068007188</v>
      </c>
      <c r="BZ29" s="370" t="n">
        <v>1</v>
      </c>
      <c r="CA29" s="370" t="n">
        <v>0.024110098358836</v>
      </c>
      <c r="CB29" s="370" t="n">
        <v>0.976270925999808</v>
      </c>
      <c r="CC29" s="505" t="n">
        <v>-0.295</v>
      </c>
      <c r="CD29" s="505" t="n">
        <v>0.0275</v>
      </c>
      <c r="CE29" s="505" t="n">
        <v>0.03</v>
      </c>
      <c r="CF29" s="505" t="n">
        <v>0.02</v>
      </c>
      <c r="CG29" s="505" t="n">
        <v>0.0672</v>
      </c>
      <c r="CH29" s="505" t="n">
        <v>24.4717927936668</v>
      </c>
      <c r="CI29" s="505" t="n">
        <v>3.371</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($Y$12+VLOOKUP(YEAR(D30),$X$15:$Y$17,2,FALSE()))*AH30*AU30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3.41524520255864</v>
      </c>
      <c r="BW30" s="369" t="n">
        <v>3.486</v>
      </c>
      <c r="BX30" s="370" t="n">
        <v>0.576044779361258</v>
      </c>
      <c r="BY30" s="370" t="n">
        <v>0.576044779361258</v>
      </c>
      <c r="BZ30" s="370" t="n">
        <v>1</v>
      </c>
      <c r="CA30" s="370" t="n">
        <v>0.0250384261928196</v>
      </c>
      <c r="CB30" s="370" t="n">
        <v>0.97331647833328</v>
      </c>
      <c r="CC30" s="505" t="n">
        <v>-0.27</v>
      </c>
      <c r="CD30" s="505" t="n">
        <v>0.0275</v>
      </c>
      <c r="CE30" s="505" t="n">
        <v>0.02</v>
      </c>
      <c r="CF30" s="505" t="n">
        <v>0.02</v>
      </c>
      <c r="CG30" s="505" t="n">
        <v>0.0662</v>
      </c>
      <c r="CH30" s="505" t="n">
        <v>24.3856657114577</v>
      </c>
      <c r="CI30" s="505" t="n">
        <v>3.446</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($Y$12+VLOOKUP(YEAR(D31),$X$15:$Y$17,2,FALSE()))*AH31*AU31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3.34594882729211</v>
      </c>
      <c r="BW31" s="369" t="n">
        <v>3.411</v>
      </c>
      <c r="BX31" s="370" t="n">
        <v>0.560981465325952</v>
      </c>
      <c r="BY31" s="370" t="n">
        <v>0.560981465325952</v>
      </c>
      <c r="BZ31" s="370" t="n">
        <v>1</v>
      </c>
      <c r="CA31" s="370" t="n">
        <v>0.0260449864197474</v>
      </c>
      <c r="CB31" s="370" t="n">
        <v>0.970132608451962</v>
      </c>
      <c r="CC31" s="505" t="n">
        <v>-0.26</v>
      </c>
      <c r="CD31" s="505" t="n">
        <v>0.0275</v>
      </c>
      <c r="CE31" s="505" t="n">
        <v>0.02</v>
      </c>
      <c r="CF31" s="505" t="n">
        <v>0.02</v>
      </c>
      <c r="CG31" s="505" t="n">
        <v>0.0662</v>
      </c>
      <c r="CH31" s="505" t="n">
        <v>21.9537128762245</v>
      </c>
      <c r="CI31" s="505" t="n">
        <v>3.371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($Y$12+VLOOKUP(YEAR(D32),$X$15:$Y$17,2,FALSE()))*AH32*AU32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3.19669509594883</v>
      </c>
      <c r="BW32" s="369" t="n">
        <v>3.321</v>
      </c>
      <c r="BX32" s="370" t="n">
        <v>0.508829176784843</v>
      </c>
      <c r="BY32" s="370" t="n">
        <v>0.508829176784843</v>
      </c>
      <c r="BZ32" s="370" t="n">
        <v>1</v>
      </c>
      <c r="CA32" s="370" t="n">
        <v>0.0269541378866576</v>
      </c>
      <c r="CB32" s="370" t="n">
        <v>0.967126070368611</v>
      </c>
      <c r="CC32" s="505" t="n">
        <v>-0.31</v>
      </c>
      <c r="CD32" s="505" t="n">
        <v>0.0275</v>
      </c>
      <c r="CE32" s="505" t="n">
        <v>0.02</v>
      </c>
      <c r="CF32" s="505" t="n">
        <v>0.02</v>
      </c>
      <c r="CG32" s="505" t="n">
        <v>0.0662</v>
      </c>
      <c r="CH32" s="505" t="n">
        <v>24.2305699922293</v>
      </c>
      <c r="CI32" s="505" t="n">
        <v>3.281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($Y$12+VLOOKUP(YEAR(D33),$X$15:$Y$17,2,FALSE()))*AH33*AU33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2.89019189765458</v>
      </c>
      <c r="BW33" s="369" t="n">
        <v>3.286</v>
      </c>
      <c r="BX33" s="370" t="n">
        <v>0.39481762299868</v>
      </c>
      <c r="BY33" s="370" t="n">
        <v>0.39481762299868</v>
      </c>
      <c r="BZ33" s="370" t="n">
        <v>1</v>
      </c>
      <c r="CA33" s="370" t="n">
        <v>0.0279745964320606</v>
      </c>
      <c r="CB33" s="370" t="n">
        <v>0.963636615990319</v>
      </c>
      <c r="CC33" s="505" t="n">
        <v>-0.435</v>
      </c>
      <c r="CD33" s="505" t="n">
        <v>0.02</v>
      </c>
      <c r="CE33" s="505" t="n">
        <v>0.14</v>
      </c>
      <c r="CF33" s="505" t="n">
        <v>0.02</v>
      </c>
      <c r="CG33" s="505" t="n">
        <v>0.0662</v>
      </c>
      <c r="CH33" s="505" t="n">
        <v>23.3643333913013</v>
      </c>
      <c r="CI33" s="505" t="n">
        <v>3.126</v>
      </c>
      <c r="CJ33" s="505"/>
      <c r="CK33" s="505"/>
      <c r="CL33" s="505"/>
      <c r="CM33" s="505"/>
    </row>
  </sheetData>
  <mergeCells count="38">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4">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5">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33"/>
  <sheetViews>
    <sheetView showFormulas="false" showGridLines="true" showRowColHeaders="true" showZeros="true" rightToLeft="false" tabSelected="false" showOutlineSymbols="true" defaultGridColor="true" view="normal" topLeftCell="A8" colorId="64" zoomScale="100" zoomScaleNormal="100" zoomScalePageLayoutView="100" workbookViewId="0">
      <selection pane="topLeft" activeCell="CI21" activeCellId="0" sqref="CI21:CI32"/>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88</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272251.22</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272251.22</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918.77</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24989.94</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SUMPRODUCT(L22:L32,F22:F32)</f>
        <v>#VALUE!</v>
      </c>
      <c r="L10" s="414" t="s">
        <v>478</v>
      </c>
      <c r="M10" s="414"/>
      <c r="N10" s="400" t="e">
        <f aca="true">-SUMPRODUCT(INDIRECT(CONCATENATE(AV10,":",AW10)),INDIRECT(CONCATENATE($AX$7,":",$AY$7)),INDIRECT(CONCATENATE($AV$3,":",$AW$3)))</f>
        <v>#VALUE!</v>
      </c>
      <c r="O10" s="400" t="n">
        <v>-32515.94</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SUMPRODUCT(K22:K32,F22:F32)</f>
        <v>#VALUE!</v>
      </c>
      <c r="L11" s="425" t="s">
        <v>481</v>
      </c>
      <c r="M11" s="425"/>
      <c r="N11" s="426" t="e">
        <f aca="true">-SUMPRODUCT(INDIRECT(CONCATENATE(AV11,":",AW11)),INDIRECT(CONCATENATE($AV$2,":",$AW$2)),INDIRECT(CONCATENATE($AV$3,":",$AW$3)),INDIRECT(CONCATENATE(AX3,":",AY3)))</f>
        <v>#VALUE!</v>
      </c>
      <c r="O11" s="427" t="n">
        <v>-10995.6</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23345.36</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77.27</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-208.99</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277.38</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-3.78</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12.95</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268077.34</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4173.89</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2.93150829722017</v>
      </c>
      <c r="BW22" s="369" t="n">
        <v>5.226</v>
      </c>
      <c r="BX22" s="370" t="n">
        <v>0.965133777750641</v>
      </c>
      <c r="BY22" s="370" t="n">
        <v>2.14770052319066</v>
      </c>
      <c r="BZ22" s="370" t="n">
        <v>1.00057490205731</v>
      </c>
      <c r="CA22" s="370" t="n">
        <v>0.0187659081571607</v>
      </c>
      <c r="CB22" s="370" t="n">
        <v>0.998364899395796</v>
      </c>
      <c r="CC22" s="505" t="n">
        <v>-0.08</v>
      </c>
      <c r="CD22" s="505" t="n">
        <v>0.0075</v>
      </c>
      <c r="CE22" s="505" t="n">
        <v>1.95</v>
      </c>
      <c r="CF22" s="505" t="n">
        <v>0.43</v>
      </c>
      <c r="CG22" s="505" t="n">
        <v>0.0539</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2.99968290878343</v>
      </c>
      <c r="BW23" s="369" t="n">
        <v>5.238</v>
      </c>
      <c r="BX23" s="370" t="n">
        <v>0.913237525388536</v>
      </c>
      <c r="BY23" s="370" t="n">
        <v>1.61307246513533</v>
      </c>
      <c r="BZ23" s="370" t="n">
        <v>0.938001216839764</v>
      </c>
      <c r="CA23" s="370" t="n">
        <v>0.0193261872820063</v>
      </c>
      <c r="CB23" s="370" t="n">
        <v>0.996688029844541</v>
      </c>
      <c r="CC23" s="505" t="n">
        <v>-0.0775</v>
      </c>
      <c r="CD23" s="505" t="n">
        <v>0.0075</v>
      </c>
      <c r="CE23" s="505" t="n">
        <v>1.9</v>
      </c>
      <c r="CF23" s="505" t="n">
        <v>0.43</v>
      </c>
      <c r="CG23" s="505" t="n">
        <v>0.0539</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2.99334108445196</v>
      </c>
      <c r="BW24" s="369" t="n">
        <v>3.652</v>
      </c>
      <c r="BX24" s="370" t="n">
        <v>0.79424407372586</v>
      </c>
      <c r="BY24" s="370" t="n">
        <v>0.978046522410872</v>
      </c>
      <c r="BZ24" s="370" t="n">
        <v>0.986535693240078</v>
      </c>
      <c r="CA24" s="370" t="n">
        <v>0.0192731753639035</v>
      </c>
      <c r="CB24" s="370" t="n">
        <v>0.99523258517239</v>
      </c>
      <c r="CC24" s="505" t="n">
        <v>-0.0775</v>
      </c>
      <c r="CD24" s="505" t="n">
        <v>0.0075</v>
      </c>
      <c r="CE24" s="505" t="n">
        <v>0.7</v>
      </c>
      <c r="CF24" s="505" t="n">
        <v>0.05</v>
      </c>
      <c r="CG24" s="505" t="n">
        <v>0.0539</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2.93626466546877</v>
      </c>
      <c r="BW25" s="369" t="n">
        <v>3.283</v>
      </c>
      <c r="BX25" s="370" t="n">
        <v>0.606420927626525</v>
      </c>
      <c r="BY25" s="370" t="n">
        <v>0.606420927626525</v>
      </c>
      <c r="BZ25" s="370" t="n">
        <v>1.01394452698042</v>
      </c>
      <c r="CA25" s="370" t="n">
        <v>0.0194226401196236</v>
      </c>
      <c r="CB25" s="370" t="n">
        <v>0.993564587749983</v>
      </c>
      <c r="CC25" s="505" t="n">
        <v>-0.0775</v>
      </c>
      <c r="CD25" s="505" t="n">
        <v>0.0075</v>
      </c>
      <c r="CE25" s="505" t="n">
        <v>0.415</v>
      </c>
      <c r="CF25" s="505" t="n">
        <v>0.02</v>
      </c>
      <c r="CG25" s="505" t="n">
        <v>0.0539</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2.98699926012049</v>
      </c>
      <c r="BW26" s="369" t="n">
        <v>3.301</v>
      </c>
      <c r="BX26" s="370" t="n">
        <v>0.5775</v>
      </c>
      <c r="BY26" s="370" t="n">
        <v>0.5775</v>
      </c>
      <c r="BZ26" s="370" t="n">
        <v>0</v>
      </c>
      <c r="CA26" s="370" t="n">
        <v>0.019712159578257</v>
      </c>
      <c r="CB26" s="370" t="n">
        <v>0</v>
      </c>
      <c r="CC26" s="505" t="n">
        <v>-0.0775</v>
      </c>
      <c r="CD26" s="505" t="n">
        <v>0.0075</v>
      </c>
      <c r="CE26" s="505" t="n">
        <v>0.385</v>
      </c>
      <c r="CF26" s="505" t="n">
        <v>0.02</v>
      </c>
      <c r="CG26" s="505" t="n">
        <v>0.0539</v>
      </c>
      <c r="CH26" s="505" t="n">
        <v>0</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($Y$12+VLOOKUP(YEAR(D27),$X$15:$Y$17,2,FALSE()))*AH27*AU27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2.98699926012049</v>
      </c>
      <c r="BW27" s="369" t="n">
        <v>3.301</v>
      </c>
      <c r="BX27" s="370" t="n">
        <v>0.5775</v>
      </c>
      <c r="BY27" s="370" t="n">
        <v>0.5775</v>
      </c>
      <c r="BZ27" s="370" t="n">
        <v>0</v>
      </c>
      <c r="CA27" s="370" t="n">
        <v>0.019712159578257</v>
      </c>
      <c r="CB27" s="370" t="n">
        <v>0</v>
      </c>
      <c r="CC27" s="505" t="n">
        <v>-0.0775</v>
      </c>
      <c r="CD27" s="505" t="n">
        <v>0.0075</v>
      </c>
      <c r="CE27" s="505" t="n">
        <v>0.385</v>
      </c>
      <c r="CF27" s="505" t="n">
        <v>0.02</v>
      </c>
      <c r="CG27" s="505" t="n">
        <v>0.0539</v>
      </c>
      <c r="CH27" s="505" t="n">
        <v>0</v>
      </c>
      <c r="CI27" s="505" t="n">
        <v>2.896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($Y$12+VLOOKUP(YEAR(D28),$X$15:$Y$17,2,FALSE()))*AH28*AU28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2.98699926012049</v>
      </c>
      <c r="BW28" s="369" t="n">
        <v>3.301</v>
      </c>
      <c r="BX28" s="370" t="n">
        <v>0.5775</v>
      </c>
      <c r="BY28" s="370" t="n">
        <v>0.5775</v>
      </c>
      <c r="BZ28" s="370" t="n">
        <v>0</v>
      </c>
      <c r="CA28" s="370" t="n">
        <v>0.019712159578257</v>
      </c>
      <c r="CB28" s="370" t="n">
        <v>0</v>
      </c>
      <c r="CC28" s="505" t="n">
        <v>-0.0775</v>
      </c>
      <c r="CD28" s="505" t="n">
        <v>0.0075</v>
      </c>
      <c r="CE28" s="505" t="n">
        <v>0.385</v>
      </c>
      <c r="CF28" s="505" t="n">
        <v>0.02</v>
      </c>
      <c r="CG28" s="505" t="n">
        <v>0.0539</v>
      </c>
      <c r="CH28" s="505" t="n">
        <v>0</v>
      </c>
      <c r="CI28" s="505" t="n">
        <v>2.896</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($Y$12+VLOOKUP(YEAR(D29),$X$15:$Y$17,2,FALSE()))*AH29*AU29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2.98699926012049</v>
      </c>
      <c r="BW29" s="369" t="n">
        <v>3.301</v>
      </c>
      <c r="BX29" s="370" t="n">
        <v>0.5775</v>
      </c>
      <c r="BY29" s="370" t="n">
        <v>0.5775</v>
      </c>
      <c r="BZ29" s="370" t="n">
        <v>0</v>
      </c>
      <c r="CA29" s="370" t="n">
        <v>0.019712159578257</v>
      </c>
      <c r="CB29" s="370" t="n">
        <v>0</v>
      </c>
      <c r="CC29" s="505" t="n">
        <v>-0.0775</v>
      </c>
      <c r="CD29" s="505" t="n">
        <v>0.0075</v>
      </c>
      <c r="CE29" s="505" t="n">
        <v>0.385</v>
      </c>
      <c r="CF29" s="505" t="n">
        <v>0.02</v>
      </c>
      <c r="CG29" s="505" t="n">
        <v>0.0539</v>
      </c>
      <c r="CH29" s="505" t="n">
        <v>0</v>
      </c>
      <c r="CI29" s="505" t="n">
        <v>2.896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($Y$12+VLOOKUP(YEAR(D30),$X$15:$Y$17,2,FALSE()))*AH30*AU30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2.98699926012049</v>
      </c>
      <c r="BW30" s="369" t="n">
        <v>3.301</v>
      </c>
      <c r="BX30" s="370" t="n">
        <v>0.5775</v>
      </c>
      <c r="BY30" s="370" t="n">
        <v>0.5775</v>
      </c>
      <c r="BZ30" s="370" t="n">
        <v>0</v>
      </c>
      <c r="CA30" s="370" t="n">
        <v>0.019712159578257</v>
      </c>
      <c r="CB30" s="370" t="n">
        <v>0</v>
      </c>
      <c r="CC30" s="505" t="n">
        <v>-0.0775</v>
      </c>
      <c r="CD30" s="505" t="n">
        <v>0.0075</v>
      </c>
      <c r="CE30" s="505" t="n">
        <v>0.385</v>
      </c>
      <c r="CF30" s="505" t="n">
        <v>0.02</v>
      </c>
      <c r="CG30" s="505" t="n">
        <v>0.0539</v>
      </c>
      <c r="CH30" s="505" t="n">
        <v>0</v>
      </c>
      <c r="CI30" s="505" t="n">
        <v>2.896</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($Y$12+VLOOKUP(YEAR(D31),$X$15:$Y$17,2,FALSE()))*AH31*AU31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2.98699926012049</v>
      </c>
      <c r="BW31" s="369" t="n">
        <v>3.301</v>
      </c>
      <c r="BX31" s="370" t="n">
        <v>0.5775</v>
      </c>
      <c r="BY31" s="370" t="n">
        <v>0.5775</v>
      </c>
      <c r="BZ31" s="370" t="n">
        <v>0</v>
      </c>
      <c r="CA31" s="370" t="n">
        <v>0.019712159578257</v>
      </c>
      <c r="CB31" s="370" t="n">
        <v>0</v>
      </c>
      <c r="CC31" s="505" t="n">
        <v>-0.0775</v>
      </c>
      <c r="CD31" s="505" t="n">
        <v>0.0075</v>
      </c>
      <c r="CE31" s="505" t="n">
        <v>0.385</v>
      </c>
      <c r="CF31" s="505" t="n">
        <v>0.02</v>
      </c>
      <c r="CG31" s="505" t="n">
        <v>0.0539</v>
      </c>
      <c r="CH31" s="505" t="n">
        <v>0</v>
      </c>
      <c r="CI31" s="505" t="n">
        <v>2.896</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($Y$12+VLOOKUP(YEAR(D32),$X$15:$Y$17,2,FALSE()))*AH32*AU32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2.98699926012049</v>
      </c>
      <c r="BW32" s="369" t="n">
        <v>3.301</v>
      </c>
      <c r="BX32" s="370" t="n">
        <v>0.5775</v>
      </c>
      <c r="BY32" s="370" t="n">
        <v>0.5775</v>
      </c>
      <c r="BZ32" s="370" t="n">
        <v>0</v>
      </c>
      <c r="CA32" s="370" t="n">
        <v>0.019712159578257</v>
      </c>
      <c r="CB32" s="370" t="n">
        <v>0</v>
      </c>
      <c r="CC32" s="505" t="n">
        <v>-0.0775</v>
      </c>
      <c r="CD32" s="505" t="n">
        <v>0.0075</v>
      </c>
      <c r="CE32" s="505" t="n">
        <v>0.385</v>
      </c>
      <c r="CF32" s="505" t="n">
        <v>0.02</v>
      </c>
      <c r="CG32" s="505" t="n">
        <v>0.0539</v>
      </c>
      <c r="CH32" s="505" t="n">
        <v>0</v>
      </c>
      <c r="CI32" s="505" t="n">
        <v>2.896</v>
      </c>
      <c r="CJ32" s="505"/>
      <c r="CK32" s="505"/>
      <c r="CL32" s="505"/>
      <c r="CM32" s="505"/>
    </row>
    <row r="33" customFormat="false" ht="12.75" hidden="false" customHeight="false" outlineLevel="0" collapsed="false">
      <c r="A33" s="500"/>
      <c r="B33" s="500"/>
    </row>
  </sheetData>
  <mergeCells count="38">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H29"/>
  <sheetViews>
    <sheetView showFormulas="false" showGridLines="true" showRowColHeaders="true" showZeros="true" rightToLeft="false" tabSelected="false" showOutlineSymbols="true" defaultGridColor="true" view="normal" topLeftCell="D1" colorId="64" zoomScale="80" zoomScaleNormal="80" zoomScalePageLayoutView="100" workbookViewId="0">
      <selection pane="topLeft" activeCell="E16" activeCellId="0" sqref="E16"/>
    </sheetView>
  </sheetViews>
  <sheetFormatPr defaultColWidth="9.13671875" defaultRowHeight="12.75" customHeight="true" zeroHeight="false" outlineLevelRow="0" outlineLevelCol="0"/>
  <cols>
    <col collapsed="false" customWidth="true" hidden="false" outlineLevel="0" max="2" min="1" style="1" width="3.7"/>
    <col collapsed="false" customWidth="true" hidden="false" outlineLevel="0" max="3" min="3" style="1" width="10.71"/>
    <col collapsed="false" customWidth="true" hidden="false" outlineLevel="0" max="4" min="4" style="1" width="18.7"/>
    <col collapsed="false" customWidth="true" hidden="false" outlineLevel="0" max="8" min="5" style="1" width="30.7"/>
    <col collapsed="false" customWidth="true" hidden="false" outlineLevel="0" max="10" min="9" style="1" width="13.7"/>
    <col collapsed="false" customWidth="false" hidden="false" outlineLevel="0" max="257" min="11" style="1" width="9.14"/>
  </cols>
  <sheetData>
    <row r="1" customFormat="false" ht="12.75" hidden="false" customHeight="false" outlineLevel="0" collapsed="false">
      <c r="A1" s="19" t="s">
        <v>9</v>
      </c>
    </row>
    <row r="2" customFormat="false" ht="13.5" hidden="false" customHeight="false" outlineLevel="0" collapsed="false">
      <c r="A2" s="19" t="str">
        <f aca="false">ADDRESS(ROW($C$9),COLUMN($C$9))</f>
        <v>$C$9</v>
      </c>
    </row>
    <row r="3" customFormat="false" ht="12.75" hidden="false" customHeight="false" outlineLevel="0" collapsed="false">
      <c r="C3" s="20" t="s">
        <v>10</v>
      </c>
      <c r="D3" s="20"/>
      <c r="E3" s="20"/>
      <c r="F3" s="20"/>
      <c r="G3" s="20"/>
      <c r="H3" s="20"/>
    </row>
    <row r="4" customFormat="false" ht="12.75" hidden="false" customHeight="false" outlineLevel="0" collapsed="false">
      <c r="C4" s="21"/>
      <c r="D4" s="22"/>
      <c r="E4" s="22"/>
      <c r="F4" s="22"/>
      <c r="G4" s="22"/>
      <c r="H4" s="23"/>
    </row>
    <row r="5" customFormat="false" ht="12.75" hidden="false" customHeight="false" outlineLevel="0" collapsed="false">
      <c r="C5" s="21"/>
      <c r="D5" s="22"/>
      <c r="E5" s="22"/>
      <c r="F5" s="22"/>
      <c r="G5" s="22"/>
      <c r="H5" s="23"/>
    </row>
    <row r="6" customFormat="false" ht="12.75" hidden="false" customHeight="false" outlineLevel="0" collapsed="false">
      <c r="C6" s="21"/>
      <c r="D6" s="22"/>
      <c r="E6" s="22"/>
      <c r="F6" s="22"/>
      <c r="G6" s="22"/>
      <c r="H6" s="23"/>
    </row>
    <row r="7" customFormat="false" ht="13.5" hidden="false" customHeight="false" outlineLevel="0" collapsed="false">
      <c r="C7" s="24"/>
      <c r="D7" s="25"/>
      <c r="E7" s="25"/>
      <c r="F7" s="25"/>
      <c r="G7" s="25"/>
      <c r="H7" s="26"/>
    </row>
    <row r="8" customFormat="false" ht="13.5" hidden="false" customHeight="false" outlineLevel="0" collapsed="false"/>
    <row r="9" customFormat="false" ht="27" hidden="false" customHeight="false" outlineLevel="0" collapsed="false">
      <c r="C9" s="27" t="s">
        <v>11</v>
      </c>
      <c r="D9" s="28" t="s">
        <v>12</v>
      </c>
      <c r="E9" s="28"/>
      <c r="F9" s="28"/>
      <c r="G9" s="28"/>
      <c r="H9" s="28"/>
    </row>
    <row r="10" customFormat="false" ht="15.75" hidden="false" customHeight="false" outlineLevel="0" collapsed="false">
      <c r="C10" s="29"/>
    </row>
    <row r="11" customFormat="false" ht="16.5" hidden="false" customHeight="true" outlineLevel="0" collapsed="false">
      <c r="C11" s="30" t="n">
        <v>62</v>
      </c>
      <c r="D11" s="31" t="s">
        <v>13</v>
      </c>
      <c r="E11" s="31"/>
      <c r="F11" s="31"/>
      <c r="G11" s="31"/>
      <c r="H11" s="31"/>
    </row>
    <row r="12" customFormat="false" ht="15.75" hidden="false" customHeight="true" outlineLevel="0" collapsed="false">
      <c r="C12" s="30"/>
      <c r="D12" s="32"/>
      <c r="E12" s="33" t="s">
        <v>15</v>
      </c>
      <c r="F12" s="33" t="s">
        <v>16</v>
      </c>
      <c r="G12" s="33" t="s">
        <v>17</v>
      </c>
      <c r="H12" s="34" t="s">
        <v>18</v>
      </c>
    </row>
    <row r="13" customFormat="false" ht="13.5" hidden="false" customHeight="true" outlineLevel="0" collapsed="false">
      <c r="C13" s="30"/>
      <c r="D13" s="35" t="s">
        <v>19</v>
      </c>
      <c r="E13" s="36" t="s">
        <v>200</v>
      </c>
      <c r="F13" s="36" t="s">
        <v>201</v>
      </c>
      <c r="G13" s="37" t="n">
        <v>36831</v>
      </c>
      <c r="H13" s="38" t="n">
        <v>39538</v>
      </c>
    </row>
    <row r="14" customFormat="false" ht="15.75" hidden="false" customHeight="true" outlineLevel="0" collapsed="false">
      <c r="C14" s="30"/>
      <c r="D14" s="39"/>
      <c r="E14" s="40" t="s">
        <v>22</v>
      </c>
      <c r="F14" s="41" t="s">
        <v>23</v>
      </c>
      <c r="G14" s="41" t="s">
        <v>24</v>
      </c>
      <c r="H14" s="42" t="s">
        <v>25</v>
      </c>
    </row>
    <row r="15" customFormat="false" ht="12.75" hidden="false" customHeight="true" outlineLevel="0" collapsed="false">
      <c r="C15" s="30"/>
      <c r="D15" s="43" t="s">
        <v>26</v>
      </c>
      <c r="E15" s="44" t="s">
        <v>202</v>
      </c>
      <c r="F15" s="44" t="s">
        <v>28</v>
      </c>
      <c r="G15" s="44" t="s">
        <v>28</v>
      </c>
      <c r="H15" s="45" t="s">
        <v>28</v>
      </c>
    </row>
    <row r="16" customFormat="false" ht="12.75" hidden="false" customHeight="true" outlineLevel="0" collapsed="false">
      <c r="C16" s="30"/>
      <c r="D16" s="46" t="s">
        <v>29</v>
      </c>
      <c r="E16" s="47" t="n">
        <v>9189</v>
      </c>
      <c r="F16" s="47" t="n">
        <v>0</v>
      </c>
      <c r="G16" s="47" t="n">
        <v>0</v>
      </c>
      <c r="H16" s="48" t="n">
        <v>0</v>
      </c>
    </row>
    <row r="17" customFormat="false" ht="12.75" hidden="false" customHeight="true" outlineLevel="0" collapsed="false">
      <c r="C17" s="30"/>
      <c r="D17" s="46" t="s">
        <v>30</v>
      </c>
      <c r="E17" s="49" t="n">
        <v>0</v>
      </c>
      <c r="F17" s="49" t="n">
        <v>0</v>
      </c>
      <c r="G17" s="49" t="n">
        <v>0</v>
      </c>
      <c r="H17" s="50" t="n">
        <v>0</v>
      </c>
    </row>
    <row r="18" customFormat="false" ht="12.75" hidden="false" customHeight="true" outlineLevel="0" collapsed="false">
      <c r="C18" s="30"/>
      <c r="D18" s="46" t="s">
        <v>31</v>
      </c>
      <c r="E18" s="51" t="n">
        <v>0</v>
      </c>
      <c r="F18" s="51" t="n">
        <v>0</v>
      </c>
      <c r="G18" s="51" t="n">
        <v>0</v>
      </c>
      <c r="H18" s="52" t="n">
        <v>0</v>
      </c>
    </row>
    <row r="19" customFormat="false" ht="12.75" hidden="false" customHeight="true" outlineLevel="0" collapsed="false">
      <c r="C19" s="30"/>
      <c r="D19" s="46" t="s">
        <v>32</v>
      </c>
      <c r="E19" s="49" t="n">
        <v>0</v>
      </c>
      <c r="F19" s="49" t="n">
        <v>0</v>
      </c>
      <c r="G19" s="49" t="n">
        <v>0</v>
      </c>
      <c r="H19" s="50" t="n">
        <v>0</v>
      </c>
    </row>
    <row r="20" customFormat="false" ht="12.75" hidden="false" customHeight="true" outlineLevel="0" collapsed="false">
      <c r="C20" s="30"/>
      <c r="D20" s="53" t="s">
        <v>33</v>
      </c>
      <c r="E20" s="54" t="n">
        <v>0</v>
      </c>
      <c r="F20" s="55" t="n">
        <v>0</v>
      </c>
      <c r="G20" s="56" t="n">
        <v>0</v>
      </c>
      <c r="H20" s="57" t="n">
        <v>0</v>
      </c>
    </row>
    <row r="21" customFormat="false" ht="13.5" hidden="false" customHeight="true" outlineLevel="0" collapsed="false">
      <c r="C21" s="30"/>
      <c r="D21" s="58" t="s">
        <v>34</v>
      </c>
      <c r="E21" s="59" t="n">
        <v>0</v>
      </c>
      <c r="F21" s="60" t="n">
        <v>0</v>
      </c>
      <c r="G21" s="61" t="n">
        <v>0</v>
      </c>
      <c r="H21" s="62" t="n">
        <v>0</v>
      </c>
    </row>
    <row r="22" customFormat="false" ht="13.5" hidden="false" customHeight="true" outlineLevel="0" collapsed="false">
      <c r="C22" s="30"/>
      <c r="D22" s="53" t="s">
        <v>35</v>
      </c>
      <c r="E22" s="54" t="n">
        <v>0</v>
      </c>
      <c r="F22" s="55" t="n">
        <v>0</v>
      </c>
      <c r="G22" s="55" t="n">
        <v>0</v>
      </c>
      <c r="H22" s="63" t="n">
        <v>0</v>
      </c>
    </row>
    <row r="23" customFormat="false" ht="13.5" hidden="false" customHeight="true" outlineLevel="0" collapsed="false">
      <c r="C23" s="30"/>
      <c r="D23" s="64" t="s">
        <v>36</v>
      </c>
      <c r="E23" s="65" t="s">
        <v>203</v>
      </c>
      <c r="F23" s="66" t="s">
        <v>38</v>
      </c>
      <c r="G23" s="67" t="s">
        <v>204</v>
      </c>
      <c r="H23" s="68" t="s">
        <v>40</v>
      </c>
    </row>
    <row r="24" customFormat="false" ht="13.5" hidden="false" customHeight="true" outlineLevel="0" collapsed="false">
      <c r="C24" s="30"/>
      <c r="D24" s="69" t="s">
        <v>41</v>
      </c>
      <c r="E24" s="70" t="s">
        <v>205</v>
      </c>
      <c r="F24" s="71" t="s">
        <v>43</v>
      </c>
      <c r="G24" s="72" t="s">
        <v>206</v>
      </c>
      <c r="H24" s="73" t="s">
        <v>207</v>
      </c>
    </row>
    <row r="25" customFormat="false" ht="13.5" hidden="false" customHeight="true" outlineLevel="0" collapsed="false">
      <c r="C25" s="30"/>
      <c r="D25" s="74" t="s">
        <v>46</v>
      </c>
      <c r="E25" s="75" t="s">
        <v>49</v>
      </c>
      <c r="F25" s="76" t="s">
        <v>48</v>
      </c>
      <c r="G25" s="77" t="s">
        <v>49</v>
      </c>
      <c r="H25" s="68" t="s">
        <v>50</v>
      </c>
    </row>
    <row r="26" customFormat="false" ht="13.5" hidden="false" customHeight="true" outlineLevel="0" collapsed="false">
      <c r="C26" s="30"/>
      <c r="D26" s="78" t="s">
        <v>51</v>
      </c>
      <c r="E26" s="79" t="n">
        <v>61</v>
      </c>
      <c r="F26" s="80" t="e">
        <f aca="false">GetCorrelName1($E26)</f>
        <v>#VALUE!</v>
      </c>
      <c r="G26" s="81" t="e">
        <f aca="false">GetCorrelName2($E26)</f>
        <v>#VALUE!</v>
      </c>
      <c r="H26" s="82" t="s">
        <v>52</v>
      </c>
    </row>
    <row r="27" customFormat="false" ht="13.5" hidden="false" customHeight="true" outlineLevel="0" collapsed="false">
      <c r="C27" s="30"/>
      <c r="D27" s="83" t="s">
        <v>53</v>
      </c>
      <c r="E27" s="84"/>
      <c r="F27" s="84"/>
      <c r="G27" s="84"/>
      <c r="H27" s="84"/>
    </row>
    <row r="28" customFormat="false" ht="13.5" hidden="false" customHeight="true" outlineLevel="0" collapsed="false">
      <c r="C28" s="30"/>
      <c r="D28" s="83"/>
      <c r="E28" s="84"/>
      <c r="F28" s="84"/>
      <c r="G28" s="84"/>
      <c r="H28" s="84"/>
    </row>
    <row r="29" customFormat="false" ht="13.5" hidden="false" customHeight="false" outlineLevel="0" collapsed="false"/>
  </sheetData>
  <mergeCells count="6">
    <mergeCell ref="C3:H3"/>
    <mergeCell ref="D9:H9"/>
    <mergeCell ref="C11:C28"/>
    <mergeCell ref="D11:H11"/>
    <mergeCell ref="D27:D28"/>
    <mergeCell ref="E27:H28"/>
  </mergeCells>
  <printOptions headings="false" gridLines="false" gridLinesSet="true" horizontalCentered="false" verticalCentered="false"/>
  <pageMargins left="0.747916666666667" right="0.747916666666667" top="0.5" bottom="0.5" header="0.511811023622047" footer="0.511811023622047"/>
  <pageSetup paperSize="5" scale="100" fitToWidth="1" fitToHeight="2" pageOrder="downThenOver" orientation="portrait" blackAndWhite="false" draft="false" cellComments="none" horizontalDpi="300" verticalDpi="300" copies="1"/>
  <headerFooter differentFirst="false" differentOddEven="false">
    <oddHeader/>
    <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anchor moveWithCells="true" sizeWithCells="false">
                  <from>
                    <xdr:col>4</xdr:col>
                    <xdr:colOff>1006200</xdr:colOff>
                    <xdr:row>3</xdr:row>
                    <xdr:rowOff>104760</xdr:rowOff>
                  </from>
                  <to>
                    <xdr:col>5</xdr:col>
                    <xdr:colOff>435240</xdr:colOff>
                    <xdr:row>5</xdr:row>
                    <xdr:rowOff>162000</xdr:rowOff>
                  </to>
                </anchor>
              </controlPr>
            </control>
          </mc:Choice>
        </mc:AlternateContent>
        <mc:AlternateContent xmlns:mc="http://schemas.openxmlformats.org/markup-compatibility/2006">
          <mc:Choice Requires="x14">
            <control shapeId="1002" r:id="rId4" name="Button 2">
              <controlPr defaultSize="0" print="false" autoFill="0" autoPict="0">
                <anchor moveWithCells="true" sizeWithCells="false">
                  <from>
                    <xdr:col>2</xdr:col>
                    <xdr:colOff>130320</xdr:colOff>
                    <xdr:row>3</xdr:row>
                    <xdr:rowOff>104760</xdr:rowOff>
                  </from>
                  <to>
                    <xdr:col>3</xdr:col>
                    <xdr:colOff>966960</xdr:colOff>
                    <xdr:row>5</xdr:row>
                    <xdr:rowOff>162000</xdr:rowOff>
                  </to>
                </anchor>
              </controlPr>
            </control>
          </mc:Choice>
        </mc:AlternateContent>
        <mc:AlternateContent xmlns:mc="http://schemas.openxmlformats.org/markup-compatibility/2006">
          <mc:Choice Requires="x14">
            <control shapeId="1003" r:id="rId5" name="Button 3">
              <controlPr defaultSize="0" print="false" autoFill="0" autoPict="0">
                <anchor moveWithCells="true" sizeWithCells="false">
                  <from>
                    <xdr:col>5</xdr:col>
                    <xdr:colOff>1802520</xdr:colOff>
                    <xdr:row>3</xdr:row>
                    <xdr:rowOff>104760</xdr:rowOff>
                  </from>
                  <to>
                    <xdr:col>6</xdr:col>
                    <xdr:colOff>1230120</xdr:colOff>
                    <xdr:row>5</xdr:row>
                    <xdr:rowOff>162000</xdr:rowOff>
                  </to>
                </anchor>
              </controlPr>
            </control>
          </mc:Choice>
        </mc:AlternateContent>
        <mc:AlternateContent xmlns:mc="http://schemas.openxmlformats.org/markup-compatibility/2006">
          <mc:Choice Requires="x14">
            <control shapeId="1004" r:id="rId6" name="Button 4">
              <controlPr defaultSize="0" print="false" autoFill="0" autoPict="0">
                <anchor moveWithCells="true" sizeWithCells="false">
                  <from>
                    <xdr:col>7</xdr:col>
                    <xdr:colOff>433440</xdr:colOff>
                    <xdr:row>3</xdr:row>
                    <xdr:rowOff>104760</xdr:rowOff>
                  </from>
                  <to>
                    <xdr:col>8</xdr:col>
                    <xdr:colOff>-139680</xdr:colOff>
                    <xdr:row>5</xdr:row>
                    <xdr:rowOff>162000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33"/>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32"/>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89</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390297.97</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390297.97</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1259.76</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36749.91</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SUMPRODUCT(L22:L32,F22:F32)</f>
        <v>#VALUE!</v>
      </c>
      <c r="L10" s="414" t="s">
        <v>478</v>
      </c>
      <c r="M10" s="414"/>
      <c r="N10" s="400" t="e">
        <f aca="true">-SUMPRODUCT(INDIRECT(CONCATENATE(AV10,":",AW10)),INDIRECT(CONCATENATE($AX$7,":",$AY$7)),INDIRECT(CONCATENATE($AV$3,":",$AW$3)))</f>
        <v>#VALUE!</v>
      </c>
      <c r="O10" s="400" t="n">
        <v>-45368.86</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SUMPRODUCT(K22:K32,F22:F32)</f>
        <v>#VALUE!</v>
      </c>
      <c r="L11" s="425" t="s">
        <v>481</v>
      </c>
      <c r="M11" s="425"/>
      <c r="N11" s="426" t="e">
        <f aca="true">-SUMPRODUCT(INDIRECT(CONCATENATE(AV11,":",AW11)),INDIRECT(CONCATENATE($AV$2,":",$AW$2)),INDIRECT(CONCATENATE($AV$3,":",$AW$3)),INDIRECT(CONCATENATE(AX3,":",AY3)))</f>
        <v>#VALUE!</v>
      </c>
      <c r="O11" s="427" t="n">
        <v>-15420</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34219.5</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130.42</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-352.21</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459.48</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-5.39</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18.52</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382701.32</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7597.15</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2.97335720303286</v>
      </c>
      <c r="BW22" s="369" t="n">
        <v>5.226</v>
      </c>
      <c r="BX22" s="370" t="n">
        <v>0.952435996987834</v>
      </c>
      <c r="BY22" s="370" t="n">
        <v>2.14770052319066</v>
      </c>
      <c r="BZ22" s="370" t="n">
        <v>0.994734085516466</v>
      </c>
      <c r="CA22" s="370" t="n">
        <v>0.0187659081571607</v>
      </c>
      <c r="CB22" s="370" t="n">
        <v>0.998364899395796</v>
      </c>
      <c r="CC22" s="505" t="n">
        <v>-0.025</v>
      </c>
      <c r="CD22" s="505" t="n">
        <v>0.0025</v>
      </c>
      <c r="CE22" s="505" t="n">
        <v>1.95</v>
      </c>
      <c r="CF22" s="505" t="n">
        <v>0.43</v>
      </c>
      <c r="CG22" s="505" t="n">
        <v>0.0514</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3.03864785172704</v>
      </c>
      <c r="BW23" s="369" t="n">
        <v>5.238</v>
      </c>
      <c r="BX23" s="370" t="n">
        <v>0.906812181950228</v>
      </c>
      <c r="BY23" s="370" t="n">
        <v>1.61307246513533</v>
      </c>
      <c r="BZ23" s="370" t="n">
        <v>0.931765174375839</v>
      </c>
      <c r="CA23" s="370" t="n">
        <v>0.0193261872820063</v>
      </c>
      <c r="CB23" s="370" t="n">
        <v>0.996688029844541</v>
      </c>
      <c r="CC23" s="505" t="n">
        <v>-0.025</v>
      </c>
      <c r="CD23" s="505" t="n">
        <v>0.0025</v>
      </c>
      <c r="CE23" s="505" t="n">
        <v>1.9</v>
      </c>
      <c r="CF23" s="505" t="n">
        <v>0.43</v>
      </c>
      <c r="CG23" s="505" t="n">
        <v>0.0514</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3.03232940185341</v>
      </c>
      <c r="BW24" s="369" t="n">
        <v>3.652</v>
      </c>
      <c r="BX24" s="370" t="n">
        <v>0.79</v>
      </c>
      <c r="BY24" s="370" t="n">
        <v>0.978046522410872</v>
      </c>
      <c r="BZ24" s="370" t="n">
        <v>0.981984874834433</v>
      </c>
      <c r="CA24" s="370" t="n">
        <v>0.0192731753639035</v>
      </c>
      <c r="CB24" s="370" t="n">
        <v>0.99523258517239</v>
      </c>
      <c r="CC24" s="505" t="n">
        <v>-0.025</v>
      </c>
      <c r="CD24" s="505" t="n">
        <v>0.0025</v>
      </c>
      <c r="CE24" s="505" t="n">
        <v>0.7</v>
      </c>
      <c r="CF24" s="505" t="n">
        <v>0.05</v>
      </c>
      <c r="CG24" s="505" t="n">
        <v>0.0514</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2.98072872788543</v>
      </c>
      <c r="BW25" s="369" t="n">
        <v>3.283</v>
      </c>
      <c r="BX25" s="370" t="n">
        <v>0.600814487825059</v>
      </c>
      <c r="BY25" s="370" t="n">
        <v>0.606420927626525</v>
      </c>
      <c r="BZ25" s="370" t="n">
        <v>1.01248606184146</v>
      </c>
      <c r="CA25" s="370" t="n">
        <v>0.0194226401196236</v>
      </c>
      <c r="CB25" s="370" t="n">
        <v>0.993564587749983</v>
      </c>
      <c r="CC25" s="505" t="n">
        <v>-0.0225</v>
      </c>
      <c r="CD25" s="505" t="n">
        <v>0.005</v>
      </c>
      <c r="CE25" s="505" t="n">
        <v>0.415</v>
      </c>
      <c r="CF25" s="505" t="n">
        <v>0.02</v>
      </c>
      <c r="CG25" s="505" t="n">
        <v>0.0514</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3.03127632687447</v>
      </c>
      <c r="BW26" s="369" t="n">
        <v>3.301</v>
      </c>
      <c r="BX26" s="370" t="n">
        <v>0.5775</v>
      </c>
      <c r="BY26" s="370" t="n">
        <v>0.5775</v>
      </c>
      <c r="BZ26" s="370" t="n">
        <v>0</v>
      </c>
      <c r="CA26" s="370" t="n">
        <v>0.019712159578257</v>
      </c>
      <c r="CB26" s="370" t="n">
        <v>0</v>
      </c>
      <c r="CC26" s="505" t="n">
        <v>-0.0225</v>
      </c>
      <c r="CD26" s="505" t="n">
        <v>0.005</v>
      </c>
      <c r="CE26" s="505" t="n">
        <v>0.385</v>
      </c>
      <c r="CF26" s="505" t="n">
        <v>0.02</v>
      </c>
      <c r="CG26" s="505" t="n">
        <v>0.0514</v>
      </c>
      <c r="CH26" s="505" t="n">
        <v>0</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($Y$12+VLOOKUP(YEAR(D27),$X$15:$Y$17,2,FALSE()))*AH27*AU27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3.03127632687447</v>
      </c>
      <c r="BW27" s="369" t="n">
        <v>3.301</v>
      </c>
      <c r="BX27" s="370" t="n">
        <v>0.5775</v>
      </c>
      <c r="BY27" s="370" t="n">
        <v>0.5775</v>
      </c>
      <c r="BZ27" s="370" t="n">
        <v>0</v>
      </c>
      <c r="CA27" s="370" t="n">
        <v>0.019712159578257</v>
      </c>
      <c r="CB27" s="370" t="n">
        <v>0</v>
      </c>
      <c r="CC27" s="505" t="n">
        <v>-0.0225</v>
      </c>
      <c r="CD27" s="505" t="n">
        <v>0.005</v>
      </c>
      <c r="CE27" s="505" t="n">
        <v>0.385</v>
      </c>
      <c r="CF27" s="505" t="n">
        <v>0.02</v>
      </c>
      <c r="CG27" s="505" t="n">
        <v>0.0514</v>
      </c>
      <c r="CH27" s="505" t="n">
        <v>0</v>
      </c>
      <c r="CI27" s="505" t="n">
        <v>2.896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($Y$12+VLOOKUP(YEAR(D28),$X$15:$Y$17,2,FALSE()))*AH28*AU28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3.03127632687447</v>
      </c>
      <c r="BW28" s="369" t="n">
        <v>3.301</v>
      </c>
      <c r="BX28" s="370" t="n">
        <v>0.5775</v>
      </c>
      <c r="BY28" s="370" t="n">
        <v>0.5775</v>
      </c>
      <c r="BZ28" s="370" t="n">
        <v>0</v>
      </c>
      <c r="CA28" s="370" t="n">
        <v>0.019712159578257</v>
      </c>
      <c r="CB28" s="370" t="n">
        <v>0</v>
      </c>
      <c r="CC28" s="505" t="n">
        <v>-0.0225</v>
      </c>
      <c r="CD28" s="505" t="n">
        <v>0.005</v>
      </c>
      <c r="CE28" s="505" t="n">
        <v>0.385</v>
      </c>
      <c r="CF28" s="505" t="n">
        <v>0.02</v>
      </c>
      <c r="CG28" s="505" t="n">
        <v>0.0514</v>
      </c>
      <c r="CH28" s="505" t="n">
        <v>0</v>
      </c>
      <c r="CI28" s="505" t="n">
        <v>2.896</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($Y$12+VLOOKUP(YEAR(D29),$X$15:$Y$17,2,FALSE()))*AH29*AU29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3.03127632687447</v>
      </c>
      <c r="BW29" s="369" t="n">
        <v>3.301</v>
      </c>
      <c r="BX29" s="370" t="n">
        <v>0.5775</v>
      </c>
      <c r="BY29" s="370" t="n">
        <v>0.5775</v>
      </c>
      <c r="BZ29" s="370" t="n">
        <v>0</v>
      </c>
      <c r="CA29" s="370" t="n">
        <v>0.019712159578257</v>
      </c>
      <c r="CB29" s="370" t="n">
        <v>0</v>
      </c>
      <c r="CC29" s="505" t="n">
        <v>-0.0225</v>
      </c>
      <c r="CD29" s="505" t="n">
        <v>0.005</v>
      </c>
      <c r="CE29" s="505" t="n">
        <v>0.385</v>
      </c>
      <c r="CF29" s="505" t="n">
        <v>0.02</v>
      </c>
      <c r="CG29" s="505" t="n">
        <v>0.0514</v>
      </c>
      <c r="CH29" s="505" t="n">
        <v>0</v>
      </c>
      <c r="CI29" s="505" t="n">
        <v>2.896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($Y$12+VLOOKUP(YEAR(D30),$X$15:$Y$17,2,FALSE()))*AH30*AU30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3.03127632687447</v>
      </c>
      <c r="BW30" s="369" t="n">
        <v>3.301</v>
      </c>
      <c r="BX30" s="370" t="n">
        <v>0.5775</v>
      </c>
      <c r="BY30" s="370" t="n">
        <v>0.5775</v>
      </c>
      <c r="BZ30" s="370" t="n">
        <v>0</v>
      </c>
      <c r="CA30" s="370" t="n">
        <v>0.019712159578257</v>
      </c>
      <c r="CB30" s="370" t="n">
        <v>0</v>
      </c>
      <c r="CC30" s="505" t="n">
        <v>-0.0225</v>
      </c>
      <c r="CD30" s="505" t="n">
        <v>0.005</v>
      </c>
      <c r="CE30" s="505" t="n">
        <v>0.385</v>
      </c>
      <c r="CF30" s="505" t="n">
        <v>0.02</v>
      </c>
      <c r="CG30" s="505" t="n">
        <v>0.0514</v>
      </c>
      <c r="CH30" s="505" t="n">
        <v>0</v>
      </c>
      <c r="CI30" s="505" t="n">
        <v>2.896</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($Y$12+VLOOKUP(YEAR(D31),$X$15:$Y$17,2,FALSE()))*AH31*AU31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3.03127632687447</v>
      </c>
      <c r="BW31" s="369" t="n">
        <v>3.301</v>
      </c>
      <c r="BX31" s="370" t="n">
        <v>0.5775</v>
      </c>
      <c r="BY31" s="370" t="n">
        <v>0.5775</v>
      </c>
      <c r="BZ31" s="370" t="n">
        <v>0</v>
      </c>
      <c r="CA31" s="370" t="n">
        <v>0.019712159578257</v>
      </c>
      <c r="CB31" s="370" t="n">
        <v>0</v>
      </c>
      <c r="CC31" s="505" t="n">
        <v>-0.0225</v>
      </c>
      <c r="CD31" s="505" t="n">
        <v>0.005</v>
      </c>
      <c r="CE31" s="505" t="n">
        <v>0.385</v>
      </c>
      <c r="CF31" s="505" t="n">
        <v>0.02</v>
      </c>
      <c r="CG31" s="505" t="n">
        <v>0.0514</v>
      </c>
      <c r="CH31" s="505" t="n">
        <v>0</v>
      </c>
      <c r="CI31" s="505" t="n">
        <v>2.896</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($Y$12+VLOOKUP(YEAR(D32),$X$15:$Y$17,2,FALSE()))*AH32*AU32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3.03127632687447</v>
      </c>
      <c r="BW32" s="369" t="n">
        <v>3.301</v>
      </c>
      <c r="BX32" s="370" t="n">
        <v>0.5775</v>
      </c>
      <c r="BY32" s="370" t="n">
        <v>0.5775</v>
      </c>
      <c r="BZ32" s="370" t="n">
        <v>0</v>
      </c>
      <c r="CA32" s="370" t="n">
        <v>0.019712159578257</v>
      </c>
      <c r="CB32" s="370" t="n">
        <v>0</v>
      </c>
      <c r="CC32" s="505" t="n">
        <v>-0.0225</v>
      </c>
      <c r="CD32" s="505" t="n">
        <v>0.005</v>
      </c>
      <c r="CE32" s="505" t="n">
        <v>0.385</v>
      </c>
      <c r="CF32" s="505" t="n">
        <v>0.02</v>
      </c>
      <c r="CG32" s="505" t="n">
        <v>0.0514</v>
      </c>
      <c r="CH32" s="505" t="n">
        <v>0</v>
      </c>
      <c r="CI32" s="505" t="n">
        <v>2.896</v>
      </c>
      <c r="CJ32" s="505"/>
      <c r="CK32" s="505"/>
      <c r="CL32" s="505"/>
      <c r="CM32" s="505"/>
    </row>
    <row r="33" customFormat="false" ht="12.75" hidden="false" customHeight="false" outlineLevel="0" collapsed="false">
      <c r="A33" s="500"/>
      <c r="B33" s="500"/>
    </row>
  </sheetData>
  <mergeCells count="38">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33"/>
  <sheetViews>
    <sheetView showFormulas="false" showGridLines="true" showRowColHeaders="true" showZeros="true" rightToLeft="false" tabSelected="false" showOutlineSymbols="true" defaultGridColor="true" view="normal" topLeftCell="K1" colorId="64" zoomScale="80" zoomScaleNormal="80" zoomScalePageLayoutView="100" workbookViewId="0">
      <selection pane="topLeft" activeCell="CI21" activeCellId="0" sqref="CI21:CI32"/>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90</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887302.82</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887302.82</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2661.59</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85259.78</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SUMPRODUCT(L22:L32,F22:F32)</f>
        <v>#VALUE!</v>
      </c>
      <c r="L10" s="414" t="s">
        <v>478</v>
      </c>
      <c r="M10" s="414"/>
      <c r="N10" s="400" t="e">
        <f aca="true">-SUMPRODUCT(INDIRECT(CONCATENATE(AV10,":",AW10)),INDIRECT(CONCATENATE($AX$7,":",$AY$7)),INDIRECT(CONCATENATE($AV$3,":",$AW$3)))</f>
        <v>#VALUE!</v>
      </c>
      <c r="O10" s="400" t="n">
        <v>-97281.83</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SUMPRODUCT(K22:K32,F22:F32)</f>
        <v>#VALUE!</v>
      </c>
      <c r="L11" s="425" t="s">
        <v>481</v>
      </c>
      <c r="M11" s="425"/>
      <c r="N11" s="426" t="e">
        <f aca="true">-SUMPRODUCT(INDIRECT(CONCATENATE(AV11,":",AW11)),INDIRECT(CONCATENATE($AV$2,":",$AW$2)),INDIRECT(CONCATENATE($AV$3,":",$AW$3)),INDIRECT(CONCATENATE(AX3,":",AY3)))</f>
        <v>#VALUE!</v>
      </c>
      <c r="O11" s="427" t="n">
        <v>-33616.8</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79373.41</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329.65</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-855.93</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1113.57</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-12.18</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42.02</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868302.88</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19004.32</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3.00482281400713</v>
      </c>
      <c r="BW22" s="369" t="n">
        <v>5.226</v>
      </c>
      <c r="BX22" s="370" t="n">
        <v>0.952435996987834</v>
      </c>
      <c r="BY22" s="370" t="n">
        <v>2.14770052319066</v>
      </c>
      <c r="BZ22" s="370" t="n">
        <v>0.994734085516466</v>
      </c>
      <c r="CA22" s="370" t="n">
        <v>0.0187659081571607</v>
      </c>
      <c r="CB22" s="370" t="n">
        <v>0.998364899395796</v>
      </c>
      <c r="CC22" s="505" t="n">
        <v>0.015</v>
      </c>
      <c r="CD22" s="505" t="n">
        <v>0.005</v>
      </c>
      <c r="CE22" s="505" t="n">
        <v>1.95</v>
      </c>
      <c r="CF22" s="505" t="n">
        <v>0.43</v>
      </c>
      <c r="CG22" s="505" t="n">
        <v>0.0483</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3.06982595932061</v>
      </c>
      <c r="BW23" s="369" t="n">
        <v>5.238</v>
      </c>
      <c r="BX23" s="370" t="n">
        <v>0.906812181950228</v>
      </c>
      <c r="BY23" s="370" t="n">
        <v>1.61307246513533</v>
      </c>
      <c r="BZ23" s="370" t="n">
        <v>0.931765174375839</v>
      </c>
      <c r="CA23" s="370" t="n">
        <v>0.0193261872820063</v>
      </c>
      <c r="CB23" s="370" t="n">
        <v>0.996688029844541</v>
      </c>
      <c r="CC23" s="505" t="n">
        <v>0.015</v>
      </c>
      <c r="CD23" s="505" t="n">
        <v>0.005</v>
      </c>
      <c r="CE23" s="505" t="n">
        <v>1.9</v>
      </c>
      <c r="CF23" s="505" t="n">
        <v>0.43</v>
      </c>
      <c r="CG23" s="505" t="n">
        <v>0.0483</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3.06353533235479</v>
      </c>
      <c r="BW24" s="369" t="n">
        <v>3.652</v>
      </c>
      <c r="BX24" s="370" t="n">
        <v>0.79</v>
      </c>
      <c r="BY24" s="370" t="n">
        <v>0.978046522410872</v>
      </c>
      <c r="BZ24" s="370" t="n">
        <v>0.981984874834433</v>
      </c>
      <c r="CA24" s="370" t="n">
        <v>0.0192731753639035</v>
      </c>
      <c r="CB24" s="370" t="n">
        <v>0.99523258517239</v>
      </c>
      <c r="CC24" s="505" t="n">
        <v>0.015</v>
      </c>
      <c r="CD24" s="505" t="n">
        <v>0.005</v>
      </c>
      <c r="CE24" s="505" t="n">
        <v>0.7</v>
      </c>
      <c r="CF24" s="505" t="n">
        <v>0.05</v>
      </c>
      <c r="CG24" s="505" t="n">
        <v>0.0483</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3.01216187880059</v>
      </c>
      <c r="BW25" s="369" t="n">
        <v>3.283</v>
      </c>
      <c r="BX25" s="370" t="n">
        <v>0.600814487825059</v>
      </c>
      <c r="BY25" s="370" t="n">
        <v>0.606420927626525</v>
      </c>
      <c r="BZ25" s="370" t="n">
        <v>1.01248606184146</v>
      </c>
      <c r="CA25" s="370" t="n">
        <v>0.0194226401196236</v>
      </c>
      <c r="CB25" s="370" t="n">
        <v>0.993564587749983</v>
      </c>
      <c r="CC25" s="505" t="n">
        <v>0.0175</v>
      </c>
      <c r="CD25" s="505" t="n">
        <v>0.0075</v>
      </c>
      <c r="CE25" s="505" t="n">
        <v>0.415</v>
      </c>
      <c r="CF25" s="505" t="n">
        <v>0.02</v>
      </c>
      <c r="CG25" s="505" t="n">
        <v>0.0483</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3.06248689452715</v>
      </c>
      <c r="BW26" s="369" t="n">
        <v>3.301</v>
      </c>
      <c r="BX26" s="370" t="n">
        <v>0.5775</v>
      </c>
      <c r="BY26" s="370" t="n">
        <v>0.5775</v>
      </c>
      <c r="BZ26" s="370" t="n">
        <v>0</v>
      </c>
      <c r="CA26" s="370" t="n">
        <v>0.019712159578257</v>
      </c>
      <c r="CB26" s="370" t="n">
        <v>0</v>
      </c>
      <c r="CC26" s="505" t="n">
        <v>0.0175</v>
      </c>
      <c r="CD26" s="505" t="n">
        <v>0.0075</v>
      </c>
      <c r="CE26" s="505" t="n">
        <v>0.385</v>
      </c>
      <c r="CF26" s="505" t="n">
        <v>0.02</v>
      </c>
      <c r="CG26" s="505" t="n">
        <v>0.0483</v>
      </c>
      <c r="CH26" s="505" t="n">
        <v>0</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($Y$12+VLOOKUP(YEAR(D27),$X$15:$Y$17,2,FALSE()))*AH27*AU27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3.06248689452715</v>
      </c>
      <c r="BW27" s="369" t="n">
        <v>3.301</v>
      </c>
      <c r="BX27" s="370" t="n">
        <v>0.5775</v>
      </c>
      <c r="BY27" s="370" t="n">
        <v>0.5775</v>
      </c>
      <c r="BZ27" s="370" t="n">
        <v>0</v>
      </c>
      <c r="CA27" s="370" t="n">
        <v>0.019712159578257</v>
      </c>
      <c r="CB27" s="370" t="n">
        <v>0</v>
      </c>
      <c r="CC27" s="505" t="n">
        <v>0.0175</v>
      </c>
      <c r="CD27" s="505" t="n">
        <v>0.0075</v>
      </c>
      <c r="CE27" s="505" t="n">
        <v>0.385</v>
      </c>
      <c r="CF27" s="505" t="n">
        <v>0.02</v>
      </c>
      <c r="CG27" s="505" t="n">
        <v>0.0483</v>
      </c>
      <c r="CH27" s="505" t="n">
        <v>0</v>
      </c>
      <c r="CI27" s="505" t="n">
        <v>2.896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($Y$12+VLOOKUP(YEAR(D28),$X$15:$Y$17,2,FALSE()))*AH28*AU28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3.06248689452715</v>
      </c>
      <c r="BW28" s="369" t="n">
        <v>3.301</v>
      </c>
      <c r="BX28" s="370" t="n">
        <v>0.5775</v>
      </c>
      <c r="BY28" s="370" t="n">
        <v>0.5775</v>
      </c>
      <c r="BZ28" s="370" t="n">
        <v>0</v>
      </c>
      <c r="CA28" s="370" t="n">
        <v>0.019712159578257</v>
      </c>
      <c r="CB28" s="370" t="n">
        <v>0</v>
      </c>
      <c r="CC28" s="505" t="n">
        <v>0.0175</v>
      </c>
      <c r="CD28" s="505" t="n">
        <v>0.0075</v>
      </c>
      <c r="CE28" s="505" t="n">
        <v>0.385</v>
      </c>
      <c r="CF28" s="505" t="n">
        <v>0.02</v>
      </c>
      <c r="CG28" s="505" t="n">
        <v>0.0483</v>
      </c>
      <c r="CH28" s="505" t="n">
        <v>0</v>
      </c>
      <c r="CI28" s="505" t="n">
        <v>2.896</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($Y$12+VLOOKUP(YEAR(D29),$X$15:$Y$17,2,FALSE()))*AH29*AU29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3.06248689452715</v>
      </c>
      <c r="BW29" s="369" t="n">
        <v>3.301</v>
      </c>
      <c r="BX29" s="370" t="n">
        <v>0.5775</v>
      </c>
      <c r="BY29" s="370" t="n">
        <v>0.5775</v>
      </c>
      <c r="BZ29" s="370" t="n">
        <v>0</v>
      </c>
      <c r="CA29" s="370" t="n">
        <v>0.019712159578257</v>
      </c>
      <c r="CB29" s="370" t="n">
        <v>0</v>
      </c>
      <c r="CC29" s="505" t="n">
        <v>0.0175</v>
      </c>
      <c r="CD29" s="505" t="n">
        <v>0.0075</v>
      </c>
      <c r="CE29" s="505" t="n">
        <v>0.385</v>
      </c>
      <c r="CF29" s="505" t="n">
        <v>0.02</v>
      </c>
      <c r="CG29" s="505" t="n">
        <v>0.0483</v>
      </c>
      <c r="CH29" s="505" t="n">
        <v>0</v>
      </c>
      <c r="CI29" s="505" t="n">
        <v>2.896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($Y$12+VLOOKUP(YEAR(D30),$X$15:$Y$17,2,FALSE()))*AH30*AU30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3.06248689452715</v>
      </c>
      <c r="BW30" s="369" t="n">
        <v>3.301</v>
      </c>
      <c r="BX30" s="370" t="n">
        <v>0.5775</v>
      </c>
      <c r="BY30" s="370" t="n">
        <v>0.5775</v>
      </c>
      <c r="BZ30" s="370" t="n">
        <v>0</v>
      </c>
      <c r="CA30" s="370" t="n">
        <v>0.019712159578257</v>
      </c>
      <c r="CB30" s="370" t="n">
        <v>0</v>
      </c>
      <c r="CC30" s="505" t="n">
        <v>0.0175</v>
      </c>
      <c r="CD30" s="505" t="n">
        <v>0.0075</v>
      </c>
      <c r="CE30" s="505" t="n">
        <v>0.385</v>
      </c>
      <c r="CF30" s="505" t="n">
        <v>0.02</v>
      </c>
      <c r="CG30" s="505" t="n">
        <v>0.0483</v>
      </c>
      <c r="CH30" s="505" t="n">
        <v>0</v>
      </c>
      <c r="CI30" s="505" t="n">
        <v>2.896</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($Y$12+VLOOKUP(YEAR(D31),$X$15:$Y$17,2,FALSE()))*AH31*AU31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3.06248689452715</v>
      </c>
      <c r="BW31" s="369" t="n">
        <v>3.301</v>
      </c>
      <c r="BX31" s="370" t="n">
        <v>0.5775</v>
      </c>
      <c r="BY31" s="370" t="n">
        <v>0.5775</v>
      </c>
      <c r="BZ31" s="370" t="n">
        <v>0</v>
      </c>
      <c r="CA31" s="370" t="n">
        <v>0.019712159578257</v>
      </c>
      <c r="CB31" s="370" t="n">
        <v>0</v>
      </c>
      <c r="CC31" s="505" t="n">
        <v>0.0175</v>
      </c>
      <c r="CD31" s="505" t="n">
        <v>0.0075</v>
      </c>
      <c r="CE31" s="505" t="n">
        <v>0.385</v>
      </c>
      <c r="CF31" s="505" t="n">
        <v>0.02</v>
      </c>
      <c r="CG31" s="505" t="n">
        <v>0.0483</v>
      </c>
      <c r="CH31" s="505" t="n">
        <v>0</v>
      </c>
      <c r="CI31" s="505" t="n">
        <v>2.896</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($Y$12+VLOOKUP(YEAR(D32),$X$15:$Y$17,2,FALSE()))*AH32*AU32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3.06248689452715</v>
      </c>
      <c r="BW32" s="369" t="n">
        <v>3.301</v>
      </c>
      <c r="BX32" s="370" t="n">
        <v>0.5775</v>
      </c>
      <c r="BY32" s="370" t="n">
        <v>0.5775</v>
      </c>
      <c r="BZ32" s="370" t="n">
        <v>0</v>
      </c>
      <c r="CA32" s="370" t="n">
        <v>0.019712159578257</v>
      </c>
      <c r="CB32" s="370" t="n">
        <v>0</v>
      </c>
      <c r="CC32" s="505" t="n">
        <v>0.0175</v>
      </c>
      <c r="CD32" s="505" t="n">
        <v>0.0075</v>
      </c>
      <c r="CE32" s="505" t="n">
        <v>0.385</v>
      </c>
      <c r="CF32" s="505" t="n">
        <v>0.02</v>
      </c>
      <c r="CG32" s="505" t="n">
        <v>0.0483</v>
      </c>
      <c r="CH32" s="505" t="n">
        <v>0</v>
      </c>
      <c r="CI32" s="505" t="n">
        <v>2.896</v>
      </c>
      <c r="CJ32" s="505"/>
      <c r="CK32" s="505"/>
      <c r="CL32" s="505"/>
      <c r="CM32" s="505"/>
    </row>
    <row r="33" customFormat="false" ht="12.75" hidden="false" customHeight="false" outlineLevel="0" collapsed="false">
      <c r="A33" s="500"/>
      <c r="B33" s="500"/>
    </row>
  </sheetData>
  <mergeCells count="38">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7"/>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27"/>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100</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6465.42</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6465.42</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627.6</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SUMPRODUCT(L22:L23,F22:F23)</f>
        <v>#VALUE!</v>
      </c>
      <c r="L10" s="414" t="s">
        <v>478</v>
      </c>
      <c r="M10" s="414"/>
      <c r="N10" s="400" t="e">
        <f aca="true">-SUMPRODUCT(INDIRECT(CONCATENATE(AV10,":",AW10)),INDIRECT(CONCATENATE($AX$7,":",$AY$7)),INDIRECT(CONCATENATE($AV$3,":",$AW$3)))</f>
        <v>#VALUE!</v>
      </c>
      <c r="O10" s="400" t="n">
        <v>-20299.56</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SUMPRODUCT(K22:K23,F22:F23)</f>
        <v>#VALUE!</v>
      </c>
      <c r="L11" s="425" t="s">
        <v>481</v>
      </c>
      <c r="M11" s="425"/>
      <c r="N11" s="426" t="e">
        <f aca="true">-SUMPRODUCT(INDIRECT(CONCATENATE(AV11,":",AW11)),INDIRECT(CONCATENATE($AV$2,":",$AW$2)),INDIRECT(CONCATENATE($AV$3,":",$AW$3)),INDIRECT(CONCATENATE(AX3,":",AY3)))</f>
        <v>#VALUE!</v>
      </c>
      <c r="O11" s="427" t="n">
        <v>-7317.16</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-385.29</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11.32</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-25.55</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9.88</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-0.15</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0.36</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4807.93</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1657.49</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2.92801033035618</v>
      </c>
      <c r="BW22" s="369" t="n">
        <v>3.0685</v>
      </c>
      <c r="BX22" s="370" t="n">
        <v>0.965133777750641</v>
      </c>
      <c r="BY22" s="370" t="n">
        <v>0.977962395882988</v>
      </c>
      <c r="BZ22" s="370" t="n">
        <v>0.995625189821602</v>
      </c>
      <c r="CA22" s="370" t="n">
        <v>0.0187659081571607</v>
      </c>
      <c r="CB22" s="370" t="n">
        <v>0.998364899395796</v>
      </c>
      <c r="CC22" s="505" t="n">
        <v>-0.125</v>
      </c>
      <c r="CD22" s="505" t="n">
        <v>0</v>
      </c>
      <c r="CE22" s="505" t="n">
        <v>0.2025</v>
      </c>
      <c r="CF22" s="505" t="n">
        <v>0.02</v>
      </c>
      <c r="CG22" s="505" t="n">
        <v>0.0757</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2.99472721403207</v>
      </c>
      <c r="BW23" s="369" t="n">
        <v>3.128</v>
      </c>
      <c r="BX23" s="370" t="n">
        <v>0.913237525388536</v>
      </c>
      <c r="BY23" s="370" t="n">
        <v>0.919768992736763</v>
      </c>
      <c r="BZ23" s="370" t="n">
        <v>0.99647858031029</v>
      </c>
      <c r="CA23" s="370" t="n">
        <v>0.0193261872820063</v>
      </c>
      <c r="CB23" s="370" t="n">
        <v>0.996688029844541</v>
      </c>
      <c r="CC23" s="505" t="n">
        <v>-0.125</v>
      </c>
      <c r="CD23" s="505" t="n">
        <v>0</v>
      </c>
      <c r="CE23" s="505" t="n">
        <v>0.2</v>
      </c>
      <c r="CF23" s="505" t="n">
        <v>0.02</v>
      </c>
      <c r="CG23" s="505" t="n">
        <v>0.0757</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2.98827074141827</v>
      </c>
      <c r="BW24" s="369" t="n">
        <v>3.092</v>
      </c>
      <c r="BX24" s="370" t="n">
        <v>0.79424407372586</v>
      </c>
      <c r="BY24" s="370" t="n">
        <v>0.79</v>
      </c>
      <c r="BZ24" s="370" t="n">
        <v>0.997860936396095</v>
      </c>
      <c r="CA24" s="370" t="n">
        <v>0.0192731753639035</v>
      </c>
      <c r="CB24" s="370" t="n">
        <v>0.99523258517239</v>
      </c>
      <c r="CC24" s="505" t="n">
        <v>-0.125</v>
      </c>
      <c r="CD24" s="505" t="n">
        <v>0</v>
      </c>
      <c r="CE24" s="505" t="n">
        <v>0.17</v>
      </c>
      <c r="CF24" s="505" t="n">
        <v>0.02</v>
      </c>
      <c r="CG24" s="505" t="n">
        <v>0.0757</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2.708</v>
      </c>
      <c r="BW25" s="369" t="n">
        <v>3.0505</v>
      </c>
      <c r="BX25" s="370" t="n">
        <v>0.61</v>
      </c>
      <c r="BY25" s="370" t="n">
        <v>0.61</v>
      </c>
      <c r="BZ25" s="370" t="n">
        <v>0</v>
      </c>
      <c r="CA25" s="370" t="n">
        <v>0.0194226401196236</v>
      </c>
      <c r="CB25" s="370" t="n">
        <v>0</v>
      </c>
      <c r="CC25" s="505" t="n">
        <v>-0.145</v>
      </c>
      <c r="CD25" s="505" t="n">
        <v>0.005</v>
      </c>
      <c r="CE25" s="505" t="n">
        <v>0.195</v>
      </c>
      <c r="CF25" s="505" t="n">
        <v>0.0075</v>
      </c>
      <c r="CG25" s="505" t="n">
        <v>0</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2.708</v>
      </c>
      <c r="BW26" s="369" t="n">
        <v>3.0505</v>
      </c>
      <c r="BX26" s="370" t="n">
        <v>0.61</v>
      </c>
      <c r="BY26" s="370" t="n">
        <v>0.61</v>
      </c>
      <c r="BZ26" s="370" t="n">
        <v>0</v>
      </c>
      <c r="CA26" s="370" t="n">
        <v>0.0194226401196236</v>
      </c>
      <c r="CB26" s="370" t="n">
        <v>0</v>
      </c>
      <c r="CC26" s="505" t="n">
        <v>-0.145</v>
      </c>
      <c r="CD26" s="505" t="n">
        <v>0.005</v>
      </c>
      <c r="CE26" s="505" t="n">
        <v>0.195</v>
      </c>
      <c r="CF26" s="505" t="n">
        <v>0.0075</v>
      </c>
      <c r="CG26" s="505" t="n">
        <v>0</v>
      </c>
      <c r="CH26" s="505" t="n">
        <v>0</v>
      </c>
      <c r="CI26" s="505" t="n">
        <v>2.848</v>
      </c>
      <c r="CJ26" s="505"/>
      <c r="CK26" s="505"/>
      <c r="CL26" s="505"/>
      <c r="CM26" s="505"/>
    </row>
    <row r="27" customFormat="false" ht="12.75" hidden="false" customHeight="false" outlineLevel="0" collapsed="false">
      <c r="A27" s="500"/>
      <c r="B27" s="500"/>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($Y$12+VLOOKUP(YEAR(D27),$X$15:$Y$17,2,FALSE()))*AH27*AU27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2.708</v>
      </c>
      <c r="BW27" s="369" t="n">
        <v>3.0505</v>
      </c>
      <c r="BX27" s="370" t="n">
        <v>0.61</v>
      </c>
      <c r="BY27" s="370" t="n">
        <v>0.61</v>
      </c>
      <c r="BZ27" s="370" t="n">
        <v>0</v>
      </c>
      <c r="CA27" s="370" t="n">
        <v>0.0194226401196236</v>
      </c>
      <c r="CB27" s="370" t="n">
        <v>0</v>
      </c>
      <c r="CC27" s="505" t="n">
        <v>-0.145</v>
      </c>
      <c r="CD27" s="505" t="n">
        <v>0.005</v>
      </c>
      <c r="CE27" s="505" t="n">
        <v>0.195</v>
      </c>
      <c r="CF27" s="505" t="n">
        <v>0.0075</v>
      </c>
      <c r="CG27" s="505" t="n">
        <v>0</v>
      </c>
      <c r="CH27" s="505" t="n">
        <v>0</v>
      </c>
      <c r="CI27" s="505" t="n">
        <v>2.848</v>
      </c>
      <c r="CJ27" s="505"/>
      <c r="CK27" s="505"/>
      <c r="CL27" s="505"/>
      <c r="CM27" s="505"/>
    </row>
  </sheetData>
  <mergeCells count="32">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B27"/>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6"/>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26"/>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101</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4930.61</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4930.61</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926.09</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358.16</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SUMPRODUCT(L22:L23,F22:F23)</f>
        <v>#VALUE!</v>
      </c>
      <c r="L10" s="414" t="s">
        <v>478</v>
      </c>
      <c r="M10" s="414"/>
      <c r="N10" s="400" t="e">
        <f aca="true">-SUMPRODUCT(INDIRECT(CONCATENATE(AV10,":",AW10)),INDIRECT(CONCATENATE($AX$7,":",$AY$7)),INDIRECT(CONCATENATE($AV$3,":",$AW$3)))</f>
        <v>#VALUE!</v>
      </c>
      <c r="O10" s="400" t="n">
        <v>-30551.24</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SUMPRODUCT(K22:K23,F22:F23)</f>
        <v>#VALUE!</v>
      </c>
      <c r="L11" s="425" t="s">
        <v>481</v>
      </c>
      <c r="M11" s="425"/>
      <c r="N11" s="426" t="e">
        <f aca="true">-SUMPRODUCT(INDIRECT(CONCATENATE(AV11,":",AW11)),INDIRECT(CONCATENATE($AV$2,":",$AW$2)),INDIRECT(CONCATENATE($AV$3,":",$AW$3)),INDIRECT(CONCATENATE(AX3,":",AY3)))</f>
        <v>#VALUE!</v>
      </c>
      <c r="O11" s="427" t="n">
        <v>-10880.36</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-123.65</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4.39</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-51.14</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21.2</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-0.1</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0.27</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277.05</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4653.56</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2.98719466264931</v>
      </c>
      <c r="BW22" s="369" t="n">
        <v>3.0685</v>
      </c>
      <c r="BX22" s="370" t="n">
        <v>0.952435996987834</v>
      </c>
      <c r="BY22" s="370" t="n">
        <v>0.977962395882988</v>
      </c>
      <c r="BZ22" s="370" t="n">
        <v>0.995362605746457</v>
      </c>
      <c r="CA22" s="370" t="n">
        <v>0.0187659081571607</v>
      </c>
      <c r="CB22" s="370" t="n">
        <v>0.998364899395796</v>
      </c>
      <c r="CC22" s="505" t="n">
        <v>-0.0675</v>
      </c>
      <c r="CD22" s="505" t="n">
        <v>-0.0025</v>
      </c>
      <c r="CE22" s="505" t="n">
        <v>0.2025</v>
      </c>
      <c r="CF22" s="505" t="n">
        <v>0.02</v>
      </c>
      <c r="CG22" s="505" t="n">
        <v>0.0757</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3.05391154632519</v>
      </c>
      <c r="BW23" s="369" t="n">
        <v>3.128</v>
      </c>
      <c r="BX23" s="370" t="n">
        <v>0.906812181950228</v>
      </c>
      <c r="BY23" s="370" t="n">
        <v>0.919768992736763</v>
      </c>
      <c r="BZ23" s="370" t="n">
        <v>0.99627891200741</v>
      </c>
      <c r="CA23" s="370" t="n">
        <v>0.0193261872820063</v>
      </c>
      <c r="CB23" s="370" t="n">
        <v>0.996688029844541</v>
      </c>
      <c r="CC23" s="505" t="n">
        <v>-0.0675</v>
      </c>
      <c r="CD23" s="505" t="n">
        <v>-0.0025</v>
      </c>
      <c r="CE23" s="505" t="n">
        <v>0.2</v>
      </c>
      <c r="CF23" s="505" t="n">
        <v>0.02</v>
      </c>
      <c r="CG23" s="505" t="n">
        <v>0.0757</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3.0474550737114</v>
      </c>
      <c r="BW24" s="369" t="n">
        <v>3.092</v>
      </c>
      <c r="BX24" s="370" t="n">
        <v>0.79</v>
      </c>
      <c r="BY24" s="370" t="n">
        <v>0.79</v>
      </c>
      <c r="BZ24" s="370" t="n">
        <v>0.997918918918919</v>
      </c>
      <c r="CA24" s="370" t="n">
        <v>0.0192731753639035</v>
      </c>
      <c r="CB24" s="370" t="n">
        <v>0.99523258517239</v>
      </c>
      <c r="CC24" s="505" t="n">
        <v>-0.0675</v>
      </c>
      <c r="CD24" s="505" t="n">
        <v>-0.0025</v>
      </c>
      <c r="CE24" s="505" t="n">
        <v>0.17</v>
      </c>
      <c r="CF24" s="505" t="n">
        <v>0.02</v>
      </c>
      <c r="CG24" s="505" t="n">
        <v>0.0757</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2.7805</v>
      </c>
      <c r="BW25" s="369" t="n">
        <v>3.0505</v>
      </c>
      <c r="BX25" s="370" t="n">
        <v>0.61</v>
      </c>
      <c r="BY25" s="370" t="n">
        <v>0.61</v>
      </c>
      <c r="BZ25" s="370" t="n">
        <v>0</v>
      </c>
      <c r="CA25" s="370" t="n">
        <v>0.0194226401196236</v>
      </c>
      <c r="CB25" s="370" t="n">
        <v>0</v>
      </c>
      <c r="CC25" s="505" t="n">
        <v>-0.065</v>
      </c>
      <c r="CD25" s="505" t="n">
        <v>-0.0025</v>
      </c>
      <c r="CE25" s="505" t="n">
        <v>0.195</v>
      </c>
      <c r="CF25" s="505" t="n">
        <v>0.0075</v>
      </c>
      <c r="CG25" s="505" t="n">
        <v>0</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2.7805</v>
      </c>
      <c r="BW26" s="369" t="n">
        <v>3.0505</v>
      </c>
      <c r="BX26" s="370" t="n">
        <v>0.61</v>
      </c>
      <c r="BY26" s="370" t="n">
        <v>0.61</v>
      </c>
      <c r="BZ26" s="370" t="n">
        <v>0</v>
      </c>
      <c r="CA26" s="370" t="n">
        <v>0.0194226401196236</v>
      </c>
      <c r="CB26" s="370" t="n">
        <v>0</v>
      </c>
      <c r="CC26" s="505" t="n">
        <v>-0.065</v>
      </c>
      <c r="CD26" s="505" t="n">
        <v>-0.0025</v>
      </c>
      <c r="CE26" s="505" t="n">
        <v>0.195</v>
      </c>
      <c r="CF26" s="505" t="n">
        <v>0.0075</v>
      </c>
      <c r="CG26" s="505" t="n">
        <v>0</v>
      </c>
      <c r="CH26" s="505" t="n">
        <v>0</v>
      </c>
      <c r="CI26" s="505" t="n">
        <v>2.848</v>
      </c>
      <c r="CJ26" s="505"/>
      <c r="CK26" s="505"/>
      <c r="CL26" s="505"/>
      <c r="CM26" s="505"/>
    </row>
  </sheetData>
  <mergeCells count="31">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6"/>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26"/>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102</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3474.3</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3474.3</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596.98</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-221.81</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SUMPRODUCT(L22:L23,F22:F23)</f>
        <v>#VALUE!</v>
      </c>
      <c r="L10" s="414" t="s">
        <v>478</v>
      </c>
      <c r="M10" s="414"/>
      <c r="N10" s="400" t="e">
        <f aca="true">-SUMPRODUCT(INDIRECT(CONCATENATE(AV10,":",AW10)),INDIRECT(CONCATENATE($AX$7,":",$AY$7)),INDIRECT(CONCATENATE($AV$3,":",$AW$3)))</f>
        <v>#VALUE!</v>
      </c>
      <c r="O10" s="400" t="n">
        <v>-19554.24</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SUMPRODUCT(K22:K23,F22:F23)</f>
        <v>#VALUE!</v>
      </c>
      <c r="L11" s="425" t="s">
        <v>481</v>
      </c>
      <c r="M11" s="425"/>
      <c r="N11" s="426" t="e">
        <f aca="true">-SUMPRODUCT(INDIRECT(CONCATENATE(AV11,":",AW11)),INDIRECT(CONCATENATE($AV$2,":",$AW$2)),INDIRECT(CONCATENATE($AV$3,":",$AW$3)),INDIRECT(CONCATENATE(AX3,":",AY3)))</f>
        <v>#VALUE!</v>
      </c>
      <c r="O11" s="427" t="n">
        <v>-7013.99</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-366.96</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17.81</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-31.35</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13.29</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-0.08</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0.2</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691.01</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2783.29</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2.9743146988992</v>
      </c>
      <c r="BW22" s="369" t="n">
        <v>3.0685</v>
      </c>
      <c r="BX22" s="370" t="n">
        <v>0.952435996987834</v>
      </c>
      <c r="BY22" s="370" t="n">
        <v>0.977962395882988</v>
      </c>
      <c r="BZ22" s="370" t="n">
        <v>0.995362605746457</v>
      </c>
      <c r="CA22" s="370" t="n">
        <v>0.0187659081571607</v>
      </c>
      <c r="CB22" s="370" t="n">
        <v>0.998364899395796</v>
      </c>
      <c r="CC22" s="505" t="n">
        <v>-0.09</v>
      </c>
      <c r="CD22" s="505" t="n">
        <v>0</v>
      </c>
      <c r="CE22" s="505" t="n">
        <v>0.2025</v>
      </c>
      <c r="CF22" s="505" t="n">
        <v>0.02</v>
      </c>
      <c r="CG22" s="505" t="n">
        <v>0.0788</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3.04122598748111</v>
      </c>
      <c r="BW23" s="369" t="n">
        <v>3.128</v>
      </c>
      <c r="BX23" s="370" t="n">
        <v>0.906812181950228</v>
      </c>
      <c r="BY23" s="370" t="n">
        <v>0.919768992736763</v>
      </c>
      <c r="BZ23" s="370" t="n">
        <v>0.99627891200741</v>
      </c>
      <c r="CA23" s="370" t="n">
        <v>0.0193261872820063</v>
      </c>
      <c r="CB23" s="370" t="n">
        <v>0.996688029844541</v>
      </c>
      <c r="CC23" s="505" t="n">
        <v>-0.09</v>
      </c>
      <c r="CD23" s="505" t="n">
        <v>0</v>
      </c>
      <c r="CE23" s="505" t="n">
        <v>0.2</v>
      </c>
      <c r="CF23" s="505" t="n">
        <v>0.02</v>
      </c>
      <c r="CG23" s="505" t="n">
        <v>0.0788</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3.03475070148932</v>
      </c>
      <c r="BW24" s="369" t="n">
        <v>3.092</v>
      </c>
      <c r="BX24" s="370" t="n">
        <v>0.79</v>
      </c>
      <c r="BY24" s="370" t="n">
        <v>0.79</v>
      </c>
      <c r="BZ24" s="370" t="n">
        <v>0.997918918918919</v>
      </c>
      <c r="CA24" s="370" t="n">
        <v>0.0192731753639035</v>
      </c>
      <c r="CB24" s="370" t="n">
        <v>0.99523258517239</v>
      </c>
      <c r="CC24" s="505" t="n">
        <v>-0.09</v>
      </c>
      <c r="CD24" s="505" t="n">
        <v>0</v>
      </c>
      <c r="CE24" s="505" t="n">
        <v>0.17</v>
      </c>
      <c r="CF24" s="505" t="n">
        <v>0.02</v>
      </c>
      <c r="CG24" s="505" t="n">
        <v>0.0788</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2.768</v>
      </c>
      <c r="BW25" s="369" t="n">
        <v>3.0505</v>
      </c>
      <c r="BX25" s="370" t="n">
        <v>0.61</v>
      </c>
      <c r="BY25" s="370" t="n">
        <v>0.61</v>
      </c>
      <c r="BZ25" s="370" t="n">
        <v>0</v>
      </c>
      <c r="CA25" s="370" t="n">
        <v>0.0194226401196236</v>
      </c>
      <c r="CB25" s="370" t="n">
        <v>0</v>
      </c>
      <c r="CC25" s="505" t="n">
        <v>-0.0825</v>
      </c>
      <c r="CD25" s="505" t="n">
        <v>0.0025</v>
      </c>
      <c r="CE25" s="505" t="n">
        <v>0.195</v>
      </c>
      <c r="CF25" s="505" t="n">
        <v>0.0075</v>
      </c>
      <c r="CG25" s="505" t="n">
        <v>0</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2.768</v>
      </c>
      <c r="BW26" s="369" t="n">
        <v>3.0505</v>
      </c>
      <c r="BX26" s="370" t="n">
        <v>0.61</v>
      </c>
      <c r="BY26" s="370" t="n">
        <v>0.61</v>
      </c>
      <c r="BZ26" s="370" t="n">
        <v>0</v>
      </c>
      <c r="CA26" s="370" t="n">
        <v>0.0194226401196236</v>
      </c>
      <c r="CB26" s="370" t="n">
        <v>0</v>
      </c>
      <c r="CC26" s="505" t="n">
        <v>-0.0825</v>
      </c>
      <c r="CD26" s="505" t="n">
        <v>0.0025</v>
      </c>
      <c r="CE26" s="505" t="n">
        <v>0.195</v>
      </c>
      <c r="CF26" s="505" t="n">
        <v>0.0075</v>
      </c>
      <c r="CG26" s="505" t="n">
        <v>0</v>
      </c>
      <c r="CH26" s="505" t="n">
        <v>0</v>
      </c>
      <c r="CI26" s="505" t="n">
        <v>2.848</v>
      </c>
      <c r="CJ26" s="505"/>
      <c r="CK26" s="505"/>
      <c r="CL26" s="505"/>
      <c r="CM26" s="505"/>
    </row>
  </sheetData>
  <mergeCells count="31">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6"/>
  <sheetViews>
    <sheetView showFormulas="false" showGridLines="true" showRowColHeaders="true" showZeros="true" rightToLeft="false" tabSelected="false" showOutlineSymbols="true" defaultGridColor="true" view="normal" topLeftCell="Q1" colorId="64" zoomScale="80" zoomScaleNormal="80" zoomScalePageLayoutView="100" workbookViewId="0">
      <selection pane="topLeft" activeCell="CI21" activeCellId="0" sqref="CI21:CI26"/>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103</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23802.65</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23802.65</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298.49</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3854.35</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180.31</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SUMPRODUCT(L22:L23,F22:F23)</f>
        <v>#VALUE!</v>
      </c>
      <c r="L10" s="414" t="s">
        <v>478</v>
      </c>
      <c r="M10" s="414"/>
      <c r="N10" s="400" t="e">
        <f aca="true">-SUMPRODUCT(INDIRECT(CONCATENATE(AV10,":",AW10)),INDIRECT(CONCATENATE($AX$7,":",$AY$7)),INDIRECT(CONCATENATE($AV$3,":",$AW$3)))</f>
        <v>#VALUE!</v>
      </c>
      <c r="O10" s="400" t="n">
        <v>-9575.95</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SUMPRODUCT(K22:K23,F22:F23)</f>
        <v>#VALUE!</v>
      </c>
      <c r="L11" s="425" t="s">
        <v>481</v>
      </c>
      <c r="M11" s="425"/>
      <c r="N11" s="426" t="e">
        <f aca="true">-SUMPRODUCT(INDIRECT(CONCATENATE(AV11,":",AW11)),INDIRECT(CONCATENATE($AV$2,":",$AW$2)),INDIRECT(CONCATENATE($AV$3,":",$AW$3)),INDIRECT(CONCATENATE(AX3,":",AY3)))</f>
        <v>#VALUE!</v>
      </c>
      <c r="O11" s="427" t="n">
        <v>-4102.81</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3664.07</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40.62</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-4.88</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5.61</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-0.39</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1.05</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23752.1</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50.54</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2.96017990346643</v>
      </c>
      <c r="BW22" s="369" t="n">
        <v>3.846</v>
      </c>
      <c r="BX22" s="370" t="n">
        <v>0.965133777750641</v>
      </c>
      <c r="BY22" s="370" t="n">
        <v>1.19745688234467</v>
      </c>
      <c r="BZ22" s="370" t="n">
        <v>0.983675526365878</v>
      </c>
      <c r="CA22" s="370" t="n">
        <v>0.0187659081571607</v>
      </c>
      <c r="CB22" s="370" t="n">
        <v>0.998364899395796</v>
      </c>
      <c r="CC22" s="505" t="n">
        <v>-0.14</v>
      </c>
      <c r="CD22" s="505" t="n">
        <v>-0.0075</v>
      </c>
      <c r="CE22" s="505" t="n">
        <v>0.88</v>
      </c>
      <c r="CF22" s="505" t="n">
        <v>0.12</v>
      </c>
      <c r="CG22" s="505" t="n">
        <v>0.1134</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3.02819218955682</v>
      </c>
      <c r="BW23" s="369" t="n">
        <v>3.908</v>
      </c>
      <c r="BX23" s="370" t="n">
        <v>0.913237525388536</v>
      </c>
      <c r="BY23" s="370" t="n">
        <v>1.03697074854276</v>
      </c>
      <c r="BZ23" s="370" t="n">
        <v>0.983818116828626</v>
      </c>
      <c r="CA23" s="370" t="n">
        <v>0.0193261872820063</v>
      </c>
      <c r="CB23" s="370" t="n">
        <v>0.996688029844541</v>
      </c>
      <c r="CC23" s="505" t="n">
        <v>-0.14</v>
      </c>
      <c r="CD23" s="505" t="n">
        <v>-0.0075</v>
      </c>
      <c r="CE23" s="505" t="n">
        <v>0.88</v>
      </c>
      <c r="CF23" s="505" t="n">
        <v>0.12</v>
      </c>
      <c r="CG23" s="505" t="n">
        <v>0.1134</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3.02161035541904</v>
      </c>
      <c r="BW24" s="369" t="n">
        <v>3.582</v>
      </c>
      <c r="BX24" s="370" t="n">
        <v>0.79424407372586</v>
      </c>
      <c r="BY24" s="370" t="n">
        <v>0.837115381630371</v>
      </c>
      <c r="BZ24" s="370" t="n">
        <v>0.993049235319114</v>
      </c>
      <c r="CA24" s="370" t="n">
        <v>0.0192731753639035</v>
      </c>
      <c r="CB24" s="370" t="n">
        <v>0.99523258517239</v>
      </c>
      <c r="CC24" s="505" t="n">
        <v>-0.14</v>
      </c>
      <c r="CD24" s="505" t="n">
        <v>-0.0075</v>
      </c>
      <c r="CE24" s="505" t="n">
        <v>0.6</v>
      </c>
      <c r="CF24" s="505" t="n">
        <v>0.08</v>
      </c>
      <c r="CG24" s="505" t="n">
        <v>0.1134</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2.6755</v>
      </c>
      <c r="BW25" s="369" t="n">
        <v>3.193</v>
      </c>
      <c r="BX25" s="370" t="n">
        <v>0.61</v>
      </c>
      <c r="BY25" s="370" t="n">
        <v>0.61</v>
      </c>
      <c r="BZ25" s="370" t="n">
        <v>0</v>
      </c>
      <c r="CA25" s="370" t="n">
        <v>0.0194226401196236</v>
      </c>
      <c r="CB25" s="370" t="n">
        <v>0</v>
      </c>
      <c r="CC25" s="505" t="n">
        <v>-0.165</v>
      </c>
      <c r="CD25" s="505" t="n">
        <v>-0.0075</v>
      </c>
      <c r="CE25" s="505" t="n">
        <v>0.34</v>
      </c>
      <c r="CF25" s="505" t="n">
        <v>0.005</v>
      </c>
      <c r="CG25" s="505" t="n">
        <v>0</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2.6755</v>
      </c>
      <c r="BW26" s="369" t="n">
        <v>3.193</v>
      </c>
      <c r="BX26" s="370" t="n">
        <v>0.61</v>
      </c>
      <c r="BY26" s="370" t="n">
        <v>0.61</v>
      </c>
      <c r="BZ26" s="370" t="n">
        <v>0</v>
      </c>
      <c r="CA26" s="370" t="n">
        <v>0.0194226401196236</v>
      </c>
      <c r="CB26" s="370" t="n">
        <v>0</v>
      </c>
      <c r="CC26" s="505" t="n">
        <v>-0.165</v>
      </c>
      <c r="CD26" s="505" t="n">
        <v>-0.0075</v>
      </c>
      <c r="CE26" s="505" t="n">
        <v>0.34</v>
      </c>
      <c r="CF26" s="505" t="n">
        <v>0.005</v>
      </c>
      <c r="CG26" s="505" t="n">
        <v>0</v>
      </c>
      <c r="CH26" s="505" t="n">
        <v>0</v>
      </c>
      <c r="CI26" s="505" t="n">
        <v>2.848</v>
      </c>
      <c r="CJ26" s="505"/>
      <c r="CK26" s="505"/>
      <c r="CL26" s="505"/>
      <c r="CM26" s="505"/>
    </row>
  </sheetData>
  <mergeCells count="31">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6"/>
  <sheetViews>
    <sheetView showFormulas="false" showGridLines="true" showRowColHeaders="true" showZeros="true" rightToLeft="false" tabSelected="false" showOutlineSymbols="true" defaultGridColor="true" view="normal" topLeftCell="M1" colorId="64" zoomScale="80" zoomScaleNormal="80" zoomScalePageLayoutView="100" workbookViewId="0">
      <selection pane="topLeft" activeCell="CI21" activeCellId="0" sqref="CI21:CI26"/>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104</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397962.68</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397962.68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4354.92</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63069.36</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SUMPRODUCT(L22:L23,F22:F23)</f>
        <v>#VALUE!</v>
      </c>
      <c r="L10" s="414" t="s">
        <v>478</v>
      </c>
      <c r="M10" s="414"/>
      <c r="N10" s="400" t="e">
        <f aca="true">-SUMPRODUCT(INDIRECT(CONCATENATE(AV10,":",AW10)),INDIRECT(CONCATENATE($AX$7,":",$AY$7)),INDIRECT(CONCATENATE($AV$3,":",$AW$3)))</f>
        <v>#VALUE!</v>
      </c>
      <c r="O10" s="400" t="n">
        <v>-140859.13</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SUMPRODUCT(K22:K23,F22:F23)</f>
        <v>#VALUE!</v>
      </c>
      <c r="L11" s="425" t="s">
        <v>481</v>
      </c>
      <c r="M11" s="425"/>
      <c r="N11" s="426" t="e">
        <f aca="true">-SUMPRODUCT(INDIRECT(CONCATENATE(AV11,":",AW11)),INDIRECT(CONCATENATE($AV$2,":",$AW$2)),INDIRECT(CONCATENATE($AV$3,":",$AW$3)),INDIRECT(CONCATENATE(AX3,":",AY3)))</f>
        <v>#VALUE!</v>
      </c>
      <c r="O11" s="427" t="n">
        <v>-60978.06</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57642.1</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483</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-62.38</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75.89</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-6.68</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17.68</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397311.48</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651.2</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2.95632333767927</v>
      </c>
      <c r="BW22" s="369" t="n">
        <v>3.846</v>
      </c>
      <c r="BX22" s="370" t="n">
        <v>0.965133777750641</v>
      </c>
      <c r="BY22" s="370" t="n">
        <v>1.19745688234467</v>
      </c>
      <c r="BZ22" s="370" t="n">
        <v>0.983675526365878</v>
      </c>
      <c r="CA22" s="370" t="n">
        <v>0.0187659081571607</v>
      </c>
      <c r="CB22" s="370" t="n">
        <v>0.998364899395796</v>
      </c>
      <c r="CC22" s="505" t="n">
        <v>-0.125</v>
      </c>
      <c r="CD22" s="505" t="n">
        <v>0</v>
      </c>
      <c r="CE22" s="505" t="n">
        <v>0.88</v>
      </c>
      <c r="CF22" s="505" t="n">
        <v>0.12</v>
      </c>
      <c r="CG22" s="505" t="n">
        <v>0.103</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3.02368535419383</v>
      </c>
      <c r="BW23" s="369" t="n">
        <v>3.908</v>
      </c>
      <c r="BX23" s="370" t="n">
        <v>0.913237525388536</v>
      </c>
      <c r="BY23" s="370" t="n">
        <v>1.03697074854276</v>
      </c>
      <c r="BZ23" s="370" t="n">
        <v>0.983818116828626</v>
      </c>
      <c r="CA23" s="370" t="n">
        <v>0.0193261872820063</v>
      </c>
      <c r="CB23" s="370" t="n">
        <v>0.996688029844541</v>
      </c>
      <c r="CC23" s="505" t="n">
        <v>-0.125</v>
      </c>
      <c r="CD23" s="505" t="n">
        <v>0</v>
      </c>
      <c r="CE23" s="505" t="n">
        <v>0.88</v>
      </c>
      <c r="CF23" s="505" t="n">
        <v>0.12</v>
      </c>
      <c r="CG23" s="505" t="n">
        <v>0.103</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3.01716644936984</v>
      </c>
      <c r="BW24" s="369" t="n">
        <v>3.582</v>
      </c>
      <c r="BX24" s="370" t="n">
        <v>0.79424407372586</v>
      </c>
      <c r="BY24" s="370" t="n">
        <v>0.837115381630371</v>
      </c>
      <c r="BZ24" s="370" t="n">
        <v>0.993049235319114</v>
      </c>
      <c r="CA24" s="370" t="n">
        <v>0.0192731753639035</v>
      </c>
      <c r="CB24" s="370" t="n">
        <v>0.99523258517239</v>
      </c>
      <c r="CC24" s="505" t="n">
        <v>-0.125</v>
      </c>
      <c r="CD24" s="505" t="n">
        <v>0</v>
      </c>
      <c r="CE24" s="505" t="n">
        <v>0.6</v>
      </c>
      <c r="CF24" s="505" t="n">
        <v>0.08</v>
      </c>
      <c r="CG24" s="505" t="n">
        <v>0.103</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2.708</v>
      </c>
      <c r="BW25" s="369" t="n">
        <v>3.193</v>
      </c>
      <c r="BX25" s="370" t="n">
        <v>0.61</v>
      </c>
      <c r="BY25" s="370" t="n">
        <v>0.61</v>
      </c>
      <c r="BZ25" s="370" t="n">
        <v>0</v>
      </c>
      <c r="CA25" s="370" t="n">
        <v>0.0194226401196236</v>
      </c>
      <c r="CB25" s="370" t="n">
        <v>0</v>
      </c>
      <c r="CC25" s="505" t="n">
        <v>-0.145</v>
      </c>
      <c r="CD25" s="505" t="n">
        <v>0.005</v>
      </c>
      <c r="CE25" s="505" t="n">
        <v>0.34</v>
      </c>
      <c r="CF25" s="505" t="n">
        <v>0.005</v>
      </c>
      <c r="CG25" s="505" t="n">
        <v>0</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2.708</v>
      </c>
      <c r="BW26" s="369" t="n">
        <v>3.193</v>
      </c>
      <c r="BX26" s="370" t="n">
        <v>0.61</v>
      </c>
      <c r="BY26" s="370" t="n">
        <v>0.61</v>
      </c>
      <c r="BZ26" s="370" t="n">
        <v>0</v>
      </c>
      <c r="CA26" s="370" t="n">
        <v>0.0194226401196236</v>
      </c>
      <c r="CB26" s="370" t="n">
        <v>0</v>
      </c>
      <c r="CC26" s="505" t="n">
        <v>-0.145</v>
      </c>
      <c r="CD26" s="505" t="n">
        <v>0.005</v>
      </c>
      <c r="CE26" s="505" t="n">
        <v>0.34</v>
      </c>
      <c r="CF26" s="505" t="n">
        <v>0.005</v>
      </c>
      <c r="CG26" s="505" t="n">
        <v>0</v>
      </c>
      <c r="CH26" s="505" t="n">
        <v>0</v>
      </c>
      <c r="CI26" s="505" t="n">
        <v>2.848</v>
      </c>
      <c r="CJ26" s="505"/>
      <c r="CK26" s="505"/>
      <c r="CL26" s="505"/>
      <c r="CM26" s="505"/>
    </row>
  </sheetData>
  <mergeCells count="31">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6"/>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26"/>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105</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1147257.8</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1147257.8</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13730.63</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198939.81</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4653.42</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SUMPRODUCT(L22:L23,F22:F23)</f>
        <v>#VALUE!</v>
      </c>
      <c r="L10" s="414" t="s">
        <v>478</v>
      </c>
      <c r="M10" s="414"/>
      <c r="N10" s="400" t="e">
        <f aca="true">-SUMPRODUCT(INDIRECT(CONCATENATE(AV10,":",AW10)),INDIRECT(CONCATENATE($AX$7,":",$AY$7)),INDIRECT(CONCATENATE($AV$3,":",$AW$3)))</f>
        <v>#VALUE!</v>
      </c>
      <c r="O10" s="400" t="n">
        <v>-452966.28</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SUMPRODUCT(K22:K23,F22:F23)</f>
        <v>#VALUE!</v>
      </c>
      <c r="L11" s="425" t="s">
        <v>481</v>
      </c>
      <c r="M11" s="425"/>
      <c r="N11" s="426" t="e">
        <f aca="true">-SUMPRODUCT(INDIRECT(CONCATENATE(AV11,":",AW11)),INDIRECT(CONCATENATE($AV$2,":",$AW$2)),INDIRECT(CONCATENATE($AV$3,":",$AW$3)),INDIRECT(CONCATENATE(AX3,":",AY3)))</f>
        <v>#VALUE!</v>
      </c>
      <c r="O11" s="427" t="n">
        <v>-192343.23</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182352.6</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3127.93</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-427.43</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455.93</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-18.33</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50.05</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1142011.42</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5246.39</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3.01607996523251</v>
      </c>
      <c r="BW22" s="369" t="n">
        <v>3.846</v>
      </c>
      <c r="BX22" s="370" t="n">
        <v>0.952435996987834</v>
      </c>
      <c r="BY22" s="370" t="n">
        <v>1.19745688234467</v>
      </c>
      <c r="BZ22" s="370" t="n">
        <v>0.981677944655299</v>
      </c>
      <c r="CA22" s="370" t="n">
        <v>0.0187659081571607</v>
      </c>
      <c r="CB22" s="370" t="n">
        <v>0.998364899395796</v>
      </c>
      <c r="CC22" s="505" t="n">
        <v>-0.0675</v>
      </c>
      <c r="CD22" s="505" t="n">
        <v>-0.0025</v>
      </c>
      <c r="CE22" s="505" t="n">
        <v>0.88</v>
      </c>
      <c r="CF22" s="505" t="n">
        <v>0.12</v>
      </c>
      <c r="CG22" s="505" t="n">
        <v>0.103</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3.08344198174707</v>
      </c>
      <c r="BW23" s="369" t="n">
        <v>3.908</v>
      </c>
      <c r="BX23" s="370" t="n">
        <v>0.906812181950228</v>
      </c>
      <c r="BY23" s="370" t="n">
        <v>1.03697074854276</v>
      </c>
      <c r="BZ23" s="370" t="n">
        <v>0.981986112508096</v>
      </c>
      <c r="CA23" s="370" t="n">
        <v>0.0193261872820063</v>
      </c>
      <c r="CB23" s="370" t="n">
        <v>0.996688029844541</v>
      </c>
      <c r="CC23" s="505" t="n">
        <v>-0.0675</v>
      </c>
      <c r="CD23" s="505" t="n">
        <v>-0.0025</v>
      </c>
      <c r="CE23" s="505" t="n">
        <v>0.88</v>
      </c>
      <c r="CF23" s="505" t="n">
        <v>0.12</v>
      </c>
      <c r="CG23" s="505" t="n">
        <v>0.103</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3.07692307692308</v>
      </c>
      <c r="BW24" s="369" t="n">
        <v>3.582</v>
      </c>
      <c r="BX24" s="370" t="n">
        <v>0.79</v>
      </c>
      <c r="BY24" s="370" t="n">
        <v>0.837115381630371</v>
      </c>
      <c r="BZ24" s="370" t="n">
        <v>0.991796180140475</v>
      </c>
      <c r="CA24" s="370" t="n">
        <v>0.0192731753639035</v>
      </c>
      <c r="CB24" s="370" t="n">
        <v>0.99523258517239</v>
      </c>
      <c r="CC24" s="505" t="n">
        <v>-0.0675</v>
      </c>
      <c r="CD24" s="505" t="n">
        <v>-0.0025</v>
      </c>
      <c r="CE24" s="505" t="n">
        <v>0.6</v>
      </c>
      <c r="CF24" s="505" t="n">
        <v>0.08</v>
      </c>
      <c r="CG24" s="505" t="n">
        <v>0.103</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2.7805</v>
      </c>
      <c r="BW25" s="369" t="n">
        <v>3.193</v>
      </c>
      <c r="BX25" s="370" t="n">
        <v>0.61</v>
      </c>
      <c r="BY25" s="370" t="n">
        <v>0.61</v>
      </c>
      <c r="BZ25" s="370" t="n">
        <v>0</v>
      </c>
      <c r="CA25" s="370" t="n">
        <v>0.0194226401196236</v>
      </c>
      <c r="CB25" s="370" t="n">
        <v>0</v>
      </c>
      <c r="CC25" s="505" t="n">
        <v>-0.065</v>
      </c>
      <c r="CD25" s="505" t="n">
        <v>-0.0025</v>
      </c>
      <c r="CE25" s="505" t="n">
        <v>0.34</v>
      </c>
      <c r="CF25" s="505" t="n">
        <v>0.005</v>
      </c>
      <c r="CG25" s="505" t="n">
        <v>0</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2.7805</v>
      </c>
      <c r="BW26" s="369" t="n">
        <v>3.193</v>
      </c>
      <c r="BX26" s="370" t="n">
        <v>0.61</v>
      </c>
      <c r="BY26" s="370" t="n">
        <v>0.61</v>
      </c>
      <c r="BZ26" s="370" t="n">
        <v>0</v>
      </c>
      <c r="CA26" s="370" t="n">
        <v>0.0194226401196236</v>
      </c>
      <c r="CB26" s="370" t="n">
        <v>0</v>
      </c>
      <c r="CC26" s="505" t="n">
        <v>-0.065</v>
      </c>
      <c r="CD26" s="505" t="n">
        <v>-0.0025</v>
      </c>
      <c r="CE26" s="505" t="n">
        <v>0.34</v>
      </c>
      <c r="CF26" s="505" t="n">
        <v>0.005</v>
      </c>
      <c r="CG26" s="505" t="n">
        <v>0</v>
      </c>
      <c r="CH26" s="505" t="n">
        <v>0</v>
      </c>
      <c r="CI26" s="505" t="n">
        <v>2.848</v>
      </c>
      <c r="CJ26" s="505"/>
      <c r="CK26" s="505"/>
      <c r="CL26" s="505"/>
      <c r="CM26" s="505"/>
    </row>
  </sheetData>
  <mergeCells count="31">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26"/>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CI21" activeCellId="0" sqref="CI21:CI26"/>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8.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106</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705007.55</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0</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705007.55</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8618</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117579.36</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K10" s="95" t="e">
        <f aca="false">SUMPRODUCT(L22:L23,F22:F23)</f>
        <v>#VALUE!</v>
      </c>
      <c r="L10" s="414" t="s">
        <v>478</v>
      </c>
      <c r="M10" s="414"/>
      <c r="N10" s="400" t="e">
        <f aca="true">-SUMPRODUCT(INDIRECT(CONCATENATE(AV10,":",AW10)),INDIRECT(CONCATENATE($AX$7,":",$AY$7)),INDIRECT(CONCATENATE($AV$3,":",$AW$3)))</f>
        <v>#VALUE!</v>
      </c>
      <c r="O10" s="400" t="n">
        <v>-282283.01</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K11" s="95" t="e">
        <f aca="false">SUMPRODUCT(K22:K23,F22:F23)</f>
        <v>#VALUE!</v>
      </c>
      <c r="L11" s="425" t="s">
        <v>481</v>
      </c>
      <c r="M11" s="425"/>
      <c r="N11" s="426" t="e">
        <f aca="true">-SUMPRODUCT(INDIRECT(CONCATENATE(AV11,":",AW11)),INDIRECT(CONCATENATE($AV$2,":",$AW$2)),INDIRECT(CONCATENATE($AV$3,":",$AW$3)),INDIRECT(CONCATENATE(AX3,":",AY3)))</f>
        <v>#VALUE!</v>
      </c>
      <c r="O11" s="427" t="n">
        <v>-119906.79</v>
      </c>
      <c r="P11" s="428" t="e">
        <f aca="false">N11-O11</f>
        <v>#VALUE!</v>
      </c>
      <c r="X11" s="531" t="s">
        <v>533</v>
      </c>
      <c r="Y11" s="531"/>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104791.15</v>
      </c>
      <c r="P12" s="415" t="e">
        <f aca="false">N12-O12</f>
        <v>#VALUE!</v>
      </c>
      <c r="X12" s="532" t="s">
        <v>534</v>
      </c>
      <c r="Y12" s="533" t="n">
        <v>0</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1482.62</v>
      </c>
      <c r="P13" s="415" t="e">
        <f aca="false">N13-O13</f>
        <v>#VALUE!</v>
      </c>
      <c r="X13" s="532" t="s">
        <v>535</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-235.07</v>
      </c>
      <c r="P14" s="415" t="e">
        <f aca="false">N14-O14</f>
        <v>#VALUE!</v>
      </c>
      <c r="S14" s="365" t="e">
        <f aca="false">F22/(1-AR22)*AH22*AU22</f>
        <v>#VALUE!</v>
      </c>
      <c r="T14" s="365" t="e">
        <f aca="false">F22*AH22*AU22</f>
        <v>#VALUE!</v>
      </c>
      <c r="X14" s="534" t="s">
        <v>536</v>
      </c>
      <c r="Y14" s="535" t="s">
        <v>537</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253.84</v>
      </c>
      <c r="P15" s="415" t="e">
        <f aca="false">N15-O15</f>
        <v>#VALUE!</v>
      </c>
      <c r="X15" s="536" t="n">
        <v>2001</v>
      </c>
      <c r="Y15" s="537" t="n">
        <v>0</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-11.51</v>
      </c>
      <c r="P16" s="415" t="e">
        <f aca="false">N16-O16</f>
        <v>#VALUE!</v>
      </c>
      <c r="X16" s="536" t="n">
        <v>2002</v>
      </c>
      <c r="Y16" s="537" t="n">
        <v>0</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31.15</v>
      </c>
      <c r="P17" s="428" t="e">
        <f aca="false">N17-O17</f>
        <v>#VALUE!</v>
      </c>
      <c r="X17" s="538" t="n">
        <v>2003</v>
      </c>
      <c r="Y17" s="539" t="n">
        <v>0</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702052.13</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2955.43</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($Y$12+VLOOKUP(YEAR(D22),$X$15:$Y$17,2,FALSE()))*AH22*AU22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3.00316007409829</v>
      </c>
      <c r="BW22" s="369" t="n">
        <v>3.846</v>
      </c>
      <c r="BX22" s="370" t="n">
        <v>0.952435996987834</v>
      </c>
      <c r="BY22" s="370" t="n">
        <v>1.19745688234467</v>
      </c>
      <c r="BZ22" s="370" t="n">
        <v>0.981677944655299</v>
      </c>
      <c r="CA22" s="370" t="n">
        <v>0.0187659081571607</v>
      </c>
      <c r="CB22" s="370" t="n">
        <v>0.998364899395796</v>
      </c>
      <c r="CC22" s="505" t="n">
        <v>-0.09</v>
      </c>
      <c r="CD22" s="505" t="n">
        <v>0</v>
      </c>
      <c r="CE22" s="505" t="n">
        <v>0.88</v>
      </c>
      <c r="CF22" s="505" t="n">
        <v>0.12</v>
      </c>
      <c r="CG22" s="505" t="n">
        <v>0.1061</v>
      </c>
      <c r="CH22" s="505" t="n">
        <v>0</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($Y$12+VLOOKUP(YEAR(D23),$X$15:$Y$17,2,FALSE()))*AH23*AU23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3.07072027895827</v>
      </c>
      <c r="BW23" s="369" t="n">
        <v>3.908</v>
      </c>
      <c r="BX23" s="370" t="n">
        <v>0.906812181950228</v>
      </c>
      <c r="BY23" s="370" t="n">
        <v>1.03697074854276</v>
      </c>
      <c r="BZ23" s="370" t="n">
        <v>0.981986112508096</v>
      </c>
      <c r="CA23" s="370" t="n">
        <v>0.0193261872820063</v>
      </c>
      <c r="CB23" s="370" t="n">
        <v>0.996688029844541</v>
      </c>
      <c r="CC23" s="505" t="n">
        <v>-0.09</v>
      </c>
      <c r="CD23" s="505" t="n">
        <v>0</v>
      </c>
      <c r="CE23" s="505" t="n">
        <v>0.88</v>
      </c>
      <c r="CF23" s="505" t="n">
        <v>0.12</v>
      </c>
      <c r="CG23" s="505" t="n">
        <v>0.1061</v>
      </c>
      <c r="CH23" s="505" t="n">
        <v>0</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($Y$12+VLOOKUP(YEAR(D24),$X$15:$Y$17,2,FALSE()))*AH24*AU24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3.06418219461698</v>
      </c>
      <c r="BW24" s="369" t="n">
        <v>3.582</v>
      </c>
      <c r="BX24" s="370" t="n">
        <v>0.79</v>
      </c>
      <c r="BY24" s="370" t="n">
        <v>0.837115381630371</v>
      </c>
      <c r="BZ24" s="370" t="n">
        <v>0.991796180140475</v>
      </c>
      <c r="CA24" s="370" t="n">
        <v>0.0192731753639035</v>
      </c>
      <c r="CB24" s="370" t="n">
        <v>0.99523258517239</v>
      </c>
      <c r="CC24" s="505" t="n">
        <v>-0.09</v>
      </c>
      <c r="CD24" s="505" t="n">
        <v>0</v>
      </c>
      <c r="CE24" s="505" t="n">
        <v>0.6</v>
      </c>
      <c r="CF24" s="505" t="n">
        <v>0.08</v>
      </c>
      <c r="CG24" s="505" t="n">
        <v>0.1061</v>
      </c>
      <c r="CH24" s="505" t="n">
        <v>0</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($Y$12+VLOOKUP(YEAR(D25),$X$15:$Y$17,2,FALSE()))*AH25*AU25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2.768</v>
      </c>
      <c r="BW25" s="369" t="n">
        <v>3.193</v>
      </c>
      <c r="BX25" s="370" t="n">
        <v>0.61</v>
      </c>
      <c r="BY25" s="370" t="n">
        <v>0.61</v>
      </c>
      <c r="BZ25" s="370" t="n">
        <v>0</v>
      </c>
      <c r="CA25" s="370" t="n">
        <v>0.0194226401196236</v>
      </c>
      <c r="CB25" s="370" t="n">
        <v>0</v>
      </c>
      <c r="CC25" s="505" t="n">
        <v>-0.0825</v>
      </c>
      <c r="CD25" s="505" t="n">
        <v>0.0025</v>
      </c>
      <c r="CE25" s="505" t="n">
        <v>0.34</v>
      </c>
      <c r="CF25" s="505" t="n">
        <v>0.005</v>
      </c>
      <c r="CG25" s="505" t="n">
        <v>0</v>
      </c>
      <c r="CH25" s="505" t="n">
        <v>0</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($Y$12+VLOOKUP(YEAR(D26),$X$15:$Y$17,2,FALSE()))*AH26*AU26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2.768</v>
      </c>
      <c r="BW26" s="369" t="n">
        <v>3.193</v>
      </c>
      <c r="BX26" s="370" t="n">
        <v>0.61</v>
      </c>
      <c r="BY26" s="370" t="n">
        <v>0.61</v>
      </c>
      <c r="BZ26" s="370" t="n">
        <v>0</v>
      </c>
      <c r="CA26" s="370" t="n">
        <v>0.0194226401196236</v>
      </c>
      <c r="CB26" s="370" t="n">
        <v>0</v>
      </c>
      <c r="CC26" s="505" t="n">
        <v>-0.0825</v>
      </c>
      <c r="CD26" s="505" t="n">
        <v>0.0025</v>
      </c>
      <c r="CE26" s="505" t="n">
        <v>0.34</v>
      </c>
      <c r="CF26" s="505" t="n">
        <v>0.005</v>
      </c>
      <c r="CG26" s="505" t="n">
        <v>0</v>
      </c>
      <c r="CH26" s="505" t="n">
        <v>0</v>
      </c>
      <c r="CI26" s="505" t="n">
        <v>2.848</v>
      </c>
      <c r="CJ26" s="505"/>
      <c r="CK26" s="505"/>
      <c r="CL26" s="505"/>
      <c r="CM26" s="505"/>
    </row>
  </sheetData>
  <mergeCells count="31">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X11:Y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29"/>
  <sheetViews>
    <sheetView showFormulas="false" showGridLines="true" showRowColHeaders="true" showZeros="true" rightToLeft="false" tabSelected="false" showOutlineSymbols="true" defaultGridColor="true" view="normal" topLeftCell="Q1" colorId="64" zoomScale="100" zoomScaleNormal="100" zoomScalePageLayoutView="100" workbookViewId="0">
      <selection pane="topLeft" activeCell="CI21" activeCellId="0" sqref="CI21:CI117"/>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9.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107</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278064.03</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206685.02</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71379.01</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1216.56</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-54620.65</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-2845.44</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4138.36</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6.45</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-1115.55</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1716.43</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-4.93</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14.94</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118420.97</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159643.07</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2.8574297188755</v>
      </c>
      <c r="BW22" s="369" t="n">
        <v>2.906</v>
      </c>
      <c r="BX22" s="370" t="n">
        <v>1.03048677093625</v>
      </c>
      <c r="BY22" s="370" t="n">
        <v>1.00399203184089</v>
      </c>
      <c r="BZ22" s="370" t="n">
        <v>0.980682096351606</v>
      </c>
      <c r="CA22" s="370" t="n">
        <v>0.0187659081571607</v>
      </c>
      <c r="CB22" s="370" t="n">
        <v>0.998364899395796</v>
      </c>
      <c r="CC22" s="505" t="n">
        <v>-0.015</v>
      </c>
      <c r="CD22" s="505" t="n">
        <v>0.015</v>
      </c>
      <c r="CE22" s="505" t="n">
        <v>0.06</v>
      </c>
      <c r="CF22" s="505" t="n">
        <v>0</v>
      </c>
      <c r="CG22" s="505" t="n">
        <v>0.0006</v>
      </c>
      <c r="CH22" s="505" t="n">
        <v>1.36176972277587</v>
      </c>
      <c r="CI22" s="505" t="n">
        <v>2.846</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2.92971887550201</v>
      </c>
      <c r="BW23" s="369" t="n">
        <v>2.943</v>
      </c>
      <c r="BX23" s="370" t="n">
        <v>0.946911646705577</v>
      </c>
      <c r="BY23" s="370" t="n">
        <v>0.933141349302333</v>
      </c>
      <c r="BZ23" s="370" t="n">
        <v>0.987970383910707</v>
      </c>
      <c r="CA23" s="370" t="n">
        <v>0.0193261872820063</v>
      </c>
      <c r="CB23" s="370" t="n">
        <v>0.996688029844541</v>
      </c>
      <c r="CC23" s="505" t="n">
        <v>-0.005</v>
      </c>
      <c r="CD23" s="505" t="n">
        <v>0.015</v>
      </c>
      <c r="CE23" s="505" t="n">
        <v>0.035</v>
      </c>
      <c r="CF23" s="505" t="n">
        <v>0</v>
      </c>
      <c r="CG23" s="505" t="n">
        <v>0.0006</v>
      </c>
      <c r="CH23" s="505" t="n">
        <v>1.22791965276847</v>
      </c>
      <c r="CI23" s="505" t="n">
        <v>2.908</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2.92369477911647</v>
      </c>
      <c r="BW24" s="369" t="n">
        <v>2.937</v>
      </c>
      <c r="BX24" s="370" t="n">
        <v>0.807620796755106</v>
      </c>
      <c r="BY24" s="370" t="n">
        <v>0.79</v>
      </c>
      <c r="BZ24" s="370" t="n">
        <v>0.992277969492814</v>
      </c>
      <c r="CA24" s="370" t="n">
        <v>0.0192731753639035</v>
      </c>
      <c r="CB24" s="370" t="n">
        <v>0.99523258517239</v>
      </c>
      <c r="CC24" s="505" t="n">
        <v>-0.005</v>
      </c>
      <c r="CD24" s="505" t="n">
        <v>0.015</v>
      </c>
      <c r="CE24" s="505" t="n">
        <v>0.035</v>
      </c>
      <c r="CF24" s="505" t="n">
        <v>0</v>
      </c>
      <c r="CG24" s="505" t="n">
        <v>0.0006</v>
      </c>
      <c r="CH24" s="505" t="n">
        <v>1.35749724617514</v>
      </c>
      <c r="CI24" s="505" t="n">
        <v>2.902</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2.76907630522088</v>
      </c>
      <c r="BW25" s="369" t="n">
        <v>2.7955</v>
      </c>
      <c r="BX25" s="370" t="n">
        <v>0.606420927626525</v>
      </c>
      <c r="BY25" s="370" t="n">
        <v>0.606420927626525</v>
      </c>
      <c r="BZ25" s="370" t="n">
        <v>0.997211094603916</v>
      </c>
      <c r="CA25" s="370" t="n">
        <v>0.0194226401196236</v>
      </c>
      <c r="CB25" s="370" t="n">
        <v>0.993564587749983</v>
      </c>
      <c r="CC25" s="505" t="n">
        <v>-0.09</v>
      </c>
      <c r="CD25" s="505" t="n">
        <v>0</v>
      </c>
      <c r="CE25" s="505" t="n">
        <v>-0.0525</v>
      </c>
      <c r="CF25" s="505" t="n">
        <v>0</v>
      </c>
      <c r="CG25" s="505" t="n">
        <v>0.0006</v>
      </c>
      <c r="CH25" s="505" t="n">
        <v>1.31150525582998</v>
      </c>
      <c r="CI25" s="505" t="n">
        <v>2.848</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2.81726907630522</v>
      </c>
      <c r="BW26" s="369" t="n">
        <v>2.8435</v>
      </c>
      <c r="BX26" s="370" t="n">
        <v>0.57775293402001</v>
      </c>
      <c r="BY26" s="370" t="n">
        <v>0.583015928847491</v>
      </c>
      <c r="BZ26" s="370" t="n">
        <v>0.996927914674394</v>
      </c>
      <c r="CA26" s="370" t="n">
        <v>0.019712159578257</v>
      </c>
      <c r="CB26" s="370" t="n">
        <v>0.991870109542169</v>
      </c>
      <c r="CC26" s="505" t="n">
        <v>-0.09</v>
      </c>
      <c r="CD26" s="505" t="n">
        <v>0</v>
      </c>
      <c r="CE26" s="505" t="n">
        <v>-0.0525</v>
      </c>
      <c r="CF26" s="505" t="n">
        <v>0</v>
      </c>
      <c r="CG26" s="505" t="n">
        <v>0.0006</v>
      </c>
      <c r="CH26" s="505" t="n">
        <v>1.35291082941552</v>
      </c>
      <c r="CI26" s="505" t="n">
        <v>2.896</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2.86746987951807</v>
      </c>
      <c r="BW27" s="369" t="n">
        <v>2.8935</v>
      </c>
      <c r="BX27" s="370" t="n">
        <v>0.550221330219268</v>
      </c>
      <c r="BY27" s="370" t="n">
        <v>0.554685115579688</v>
      </c>
      <c r="BZ27" s="370" t="n">
        <v>0.997258709972301</v>
      </c>
      <c r="CA27" s="370" t="n">
        <v>0.0200113297153544</v>
      </c>
      <c r="CB27" s="370" t="n">
        <v>0.990073216017117</v>
      </c>
      <c r="CC27" s="505" t="n">
        <v>-0.09</v>
      </c>
      <c r="CD27" s="505" t="n">
        <v>0</v>
      </c>
      <c r="CE27" s="505" t="n">
        <v>-0.0525</v>
      </c>
      <c r="CF27" s="505" t="n">
        <v>0</v>
      </c>
      <c r="CG27" s="505" t="n">
        <v>0.0006</v>
      </c>
      <c r="CH27" s="505" t="n">
        <v>1.30689664514259</v>
      </c>
      <c r="CI27" s="505" t="n">
        <v>2.946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2.90562248995984</v>
      </c>
      <c r="BW28" s="369" t="n">
        <v>2.9315</v>
      </c>
      <c r="BX28" s="370" t="n">
        <v>0.549290255131369</v>
      </c>
      <c r="BY28" s="370" t="n">
        <v>0.553581868033433</v>
      </c>
      <c r="BZ28" s="370" t="n">
        <v>0.997188103340208</v>
      </c>
      <c r="CA28" s="370" t="n">
        <v>0.0204286298094831</v>
      </c>
      <c r="CB28" s="370" t="n">
        <v>0.988217193800728</v>
      </c>
      <c r="CC28" s="505" t="n">
        <v>-0.09</v>
      </c>
      <c r="CD28" s="505" t="n">
        <v>0</v>
      </c>
      <c r="CE28" s="505" t="n">
        <v>-0.0525</v>
      </c>
      <c r="CF28" s="505" t="n">
        <v>0</v>
      </c>
      <c r="CG28" s="505" t="n">
        <v>0.0006</v>
      </c>
      <c r="CH28" s="505" t="n">
        <v>1.34792825234419</v>
      </c>
      <c r="CI28" s="505" t="n">
        <v>2.984</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2.94779116465863</v>
      </c>
      <c r="BW29" s="369" t="n">
        <v>2.9735</v>
      </c>
      <c r="BX29" s="370" t="n">
        <v>0.549894268674422</v>
      </c>
      <c r="BY29" s="370" t="n">
        <v>0.553926734220249</v>
      </c>
      <c r="BZ29" s="370" t="n">
        <v>0.997195303954792</v>
      </c>
      <c r="CA29" s="370" t="n">
        <v>0.021065008234304</v>
      </c>
      <c r="CB29" s="370" t="n">
        <v>0.986098940667972</v>
      </c>
      <c r="CC29" s="505" t="n">
        <v>-0.09</v>
      </c>
      <c r="CD29" s="505" t="n">
        <v>0</v>
      </c>
      <c r="CE29" s="505" t="n">
        <v>-0.0525</v>
      </c>
      <c r="CF29" s="505" t="n">
        <v>0</v>
      </c>
      <c r="CG29" s="505" t="n">
        <v>0.0006</v>
      </c>
      <c r="CH29" s="505" t="n">
        <v>1.34503895507111</v>
      </c>
      <c r="CI29" s="505" t="n">
        <v>3.026</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2.93975903614458</v>
      </c>
      <c r="BW30" s="369" t="n">
        <v>2.9655</v>
      </c>
      <c r="BX30" s="370" t="n">
        <v>0.548527673591454</v>
      </c>
      <c r="BY30" s="370" t="n">
        <v>0.552009176042195</v>
      </c>
      <c r="BZ30" s="370" t="n">
        <v>0.997568198225402</v>
      </c>
      <c r="CA30" s="370" t="n">
        <v>0.0217013867962765</v>
      </c>
      <c r="CB30" s="370" t="n">
        <v>0.983880178541275</v>
      </c>
      <c r="CC30" s="505" t="n">
        <v>-0.09</v>
      </c>
      <c r="CD30" s="505" t="n">
        <v>0</v>
      </c>
      <c r="CE30" s="505" t="n">
        <v>-0.0525</v>
      </c>
      <c r="CF30" s="505" t="n">
        <v>0</v>
      </c>
      <c r="CG30" s="505" t="n">
        <v>0.0006</v>
      </c>
      <c r="CH30" s="505" t="n">
        <v>1.29872183567448</v>
      </c>
      <c r="CI30" s="505" t="n">
        <v>3.018</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2.95281124497992</v>
      </c>
      <c r="BW31" s="369" t="n">
        <v>2.9785</v>
      </c>
      <c r="BX31" s="370" t="n">
        <v>0.5511830669082</v>
      </c>
      <c r="BY31" s="370" t="n">
        <v>0.554635809260041</v>
      </c>
      <c r="BZ31" s="370" t="n">
        <v>0.997457913881853</v>
      </c>
      <c r="CA31" s="370" t="n">
        <v>0.022410164045374</v>
      </c>
      <c r="CB31" s="370" t="n">
        <v>0.981562668478235</v>
      </c>
      <c r="CC31" s="505" t="n">
        <v>-0.09</v>
      </c>
      <c r="CD31" s="505" t="n">
        <v>0</v>
      </c>
      <c r="CE31" s="505" t="n">
        <v>-0.0525</v>
      </c>
      <c r="CF31" s="505" t="n">
        <v>0</v>
      </c>
      <c r="CG31" s="505" t="n">
        <v>0.0006</v>
      </c>
      <c r="CH31" s="505" t="n">
        <v>1.33885147980431</v>
      </c>
      <c r="CI31" s="505" t="n">
        <v>3.031</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3.25401606425703</v>
      </c>
      <c r="BW32" s="369" t="n">
        <v>3.251</v>
      </c>
      <c r="BX32" s="370" t="n">
        <v>0.54</v>
      </c>
      <c r="BY32" s="370" t="n">
        <v>0.54</v>
      </c>
      <c r="BZ32" s="370" t="n">
        <v>0</v>
      </c>
      <c r="CA32" s="370" t="n">
        <v>0.0232740649677528</v>
      </c>
      <c r="CB32" s="370" t="n">
        <v>0</v>
      </c>
      <c r="CC32" s="505" t="n">
        <v>0</v>
      </c>
      <c r="CD32" s="505" t="n">
        <v>0.03</v>
      </c>
      <c r="CE32" s="505" t="n">
        <v>0.04</v>
      </c>
      <c r="CF32" s="505" t="n">
        <v>0</v>
      </c>
      <c r="CG32" s="505" t="n">
        <v>0.0006</v>
      </c>
      <c r="CH32" s="505" t="n">
        <v>0</v>
      </c>
      <c r="CI32" s="505" t="n">
        <v>3.211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3.25401606425703</v>
      </c>
      <c r="BW33" s="369" t="n">
        <v>3.251</v>
      </c>
      <c r="BX33" s="370" t="n">
        <v>0.54</v>
      </c>
      <c r="BY33" s="370" t="n">
        <v>0.54</v>
      </c>
      <c r="BZ33" s="370" t="n">
        <v>0</v>
      </c>
      <c r="CA33" s="370" t="n">
        <v>0.0232740649677528</v>
      </c>
      <c r="CB33" s="370" t="n">
        <v>0</v>
      </c>
      <c r="CC33" s="505" t="n">
        <v>0</v>
      </c>
      <c r="CD33" s="505" t="n">
        <v>0.03</v>
      </c>
      <c r="CE33" s="505" t="n">
        <v>0.04</v>
      </c>
      <c r="CF33" s="505" t="n">
        <v>0</v>
      </c>
      <c r="CG33" s="505" t="n">
        <v>0.0006</v>
      </c>
      <c r="CH33" s="505" t="n">
        <v>0</v>
      </c>
      <c r="CI33" s="505" t="n">
        <v>3.211</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3.25401606425703</v>
      </c>
      <c r="BW34" s="369" t="n">
        <v>3.251</v>
      </c>
      <c r="BX34" s="370" t="n">
        <v>0.54</v>
      </c>
      <c r="BY34" s="370" t="n">
        <v>0.54</v>
      </c>
      <c r="BZ34" s="370" t="n">
        <v>0</v>
      </c>
      <c r="CA34" s="370" t="n">
        <v>0.0232740649677528</v>
      </c>
      <c r="CB34" s="370" t="n">
        <v>0</v>
      </c>
      <c r="CC34" s="505" t="n">
        <v>0</v>
      </c>
      <c r="CD34" s="505" t="n">
        <v>0.03</v>
      </c>
      <c r="CE34" s="505" t="n">
        <v>0.04</v>
      </c>
      <c r="CF34" s="505" t="n">
        <v>0</v>
      </c>
      <c r="CG34" s="505" t="n">
        <v>0.0006</v>
      </c>
      <c r="CH34" s="505" t="n">
        <v>0</v>
      </c>
      <c r="CI34" s="505" t="n">
        <v>3.211</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3.25401606425703</v>
      </c>
      <c r="BW35" s="369" t="n">
        <v>3.251</v>
      </c>
      <c r="BX35" s="370" t="n">
        <v>0.54</v>
      </c>
      <c r="BY35" s="370" t="n">
        <v>0.54</v>
      </c>
      <c r="BZ35" s="370" t="n">
        <v>0</v>
      </c>
      <c r="CA35" s="370" t="n">
        <v>0.0232740649677528</v>
      </c>
      <c r="CB35" s="370" t="n">
        <v>0</v>
      </c>
      <c r="CC35" s="505" t="n">
        <v>0</v>
      </c>
      <c r="CD35" s="505" t="n">
        <v>0.03</v>
      </c>
      <c r="CE35" s="505" t="n">
        <v>0.04</v>
      </c>
      <c r="CF35" s="505" t="n">
        <v>0</v>
      </c>
      <c r="CG35" s="505" t="n">
        <v>0.0006</v>
      </c>
      <c r="CH35" s="505" t="n">
        <v>0</v>
      </c>
      <c r="CI35" s="505" t="n">
        <v>3.211</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3.25401606425703</v>
      </c>
      <c r="BW36" s="369" t="n">
        <v>3.251</v>
      </c>
      <c r="BX36" s="370" t="n">
        <v>0.54</v>
      </c>
      <c r="BY36" s="370" t="n">
        <v>0.54</v>
      </c>
      <c r="BZ36" s="370" t="n">
        <v>0</v>
      </c>
      <c r="CA36" s="370" t="n">
        <v>0.0232740649677528</v>
      </c>
      <c r="CB36" s="370" t="n">
        <v>0</v>
      </c>
      <c r="CC36" s="505" t="n">
        <v>0</v>
      </c>
      <c r="CD36" s="505" t="n">
        <v>0.03</v>
      </c>
      <c r="CE36" s="505" t="n">
        <v>0.04</v>
      </c>
      <c r="CF36" s="505" t="n">
        <v>0</v>
      </c>
      <c r="CG36" s="505" t="n">
        <v>0.0006</v>
      </c>
      <c r="CH36" s="505" t="n">
        <v>0</v>
      </c>
      <c r="CI36" s="505" t="n">
        <v>3.211</v>
      </c>
      <c r="CJ36" s="505"/>
      <c r="CK36" s="505"/>
      <c r="CL36" s="505"/>
      <c r="CM36" s="505"/>
    </row>
    <row r="37" customFormat="false" ht="12.75" hidden="false" customHeight="false" outlineLevel="0" collapsed="false">
      <c r="A37" s="509"/>
      <c r="B37" s="509"/>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3.25401606425703</v>
      </c>
      <c r="BW37" s="369" t="n">
        <v>3.251</v>
      </c>
      <c r="BX37" s="370" t="n">
        <v>0.54</v>
      </c>
      <c r="BY37" s="370" t="n">
        <v>0.54</v>
      </c>
      <c r="BZ37" s="370" t="n">
        <v>0</v>
      </c>
      <c r="CA37" s="370" t="n">
        <v>0.0232740649677528</v>
      </c>
      <c r="CB37" s="370" t="n">
        <v>0</v>
      </c>
      <c r="CC37" s="505" t="n">
        <v>0</v>
      </c>
      <c r="CD37" s="505" t="n">
        <v>0.03</v>
      </c>
      <c r="CE37" s="505" t="n">
        <v>0.04</v>
      </c>
      <c r="CF37" s="505" t="n">
        <v>0</v>
      </c>
      <c r="CG37" s="505" t="n">
        <v>0.0006</v>
      </c>
      <c r="CH37" s="505" t="n">
        <v>0</v>
      </c>
      <c r="CI37" s="505" t="n">
        <v>3.211</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3.25401606425703</v>
      </c>
      <c r="BW38" s="369" t="n">
        <v>3.251</v>
      </c>
      <c r="BX38" s="370" t="n">
        <v>0.54</v>
      </c>
      <c r="BY38" s="370" t="n">
        <v>0.54</v>
      </c>
      <c r="BZ38" s="370" t="n">
        <v>0</v>
      </c>
      <c r="CA38" s="370" t="n">
        <v>0.0232740649677528</v>
      </c>
      <c r="CB38" s="370" t="n">
        <v>0</v>
      </c>
      <c r="CC38" s="505" t="n">
        <v>0</v>
      </c>
      <c r="CD38" s="505" t="n">
        <v>0.03</v>
      </c>
      <c r="CE38" s="505" t="n">
        <v>0.04</v>
      </c>
      <c r="CF38" s="505" t="n">
        <v>0</v>
      </c>
      <c r="CG38" s="505" t="n">
        <v>0.0006</v>
      </c>
      <c r="CH38" s="505" t="n">
        <v>0</v>
      </c>
      <c r="CI38" s="505" t="n">
        <v>3.211</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3.25401606425703</v>
      </c>
      <c r="BW39" s="369" t="n">
        <v>3.251</v>
      </c>
      <c r="BX39" s="370" t="n">
        <v>0.54</v>
      </c>
      <c r="BY39" s="370" t="n">
        <v>0.54</v>
      </c>
      <c r="BZ39" s="370" t="n">
        <v>0</v>
      </c>
      <c r="CA39" s="370" t="n">
        <v>0.0232740649677528</v>
      </c>
      <c r="CB39" s="370" t="n">
        <v>0</v>
      </c>
      <c r="CC39" s="505" t="n">
        <v>0</v>
      </c>
      <c r="CD39" s="505" t="n">
        <v>0.03</v>
      </c>
      <c r="CE39" s="505" t="n">
        <v>0.04</v>
      </c>
      <c r="CF39" s="505" t="n">
        <v>0</v>
      </c>
      <c r="CG39" s="505" t="n">
        <v>0.0006</v>
      </c>
      <c r="CH39" s="505" t="n">
        <v>0</v>
      </c>
      <c r="CI39" s="505" t="n">
        <v>3.211</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3.25401606425703</v>
      </c>
      <c r="BW40" s="369" t="n">
        <v>3.251</v>
      </c>
      <c r="BX40" s="370" t="n">
        <v>0.54</v>
      </c>
      <c r="BY40" s="370" t="n">
        <v>0.54</v>
      </c>
      <c r="BZ40" s="370" t="n">
        <v>0</v>
      </c>
      <c r="CA40" s="370" t="n">
        <v>0.0232740649677528</v>
      </c>
      <c r="CB40" s="370" t="n">
        <v>0</v>
      </c>
      <c r="CC40" s="505" t="n">
        <v>0</v>
      </c>
      <c r="CD40" s="505" t="n">
        <v>0.03</v>
      </c>
      <c r="CE40" s="505" t="n">
        <v>0.04</v>
      </c>
      <c r="CF40" s="505" t="n">
        <v>0</v>
      </c>
      <c r="CG40" s="505" t="n">
        <v>0.0006</v>
      </c>
      <c r="CH40" s="505" t="n">
        <v>0</v>
      </c>
      <c r="CI40" s="505" t="n">
        <v>3.211</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3.25401606425703</v>
      </c>
      <c r="BW41" s="369" t="n">
        <v>3.251</v>
      </c>
      <c r="BX41" s="370" t="n">
        <v>0.54</v>
      </c>
      <c r="BY41" s="370" t="n">
        <v>0.54</v>
      </c>
      <c r="BZ41" s="370" t="n">
        <v>0</v>
      </c>
      <c r="CA41" s="370" t="n">
        <v>0.0232740649677528</v>
      </c>
      <c r="CB41" s="370" t="n">
        <v>0</v>
      </c>
      <c r="CC41" s="505" t="n">
        <v>0</v>
      </c>
      <c r="CD41" s="505" t="n">
        <v>0.03</v>
      </c>
      <c r="CE41" s="505" t="n">
        <v>0.04</v>
      </c>
      <c r="CF41" s="505" t="n">
        <v>0</v>
      </c>
      <c r="CG41" s="505" t="n">
        <v>0.0006</v>
      </c>
      <c r="CH41" s="505" t="n">
        <v>0</v>
      </c>
      <c r="CI41" s="505" t="n">
        <v>3.211</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3.25401606425703</v>
      </c>
      <c r="BW42" s="369" t="n">
        <v>3.251</v>
      </c>
      <c r="BX42" s="370" t="n">
        <v>0.54</v>
      </c>
      <c r="BY42" s="370" t="n">
        <v>0.54</v>
      </c>
      <c r="BZ42" s="370" t="n">
        <v>0</v>
      </c>
      <c r="CA42" s="370" t="n">
        <v>0.0232740649677528</v>
      </c>
      <c r="CB42" s="370" t="n">
        <v>0</v>
      </c>
      <c r="CC42" s="505" t="n">
        <v>0</v>
      </c>
      <c r="CD42" s="505" t="n">
        <v>0.03</v>
      </c>
      <c r="CE42" s="505" t="n">
        <v>0.04</v>
      </c>
      <c r="CF42" s="505" t="n">
        <v>0</v>
      </c>
      <c r="CG42" s="505" t="n">
        <v>0.0006</v>
      </c>
      <c r="CH42" s="505" t="n">
        <v>0</v>
      </c>
      <c r="CI42" s="505" t="n">
        <v>3.211</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3.25401606425703</v>
      </c>
      <c r="BW43" s="369" t="n">
        <v>3.251</v>
      </c>
      <c r="BX43" s="370" t="n">
        <v>0.54</v>
      </c>
      <c r="BY43" s="370" t="n">
        <v>0.54</v>
      </c>
      <c r="BZ43" s="370" t="n">
        <v>0</v>
      </c>
      <c r="CA43" s="370" t="n">
        <v>0.0232740649677528</v>
      </c>
      <c r="CB43" s="370" t="n">
        <v>0</v>
      </c>
      <c r="CC43" s="505" t="n">
        <v>0</v>
      </c>
      <c r="CD43" s="505" t="n">
        <v>0.03</v>
      </c>
      <c r="CE43" s="505" t="n">
        <v>0.04</v>
      </c>
      <c r="CF43" s="505" t="n">
        <v>0</v>
      </c>
      <c r="CG43" s="505" t="n">
        <v>0.0006</v>
      </c>
      <c r="CH43" s="505" t="n">
        <v>0</v>
      </c>
      <c r="CI43" s="505" t="n">
        <v>3.211</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3.25401606425703</v>
      </c>
      <c r="BW44" s="369" t="n">
        <v>3.251</v>
      </c>
      <c r="BX44" s="370" t="n">
        <v>0.54</v>
      </c>
      <c r="BY44" s="370" t="n">
        <v>0.54</v>
      </c>
      <c r="BZ44" s="370" t="n">
        <v>0</v>
      </c>
      <c r="CA44" s="370" t="n">
        <v>0.0232740649677528</v>
      </c>
      <c r="CB44" s="370" t="n">
        <v>0</v>
      </c>
      <c r="CC44" s="505" t="n">
        <v>0</v>
      </c>
      <c r="CD44" s="505" t="n">
        <v>0.03</v>
      </c>
      <c r="CE44" s="505" t="n">
        <v>0.04</v>
      </c>
      <c r="CF44" s="505" t="n">
        <v>0</v>
      </c>
      <c r="CG44" s="505" t="n">
        <v>0.0006</v>
      </c>
      <c r="CH44" s="505" t="n">
        <v>0</v>
      </c>
      <c r="CI44" s="505" t="n">
        <v>3.211</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3.25401606425703</v>
      </c>
      <c r="BW45" s="369" t="n">
        <v>3.251</v>
      </c>
      <c r="BX45" s="370" t="n">
        <v>0.54</v>
      </c>
      <c r="BY45" s="370" t="n">
        <v>0.54</v>
      </c>
      <c r="BZ45" s="370" t="n">
        <v>0</v>
      </c>
      <c r="CA45" s="370" t="n">
        <v>0.0232740649677528</v>
      </c>
      <c r="CB45" s="370" t="n">
        <v>0</v>
      </c>
      <c r="CC45" s="505" t="n">
        <v>0</v>
      </c>
      <c r="CD45" s="505" t="n">
        <v>0.03</v>
      </c>
      <c r="CE45" s="505" t="n">
        <v>0.04</v>
      </c>
      <c r="CF45" s="505" t="n">
        <v>0</v>
      </c>
      <c r="CG45" s="505" t="n">
        <v>0.0006</v>
      </c>
      <c r="CH45" s="505" t="n">
        <v>0</v>
      </c>
      <c r="CI45" s="505" t="n">
        <v>3.211</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3.25401606425703</v>
      </c>
      <c r="BW46" s="369" t="n">
        <v>3.251</v>
      </c>
      <c r="BX46" s="370" t="n">
        <v>0.54</v>
      </c>
      <c r="BY46" s="370" t="n">
        <v>0.54</v>
      </c>
      <c r="BZ46" s="370" t="n">
        <v>0</v>
      </c>
      <c r="CA46" s="370" t="n">
        <v>0.0232740649677528</v>
      </c>
      <c r="CB46" s="370" t="n">
        <v>0</v>
      </c>
      <c r="CC46" s="505" t="n">
        <v>0</v>
      </c>
      <c r="CD46" s="505" t="n">
        <v>0.03</v>
      </c>
      <c r="CE46" s="505" t="n">
        <v>0.04</v>
      </c>
      <c r="CF46" s="505" t="n">
        <v>0</v>
      </c>
      <c r="CG46" s="505" t="n">
        <v>0.0006</v>
      </c>
      <c r="CH46" s="505" t="n">
        <v>0</v>
      </c>
      <c r="CI46" s="505" t="n">
        <v>3.211</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3.25401606425703</v>
      </c>
      <c r="BW47" s="369" t="n">
        <v>3.251</v>
      </c>
      <c r="BX47" s="370" t="n">
        <v>0.54</v>
      </c>
      <c r="BY47" s="370" t="n">
        <v>0.54</v>
      </c>
      <c r="BZ47" s="370" t="n">
        <v>0</v>
      </c>
      <c r="CA47" s="370" t="n">
        <v>0.0232740649677528</v>
      </c>
      <c r="CB47" s="370" t="n">
        <v>0</v>
      </c>
      <c r="CC47" s="505" t="n">
        <v>0</v>
      </c>
      <c r="CD47" s="505" t="n">
        <v>0.03</v>
      </c>
      <c r="CE47" s="505" t="n">
        <v>0.04</v>
      </c>
      <c r="CF47" s="505" t="n">
        <v>0</v>
      </c>
      <c r="CG47" s="505" t="n">
        <v>0.0006</v>
      </c>
      <c r="CH47" s="505" t="n">
        <v>0</v>
      </c>
      <c r="CI47" s="505" t="n">
        <v>3.211</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3.25401606425703</v>
      </c>
      <c r="BW48" s="369" t="n">
        <v>3.251</v>
      </c>
      <c r="BX48" s="370" t="n">
        <v>0.54</v>
      </c>
      <c r="BY48" s="370" t="n">
        <v>0.54</v>
      </c>
      <c r="BZ48" s="370" t="n">
        <v>0</v>
      </c>
      <c r="CA48" s="370" t="n">
        <v>0.0232740649677528</v>
      </c>
      <c r="CB48" s="370" t="n">
        <v>0</v>
      </c>
      <c r="CC48" s="505" t="n">
        <v>0</v>
      </c>
      <c r="CD48" s="505" t="n">
        <v>0.03</v>
      </c>
      <c r="CE48" s="505" t="n">
        <v>0.04</v>
      </c>
      <c r="CF48" s="505" t="n">
        <v>0</v>
      </c>
      <c r="CG48" s="505" t="n">
        <v>0.0006</v>
      </c>
      <c r="CH48" s="505" t="n">
        <v>0</v>
      </c>
      <c r="CI48" s="505" t="n">
        <v>3.211</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3.25401606425703</v>
      </c>
      <c r="BW49" s="369" t="n">
        <v>3.251</v>
      </c>
      <c r="BX49" s="370" t="n">
        <v>0.54</v>
      </c>
      <c r="BY49" s="370" t="n">
        <v>0.54</v>
      </c>
      <c r="BZ49" s="370" t="n">
        <v>0</v>
      </c>
      <c r="CA49" s="370" t="n">
        <v>0.0232740649677528</v>
      </c>
      <c r="CB49" s="370" t="n">
        <v>0</v>
      </c>
      <c r="CC49" s="505" t="n">
        <v>0</v>
      </c>
      <c r="CD49" s="505" t="n">
        <v>0.03</v>
      </c>
      <c r="CE49" s="505" t="n">
        <v>0.04</v>
      </c>
      <c r="CF49" s="505" t="n">
        <v>0</v>
      </c>
      <c r="CG49" s="505" t="n">
        <v>0.0006</v>
      </c>
      <c r="CH49" s="505" t="n">
        <v>0</v>
      </c>
      <c r="CI49" s="505" t="n">
        <v>3.211</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3.25401606425703</v>
      </c>
      <c r="BW50" s="369" t="n">
        <v>3.251</v>
      </c>
      <c r="BX50" s="370" t="n">
        <v>0.54</v>
      </c>
      <c r="BY50" s="370" t="n">
        <v>0.54</v>
      </c>
      <c r="BZ50" s="370" t="n">
        <v>0</v>
      </c>
      <c r="CA50" s="370" t="n">
        <v>0.0232740649677528</v>
      </c>
      <c r="CB50" s="370" t="n">
        <v>0</v>
      </c>
      <c r="CC50" s="505" t="n">
        <v>0</v>
      </c>
      <c r="CD50" s="505" t="n">
        <v>0.03</v>
      </c>
      <c r="CE50" s="505" t="n">
        <v>0.04</v>
      </c>
      <c r="CF50" s="505" t="n">
        <v>0</v>
      </c>
      <c r="CG50" s="505" t="n">
        <v>0.0006</v>
      </c>
      <c r="CH50" s="505" t="n">
        <v>0</v>
      </c>
      <c r="CI50" s="505" t="n">
        <v>3.211</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3.25401606425703</v>
      </c>
      <c r="BW51" s="369" t="n">
        <v>3.251</v>
      </c>
      <c r="BX51" s="370" t="n">
        <v>0.54</v>
      </c>
      <c r="BY51" s="370" t="n">
        <v>0.54</v>
      </c>
      <c r="BZ51" s="370" t="n">
        <v>0</v>
      </c>
      <c r="CA51" s="370" t="n">
        <v>0.0232740649677528</v>
      </c>
      <c r="CB51" s="370" t="n">
        <v>0</v>
      </c>
      <c r="CC51" s="505" t="n">
        <v>0</v>
      </c>
      <c r="CD51" s="505" t="n">
        <v>0.03</v>
      </c>
      <c r="CE51" s="505" t="n">
        <v>0.04</v>
      </c>
      <c r="CF51" s="505" t="n">
        <v>0</v>
      </c>
      <c r="CG51" s="505" t="n">
        <v>0.0006</v>
      </c>
      <c r="CH51" s="505" t="n">
        <v>0</v>
      </c>
      <c r="CI51" s="505" t="n">
        <v>3.211</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3.25401606425703</v>
      </c>
      <c r="BW52" s="369" t="n">
        <v>3.251</v>
      </c>
      <c r="BX52" s="370" t="n">
        <v>0.54</v>
      </c>
      <c r="BY52" s="370" t="n">
        <v>0.54</v>
      </c>
      <c r="BZ52" s="370" t="n">
        <v>0</v>
      </c>
      <c r="CA52" s="370" t="n">
        <v>0.0232740649677528</v>
      </c>
      <c r="CB52" s="370" t="n">
        <v>0</v>
      </c>
      <c r="CC52" s="505" t="n">
        <v>0</v>
      </c>
      <c r="CD52" s="505" t="n">
        <v>0.03</v>
      </c>
      <c r="CE52" s="505" t="n">
        <v>0.04</v>
      </c>
      <c r="CF52" s="505" t="n">
        <v>0</v>
      </c>
      <c r="CG52" s="505" t="n">
        <v>0.0006</v>
      </c>
      <c r="CH52" s="505" t="n">
        <v>0</v>
      </c>
      <c r="CI52" s="505" t="n">
        <v>3.211</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3.25401606425703</v>
      </c>
      <c r="BW53" s="369" t="n">
        <v>3.251</v>
      </c>
      <c r="BX53" s="370" t="n">
        <v>0.54</v>
      </c>
      <c r="BY53" s="370" t="n">
        <v>0.54</v>
      </c>
      <c r="BZ53" s="370" t="n">
        <v>0</v>
      </c>
      <c r="CA53" s="370" t="n">
        <v>0.0232740649677528</v>
      </c>
      <c r="CB53" s="370" t="n">
        <v>0</v>
      </c>
      <c r="CC53" s="505" t="n">
        <v>0</v>
      </c>
      <c r="CD53" s="505" t="n">
        <v>0.03</v>
      </c>
      <c r="CE53" s="505" t="n">
        <v>0.04</v>
      </c>
      <c r="CF53" s="505" t="n">
        <v>0</v>
      </c>
      <c r="CG53" s="505" t="n">
        <v>0.0006</v>
      </c>
      <c r="CH53" s="505" t="n">
        <v>0</v>
      </c>
      <c r="CI53" s="505" t="n">
        <v>3.211</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3.25401606425703</v>
      </c>
      <c r="BW54" s="369" t="n">
        <v>3.251</v>
      </c>
      <c r="BX54" s="370" t="n">
        <v>0.54</v>
      </c>
      <c r="BY54" s="370" t="n">
        <v>0.54</v>
      </c>
      <c r="BZ54" s="370" t="n">
        <v>0</v>
      </c>
      <c r="CA54" s="370" t="n">
        <v>0.0232740649677528</v>
      </c>
      <c r="CB54" s="370" t="n">
        <v>0</v>
      </c>
      <c r="CC54" s="505" t="n">
        <v>0</v>
      </c>
      <c r="CD54" s="505" t="n">
        <v>0.03</v>
      </c>
      <c r="CE54" s="505" t="n">
        <v>0.04</v>
      </c>
      <c r="CF54" s="505" t="n">
        <v>0</v>
      </c>
      <c r="CG54" s="505" t="n">
        <v>0.0006</v>
      </c>
      <c r="CH54" s="505" t="n">
        <v>0</v>
      </c>
      <c r="CI54" s="505" t="n">
        <v>3.211</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3.25401606425703</v>
      </c>
      <c r="BW55" s="369" t="n">
        <v>3.251</v>
      </c>
      <c r="BX55" s="370" t="n">
        <v>0.54</v>
      </c>
      <c r="BY55" s="370" t="n">
        <v>0.54</v>
      </c>
      <c r="BZ55" s="370" t="n">
        <v>0</v>
      </c>
      <c r="CA55" s="370" t="n">
        <v>0.0232740649677528</v>
      </c>
      <c r="CB55" s="370" t="n">
        <v>0</v>
      </c>
      <c r="CC55" s="505" t="n">
        <v>0</v>
      </c>
      <c r="CD55" s="505" t="n">
        <v>0.03</v>
      </c>
      <c r="CE55" s="505" t="n">
        <v>0.04</v>
      </c>
      <c r="CF55" s="505" t="n">
        <v>0</v>
      </c>
      <c r="CG55" s="505" t="n">
        <v>0.0006</v>
      </c>
      <c r="CH55" s="505" t="n">
        <v>0</v>
      </c>
      <c r="CI55" s="505" t="n">
        <v>3.211</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3.25401606425703</v>
      </c>
      <c r="BW56" s="369" t="n">
        <v>3.251</v>
      </c>
      <c r="BX56" s="370" t="n">
        <v>0.54</v>
      </c>
      <c r="BY56" s="370" t="n">
        <v>0.54</v>
      </c>
      <c r="BZ56" s="370" t="n">
        <v>0</v>
      </c>
      <c r="CA56" s="370" t="n">
        <v>0.0232740649677528</v>
      </c>
      <c r="CB56" s="370" t="n">
        <v>0</v>
      </c>
      <c r="CC56" s="505" t="n">
        <v>0</v>
      </c>
      <c r="CD56" s="505" t="n">
        <v>0.03</v>
      </c>
      <c r="CE56" s="505" t="n">
        <v>0.04</v>
      </c>
      <c r="CF56" s="505" t="n">
        <v>0</v>
      </c>
      <c r="CG56" s="505" t="n">
        <v>0.0006</v>
      </c>
      <c r="CH56" s="505" t="n">
        <v>0</v>
      </c>
      <c r="CI56" s="505" t="n">
        <v>3.211</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3.25401606425703</v>
      </c>
      <c r="BW57" s="369" t="n">
        <v>3.251</v>
      </c>
      <c r="BX57" s="370" t="n">
        <v>0.54</v>
      </c>
      <c r="BY57" s="370" t="n">
        <v>0.54</v>
      </c>
      <c r="BZ57" s="370" t="n">
        <v>0</v>
      </c>
      <c r="CA57" s="370" t="n">
        <v>0.0232740649677528</v>
      </c>
      <c r="CB57" s="370" t="n">
        <v>0</v>
      </c>
      <c r="CC57" s="505" t="n">
        <v>0</v>
      </c>
      <c r="CD57" s="505" t="n">
        <v>0.03</v>
      </c>
      <c r="CE57" s="505" t="n">
        <v>0.04</v>
      </c>
      <c r="CF57" s="505" t="n">
        <v>0</v>
      </c>
      <c r="CG57" s="505" t="n">
        <v>0.0006</v>
      </c>
      <c r="CH57" s="505" t="n">
        <v>0</v>
      </c>
      <c r="CI57" s="505" t="n">
        <v>3.211</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3.25401606425703</v>
      </c>
      <c r="BW58" s="369" t="n">
        <v>3.251</v>
      </c>
      <c r="BX58" s="370" t="n">
        <v>0.54</v>
      </c>
      <c r="BY58" s="370" t="n">
        <v>0.54</v>
      </c>
      <c r="BZ58" s="370" t="n">
        <v>0</v>
      </c>
      <c r="CA58" s="370" t="n">
        <v>0.0232740649677528</v>
      </c>
      <c r="CB58" s="370" t="n">
        <v>0</v>
      </c>
      <c r="CC58" s="505" t="n">
        <v>0</v>
      </c>
      <c r="CD58" s="505" t="n">
        <v>0.03</v>
      </c>
      <c r="CE58" s="505" t="n">
        <v>0.04</v>
      </c>
      <c r="CF58" s="505" t="n">
        <v>0</v>
      </c>
      <c r="CG58" s="505" t="n">
        <v>0.0006</v>
      </c>
      <c r="CH58" s="505" t="n">
        <v>0</v>
      </c>
      <c r="CI58" s="505" t="n">
        <v>3.211</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3.25401606425703</v>
      </c>
      <c r="BW59" s="369" t="n">
        <v>3.251</v>
      </c>
      <c r="BX59" s="370" t="n">
        <v>0.54</v>
      </c>
      <c r="BY59" s="370" t="n">
        <v>0.54</v>
      </c>
      <c r="BZ59" s="370" t="n">
        <v>0</v>
      </c>
      <c r="CA59" s="370" t="n">
        <v>0.0232740649677528</v>
      </c>
      <c r="CB59" s="370" t="n">
        <v>0</v>
      </c>
      <c r="CC59" s="505" t="n">
        <v>0</v>
      </c>
      <c r="CD59" s="505" t="n">
        <v>0.03</v>
      </c>
      <c r="CE59" s="505" t="n">
        <v>0.04</v>
      </c>
      <c r="CF59" s="505" t="n">
        <v>0</v>
      </c>
      <c r="CG59" s="505" t="n">
        <v>0.0006</v>
      </c>
      <c r="CH59" s="505" t="n">
        <v>0</v>
      </c>
      <c r="CI59" s="505" t="n">
        <v>3.211</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3.25401606425703</v>
      </c>
      <c r="BW60" s="369" t="n">
        <v>3.251</v>
      </c>
      <c r="BX60" s="370" t="n">
        <v>0.54</v>
      </c>
      <c r="BY60" s="370" t="n">
        <v>0.54</v>
      </c>
      <c r="BZ60" s="370" t="n">
        <v>0</v>
      </c>
      <c r="CA60" s="370" t="n">
        <v>0.0232740649677528</v>
      </c>
      <c r="CB60" s="370" t="n">
        <v>0</v>
      </c>
      <c r="CC60" s="505" t="n">
        <v>0</v>
      </c>
      <c r="CD60" s="505" t="n">
        <v>0.03</v>
      </c>
      <c r="CE60" s="505" t="n">
        <v>0.04</v>
      </c>
      <c r="CF60" s="505" t="n">
        <v>0</v>
      </c>
      <c r="CG60" s="505" t="n">
        <v>0.0006</v>
      </c>
      <c r="CH60" s="505" t="n">
        <v>0</v>
      </c>
      <c r="CI60" s="505" t="n">
        <v>3.211</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3.25401606425703</v>
      </c>
      <c r="BW61" s="369" t="n">
        <v>3.251</v>
      </c>
      <c r="BX61" s="370" t="n">
        <v>0.54</v>
      </c>
      <c r="BY61" s="370" t="n">
        <v>0.54</v>
      </c>
      <c r="BZ61" s="370" t="n">
        <v>0</v>
      </c>
      <c r="CA61" s="370" t="n">
        <v>0.0232740649677528</v>
      </c>
      <c r="CB61" s="370" t="n">
        <v>0</v>
      </c>
      <c r="CC61" s="505" t="n">
        <v>0</v>
      </c>
      <c r="CD61" s="505" t="n">
        <v>0.03</v>
      </c>
      <c r="CE61" s="505" t="n">
        <v>0.04</v>
      </c>
      <c r="CF61" s="505" t="n">
        <v>0</v>
      </c>
      <c r="CG61" s="505" t="n">
        <v>0.0006</v>
      </c>
      <c r="CH61" s="505" t="n">
        <v>0</v>
      </c>
      <c r="CI61" s="505" t="n">
        <v>3.211</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3.25401606425703</v>
      </c>
      <c r="BW62" s="369" t="n">
        <v>3.251</v>
      </c>
      <c r="BX62" s="370" t="n">
        <v>0.54</v>
      </c>
      <c r="BY62" s="370" t="n">
        <v>0.54</v>
      </c>
      <c r="BZ62" s="370" t="n">
        <v>0</v>
      </c>
      <c r="CA62" s="370" t="n">
        <v>0.0232740649677528</v>
      </c>
      <c r="CB62" s="370" t="n">
        <v>0</v>
      </c>
      <c r="CC62" s="505" t="n">
        <v>0</v>
      </c>
      <c r="CD62" s="505" t="n">
        <v>0.03</v>
      </c>
      <c r="CE62" s="505" t="n">
        <v>0.04</v>
      </c>
      <c r="CF62" s="505" t="n">
        <v>0</v>
      </c>
      <c r="CG62" s="505" t="n">
        <v>0.0006</v>
      </c>
      <c r="CH62" s="505" t="n">
        <v>0</v>
      </c>
      <c r="CI62" s="505" t="n">
        <v>3.211</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3.25401606425703</v>
      </c>
      <c r="BW63" s="369" t="n">
        <v>3.251</v>
      </c>
      <c r="BX63" s="370" t="n">
        <v>0.54</v>
      </c>
      <c r="BY63" s="370" t="n">
        <v>0.54</v>
      </c>
      <c r="BZ63" s="370" t="n">
        <v>0</v>
      </c>
      <c r="CA63" s="370" t="n">
        <v>0.0232740649677528</v>
      </c>
      <c r="CB63" s="370" t="n">
        <v>0</v>
      </c>
      <c r="CC63" s="505" t="n">
        <v>0</v>
      </c>
      <c r="CD63" s="505" t="n">
        <v>0.03</v>
      </c>
      <c r="CE63" s="505" t="n">
        <v>0.04</v>
      </c>
      <c r="CF63" s="505" t="n">
        <v>0</v>
      </c>
      <c r="CG63" s="505" t="n">
        <v>0.0006</v>
      </c>
      <c r="CH63" s="505" t="n">
        <v>0</v>
      </c>
      <c r="CI63" s="505" t="n">
        <v>3.211</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3.25401606425703</v>
      </c>
      <c r="BW64" s="369" t="n">
        <v>3.251</v>
      </c>
      <c r="BX64" s="370" t="n">
        <v>0.54</v>
      </c>
      <c r="BY64" s="370" t="n">
        <v>0.54</v>
      </c>
      <c r="BZ64" s="370" t="n">
        <v>0</v>
      </c>
      <c r="CA64" s="370" t="n">
        <v>0.0232740649677528</v>
      </c>
      <c r="CB64" s="370" t="n">
        <v>0</v>
      </c>
      <c r="CC64" s="505" t="n">
        <v>0</v>
      </c>
      <c r="CD64" s="505" t="n">
        <v>0.03</v>
      </c>
      <c r="CE64" s="505" t="n">
        <v>0.04</v>
      </c>
      <c r="CF64" s="505" t="n">
        <v>0</v>
      </c>
      <c r="CG64" s="505" t="n">
        <v>0.0006</v>
      </c>
      <c r="CH64" s="505" t="n">
        <v>0</v>
      </c>
      <c r="CI64" s="505" t="n">
        <v>3.211</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3.25401606425703</v>
      </c>
      <c r="BW65" s="369" t="n">
        <v>3.251</v>
      </c>
      <c r="BX65" s="370" t="n">
        <v>0.54</v>
      </c>
      <c r="BY65" s="370" t="n">
        <v>0.54</v>
      </c>
      <c r="BZ65" s="370" t="n">
        <v>0</v>
      </c>
      <c r="CA65" s="370" t="n">
        <v>0.0232740649677528</v>
      </c>
      <c r="CB65" s="370" t="n">
        <v>0</v>
      </c>
      <c r="CC65" s="505" t="n">
        <v>0</v>
      </c>
      <c r="CD65" s="505" t="n">
        <v>0.03</v>
      </c>
      <c r="CE65" s="505" t="n">
        <v>0.04</v>
      </c>
      <c r="CF65" s="505" t="n">
        <v>0</v>
      </c>
      <c r="CG65" s="505" t="n">
        <v>0.0006</v>
      </c>
      <c r="CH65" s="505" t="n">
        <v>0</v>
      </c>
      <c r="CI65" s="505" t="n">
        <v>3.211</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3.25401606425703</v>
      </c>
      <c r="BW66" s="369" t="n">
        <v>3.251</v>
      </c>
      <c r="BX66" s="370" t="n">
        <v>0.54</v>
      </c>
      <c r="BY66" s="370" t="n">
        <v>0.54</v>
      </c>
      <c r="BZ66" s="370" t="n">
        <v>0</v>
      </c>
      <c r="CA66" s="370" t="n">
        <v>0.0232740649677528</v>
      </c>
      <c r="CB66" s="370" t="n">
        <v>0</v>
      </c>
      <c r="CC66" s="505" t="n">
        <v>0</v>
      </c>
      <c r="CD66" s="505" t="n">
        <v>0.03</v>
      </c>
      <c r="CE66" s="505" t="n">
        <v>0.04</v>
      </c>
      <c r="CF66" s="505" t="n">
        <v>0</v>
      </c>
      <c r="CG66" s="505" t="n">
        <v>0.0006</v>
      </c>
      <c r="CH66" s="505" t="n">
        <v>0</v>
      </c>
      <c r="CI66" s="505" t="n">
        <v>3.211</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3.25401606425703</v>
      </c>
      <c r="BW67" s="369" t="n">
        <v>3.251</v>
      </c>
      <c r="BX67" s="370" t="n">
        <v>0.54</v>
      </c>
      <c r="BY67" s="370" t="n">
        <v>0.54</v>
      </c>
      <c r="BZ67" s="370" t="n">
        <v>0</v>
      </c>
      <c r="CA67" s="370" t="n">
        <v>0.0232740649677528</v>
      </c>
      <c r="CB67" s="370" t="n">
        <v>0</v>
      </c>
      <c r="CC67" s="505" t="n">
        <v>0</v>
      </c>
      <c r="CD67" s="505" t="n">
        <v>0.03</v>
      </c>
      <c r="CE67" s="505" t="n">
        <v>0.04</v>
      </c>
      <c r="CF67" s="505" t="n">
        <v>0</v>
      </c>
      <c r="CG67" s="505" t="n">
        <v>0.0006</v>
      </c>
      <c r="CH67" s="505" t="n">
        <v>0</v>
      </c>
      <c r="CI67" s="505" t="n">
        <v>3.211</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3.25401606425703</v>
      </c>
      <c r="BW68" s="369" t="n">
        <v>3.251</v>
      </c>
      <c r="BX68" s="370" t="n">
        <v>0.54</v>
      </c>
      <c r="BY68" s="370" t="n">
        <v>0.54</v>
      </c>
      <c r="BZ68" s="370" t="n">
        <v>0</v>
      </c>
      <c r="CA68" s="370" t="n">
        <v>0.0232740649677528</v>
      </c>
      <c r="CB68" s="370" t="n">
        <v>0</v>
      </c>
      <c r="CC68" s="505" t="n">
        <v>0</v>
      </c>
      <c r="CD68" s="505" t="n">
        <v>0.03</v>
      </c>
      <c r="CE68" s="505" t="n">
        <v>0.04</v>
      </c>
      <c r="CF68" s="505" t="n">
        <v>0</v>
      </c>
      <c r="CG68" s="505" t="n">
        <v>0.0006</v>
      </c>
      <c r="CH68" s="505" t="n">
        <v>0</v>
      </c>
      <c r="CI68" s="505" t="n">
        <v>3.211</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3.25401606425703</v>
      </c>
      <c r="BW69" s="369" t="n">
        <v>3.251</v>
      </c>
      <c r="BX69" s="370" t="n">
        <v>0.54</v>
      </c>
      <c r="BY69" s="370" t="n">
        <v>0.54</v>
      </c>
      <c r="BZ69" s="370" t="n">
        <v>0</v>
      </c>
      <c r="CA69" s="370" t="n">
        <v>0.0232740649677528</v>
      </c>
      <c r="CB69" s="370" t="n">
        <v>0</v>
      </c>
      <c r="CC69" s="505" t="n">
        <v>0</v>
      </c>
      <c r="CD69" s="505" t="n">
        <v>0.03</v>
      </c>
      <c r="CE69" s="505" t="n">
        <v>0.04</v>
      </c>
      <c r="CF69" s="505" t="n">
        <v>0</v>
      </c>
      <c r="CG69" s="505" t="n">
        <v>0.0006</v>
      </c>
      <c r="CH69" s="505" t="n">
        <v>0</v>
      </c>
      <c r="CI69" s="505" t="n">
        <v>3.211</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3.25401606425703</v>
      </c>
      <c r="BW70" s="369" t="n">
        <v>3.251</v>
      </c>
      <c r="BX70" s="370" t="n">
        <v>0.54</v>
      </c>
      <c r="BY70" s="370" t="n">
        <v>0.54</v>
      </c>
      <c r="BZ70" s="370" t="n">
        <v>0</v>
      </c>
      <c r="CA70" s="370" t="n">
        <v>0.0232740649677528</v>
      </c>
      <c r="CB70" s="370" t="n">
        <v>0</v>
      </c>
      <c r="CC70" s="505" t="n">
        <v>0</v>
      </c>
      <c r="CD70" s="505" t="n">
        <v>0.03</v>
      </c>
      <c r="CE70" s="505" t="n">
        <v>0.04</v>
      </c>
      <c r="CF70" s="505" t="n">
        <v>0</v>
      </c>
      <c r="CG70" s="505" t="n">
        <v>0.0006</v>
      </c>
      <c r="CH70" s="505" t="n">
        <v>0</v>
      </c>
      <c r="CI70" s="505" t="n">
        <v>3.211</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3.25401606425703</v>
      </c>
      <c r="BW71" s="369" t="n">
        <v>3.251</v>
      </c>
      <c r="BX71" s="370" t="n">
        <v>0.54</v>
      </c>
      <c r="BY71" s="370" t="n">
        <v>0.54</v>
      </c>
      <c r="BZ71" s="370" t="n">
        <v>0</v>
      </c>
      <c r="CA71" s="370" t="n">
        <v>0.0232740649677528</v>
      </c>
      <c r="CB71" s="370" t="n">
        <v>0</v>
      </c>
      <c r="CC71" s="505" t="n">
        <v>0</v>
      </c>
      <c r="CD71" s="505" t="n">
        <v>0.03</v>
      </c>
      <c r="CE71" s="505" t="n">
        <v>0.04</v>
      </c>
      <c r="CF71" s="505" t="n">
        <v>0</v>
      </c>
      <c r="CG71" s="505" t="n">
        <v>0.0006</v>
      </c>
      <c r="CH71" s="505" t="n">
        <v>0</v>
      </c>
      <c r="CI71" s="505" t="n">
        <v>3.211</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3.25401606425703</v>
      </c>
      <c r="BW72" s="369" t="n">
        <v>3.251</v>
      </c>
      <c r="BX72" s="370" t="n">
        <v>0.54</v>
      </c>
      <c r="BY72" s="370" t="n">
        <v>0.54</v>
      </c>
      <c r="BZ72" s="370" t="n">
        <v>0</v>
      </c>
      <c r="CA72" s="370" t="n">
        <v>0.0232740649677528</v>
      </c>
      <c r="CB72" s="370" t="n">
        <v>0</v>
      </c>
      <c r="CC72" s="505" t="n">
        <v>0</v>
      </c>
      <c r="CD72" s="505" t="n">
        <v>0.03</v>
      </c>
      <c r="CE72" s="505" t="n">
        <v>0.04</v>
      </c>
      <c r="CF72" s="505" t="n">
        <v>0</v>
      </c>
      <c r="CG72" s="505" t="n">
        <v>0.0006</v>
      </c>
      <c r="CH72" s="505" t="n">
        <v>0</v>
      </c>
      <c r="CI72" s="505" t="n">
        <v>3.211</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3.25401606425703</v>
      </c>
      <c r="BW73" s="369" t="n">
        <v>3.251</v>
      </c>
      <c r="BX73" s="370" t="n">
        <v>0.54</v>
      </c>
      <c r="BY73" s="370" t="n">
        <v>0.54</v>
      </c>
      <c r="BZ73" s="370" t="n">
        <v>0</v>
      </c>
      <c r="CA73" s="370" t="n">
        <v>0.0232740649677528</v>
      </c>
      <c r="CB73" s="370" t="n">
        <v>0</v>
      </c>
      <c r="CC73" s="505" t="n">
        <v>0</v>
      </c>
      <c r="CD73" s="505" t="n">
        <v>0.03</v>
      </c>
      <c r="CE73" s="505" t="n">
        <v>0.04</v>
      </c>
      <c r="CF73" s="505" t="n">
        <v>0</v>
      </c>
      <c r="CG73" s="505" t="n">
        <v>0.0006</v>
      </c>
      <c r="CH73" s="505" t="n">
        <v>0</v>
      </c>
      <c r="CI73" s="505" t="n">
        <v>3.211</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3.25401606425703</v>
      </c>
      <c r="BW74" s="369" t="n">
        <v>3.251</v>
      </c>
      <c r="BX74" s="370" t="n">
        <v>0.54</v>
      </c>
      <c r="BY74" s="370" t="n">
        <v>0.54</v>
      </c>
      <c r="BZ74" s="370" t="n">
        <v>0</v>
      </c>
      <c r="CA74" s="370" t="n">
        <v>0.0232740649677528</v>
      </c>
      <c r="CB74" s="370" t="n">
        <v>0</v>
      </c>
      <c r="CC74" s="505" t="n">
        <v>0</v>
      </c>
      <c r="CD74" s="505" t="n">
        <v>0.03</v>
      </c>
      <c r="CE74" s="505" t="n">
        <v>0.04</v>
      </c>
      <c r="CF74" s="505" t="n">
        <v>0</v>
      </c>
      <c r="CG74" s="505" t="n">
        <v>0.0006</v>
      </c>
      <c r="CH74" s="505" t="n">
        <v>0</v>
      </c>
      <c r="CI74" s="505" t="n">
        <v>3.211</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3.25401606425703</v>
      </c>
      <c r="BW75" s="369" t="n">
        <v>3.251</v>
      </c>
      <c r="BX75" s="370" t="n">
        <v>0.54</v>
      </c>
      <c r="BY75" s="370" t="n">
        <v>0.54</v>
      </c>
      <c r="BZ75" s="370" t="n">
        <v>0</v>
      </c>
      <c r="CA75" s="370" t="n">
        <v>0.0232740649677528</v>
      </c>
      <c r="CB75" s="370" t="n">
        <v>0</v>
      </c>
      <c r="CC75" s="505" t="n">
        <v>0</v>
      </c>
      <c r="CD75" s="505" t="n">
        <v>0.03</v>
      </c>
      <c r="CE75" s="505" t="n">
        <v>0.04</v>
      </c>
      <c r="CF75" s="505" t="n">
        <v>0</v>
      </c>
      <c r="CG75" s="505" t="n">
        <v>0.0006</v>
      </c>
      <c r="CH75" s="505" t="n">
        <v>0</v>
      </c>
      <c r="CI75" s="505" t="n">
        <v>3.211</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3.25401606425703</v>
      </c>
      <c r="BW76" s="369" t="n">
        <v>3.251</v>
      </c>
      <c r="BX76" s="370" t="n">
        <v>0.54</v>
      </c>
      <c r="BY76" s="370" t="n">
        <v>0.54</v>
      </c>
      <c r="BZ76" s="370" t="n">
        <v>0</v>
      </c>
      <c r="CA76" s="370" t="n">
        <v>0.0232740649677528</v>
      </c>
      <c r="CB76" s="370" t="n">
        <v>0</v>
      </c>
      <c r="CC76" s="505" t="n">
        <v>0</v>
      </c>
      <c r="CD76" s="505" t="n">
        <v>0.03</v>
      </c>
      <c r="CE76" s="505" t="n">
        <v>0.04</v>
      </c>
      <c r="CF76" s="505" t="n">
        <v>0</v>
      </c>
      <c r="CG76" s="505" t="n">
        <v>0.0006</v>
      </c>
      <c r="CH76" s="505" t="n">
        <v>0</v>
      </c>
      <c r="CI76" s="505" t="n">
        <v>3.211</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3.25401606425703</v>
      </c>
      <c r="BW77" s="369" t="n">
        <v>3.251</v>
      </c>
      <c r="BX77" s="370" t="n">
        <v>0.54</v>
      </c>
      <c r="BY77" s="370" t="n">
        <v>0.54</v>
      </c>
      <c r="BZ77" s="370" t="n">
        <v>0</v>
      </c>
      <c r="CA77" s="370" t="n">
        <v>0.0232740649677528</v>
      </c>
      <c r="CB77" s="370" t="n">
        <v>0</v>
      </c>
      <c r="CC77" s="505" t="n">
        <v>0</v>
      </c>
      <c r="CD77" s="505" t="n">
        <v>0.03</v>
      </c>
      <c r="CE77" s="505" t="n">
        <v>0.04</v>
      </c>
      <c r="CF77" s="505" t="n">
        <v>0</v>
      </c>
      <c r="CG77" s="505" t="n">
        <v>0.0006</v>
      </c>
      <c r="CH77" s="505" t="n">
        <v>0</v>
      </c>
      <c r="CI77" s="505" t="n">
        <v>3.211</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3.25401606425703</v>
      </c>
      <c r="BW78" s="369" t="n">
        <v>3.251</v>
      </c>
      <c r="BX78" s="370" t="n">
        <v>0.54</v>
      </c>
      <c r="BY78" s="370" t="n">
        <v>0.54</v>
      </c>
      <c r="BZ78" s="370" t="n">
        <v>0</v>
      </c>
      <c r="CA78" s="370" t="n">
        <v>0.0232740649677528</v>
      </c>
      <c r="CB78" s="370" t="n">
        <v>0</v>
      </c>
      <c r="CC78" s="505" t="n">
        <v>0</v>
      </c>
      <c r="CD78" s="505" t="n">
        <v>0.03</v>
      </c>
      <c r="CE78" s="505" t="n">
        <v>0.04</v>
      </c>
      <c r="CF78" s="505" t="n">
        <v>0</v>
      </c>
      <c r="CG78" s="505" t="n">
        <v>0.0006</v>
      </c>
      <c r="CH78" s="505" t="n">
        <v>0</v>
      </c>
      <c r="CI78" s="505" t="n">
        <v>3.211</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3.25401606425703</v>
      </c>
      <c r="BW79" s="369" t="n">
        <v>3.251</v>
      </c>
      <c r="BX79" s="370" t="n">
        <v>0.54</v>
      </c>
      <c r="BY79" s="370" t="n">
        <v>0.54</v>
      </c>
      <c r="BZ79" s="370" t="n">
        <v>0</v>
      </c>
      <c r="CA79" s="370" t="n">
        <v>0.0232740649677528</v>
      </c>
      <c r="CB79" s="370" t="n">
        <v>0</v>
      </c>
      <c r="CC79" s="505" t="n">
        <v>0</v>
      </c>
      <c r="CD79" s="505" t="n">
        <v>0.03</v>
      </c>
      <c r="CE79" s="505" t="n">
        <v>0.04</v>
      </c>
      <c r="CF79" s="505" t="n">
        <v>0</v>
      </c>
      <c r="CG79" s="505" t="n">
        <v>0.0006</v>
      </c>
      <c r="CH79" s="505" t="n">
        <v>0</v>
      </c>
      <c r="CI79" s="505" t="n">
        <v>3.211</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3.25401606425703</v>
      </c>
      <c r="BW80" s="369" t="n">
        <v>3.251</v>
      </c>
      <c r="BX80" s="370" t="n">
        <v>0.54</v>
      </c>
      <c r="BY80" s="370" t="n">
        <v>0.54</v>
      </c>
      <c r="BZ80" s="370" t="n">
        <v>0</v>
      </c>
      <c r="CA80" s="370" t="n">
        <v>0.0232740649677528</v>
      </c>
      <c r="CB80" s="370" t="n">
        <v>0</v>
      </c>
      <c r="CC80" s="505" t="n">
        <v>0</v>
      </c>
      <c r="CD80" s="505" t="n">
        <v>0.03</v>
      </c>
      <c r="CE80" s="505" t="n">
        <v>0.04</v>
      </c>
      <c r="CF80" s="505" t="n">
        <v>0</v>
      </c>
      <c r="CG80" s="505" t="n">
        <v>0.0006</v>
      </c>
      <c r="CH80" s="505" t="n">
        <v>0</v>
      </c>
      <c r="CI80" s="505" t="n">
        <v>3.211</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3.25401606425703</v>
      </c>
      <c r="BW81" s="369" t="n">
        <v>3.251</v>
      </c>
      <c r="BX81" s="370" t="n">
        <v>0.54</v>
      </c>
      <c r="BY81" s="370" t="n">
        <v>0.54</v>
      </c>
      <c r="BZ81" s="370" t="n">
        <v>0</v>
      </c>
      <c r="CA81" s="370" t="n">
        <v>0.0232740649677528</v>
      </c>
      <c r="CB81" s="370" t="n">
        <v>0</v>
      </c>
      <c r="CC81" s="505" t="n">
        <v>0</v>
      </c>
      <c r="CD81" s="505" t="n">
        <v>0.03</v>
      </c>
      <c r="CE81" s="505" t="n">
        <v>0.04</v>
      </c>
      <c r="CF81" s="505" t="n">
        <v>0</v>
      </c>
      <c r="CG81" s="505" t="n">
        <v>0.0006</v>
      </c>
      <c r="CH81" s="505" t="n">
        <v>0</v>
      </c>
      <c r="CI81" s="505" t="n">
        <v>3.211</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3.25401606425703</v>
      </c>
      <c r="BW82" s="369" t="n">
        <v>3.251</v>
      </c>
      <c r="BX82" s="370" t="n">
        <v>0.54</v>
      </c>
      <c r="BY82" s="370" t="n">
        <v>0.54</v>
      </c>
      <c r="BZ82" s="370" t="n">
        <v>0</v>
      </c>
      <c r="CA82" s="370" t="n">
        <v>0.0232740649677528</v>
      </c>
      <c r="CB82" s="370" t="n">
        <v>0</v>
      </c>
      <c r="CC82" s="505" t="n">
        <v>0</v>
      </c>
      <c r="CD82" s="505" t="n">
        <v>0.03</v>
      </c>
      <c r="CE82" s="505" t="n">
        <v>0.04</v>
      </c>
      <c r="CF82" s="505" t="n">
        <v>0</v>
      </c>
      <c r="CG82" s="505" t="n">
        <v>0.0006</v>
      </c>
      <c r="CH82" s="505" t="n">
        <v>0</v>
      </c>
      <c r="CI82" s="505" t="n">
        <v>3.211</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3.25401606425703</v>
      </c>
      <c r="BW83" s="369" t="n">
        <v>3.251</v>
      </c>
      <c r="BX83" s="370" t="n">
        <v>0.54</v>
      </c>
      <c r="BY83" s="370" t="n">
        <v>0.54</v>
      </c>
      <c r="BZ83" s="370" t="n">
        <v>0</v>
      </c>
      <c r="CA83" s="370" t="n">
        <v>0.0232740649677528</v>
      </c>
      <c r="CB83" s="370" t="n">
        <v>0</v>
      </c>
      <c r="CC83" s="505" t="n">
        <v>0</v>
      </c>
      <c r="CD83" s="505" t="n">
        <v>0.03</v>
      </c>
      <c r="CE83" s="505" t="n">
        <v>0.04</v>
      </c>
      <c r="CF83" s="505" t="n">
        <v>0</v>
      </c>
      <c r="CG83" s="505" t="n">
        <v>0.0006</v>
      </c>
      <c r="CH83" s="505" t="n">
        <v>0</v>
      </c>
      <c r="CI83" s="505" t="n">
        <v>3.211</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3.25401606425703</v>
      </c>
      <c r="BW84" s="369" t="n">
        <v>3.251</v>
      </c>
      <c r="BX84" s="370" t="n">
        <v>0.54</v>
      </c>
      <c r="BY84" s="370" t="n">
        <v>0.54</v>
      </c>
      <c r="BZ84" s="370" t="n">
        <v>0</v>
      </c>
      <c r="CA84" s="370" t="n">
        <v>0.0232740649677528</v>
      </c>
      <c r="CB84" s="370" t="n">
        <v>0</v>
      </c>
      <c r="CC84" s="505" t="n">
        <v>0</v>
      </c>
      <c r="CD84" s="505" t="n">
        <v>0.03</v>
      </c>
      <c r="CE84" s="505" t="n">
        <v>0.04</v>
      </c>
      <c r="CF84" s="505" t="n">
        <v>0</v>
      </c>
      <c r="CG84" s="505" t="n">
        <v>0.0006</v>
      </c>
      <c r="CH84" s="505" t="n">
        <v>0</v>
      </c>
      <c r="CI84" s="505" t="n">
        <v>3.211</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3.25401606425703</v>
      </c>
      <c r="BW85" s="369" t="n">
        <v>3.251</v>
      </c>
      <c r="BX85" s="370" t="n">
        <v>0.54</v>
      </c>
      <c r="BY85" s="370" t="n">
        <v>0.54</v>
      </c>
      <c r="BZ85" s="370" t="n">
        <v>0</v>
      </c>
      <c r="CA85" s="370" t="n">
        <v>0.0232740649677528</v>
      </c>
      <c r="CB85" s="370" t="n">
        <v>0</v>
      </c>
      <c r="CC85" s="505" t="n">
        <v>0</v>
      </c>
      <c r="CD85" s="505" t="n">
        <v>0.03</v>
      </c>
      <c r="CE85" s="505" t="n">
        <v>0.04</v>
      </c>
      <c r="CF85" s="505" t="n">
        <v>0</v>
      </c>
      <c r="CG85" s="505" t="n">
        <v>0.0006</v>
      </c>
      <c r="CH85" s="505" t="n">
        <v>0</v>
      </c>
      <c r="CI85" s="505" t="n">
        <v>3.211</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3.25401606425703</v>
      </c>
      <c r="BW86" s="369" t="n">
        <v>3.251</v>
      </c>
      <c r="BX86" s="370" t="n">
        <v>0.54</v>
      </c>
      <c r="BY86" s="370" t="n">
        <v>0.54</v>
      </c>
      <c r="BZ86" s="370" t="n">
        <v>0</v>
      </c>
      <c r="CA86" s="370" t="n">
        <v>0.0232740649677528</v>
      </c>
      <c r="CB86" s="370" t="n">
        <v>0</v>
      </c>
      <c r="CC86" s="505" t="n">
        <v>0</v>
      </c>
      <c r="CD86" s="505" t="n">
        <v>0.03</v>
      </c>
      <c r="CE86" s="505" t="n">
        <v>0.04</v>
      </c>
      <c r="CF86" s="505" t="n">
        <v>0</v>
      </c>
      <c r="CG86" s="505" t="n">
        <v>0.0006</v>
      </c>
      <c r="CH86" s="505" t="n">
        <v>0</v>
      </c>
      <c r="CI86" s="505" t="n">
        <v>3.211</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3.25401606425703</v>
      </c>
      <c r="BW87" s="369" t="n">
        <v>3.251</v>
      </c>
      <c r="BX87" s="370" t="n">
        <v>0.54</v>
      </c>
      <c r="BY87" s="370" t="n">
        <v>0.54</v>
      </c>
      <c r="BZ87" s="370" t="n">
        <v>0</v>
      </c>
      <c r="CA87" s="370" t="n">
        <v>0.0232740649677528</v>
      </c>
      <c r="CB87" s="370" t="n">
        <v>0</v>
      </c>
      <c r="CC87" s="505" t="n">
        <v>0</v>
      </c>
      <c r="CD87" s="505" t="n">
        <v>0.03</v>
      </c>
      <c r="CE87" s="505" t="n">
        <v>0.04</v>
      </c>
      <c r="CF87" s="505" t="n">
        <v>0</v>
      </c>
      <c r="CG87" s="505" t="n">
        <v>0.0006</v>
      </c>
      <c r="CH87" s="505" t="n">
        <v>0</v>
      </c>
      <c r="CI87" s="505" t="n">
        <v>3.211</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3.25401606425703</v>
      </c>
      <c r="BW88" s="369" t="n">
        <v>3.251</v>
      </c>
      <c r="BX88" s="370" t="n">
        <v>0.54</v>
      </c>
      <c r="BY88" s="370" t="n">
        <v>0.54</v>
      </c>
      <c r="BZ88" s="370" t="n">
        <v>0</v>
      </c>
      <c r="CA88" s="370" t="n">
        <v>0.0232740649677528</v>
      </c>
      <c r="CB88" s="370" t="n">
        <v>0</v>
      </c>
      <c r="CC88" s="505" t="n">
        <v>0</v>
      </c>
      <c r="CD88" s="505" t="n">
        <v>0.03</v>
      </c>
      <c r="CE88" s="505" t="n">
        <v>0.04</v>
      </c>
      <c r="CF88" s="505" t="n">
        <v>0</v>
      </c>
      <c r="CG88" s="505" t="n">
        <v>0.0006</v>
      </c>
      <c r="CH88" s="505" t="n">
        <v>0</v>
      </c>
      <c r="CI88" s="505" t="n">
        <v>3.211</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3.25401606425703</v>
      </c>
      <c r="BW89" s="369" t="n">
        <v>3.251</v>
      </c>
      <c r="BX89" s="370" t="n">
        <v>0.54</v>
      </c>
      <c r="BY89" s="370" t="n">
        <v>0.54</v>
      </c>
      <c r="BZ89" s="370" t="n">
        <v>0</v>
      </c>
      <c r="CA89" s="370" t="n">
        <v>0.0232740649677528</v>
      </c>
      <c r="CB89" s="370" t="n">
        <v>0</v>
      </c>
      <c r="CC89" s="505" t="n">
        <v>0</v>
      </c>
      <c r="CD89" s="505" t="n">
        <v>0.03</v>
      </c>
      <c r="CE89" s="505" t="n">
        <v>0.04</v>
      </c>
      <c r="CF89" s="505" t="n">
        <v>0</v>
      </c>
      <c r="CG89" s="505" t="n">
        <v>0.0006</v>
      </c>
      <c r="CH89" s="505" t="n">
        <v>0</v>
      </c>
      <c r="CI89" s="505" t="n">
        <v>3.211</v>
      </c>
      <c r="CJ89" s="505"/>
      <c r="CK89" s="505"/>
      <c r="CL89" s="505"/>
      <c r="CM89" s="505"/>
    </row>
    <row r="90" customFormat="false" ht="12.75" hidden="false" customHeight="false" outlineLevel="0" collapsed="false">
      <c r="A90" s="500"/>
      <c r="B90" s="500"/>
      <c r="D90" s="361" t="e">
        <f aca="false">D89+AH89</f>
        <v>#VALUE!</v>
      </c>
      <c r="F90" s="362" t="e">
        <f aca="false">VLOOKUP(AG90,$AL$4:$AS$15,2)</f>
        <v>#VALUE!</v>
      </c>
      <c r="G90" s="362" t="e">
        <f aca="false">F90*$AU90</f>
        <v>#VALUE!</v>
      </c>
      <c r="H90" s="363" t="e">
        <f aca="false">(AL90+AM90+AN90)/(1-(AR90))</f>
        <v>#VALUE!</v>
      </c>
      <c r="I90" s="363" t="e">
        <f aca="false">(AL90+AO90+AP90)</f>
        <v>#VALUE!</v>
      </c>
      <c r="K90" s="363" t="e">
        <f aca="false">MAX(((I90-H90)-AQ90)*AU90*AH90,0)</f>
        <v>#VALUE!</v>
      </c>
      <c r="L90" s="501" t="e">
        <f aca="false">MAX(Q90-K90,0)</f>
        <v>#VALUE!</v>
      </c>
      <c r="N90" s="502" t="e">
        <f aca="false">SQRT(($AX90^2*($AH90/2)+$AW90^2*$AI90)/(($AH90/2)+$AI90))</f>
        <v>#VALUE!</v>
      </c>
      <c r="O90" s="502" t="e">
        <f aca="false">SQRT(($AY90^2*($AH90/2)+$AW90^2*$AI90)/(($AH90/2)+$AI90))</f>
        <v>#VALUE!</v>
      </c>
      <c r="P90" s="371" t="e">
        <f aca="false">(VLOOKUP(AI90,CorrelationTwo,2)*(AW90^2)*AI90+VLOOKUP(D90,CorrelationOne,$AK$9)*AX90*AY90*(AH90/2))/((AI90+(AH90/2))*O90*N90)*AF90</f>
        <v>#VALUE!</v>
      </c>
      <c r="Q90" s="501" t="e">
        <f aca="false">xSPRDOPT(I90,H90,AQ90,0,O90,N90,P90,D90-$G$5,1,0)*AH90*AU90</f>
        <v>#VALUE!</v>
      </c>
      <c r="R90" s="501"/>
      <c r="S90" s="365" t="e">
        <f aca="false">xSPRDOPT(I90,H90,AQ90,AT90,O90,N90,P90,D90-$G$5,1,2)*AF90*(F90/(1-AR90))*AH90</f>
        <v>#VALUE!</v>
      </c>
      <c r="T90" s="365" t="e">
        <f aca="false">xSPRDOPT(I90,H90,AQ90,AT90,O90,N90,P90,D90-$G$5,1,1)*AF90*F90*AH90</f>
        <v>#VALUE!</v>
      </c>
      <c r="U90" s="501"/>
      <c r="V90" s="503" t="e">
        <f aca="false">VLOOKUP($AG90,$AL$4:$AS$15,8)*AH90*AU90</f>
        <v>#VALUE!</v>
      </c>
      <c r="W90" s="503"/>
      <c r="X90" s="504" t="e">
        <f aca="false">((BM90*BC90)+(BL90*BB90))*AH90*F90</f>
        <v>#VALUE!</v>
      </c>
      <c r="Y90" s="504" t="e">
        <f aca="false">($F90*$AH90)*((($BG90/2)*($BC90)^2)+(($BF90/2)*($BB90)^2)+($BH90*$BC90*$BB90))</f>
        <v>#VALUE!</v>
      </c>
      <c r="Z90" s="504" t="e">
        <f aca="false">($BI90*$F90*$AH90*($G$5-$BV$5))/365.25</f>
        <v>#VALUE!</v>
      </c>
      <c r="AA90" s="504" t="e">
        <f aca="false">(($BK90*$BE90)+($BJ90*$BD90))*$F90*$AH90*$AF90</f>
        <v>#VALUE!</v>
      </c>
      <c r="AB90" s="504" t="e">
        <f aca="false">BN90*(AT90-CA90)*F90*AH90</f>
        <v>#VALUE!</v>
      </c>
      <c r="AC90" s="504" t="e">
        <f aca="false">BO90*CB90*F90*AH90*CA90*($G$5-$BV$5)/365.25</f>
        <v>#NAME?</v>
      </c>
      <c r="AF90" s="378" t="e">
        <f aca="false">IF(AND(D90&gt;=$G$7,D90&lt;=$G$8),1,0)</f>
        <v>#VALUE!</v>
      </c>
      <c r="AG90" s="378" t="e">
        <f aca="false">MONTH(D90)</f>
        <v>#VALUE!</v>
      </c>
      <c r="AH90" s="378" t="e">
        <f aca="false">(EOMONTH(D90,0)-EOMONTH(D90-DAY(D90),0))*AF90</f>
        <v>#VALUE!</v>
      </c>
      <c r="AI90" s="378" t="e">
        <f aca="false">AI89+AH89</f>
        <v>#VALUE!</v>
      </c>
      <c r="AJ90" s="378" t="e">
        <f aca="false">D90-$BV$5</f>
        <v>#VALUE!</v>
      </c>
      <c r="AL90" s="369" t="e">
        <f aca="false">VLOOKUP($D90,CurveTbl,$AK$4)</f>
        <v>#VALUE!</v>
      </c>
      <c r="AM90" s="505" t="e">
        <f aca="false">VLOOKUP($D90,CurveTbl,$AH$3)</f>
        <v>#VALUE!</v>
      </c>
      <c r="AN90" s="505" t="e">
        <f aca="false">VLOOKUP($D90,CurveTbl,$AH$4)+VLOOKUP($AG90,$AL$3:$AS$15,6)</f>
        <v>#VALUE!</v>
      </c>
      <c r="AO90" s="505" t="e">
        <f aca="false">VLOOKUP($D90,CurveTbl,$AH$5)</f>
        <v>#VALUE!</v>
      </c>
      <c r="AP90" s="505" t="e">
        <f aca="false">VLOOKUP($D90,CurveTbl,$AH$6)+VLOOKUP($AG90,$AL$3:$AS$15,7)</f>
        <v>#VALUE!</v>
      </c>
      <c r="AQ90" s="369" t="e">
        <f aca="false">VLOOKUP($AG90,$AL$4:$AS$15,3)+VLOOKUP($AG90,$AL$4:$AS$15,5)+($AH$10*VLOOKUP(D90,GRITable,2))</f>
        <v>#VALUE!</v>
      </c>
      <c r="AR90" s="370" t="e">
        <f aca="false">VLOOKUP($AG90,$AL$4:$AS$15,4)</f>
        <v>#VALUE!</v>
      </c>
      <c r="AS90" s="369" t="e">
        <f aca="false">(AL90+AM90+AN90)</f>
        <v>#VALUE!</v>
      </c>
      <c r="AT90" s="370" t="e">
        <f aca="false">VLOOKUP(D90,CurveTbl,$AK$6)</f>
        <v>#VALUE!</v>
      </c>
      <c r="AU90" s="370" t="e">
        <f aca="false">(1+$AT90/2)^(-2*($D90-$G$5)/365.25)*$AF90</f>
        <v>#VALUE!</v>
      </c>
      <c r="AV90" s="506" t="e">
        <f aca="false">ROUND((F90/(1-AR90))-F90,0)*AF90*AH90*AU90</f>
        <v>#VALUE!</v>
      </c>
      <c r="AW90" s="370" t="e">
        <f aca="false">VLOOKUP($D90,CurveTbl,$AK$8)</f>
        <v>#VALUE!</v>
      </c>
      <c r="AX90" s="370" t="e">
        <f aca="false">VLOOKUP($D90,CurveTbl,$AH$7)</f>
        <v>#VALUE!</v>
      </c>
      <c r="AY90" s="370" t="e">
        <f aca="false">VLOOKUP($D90,CurveTbl,$AH$8)</f>
        <v>#VALUE!</v>
      </c>
      <c r="AZ90" s="370"/>
      <c r="BA90" s="507"/>
      <c r="BB90" s="505" t="e">
        <f aca="false">$H90-$BV90</f>
        <v>#VALUE!</v>
      </c>
      <c r="BC90" s="505" t="e">
        <f aca="false">I90-BW90</f>
        <v>#VALUE!</v>
      </c>
      <c r="BD90" s="370" t="e">
        <f aca="false">N90-BX90</f>
        <v>#VALUE!</v>
      </c>
      <c r="BE90" s="370" t="e">
        <f aca="false">O90-BY90</f>
        <v>#VALUE!</v>
      </c>
      <c r="BF90" s="370" t="e">
        <f aca="false">xSPRDOPT($BW90,$BV90,$CG90,0,$BY90,$BX90,$BZ90,$AJ90,1,4)*$CB90</f>
        <v>#NAME?</v>
      </c>
      <c r="BG90" s="370" t="e">
        <f aca="false">xSPRDOPT($BW90,$BV90,$CG90,0,$BY90,$BX90,$BZ90,$AJ90,1,3)*$CB90</f>
        <v>#NAME?</v>
      </c>
      <c r="BH90" s="370" t="e">
        <f aca="false">IF(OR(BF90&lt;&gt;0,BG90&lt;&gt;0),xSPRDOPT($BW90,$BV90,$CG90,0,$BY90,$BX90,$BZ90,$AJ90,1,12)*$CB90,0)</f>
        <v>#NAME?</v>
      </c>
      <c r="BI90" s="370" t="e">
        <f aca="false">xSPRDOPT($BW90,$BV90,$CG90,2*LN(1+CA90/2),$BY90,$BX90,$BZ90,$AJ90,1,9)</f>
        <v>#NAME?</v>
      </c>
      <c r="BJ90" s="370" t="e">
        <f aca="false">xSPRDOPT($BW90,$BV90,$CG90,0,$BY90,$BX90,$BZ90,$AJ90,1,6)*$CB90</f>
        <v>#NAME?</v>
      </c>
      <c r="BK90" s="370" t="e">
        <f aca="false">xSPRDOPT($BW90,$BV90,$CG90,0,$BY90,$BX90,$BZ90,$AJ90,1,5)*$CB90</f>
        <v>#NAME?</v>
      </c>
      <c r="BL90" s="370" t="e">
        <f aca="false">xSPRDOPT(BW90,BV90,CG90,0,BY90,BX90,BZ90,AJ90,1,2)*CB90</f>
        <v>#NAME?</v>
      </c>
      <c r="BM90" s="370" t="e">
        <f aca="false">xSPRDOPT(BW90,BV90,CG90,0,BY90,BX90,BZ90,AJ90,1,1)*CB90</f>
        <v>#NAME?</v>
      </c>
      <c r="BN90" s="370" t="e">
        <f aca="false">IF(AH90&lt;&gt;0,xSPRDOPT($BW90,$BV90,$CG90,2*LN(1+CA90/2),$BY90,$BX90,$BZ90,$AJ90,1,8)+(AJ90/365.25)*CH90/AH90,0)</f>
        <v>#VALUE!</v>
      </c>
      <c r="BO90" s="370" t="e">
        <f aca="false">xSPRDOPT($BW90,$BV90,$CG90,0,$BY90,$BX90,$BZ90,$AJ90,1,0)</f>
        <v>#NAME?</v>
      </c>
      <c r="BP90" s="370"/>
      <c r="BQ90" s="370"/>
      <c r="BR90" s="370"/>
      <c r="BS90" s="370"/>
      <c r="BV90" s="508" t="n">
        <v>3.25401606425703</v>
      </c>
      <c r="BW90" s="369" t="n">
        <v>3.251</v>
      </c>
      <c r="BX90" s="370" t="n">
        <v>0.54</v>
      </c>
      <c r="BY90" s="370" t="n">
        <v>0.54</v>
      </c>
      <c r="BZ90" s="370" t="n">
        <v>0</v>
      </c>
      <c r="CA90" s="370" t="n">
        <v>0.0232740649677528</v>
      </c>
      <c r="CB90" s="370" t="n">
        <v>0</v>
      </c>
      <c r="CC90" s="505" t="n">
        <v>0</v>
      </c>
      <c r="CD90" s="505" t="n">
        <v>0.03</v>
      </c>
      <c r="CE90" s="505" t="n">
        <v>0.04</v>
      </c>
      <c r="CF90" s="505" t="n">
        <v>0</v>
      </c>
      <c r="CG90" s="505" t="n">
        <v>0.0006</v>
      </c>
      <c r="CH90" s="505" t="n">
        <v>0</v>
      </c>
      <c r="CI90" s="505" t="n">
        <v>3.211</v>
      </c>
      <c r="CJ90" s="505"/>
      <c r="CK90" s="505"/>
      <c r="CL90" s="505"/>
      <c r="CM90" s="505"/>
    </row>
    <row r="91" customFormat="false" ht="12.75" hidden="false" customHeight="false" outlineLevel="0" collapsed="false">
      <c r="A91" s="500"/>
      <c r="B91" s="500"/>
      <c r="D91" s="361" t="e">
        <f aca="false">D90+AH90</f>
        <v>#VALUE!</v>
      </c>
      <c r="F91" s="362" t="e">
        <f aca="false">VLOOKUP(AG91,$AL$4:$AS$15,2)</f>
        <v>#VALUE!</v>
      </c>
      <c r="G91" s="362" t="e">
        <f aca="false">F91*$AU91</f>
        <v>#VALUE!</v>
      </c>
      <c r="H91" s="363" t="e">
        <f aca="false">(AL91+AM91+AN91)/(1-(AR91))</f>
        <v>#VALUE!</v>
      </c>
      <c r="I91" s="363" t="e">
        <f aca="false">(AL91+AO91+AP91)</f>
        <v>#VALUE!</v>
      </c>
      <c r="K91" s="363" t="e">
        <f aca="false">MAX(((I91-H91)-AQ91)*AU91*AH91,0)</f>
        <v>#VALUE!</v>
      </c>
      <c r="L91" s="501" t="e">
        <f aca="false">MAX(Q91-K91,0)</f>
        <v>#VALUE!</v>
      </c>
      <c r="N91" s="502" t="e">
        <f aca="false">SQRT(($AX91^2*($AH91/2)+$AW91^2*$AI91)/(($AH91/2)+$AI91))</f>
        <v>#VALUE!</v>
      </c>
      <c r="O91" s="502" t="e">
        <f aca="false">SQRT(($AY91^2*($AH91/2)+$AW91^2*$AI91)/(($AH91/2)+$AI91))</f>
        <v>#VALUE!</v>
      </c>
      <c r="P91" s="371" t="e">
        <f aca="false">(VLOOKUP(AI91,CorrelationTwo,2)*(AW91^2)*AI91+VLOOKUP(D91,CorrelationOne,$AK$9)*AX91*AY91*(AH91/2))/((AI91+(AH91/2))*O91*N91)*AF91</f>
        <v>#VALUE!</v>
      </c>
      <c r="Q91" s="501" t="e">
        <f aca="false">xSPRDOPT(I91,H91,AQ91,0,O91,N91,P91,D91-$G$5,1,0)*AH91*AU91</f>
        <v>#VALUE!</v>
      </c>
      <c r="R91" s="501"/>
      <c r="S91" s="365" t="e">
        <f aca="false">xSPRDOPT(I91,H91,AQ91,AT91,O91,N91,P91,D91-$G$5,1,2)*AF91*(F91/(1-AR91))*AH91</f>
        <v>#VALUE!</v>
      </c>
      <c r="T91" s="365" t="e">
        <f aca="false">xSPRDOPT(I91,H91,AQ91,AT91,O91,N91,P91,D91-$G$5,1,1)*AF91*F91*AH91</f>
        <v>#VALUE!</v>
      </c>
      <c r="U91" s="501"/>
      <c r="V91" s="503" t="e">
        <f aca="false">VLOOKUP($AG91,$AL$4:$AS$15,8)*AH91*AU91</f>
        <v>#VALUE!</v>
      </c>
      <c r="W91" s="503"/>
      <c r="X91" s="504" t="e">
        <f aca="false">((BM91*BC91)+(BL91*BB91))*AH91*F91</f>
        <v>#VALUE!</v>
      </c>
      <c r="Y91" s="504" t="e">
        <f aca="false">($F91*$AH91)*((($BG91/2)*($BC91)^2)+(($BF91/2)*($BB91)^2)+($BH91*$BC91*$BB91))</f>
        <v>#VALUE!</v>
      </c>
      <c r="Z91" s="504" t="e">
        <f aca="false">($BI91*$F91*$AH91*($G$5-$BV$5))/365.25</f>
        <v>#VALUE!</v>
      </c>
      <c r="AA91" s="504" t="e">
        <f aca="false">(($BK91*$BE91)+($BJ91*$BD91))*$F91*$AH91*$AF91</f>
        <v>#VALUE!</v>
      </c>
      <c r="AB91" s="504" t="e">
        <f aca="false">BN91*(AT91-CA91)*F91*AH91</f>
        <v>#VALUE!</v>
      </c>
      <c r="AC91" s="504" t="e">
        <f aca="false">BO91*CB91*F91*AH91*CA91*($G$5-$BV$5)/365.25</f>
        <v>#NAME?</v>
      </c>
      <c r="AF91" s="378" t="e">
        <f aca="false">IF(AND(D91&gt;=$G$7,D91&lt;=$G$8),1,0)</f>
        <v>#VALUE!</v>
      </c>
      <c r="AG91" s="378" t="e">
        <f aca="false">MONTH(D91)</f>
        <v>#VALUE!</v>
      </c>
      <c r="AH91" s="378" t="e">
        <f aca="false">(EOMONTH(D91,0)-EOMONTH(D91-DAY(D91),0))*AF91</f>
        <v>#VALUE!</v>
      </c>
      <c r="AI91" s="378" t="e">
        <f aca="false">AI90+AH90</f>
        <v>#VALUE!</v>
      </c>
      <c r="AJ91" s="378" t="e">
        <f aca="false">D91-$BV$5</f>
        <v>#VALUE!</v>
      </c>
      <c r="AL91" s="369" t="e">
        <f aca="false">VLOOKUP($D91,CurveTbl,$AK$4)</f>
        <v>#VALUE!</v>
      </c>
      <c r="AM91" s="505" t="e">
        <f aca="false">VLOOKUP($D91,CurveTbl,$AH$3)</f>
        <v>#VALUE!</v>
      </c>
      <c r="AN91" s="505" t="e">
        <f aca="false">VLOOKUP($D91,CurveTbl,$AH$4)+VLOOKUP($AG91,$AL$3:$AS$15,6)</f>
        <v>#VALUE!</v>
      </c>
      <c r="AO91" s="505" t="e">
        <f aca="false">VLOOKUP($D91,CurveTbl,$AH$5)</f>
        <v>#VALUE!</v>
      </c>
      <c r="AP91" s="505" t="e">
        <f aca="false">VLOOKUP($D91,CurveTbl,$AH$6)+VLOOKUP($AG91,$AL$3:$AS$15,7)</f>
        <v>#VALUE!</v>
      </c>
      <c r="AQ91" s="369" t="e">
        <f aca="false">VLOOKUP($AG91,$AL$4:$AS$15,3)+VLOOKUP($AG91,$AL$4:$AS$15,5)+($AH$10*VLOOKUP(D91,GRITable,2))</f>
        <v>#VALUE!</v>
      </c>
      <c r="AR91" s="370" t="e">
        <f aca="false">VLOOKUP($AG91,$AL$4:$AS$15,4)</f>
        <v>#VALUE!</v>
      </c>
      <c r="AS91" s="369" t="e">
        <f aca="false">(AL91+AM91+AN91)</f>
        <v>#VALUE!</v>
      </c>
      <c r="AT91" s="370" t="e">
        <f aca="false">VLOOKUP(D91,CurveTbl,$AK$6)</f>
        <v>#VALUE!</v>
      </c>
      <c r="AU91" s="370" t="e">
        <f aca="false">(1+$AT91/2)^(-2*($D91-$G$5)/365.25)*$AF91</f>
        <v>#VALUE!</v>
      </c>
      <c r="AV91" s="506" t="e">
        <f aca="false">ROUND((F91/(1-AR91))-F91,0)*AF91*AH91*AU91</f>
        <v>#VALUE!</v>
      </c>
      <c r="AW91" s="370" t="e">
        <f aca="false">VLOOKUP($D91,CurveTbl,$AK$8)</f>
        <v>#VALUE!</v>
      </c>
      <c r="AX91" s="370" t="e">
        <f aca="false">VLOOKUP($D91,CurveTbl,$AH$7)</f>
        <v>#VALUE!</v>
      </c>
      <c r="AY91" s="370" t="e">
        <f aca="false">VLOOKUP($D91,CurveTbl,$AH$8)</f>
        <v>#VALUE!</v>
      </c>
      <c r="AZ91" s="370"/>
      <c r="BA91" s="507"/>
      <c r="BB91" s="505" t="e">
        <f aca="false">$H91-$BV91</f>
        <v>#VALUE!</v>
      </c>
      <c r="BC91" s="505" t="e">
        <f aca="false">I91-BW91</f>
        <v>#VALUE!</v>
      </c>
      <c r="BD91" s="370" t="e">
        <f aca="false">N91-BX91</f>
        <v>#VALUE!</v>
      </c>
      <c r="BE91" s="370" t="e">
        <f aca="false">O91-BY91</f>
        <v>#VALUE!</v>
      </c>
      <c r="BF91" s="370" t="e">
        <f aca="false">xSPRDOPT($BW91,$BV91,$CG91,0,$BY91,$BX91,$BZ91,$AJ91,1,4)*$CB91</f>
        <v>#NAME?</v>
      </c>
      <c r="BG91" s="370" t="e">
        <f aca="false">xSPRDOPT($BW91,$BV91,$CG91,0,$BY91,$BX91,$BZ91,$AJ91,1,3)*$CB91</f>
        <v>#NAME?</v>
      </c>
      <c r="BH91" s="370" t="e">
        <f aca="false">IF(OR(BF91&lt;&gt;0,BG91&lt;&gt;0),xSPRDOPT($BW91,$BV91,$CG91,0,$BY91,$BX91,$BZ91,$AJ91,1,12)*$CB91,0)</f>
        <v>#NAME?</v>
      </c>
      <c r="BI91" s="370" t="e">
        <f aca="false">xSPRDOPT($BW91,$BV91,$CG91,2*LN(1+CA91/2),$BY91,$BX91,$BZ91,$AJ91,1,9)</f>
        <v>#NAME?</v>
      </c>
      <c r="BJ91" s="370" t="e">
        <f aca="false">xSPRDOPT($BW91,$BV91,$CG91,0,$BY91,$BX91,$BZ91,$AJ91,1,6)*$CB91</f>
        <v>#NAME?</v>
      </c>
      <c r="BK91" s="370" t="e">
        <f aca="false">xSPRDOPT($BW91,$BV91,$CG91,0,$BY91,$BX91,$BZ91,$AJ91,1,5)*$CB91</f>
        <v>#NAME?</v>
      </c>
      <c r="BL91" s="370" t="e">
        <f aca="false">xSPRDOPT(BW91,BV91,CG91,0,BY91,BX91,BZ91,AJ91,1,2)*CB91</f>
        <v>#NAME?</v>
      </c>
      <c r="BM91" s="370" t="e">
        <f aca="false">xSPRDOPT(BW91,BV91,CG91,0,BY91,BX91,BZ91,AJ91,1,1)*CB91</f>
        <v>#NAME?</v>
      </c>
      <c r="BN91" s="370" t="e">
        <f aca="false">IF(AH91&lt;&gt;0,xSPRDOPT($BW91,$BV91,$CG91,2*LN(1+CA91/2),$BY91,$BX91,$BZ91,$AJ91,1,8)+(AJ91/365.25)*CH91/AH91,0)</f>
        <v>#VALUE!</v>
      </c>
      <c r="BO91" s="370" t="e">
        <f aca="false">xSPRDOPT($BW91,$BV91,$CG91,0,$BY91,$BX91,$BZ91,$AJ91,1,0)</f>
        <v>#NAME?</v>
      </c>
      <c r="BP91" s="370"/>
      <c r="BQ91" s="370"/>
      <c r="BR91" s="370"/>
      <c r="BS91" s="370"/>
      <c r="BV91" s="508" t="n">
        <v>3.25401606425703</v>
      </c>
      <c r="BW91" s="369" t="n">
        <v>3.251</v>
      </c>
      <c r="BX91" s="370" t="n">
        <v>0.54</v>
      </c>
      <c r="BY91" s="370" t="n">
        <v>0.54</v>
      </c>
      <c r="BZ91" s="370" t="n">
        <v>0</v>
      </c>
      <c r="CA91" s="370" t="n">
        <v>0.0232740649677528</v>
      </c>
      <c r="CB91" s="370" t="n">
        <v>0</v>
      </c>
      <c r="CC91" s="505" t="n">
        <v>0</v>
      </c>
      <c r="CD91" s="505" t="n">
        <v>0.03</v>
      </c>
      <c r="CE91" s="505" t="n">
        <v>0.04</v>
      </c>
      <c r="CF91" s="505" t="n">
        <v>0</v>
      </c>
      <c r="CG91" s="505" t="n">
        <v>0.0006</v>
      </c>
      <c r="CH91" s="505" t="n">
        <v>0</v>
      </c>
      <c r="CI91" s="505" t="n">
        <v>3.211</v>
      </c>
      <c r="CJ91" s="505"/>
      <c r="CK91" s="505"/>
      <c r="CL91" s="505"/>
      <c r="CM91" s="505"/>
    </row>
    <row r="92" customFormat="false" ht="12.75" hidden="false" customHeight="false" outlineLevel="0" collapsed="false">
      <c r="A92" s="500"/>
      <c r="B92" s="500"/>
      <c r="D92" s="361" t="e">
        <f aca="false">D91+AH91</f>
        <v>#VALUE!</v>
      </c>
      <c r="F92" s="362" t="e">
        <f aca="false">VLOOKUP(AG92,$AL$4:$AS$15,2)</f>
        <v>#VALUE!</v>
      </c>
      <c r="G92" s="362" t="e">
        <f aca="false">F92*$AU92</f>
        <v>#VALUE!</v>
      </c>
      <c r="H92" s="363" t="e">
        <f aca="false">(AL92+AM92+AN92)/(1-(AR92))</f>
        <v>#VALUE!</v>
      </c>
      <c r="I92" s="363" t="e">
        <f aca="false">(AL92+AO92+AP92)</f>
        <v>#VALUE!</v>
      </c>
      <c r="K92" s="363" t="e">
        <f aca="false">MAX(((I92-H92)-AQ92)*AU92*AH92,0)</f>
        <v>#VALUE!</v>
      </c>
      <c r="L92" s="501" t="e">
        <f aca="false">MAX(Q92-K92,0)</f>
        <v>#VALUE!</v>
      </c>
      <c r="N92" s="502" t="e">
        <f aca="false">SQRT(($AX92^2*($AH92/2)+$AW92^2*$AI92)/(($AH92/2)+$AI92))</f>
        <v>#VALUE!</v>
      </c>
      <c r="O92" s="502" t="e">
        <f aca="false">SQRT(($AY92^2*($AH92/2)+$AW92^2*$AI92)/(($AH92/2)+$AI92))</f>
        <v>#VALUE!</v>
      </c>
      <c r="P92" s="371" t="e">
        <f aca="false">(VLOOKUP(AI92,CorrelationTwo,2)*(AW92^2)*AI92+VLOOKUP(D92,CorrelationOne,$AK$9)*AX92*AY92*(AH92/2))/((AI92+(AH92/2))*O92*N92)*AF92</f>
        <v>#VALUE!</v>
      </c>
      <c r="Q92" s="501" t="e">
        <f aca="false">xSPRDOPT(I92,H92,AQ92,0,O92,N92,P92,D92-$G$5,1,0)*AH92*AU92</f>
        <v>#VALUE!</v>
      </c>
      <c r="R92" s="501"/>
      <c r="S92" s="365" t="e">
        <f aca="false">xSPRDOPT(I92,H92,AQ92,AT92,O92,N92,P92,D92-$G$5,1,2)*AF92*(F92/(1-AR92))*AH92</f>
        <v>#VALUE!</v>
      </c>
      <c r="T92" s="365" t="e">
        <f aca="false">xSPRDOPT(I92,H92,AQ92,AT92,O92,N92,P92,D92-$G$5,1,1)*AF92*F92*AH92</f>
        <v>#VALUE!</v>
      </c>
      <c r="U92" s="501"/>
      <c r="V92" s="503" t="e">
        <f aca="false">VLOOKUP($AG92,$AL$4:$AS$15,8)*AH92*AU92</f>
        <v>#VALUE!</v>
      </c>
      <c r="W92" s="503"/>
      <c r="X92" s="504" t="e">
        <f aca="false">((BM92*BC92)+(BL92*BB92))*AH92*F92</f>
        <v>#VALUE!</v>
      </c>
      <c r="Y92" s="504" t="e">
        <f aca="false">($F92*$AH92)*((($BG92/2)*($BC92)^2)+(($BF92/2)*($BB92)^2)+($BH92*$BC92*$BB92))</f>
        <v>#VALUE!</v>
      </c>
      <c r="Z92" s="504" t="e">
        <f aca="false">($BI92*$F92*$AH92*($G$5-$BV$5))/365.25</f>
        <v>#VALUE!</v>
      </c>
      <c r="AA92" s="504" t="e">
        <f aca="false">(($BK92*$BE92)+($BJ92*$BD92))*$F92*$AH92*$AF92</f>
        <v>#VALUE!</v>
      </c>
      <c r="AB92" s="504" t="e">
        <f aca="false">BN92*(AT92-CA92)*F92*AH92</f>
        <v>#VALUE!</v>
      </c>
      <c r="AC92" s="504" t="e">
        <f aca="false">BO92*CB92*F92*AH92*CA92*($G$5-$BV$5)/365.25</f>
        <v>#NAME?</v>
      </c>
      <c r="AF92" s="378" t="e">
        <f aca="false">IF(AND(D92&gt;=$G$7,D92&lt;=$G$8),1,0)</f>
        <v>#VALUE!</v>
      </c>
      <c r="AG92" s="378" t="e">
        <f aca="false">MONTH(D92)</f>
        <v>#VALUE!</v>
      </c>
      <c r="AH92" s="378" t="e">
        <f aca="false">(EOMONTH(D92,0)-EOMONTH(D92-DAY(D92),0))*AF92</f>
        <v>#VALUE!</v>
      </c>
      <c r="AI92" s="378" t="e">
        <f aca="false">AI91+AH91</f>
        <v>#VALUE!</v>
      </c>
      <c r="AJ92" s="378" t="e">
        <f aca="false">D92-$BV$5</f>
        <v>#VALUE!</v>
      </c>
      <c r="AL92" s="369" t="e">
        <f aca="false">VLOOKUP($D92,CurveTbl,$AK$4)</f>
        <v>#VALUE!</v>
      </c>
      <c r="AM92" s="505" t="e">
        <f aca="false">VLOOKUP($D92,CurveTbl,$AH$3)</f>
        <v>#VALUE!</v>
      </c>
      <c r="AN92" s="505" t="e">
        <f aca="false">VLOOKUP($D92,CurveTbl,$AH$4)+VLOOKUP($AG92,$AL$3:$AS$15,6)</f>
        <v>#VALUE!</v>
      </c>
      <c r="AO92" s="505" t="e">
        <f aca="false">VLOOKUP($D92,CurveTbl,$AH$5)</f>
        <v>#VALUE!</v>
      </c>
      <c r="AP92" s="505" t="e">
        <f aca="false">VLOOKUP($D92,CurveTbl,$AH$6)+VLOOKUP($AG92,$AL$3:$AS$15,7)</f>
        <v>#VALUE!</v>
      </c>
      <c r="AQ92" s="369" t="e">
        <f aca="false">VLOOKUP($AG92,$AL$4:$AS$15,3)+VLOOKUP($AG92,$AL$4:$AS$15,5)+($AH$10*VLOOKUP(D92,GRITable,2))</f>
        <v>#VALUE!</v>
      </c>
      <c r="AR92" s="370" t="e">
        <f aca="false">VLOOKUP($AG92,$AL$4:$AS$15,4)</f>
        <v>#VALUE!</v>
      </c>
      <c r="AS92" s="369" t="e">
        <f aca="false">(AL92+AM92+AN92)</f>
        <v>#VALUE!</v>
      </c>
      <c r="AT92" s="370" t="e">
        <f aca="false">VLOOKUP(D92,CurveTbl,$AK$6)</f>
        <v>#VALUE!</v>
      </c>
      <c r="AU92" s="370" t="e">
        <f aca="false">(1+$AT92/2)^(-2*($D92-$G$5)/365.25)*$AF92</f>
        <v>#VALUE!</v>
      </c>
      <c r="AV92" s="506" t="e">
        <f aca="false">ROUND((F92/(1-AR92))-F92,0)*AF92*AH92*AU92</f>
        <v>#VALUE!</v>
      </c>
      <c r="AW92" s="370" t="e">
        <f aca="false">VLOOKUP($D92,CurveTbl,$AK$8)</f>
        <v>#VALUE!</v>
      </c>
      <c r="AX92" s="370" t="e">
        <f aca="false">VLOOKUP($D92,CurveTbl,$AH$7)</f>
        <v>#VALUE!</v>
      </c>
      <c r="AY92" s="370" t="e">
        <f aca="false">VLOOKUP($D92,CurveTbl,$AH$8)</f>
        <v>#VALUE!</v>
      </c>
      <c r="AZ92" s="370"/>
      <c r="BA92" s="507"/>
      <c r="BB92" s="505" t="e">
        <f aca="false">$H92-$BV92</f>
        <v>#VALUE!</v>
      </c>
      <c r="BC92" s="505" t="e">
        <f aca="false">I92-BW92</f>
        <v>#VALUE!</v>
      </c>
      <c r="BD92" s="370" t="e">
        <f aca="false">N92-BX92</f>
        <v>#VALUE!</v>
      </c>
      <c r="BE92" s="370" t="e">
        <f aca="false">O92-BY92</f>
        <v>#VALUE!</v>
      </c>
      <c r="BF92" s="370" t="e">
        <f aca="false">xSPRDOPT($BW92,$BV92,$CG92,0,$BY92,$BX92,$BZ92,$AJ92,1,4)*$CB92</f>
        <v>#NAME?</v>
      </c>
      <c r="BG92" s="370" t="e">
        <f aca="false">xSPRDOPT($BW92,$BV92,$CG92,0,$BY92,$BX92,$BZ92,$AJ92,1,3)*$CB92</f>
        <v>#NAME?</v>
      </c>
      <c r="BH92" s="370" t="e">
        <f aca="false">IF(OR(BF92&lt;&gt;0,BG92&lt;&gt;0),xSPRDOPT($BW92,$BV92,$CG92,0,$BY92,$BX92,$BZ92,$AJ92,1,12)*$CB92,0)</f>
        <v>#NAME?</v>
      </c>
      <c r="BI92" s="370" t="e">
        <f aca="false">xSPRDOPT($BW92,$BV92,$CG92,2*LN(1+CA92/2),$BY92,$BX92,$BZ92,$AJ92,1,9)</f>
        <v>#NAME?</v>
      </c>
      <c r="BJ92" s="370" t="e">
        <f aca="false">xSPRDOPT($BW92,$BV92,$CG92,0,$BY92,$BX92,$BZ92,$AJ92,1,6)*$CB92</f>
        <v>#NAME?</v>
      </c>
      <c r="BK92" s="370" t="e">
        <f aca="false">xSPRDOPT($BW92,$BV92,$CG92,0,$BY92,$BX92,$BZ92,$AJ92,1,5)*$CB92</f>
        <v>#NAME?</v>
      </c>
      <c r="BL92" s="370" t="e">
        <f aca="false">xSPRDOPT(BW92,BV92,CG92,0,BY92,BX92,BZ92,AJ92,1,2)*CB92</f>
        <v>#NAME?</v>
      </c>
      <c r="BM92" s="370" t="e">
        <f aca="false">xSPRDOPT(BW92,BV92,CG92,0,BY92,BX92,BZ92,AJ92,1,1)*CB92</f>
        <v>#NAME?</v>
      </c>
      <c r="BN92" s="370" t="e">
        <f aca="false">IF(AH92&lt;&gt;0,xSPRDOPT($BW92,$BV92,$CG92,2*LN(1+CA92/2),$BY92,$BX92,$BZ92,$AJ92,1,8)+(AJ92/365.25)*CH92/AH92,0)</f>
        <v>#VALUE!</v>
      </c>
      <c r="BO92" s="370" t="e">
        <f aca="false">xSPRDOPT($BW92,$BV92,$CG92,0,$BY92,$BX92,$BZ92,$AJ92,1,0)</f>
        <v>#NAME?</v>
      </c>
      <c r="BP92" s="370"/>
      <c r="BQ92" s="370"/>
      <c r="BR92" s="370"/>
      <c r="BS92" s="370"/>
      <c r="BV92" s="508" t="n">
        <v>3.25401606425703</v>
      </c>
      <c r="BW92" s="369" t="n">
        <v>3.251</v>
      </c>
      <c r="BX92" s="370" t="n">
        <v>0.54</v>
      </c>
      <c r="BY92" s="370" t="n">
        <v>0.54</v>
      </c>
      <c r="BZ92" s="370" t="n">
        <v>0</v>
      </c>
      <c r="CA92" s="370" t="n">
        <v>0.0232740649677528</v>
      </c>
      <c r="CB92" s="370" t="n">
        <v>0</v>
      </c>
      <c r="CC92" s="505" t="n">
        <v>0</v>
      </c>
      <c r="CD92" s="505" t="n">
        <v>0.03</v>
      </c>
      <c r="CE92" s="505" t="n">
        <v>0.04</v>
      </c>
      <c r="CF92" s="505" t="n">
        <v>0</v>
      </c>
      <c r="CG92" s="505" t="n">
        <v>0.0006</v>
      </c>
      <c r="CH92" s="505" t="n">
        <v>0</v>
      </c>
      <c r="CI92" s="505" t="n">
        <v>3.211</v>
      </c>
      <c r="CJ92" s="505"/>
      <c r="CK92" s="505"/>
      <c r="CL92" s="505"/>
      <c r="CM92" s="505"/>
    </row>
    <row r="93" customFormat="false" ht="12.75" hidden="false" customHeight="false" outlineLevel="0" collapsed="false">
      <c r="A93" s="500"/>
      <c r="B93" s="500"/>
      <c r="D93" s="361" t="e">
        <f aca="false">D92+AH92</f>
        <v>#VALUE!</v>
      </c>
      <c r="F93" s="362" t="e">
        <f aca="false">VLOOKUP(AG93,$AL$4:$AS$15,2)</f>
        <v>#VALUE!</v>
      </c>
      <c r="G93" s="362" t="e">
        <f aca="false">F93*$AU93</f>
        <v>#VALUE!</v>
      </c>
      <c r="H93" s="363" t="e">
        <f aca="false">(AL93+AM93+AN93)/(1-(AR93))</f>
        <v>#VALUE!</v>
      </c>
      <c r="I93" s="363" t="e">
        <f aca="false">(AL93+AO93+AP93)</f>
        <v>#VALUE!</v>
      </c>
      <c r="K93" s="363" t="e">
        <f aca="false">MAX(((I93-H93)-AQ93)*AU93*AH93,0)</f>
        <v>#VALUE!</v>
      </c>
      <c r="L93" s="501" t="e">
        <f aca="false">MAX(Q93-K93,0)</f>
        <v>#VALUE!</v>
      </c>
      <c r="N93" s="502" t="e">
        <f aca="false">SQRT(($AX93^2*($AH93/2)+$AW93^2*$AI93)/(($AH93/2)+$AI93))</f>
        <v>#VALUE!</v>
      </c>
      <c r="O93" s="502" t="e">
        <f aca="false">SQRT(($AY93^2*($AH93/2)+$AW93^2*$AI93)/(($AH93/2)+$AI93))</f>
        <v>#VALUE!</v>
      </c>
      <c r="P93" s="371" t="e">
        <f aca="false">(VLOOKUP(AI93,CorrelationTwo,2)*(AW93^2)*AI93+VLOOKUP(D93,CorrelationOne,$AK$9)*AX93*AY93*(AH93/2))/((AI93+(AH93/2))*O93*N93)*AF93</f>
        <v>#VALUE!</v>
      </c>
      <c r="Q93" s="501" t="e">
        <f aca="false">xSPRDOPT(I93,H93,AQ93,0,O93,N93,P93,D93-$G$5,1,0)*AH93*AU93</f>
        <v>#VALUE!</v>
      </c>
      <c r="R93" s="501"/>
      <c r="S93" s="365" t="e">
        <f aca="false">xSPRDOPT(I93,H93,AQ93,AT93,O93,N93,P93,D93-$G$5,1,2)*AF93*(F93/(1-AR93))*AH93</f>
        <v>#VALUE!</v>
      </c>
      <c r="T93" s="365" t="e">
        <f aca="false">xSPRDOPT(I93,H93,AQ93,AT93,O93,N93,P93,D93-$G$5,1,1)*AF93*F93*AH93</f>
        <v>#VALUE!</v>
      </c>
      <c r="U93" s="501"/>
      <c r="V93" s="503" t="e">
        <f aca="false">VLOOKUP($AG93,$AL$4:$AS$15,8)*AH93*AU93</f>
        <v>#VALUE!</v>
      </c>
      <c r="W93" s="503"/>
      <c r="X93" s="504" t="e">
        <f aca="false">((BM93*BC93)+(BL93*BB93))*AH93*F93</f>
        <v>#VALUE!</v>
      </c>
      <c r="Y93" s="504" t="e">
        <f aca="false">($F93*$AH93)*((($BG93/2)*($BC93)^2)+(($BF93/2)*($BB93)^2)+($BH93*$BC93*$BB93))</f>
        <v>#VALUE!</v>
      </c>
      <c r="Z93" s="504" t="e">
        <f aca="false">($BI93*$F93*$AH93*($G$5-$BV$5))/365.25</f>
        <v>#VALUE!</v>
      </c>
      <c r="AA93" s="504" t="e">
        <f aca="false">(($BK93*$BE93)+($BJ93*$BD93))*$F93*$AH93*$AF93</f>
        <v>#VALUE!</v>
      </c>
      <c r="AB93" s="504" t="e">
        <f aca="false">BN93*(AT93-CA93)*F93*AH93</f>
        <v>#VALUE!</v>
      </c>
      <c r="AC93" s="504" t="e">
        <f aca="false">BO93*CB93*F93*AH93*CA93*($G$5-$BV$5)/365.25</f>
        <v>#NAME?</v>
      </c>
      <c r="AF93" s="378" t="e">
        <f aca="false">IF(AND(D93&gt;=$G$7,D93&lt;=$G$8),1,0)</f>
        <v>#VALUE!</v>
      </c>
      <c r="AG93" s="378" t="e">
        <f aca="false">MONTH(D93)</f>
        <v>#VALUE!</v>
      </c>
      <c r="AH93" s="378" t="e">
        <f aca="false">(EOMONTH(D93,0)-EOMONTH(D93-DAY(D93),0))*AF93</f>
        <v>#VALUE!</v>
      </c>
      <c r="AI93" s="378" t="e">
        <f aca="false">AI92+AH92</f>
        <v>#VALUE!</v>
      </c>
      <c r="AJ93" s="378" t="e">
        <f aca="false">D93-$BV$5</f>
        <v>#VALUE!</v>
      </c>
      <c r="AL93" s="369" t="e">
        <f aca="false">VLOOKUP($D93,CurveTbl,$AK$4)</f>
        <v>#VALUE!</v>
      </c>
      <c r="AM93" s="505" t="e">
        <f aca="false">VLOOKUP($D93,CurveTbl,$AH$3)</f>
        <v>#VALUE!</v>
      </c>
      <c r="AN93" s="505" t="e">
        <f aca="false">VLOOKUP($D93,CurveTbl,$AH$4)+VLOOKUP($AG93,$AL$3:$AS$15,6)</f>
        <v>#VALUE!</v>
      </c>
      <c r="AO93" s="505" t="e">
        <f aca="false">VLOOKUP($D93,CurveTbl,$AH$5)</f>
        <v>#VALUE!</v>
      </c>
      <c r="AP93" s="505" t="e">
        <f aca="false">VLOOKUP($D93,CurveTbl,$AH$6)+VLOOKUP($AG93,$AL$3:$AS$15,7)</f>
        <v>#VALUE!</v>
      </c>
      <c r="AQ93" s="369" t="e">
        <f aca="false">VLOOKUP($AG93,$AL$4:$AS$15,3)+VLOOKUP($AG93,$AL$4:$AS$15,5)+($AH$10*VLOOKUP(D93,GRITable,2))</f>
        <v>#VALUE!</v>
      </c>
      <c r="AR93" s="370" t="e">
        <f aca="false">VLOOKUP($AG93,$AL$4:$AS$15,4)</f>
        <v>#VALUE!</v>
      </c>
      <c r="AS93" s="369" t="e">
        <f aca="false">(AL93+AM93+AN93)</f>
        <v>#VALUE!</v>
      </c>
      <c r="AT93" s="370" t="e">
        <f aca="false">VLOOKUP(D93,CurveTbl,$AK$6)</f>
        <v>#VALUE!</v>
      </c>
      <c r="AU93" s="370" t="e">
        <f aca="false">(1+$AT93/2)^(-2*($D93-$G$5)/365.25)*$AF93</f>
        <v>#VALUE!</v>
      </c>
      <c r="AV93" s="506" t="e">
        <f aca="false">ROUND((F93/(1-AR93))-F93,0)*AF93*AH93*AU93</f>
        <v>#VALUE!</v>
      </c>
      <c r="AW93" s="370" t="e">
        <f aca="false">VLOOKUP($D93,CurveTbl,$AK$8)</f>
        <v>#VALUE!</v>
      </c>
      <c r="AX93" s="370" t="e">
        <f aca="false">VLOOKUP($D93,CurveTbl,$AH$7)</f>
        <v>#VALUE!</v>
      </c>
      <c r="AY93" s="370" t="e">
        <f aca="false">VLOOKUP($D93,CurveTbl,$AH$8)</f>
        <v>#VALUE!</v>
      </c>
      <c r="AZ93" s="370"/>
      <c r="BA93" s="507"/>
      <c r="BB93" s="505" t="e">
        <f aca="false">$H93-$BV93</f>
        <v>#VALUE!</v>
      </c>
      <c r="BC93" s="505" t="e">
        <f aca="false">I93-BW93</f>
        <v>#VALUE!</v>
      </c>
      <c r="BD93" s="370" t="e">
        <f aca="false">N93-BX93</f>
        <v>#VALUE!</v>
      </c>
      <c r="BE93" s="370" t="e">
        <f aca="false">O93-BY93</f>
        <v>#VALUE!</v>
      </c>
      <c r="BF93" s="370" t="e">
        <f aca="false">xSPRDOPT($BW93,$BV93,$CG93,0,$BY93,$BX93,$BZ93,$AJ93,1,4)*$CB93</f>
        <v>#NAME?</v>
      </c>
      <c r="BG93" s="370" t="e">
        <f aca="false">xSPRDOPT($BW93,$BV93,$CG93,0,$BY93,$BX93,$BZ93,$AJ93,1,3)*$CB93</f>
        <v>#NAME?</v>
      </c>
      <c r="BH93" s="370" t="e">
        <f aca="false">IF(OR(BF93&lt;&gt;0,BG93&lt;&gt;0),xSPRDOPT($BW93,$BV93,$CG93,0,$BY93,$BX93,$BZ93,$AJ93,1,12)*$CB93,0)</f>
        <v>#NAME?</v>
      </c>
      <c r="BI93" s="370" t="e">
        <f aca="false">xSPRDOPT($BW93,$BV93,$CG93,2*LN(1+CA93/2),$BY93,$BX93,$BZ93,$AJ93,1,9)</f>
        <v>#NAME?</v>
      </c>
      <c r="BJ93" s="370" t="e">
        <f aca="false">xSPRDOPT($BW93,$BV93,$CG93,0,$BY93,$BX93,$BZ93,$AJ93,1,6)*$CB93</f>
        <v>#NAME?</v>
      </c>
      <c r="BK93" s="370" t="e">
        <f aca="false">xSPRDOPT($BW93,$BV93,$CG93,0,$BY93,$BX93,$BZ93,$AJ93,1,5)*$CB93</f>
        <v>#NAME?</v>
      </c>
      <c r="BL93" s="370" t="e">
        <f aca="false">xSPRDOPT(BW93,BV93,CG93,0,BY93,BX93,BZ93,AJ93,1,2)*CB93</f>
        <v>#NAME?</v>
      </c>
      <c r="BM93" s="370" t="e">
        <f aca="false">xSPRDOPT(BW93,BV93,CG93,0,BY93,BX93,BZ93,AJ93,1,1)*CB93</f>
        <v>#NAME?</v>
      </c>
      <c r="BN93" s="370" t="e">
        <f aca="false">IF(AH93&lt;&gt;0,xSPRDOPT($BW93,$BV93,$CG93,2*LN(1+CA93/2),$BY93,$BX93,$BZ93,$AJ93,1,8)+(AJ93/365.25)*CH93/AH93,0)</f>
        <v>#VALUE!</v>
      </c>
      <c r="BO93" s="370" t="e">
        <f aca="false">xSPRDOPT($BW93,$BV93,$CG93,0,$BY93,$BX93,$BZ93,$AJ93,1,0)</f>
        <v>#NAME?</v>
      </c>
      <c r="BP93" s="370"/>
      <c r="BQ93" s="370"/>
      <c r="BR93" s="370"/>
      <c r="BS93" s="370"/>
      <c r="BV93" s="508" t="n">
        <v>3.25401606425703</v>
      </c>
      <c r="BW93" s="369" t="n">
        <v>3.251</v>
      </c>
      <c r="BX93" s="370" t="n">
        <v>0.54</v>
      </c>
      <c r="BY93" s="370" t="n">
        <v>0.54</v>
      </c>
      <c r="BZ93" s="370" t="n">
        <v>0</v>
      </c>
      <c r="CA93" s="370" t="n">
        <v>0.0232740649677528</v>
      </c>
      <c r="CB93" s="370" t="n">
        <v>0</v>
      </c>
      <c r="CC93" s="505" t="n">
        <v>0</v>
      </c>
      <c r="CD93" s="505" t="n">
        <v>0.03</v>
      </c>
      <c r="CE93" s="505" t="n">
        <v>0.04</v>
      </c>
      <c r="CF93" s="505" t="n">
        <v>0</v>
      </c>
      <c r="CG93" s="505" t="n">
        <v>0.0006</v>
      </c>
      <c r="CH93" s="505" t="n">
        <v>0</v>
      </c>
      <c r="CI93" s="505" t="n">
        <v>3.211</v>
      </c>
      <c r="CJ93" s="505"/>
      <c r="CK93" s="505"/>
      <c r="CL93" s="505"/>
      <c r="CM93" s="505"/>
    </row>
    <row r="94" customFormat="false" ht="12.75" hidden="false" customHeight="false" outlineLevel="0" collapsed="false">
      <c r="A94" s="500"/>
      <c r="B94" s="500"/>
      <c r="D94" s="361" t="e">
        <f aca="false">D93+AH93</f>
        <v>#VALUE!</v>
      </c>
      <c r="F94" s="362" t="e">
        <f aca="false">VLOOKUP(AG94,$AL$4:$AS$15,2)</f>
        <v>#VALUE!</v>
      </c>
      <c r="G94" s="362" t="e">
        <f aca="false">F94*$AU94</f>
        <v>#VALUE!</v>
      </c>
      <c r="H94" s="363" t="e">
        <f aca="false">(AL94+AM94+AN94)/(1-(AR94))</f>
        <v>#VALUE!</v>
      </c>
      <c r="I94" s="363" t="e">
        <f aca="false">(AL94+AO94+AP94)</f>
        <v>#VALUE!</v>
      </c>
      <c r="K94" s="363" t="e">
        <f aca="false">MAX(((I94-H94)-AQ94)*AU94*AH94,0)</f>
        <v>#VALUE!</v>
      </c>
      <c r="L94" s="501" t="e">
        <f aca="false">MAX(Q94-K94,0)</f>
        <v>#VALUE!</v>
      </c>
      <c r="N94" s="502" t="e">
        <f aca="false">SQRT(($AX94^2*($AH94/2)+$AW94^2*$AI94)/(($AH94/2)+$AI94))</f>
        <v>#VALUE!</v>
      </c>
      <c r="O94" s="502" t="e">
        <f aca="false">SQRT(($AY94^2*($AH94/2)+$AW94^2*$AI94)/(($AH94/2)+$AI94))</f>
        <v>#VALUE!</v>
      </c>
      <c r="P94" s="371" t="e">
        <f aca="false">(VLOOKUP(AI94,CorrelationTwo,2)*(AW94^2)*AI94+VLOOKUP(D94,CorrelationOne,$AK$9)*AX94*AY94*(AH94/2))/((AI94+(AH94/2))*O94*N94)*AF94</f>
        <v>#VALUE!</v>
      </c>
      <c r="Q94" s="501" t="e">
        <f aca="false">xSPRDOPT(I94,H94,AQ94,0,O94,N94,P94,D94-$G$5,1,0)*AH94*AU94</f>
        <v>#VALUE!</v>
      </c>
      <c r="R94" s="501"/>
      <c r="S94" s="365" t="e">
        <f aca="false">xSPRDOPT(I94,H94,AQ94,AT94,O94,N94,P94,D94-$G$5,1,2)*AF94*(F94/(1-AR94))*AH94</f>
        <v>#VALUE!</v>
      </c>
      <c r="T94" s="365" t="e">
        <f aca="false">xSPRDOPT(I94,H94,AQ94,AT94,O94,N94,P94,D94-$G$5,1,1)*AF94*F94*AH94</f>
        <v>#VALUE!</v>
      </c>
      <c r="U94" s="501"/>
      <c r="V94" s="503" t="e">
        <f aca="false">VLOOKUP($AG94,$AL$4:$AS$15,8)*AH94*AU94</f>
        <v>#VALUE!</v>
      </c>
      <c r="W94" s="503"/>
      <c r="X94" s="504" t="e">
        <f aca="false">((BM94*BC94)+(BL94*BB94))*AH94*F94</f>
        <v>#VALUE!</v>
      </c>
      <c r="Y94" s="504" t="e">
        <f aca="false">($F94*$AH94)*((($BG94/2)*($BC94)^2)+(($BF94/2)*($BB94)^2)+($BH94*$BC94*$BB94))</f>
        <v>#VALUE!</v>
      </c>
      <c r="Z94" s="504" t="e">
        <f aca="false">($BI94*$F94*$AH94*($G$5-$BV$5))/365.25</f>
        <v>#VALUE!</v>
      </c>
      <c r="AA94" s="504" t="e">
        <f aca="false">(($BK94*$BE94)+($BJ94*$BD94))*$F94*$AH94*$AF94</f>
        <v>#VALUE!</v>
      </c>
      <c r="AB94" s="504" t="e">
        <f aca="false">BN94*(AT94-CA94)*F94*AH94</f>
        <v>#VALUE!</v>
      </c>
      <c r="AC94" s="504" t="e">
        <f aca="false">BO94*CB94*F94*AH94*CA94*($G$5-$BV$5)/365.25</f>
        <v>#NAME?</v>
      </c>
      <c r="AF94" s="378" t="e">
        <f aca="false">IF(AND(D94&gt;=$G$7,D94&lt;=$G$8),1,0)</f>
        <v>#VALUE!</v>
      </c>
      <c r="AG94" s="378" t="e">
        <f aca="false">MONTH(D94)</f>
        <v>#VALUE!</v>
      </c>
      <c r="AH94" s="378" t="e">
        <f aca="false">(EOMONTH(D94,0)-EOMONTH(D94-DAY(D94),0))*AF94</f>
        <v>#VALUE!</v>
      </c>
      <c r="AI94" s="378" t="e">
        <f aca="false">AI93+AH93</f>
        <v>#VALUE!</v>
      </c>
      <c r="AJ94" s="378" t="e">
        <f aca="false">D94-$BV$5</f>
        <v>#VALUE!</v>
      </c>
      <c r="AL94" s="369" t="e">
        <f aca="false">VLOOKUP($D94,CurveTbl,$AK$4)</f>
        <v>#VALUE!</v>
      </c>
      <c r="AM94" s="505" t="e">
        <f aca="false">VLOOKUP($D94,CurveTbl,$AH$3)</f>
        <v>#VALUE!</v>
      </c>
      <c r="AN94" s="505" t="e">
        <f aca="false">VLOOKUP($D94,CurveTbl,$AH$4)+VLOOKUP($AG94,$AL$3:$AS$15,6)</f>
        <v>#VALUE!</v>
      </c>
      <c r="AO94" s="505" t="e">
        <f aca="false">VLOOKUP($D94,CurveTbl,$AH$5)</f>
        <v>#VALUE!</v>
      </c>
      <c r="AP94" s="505" t="e">
        <f aca="false">VLOOKUP($D94,CurveTbl,$AH$6)+VLOOKUP($AG94,$AL$3:$AS$15,7)</f>
        <v>#VALUE!</v>
      </c>
      <c r="AQ94" s="369" t="e">
        <f aca="false">VLOOKUP($AG94,$AL$4:$AS$15,3)+VLOOKUP($AG94,$AL$4:$AS$15,5)+($AH$10*VLOOKUP(D94,GRITable,2))</f>
        <v>#VALUE!</v>
      </c>
      <c r="AR94" s="370" t="e">
        <f aca="false">VLOOKUP($AG94,$AL$4:$AS$15,4)</f>
        <v>#VALUE!</v>
      </c>
      <c r="AS94" s="369" t="e">
        <f aca="false">(AL94+AM94+AN94)</f>
        <v>#VALUE!</v>
      </c>
      <c r="AT94" s="370" t="e">
        <f aca="false">VLOOKUP(D94,CurveTbl,$AK$6)</f>
        <v>#VALUE!</v>
      </c>
      <c r="AU94" s="370" t="e">
        <f aca="false">(1+$AT94/2)^(-2*($D94-$G$5)/365.25)*$AF94</f>
        <v>#VALUE!</v>
      </c>
      <c r="AV94" s="506" t="e">
        <f aca="false">ROUND((F94/(1-AR94))-F94,0)*AF94*AH94*AU94</f>
        <v>#VALUE!</v>
      </c>
      <c r="AW94" s="370" t="e">
        <f aca="false">VLOOKUP($D94,CurveTbl,$AK$8)</f>
        <v>#VALUE!</v>
      </c>
      <c r="AX94" s="370" t="e">
        <f aca="false">VLOOKUP($D94,CurveTbl,$AH$7)</f>
        <v>#VALUE!</v>
      </c>
      <c r="AY94" s="370" t="e">
        <f aca="false">VLOOKUP($D94,CurveTbl,$AH$8)</f>
        <v>#VALUE!</v>
      </c>
      <c r="AZ94" s="370"/>
      <c r="BA94" s="507"/>
      <c r="BB94" s="505" t="e">
        <f aca="false">$H94-$BV94</f>
        <v>#VALUE!</v>
      </c>
      <c r="BC94" s="505" t="e">
        <f aca="false">I94-BW94</f>
        <v>#VALUE!</v>
      </c>
      <c r="BD94" s="370" t="e">
        <f aca="false">N94-BX94</f>
        <v>#VALUE!</v>
      </c>
      <c r="BE94" s="370" t="e">
        <f aca="false">O94-BY94</f>
        <v>#VALUE!</v>
      </c>
      <c r="BF94" s="370" t="e">
        <f aca="false">xSPRDOPT($BW94,$BV94,$CG94,0,$BY94,$BX94,$BZ94,$AJ94,1,4)*$CB94</f>
        <v>#NAME?</v>
      </c>
      <c r="BG94" s="370" t="e">
        <f aca="false">xSPRDOPT($BW94,$BV94,$CG94,0,$BY94,$BX94,$BZ94,$AJ94,1,3)*$CB94</f>
        <v>#NAME?</v>
      </c>
      <c r="BH94" s="370" t="e">
        <f aca="false">IF(OR(BF94&lt;&gt;0,BG94&lt;&gt;0),xSPRDOPT($BW94,$BV94,$CG94,0,$BY94,$BX94,$BZ94,$AJ94,1,12)*$CB94,0)</f>
        <v>#NAME?</v>
      </c>
      <c r="BI94" s="370" t="e">
        <f aca="false">xSPRDOPT($BW94,$BV94,$CG94,2*LN(1+CA94/2),$BY94,$BX94,$BZ94,$AJ94,1,9)</f>
        <v>#NAME?</v>
      </c>
      <c r="BJ94" s="370" t="e">
        <f aca="false">xSPRDOPT($BW94,$BV94,$CG94,0,$BY94,$BX94,$BZ94,$AJ94,1,6)*$CB94</f>
        <v>#NAME?</v>
      </c>
      <c r="BK94" s="370" t="e">
        <f aca="false">xSPRDOPT($BW94,$BV94,$CG94,0,$BY94,$BX94,$BZ94,$AJ94,1,5)*$CB94</f>
        <v>#NAME?</v>
      </c>
      <c r="BL94" s="370" t="e">
        <f aca="false">xSPRDOPT(BW94,BV94,CG94,0,BY94,BX94,BZ94,AJ94,1,2)*CB94</f>
        <v>#NAME?</v>
      </c>
      <c r="BM94" s="370" t="e">
        <f aca="false">xSPRDOPT(BW94,BV94,CG94,0,BY94,BX94,BZ94,AJ94,1,1)*CB94</f>
        <v>#NAME?</v>
      </c>
      <c r="BN94" s="370" t="e">
        <f aca="false">IF(AH94&lt;&gt;0,xSPRDOPT($BW94,$BV94,$CG94,2*LN(1+CA94/2),$BY94,$BX94,$BZ94,$AJ94,1,8)+(AJ94/365.25)*CH94/AH94,0)</f>
        <v>#VALUE!</v>
      </c>
      <c r="BO94" s="370" t="e">
        <f aca="false">xSPRDOPT($BW94,$BV94,$CG94,0,$BY94,$BX94,$BZ94,$AJ94,1,0)</f>
        <v>#NAME?</v>
      </c>
      <c r="BP94" s="370"/>
      <c r="BQ94" s="370"/>
      <c r="BR94" s="370"/>
      <c r="BS94" s="370"/>
      <c r="BV94" s="508" t="n">
        <v>3.25401606425703</v>
      </c>
      <c r="BW94" s="369" t="n">
        <v>3.251</v>
      </c>
      <c r="BX94" s="370" t="n">
        <v>0.54</v>
      </c>
      <c r="BY94" s="370" t="n">
        <v>0.54</v>
      </c>
      <c r="BZ94" s="370" t="n">
        <v>0</v>
      </c>
      <c r="CA94" s="370" t="n">
        <v>0.0232740649677528</v>
      </c>
      <c r="CB94" s="370" t="n">
        <v>0</v>
      </c>
      <c r="CC94" s="505" t="n">
        <v>0</v>
      </c>
      <c r="CD94" s="505" t="n">
        <v>0.03</v>
      </c>
      <c r="CE94" s="505" t="n">
        <v>0.04</v>
      </c>
      <c r="CF94" s="505" t="n">
        <v>0</v>
      </c>
      <c r="CG94" s="505" t="n">
        <v>0.0006</v>
      </c>
      <c r="CH94" s="505" t="n">
        <v>0</v>
      </c>
      <c r="CI94" s="505" t="n">
        <v>3.211</v>
      </c>
      <c r="CJ94" s="505"/>
      <c r="CK94" s="505"/>
      <c r="CL94" s="505"/>
      <c r="CM94" s="505"/>
    </row>
    <row r="95" customFormat="false" ht="12.75" hidden="false" customHeight="false" outlineLevel="0" collapsed="false">
      <c r="A95" s="500"/>
      <c r="B95" s="500"/>
      <c r="D95" s="361" t="e">
        <f aca="false">D94+AH94</f>
        <v>#VALUE!</v>
      </c>
      <c r="F95" s="362" t="e">
        <f aca="false">VLOOKUP(AG95,$AL$4:$AS$15,2)</f>
        <v>#VALUE!</v>
      </c>
      <c r="G95" s="362" t="e">
        <f aca="false">F95*$AU95</f>
        <v>#VALUE!</v>
      </c>
      <c r="H95" s="363" t="e">
        <f aca="false">(AL95+AM95+AN95)/(1-(AR95))</f>
        <v>#VALUE!</v>
      </c>
      <c r="I95" s="363" t="e">
        <f aca="false">(AL95+AO95+AP95)</f>
        <v>#VALUE!</v>
      </c>
      <c r="K95" s="363" t="e">
        <f aca="false">MAX(((I95-H95)-AQ95)*AU95*AH95,0)</f>
        <v>#VALUE!</v>
      </c>
      <c r="L95" s="501" t="e">
        <f aca="false">MAX(Q95-K95,0)</f>
        <v>#VALUE!</v>
      </c>
      <c r="N95" s="502" t="e">
        <f aca="false">SQRT(($AX95^2*($AH95/2)+$AW95^2*$AI95)/(($AH95/2)+$AI95))</f>
        <v>#VALUE!</v>
      </c>
      <c r="O95" s="502" t="e">
        <f aca="false">SQRT(($AY95^2*($AH95/2)+$AW95^2*$AI95)/(($AH95/2)+$AI95))</f>
        <v>#VALUE!</v>
      </c>
      <c r="P95" s="371" t="e">
        <f aca="false">(VLOOKUP(AI95,CorrelationTwo,2)*(AW95^2)*AI95+VLOOKUP(D95,CorrelationOne,$AK$9)*AX95*AY95*(AH95/2))/((AI95+(AH95/2))*O95*N95)*AF95</f>
        <v>#VALUE!</v>
      </c>
      <c r="Q95" s="501" t="e">
        <f aca="false">xSPRDOPT(I95,H95,AQ95,0,O95,N95,P95,D95-$G$5,1,0)*AH95*AU95</f>
        <v>#VALUE!</v>
      </c>
      <c r="R95" s="501"/>
      <c r="S95" s="365" t="e">
        <f aca="false">xSPRDOPT(I95,H95,AQ95,AT95,O95,N95,P95,D95-$G$5,1,2)*AF95*(F95/(1-AR95))*AH95</f>
        <v>#VALUE!</v>
      </c>
      <c r="T95" s="365" t="e">
        <f aca="false">xSPRDOPT(I95,H95,AQ95,AT95,O95,N95,P95,D95-$G$5,1,1)*AF95*F95*AH95</f>
        <v>#VALUE!</v>
      </c>
      <c r="U95" s="501"/>
      <c r="V95" s="503" t="e">
        <f aca="false">VLOOKUP($AG95,$AL$4:$AS$15,8)*AH95*AU95</f>
        <v>#VALUE!</v>
      </c>
      <c r="W95" s="503"/>
      <c r="X95" s="504" t="e">
        <f aca="false">((BM95*BC95)+(BL95*BB95))*AH95*F95</f>
        <v>#VALUE!</v>
      </c>
      <c r="Y95" s="504" t="e">
        <f aca="false">($F95*$AH95)*((($BG95/2)*($BC95)^2)+(($BF95/2)*($BB95)^2)+($BH95*$BC95*$BB95))</f>
        <v>#VALUE!</v>
      </c>
      <c r="Z95" s="504" t="e">
        <f aca="false">($BI95*$F95*$AH95*($G$5-$BV$5))/365.25</f>
        <v>#VALUE!</v>
      </c>
      <c r="AA95" s="504" t="e">
        <f aca="false">(($BK95*$BE95)+($BJ95*$BD95))*$F95*$AH95*$AF95</f>
        <v>#VALUE!</v>
      </c>
      <c r="AB95" s="504" t="e">
        <f aca="false">BN95*(AT95-CA95)*F95*AH95</f>
        <v>#VALUE!</v>
      </c>
      <c r="AC95" s="504" t="e">
        <f aca="false">BO95*CB95*F95*AH95*CA95*($G$5-$BV$5)/365.25</f>
        <v>#NAME?</v>
      </c>
      <c r="AF95" s="378" t="e">
        <f aca="false">IF(AND(D95&gt;=$G$7,D95&lt;=$G$8),1,0)</f>
        <v>#VALUE!</v>
      </c>
      <c r="AG95" s="378" t="e">
        <f aca="false">MONTH(D95)</f>
        <v>#VALUE!</v>
      </c>
      <c r="AH95" s="378" t="e">
        <f aca="false">(EOMONTH(D95,0)-EOMONTH(D95-DAY(D95),0))*AF95</f>
        <v>#VALUE!</v>
      </c>
      <c r="AI95" s="378" t="e">
        <f aca="false">AI94+AH94</f>
        <v>#VALUE!</v>
      </c>
      <c r="AJ95" s="378" t="e">
        <f aca="false">D95-$BV$5</f>
        <v>#VALUE!</v>
      </c>
      <c r="AL95" s="369" t="e">
        <f aca="false">VLOOKUP($D95,CurveTbl,$AK$4)</f>
        <v>#VALUE!</v>
      </c>
      <c r="AM95" s="505" t="e">
        <f aca="false">VLOOKUP($D95,CurveTbl,$AH$3)</f>
        <v>#VALUE!</v>
      </c>
      <c r="AN95" s="505" t="e">
        <f aca="false">VLOOKUP($D95,CurveTbl,$AH$4)+VLOOKUP($AG95,$AL$3:$AS$15,6)</f>
        <v>#VALUE!</v>
      </c>
      <c r="AO95" s="505" t="e">
        <f aca="false">VLOOKUP($D95,CurveTbl,$AH$5)</f>
        <v>#VALUE!</v>
      </c>
      <c r="AP95" s="505" t="e">
        <f aca="false">VLOOKUP($D95,CurveTbl,$AH$6)+VLOOKUP($AG95,$AL$3:$AS$15,7)</f>
        <v>#VALUE!</v>
      </c>
      <c r="AQ95" s="369" t="e">
        <f aca="false">VLOOKUP($AG95,$AL$4:$AS$15,3)+VLOOKUP($AG95,$AL$4:$AS$15,5)+($AH$10*VLOOKUP(D95,GRITable,2))</f>
        <v>#VALUE!</v>
      </c>
      <c r="AR95" s="370" t="e">
        <f aca="false">VLOOKUP($AG95,$AL$4:$AS$15,4)</f>
        <v>#VALUE!</v>
      </c>
      <c r="AS95" s="369" t="e">
        <f aca="false">(AL95+AM95+AN95)</f>
        <v>#VALUE!</v>
      </c>
      <c r="AT95" s="370" t="e">
        <f aca="false">VLOOKUP(D95,CurveTbl,$AK$6)</f>
        <v>#VALUE!</v>
      </c>
      <c r="AU95" s="370" t="e">
        <f aca="false">(1+$AT95/2)^(-2*($D95-$G$5)/365.25)*$AF95</f>
        <v>#VALUE!</v>
      </c>
      <c r="AV95" s="506" t="e">
        <f aca="false">ROUND((F95/(1-AR95))-F95,0)*AF95*AH95*AU95</f>
        <v>#VALUE!</v>
      </c>
      <c r="AW95" s="370" t="e">
        <f aca="false">VLOOKUP($D95,CurveTbl,$AK$8)</f>
        <v>#VALUE!</v>
      </c>
      <c r="AX95" s="370" t="e">
        <f aca="false">VLOOKUP($D95,CurveTbl,$AH$7)</f>
        <v>#VALUE!</v>
      </c>
      <c r="AY95" s="370" t="e">
        <f aca="false">VLOOKUP($D95,CurveTbl,$AH$8)</f>
        <v>#VALUE!</v>
      </c>
      <c r="AZ95" s="370"/>
      <c r="BA95" s="507"/>
      <c r="BB95" s="505" t="e">
        <f aca="false">$H95-$BV95</f>
        <v>#VALUE!</v>
      </c>
      <c r="BC95" s="505" t="e">
        <f aca="false">I95-BW95</f>
        <v>#VALUE!</v>
      </c>
      <c r="BD95" s="370" t="e">
        <f aca="false">N95-BX95</f>
        <v>#VALUE!</v>
      </c>
      <c r="BE95" s="370" t="e">
        <f aca="false">O95-BY95</f>
        <v>#VALUE!</v>
      </c>
      <c r="BF95" s="370" t="e">
        <f aca="false">xSPRDOPT($BW95,$BV95,$CG95,0,$BY95,$BX95,$BZ95,$AJ95,1,4)*$CB95</f>
        <v>#NAME?</v>
      </c>
      <c r="BG95" s="370" t="e">
        <f aca="false">xSPRDOPT($BW95,$BV95,$CG95,0,$BY95,$BX95,$BZ95,$AJ95,1,3)*$CB95</f>
        <v>#NAME?</v>
      </c>
      <c r="BH95" s="370" t="e">
        <f aca="false">IF(OR(BF95&lt;&gt;0,BG95&lt;&gt;0),xSPRDOPT($BW95,$BV95,$CG95,0,$BY95,$BX95,$BZ95,$AJ95,1,12)*$CB95,0)</f>
        <v>#NAME?</v>
      </c>
      <c r="BI95" s="370" t="e">
        <f aca="false">xSPRDOPT($BW95,$BV95,$CG95,2*LN(1+CA95/2),$BY95,$BX95,$BZ95,$AJ95,1,9)</f>
        <v>#NAME?</v>
      </c>
      <c r="BJ95" s="370" t="e">
        <f aca="false">xSPRDOPT($BW95,$BV95,$CG95,0,$BY95,$BX95,$BZ95,$AJ95,1,6)*$CB95</f>
        <v>#NAME?</v>
      </c>
      <c r="BK95" s="370" t="e">
        <f aca="false">xSPRDOPT($BW95,$BV95,$CG95,0,$BY95,$BX95,$BZ95,$AJ95,1,5)*$CB95</f>
        <v>#NAME?</v>
      </c>
      <c r="BL95" s="370" t="e">
        <f aca="false">xSPRDOPT(BW95,BV95,CG95,0,BY95,BX95,BZ95,AJ95,1,2)*CB95</f>
        <v>#NAME?</v>
      </c>
      <c r="BM95" s="370" t="e">
        <f aca="false">xSPRDOPT(BW95,BV95,CG95,0,BY95,BX95,BZ95,AJ95,1,1)*CB95</f>
        <v>#NAME?</v>
      </c>
      <c r="BN95" s="370" t="e">
        <f aca="false">IF(AH95&lt;&gt;0,xSPRDOPT($BW95,$BV95,$CG95,2*LN(1+CA95/2),$BY95,$BX95,$BZ95,$AJ95,1,8)+(AJ95/365.25)*CH95/AH95,0)</f>
        <v>#VALUE!</v>
      </c>
      <c r="BO95" s="370" t="e">
        <f aca="false">xSPRDOPT($BW95,$BV95,$CG95,0,$BY95,$BX95,$BZ95,$AJ95,1,0)</f>
        <v>#NAME?</v>
      </c>
      <c r="BP95" s="370"/>
      <c r="BQ95" s="370"/>
      <c r="BR95" s="370"/>
      <c r="BS95" s="370"/>
      <c r="BV95" s="508" t="n">
        <v>3.25401606425703</v>
      </c>
      <c r="BW95" s="369" t="n">
        <v>3.251</v>
      </c>
      <c r="BX95" s="370" t="n">
        <v>0.54</v>
      </c>
      <c r="BY95" s="370" t="n">
        <v>0.54</v>
      </c>
      <c r="BZ95" s="370" t="n">
        <v>0</v>
      </c>
      <c r="CA95" s="370" t="n">
        <v>0.0232740649677528</v>
      </c>
      <c r="CB95" s="370" t="n">
        <v>0</v>
      </c>
      <c r="CC95" s="505" t="n">
        <v>0</v>
      </c>
      <c r="CD95" s="505" t="n">
        <v>0.03</v>
      </c>
      <c r="CE95" s="505" t="n">
        <v>0.04</v>
      </c>
      <c r="CF95" s="505" t="n">
        <v>0</v>
      </c>
      <c r="CG95" s="505" t="n">
        <v>0.0006</v>
      </c>
      <c r="CH95" s="505" t="n">
        <v>0</v>
      </c>
      <c r="CI95" s="505" t="n">
        <v>3.211</v>
      </c>
      <c r="CJ95" s="505"/>
      <c r="CK95" s="505"/>
      <c r="CL95" s="505"/>
      <c r="CM95" s="505"/>
    </row>
    <row r="96" customFormat="false" ht="12.75" hidden="false" customHeight="false" outlineLevel="0" collapsed="false">
      <c r="A96" s="500"/>
      <c r="B96" s="500"/>
      <c r="D96" s="361" t="e">
        <f aca="false">D95+AH95</f>
        <v>#VALUE!</v>
      </c>
      <c r="F96" s="362" t="e">
        <f aca="false">VLOOKUP(AG96,$AL$4:$AS$15,2)</f>
        <v>#VALUE!</v>
      </c>
      <c r="G96" s="362" t="e">
        <f aca="false">F96*$AU96</f>
        <v>#VALUE!</v>
      </c>
      <c r="H96" s="363" t="e">
        <f aca="false">(AL96+AM96+AN96)/(1-(AR96))</f>
        <v>#VALUE!</v>
      </c>
      <c r="I96" s="363" t="e">
        <f aca="false">(AL96+AO96+AP96)</f>
        <v>#VALUE!</v>
      </c>
      <c r="K96" s="363" t="e">
        <f aca="false">MAX(((I96-H96)-AQ96)*AU96*AH96,0)</f>
        <v>#VALUE!</v>
      </c>
      <c r="L96" s="501" t="e">
        <f aca="false">MAX(Q96-K96,0)</f>
        <v>#VALUE!</v>
      </c>
      <c r="N96" s="502" t="e">
        <f aca="false">SQRT(($AX96^2*($AH96/2)+$AW96^2*$AI96)/(($AH96/2)+$AI96))</f>
        <v>#VALUE!</v>
      </c>
      <c r="O96" s="502" t="e">
        <f aca="false">SQRT(($AY96^2*($AH96/2)+$AW96^2*$AI96)/(($AH96/2)+$AI96))</f>
        <v>#VALUE!</v>
      </c>
      <c r="P96" s="371" t="e">
        <f aca="false">(VLOOKUP(AI96,CorrelationTwo,2)*(AW96^2)*AI96+VLOOKUP(D96,CorrelationOne,$AK$9)*AX96*AY96*(AH96/2))/((AI96+(AH96/2))*O96*N96)*AF96</f>
        <v>#VALUE!</v>
      </c>
      <c r="Q96" s="501" t="e">
        <f aca="false">xSPRDOPT(I96,H96,AQ96,0,O96,N96,P96,D96-$G$5,1,0)*AH96*AU96</f>
        <v>#VALUE!</v>
      </c>
      <c r="R96" s="501"/>
      <c r="S96" s="365" t="e">
        <f aca="false">xSPRDOPT(I96,H96,AQ96,AT96,O96,N96,P96,D96-$G$5,1,2)*AF96*(F96/(1-AR96))*AH96</f>
        <v>#VALUE!</v>
      </c>
      <c r="T96" s="365" t="e">
        <f aca="false">xSPRDOPT(I96,H96,AQ96,AT96,O96,N96,P96,D96-$G$5,1,1)*AF96*F96*AH96</f>
        <v>#VALUE!</v>
      </c>
      <c r="U96" s="501"/>
      <c r="V96" s="503" t="e">
        <f aca="false">VLOOKUP($AG96,$AL$4:$AS$15,8)*AH96*AU96</f>
        <v>#VALUE!</v>
      </c>
      <c r="W96" s="503"/>
      <c r="X96" s="504" t="e">
        <f aca="false">((BM96*BC96)+(BL96*BB96))*AH96*F96</f>
        <v>#VALUE!</v>
      </c>
      <c r="Y96" s="504" t="e">
        <f aca="false">($F96*$AH96)*((($BG96/2)*($BC96)^2)+(($BF96/2)*($BB96)^2)+($BH96*$BC96*$BB96))</f>
        <v>#VALUE!</v>
      </c>
      <c r="Z96" s="504" t="e">
        <f aca="false">($BI96*$F96*$AH96*($G$5-$BV$5))/365.25</f>
        <v>#VALUE!</v>
      </c>
      <c r="AA96" s="504" t="e">
        <f aca="false">(($BK96*$BE96)+($BJ96*$BD96))*$F96*$AH96*$AF96</f>
        <v>#VALUE!</v>
      </c>
      <c r="AB96" s="504" t="e">
        <f aca="false">BN96*(AT96-CA96)*F96*AH96</f>
        <v>#VALUE!</v>
      </c>
      <c r="AC96" s="504" t="e">
        <f aca="false">BO96*CB96*F96*AH96*CA96*($G$5-$BV$5)/365.25</f>
        <v>#NAME?</v>
      </c>
      <c r="AF96" s="378" t="e">
        <f aca="false">IF(AND(D96&gt;=$G$7,D96&lt;=$G$8),1,0)</f>
        <v>#VALUE!</v>
      </c>
      <c r="AG96" s="378" t="e">
        <f aca="false">MONTH(D96)</f>
        <v>#VALUE!</v>
      </c>
      <c r="AH96" s="378" t="e">
        <f aca="false">(EOMONTH(D96,0)-EOMONTH(D96-DAY(D96),0))*AF96</f>
        <v>#VALUE!</v>
      </c>
      <c r="AI96" s="378" t="e">
        <f aca="false">AI95+AH95</f>
        <v>#VALUE!</v>
      </c>
      <c r="AJ96" s="378" t="e">
        <f aca="false">D96-$BV$5</f>
        <v>#VALUE!</v>
      </c>
      <c r="AL96" s="369" t="e">
        <f aca="false">VLOOKUP($D96,CurveTbl,$AK$4)</f>
        <v>#VALUE!</v>
      </c>
      <c r="AM96" s="505" t="e">
        <f aca="false">VLOOKUP($D96,CurveTbl,$AH$3)</f>
        <v>#VALUE!</v>
      </c>
      <c r="AN96" s="505" t="e">
        <f aca="false">VLOOKUP($D96,CurveTbl,$AH$4)+VLOOKUP($AG96,$AL$3:$AS$15,6)</f>
        <v>#VALUE!</v>
      </c>
      <c r="AO96" s="505" t="e">
        <f aca="false">VLOOKUP($D96,CurveTbl,$AH$5)</f>
        <v>#VALUE!</v>
      </c>
      <c r="AP96" s="505" t="e">
        <f aca="false">VLOOKUP($D96,CurveTbl,$AH$6)+VLOOKUP($AG96,$AL$3:$AS$15,7)</f>
        <v>#VALUE!</v>
      </c>
      <c r="AQ96" s="369" t="e">
        <f aca="false">VLOOKUP($AG96,$AL$4:$AS$15,3)+VLOOKUP($AG96,$AL$4:$AS$15,5)+($AH$10*VLOOKUP(D96,GRITable,2))</f>
        <v>#VALUE!</v>
      </c>
      <c r="AR96" s="370" t="e">
        <f aca="false">VLOOKUP($AG96,$AL$4:$AS$15,4)</f>
        <v>#VALUE!</v>
      </c>
      <c r="AS96" s="369" t="e">
        <f aca="false">(AL96+AM96+AN96)</f>
        <v>#VALUE!</v>
      </c>
      <c r="AT96" s="370" t="e">
        <f aca="false">VLOOKUP(D96,CurveTbl,$AK$6)</f>
        <v>#VALUE!</v>
      </c>
      <c r="AU96" s="370" t="e">
        <f aca="false">(1+$AT96/2)^(-2*($D96-$G$5)/365.25)*$AF96</f>
        <v>#VALUE!</v>
      </c>
      <c r="AV96" s="506" t="e">
        <f aca="false">ROUND((F96/(1-AR96))-F96,0)*AF96*AH96*AU96</f>
        <v>#VALUE!</v>
      </c>
      <c r="AW96" s="370" t="e">
        <f aca="false">VLOOKUP($D96,CurveTbl,$AK$8)</f>
        <v>#VALUE!</v>
      </c>
      <c r="AX96" s="370" t="e">
        <f aca="false">VLOOKUP($D96,CurveTbl,$AH$7)</f>
        <v>#VALUE!</v>
      </c>
      <c r="AY96" s="370" t="e">
        <f aca="false">VLOOKUP($D96,CurveTbl,$AH$8)</f>
        <v>#VALUE!</v>
      </c>
      <c r="AZ96" s="370"/>
      <c r="BA96" s="507"/>
      <c r="BB96" s="505" t="e">
        <f aca="false">$H96-$BV96</f>
        <v>#VALUE!</v>
      </c>
      <c r="BC96" s="505" t="e">
        <f aca="false">I96-BW96</f>
        <v>#VALUE!</v>
      </c>
      <c r="BD96" s="370" t="e">
        <f aca="false">N96-BX96</f>
        <v>#VALUE!</v>
      </c>
      <c r="BE96" s="370" t="e">
        <f aca="false">O96-BY96</f>
        <v>#VALUE!</v>
      </c>
      <c r="BF96" s="370" t="e">
        <f aca="false">xSPRDOPT($BW96,$BV96,$CG96,0,$BY96,$BX96,$BZ96,$AJ96,1,4)*$CB96</f>
        <v>#NAME?</v>
      </c>
      <c r="BG96" s="370" t="e">
        <f aca="false">xSPRDOPT($BW96,$BV96,$CG96,0,$BY96,$BX96,$BZ96,$AJ96,1,3)*$CB96</f>
        <v>#NAME?</v>
      </c>
      <c r="BH96" s="370" t="e">
        <f aca="false">IF(OR(BF96&lt;&gt;0,BG96&lt;&gt;0),xSPRDOPT($BW96,$BV96,$CG96,0,$BY96,$BX96,$BZ96,$AJ96,1,12)*$CB96,0)</f>
        <v>#NAME?</v>
      </c>
      <c r="BI96" s="370" t="e">
        <f aca="false">xSPRDOPT($BW96,$BV96,$CG96,2*LN(1+CA96/2),$BY96,$BX96,$BZ96,$AJ96,1,9)</f>
        <v>#NAME?</v>
      </c>
      <c r="BJ96" s="370" t="e">
        <f aca="false">xSPRDOPT($BW96,$BV96,$CG96,0,$BY96,$BX96,$BZ96,$AJ96,1,6)*$CB96</f>
        <v>#NAME?</v>
      </c>
      <c r="BK96" s="370" t="e">
        <f aca="false">xSPRDOPT($BW96,$BV96,$CG96,0,$BY96,$BX96,$BZ96,$AJ96,1,5)*$CB96</f>
        <v>#NAME?</v>
      </c>
      <c r="BL96" s="370" t="e">
        <f aca="false">xSPRDOPT(BW96,BV96,CG96,0,BY96,BX96,BZ96,AJ96,1,2)*CB96</f>
        <v>#NAME?</v>
      </c>
      <c r="BM96" s="370" t="e">
        <f aca="false">xSPRDOPT(BW96,BV96,CG96,0,BY96,BX96,BZ96,AJ96,1,1)*CB96</f>
        <v>#NAME?</v>
      </c>
      <c r="BN96" s="370" t="e">
        <f aca="false">IF(AH96&lt;&gt;0,xSPRDOPT($BW96,$BV96,$CG96,2*LN(1+CA96/2),$BY96,$BX96,$BZ96,$AJ96,1,8)+(AJ96/365.25)*CH96/AH96,0)</f>
        <v>#VALUE!</v>
      </c>
      <c r="BO96" s="370" t="e">
        <f aca="false">xSPRDOPT($BW96,$BV96,$CG96,0,$BY96,$BX96,$BZ96,$AJ96,1,0)</f>
        <v>#NAME?</v>
      </c>
      <c r="BP96" s="370"/>
      <c r="BQ96" s="370"/>
      <c r="BR96" s="370"/>
      <c r="BS96" s="370"/>
      <c r="BV96" s="508" t="n">
        <v>3.25401606425703</v>
      </c>
      <c r="BW96" s="369" t="n">
        <v>3.251</v>
      </c>
      <c r="BX96" s="370" t="n">
        <v>0.54</v>
      </c>
      <c r="BY96" s="370" t="n">
        <v>0.54</v>
      </c>
      <c r="BZ96" s="370" t="n">
        <v>0</v>
      </c>
      <c r="CA96" s="370" t="n">
        <v>0.0232740649677528</v>
      </c>
      <c r="CB96" s="370" t="n">
        <v>0</v>
      </c>
      <c r="CC96" s="505" t="n">
        <v>0</v>
      </c>
      <c r="CD96" s="505" t="n">
        <v>0.03</v>
      </c>
      <c r="CE96" s="505" t="n">
        <v>0.04</v>
      </c>
      <c r="CF96" s="505" t="n">
        <v>0</v>
      </c>
      <c r="CG96" s="505" t="n">
        <v>0.0006</v>
      </c>
      <c r="CH96" s="505" t="n">
        <v>0</v>
      </c>
      <c r="CI96" s="505" t="n">
        <v>3.211</v>
      </c>
      <c r="CJ96" s="505"/>
      <c r="CK96" s="505"/>
      <c r="CL96" s="505"/>
      <c r="CM96" s="505"/>
    </row>
    <row r="97" customFormat="false" ht="12.75" hidden="false" customHeight="false" outlineLevel="0" collapsed="false">
      <c r="A97" s="500"/>
      <c r="B97" s="500"/>
      <c r="D97" s="361" t="e">
        <f aca="false">D96+AH96</f>
        <v>#VALUE!</v>
      </c>
      <c r="F97" s="362" t="e">
        <f aca="false">VLOOKUP(AG97,$AL$4:$AS$15,2)</f>
        <v>#VALUE!</v>
      </c>
      <c r="G97" s="362" t="e">
        <f aca="false">F97*$AU97</f>
        <v>#VALUE!</v>
      </c>
      <c r="H97" s="363" t="e">
        <f aca="false">(AL97+AM97+AN97)/(1-(AR97))</f>
        <v>#VALUE!</v>
      </c>
      <c r="I97" s="363" t="e">
        <f aca="false">(AL97+AO97+AP97)</f>
        <v>#VALUE!</v>
      </c>
      <c r="K97" s="363" t="e">
        <f aca="false">MAX(((I97-H97)-AQ97)*AU97*AH97,0)</f>
        <v>#VALUE!</v>
      </c>
      <c r="L97" s="501" t="e">
        <f aca="false">MAX(Q97-K97,0)</f>
        <v>#VALUE!</v>
      </c>
      <c r="N97" s="502" t="e">
        <f aca="false">SQRT(($AX97^2*($AH97/2)+$AW97^2*$AI97)/(($AH97/2)+$AI97))</f>
        <v>#VALUE!</v>
      </c>
      <c r="O97" s="502" t="e">
        <f aca="false">SQRT(($AY97^2*($AH97/2)+$AW97^2*$AI97)/(($AH97/2)+$AI97))</f>
        <v>#VALUE!</v>
      </c>
      <c r="P97" s="371" t="e">
        <f aca="false">(VLOOKUP(AI97,CorrelationTwo,2)*(AW97^2)*AI97+VLOOKUP(D97,CorrelationOne,$AK$9)*AX97*AY97*(AH97/2))/((AI97+(AH97/2))*O97*N97)*AF97</f>
        <v>#VALUE!</v>
      </c>
      <c r="Q97" s="501" t="e">
        <f aca="false">xSPRDOPT(I97,H97,AQ97,0,O97,N97,P97,D97-$G$5,1,0)*AH97*AU97</f>
        <v>#VALUE!</v>
      </c>
      <c r="R97" s="501"/>
      <c r="S97" s="365" t="e">
        <f aca="false">xSPRDOPT(I97,H97,AQ97,AT97,O97,N97,P97,D97-$G$5,1,2)*AF97*(F97/(1-AR97))*AH97</f>
        <v>#VALUE!</v>
      </c>
      <c r="T97" s="365" t="e">
        <f aca="false">xSPRDOPT(I97,H97,AQ97,AT97,O97,N97,P97,D97-$G$5,1,1)*AF97*F97*AH97</f>
        <v>#VALUE!</v>
      </c>
      <c r="U97" s="501"/>
      <c r="V97" s="503" t="e">
        <f aca="false">VLOOKUP($AG97,$AL$4:$AS$15,8)*AH97*AU97</f>
        <v>#VALUE!</v>
      </c>
      <c r="W97" s="503"/>
      <c r="X97" s="504" t="e">
        <f aca="false">((BM97*BC97)+(BL97*BB97))*AH97*F97</f>
        <v>#VALUE!</v>
      </c>
      <c r="Y97" s="504" t="e">
        <f aca="false">($F97*$AH97)*((($BG97/2)*($BC97)^2)+(($BF97/2)*($BB97)^2)+($BH97*$BC97*$BB97))</f>
        <v>#VALUE!</v>
      </c>
      <c r="Z97" s="504" t="e">
        <f aca="false">($BI97*$F97*$AH97*($G$5-$BV$5))/365.25</f>
        <v>#VALUE!</v>
      </c>
      <c r="AA97" s="504" t="e">
        <f aca="false">(($BK97*$BE97)+($BJ97*$BD97))*$F97*$AH97*$AF97</f>
        <v>#VALUE!</v>
      </c>
      <c r="AB97" s="504" t="e">
        <f aca="false">BN97*(AT97-CA97)*F97*AH97</f>
        <v>#VALUE!</v>
      </c>
      <c r="AC97" s="504" t="e">
        <f aca="false">BO97*CB97*F97*AH97*CA97*($G$5-$BV$5)/365.25</f>
        <v>#NAME?</v>
      </c>
      <c r="AF97" s="378" t="e">
        <f aca="false">IF(AND(D97&gt;=$G$7,D97&lt;=$G$8),1,0)</f>
        <v>#VALUE!</v>
      </c>
      <c r="AG97" s="378" t="e">
        <f aca="false">MONTH(D97)</f>
        <v>#VALUE!</v>
      </c>
      <c r="AH97" s="378" t="e">
        <f aca="false">(EOMONTH(D97,0)-EOMONTH(D97-DAY(D97),0))*AF97</f>
        <v>#VALUE!</v>
      </c>
      <c r="AI97" s="378" t="e">
        <f aca="false">AI96+AH96</f>
        <v>#VALUE!</v>
      </c>
      <c r="AJ97" s="378" t="e">
        <f aca="false">D97-$BV$5</f>
        <v>#VALUE!</v>
      </c>
      <c r="AL97" s="369" t="e">
        <f aca="false">VLOOKUP($D97,CurveTbl,$AK$4)</f>
        <v>#VALUE!</v>
      </c>
      <c r="AM97" s="505" t="e">
        <f aca="false">VLOOKUP($D97,CurveTbl,$AH$3)</f>
        <v>#VALUE!</v>
      </c>
      <c r="AN97" s="505" t="e">
        <f aca="false">VLOOKUP($D97,CurveTbl,$AH$4)+VLOOKUP($AG97,$AL$3:$AS$15,6)</f>
        <v>#VALUE!</v>
      </c>
      <c r="AO97" s="505" t="e">
        <f aca="false">VLOOKUP($D97,CurveTbl,$AH$5)</f>
        <v>#VALUE!</v>
      </c>
      <c r="AP97" s="505" t="e">
        <f aca="false">VLOOKUP($D97,CurveTbl,$AH$6)+VLOOKUP($AG97,$AL$3:$AS$15,7)</f>
        <v>#VALUE!</v>
      </c>
      <c r="AQ97" s="369" t="e">
        <f aca="false">VLOOKUP($AG97,$AL$4:$AS$15,3)+VLOOKUP($AG97,$AL$4:$AS$15,5)+($AH$10*VLOOKUP(D97,GRITable,2))</f>
        <v>#VALUE!</v>
      </c>
      <c r="AR97" s="370" t="e">
        <f aca="false">VLOOKUP($AG97,$AL$4:$AS$15,4)</f>
        <v>#VALUE!</v>
      </c>
      <c r="AS97" s="369" t="e">
        <f aca="false">(AL97+AM97+AN97)</f>
        <v>#VALUE!</v>
      </c>
      <c r="AT97" s="370" t="e">
        <f aca="false">VLOOKUP(D97,CurveTbl,$AK$6)</f>
        <v>#VALUE!</v>
      </c>
      <c r="AU97" s="370" t="e">
        <f aca="false">(1+$AT97/2)^(-2*($D97-$G$5)/365.25)*$AF97</f>
        <v>#VALUE!</v>
      </c>
      <c r="AV97" s="506" t="e">
        <f aca="false">ROUND((F97/(1-AR97))-F97,0)*AF97*AH97*AU97</f>
        <v>#VALUE!</v>
      </c>
      <c r="AW97" s="370" t="e">
        <f aca="false">VLOOKUP($D97,CurveTbl,$AK$8)</f>
        <v>#VALUE!</v>
      </c>
      <c r="AX97" s="370" t="e">
        <f aca="false">VLOOKUP($D97,CurveTbl,$AH$7)</f>
        <v>#VALUE!</v>
      </c>
      <c r="AY97" s="370" t="e">
        <f aca="false">VLOOKUP($D97,CurveTbl,$AH$8)</f>
        <v>#VALUE!</v>
      </c>
      <c r="AZ97" s="370"/>
      <c r="BA97" s="507"/>
      <c r="BB97" s="505" t="e">
        <f aca="false">$H97-$BV97</f>
        <v>#VALUE!</v>
      </c>
      <c r="BC97" s="505" t="e">
        <f aca="false">I97-BW97</f>
        <v>#VALUE!</v>
      </c>
      <c r="BD97" s="370" t="e">
        <f aca="false">N97-BX97</f>
        <v>#VALUE!</v>
      </c>
      <c r="BE97" s="370" t="e">
        <f aca="false">O97-BY97</f>
        <v>#VALUE!</v>
      </c>
      <c r="BF97" s="370" t="e">
        <f aca="false">xSPRDOPT($BW97,$BV97,$CG97,0,$BY97,$BX97,$BZ97,$AJ97,1,4)*$CB97</f>
        <v>#NAME?</v>
      </c>
      <c r="BG97" s="370" t="e">
        <f aca="false">xSPRDOPT($BW97,$BV97,$CG97,0,$BY97,$BX97,$BZ97,$AJ97,1,3)*$CB97</f>
        <v>#NAME?</v>
      </c>
      <c r="BH97" s="370" t="e">
        <f aca="false">IF(OR(BF97&lt;&gt;0,BG97&lt;&gt;0),xSPRDOPT($BW97,$BV97,$CG97,0,$BY97,$BX97,$BZ97,$AJ97,1,12)*$CB97,0)</f>
        <v>#NAME?</v>
      </c>
      <c r="BI97" s="370" t="e">
        <f aca="false">xSPRDOPT($BW97,$BV97,$CG97,2*LN(1+CA97/2),$BY97,$BX97,$BZ97,$AJ97,1,9)</f>
        <v>#NAME?</v>
      </c>
      <c r="BJ97" s="370" t="e">
        <f aca="false">xSPRDOPT($BW97,$BV97,$CG97,0,$BY97,$BX97,$BZ97,$AJ97,1,6)*$CB97</f>
        <v>#NAME?</v>
      </c>
      <c r="BK97" s="370" t="e">
        <f aca="false">xSPRDOPT($BW97,$BV97,$CG97,0,$BY97,$BX97,$BZ97,$AJ97,1,5)*$CB97</f>
        <v>#NAME?</v>
      </c>
      <c r="BL97" s="370" t="e">
        <f aca="false">xSPRDOPT(BW97,BV97,CG97,0,BY97,BX97,BZ97,AJ97,1,2)*CB97</f>
        <v>#NAME?</v>
      </c>
      <c r="BM97" s="370" t="e">
        <f aca="false">xSPRDOPT(BW97,BV97,CG97,0,BY97,BX97,BZ97,AJ97,1,1)*CB97</f>
        <v>#NAME?</v>
      </c>
      <c r="BN97" s="370" t="e">
        <f aca="false">IF(AH97&lt;&gt;0,xSPRDOPT($BW97,$BV97,$CG97,2*LN(1+CA97/2),$BY97,$BX97,$BZ97,$AJ97,1,8)+(AJ97/365.25)*CH97/AH97,0)</f>
        <v>#VALUE!</v>
      </c>
      <c r="BO97" s="370" t="e">
        <f aca="false">xSPRDOPT($BW97,$BV97,$CG97,0,$BY97,$BX97,$BZ97,$AJ97,1,0)</f>
        <v>#NAME?</v>
      </c>
      <c r="BP97" s="370"/>
      <c r="BQ97" s="370"/>
      <c r="BR97" s="370"/>
      <c r="BS97" s="370"/>
      <c r="BV97" s="508" t="n">
        <v>3.25401606425703</v>
      </c>
      <c r="BW97" s="369" t="n">
        <v>3.251</v>
      </c>
      <c r="BX97" s="370" t="n">
        <v>0.54</v>
      </c>
      <c r="BY97" s="370" t="n">
        <v>0.54</v>
      </c>
      <c r="BZ97" s="370" t="n">
        <v>0</v>
      </c>
      <c r="CA97" s="370" t="n">
        <v>0.0232740649677528</v>
      </c>
      <c r="CB97" s="370" t="n">
        <v>0</v>
      </c>
      <c r="CC97" s="505" t="n">
        <v>0</v>
      </c>
      <c r="CD97" s="505" t="n">
        <v>0.03</v>
      </c>
      <c r="CE97" s="505" t="n">
        <v>0.04</v>
      </c>
      <c r="CF97" s="505" t="n">
        <v>0</v>
      </c>
      <c r="CG97" s="505" t="n">
        <v>0.0006</v>
      </c>
      <c r="CH97" s="505" t="n">
        <v>0</v>
      </c>
      <c r="CI97" s="505" t="n">
        <v>3.211</v>
      </c>
      <c r="CJ97" s="505"/>
      <c r="CK97" s="505"/>
      <c r="CL97" s="505"/>
      <c r="CM97" s="505"/>
    </row>
    <row r="98" customFormat="false" ht="12.75" hidden="false" customHeight="false" outlineLevel="0" collapsed="false">
      <c r="A98" s="500"/>
      <c r="B98" s="500"/>
      <c r="D98" s="361" t="e">
        <f aca="false">D97+AH97</f>
        <v>#VALUE!</v>
      </c>
      <c r="F98" s="362" t="e">
        <f aca="false">VLOOKUP(AG98,$AL$4:$AS$15,2)</f>
        <v>#VALUE!</v>
      </c>
      <c r="G98" s="362" t="e">
        <f aca="false">F98*$AU98</f>
        <v>#VALUE!</v>
      </c>
      <c r="H98" s="363" t="e">
        <f aca="false">(AL98+AM98+AN98)/(1-(AR98))</f>
        <v>#VALUE!</v>
      </c>
      <c r="I98" s="363" t="e">
        <f aca="false">(AL98+AO98+AP98)</f>
        <v>#VALUE!</v>
      </c>
      <c r="K98" s="363" t="e">
        <f aca="false">MAX(((I98-H98)-AQ98)*AU98*AH98,0)</f>
        <v>#VALUE!</v>
      </c>
      <c r="L98" s="501" t="e">
        <f aca="false">MAX(Q98-K98,0)</f>
        <v>#VALUE!</v>
      </c>
      <c r="N98" s="502" t="e">
        <f aca="false">SQRT(($AX98^2*($AH98/2)+$AW98^2*$AI98)/(($AH98/2)+$AI98))</f>
        <v>#VALUE!</v>
      </c>
      <c r="O98" s="502" t="e">
        <f aca="false">SQRT(($AY98^2*($AH98/2)+$AW98^2*$AI98)/(($AH98/2)+$AI98))</f>
        <v>#VALUE!</v>
      </c>
      <c r="P98" s="371" t="e">
        <f aca="false">(VLOOKUP(AI98,CorrelationTwo,2)*(AW98^2)*AI98+VLOOKUP(D98,CorrelationOne,$AK$9)*AX98*AY98*(AH98/2))/((AI98+(AH98/2))*O98*N98)*AF98</f>
        <v>#VALUE!</v>
      </c>
      <c r="Q98" s="501" t="e">
        <f aca="false">xSPRDOPT(I98,H98,AQ98,0,O98,N98,P98,D98-$G$5,1,0)*AH98*AU98</f>
        <v>#VALUE!</v>
      </c>
      <c r="R98" s="501"/>
      <c r="S98" s="365" t="e">
        <f aca="false">xSPRDOPT(I98,H98,AQ98,AT98,O98,N98,P98,D98-$G$5,1,2)*AF98*(F98/(1-AR98))*AH98</f>
        <v>#VALUE!</v>
      </c>
      <c r="T98" s="365" t="e">
        <f aca="false">xSPRDOPT(I98,H98,AQ98,AT98,O98,N98,P98,D98-$G$5,1,1)*AF98*F98*AH98</f>
        <v>#VALUE!</v>
      </c>
      <c r="U98" s="501"/>
      <c r="V98" s="503" t="e">
        <f aca="false">VLOOKUP($AG98,$AL$4:$AS$15,8)*AH98*AU98</f>
        <v>#VALUE!</v>
      </c>
      <c r="W98" s="503"/>
      <c r="X98" s="504" t="e">
        <f aca="false">((BM98*BC98)+(BL98*BB98))*AH98*F98</f>
        <v>#VALUE!</v>
      </c>
      <c r="Y98" s="504" t="e">
        <f aca="false">($F98*$AH98)*((($BG98/2)*($BC98)^2)+(($BF98/2)*($BB98)^2)+($BH98*$BC98*$BB98))</f>
        <v>#VALUE!</v>
      </c>
      <c r="Z98" s="504" t="e">
        <f aca="false">($BI98*$F98*$AH98*($G$5-$BV$5))/365.25</f>
        <v>#VALUE!</v>
      </c>
      <c r="AA98" s="504" t="e">
        <f aca="false">(($BK98*$BE98)+($BJ98*$BD98))*$F98*$AH98*$AF98</f>
        <v>#VALUE!</v>
      </c>
      <c r="AB98" s="504" t="e">
        <f aca="false">BN98*(AT98-CA98)*F98*AH98</f>
        <v>#VALUE!</v>
      </c>
      <c r="AC98" s="504" t="e">
        <f aca="false">BO98*CB98*F98*AH98*CA98*($G$5-$BV$5)/365.25</f>
        <v>#NAME?</v>
      </c>
      <c r="AF98" s="378" t="e">
        <f aca="false">IF(AND(D98&gt;=$G$7,D98&lt;=$G$8),1,0)</f>
        <v>#VALUE!</v>
      </c>
      <c r="AG98" s="378" t="e">
        <f aca="false">MONTH(D98)</f>
        <v>#VALUE!</v>
      </c>
      <c r="AH98" s="378" t="e">
        <f aca="false">(EOMONTH(D98,0)-EOMONTH(D98-DAY(D98),0))*AF98</f>
        <v>#VALUE!</v>
      </c>
      <c r="AI98" s="378" t="e">
        <f aca="false">AI97+AH97</f>
        <v>#VALUE!</v>
      </c>
      <c r="AJ98" s="378" t="e">
        <f aca="false">D98-$BV$5</f>
        <v>#VALUE!</v>
      </c>
      <c r="AL98" s="369" t="e">
        <f aca="false">VLOOKUP($D98,CurveTbl,$AK$4)</f>
        <v>#VALUE!</v>
      </c>
      <c r="AM98" s="505" t="e">
        <f aca="false">VLOOKUP($D98,CurveTbl,$AH$3)</f>
        <v>#VALUE!</v>
      </c>
      <c r="AN98" s="505" t="e">
        <f aca="false">VLOOKUP($D98,CurveTbl,$AH$4)+VLOOKUP($AG98,$AL$3:$AS$15,6)</f>
        <v>#VALUE!</v>
      </c>
      <c r="AO98" s="505" t="e">
        <f aca="false">VLOOKUP($D98,CurveTbl,$AH$5)</f>
        <v>#VALUE!</v>
      </c>
      <c r="AP98" s="505" t="e">
        <f aca="false">VLOOKUP($D98,CurveTbl,$AH$6)+VLOOKUP($AG98,$AL$3:$AS$15,7)</f>
        <v>#VALUE!</v>
      </c>
      <c r="AQ98" s="369" t="e">
        <f aca="false">VLOOKUP($AG98,$AL$4:$AS$15,3)+VLOOKUP($AG98,$AL$4:$AS$15,5)+($AH$10*VLOOKUP(D98,GRITable,2))</f>
        <v>#VALUE!</v>
      </c>
      <c r="AR98" s="370" t="e">
        <f aca="false">VLOOKUP($AG98,$AL$4:$AS$15,4)</f>
        <v>#VALUE!</v>
      </c>
      <c r="AS98" s="369" t="e">
        <f aca="false">(AL98+AM98+AN98)</f>
        <v>#VALUE!</v>
      </c>
      <c r="AT98" s="370" t="e">
        <f aca="false">VLOOKUP(D98,CurveTbl,$AK$6)</f>
        <v>#VALUE!</v>
      </c>
      <c r="AU98" s="370" t="e">
        <f aca="false">(1+$AT98/2)^(-2*($D98-$G$5)/365.25)*$AF98</f>
        <v>#VALUE!</v>
      </c>
      <c r="AV98" s="506" t="e">
        <f aca="false">ROUND((F98/(1-AR98))-F98,0)*AF98*AH98*AU98</f>
        <v>#VALUE!</v>
      </c>
      <c r="AW98" s="370" t="e">
        <f aca="false">VLOOKUP($D98,CurveTbl,$AK$8)</f>
        <v>#VALUE!</v>
      </c>
      <c r="AX98" s="370" t="e">
        <f aca="false">VLOOKUP($D98,CurveTbl,$AH$7)</f>
        <v>#VALUE!</v>
      </c>
      <c r="AY98" s="370" t="e">
        <f aca="false">VLOOKUP($D98,CurveTbl,$AH$8)</f>
        <v>#VALUE!</v>
      </c>
      <c r="AZ98" s="370"/>
      <c r="BA98" s="507"/>
      <c r="BB98" s="505" t="e">
        <f aca="false">$H98-$BV98</f>
        <v>#VALUE!</v>
      </c>
      <c r="BC98" s="505" t="e">
        <f aca="false">I98-BW98</f>
        <v>#VALUE!</v>
      </c>
      <c r="BD98" s="370" t="e">
        <f aca="false">N98-BX98</f>
        <v>#VALUE!</v>
      </c>
      <c r="BE98" s="370" t="e">
        <f aca="false">O98-BY98</f>
        <v>#VALUE!</v>
      </c>
      <c r="BF98" s="370" t="e">
        <f aca="false">xSPRDOPT($BW98,$BV98,$CG98,0,$BY98,$BX98,$BZ98,$AJ98,1,4)*$CB98</f>
        <v>#NAME?</v>
      </c>
      <c r="BG98" s="370" t="e">
        <f aca="false">xSPRDOPT($BW98,$BV98,$CG98,0,$BY98,$BX98,$BZ98,$AJ98,1,3)*$CB98</f>
        <v>#NAME?</v>
      </c>
      <c r="BH98" s="370" t="e">
        <f aca="false">IF(OR(BF98&lt;&gt;0,BG98&lt;&gt;0),xSPRDOPT($BW98,$BV98,$CG98,0,$BY98,$BX98,$BZ98,$AJ98,1,12)*$CB98,0)</f>
        <v>#NAME?</v>
      </c>
      <c r="BI98" s="370" t="e">
        <f aca="false">xSPRDOPT($BW98,$BV98,$CG98,2*LN(1+CA98/2),$BY98,$BX98,$BZ98,$AJ98,1,9)</f>
        <v>#NAME?</v>
      </c>
      <c r="BJ98" s="370" t="e">
        <f aca="false">xSPRDOPT($BW98,$BV98,$CG98,0,$BY98,$BX98,$BZ98,$AJ98,1,6)*$CB98</f>
        <v>#NAME?</v>
      </c>
      <c r="BK98" s="370" t="e">
        <f aca="false">xSPRDOPT($BW98,$BV98,$CG98,0,$BY98,$BX98,$BZ98,$AJ98,1,5)*$CB98</f>
        <v>#NAME?</v>
      </c>
      <c r="BL98" s="370" t="e">
        <f aca="false">xSPRDOPT(BW98,BV98,CG98,0,BY98,BX98,BZ98,AJ98,1,2)*CB98</f>
        <v>#NAME?</v>
      </c>
      <c r="BM98" s="370" t="e">
        <f aca="false">xSPRDOPT(BW98,BV98,CG98,0,BY98,BX98,BZ98,AJ98,1,1)*CB98</f>
        <v>#NAME?</v>
      </c>
      <c r="BN98" s="370" t="e">
        <f aca="false">IF(AH98&lt;&gt;0,xSPRDOPT($BW98,$BV98,$CG98,2*LN(1+CA98/2),$BY98,$BX98,$BZ98,$AJ98,1,8)+(AJ98/365.25)*CH98/AH98,0)</f>
        <v>#VALUE!</v>
      </c>
      <c r="BO98" s="370" t="e">
        <f aca="false">xSPRDOPT($BW98,$BV98,$CG98,0,$BY98,$BX98,$BZ98,$AJ98,1,0)</f>
        <v>#NAME?</v>
      </c>
      <c r="BP98" s="370"/>
      <c r="BQ98" s="370"/>
      <c r="BR98" s="370"/>
      <c r="BS98" s="370"/>
      <c r="BV98" s="508" t="n">
        <v>3.25401606425703</v>
      </c>
      <c r="BW98" s="369" t="n">
        <v>3.251</v>
      </c>
      <c r="BX98" s="370" t="n">
        <v>0.54</v>
      </c>
      <c r="BY98" s="370" t="n">
        <v>0.54</v>
      </c>
      <c r="BZ98" s="370" t="n">
        <v>0</v>
      </c>
      <c r="CA98" s="370" t="n">
        <v>0.0232740649677528</v>
      </c>
      <c r="CB98" s="370" t="n">
        <v>0</v>
      </c>
      <c r="CC98" s="505" t="n">
        <v>0</v>
      </c>
      <c r="CD98" s="505" t="n">
        <v>0.03</v>
      </c>
      <c r="CE98" s="505" t="n">
        <v>0.04</v>
      </c>
      <c r="CF98" s="505" t="n">
        <v>0</v>
      </c>
      <c r="CG98" s="505" t="n">
        <v>0.0006</v>
      </c>
      <c r="CH98" s="505" t="n">
        <v>0</v>
      </c>
      <c r="CI98" s="505" t="n">
        <v>3.211</v>
      </c>
      <c r="CJ98" s="505"/>
      <c r="CK98" s="505"/>
      <c r="CL98" s="505"/>
      <c r="CM98" s="505"/>
    </row>
    <row r="99" customFormat="false" ht="12.75" hidden="false" customHeight="false" outlineLevel="0" collapsed="false">
      <c r="A99" s="500"/>
      <c r="B99" s="500"/>
      <c r="D99" s="361" t="e">
        <f aca="false">D98+AH98</f>
        <v>#VALUE!</v>
      </c>
      <c r="F99" s="362" t="e">
        <f aca="false">VLOOKUP(AG99,$AL$4:$AS$15,2)</f>
        <v>#VALUE!</v>
      </c>
      <c r="G99" s="362" t="e">
        <f aca="false">F99*$AU99</f>
        <v>#VALUE!</v>
      </c>
      <c r="H99" s="363" t="e">
        <f aca="false">(AL99+AM99+AN99)/(1-(AR99))</f>
        <v>#VALUE!</v>
      </c>
      <c r="I99" s="363" t="e">
        <f aca="false">(AL99+AO99+AP99)</f>
        <v>#VALUE!</v>
      </c>
      <c r="K99" s="363" t="e">
        <f aca="false">MAX(((I99-H99)-AQ99)*AU99*AH99,0)</f>
        <v>#VALUE!</v>
      </c>
      <c r="L99" s="501" t="e">
        <f aca="false">MAX(Q99-K99,0)</f>
        <v>#VALUE!</v>
      </c>
      <c r="N99" s="502" t="e">
        <f aca="false">SQRT(($AX99^2*($AH99/2)+$AW99^2*$AI99)/(($AH99/2)+$AI99))</f>
        <v>#VALUE!</v>
      </c>
      <c r="O99" s="502" t="e">
        <f aca="false">SQRT(($AY99^2*($AH99/2)+$AW99^2*$AI99)/(($AH99/2)+$AI99))</f>
        <v>#VALUE!</v>
      </c>
      <c r="P99" s="371" t="e">
        <f aca="false">(VLOOKUP(AI99,CorrelationTwo,2)*(AW99^2)*AI99+VLOOKUP(D99,CorrelationOne,$AK$9)*AX99*AY99*(AH99/2))/((AI99+(AH99/2))*O99*N99)*AF99</f>
        <v>#VALUE!</v>
      </c>
      <c r="Q99" s="501" t="e">
        <f aca="false">xSPRDOPT(I99,H99,AQ99,0,O99,N99,P99,D99-$G$5,1,0)*AH99*AU99</f>
        <v>#VALUE!</v>
      </c>
      <c r="R99" s="501"/>
      <c r="S99" s="365" t="e">
        <f aca="false">xSPRDOPT(I99,H99,AQ99,AT99,O99,N99,P99,D99-$G$5,1,2)*AF99*(F99/(1-AR99))*AH99</f>
        <v>#VALUE!</v>
      </c>
      <c r="T99" s="365" t="e">
        <f aca="false">xSPRDOPT(I99,H99,AQ99,AT99,O99,N99,P99,D99-$G$5,1,1)*AF99*F99*AH99</f>
        <v>#VALUE!</v>
      </c>
      <c r="U99" s="501"/>
      <c r="V99" s="503" t="e">
        <f aca="false">VLOOKUP($AG99,$AL$4:$AS$15,8)*AH99*AU99</f>
        <v>#VALUE!</v>
      </c>
      <c r="W99" s="503"/>
      <c r="X99" s="504" t="e">
        <f aca="false">((BM99*BC99)+(BL99*BB99))*AH99*F99</f>
        <v>#VALUE!</v>
      </c>
      <c r="Y99" s="504" t="e">
        <f aca="false">($F99*$AH99)*((($BG99/2)*($BC99)^2)+(($BF99/2)*($BB99)^2)+($BH99*$BC99*$BB99))</f>
        <v>#VALUE!</v>
      </c>
      <c r="Z99" s="504" t="e">
        <f aca="false">($BI99*$F99*$AH99*($G$5-$BV$5))/365.25</f>
        <v>#VALUE!</v>
      </c>
      <c r="AA99" s="504" t="e">
        <f aca="false">(($BK99*$BE99)+($BJ99*$BD99))*$F99*$AH99*$AF99</f>
        <v>#VALUE!</v>
      </c>
      <c r="AB99" s="504" t="e">
        <f aca="false">BN99*(AT99-CA99)*F99*AH99</f>
        <v>#VALUE!</v>
      </c>
      <c r="AC99" s="504" t="e">
        <f aca="false">BO99*CB99*F99*AH99*CA99*($G$5-$BV$5)/365.25</f>
        <v>#NAME?</v>
      </c>
      <c r="AF99" s="378" t="e">
        <f aca="false">IF(AND(D99&gt;=$G$7,D99&lt;=$G$8),1,0)</f>
        <v>#VALUE!</v>
      </c>
      <c r="AG99" s="378" t="e">
        <f aca="false">MONTH(D99)</f>
        <v>#VALUE!</v>
      </c>
      <c r="AH99" s="378" t="e">
        <f aca="false">(EOMONTH(D99,0)-EOMONTH(D99-DAY(D99),0))*AF99</f>
        <v>#VALUE!</v>
      </c>
      <c r="AI99" s="378" t="e">
        <f aca="false">AI98+AH98</f>
        <v>#VALUE!</v>
      </c>
      <c r="AJ99" s="378" t="e">
        <f aca="false">D99-$BV$5</f>
        <v>#VALUE!</v>
      </c>
      <c r="AL99" s="369" t="e">
        <f aca="false">VLOOKUP($D99,CurveTbl,$AK$4)</f>
        <v>#VALUE!</v>
      </c>
      <c r="AM99" s="505" t="e">
        <f aca="false">VLOOKUP($D99,CurveTbl,$AH$3)</f>
        <v>#VALUE!</v>
      </c>
      <c r="AN99" s="505" t="e">
        <f aca="false">VLOOKUP($D99,CurveTbl,$AH$4)+VLOOKUP($AG99,$AL$3:$AS$15,6)</f>
        <v>#VALUE!</v>
      </c>
      <c r="AO99" s="505" t="e">
        <f aca="false">VLOOKUP($D99,CurveTbl,$AH$5)</f>
        <v>#VALUE!</v>
      </c>
      <c r="AP99" s="505" t="e">
        <f aca="false">VLOOKUP($D99,CurveTbl,$AH$6)+VLOOKUP($AG99,$AL$3:$AS$15,7)</f>
        <v>#VALUE!</v>
      </c>
      <c r="AQ99" s="369" t="e">
        <f aca="false">VLOOKUP($AG99,$AL$4:$AS$15,3)+VLOOKUP($AG99,$AL$4:$AS$15,5)+($AH$10*VLOOKUP(D99,GRITable,2))</f>
        <v>#VALUE!</v>
      </c>
      <c r="AR99" s="370" t="e">
        <f aca="false">VLOOKUP($AG99,$AL$4:$AS$15,4)</f>
        <v>#VALUE!</v>
      </c>
      <c r="AS99" s="369" t="e">
        <f aca="false">(AL99+AM99+AN99)</f>
        <v>#VALUE!</v>
      </c>
      <c r="AT99" s="370" t="e">
        <f aca="false">VLOOKUP(D99,CurveTbl,$AK$6)</f>
        <v>#VALUE!</v>
      </c>
      <c r="AU99" s="370" t="e">
        <f aca="false">(1+$AT99/2)^(-2*($D99-$G$5)/365.25)*$AF99</f>
        <v>#VALUE!</v>
      </c>
      <c r="AV99" s="506" t="e">
        <f aca="false">ROUND((F99/(1-AR99))-F99,0)*AF99*AH99*AU99</f>
        <v>#VALUE!</v>
      </c>
      <c r="AW99" s="370" t="e">
        <f aca="false">VLOOKUP($D99,CurveTbl,$AK$8)</f>
        <v>#VALUE!</v>
      </c>
      <c r="AX99" s="370" t="e">
        <f aca="false">VLOOKUP($D99,CurveTbl,$AH$7)</f>
        <v>#VALUE!</v>
      </c>
      <c r="AY99" s="370" t="e">
        <f aca="false">VLOOKUP($D99,CurveTbl,$AH$8)</f>
        <v>#VALUE!</v>
      </c>
      <c r="AZ99" s="370"/>
      <c r="BA99" s="507"/>
      <c r="BB99" s="505" t="e">
        <f aca="false">$H99-$BV99</f>
        <v>#VALUE!</v>
      </c>
      <c r="BC99" s="505" t="e">
        <f aca="false">I99-BW99</f>
        <v>#VALUE!</v>
      </c>
      <c r="BD99" s="370" t="e">
        <f aca="false">N99-BX99</f>
        <v>#VALUE!</v>
      </c>
      <c r="BE99" s="370" t="e">
        <f aca="false">O99-BY99</f>
        <v>#VALUE!</v>
      </c>
      <c r="BF99" s="370" t="e">
        <f aca="false">xSPRDOPT($BW99,$BV99,$CG99,0,$BY99,$BX99,$BZ99,$AJ99,1,4)*$CB99</f>
        <v>#NAME?</v>
      </c>
      <c r="BG99" s="370" t="e">
        <f aca="false">xSPRDOPT($BW99,$BV99,$CG99,0,$BY99,$BX99,$BZ99,$AJ99,1,3)*$CB99</f>
        <v>#NAME?</v>
      </c>
      <c r="BH99" s="370" t="e">
        <f aca="false">IF(OR(BF99&lt;&gt;0,BG99&lt;&gt;0),xSPRDOPT($BW99,$BV99,$CG99,0,$BY99,$BX99,$BZ99,$AJ99,1,12)*$CB99,0)</f>
        <v>#NAME?</v>
      </c>
      <c r="BI99" s="370" t="e">
        <f aca="false">xSPRDOPT($BW99,$BV99,$CG99,2*LN(1+CA99/2),$BY99,$BX99,$BZ99,$AJ99,1,9)</f>
        <v>#NAME?</v>
      </c>
      <c r="BJ99" s="370" t="e">
        <f aca="false">xSPRDOPT($BW99,$BV99,$CG99,0,$BY99,$BX99,$BZ99,$AJ99,1,6)*$CB99</f>
        <v>#NAME?</v>
      </c>
      <c r="BK99" s="370" t="e">
        <f aca="false">xSPRDOPT($BW99,$BV99,$CG99,0,$BY99,$BX99,$BZ99,$AJ99,1,5)*$CB99</f>
        <v>#NAME?</v>
      </c>
      <c r="BL99" s="370" t="e">
        <f aca="false">xSPRDOPT(BW99,BV99,CG99,0,BY99,BX99,BZ99,AJ99,1,2)*CB99</f>
        <v>#NAME?</v>
      </c>
      <c r="BM99" s="370" t="e">
        <f aca="false">xSPRDOPT(BW99,BV99,CG99,0,BY99,BX99,BZ99,AJ99,1,1)*CB99</f>
        <v>#NAME?</v>
      </c>
      <c r="BN99" s="370" t="e">
        <f aca="false">IF(AH99&lt;&gt;0,xSPRDOPT($BW99,$BV99,$CG99,2*LN(1+CA99/2),$BY99,$BX99,$BZ99,$AJ99,1,8)+(AJ99/365.25)*CH99/AH99,0)</f>
        <v>#VALUE!</v>
      </c>
      <c r="BO99" s="370" t="e">
        <f aca="false">xSPRDOPT($BW99,$BV99,$CG99,0,$BY99,$BX99,$BZ99,$AJ99,1,0)</f>
        <v>#NAME?</v>
      </c>
      <c r="BP99" s="370"/>
      <c r="BQ99" s="370"/>
      <c r="BR99" s="370"/>
      <c r="BS99" s="370"/>
      <c r="BV99" s="508" t="n">
        <v>3.25401606425703</v>
      </c>
      <c r="BW99" s="369" t="n">
        <v>3.251</v>
      </c>
      <c r="BX99" s="370" t="n">
        <v>0.54</v>
      </c>
      <c r="BY99" s="370" t="n">
        <v>0.54</v>
      </c>
      <c r="BZ99" s="370" t="n">
        <v>0</v>
      </c>
      <c r="CA99" s="370" t="n">
        <v>0.0232740649677528</v>
      </c>
      <c r="CB99" s="370" t="n">
        <v>0</v>
      </c>
      <c r="CC99" s="505" t="n">
        <v>0</v>
      </c>
      <c r="CD99" s="505" t="n">
        <v>0.03</v>
      </c>
      <c r="CE99" s="505" t="n">
        <v>0.04</v>
      </c>
      <c r="CF99" s="505" t="n">
        <v>0</v>
      </c>
      <c r="CG99" s="505" t="n">
        <v>0.0006</v>
      </c>
      <c r="CH99" s="505" t="n">
        <v>0</v>
      </c>
      <c r="CI99" s="505" t="n">
        <v>3.211</v>
      </c>
      <c r="CJ99" s="505"/>
      <c r="CK99" s="505"/>
      <c r="CL99" s="505"/>
      <c r="CM99" s="505"/>
    </row>
    <row r="100" customFormat="false" ht="12.75" hidden="false" customHeight="false" outlineLevel="0" collapsed="false">
      <c r="A100" s="500"/>
      <c r="B100" s="500"/>
      <c r="D100" s="361" t="e">
        <f aca="false">D99+AH99</f>
        <v>#VALUE!</v>
      </c>
      <c r="F100" s="362" t="e">
        <f aca="false">VLOOKUP(AG100,$AL$4:$AS$15,2)</f>
        <v>#VALUE!</v>
      </c>
      <c r="G100" s="362" t="e">
        <f aca="false">F100*$AU100</f>
        <v>#VALUE!</v>
      </c>
      <c r="H100" s="363" t="e">
        <f aca="false">(AL100+AM100+AN100)/(1-(AR100))</f>
        <v>#VALUE!</v>
      </c>
      <c r="I100" s="363" t="e">
        <f aca="false">(AL100+AO100+AP100)</f>
        <v>#VALUE!</v>
      </c>
      <c r="K100" s="363" t="e">
        <f aca="false">MAX(((I100-H100)-AQ100)*AU100*AH100,0)</f>
        <v>#VALUE!</v>
      </c>
      <c r="L100" s="501" t="e">
        <f aca="false">MAX(Q100-K100,0)</f>
        <v>#VALUE!</v>
      </c>
      <c r="N100" s="502" t="e">
        <f aca="false">SQRT(($AX100^2*($AH100/2)+$AW100^2*$AI100)/(($AH100/2)+$AI100))</f>
        <v>#VALUE!</v>
      </c>
      <c r="O100" s="502" t="e">
        <f aca="false">SQRT(($AY100^2*($AH100/2)+$AW100^2*$AI100)/(($AH100/2)+$AI100))</f>
        <v>#VALUE!</v>
      </c>
      <c r="P100" s="371" t="e">
        <f aca="false">(VLOOKUP(AI100,CorrelationTwo,2)*(AW100^2)*AI100+VLOOKUP(D100,CorrelationOne,$AK$9)*AX100*AY100*(AH100/2))/((AI100+(AH100/2))*O100*N100)*AF100</f>
        <v>#VALUE!</v>
      </c>
      <c r="Q100" s="501" t="e">
        <f aca="false">xSPRDOPT(I100,H100,AQ100,0,O100,N100,P100,D100-$G$5,1,0)*AH100*AU100</f>
        <v>#VALUE!</v>
      </c>
      <c r="R100" s="501"/>
      <c r="S100" s="365" t="e">
        <f aca="false">xSPRDOPT(I100,H100,AQ100,AT100,O100,N100,P100,D100-$G$5,1,2)*AF100*(F100/(1-AR100))*AH100</f>
        <v>#VALUE!</v>
      </c>
      <c r="T100" s="365" t="e">
        <f aca="false">xSPRDOPT(I100,H100,AQ100,AT100,O100,N100,P100,D100-$G$5,1,1)*AF100*F100*AH100</f>
        <v>#VALUE!</v>
      </c>
      <c r="U100" s="501"/>
      <c r="V100" s="503" t="e">
        <f aca="false">VLOOKUP($AG100,$AL$4:$AS$15,8)*AH100*AU100</f>
        <v>#VALUE!</v>
      </c>
      <c r="W100" s="503"/>
      <c r="X100" s="504" t="e">
        <f aca="false">((BM100*BC100)+(BL100*BB100))*AH100*F100</f>
        <v>#VALUE!</v>
      </c>
      <c r="Y100" s="504" t="e">
        <f aca="false">($F100*$AH100)*((($BG100/2)*($BC100)^2)+(($BF100/2)*($BB100)^2)+($BH100*$BC100*$BB100))</f>
        <v>#VALUE!</v>
      </c>
      <c r="Z100" s="504" t="e">
        <f aca="false">($BI100*$F100*$AH100*($G$5-$BV$5))/365.25</f>
        <v>#VALUE!</v>
      </c>
      <c r="AA100" s="504" t="e">
        <f aca="false">(($BK100*$BE100)+($BJ100*$BD100))*$F100*$AH100*$AF100</f>
        <v>#VALUE!</v>
      </c>
      <c r="AB100" s="504" t="e">
        <f aca="false">BN100*(AT100-CA100)*F100*AH100</f>
        <v>#VALUE!</v>
      </c>
      <c r="AC100" s="504" t="e">
        <f aca="false">BO100*CB100*F100*AH100*CA100*($G$5-$BV$5)/365.25</f>
        <v>#NAME?</v>
      </c>
      <c r="AF100" s="378" t="e">
        <f aca="false">IF(AND(D100&gt;=$G$7,D100&lt;=$G$8),1,0)</f>
        <v>#VALUE!</v>
      </c>
      <c r="AG100" s="378" t="e">
        <f aca="false">MONTH(D100)</f>
        <v>#VALUE!</v>
      </c>
      <c r="AH100" s="378" t="e">
        <f aca="false">(EOMONTH(D100,0)-EOMONTH(D100-DAY(D100),0))*AF100</f>
        <v>#VALUE!</v>
      </c>
      <c r="AI100" s="378" t="e">
        <f aca="false">AI99+AH99</f>
        <v>#VALUE!</v>
      </c>
      <c r="AJ100" s="378" t="e">
        <f aca="false">D100-$BV$5</f>
        <v>#VALUE!</v>
      </c>
      <c r="AL100" s="369" t="e">
        <f aca="false">VLOOKUP($D100,CurveTbl,$AK$4)</f>
        <v>#VALUE!</v>
      </c>
      <c r="AM100" s="505" t="e">
        <f aca="false">VLOOKUP($D100,CurveTbl,$AH$3)</f>
        <v>#VALUE!</v>
      </c>
      <c r="AN100" s="505" t="e">
        <f aca="false">VLOOKUP($D100,CurveTbl,$AH$4)+VLOOKUP($AG100,$AL$3:$AS$15,6)</f>
        <v>#VALUE!</v>
      </c>
      <c r="AO100" s="505" t="e">
        <f aca="false">VLOOKUP($D100,CurveTbl,$AH$5)</f>
        <v>#VALUE!</v>
      </c>
      <c r="AP100" s="505" t="e">
        <f aca="false">VLOOKUP($D100,CurveTbl,$AH$6)+VLOOKUP($AG100,$AL$3:$AS$15,7)</f>
        <v>#VALUE!</v>
      </c>
      <c r="AQ100" s="369" t="e">
        <f aca="false">VLOOKUP($AG100,$AL$4:$AS$15,3)+VLOOKUP($AG100,$AL$4:$AS$15,5)+($AH$10*VLOOKUP(D100,GRITable,2))</f>
        <v>#VALUE!</v>
      </c>
      <c r="AR100" s="370" t="e">
        <f aca="false">VLOOKUP($AG100,$AL$4:$AS$15,4)</f>
        <v>#VALUE!</v>
      </c>
      <c r="AS100" s="369" t="e">
        <f aca="false">(AL100+AM100+AN100)</f>
        <v>#VALUE!</v>
      </c>
      <c r="AT100" s="370" t="e">
        <f aca="false">VLOOKUP(D100,CurveTbl,$AK$6)</f>
        <v>#VALUE!</v>
      </c>
      <c r="AU100" s="370" t="e">
        <f aca="false">(1+$AT100/2)^(-2*($D100-$G$5)/365.25)*$AF100</f>
        <v>#VALUE!</v>
      </c>
      <c r="AV100" s="506" t="e">
        <f aca="false">ROUND((F100/(1-AR100))-F100,0)*AF100*AH100*AU100</f>
        <v>#VALUE!</v>
      </c>
      <c r="AW100" s="370" t="e">
        <f aca="false">VLOOKUP($D100,CurveTbl,$AK$8)</f>
        <v>#VALUE!</v>
      </c>
      <c r="AX100" s="370" t="e">
        <f aca="false">VLOOKUP($D100,CurveTbl,$AH$7)</f>
        <v>#VALUE!</v>
      </c>
      <c r="AY100" s="370" t="e">
        <f aca="false">VLOOKUP($D100,CurveTbl,$AH$8)</f>
        <v>#VALUE!</v>
      </c>
      <c r="AZ100" s="370"/>
      <c r="BA100" s="507"/>
      <c r="BB100" s="505" t="e">
        <f aca="false">$H100-$BV100</f>
        <v>#VALUE!</v>
      </c>
      <c r="BC100" s="505" t="e">
        <f aca="false">I100-BW100</f>
        <v>#VALUE!</v>
      </c>
      <c r="BD100" s="370" t="e">
        <f aca="false">N100-BX100</f>
        <v>#VALUE!</v>
      </c>
      <c r="BE100" s="370" t="e">
        <f aca="false">O100-BY100</f>
        <v>#VALUE!</v>
      </c>
      <c r="BF100" s="370" t="e">
        <f aca="false">xSPRDOPT($BW100,$BV100,$CG100,0,$BY100,$BX100,$BZ100,$AJ100,1,4)*$CB100</f>
        <v>#NAME?</v>
      </c>
      <c r="BG100" s="370" t="e">
        <f aca="false">xSPRDOPT($BW100,$BV100,$CG100,0,$BY100,$BX100,$BZ100,$AJ100,1,3)*$CB100</f>
        <v>#NAME?</v>
      </c>
      <c r="BH100" s="370" t="e">
        <f aca="false">IF(OR(BF100&lt;&gt;0,BG100&lt;&gt;0),xSPRDOPT($BW100,$BV100,$CG100,0,$BY100,$BX100,$BZ100,$AJ100,1,12)*$CB100,0)</f>
        <v>#NAME?</v>
      </c>
      <c r="BI100" s="370" t="e">
        <f aca="false">xSPRDOPT($BW100,$BV100,$CG100,2*LN(1+CA100/2),$BY100,$BX100,$BZ100,$AJ100,1,9)</f>
        <v>#NAME?</v>
      </c>
      <c r="BJ100" s="370" t="e">
        <f aca="false">xSPRDOPT($BW100,$BV100,$CG100,0,$BY100,$BX100,$BZ100,$AJ100,1,6)*$CB100</f>
        <v>#NAME?</v>
      </c>
      <c r="BK100" s="370" t="e">
        <f aca="false">xSPRDOPT($BW100,$BV100,$CG100,0,$BY100,$BX100,$BZ100,$AJ100,1,5)*$CB100</f>
        <v>#NAME?</v>
      </c>
      <c r="BL100" s="370" t="e">
        <f aca="false">xSPRDOPT(BW100,BV100,CG100,0,BY100,BX100,BZ100,AJ100,1,2)*CB100</f>
        <v>#NAME?</v>
      </c>
      <c r="BM100" s="370" t="e">
        <f aca="false">xSPRDOPT(BW100,BV100,CG100,0,BY100,BX100,BZ100,AJ100,1,1)*CB100</f>
        <v>#NAME?</v>
      </c>
      <c r="BN100" s="370" t="e">
        <f aca="false">IF(AH100&lt;&gt;0,xSPRDOPT($BW100,$BV100,$CG100,2*LN(1+CA100/2),$BY100,$BX100,$BZ100,$AJ100,1,8)+(AJ100/365.25)*CH100/AH100,0)</f>
        <v>#VALUE!</v>
      </c>
      <c r="BO100" s="370" t="e">
        <f aca="false">xSPRDOPT($BW100,$BV100,$CG100,0,$BY100,$BX100,$BZ100,$AJ100,1,0)</f>
        <v>#NAME?</v>
      </c>
      <c r="BP100" s="370"/>
      <c r="BQ100" s="370"/>
      <c r="BR100" s="370"/>
      <c r="BS100" s="370"/>
      <c r="BV100" s="508" t="n">
        <v>3.25401606425703</v>
      </c>
      <c r="BW100" s="369" t="n">
        <v>3.251</v>
      </c>
      <c r="BX100" s="370" t="n">
        <v>0.54</v>
      </c>
      <c r="BY100" s="370" t="n">
        <v>0.54</v>
      </c>
      <c r="BZ100" s="370" t="n">
        <v>0</v>
      </c>
      <c r="CA100" s="370" t="n">
        <v>0.0232740649677528</v>
      </c>
      <c r="CB100" s="370" t="n">
        <v>0</v>
      </c>
      <c r="CC100" s="505" t="n">
        <v>0</v>
      </c>
      <c r="CD100" s="505" t="n">
        <v>0.03</v>
      </c>
      <c r="CE100" s="505" t="n">
        <v>0.04</v>
      </c>
      <c r="CF100" s="505" t="n">
        <v>0</v>
      </c>
      <c r="CG100" s="505" t="n">
        <v>0.0006</v>
      </c>
      <c r="CH100" s="505" t="n">
        <v>0</v>
      </c>
      <c r="CI100" s="505" t="n">
        <v>3.211</v>
      </c>
      <c r="CJ100" s="505"/>
      <c r="CK100" s="505"/>
      <c r="CL100" s="505"/>
      <c r="CM100" s="505"/>
    </row>
    <row r="101" customFormat="false" ht="12.75" hidden="false" customHeight="false" outlineLevel="0" collapsed="false">
      <c r="A101" s="500"/>
      <c r="B101" s="500"/>
      <c r="D101" s="361" t="e">
        <f aca="false">D100+AH100</f>
        <v>#VALUE!</v>
      </c>
      <c r="F101" s="362" t="e">
        <f aca="false">VLOOKUP(AG101,$AL$4:$AS$15,2)</f>
        <v>#VALUE!</v>
      </c>
      <c r="G101" s="362" t="e">
        <f aca="false">F101*$AU101</f>
        <v>#VALUE!</v>
      </c>
      <c r="H101" s="363" t="e">
        <f aca="false">(AL101+AM101+AN101)/(1-(AR101))</f>
        <v>#VALUE!</v>
      </c>
      <c r="I101" s="363" t="e">
        <f aca="false">(AL101+AO101+AP101)</f>
        <v>#VALUE!</v>
      </c>
      <c r="K101" s="363" t="e">
        <f aca="false">MAX(((I101-H101)-AQ101)*AU101*AH101,0)</f>
        <v>#VALUE!</v>
      </c>
      <c r="L101" s="501" t="e">
        <f aca="false">MAX(Q101-K101,0)</f>
        <v>#VALUE!</v>
      </c>
      <c r="N101" s="502" t="e">
        <f aca="false">SQRT(($AX101^2*($AH101/2)+$AW101^2*$AI101)/(($AH101/2)+$AI101))</f>
        <v>#VALUE!</v>
      </c>
      <c r="O101" s="502" t="e">
        <f aca="false">SQRT(($AY101^2*($AH101/2)+$AW101^2*$AI101)/(($AH101/2)+$AI101))</f>
        <v>#VALUE!</v>
      </c>
      <c r="P101" s="371" t="e">
        <f aca="false">(VLOOKUP(AI101,CorrelationTwo,2)*(AW101^2)*AI101+VLOOKUP(D101,CorrelationOne,$AK$9)*AX101*AY101*(AH101/2))/((AI101+(AH101/2))*O101*N101)*AF101</f>
        <v>#VALUE!</v>
      </c>
      <c r="Q101" s="501" t="e">
        <f aca="false">xSPRDOPT(I101,H101,AQ101,0,O101,N101,P101,D101-$G$5,1,0)*AH101*AU101</f>
        <v>#VALUE!</v>
      </c>
      <c r="R101" s="501"/>
      <c r="S101" s="365" t="e">
        <f aca="false">xSPRDOPT(I101,H101,AQ101,AT101,O101,N101,P101,D101-$G$5,1,2)*AF101*(F101/(1-AR101))*AH101</f>
        <v>#VALUE!</v>
      </c>
      <c r="T101" s="365" t="e">
        <f aca="false">xSPRDOPT(I101,H101,AQ101,AT101,O101,N101,P101,D101-$G$5,1,1)*AF101*F101*AH101</f>
        <v>#VALUE!</v>
      </c>
      <c r="U101" s="501"/>
      <c r="V101" s="503" t="e">
        <f aca="false">VLOOKUP($AG101,$AL$4:$AS$15,8)*AH101*AU101</f>
        <v>#VALUE!</v>
      </c>
      <c r="W101" s="503"/>
      <c r="X101" s="504" t="e">
        <f aca="false">((BM101*BC101)+(BL101*BB101))*AH101*F101</f>
        <v>#VALUE!</v>
      </c>
      <c r="Y101" s="504" t="e">
        <f aca="false">($F101*$AH101)*((($BG101/2)*($BC101)^2)+(($BF101/2)*($BB101)^2)+($BH101*$BC101*$BB101))</f>
        <v>#VALUE!</v>
      </c>
      <c r="Z101" s="504" t="e">
        <f aca="false">($BI101*$F101*$AH101*($G$5-$BV$5))/365.25</f>
        <v>#VALUE!</v>
      </c>
      <c r="AA101" s="504" t="e">
        <f aca="false">(($BK101*$BE101)+($BJ101*$BD101))*$F101*$AH101*$AF101</f>
        <v>#VALUE!</v>
      </c>
      <c r="AB101" s="504" t="e">
        <f aca="false">BN101*(AT101-CA101)*F101*AH101</f>
        <v>#VALUE!</v>
      </c>
      <c r="AC101" s="504" t="e">
        <f aca="false">BO101*CB101*F101*AH101*CA101*($G$5-$BV$5)/365.25</f>
        <v>#NAME?</v>
      </c>
      <c r="AF101" s="378" t="e">
        <f aca="false">IF(AND(D101&gt;=$G$7,D101&lt;=$G$8),1,0)</f>
        <v>#VALUE!</v>
      </c>
      <c r="AG101" s="378" t="e">
        <f aca="false">MONTH(D101)</f>
        <v>#VALUE!</v>
      </c>
      <c r="AH101" s="378" t="e">
        <f aca="false">(EOMONTH(D101,0)-EOMONTH(D101-DAY(D101),0))*AF101</f>
        <v>#VALUE!</v>
      </c>
      <c r="AI101" s="378" t="e">
        <f aca="false">AI100+AH100</f>
        <v>#VALUE!</v>
      </c>
      <c r="AJ101" s="378" t="e">
        <f aca="false">D101-$BV$5</f>
        <v>#VALUE!</v>
      </c>
      <c r="AL101" s="369" t="e">
        <f aca="false">VLOOKUP($D101,CurveTbl,$AK$4)</f>
        <v>#VALUE!</v>
      </c>
      <c r="AM101" s="505" t="e">
        <f aca="false">VLOOKUP($D101,CurveTbl,$AH$3)</f>
        <v>#VALUE!</v>
      </c>
      <c r="AN101" s="505" t="e">
        <f aca="false">VLOOKUP($D101,CurveTbl,$AH$4)+VLOOKUP($AG101,$AL$3:$AS$15,6)</f>
        <v>#VALUE!</v>
      </c>
      <c r="AO101" s="505" t="e">
        <f aca="false">VLOOKUP($D101,CurveTbl,$AH$5)</f>
        <v>#VALUE!</v>
      </c>
      <c r="AP101" s="505" t="e">
        <f aca="false">VLOOKUP($D101,CurveTbl,$AH$6)+VLOOKUP($AG101,$AL$3:$AS$15,7)</f>
        <v>#VALUE!</v>
      </c>
      <c r="AQ101" s="369" t="e">
        <f aca="false">VLOOKUP($AG101,$AL$4:$AS$15,3)+VLOOKUP($AG101,$AL$4:$AS$15,5)+($AH$10*VLOOKUP(D101,GRITable,2))</f>
        <v>#VALUE!</v>
      </c>
      <c r="AR101" s="370" t="e">
        <f aca="false">VLOOKUP($AG101,$AL$4:$AS$15,4)</f>
        <v>#VALUE!</v>
      </c>
      <c r="AS101" s="369" t="e">
        <f aca="false">(AL101+AM101+AN101)</f>
        <v>#VALUE!</v>
      </c>
      <c r="AT101" s="370" t="e">
        <f aca="false">VLOOKUP(D101,CurveTbl,$AK$6)</f>
        <v>#VALUE!</v>
      </c>
      <c r="AU101" s="370" t="e">
        <f aca="false">(1+$AT101/2)^(-2*($D101-$G$5)/365.25)*$AF101</f>
        <v>#VALUE!</v>
      </c>
      <c r="AV101" s="506" t="e">
        <f aca="false">ROUND((F101/(1-AR101))-F101,0)*AF101*AH101*AU101</f>
        <v>#VALUE!</v>
      </c>
      <c r="AW101" s="370" t="e">
        <f aca="false">VLOOKUP($D101,CurveTbl,$AK$8)</f>
        <v>#VALUE!</v>
      </c>
      <c r="AX101" s="370" t="e">
        <f aca="false">VLOOKUP($D101,CurveTbl,$AH$7)</f>
        <v>#VALUE!</v>
      </c>
      <c r="AY101" s="370" t="e">
        <f aca="false">VLOOKUP($D101,CurveTbl,$AH$8)</f>
        <v>#VALUE!</v>
      </c>
      <c r="AZ101" s="370"/>
      <c r="BA101" s="507"/>
      <c r="BB101" s="505" t="e">
        <f aca="false">$H101-$BV101</f>
        <v>#VALUE!</v>
      </c>
      <c r="BC101" s="505" t="e">
        <f aca="false">I101-BW101</f>
        <v>#VALUE!</v>
      </c>
      <c r="BD101" s="370" t="e">
        <f aca="false">N101-BX101</f>
        <v>#VALUE!</v>
      </c>
      <c r="BE101" s="370" t="e">
        <f aca="false">O101-BY101</f>
        <v>#VALUE!</v>
      </c>
      <c r="BF101" s="370" t="e">
        <f aca="false">xSPRDOPT($BW101,$BV101,$CG101,0,$BY101,$BX101,$BZ101,$AJ101,1,4)*$CB101</f>
        <v>#NAME?</v>
      </c>
      <c r="BG101" s="370" t="e">
        <f aca="false">xSPRDOPT($BW101,$BV101,$CG101,0,$BY101,$BX101,$BZ101,$AJ101,1,3)*$CB101</f>
        <v>#NAME?</v>
      </c>
      <c r="BH101" s="370" t="e">
        <f aca="false">IF(OR(BF101&lt;&gt;0,BG101&lt;&gt;0),xSPRDOPT($BW101,$BV101,$CG101,0,$BY101,$BX101,$BZ101,$AJ101,1,12)*$CB101,0)</f>
        <v>#NAME?</v>
      </c>
      <c r="BI101" s="370" t="e">
        <f aca="false">xSPRDOPT($BW101,$BV101,$CG101,2*LN(1+CA101/2),$BY101,$BX101,$BZ101,$AJ101,1,9)</f>
        <v>#NAME?</v>
      </c>
      <c r="BJ101" s="370" t="e">
        <f aca="false">xSPRDOPT($BW101,$BV101,$CG101,0,$BY101,$BX101,$BZ101,$AJ101,1,6)*$CB101</f>
        <v>#NAME?</v>
      </c>
      <c r="BK101" s="370" t="e">
        <f aca="false">xSPRDOPT($BW101,$BV101,$CG101,0,$BY101,$BX101,$BZ101,$AJ101,1,5)*$CB101</f>
        <v>#NAME?</v>
      </c>
      <c r="BL101" s="370" t="e">
        <f aca="false">xSPRDOPT(BW101,BV101,CG101,0,BY101,BX101,BZ101,AJ101,1,2)*CB101</f>
        <v>#NAME?</v>
      </c>
      <c r="BM101" s="370" t="e">
        <f aca="false">xSPRDOPT(BW101,BV101,CG101,0,BY101,BX101,BZ101,AJ101,1,1)*CB101</f>
        <v>#NAME?</v>
      </c>
      <c r="BN101" s="370" t="e">
        <f aca="false">IF(AH101&lt;&gt;0,xSPRDOPT($BW101,$BV101,$CG101,2*LN(1+CA101/2),$BY101,$BX101,$BZ101,$AJ101,1,8)+(AJ101/365.25)*CH101/AH101,0)</f>
        <v>#VALUE!</v>
      </c>
      <c r="BO101" s="370" t="e">
        <f aca="false">xSPRDOPT($BW101,$BV101,$CG101,0,$BY101,$BX101,$BZ101,$AJ101,1,0)</f>
        <v>#NAME?</v>
      </c>
      <c r="BP101" s="370"/>
      <c r="BQ101" s="370"/>
      <c r="BR101" s="370"/>
      <c r="BS101" s="370"/>
      <c r="BV101" s="508" t="n">
        <v>3.25401606425703</v>
      </c>
      <c r="BW101" s="369" t="n">
        <v>3.251</v>
      </c>
      <c r="BX101" s="370" t="n">
        <v>0.54</v>
      </c>
      <c r="BY101" s="370" t="n">
        <v>0.54</v>
      </c>
      <c r="BZ101" s="370" t="n">
        <v>0</v>
      </c>
      <c r="CA101" s="370" t="n">
        <v>0.0232740649677528</v>
      </c>
      <c r="CB101" s="370" t="n">
        <v>0</v>
      </c>
      <c r="CC101" s="505" t="n">
        <v>0</v>
      </c>
      <c r="CD101" s="505" t="n">
        <v>0.03</v>
      </c>
      <c r="CE101" s="505" t="n">
        <v>0.04</v>
      </c>
      <c r="CF101" s="505" t="n">
        <v>0</v>
      </c>
      <c r="CG101" s="505" t="n">
        <v>0.0006</v>
      </c>
      <c r="CH101" s="505" t="n">
        <v>0</v>
      </c>
      <c r="CI101" s="505" t="n">
        <v>3.211</v>
      </c>
      <c r="CJ101" s="505"/>
      <c r="CK101" s="505"/>
      <c r="CL101" s="505"/>
      <c r="CM101" s="505"/>
    </row>
    <row r="102" customFormat="false" ht="12.75" hidden="false" customHeight="false" outlineLevel="0" collapsed="false">
      <c r="A102" s="500"/>
      <c r="B102" s="500"/>
      <c r="D102" s="361" t="e">
        <f aca="false">D101+AH101</f>
        <v>#VALUE!</v>
      </c>
      <c r="F102" s="362" t="e">
        <f aca="false">VLOOKUP(AG102,$AL$4:$AS$15,2)</f>
        <v>#VALUE!</v>
      </c>
      <c r="G102" s="362" t="e">
        <f aca="false">F102*$AU102</f>
        <v>#VALUE!</v>
      </c>
      <c r="H102" s="363" t="e">
        <f aca="false">(AL102+AM102+AN102)/(1-(AR102))</f>
        <v>#VALUE!</v>
      </c>
      <c r="I102" s="363" t="e">
        <f aca="false">(AL102+AO102+AP102)</f>
        <v>#VALUE!</v>
      </c>
      <c r="K102" s="363" t="e">
        <f aca="false">MAX(((I102-H102)-AQ102)*AU102*AH102,0)</f>
        <v>#VALUE!</v>
      </c>
      <c r="L102" s="501" t="e">
        <f aca="false">MAX(Q102-K102,0)</f>
        <v>#VALUE!</v>
      </c>
      <c r="N102" s="502" t="e">
        <f aca="false">SQRT(($AX102^2*($AH102/2)+$AW102^2*$AI102)/(($AH102/2)+$AI102))</f>
        <v>#VALUE!</v>
      </c>
      <c r="O102" s="502" t="e">
        <f aca="false">SQRT(($AY102^2*($AH102/2)+$AW102^2*$AI102)/(($AH102/2)+$AI102))</f>
        <v>#VALUE!</v>
      </c>
      <c r="P102" s="371" t="e">
        <f aca="false">(VLOOKUP(AI102,CorrelationTwo,2)*(AW102^2)*AI102+VLOOKUP(D102,CorrelationOne,$AK$9)*AX102*AY102*(AH102/2))/((AI102+(AH102/2))*O102*N102)*AF102</f>
        <v>#VALUE!</v>
      </c>
      <c r="Q102" s="501" t="e">
        <f aca="false">xSPRDOPT(I102,H102,AQ102,0,O102,N102,P102,D102-$G$5,1,0)*AH102*AU102</f>
        <v>#VALUE!</v>
      </c>
      <c r="R102" s="501"/>
      <c r="S102" s="365" t="e">
        <f aca="false">xSPRDOPT(I102,H102,AQ102,AT102,O102,N102,P102,D102-$G$5,1,2)*AF102*(F102/(1-AR102))*AH102</f>
        <v>#VALUE!</v>
      </c>
      <c r="T102" s="365" t="e">
        <f aca="false">xSPRDOPT(I102,H102,AQ102,AT102,O102,N102,P102,D102-$G$5,1,1)*AF102*F102*AH102</f>
        <v>#VALUE!</v>
      </c>
      <c r="U102" s="501"/>
      <c r="V102" s="503" t="e">
        <f aca="false">VLOOKUP($AG102,$AL$4:$AS$15,8)*AH102*AU102</f>
        <v>#VALUE!</v>
      </c>
      <c r="W102" s="503"/>
      <c r="X102" s="504" t="e">
        <f aca="false">((BM102*BC102)+(BL102*BB102))*AH102*F102</f>
        <v>#VALUE!</v>
      </c>
      <c r="Y102" s="504" t="e">
        <f aca="false">($F102*$AH102)*((($BG102/2)*($BC102)^2)+(($BF102/2)*($BB102)^2)+($BH102*$BC102*$BB102))</f>
        <v>#VALUE!</v>
      </c>
      <c r="Z102" s="504" t="e">
        <f aca="false">($BI102*$F102*$AH102*($G$5-$BV$5))/365.25</f>
        <v>#VALUE!</v>
      </c>
      <c r="AA102" s="504" t="e">
        <f aca="false">(($BK102*$BE102)+($BJ102*$BD102))*$F102*$AH102*$AF102</f>
        <v>#VALUE!</v>
      </c>
      <c r="AB102" s="504" t="e">
        <f aca="false">BN102*(AT102-CA102)*F102*AH102</f>
        <v>#VALUE!</v>
      </c>
      <c r="AC102" s="504" t="e">
        <f aca="false">BO102*CB102*F102*AH102*CA102*($G$5-$BV$5)/365.25</f>
        <v>#NAME?</v>
      </c>
      <c r="AF102" s="378" t="e">
        <f aca="false">IF(AND(D102&gt;=$G$7,D102&lt;=$G$8),1,0)</f>
        <v>#VALUE!</v>
      </c>
      <c r="AG102" s="378" t="e">
        <f aca="false">MONTH(D102)</f>
        <v>#VALUE!</v>
      </c>
      <c r="AH102" s="378" t="e">
        <f aca="false">(EOMONTH(D102,0)-EOMONTH(D102-DAY(D102),0))*AF102</f>
        <v>#VALUE!</v>
      </c>
      <c r="AI102" s="378" t="e">
        <f aca="false">AI101+AH101</f>
        <v>#VALUE!</v>
      </c>
      <c r="AJ102" s="378" t="e">
        <f aca="false">D102-$BV$5</f>
        <v>#VALUE!</v>
      </c>
      <c r="AL102" s="369" t="e">
        <f aca="false">VLOOKUP($D102,CurveTbl,$AK$4)</f>
        <v>#VALUE!</v>
      </c>
      <c r="AM102" s="505" t="e">
        <f aca="false">VLOOKUP($D102,CurveTbl,$AH$3)</f>
        <v>#VALUE!</v>
      </c>
      <c r="AN102" s="505" t="e">
        <f aca="false">VLOOKUP($D102,CurveTbl,$AH$4)+VLOOKUP($AG102,$AL$3:$AS$15,6)</f>
        <v>#VALUE!</v>
      </c>
      <c r="AO102" s="505" t="e">
        <f aca="false">VLOOKUP($D102,CurveTbl,$AH$5)</f>
        <v>#VALUE!</v>
      </c>
      <c r="AP102" s="505" t="e">
        <f aca="false">VLOOKUP($D102,CurveTbl,$AH$6)+VLOOKUP($AG102,$AL$3:$AS$15,7)</f>
        <v>#VALUE!</v>
      </c>
      <c r="AQ102" s="369" t="e">
        <f aca="false">VLOOKUP($AG102,$AL$4:$AS$15,3)+VLOOKUP($AG102,$AL$4:$AS$15,5)+($AH$10*VLOOKUP(D102,GRITable,2))</f>
        <v>#VALUE!</v>
      </c>
      <c r="AR102" s="370" t="e">
        <f aca="false">VLOOKUP($AG102,$AL$4:$AS$15,4)</f>
        <v>#VALUE!</v>
      </c>
      <c r="AS102" s="369" t="e">
        <f aca="false">(AL102+AM102+AN102)</f>
        <v>#VALUE!</v>
      </c>
      <c r="AT102" s="370" t="e">
        <f aca="false">VLOOKUP(D102,CurveTbl,$AK$6)</f>
        <v>#VALUE!</v>
      </c>
      <c r="AU102" s="370" t="e">
        <f aca="false">(1+$AT102/2)^(-2*($D102-$G$5)/365.25)*$AF102</f>
        <v>#VALUE!</v>
      </c>
      <c r="AV102" s="506" t="e">
        <f aca="false">ROUND((F102/(1-AR102))-F102,0)*AF102*AH102*AU102</f>
        <v>#VALUE!</v>
      </c>
      <c r="AW102" s="370" t="e">
        <f aca="false">VLOOKUP($D102,CurveTbl,$AK$8)</f>
        <v>#VALUE!</v>
      </c>
      <c r="AX102" s="370" t="e">
        <f aca="false">VLOOKUP($D102,CurveTbl,$AH$7)</f>
        <v>#VALUE!</v>
      </c>
      <c r="AY102" s="370" t="e">
        <f aca="false">VLOOKUP($D102,CurveTbl,$AH$8)</f>
        <v>#VALUE!</v>
      </c>
      <c r="AZ102" s="370"/>
      <c r="BA102" s="507"/>
      <c r="BB102" s="505" t="e">
        <f aca="false">$H102-$BV102</f>
        <v>#VALUE!</v>
      </c>
      <c r="BC102" s="505" t="e">
        <f aca="false">I102-BW102</f>
        <v>#VALUE!</v>
      </c>
      <c r="BD102" s="370" t="e">
        <f aca="false">N102-BX102</f>
        <v>#VALUE!</v>
      </c>
      <c r="BE102" s="370" t="e">
        <f aca="false">O102-BY102</f>
        <v>#VALUE!</v>
      </c>
      <c r="BF102" s="370" t="e">
        <f aca="false">xSPRDOPT($BW102,$BV102,$CG102,0,$BY102,$BX102,$BZ102,$AJ102,1,4)*$CB102</f>
        <v>#NAME?</v>
      </c>
      <c r="BG102" s="370" t="e">
        <f aca="false">xSPRDOPT($BW102,$BV102,$CG102,0,$BY102,$BX102,$BZ102,$AJ102,1,3)*$CB102</f>
        <v>#NAME?</v>
      </c>
      <c r="BH102" s="370" t="e">
        <f aca="false">IF(OR(BF102&lt;&gt;0,BG102&lt;&gt;0),xSPRDOPT($BW102,$BV102,$CG102,0,$BY102,$BX102,$BZ102,$AJ102,1,12)*$CB102,0)</f>
        <v>#NAME?</v>
      </c>
      <c r="BI102" s="370" t="e">
        <f aca="false">xSPRDOPT($BW102,$BV102,$CG102,2*LN(1+CA102/2),$BY102,$BX102,$BZ102,$AJ102,1,9)</f>
        <v>#NAME?</v>
      </c>
      <c r="BJ102" s="370" t="e">
        <f aca="false">xSPRDOPT($BW102,$BV102,$CG102,0,$BY102,$BX102,$BZ102,$AJ102,1,6)*$CB102</f>
        <v>#NAME?</v>
      </c>
      <c r="BK102" s="370" t="e">
        <f aca="false">xSPRDOPT($BW102,$BV102,$CG102,0,$BY102,$BX102,$BZ102,$AJ102,1,5)*$CB102</f>
        <v>#NAME?</v>
      </c>
      <c r="BL102" s="370" t="e">
        <f aca="false">xSPRDOPT(BW102,BV102,CG102,0,BY102,BX102,BZ102,AJ102,1,2)*CB102</f>
        <v>#NAME?</v>
      </c>
      <c r="BM102" s="370" t="e">
        <f aca="false">xSPRDOPT(BW102,BV102,CG102,0,BY102,BX102,BZ102,AJ102,1,1)*CB102</f>
        <v>#NAME?</v>
      </c>
      <c r="BN102" s="370" t="e">
        <f aca="false">IF(AH102&lt;&gt;0,xSPRDOPT($BW102,$BV102,$CG102,2*LN(1+CA102/2),$BY102,$BX102,$BZ102,$AJ102,1,8)+(AJ102/365.25)*CH102/AH102,0)</f>
        <v>#VALUE!</v>
      </c>
      <c r="BO102" s="370" t="e">
        <f aca="false">xSPRDOPT($BW102,$BV102,$CG102,0,$BY102,$BX102,$BZ102,$AJ102,1,0)</f>
        <v>#NAME?</v>
      </c>
      <c r="BP102" s="370"/>
      <c r="BQ102" s="370"/>
      <c r="BR102" s="370"/>
      <c r="BS102" s="370"/>
      <c r="BV102" s="508" t="n">
        <v>3.25401606425703</v>
      </c>
      <c r="BW102" s="369" t="n">
        <v>3.251</v>
      </c>
      <c r="BX102" s="370" t="n">
        <v>0.54</v>
      </c>
      <c r="BY102" s="370" t="n">
        <v>0.54</v>
      </c>
      <c r="BZ102" s="370" t="n">
        <v>0</v>
      </c>
      <c r="CA102" s="370" t="n">
        <v>0.0232740649677528</v>
      </c>
      <c r="CB102" s="370" t="n">
        <v>0</v>
      </c>
      <c r="CC102" s="505" t="n">
        <v>0</v>
      </c>
      <c r="CD102" s="505" t="n">
        <v>0.03</v>
      </c>
      <c r="CE102" s="505" t="n">
        <v>0.04</v>
      </c>
      <c r="CF102" s="505" t="n">
        <v>0</v>
      </c>
      <c r="CG102" s="505" t="n">
        <v>0.0006</v>
      </c>
      <c r="CH102" s="505" t="n">
        <v>0</v>
      </c>
      <c r="CI102" s="505" t="n">
        <v>3.211</v>
      </c>
      <c r="CJ102" s="505"/>
      <c r="CK102" s="505"/>
      <c r="CL102" s="505"/>
      <c r="CM102" s="505"/>
    </row>
    <row r="103" customFormat="false" ht="12.75" hidden="false" customHeight="false" outlineLevel="0" collapsed="false">
      <c r="A103" s="500"/>
      <c r="B103" s="500"/>
      <c r="D103" s="361" t="e">
        <f aca="false">D102+AH102</f>
        <v>#VALUE!</v>
      </c>
      <c r="F103" s="362" t="e">
        <f aca="false">VLOOKUP(AG103,$AL$4:$AS$15,2)</f>
        <v>#VALUE!</v>
      </c>
      <c r="G103" s="362" t="e">
        <f aca="false">F103*$AU103</f>
        <v>#VALUE!</v>
      </c>
      <c r="H103" s="363" t="e">
        <f aca="false">(AL103+AM103+AN103)/(1-(AR103))</f>
        <v>#VALUE!</v>
      </c>
      <c r="I103" s="363" t="e">
        <f aca="false">(AL103+AO103+AP103)</f>
        <v>#VALUE!</v>
      </c>
      <c r="K103" s="363" t="e">
        <f aca="false">MAX(((I103-H103)-AQ103)*AU103*AH103,0)</f>
        <v>#VALUE!</v>
      </c>
      <c r="L103" s="501" t="e">
        <f aca="false">MAX(Q103-K103,0)</f>
        <v>#VALUE!</v>
      </c>
      <c r="N103" s="502" t="e">
        <f aca="false">SQRT(($AX103^2*($AH103/2)+$AW103^2*$AI103)/(($AH103/2)+$AI103))</f>
        <v>#VALUE!</v>
      </c>
      <c r="O103" s="502" t="e">
        <f aca="false">SQRT(($AY103^2*($AH103/2)+$AW103^2*$AI103)/(($AH103/2)+$AI103))</f>
        <v>#VALUE!</v>
      </c>
      <c r="P103" s="371" t="e">
        <f aca="false">(VLOOKUP(AI103,CorrelationTwo,2)*(AW103^2)*AI103+VLOOKUP(D103,CorrelationOne,$AK$9)*AX103*AY103*(AH103/2))/((AI103+(AH103/2))*O103*N103)*AF103</f>
        <v>#VALUE!</v>
      </c>
      <c r="Q103" s="501" t="e">
        <f aca="false">xSPRDOPT(I103,H103,AQ103,0,O103,N103,P103,D103-$G$5,1,0)*AH103*AU103</f>
        <v>#VALUE!</v>
      </c>
      <c r="R103" s="501"/>
      <c r="S103" s="365" t="e">
        <f aca="false">xSPRDOPT(I103,H103,AQ103,AT103,O103,N103,P103,D103-$G$5,1,2)*AF103*(F103/(1-AR103))*AH103</f>
        <v>#VALUE!</v>
      </c>
      <c r="T103" s="365" t="e">
        <f aca="false">xSPRDOPT(I103,H103,AQ103,AT103,O103,N103,P103,D103-$G$5,1,1)*AF103*F103*AH103</f>
        <v>#VALUE!</v>
      </c>
      <c r="U103" s="501"/>
      <c r="V103" s="503" t="e">
        <f aca="false">VLOOKUP($AG103,$AL$4:$AS$15,8)*AH103*AU103</f>
        <v>#VALUE!</v>
      </c>
      <c r="W103" s="503"/>
      <c r="X103" s="504" t="e">
        <f aca="false">((BM103*BC103)+(BL103*BB103))*AH103*F103</f>
        <v>#VALUE!</v>
      </c>
      <c r="Y103" s="504" t="e">
        <f aca="false">($F103*$AH103)*((($BG103/2)*($BC103)^2)+(($BF103/2)*($BB103)^2)+($BH103*$BC103*$BB103))</f>
        <v>#VALUE!</v>
      </c>
      <c r="Z103" s="504" t="e">
        <f aca="false">($BI103*$F103*$AH103*($G$5-$BV$5))/365.25</f>
        <v>#VALUE!</v>
      </c>
      <c r="AA103" s="504" t="e">
        <f aca="false">(($BK103*$BE103)+($BJ103*$BD103))*$F103*$AH103*$AF103</f>
        <v>#VALUE!</v>
      </c>
      <c r="AB103" s="504" t="e">
        <f aca="false">BN103*(AT103-CA103)*F103*AH103</f>
        <v>#VALUE!</v>
      </c>
      <c r="AC103" s="504" t="e">
        <f aca="false">BO103*CB103*F103*AH103*CA103*($G$5-$BV$5)/365.25</f>
        <v>#NAME?</v>
      </c>
      <c r="AF103" s="378" t="e">
        <f aca="false">IF(AND(D103&gt;=$G$7,D103&lt;=$G$8),1,0)</f>
        <v>#VALUE!</v>
      </c>
      <c r="AG103" s="378" t="e">
        <f aca="false">MONTH(D103)</f>
        <v>#VALUE!</v>
      </c>
      <c r="AH103" s="378" t="e">
        <f aca="false">(EOMONTH(D103,0)-EOMONTH(D103-DAY(D103),0))*AF103</f>
        <v>#VALUE!</v>
      </c>
      <c r="AI103" s="378" t="e">
        <f aca="false">AI102+AH102</f>
        <v>#VALUE!</v>
      </c>
      <c r="AJ103" s="378" t="e">
        <f aca="false">D103-$BV$5</f>
        <v>#VALUE!</v>
      </c>
      <c r="AL103" s="369" t="e">
        <f aca="false">VLOOKUP($D103,CurveTbl,$AK$4)</f>
        <v>#VALUE!</v>
      </c>
      <c r="AM103" s="505" t="e">
        <f aca="false">VLOOKUP($D103,CurveTbl,$AH$3)</f>
        <v>#VALUE!</v>
      </c>
      <c r="AN103" s="505" t="e">
        <f aca="false">VLOOKUP($D103,CurveTbl,$AH$4)+VLOOKUP($AG103,$AL$3:$AS$15,6)</f>
        <v>#VALUE!</v>
      </c>
      <c r="AO103" s="505" t="e">
        <f aca="false">VLOOKUP($D103,CurveTbl,$AH$5)</f>
        <v>#VALUE!</v>
      </c>
      <c r="AP103" s="505" t="e">
        <f aca="false">VLOOKUP($D103,CurveTbl,$AH$6)+VLOOKUP($AG103,$AL$3:$AS$15,7)</f>
        <v>#VALUE!</v>
      </c>
      <c r="AQ103" s="369" t="e">
        <f aca="false">VLOOKUP($AG103,$AL$4:$AS$15,3)+VLOOKUP($AG103,$AL$4:$AS$15,5)+($AH$10*VLOOKUP(D103,GRITable,2))</f>
        <v>#VALUE!</v>
      </c>
      <c r="AR103" s="370" t="e">
        <f aca="false">VLOOKUP($AG103,$AL$4:$AS$15,4)</f>
        <v>#VALUE!</v>
      </c>
      <c r="AS103" s="369" t="e">
        <f aca="false">(AL103+AM103+AN103)</f>
        <v>#VALUE!</v>
      </c>
      <c r="AT103" s="370" t="e">
        <f aca="false">VLOOKUP(D103,CurveTbl,$AK$6)</f>
        <v>#VALUE!</v>
      </c>
      <c r="AU103" s="370" t="e">
        <f aca="false">(1+$AT103/2)^(-2*($D103-$G$5)/365.25)*$AF103</f>
        <v>#VALUE!</v>
      </c>
      <c r="AV103" s="506" t="e">
        <f aca="false">ROUND((F103/(1-AR103))-F103,0)*AF103*AH103*AU103</f>
        <v>#VALUE!</v>
      </c>
      <c r="AW103" s="370" t="e">
        <f aca="false">VLOOKUP($D103,CurveTbl,$AK$8)</f>
        <v>#VALUE!</v>
      </c>
      <c r="AX103" s="370" t="e">
        <f aca="false">VLOOKUP($D103,CurveTbl,$AH$7)</f>
        <v>#VALUE!</v>
      </c>
      <c r="AY103" s="370" t="e">
        <f aca="false">VLOOKUP($D103,CurveTbl,$AH$8)</f>
        <v>#VALUE!</v>
      </c>
      <c r="AZ103" s="370"/>
      <c r="BA103" s="507"/>
      <c r="BB103" s="505" t="e">
        <f aca="false">$H103-$BV103</f>
        <v>#VALUE!</v>
      </c>
      <c r="BC103" s="505" t="e">
        <f aca="false">I103-BW103</f>
        <v>#VALUE!</v>
      </c>
      <c r="BD103" s="370" t="e">
        <f aca="false">N103-BX103</f>
        <v>#VALUE!</v>
      </c>
      <c r="BE103" s="370" t="e">
        <f aca="false">O103-BY103</f>
        <v>#VALUE!</v>
      </c>
      <c r="BF103" s="370" t="e">
        <f aca="false">xSPRDOPT($BW103,$BV103,$CG103,0,$BY103,$BX103,$BZ103,$AJ103,1,4)*$CB103</f>
        <v>#NAME?</v>
      </c>
      <c r="BG103" s="370" t="e">
        <f aca="false">xSPRDOPT($BW103,$BV103,$CG103,0,$BY103,$BX103,$BZ103,$AJ103,1,3)*$CB103</f>
        <v>#NAME?</v>
      </c>
      <c r="BH103" s="370" t="e">
        <f aca="false">IF(OR(BF103&lt;&gt;0,BG103&lt;&gt;0),xSPRDOPT($BW103,$BV103,$CG103,0,$BY103,$BX103,$BZ103,$AJ103,1,12)*$CB103,0)</f>
        <v>#NAME?</v>
      </c>
      <c r="BI103" s="370" t="e">
        <f aca="false">xSPRDOPT($BW103,$BV103,$CG103,2*LN(1+CA103/2),$BY103,$BX103,$BZ103,$AJ103,1,9)</f>
        <v>#NAME?</v>
      </c>
      <c r="BJ103" s="370" t="e">
        <f aca="false">xSPRDOPT($BW103,$BV103,$CG103,0,$BY103,$BX103,$BZ103,$AJ103,1,6)*$CB103</f>
        <v>#NAME?</v>
      </c>
      <c r="BK103" s="370" t="e">
        <f aca="false">xSPRDOPT($BW103,$BV103,$CG103,0,$BY103,$BX103,$BZ103,$AJ103,1,5)*$CB103</f>
        <v>#NAME?</v>
      </c>
      <c r="BL103" s="370" t="e">
        <f aca="false">xSPRDOPT(BW103,BV103,CG103,0,BY103,BX103,BZ103,AJ103,1,2)*CB103</f>
        <v>#NAME?</v>
      </c>
      <c r="BM103" s="370" t="e">
        <f aca="false">xSPRDOPT(BW103,BV103,CG103,0,BY103,BX103,BZ103,AJ103,1,1)*CB103</f>
        <v>#NAME?</v>
      </c>
      <c r="BN103" s="370" t="e">
        <f aca="false">IF(AH103&lt;&gt;0,xSPRDOPT($BW103,$BV103,$CG103,2*LN(1+CA103/2),$BY103,$BX103,$BZ103,$AJ103,1,8)+(AJ103/365.25)*CH103/AH103,0)</f>
        <v>#VALUE!</v>
      </c>
      <c r="BO103" s="370" t="e">
        <f aca="false">xSPRDOPT($BW103,$BV103,$CG103,0,$BY103,$BX103,$BZ103,$AJ103,1,0)</f>
        <v>#NAME?</v>
      </c>
      <c r="BP103" s="370"/>
      <c r="BQ103" s="370"/>
      <c r="BR103" s="370"/>
      <c r="BS103" s="370"/>
      <c r="BV103" s="508" t="n">
        <v>3.25401606425703</v>
      </c>
      <c r="BW103" s="369" t="n">
        <v>3.251</v>
      </c>
      <c r="BX103" s="370" t="n">
        <v>0.54</v>
      </c>
      <c r="BY103" s="370" t="n">
        <v>0.54</v>
      </c>
      <c r="BZ103" s="370" t="n">
        <v>0</v>
      </c>
      <c r="CA103" s="370" t="n">
        <v>0.0232740649677528</v>
      </c>
      <c r="CB103" s="370" t="n">
        <v>0</v>
      </c>
      <c r="CC103" s="505" t="n">
        <v>0</v>
      </c>
      <c r="CD103" s="505" t="n">
        <v>0.03</v>
      </c>
      <c r="CE103" s="505" t="n">
        <v>0.04</v>
      </c>
      <c r="CF103" s="505" t="n">
        <v>0</v>
      </c>
      <c r="CG103" s="505" t="n">
        <v>0.0006</v>
      </c>
      <c r="CH103" s="505" t="n">
        <v>0</v>
      </c>
      <c r="CI103" s="505" t="n">
        <v>3.211</v>
      </c>
      <c r="CJ103" s="505"/>
      <c r="CK103" s="505"/>
      <c r="CL103" s="505"/>
      <c r="CM103" s="505"/>
    </row>
    <row r="104" customFormat="false" ht="12.75" hidden="false" customHeight="false" outlineLevel="0" collapsed="false">
      <c r="A104" s="500"/>
      <c r="B104" s="500"/>
      <c r="D104" s="361" t="e">
        <f aca="false">D103+AH103</f>
        <v>#VALUE!</v>
      </c>
      <c r="F104" s="362" t="e">
        <f aca="false">VLOOKUP(AG104,$AL$4:$AS$15,2)</f>
        <v>#VALUE!</v>
      </c>
      <c r="G104" s="362" t="e">
        <f aca="false">F104*$AU104</f>
        <v>#VALUE!</v>
      </c>
      <c r="H104" s="363" t="e">
        <f aca="false">(AL104+AM104+AN104)/(1-(AR104))</f>
        <v>#VALUE!</v>
      </c>
      <c r="I104" s="363" t="e">
        <f aca="false">(AL104+AO104+AP104)</f>
        <v>#VALUE!</v>
      </c>
      <c r="K104" s="363" t="e">
        <f aca="false">MAX(((I104-H104)-AQ104)*AU104*AH104,0)</f>
        <v>#VALUE!</v>
      </c>
      <c r="L104" s="501" t="e">
        <f aca="false">MAX(Q104-K104,0)</f>
        <v>#VALUE!</v>
      </c>
      <c r="N104" s="502" t="e">
        <f aca="false">SQRT(($AX104^2*($AH104/2)+$AW104^2*$AI104)/(($AH104/2)+$AI104))</f>
        <v>#VALUE!</v>
      </c>
      <c r="O104" s="502" t="e">
        <f aca="false">SQRT(($AY104^2*($AH104/2)+$AW104^2*$AI104)/(($AH104/2)+$AI104))</f>
        <v>#VALUE!</v>
      </c>
      <c r="P104" s="371" t="e">
        <f aca="false">(VLOOKUP(AI104,CorrelationTwo,2)*(AW104^2)*AI104+VLOOKUP(D104,CorrelationOne,$AK$9)*AX104*AY104*(AH104/2))/((AI104+(AH104/2))*O104*N104)*AF104</f>
        <v>#VALUE!</v>
      </c>
      <c r="Q104" s="501" t="e">
        <f aca="false">xSPRDOPT(I104,H104,AQ104,0,O104,N104,P104,D104-$G$5,1,0)*AH104*AU104</f>
        <v>#VALUE!</v>
      </c>
      <c r="R104" s="501"/>
      <c r="S104" s="365" t="e">
        <f aca="false">xSPRDOPT(I104,H104,AQ104,AT104,O104,N104,P104,D104-$G$5,1,2)*AF104*(F104/(1-AR104))*AH104</f>
        <v>#VALUE!</v>
      </c>
      <c r="T104" s="365" t="e">
        <f aca="false">xSPRDOPT(I104,H104,AQ104,AT104,O104,N104,P104,D104-$G$5,1,1)*AF104*F104*AH104</f>
        <v>#VALUE!</v>
      </c>
      <c r="U104" s="501"/>
      <c r="V104" s="503" t="e">
        <f aca="false">VLOOKUP($AG104,$AL$4:$AS$15,8)*AH104*AU104</f>
        <v>#VALUE!</v>
      </c>
      <c r="W104" s="503"/>
      <c r="X104" s="504" t="e">
        <f aca="false">((BM104*BC104)+(BL104*BB104))*AH104*F104</f>
        <v>#VALUE!</v>
      </c>
      <c r="Y104" s="504" t="e">
        <f aca="false">($F104*$AH104)*((($BG104/2)*($BC104)^2)+(($BF104/2)*($BB104)^2)+($BH104*$BC104*$BB104))</f>
        <v>#VALUE!</v>
      </c>
      <c r="Z104" s="504" t="e">
        <f aca="false">($BI104*$F104*$AH104*($G$5-$BV$5))/365.25</f>
        <v>#VALUE!</v>
      </c>
      <c r="AA104" s="504" t="e">
        <f aca="false">(($BK104*$BE104)+($BJ104*$BD104))*$F104*$AH104*$AF104</f>
        <v>#VALUE!</v>
      </c>
      <c r="AB104" s="504" t="e">
        <f aca="false">BN104*(AT104-CA104)*F104*AH104</f>
        <v>#VALUE!</v>
      </c>
      <c r="AC104" s="504" t="e">
        <f aca="false">BO104*CB104*F104*AH104*CA104*($G$5-$BV$5)/365.25</f>
        <v>#NAME?</v>
      </c>
      <c r="AF104" s="378" t="e">
        <f aca="false">IF(AND(D104&gt;=$G$7,D104&lt;=$G$8),1,0)</f>
        <v>#VALUE!</v>
      </c>
      <c r="AG104" s="378" t="e">
        <f aca="false">MONTH(D104)</f>
        <v>#VALUE!</v>
      </c>
      <c r="AH104" s="378" t="e">
        <f aca="false">(EOMONTH(D104,0)-EOMONTH(D104-DAY(D104),0))*AF104</f>
        <v>#VALUE!</v>
      </c>
      <c r="AI104" s="378" t="e">
        <f aca="false">AI103+AH103</f>
        <v>#VALUE!</v>
      </c>
      <c r="AJ104" s="378" t="e">
        <f aca="false">D104-$BV$5</f>
        <v>#VALUE!</v>
      </c>
      <c r="AL104" s="369" t="e">
        <f aca="false">VLOOKUP($D104,CurveTbl,$AK$4)</f>
        <v>#VALUE!</v>
      </c>
      <c r="AM104" s="505" t="e">
        <f aca="false">VLOOKUP($D104,CurveTbl,$AH$3)</f>
        <v>#VALUE!</v>
      </c>
      <c r="AN104" s="505" t="e">
        <f aca="false">VLOOKUP($D104,CurveTbl,$AH$4)+VLOOKUP($AG104,$AL$3:$AS$15,6)</f>
        <v>#VALUE!</v>
      </c>
      <c r="AO104" s="505" t="e">
        <f aca="false">VLOOKUP($D104,CurveTbl,$AH$5)</f>
        <v>#VALUE!</v>
      </c>
      <c r="AP104" s="505" t="e">
        <f aca="false">VLOOKUP($D104,CurveTbl,$AH$6)+VLOOKUP($AG104,$AL$3:$AS$15,7)</f>
        <v>#VALUE!</v>
      </c>
      <c r="AQ104" s="369" t="e">
        <f aca="false">VLOOKUP($AG104,$AL$4:$AS$15,3)+VLOOKUP($AG104,$AL$4:$AS$15,5)+($AH$10*VLOOKUP(D104,GRITable,2))</f>
        <v>#VALUE!</v>
      </c>
      <c r="AR104" s="370" t="e">
        <f aca="false">VLOOKUP($AG104,$AL$4:$AS$15,4)</f>
        <v>#VALUE!</v>
      </c>
      <c r="AS104" s="369" t="e">
        <f aca="false">(AL104+AM104+AN104)</f>
        <v>#VALUE!</v>
      </c>
      <c r="AT104" s="370" t="e">
        <f aca="false">VLOOKUP(D104,CurveTbl,$AK$6)</f>
        <v>#VALUE!</v>
      </c>
      <c r="AU104" s="370" t="e">
        <f aca="false">(1+$AT104/2)^(-2*($D104-$G$5)/365.25)*$AF104</f>
        <v>#VALUE!</v>
      </c>
      <c r="AV104" s="506" t="e">
        <f aca="false">ROUND((F104/(1-AR104))-F104,0)*AF104*AH104*AU104</f>
        <v>#VALUE!</v>
      </c>
      <c r="AW104" s="370" t="e">
        <f aca="false">VLOOKUP($D104,CurveTbl,$AK$8)</f>
        <v>#VALUE!</v>
      </c>
      <c r="AX104" s="370" t="e">
        <f aca="false">VLOOKUP($D104,CurveTbl,$AH$7)</f>
        <v>#VALUE!</v>
      </c>
      <c r="AY104" s="370" t="e">
        <f aca="false">VLOOKUP($D104,CurveTbl,$AH$8)</f>
        <v>#VALUE!</v>
      </c>
      <c r="AZ104" s="370"/>
      <c r="BA104" s="507"/>
      <c r="BB104" s="505" t="e">
        <f aca="false">$H104-$BV104</f>
        <v>#VALUE!</v>
      </c>
      <c r="BC104" s="505" t="e">
        <f aca="false">I104-BW104</f>
        <v>#VALUE!</v>
      </c>
      <c r="BD104" s="370" t="e">
        <f aca="false">N104-BX104</f>
        <v>#VALUE!</v>
      </c>
      <c r="BE104" s="370" t="e">
        <f aca="false">O104-BY104</f>
        <v>#VALUE!</v>
      </c>
      <c r="BF104" s="370" t="e">
        <f aca="false">xSPRDOPT($BW104,$BV104,$CG104,0,$BY104,$BX104,$BZ104,$AJ104,1,4)*$CB104</f>
        <v>#NAME?</v>
      </c>
      <c r="BG104" s="370" t="e">
        <f aca="false">xSPRDOPT($BW104,$BV104,$CG104,0,$BY104,$BX104,$BZ104,$AJ104,1,3)*$CB104</f>
        <v>#NAME?</v>
      </c>
      <c r="BH104" s="370" t="e">
        <f aca="false">IF(OR(BF104&lt;&gt;0,BG104&lt;&gt;0),xSPRDOPT($BW104,$BV104,$CG104,0,$BY104,$BX104,$BZ104,$AJ104,1,12)*$CB104,0)</f>
        <v>#NAME?</v>
      </c>
      <c r="BI104" s="370" t="e">
        <f aca="false">xSPRDOPT($BW104,$BV104,$CG104,2*LN(1+CA104/2),$BY104,$BX104,$BZ104,$AJ104,1,9)</f>
        <v>#NAME?</v>
      </c>
      <c r="BJ104" s="370" t="e">
        <f aca="false">xSPRDOPT($BW104,$BV104,$CG104,0,$BY104,$BX104,$BZ104,$AJ104,1,6)*$CB104</f>
        <v>#NAME?</v>
      </c>
      <c r="BK104" s="370" t="e">
        <f aca="false">xSPRDOPT($BW104,$BV104,$CG104,0,$BY104,$BX104,$BZ104,$AJ104,1,5)*$CB104</f>
        <v>#NAME?</v>
      </c>
      <c r="BL104" s="370" t="e">
        <f aca="false">xSPRDOPT(BW104,BV104,CG104,0,BY104,BX104,BZ104,AJ104,1,2)*CB104</f>
        <v>#NAME?</v>
      </c>
      <c r="BM104" s="370" t="e">
        <f aca="false">xSPRDOPT(BW104,BV104,CG104,0,BY104,BX104,BZ104,AJ104,1,1)*CB104</f>
        <v>#NAME?</v>
      </c>
      <c r="BN104" s="370" t="e">
        <f aca="false">IF(AH104&lt;&gt;0,xSPRDOPT($BW104,$BV104,$CG104,2*LN(1+CA104/2),$BY104,$BX104,$BZ104,$AJ104,1,8)+(AJ104/365.25)*CH104/AH104,0)</f>
        <v>#VALUE!</v>
      </c>
      <c r="BO104" s="370" t="e">
        <f aca="false">xSPRDOPT($BW104,$BV104,$CG104,0,$BY104,$BX104,$BZ104,$AJ104,1,0)</f>
        <v>#NAME?</v>
      </c>
      <c r="BP104" s="370"/>
      <c r="BQ104" s="370"/>
      <c r="BR104" s="370"/>
      <c r="BS104" s="370"/>
      <c r="BV104" s="508" t="n">
        <v>3.25401606425703</v>
      </c>
      <c r="BW104" s="369" t="n">
        <v>3.251</v>
      </c>
      <c r="BX104" s="370" t="n">
        <v>0.54</v>
      </c>
      <c r="BY104" s="370" t="n">
        <v>0.54</v>
      </c>
      <c r="BZ104" s="370" t="n">
        <v>0</v>
      </c>
      <c r="CA104" s="370" t="n">
        <v>0.0232740649677528</v>
      </c>
      <c r="CB104" s="370" t="n">
        <v>0</v>
      </c>
      <c r="CC104" s="505" t="n">
        <v>0</v>
      </c>
      <c r="CD104" s="505" t="n">
        <v>0.03</v>
      </c>
      <c r="CE104" s="505" t="n">
        <v>0.04</v>
      </c>
      <c r="CF104" s="505" t="n">
        <v>0</v>
      </c>
      <c r="CG104" s="505" t="n">
        <v>0.0006</v>
      </c>
      <c r="CH104" s="505" t="n">
        <v>0</v>
      </c>
      <c r="CI104" s="505" t="n">
        <v>3.211</v>
      </c>
      <c r="CJ104" s="505"/>
      <c r="CK104" s="505"/>
      <c r="CL104" s="505"/>
      <c r="CM104" s="505"/>
    </row>
    <row r="105" customFormat="false" ht="12.75" hidden="false" customHeight="false" outlineLevel="0" collapsed="false">
      <c r="A105" s="500"/>
      <c r="B105" s="500"/>
      <c r="D105" s="361" t="e">
        <f aca="false">D104+AH104</f>
        <v>#VALUE!</v>
      </c>
      <c r="F105" s="362" t="e">
        <f aca="false">VLOOKUP(AG105,$AL$4:$AS$15,2)</f>
        <v>#VALUE!</v>
      </c>
      <c r="G105" s="362" t="e">
        <f aca="false">F105*$AU105</f>
        <v>#VALUE!</v>
      </c>
      <c r="H105" s="363" t="e">
        <f aca="false">(AL105+AM105+AN105)/(1-(AR105))</f>
        <v>#VALUE!</v>
      </c>
      <c r="I105" s="363" t="e">
        <f aca="false">(AL105+AO105+AP105)</f>
        <v>#VALUE!</v>
      </c>
      <c r="K105" s="363" t="e">
        <f aca="false">MAX(((I105-H105)-AQ105)*AU105*AH105,0)</f>
        <v>#VALUE!</v>
      </c>
      <c r="L105" s="501" t="e">
        <f aca="false">MAX(Q105-K105,0)</f>
        <v>#VALUE!</v>
      </c>
      <c r="N105" s="502" t="e">
        <f aca="false">SQRT(($AX105^2*($AH105/2)+$AW105^2*$AI105)/(($AH105/2)+$AI105))</f>
        <v>#VALUE!</v>
      </c>
      <c r="O105" s="502" t="e">
        <f aca="false">SQRT(($AY105^2*($AH105/2)+$AW105^2*$AI105)/(($AH105/2)+$AI105))</f>
        <v>#VALUE!</v>
      </c>
      <c r="P105" s="371" t="e">
        <f aca="false">(VLOOKUP(AI105,CorrelationTwo,2)*(AW105^2)*AI105+VLOOKUP(D105,CorrelationOne,$AK$9)*AX105*AY105*(AH105/2))/((AI105+(AH105/2))*O105*N105)*AF105</f>
        <v>#VALUE!</v>
      </c>
      <c r="Q105" s="501" t="e">
        <f aca="false">xSPRDOPT(I105,H105,AQ105,0,O105,N105,P105,D105-$G$5,1,0)*AH105*AU105</f>
        <v>#VALUE!</v>
      </c>
      <c r="R105" s="501"/>
      <c r="S105" s="365" t="e">
        <f aca="false">xSPRDOPT(I105,H105,AQ105,AT105,O105,N105,P105,D105-$G$5,1,2)*AF105*(F105/(1-AR105))*AH105</f>
        <v>#VALUE!</v>
      </c>
      <c r="T105" s="365" t="e">
        <f aca="false">xSPRDOPT(I105,H105,AQ105,AT105,O105,N105,P105,D105-$G$5,1,1)*AF105*F105*AH105</f>
        <v>#VALUE!</v>
      </c>
      <c r="U105" s="501"/>
      <c r="V105" s="503" t="e">
        <f aca="false">VLOOKUP($AG105,$AL$4:$AS$15,8)*AH105*AU105</f>
        <v>#VALUE!</v>
      </c>
      <c r="W105" s="503"/>
      <c r="X105" s="504" t="e">
        <f aca="false">((BM105*BC105)+(BL105*BB105))*AH105*F105</f>
        <v>#VALUE!</v>
      </c>
      <c r="Y105" s="504" t="e">
        <f aca="false">($F105*$AH105)*((($BG105/2)*($BC105)^2)+(($BF105/2)*($BB105)^2)+($BH105*$BC105*$BB105))</f>
        <v>#VALUE!</v>
      </c>
      <c r="Z105" s="504" t="e">
        <f aca="false">($BI105*$F105*$AH105*($G$5-$BV$5))/365.25</f>
        <v>#VALUE!</v>
      </c>
      <c r="AA105" s="504" t="e">
        <f aca="false">(($BK105*$BE105)+($BJ105*$BD105))*$F105*$AH105*$AF105</f>
        <v>#VALUE!</v>
      </c>
      <c r="AB105" s="504" t="e">
        <f aca="false">BN105*(AT105-CA105)*F105*AH105</f>
        <v>#VALUE!</v>
      </c>
      <c r="AC105" s="504" t="e">
        <f aca="false">BO105*CB105*F105*AH105*CA105*($G$5-$BV$5)/365.25</f>
        <v>#NAME?</v>
      </c>
      <c r="AF105" s="378" t="e">
        <f aca="false">IF(AND(D105&gt;=$G$7,D105&lt;=$G$8),1,0)</f>
        <v>#VALUE!</v>
      </c>
      <c r="AG105" s="378" t="e">
        <f aca="false">MONTH(D105)</f>
        <v>#VALUE!</v>
      </c>
      <c r="AH105" s="378" t="e">
        <f aca="false">(EOMONTH(D105,0)-EOMONTH(D105-DAY(D105),0))*AF105</f>
        <v>#VALUE!</v>
      </c>
      <c r="AI105" s="378" t="e">
        <f aca="false">AI104+AH104</f>
        <v>#VALUE!</v>
      </c>
      <c r="AJ105" s="378" t="e">
        <f aca="false">D105-$BV$5</f>
        <v>#VALUE!</v>
      </c>
      <c r="AL105" s="369" t="e">
        <f aca="false">VLOOKUP($D105,CurveTbl,$AK$4)</f>
        <v>#VALUE!</v>
      </c>
      <c r="AM105" s="505" t="e">
        <f aca="false">VLOOKUP($D105,CurveTbl,$AH$3)</f>
        <v>#VALUE!</v>
      </c>
      <c r="AN105" s="505" t="e">
        <f aca="false">VLOOKUP($D105,CurveTbl,$AH$4)+VLOOKUP($AG105,$AL$3:$AS$15,6)</f>
        <v>#VALUE!</v>
      </c>
      <c r="AO105" s="505" t="e">
        <f aca="false">VLOOKUP($D105,CurveTbl,$AH$5)</f>
        <v>#VALUE!</v>
      </c>
      <c r="AP105" s="505" t="e">
        <f aca="false">VLOOKUP($D105,CurveTbl,$AH$6)+VLOOKUP($AG105,$AL$3:$AS$15,7)</f>
        <v>#VALUE!</v>
      </c>
      <c r="AQ105" s="369" t="e">
        <f aca="false">VLOOKUP($AG105,$AL$4:$AS$15,3)+VLOOKUP($AG105,$AL$4:$AS$15,5)+($AH$10*VLOOKUP(D105,GRITable,2))</f>
        <v>#VALUE!</v>
      </c>
      <c r="AR105" s="370" t="e">
        <f aca="false">VLOOKUP($AG105,$AL$4:$AS$15,4)</f>
        <v>#VALUE!</v>
      </c>
      <c r="AS105" s="369" t="e">
        <f aca="false">(AL105+AM105+AN105)</f>
        <v>#VALUE!</v>
      </c>
      <c r="AT105" s="370" t="e">
        <f aca="false">VLOOKUP(D105,CurveTbl,$AK$6)</f>
        <v>#VALUE!</v>
      </c>
      <c r="AU105" s="370" t="e">
        <f aca="false">(1+$AT105/2)^(-2*($D105-$G$5)/365.25)*$AF105</f>
        <v>#VALUE!</v>
      </c>
      <c r="AV105" s="506" t="e">
        <f aca="false">ROUND((F105/(1-AR105))-F105,0)*AF105*AH105*AU105</f>
        <v>#VALUE!</v>
      </c>
      <c r="AW105" s="370" t="e">
        <f aca="false">VLOOKUP($D105,CurveTbl,$AK$8)</f>
        <v>#VALUE!</v>
      </c>
      <c r="AX105" s="370" t="e">
        <f aca="false">VLOOKUP($D105,CurveTbl,$AH$7)</f>
        <v>#VALUE!</v>
      </c>
      <c r="AY105" s="370" t="e">
        <f aca="false">VLOOKUP($D105,CurveTbl,$AH$8)</f>
        <v>#VALUE!</v>
      </c>
      <c r="AZ105" s="370"/>
      <c r="BA105" s="507"/>
      <c r="BB105" s="505" t="e">
        <f aca="false">$H105-$BV105</f>
        <v>#VALUE!</v>
      </c>
      <c r="BC105" s="505" t="e">
        <f aca="false">I105-BW105</f>
        <v>#VALUE!</v>
      </c>
      <c r="BD105" s="370" t="e">
        <f aca="false">N105-BX105</f>
        <v>#VALUE!</v>
      </c>
      <c r="BE105" s="370" t="e">
        <f aca="false">O105-BY105</f>
        <v>#VALUE!</v>
      </c>
      <c r="BF105" s="370" t="e">
        <f aca="false">xSPRDOPT($BW105,$BV105,$CG105,0,$BY105,$BX105,$BZ105,$AJ105,1,4)*$CB105</f>
        <v>#NAME?</v>
      </c>
      <c r="BG105" s="370" t="e">
        <f aca="false">xSPRDOPT($BW105,$BV105,$CG105,0,$BY105,$BX105,$BZ105,$AJ105,1,3)*$CB105</f>
        <v>#NAME?</v>
      </c>
      <c r="BH105" s="370" t="e">
        <f aca="false">IF(OR(BF105&lt;&gt;0,BG105&lt;&gt;0),xSPRDOPT($BW105,$BV105,$CG105,0,$BY105,$BX105,$BZ105,$AJ105,1,12)*$CB105,0)</f>
        <v>#NAME?</v>
      </c>
      <c r="BI105" s="370" t="e">
        <f aca="false">xSPRDOPT($BW105,$BV105,$CG105,2*LN(1+CA105/2),$BY105,$BX105,$BZ105,$AJ105,1,9)</f>
        <v>#NAME?</v>
      </c>
      <c r="BJ105" s="370" t="e">
        <f aca="false">xSPRDOPT($BW105,$BV105,$CG105,0,$BY105,$BX105,$BZ105,$AJ105,1,6)*$CB105</f>
        <v>#NAME?</v>
      </c>
      <c r="BK105" s="370" t="e">
        <f aca="false">xSPRDOPT($BW105,$BV105,$CG105,0,$BY105,$BX105,$BZ105,$AJ105,1,5)*$CB105</f>
        <v>#NAME?</v>
      </c>
      <c r="BL105" s="370" t="e">
        <f aca="false">xSPRDOPT(BW105,BV105,CG105,0,BY105,BX105,BZ105,AJ105,1,2)*CB105</f>
        <v>#NAME?</v>
      </c>
      <c r="BM105" s="370" t="e">
        <f aca="false">xSPRDOPT(BW105,BV105,CG105,0,BY105,BX105,BZ105,AJ105,1,1)*CB105</f>
        <v>#NAME?</v>
      </c>
      <c r="BN105" s="370" t="e">
        <f aca="false">IF(AH105&lt;&gt;0,xSPRDOPT($BW105,$BV105,$CG105,2*LN(1+CA105/2),$BY105,$BX105,$BZ105,$AJ105,1,8)+(AJ105/365.25)*CH105/AH105,0)</f>
        <v>#VALUE!</v>
      </c>
      <c r="BO105" s="370" t="e">
        <f aca="false">xSPRDOPT($BW105,$BV105,$CG105,0,$BY105,$BX105,$BZ105,$AJ105,1,0)</f>
        <v>#NAME?</v>
      </c>
      <c r="BP105" s="370"/>
      <c r="BQ105" s="370"/>
      <c r="BR105" s="370"/>
      <c r="BS105" s="370"/>
      <c r="BV105" s="508" t="n">
        <v>3.25401606425703</v>
      </c>
      <c r="BW105" s="369" t="n">
        <v>3.251</v>
      </c>
      <c r="BX105" s="370" t="n">
        <v>0.54</v>
      </c>
      <c r="BY105" s="370" t="n">
        <v>0.54</v>
      </c>
      <c r="BZ105" s="370" t="n">
        <v>0</v>
      </c>
      <c r="CA105" s="370" t="n">
        <v>0.0232740649677528</v>
      </c>
      <c r="CB105" s="370" t="n">
        <v>0</v>
      </c>
      <c r="CC105" s="505" t="n">
        <v>0</v>
      </c>
      <c r="CD105" s="505" t="n">
        <v>0.03</v>
      </c>
      <c r="CE105" s="505" t="n">
        <v>0.04</v>
      </c>
      <c r="CF105" s="505" t="n">
        <v>0</v>
      </c>
      <c r="CG105" s="505" t="n">
        <v>0.0006</v>
      </c>
      <c r="CH105" s="505" t="n">
        <v>0</v>
      </c>
      <c r="CI105" s="505" t="n">
        <v>3.211</v>
      </c>
      <c r="CJ105" s="505"/>
      <c r="CK105" s="505"/>
      <c r="CL105" s="505"/>
      <c r="CM105" s="505"/>
    </row>
    <row r="106" customFormat="false" ht="12.75" hidden="false" customHeight="false" outlineLevel="0" collapsed="false">
      <c r="A106" s="500"/>
      <c r="B106" s="500"/>
      <c r="D106" s="361" t="e">
        <f aca="false">D105+AH105</f>
        <v>#VALUE!</v>
      </c>
      <c r="F106" s="362" t="e">
        <f aca="false">VLOOKUP(AG106,$AL$4:$AS$15,2)</f>
        <v>#VALUE!</v>
      </c>
      <c r="G106" s="362" t="e">
        <f aca="false">F106*$AU106</f>
        <v>#VALUE!</v>
      </c>
      <c r="H106" s="363" t="e">
        <f aca="false">(AL106+AM106+AN106)/(1-(AR106))</f>
        <v>#VALUE!</v>
      </c>
      <c r="I106" s="363" t="e">
        <f aca="false">(AL106+AO106+AP106)</f>
        <v>#VALUE!</v>
      </c>
      <c r="K106" s="363" t="e">
        <f aca="false">MAX(((I106-H106)-AQ106)*AU106*AH106,0)</f>
        <v>#VALUE!</v>
      </c>
      <c r="L106" s="501" t="e">
        <f aca="false">MAX(Q106-K106,0)</f>
        <v>#VALUE!</v>
      </c>
      <c r="N106" s="502" t="e">
        <f aca="false">SQRT(($AX106^2*($AH106/2)+$AW106^2*$AI106)/(($AH106/2)+$AI106))</f>
        <v>#VALUE!</v>
      </c>
      <c r="O106" s="502" t="e">
        <f aca="false">SQRT(($AY106^2*($AH106/2)+$AW106^2*$AI106)/(($AH106/2)+$AI106))</f>
        <v>#VALUE!</v>
      </c>
      <c r="P106" s="371" t="e">
        <f aca="false">(VLOOKUP(AI106,CorrelationTwo,2)*(AW106^2)*AI106+VLOOKUP(D106,CorrelationOne,$AK$9)*AX106*AY106*(AH106/2))/((AI106+(AH106/2))*O106*N106)*AF106</f>
        <v>#VALUE!</v>
      </c>
      <c r="Q106" s="501" t="e">
        <f aca="false">xSPRDOPT(I106,H106,AQ106,0,O106,N106,P106,D106-$G$5,1,0)*AH106*AU106</f>
        <v>#VALUE!</v>
      </c>
      <c r="R106" s="501"/>
      <c r="S106" s="365" t="e">
        <f aca="false">xSPRDOPT(I106,H106,AQ106,AT106,O106,N106,P106,D106-$G$5,1,2)*AF106*(F106/(1-AR106))*AH106</f>
        <v>#VALUE!</v>
      </c>
      <c r="T106" s="365" t="e">
        <f aca="false">xSPRDOPT(I106,H106,AQ106,AT106,O106,N106,P106,D106-$G$5,1,1)*AF106*F106*AH106</f>
        <v>#VALUE!</v>
      </c>
      <c r="U106" s="501"/>
      <c r="V106" s="503" t="e">
        <f aca="false">VLOOKUP($AG106,$AL$4:$AS$15,8)*AH106*AU106</f>
        <v>#VALUE!</v>
      </c>
      <c r="W106" s="503"/>
      <c r="X106" s="504" t="e">
        <f aca="false">((BM106*BC106)+(BL106*BB106))*AH106*F106</f>
        <v>#VALUE!</v>
      </c>
      <c r="Y106" s="504" t="e">
        <f aca="false">($F106*$AH106)*((($BG106/2)*($BC106)^2)+(($BF106/2)*($BB106)^2)+($BH106*$BC106*$BB106))</f>
        <v>#VALUE!</v>
      </c>
      <c r="Z106" s="504" t="e">
        <f aca="false">($BI106*$F106*$AH106*($G$5-$BV$5))/365.25</f>
        <v>#VALUE!</v>
      </c>
      <c r="AA106" s="504" t="e">
        <f aca="false">(($BK106*$BE106)+($BJ106*$BD106))*$F106*$AH106*$AF106</f>
        <v>#VALUE!</v>
      </c>
      <c r="AB106" s="504" t="e">
        <f aca="false">BN106*(AT106-CA106)*F106*AH106</f>
        <v>#VALUE!</v>
      </c>
      <c r="AC106" s="504" t="e">
        <f aca="false">BO106*CB106*F106*AH106*CA106*($G$5-$BV$5)/365.25</f>
        <v>#NAME?</v>
      </c>
      <c r="AF106" s="378" t="e">
        <f aca="false">IF(AND(D106&gt;=$G$7,D106&lt;=$G$8),1,0)</f>
        <v>#VALUE!</v>
      </c>
      <c r="AG106" s="378" t="e">
        <f aca="false">MONTH(D106)</f>
        <v>#VALUE!</v>
      </c>
      <c r="AH106" s="378" t="e">
        <f aca="false">(EOMONTH(D106,0)-EOMONTH(D106-DAY(D106),0))*AF106</f>
        <v>#VALUE!</v>
      </c>
      <c r="AI106" s="378" t="e">
        <f aca="false">AI105+AH105</f>
        <v>#VALUE!</v>
      </c>
      <c r="AJ106" s="378" t="e">
        <f aca="false">D106-$BV$5</f>
        <v>#VALUE!</v>
      </c>
      <c r="AL106" s="369" t="e">
        <f aca="false">VLOOKUP($D106,CurveTbl,$AK$4)</f>
        <v>#VALUE!</v>
      </c>
      <c r="AM106" s="505" t="e">
        <f aca="false">VLOOKUP($D106,CurveTbl,$AH$3)</f>
        <v>#VALUE!</v>
      </c>
      <c r="AN106" s="505" t="e">
        <f aca="false">VLOOKUP($D106,CurveTbl,$AH$4)+VLOOKUP($AG106,$AL$3:$AS$15,6)</f>
        <v>#VALUE!</v>
      </c>
      <c r="AO106" s="505" t="e">
        <f aca="false">VLOOKUP($D106,CurveTbl,$AH$5)</f>
        <v>#VALUE!</v>
      </c>
      <c r="AP106" s="505" t="e">
        <f aca="false">VLOOKUP($D106,CurveTbl,$AH$6)+VLOOKUP($AG106,$AL$3:$AS$15,7)</f>
        <v>#VALUE!</v>
      </c>
      <c r="AQ106" s="369" t="e">
        <f aca="false">VLOOKUP($AG106,$AL$4:$AS$15,3)+VLOOKUP($AG106,$AL$4:$AS$15,5)+($AH$10*VLOOKUP(D106,GRITable,2))</f>
        <v>#VALUE!</v>
      </c>
      <c r="AR106" s="370" t="e">
        <f aca="false">VLOOKUP($AG106,$AL$4:$AS$15,4)</f>
        <v>#VALUE!</v>
      </c>
      <c r="AS106" s="369" t="e">
        <f aca="false">(AL106+AM106+AN106)</f>
        <v>#VALUE!</v>
      </c>
      <c r="AT106" s="370" t="e">
        <f aca="false">VLOOKUP(D106,CurveTbl,$AK$6)</f>
        <v>#VALUE!</v>
      </c>
      <c r="AU106" s="370" t="e">
        <f aca="false">(1+$AT106/2)^(-2*($D106-$G$5)/365.25)*$AF106</f>
        <v>#VALUE!</v>
      </c>
      <c r="AV106" s="506" t="e">
        <f aca="false">ROUND((F106/(1-AR106))-F106,0)*AF106*AH106*AU106</f>
        <v>#VALUE!</v>
      </c>
      <c r="AW106" s="370" t="e">
        <f aca="false">VLOOKUP($D106,CurveTbl,$AK$8)</f>
        <v>#VALUE!</v>
      </c>
      <c r="AX106" s="370" t="e">
        <f aca="false">VLOOKUP($D106,CurveTbl,$AH$7)</f>
        <v>#VALUE!</v>
      </c>
      <c r="AY106" s="370" t="e">
        <f aca="false">VLOOKUP($D106,CurveTbl,$AH$8)</f>
        <v>#VALUE!</v>
      </c>
      <c r="AZ106" s="370"/>
      <c r="BA106" s="507"/>
      <c r="BB106" s="505" t="e">
        <f aca="false">$H106-$BV106</f>
        <v>#VALUE!</v>
      </c>
      <c r="BC106" s="505" t="e">
        <f aca="false">I106-BW106</f>
        <v>#VALUE!</v>
      </c>
      <c r="BD106" s="370" t="e">
        <f aca="false">N106-BX106</f>
        <v>#VALUE!</v>
      </c>
      <c r="BE106" s="370" t="e">
        <f aca="false">O106-BY106</f>
        <v>#VALUE!</v>
      </c>
      <c r="BF106" s="370" t="e">
        <f aca="false">xSPRDOPT($BW106,$BV106,$CG106,0,$BY106,$BX106,$BZ106,$AJ106,1,4)*$CB106</f>
        <v>#NAME?</v>
      </c>
      <c r="BG106" s="370" t="e">
        <f aca="false">xSPRDOPT($BW106,$BV106,$CG106,0,$BY106,$BX106,$BZ106,$AJ106,1,3)*$CB106</f>
        <v>#NAME?</v>
      </c>
      <c r="BH106" s="370" t="e">
        <f aca="false">IF(OR(BF106&lt;&gt;0,BG106&lt;&gt;0),xSPRDOPT($BW106,$BV106,$CG106,0,$BY106,$BX106,$BZ106,$AJ106,1,12)*$CB106,0)</f>
        <v>#NAME?</v>
      </c>
      <c r="BI106" s="370" t="e">
        <f aca="false">xSPRDOPT($BW106,$BV106,$CG106,2*LN(1+CA106/2),$BY106,$BX106,$BZ106,$AJ106,1,9)</f>
        <v>#NAME?</v>
      </c>
      <c r="BJ106" s="370" t="e">
        <f aca="false">xSPRDOPT($BW106,$BV106,$CG106,0,$BY106,$BX106,$BZ106,$AJ106,1,6)*$CB106</f>
        <v>#NAME?</v>
      </c>
      <c r="BK106" s="370" t="e">
        <f aca="false">xSPRDOPT($BW106,$BV106,$CG106,0,$BY106,$BX106,$BZ106,$AJ106,1,5)*$CB106</f>
        <v>#NAME?</v>
      </c>
      <c r="BL106" s="370" t="e">
        <f aca="false">xSPRDOPT(BW106,BV106,CG106,0,BY106,BX106,BZ106,AJ106,1,2)*CB106</f>
        <v>#NAME?</v>
      </c>
      <c r="BM106" s="370" t="e">
        <f aca="false">xSPRDOPT(BW106,BV106,CG106,0,BY106,BX106,BZ106,AJ106,1,1)*CB106</f>
        <v>#NAME?</v>
      </c>
      <c r="BN106" s="370" t="e">
        <f aca="false">IF(AH106&lt;&gt;0,xSPRDOPT($BW106,$BV106,$CG106,2*LN(1+CA106/2),$BY106,$BX106,$BZ106,$AJ106,1,8)+(AJ106/365.25)*CH106/AH106,0)</f>
        <v>#VALUE!</v>
      </c>
      <c r="BO106" s="370" t="e">
        <f aca="false">xSPRDOPT($BW106,$BV106,$CG106,0,$BY106,$BX106,$BZ106,$AJ106,1,0)</f>
        <v>#NAME?</v>
      </c>
      <c r="BP106" s="370"/>
      <c r="BQ106" s="370"/>
      <c r="BR106" s="370"/>
      <c r="BS106" s="370"/>
      <c r="BV106" s="508" t="n">
        <v>3.25401606425703</v>
      </c>
      <c r="BW106" s="369" t="n">
        <v>3.251</v>
      </c>
      <c r="BX106" s="370" t="n">
        <v>0.54</v>
      </c>
      <c r="BY106" s="370" t="n">
        <v>0.54</v>
      </c>
      <c r="BZ106" s="370" t="n">
        <v>0</v>
      </c>
      <c r="CA106" s="370" t="n">
        <v>0.0232740649677528</v>
      </c>
      <c r="CB106" s="370" t="n">
        <v>0</v>
      </c>
      <c r="CC106" s="505" t="n">
        <v>0</v>
      </c>
      <c r="CD106" s="505" t="n">
        <v>0.03</v>
      </c>
      <c r="CE106" s="505" t="n">
        <v>0.04</v>
      </c>
      <c r="CF106" s="505" t="n">
        <v>0</v>
      </c>
      <c r="CG106" s="505" t="n">
        <v>0.0006</v>
      </c>
      <c r="CH106" s="505" t="n">
        <v>0</v>
      </c>
      <c r="CI106" s="505" t="n">
        <v>3.211</v>
      </c>
      <c r="CJ106" s="505"/>
      <c r="CK106" s="505"/>
      <c r="CL106" s="505"/>
      <c r="CM106" s="505"/>
    </row>
    <row r="107" customFormat="false" ht="12.75" hidden="false" customHeight="false" outlineLevel="0" collapsed="false">
      <c r="A107" s="500"/>
      <c r="B107" s="500"/>
      <c r="D107" s="361" t="e">
        <f aca="false">D106+AH106</f>
        <v>#VALUE!</v>
      </c>
      <c r="F107" s="362" t="e">
        <f aca="false">VLOOKUP(AG107,$AL$4:$AS$15,2)</f>
        <v>#VALUE!</v>
      </c>
      <c r="G107" s="362" t="e">
        <f aca="false">F107*$AU107</f>
        <v>#VALUE!</v>
      </c>
      <c r="H107" s="363" t="e">
        <f aca="false">(AL107+AM107+AN107)/(1-(AR107))</f>
        <v>#VALUE!</v>
      </c>
      <c r="I107" s="363" t="e">
        <f aca="false">(AL107+AO107+AP107)</f>
        <v>#VALUE!</v>
      </c>
      <c r="K107" s="363" t="e">
        <f aca="false">MAX(((I107-H107)-AQ107)*AU107*AH107,0)</f>
        <v>#VALUE!</v>
      </c>
      <c r="L107" s="501" t="e">
        <f aca="false">MAX(Q107-K107,0)</f>
        <v>#VALUE!</v>
      </c>
      <c r="N107" s="502" t="e">
        <f aca="false">SQRT(($AX107^2*($AH107/2)+$AW107^2*$AI107)/(($AH107/2)+$AI107))</f>
        <v>#VALUE!</v>
      </c>
      <c r="O107" s="502" t="e">
        <f aca="false">SQRT(($AY107^2*($AH107/2)+$AW107^2*$AI107)/(($AH107/2)+$AI107))</f>
        <v>#VALUE!</v>
      </c>
      <c r="P107" s="371" t="e">
        <f aca="false">(VLOOKUP(AI107,CorrelationTwo,2)*(AW107^2)*AI107+VLOOKUP(D107,CorrelationOne,$AK$9)*AX107*AY107*(AH107/2))/((AI107+(AH107/2))*O107*N107)*AF107</f>
        <v>#VALUE!</v>
      </c>
      <c r="Q107" s="501" t="e">
        <f aca="false">xSPRDOPT(I107,H107,AQ107,0,O107,N107,P107,D107-$G$5,1,0)*AH107*AU107</f>
        <v>#VALUE!</v>
      </c>
      <c r="R107" s="501"/>
      <c r="S107" s="365" t="e">
        <f aca="false">xSPRDOPT(I107,H107,AQ107,AT107,O107,N107,P107,D107-$G$5,1,2)*AF107*(F107/(1-AR107))*AH107</f>
        <v>#VALUE!</v>
      </c>
      <c r="T107" s="365" t="e">
        <f aca="false">xSPRDOPT(I107,H107,AQ107,AT107,O107,N107,P107,D107-$G$5,1,1)*AF107*F107*AH107</f>
        <v>#VALUE!</v>
      </c>
      <c r="U107" s="501"/>
      <c r="V107" s="503" t="e">
        <f aca="false">VLOOKUP($AG107,$AL$4:$AS$15,8)*AH107*AU107</f>
        <v>#VALUE!</v>
      </c>
      <c r="W107" s="503"/>
      <c r="X107" s="504" t="e">
        <f aca="false">((BM107*BC107)+(BL107*BB107))*AH107*F107</f>
        <v>#VALUE!</v>
      </c>
      <c r="Y107" s="504" t="e">
        <f aca="false">($F107*$AH107)*((($BG107/2)*($BC107)^2)+(($BF107/2)*($BB107)^2)+($BH107*$BC107*$BB107))</f>
        <v>#VALUE!</v>
      </c>
      <c r="Z107" s="504" t="e">
        <f aca="false">($BI107*$F107*$AH107*($G$5-$BV$5))/365.25</f>
        <v>#VALUE!</v>
      </c>
      <c r="AA107" s="504" t="e">
        <f aca="false">(($BK107*$BE107)+($BJ107*$BD107))*$F107*$AH107*$AF107</f>
        <v>#VALUE!</v>
      </c>
      <c r="AB107" s="504" t="e">
        <f aca="false">BN107*(AT107-CA107)*F107*AH107</f>
        <v>#VALUE!</v>
      </c>
      <c r="AC107" s="504" t="e">
        <f aca="false">BO107*CB107*F107*AH107*CA107*($G$5-$BV$5)/365.25</f>
        <v>#NAME?</v>
      </c>
      <c r="AF107" s="378" t="e">
        <f aca="false">IF(AND(D107&gt;=$G$7,D107&lt;=$G$8),1,0)</f>
        <v>#VALUE!</v>
      </c>
      <c r="AG107" s="378" t="e">
        <f aca="false">MONTH(D107)</f>
        <v>#VALUE!</v>
      </c>
      <c r="AH107" s="378" t="e">
        <f aca="false">(EOMONTH(D107,0)-EOMONTH(D107-DAY(D107),0))*AF107</f>
        <v>#VALUE!</v>
      </c>
      <c r="AI107" s="378" t="e">
        <f aca="false">AI106+AH106</f>
        <v>#VALUE!</v>
      </c>
      <c r="AJ107" s="378" t="e">
        <f aca="false">D107-$BV$5</f>
        <v>#VALUE!</v>
      </c>
      <c r="AL107" s="369" t="e">
        <f aca="false">VLOOKUP($D107,CurveTbl,$AK$4)</f>
        <v>#VALUE!</v>
      </c>
      <c r="AM107" s="505" t="e">
        <f aca="false">VLOOKUP($D107,CurveTbl,$AH$3)</f>
        <v>#VALUE!</v>
      </c>
      <c r="AN107" s="505" t="e">
        <f aca="false">VLOOKUP($D107,CurveTbl,$AH$4)+VLOOKUP($AG107,$AL$3:$AS$15,6)</f>
        <v>#VALUE!</v>
      </c>
      <c r="AO107" s="505" t="e">
        <f aca="false">VLOOKUP($D107,CurveTbl,$AH$5)</f>
        <v>#VALUE!</v>
      </c>
      <c r="AP107" s="505" t="e">
        <f aca="false">VLOOKUP($D107,CurveTbl,$AH$6)+VLOOKUP($AG107,$AL$3:$AS$15,7)</f>
        <v>#VALUE!</v>
      </c>
      <c r="AQ107" s="369" t="e">
        <f aca="false">VLOOKUP($AG107,$AL$4:$AS$15,3)+VLOOKUP($AG107,$AL$4:$AS$15,5)+($AH$10*VLOOKUP(D107,GRITable,2))</f>
        <v>#VALUE!</v>
      </c>
      <c r="AR107" s="370" t="e">
        <f aca="false">VLOOKUP($AG107,$AL$4:$AS$15,4)</f>
        <v>#VALUE!</v>
      </c>
      <c r="AS107" s="369" t="e">
        <f aca="false">(AL107+AM107+AN107)</f>
        <v>#VALUE!</v>
      </c>
      <c r="AT107" s="370" t="e">
        <f aca="false">VLOOKUP(D107,CurveTbl,$AK$6)</f>
        <v>#VALUE!</v>
      </c>
      <c r="AU107" s="370" t="e">
        <f aca="false">(1+$AT107/2)^(-2*($D107-$G$5)/365.25)*$AF107</f>
        <v>#VALUE!</v>
      </c>
      <c r="AV107" s="506" t="e">
        <f aca="false">ROUND((F107/(1-AR107))-F107,0)*AF107*AH107*AU107</f>
        <v>#VALUE!</v>
      </c>
      <c r="AW107" s="370" t="e">
        <f aca="false">VLOOKUP($D107,CurveTbl,$AK$8)</f>
        <v>#VALUE!</v>
      </c>
      <c r="AX107" s="370" t="e">
        <f aca="false">VLOOKUP($D107,CurveTbl,$AH$7)</f>
        <v>#VALUE!</v>
      </c>
      <c r="AY107" s="370" t="e">
        <f aca="false">VLOOKUP($D107,CurveTbl,$AH$8)</f>
        <v>#VALUE!</v>
      </c>
      <c r="AZ107" s="370"/>
      <c r="BA107" s="507"/>
      <c r="BB107" s="505" t="e">
        <f aca="false">$H107-$BV107</f>
        <v>#VALUE!</v>
      </c>
      <c r="BC107" s="505" t="e">
        <f aca="false">I107-BW107</f>
        <v>#VALUE!</v>
      </c>
      <c r="BD107" s="370" t="e">
        <f aca="false">N107-BX107</f>
        <v>#VALUE!</v>
      </c>
      <c r="BE107" s="370" t="e">
        <f aca="false">O107-BY107</f>
        <v>#VALUE!</v>
      </c>
      <c r="BF107" s="370" t="e">
        <f aca="false">xSPRDOPT($BW107,$BV107,$CG107,0,$BY107,$BX107,$BZ107,$AJ107,1,4)*$CB107</f>
        <v>#NAME?</v>
      </c>
      <c r="BG107" s="370" t="e">
        <f aca="false">xSPRDOPT($BW107,$BV107,$CG107,0,$BY107,$BX107,$BZ107,$AJ107,1,3)*$CB107</f>
        <v>#NAME?</v>
      </c>
      <c r="BH107" s="370" t="e">
        <f aca="false">IF(OR(BF107&lt;&gt;0,BG107&lt;&gt;0),xSPRDOPT($BW107,$BV107,$CG107,0,$BY107,$BX107,$BZ107,$AJ107,1,12)*$CB107,0)</f>
        <v>#NAME?</v>
      </c>
      <c r="BI107" s="370" t="e">
        <f aca="false">xSPRDOPT($BW107,$BV107,$CG107,2*LN(1+CA107/2),$BY107,$BX107,$BZ107,$AJ107,1,9)</f>
        <v>#NAME?</v>
      </c>
      <c r="BJ107" s="370" t="e">
        <f aca="false">xSPRDOPT($BW107,$BV107,$CG107,0,$BY107,$BX107,$BZ107,$AJ107,1,6)*$CB107</f>
        <v>#NAME?</v>
      </c>
      <c r="BK107" s="370" t="e">
        <f aca="false">xSPRDOPT($BW107,$BV107,$CG107,0,$BY107,$BX107,$BZ107,$AJ107,1,5)*$CB107</f>
        <v>#NAME?</v>
      </c>
      <c r="BL107" s="370" t="e">
        <f aca="false">xSPRDOPT(BW107,BV107,CG107,0,BY107,BX107,BZ107,AJ107,1,2)*CB107</f>
        <v>#NAME?</v>
      </c>
      <c r="BM107" s="370" t="e">
        <f aca="false">xSPRDOPT(BW107,BV107,CG107,0,BY107,BX107,BZ107,AJ107,1,1)*CB107</f>
        <v>#NAME?</v>
      </c>
      <c r="BN107" s="370" t="e">
        <f aca="false">IF(AH107&lt;&gt;0,xSPRDOPT($BW107,$BV107,$CG107,2*LN(1+CA107/2),$BY107,$BX107,$BZ107,$AJ107,1,8)+(AJ107/365.25)*CH107/AH107,0)</f>
        <v>#VALUE!</v>
      </c>
      <c r="BO107" s="370" t="e">
        <f aca="false">xSPRDOPT($BW107,$BV107,$CG107,0,$BY107,$BX107,$BZ107,$AJ107,1,0)</f>
        <v>#NAME?</v>
      </c>
      <c r="BP107" s="370"/>
      <c r="BQ107" s="370"/>
      <c r="BR107" s="370"/>
      <c r="BS107" s="370"/>
      <c r="BV107" s="508" t="n">
        <v>3.25401606425703</v>
      </c>
      <c r="BW107" s="369" t="n">
        <v>3.251</v>
      </c>
      <c r="BX107" s="370" t="n">
        <v>0.54</v>
      </c>
      <c r="BY107" s="370" t="n">
        <v>0.54</v>
      </c>
      <c r="BZ107" s="370" t="n">
        <v>0</v>
      </c>
      <c r="CA107" s="370" t="n">
        <v>0.0232740649677528</v>
      </c>
      <c r="CB107" s="370" t="n">
        <v>0</v>
      </c>
      <c r="CC107" s="505" t="n">
        <v>0</v>
      </c>
      <c r="CD107" s="505" t="n">
        <v>0.03</v>
      </c>
      <c r="CE107" s="505" t="n">
        <v>0.04</v>
      </c>
      <c r="CF107" s="505" t="n">
        <v>0</v>
      </c>
      <c r="CG107" s="505" t="n">
        <v>0.0006</v>
      </c>
      <c r="CH107" s="505" t="n">
        <v>0</v>
      </c>
      <c r="CI107" s="505" t="n">
        <v>3.211</v>
      </c>
      <c r="CJ107" s="505"/>
      <c r="CK107" s="505"/>
      <c r="CL107" s="505"/>
      <c r="CM107" s="505"/>
    </row>
    <row r="108" customFormat="false" ht="12.75" hidden="false" customHeight="false" outlineLevel="0" collapsed="false">
      <c r="A108" s="500"/>
      <c r="B108" s="500"/>
      <c r="D108" s="361" t="e">
        <f aca="false">D107+AH107</f>
        <v>#VALUE!</v>
      </c>
      <c r="F108" s="362" t="e">
        <f aca="false">VLOOKUP(AG108,$AL$4:$AS$15,2)</f>
        <v>#VALUE!</v>
      </c>
      <c r="G108" s="362" t="e">
        <f aca="false">F108*$AU108</f>
        <v>#VALUE!</v>
      </c>
      <c r="H108" s="363" t="e">
        <f aca="false">(AL108+AM108+AN108)/(1-(AR108))</f>
        <v>#VALUE!</v>
      </c>
      <c r="I108" s="363" t="e">
        <f aca="false">(AL108+AO108+AP108)</f>
        <v>#VALUE!</v>
      </c>
      <c r="K108" s="363" t="e">
        <f aca="false">MAX(((I108-H108)-AQ108)*AU108*AH108,0)</f>
        <v>#VALUE!</v>
      </c>
      <c r="L108" s="501" t="e">
        <f aca="false">MAX(Q108-K108,0)</f>
        <v>#VALUE!</v>
      </c>
      <c r="N108" s="502" t="e">
        <f aca="false">SQRT(($AX108^2*($AH108/2)+$AW108^2*$AI108)/(($AH108/2)+$AI108))</f>
        <v>#VALUE!</v>
      </c>
      <c r="O108" s="502" t="e">
        <f aca="false">SQRT(($AY108^2*($AH108/2)+$AW108^2*$AI108)/(($AH108/2)+$AI108))</f>
        <v>#VALUE!</v>
      </c>
      <c r="P108" s="371" t="e">
        <f aca="false">(VLOOKUP(AI108,CorrelationTwo,2)*(AW108^2)*AI108+VLOOKUP(D108,CorrelationOne,$AK$9)*AX108*AY108*(AH108/2))/((AI108+(AH108/2))*O108*N108)*AF108</f>
        <v>#VALUE!</v>
      </c>
      <c r="Q108" s="501" t="e">
        <f aca="false">xSPRDOPT(I108,H108,AQ108,0,O108,N108,P108,D108-$G$5,1,0)*AH108*AU108</f>
        <v>#VALUE!</v>
      </c>
      <c r="R108" s="501"/>
      <c r="S108" s="365" t="e">
        <f aca="false">xSPRDOPT(I108,H108,AQ108,AT108,O108,N108,P108,D108-$G$5,1,2)*AF108*(F108/(1-AR108))*AH108</f>
        <v>#VALUE!</v>
      </c>
      <c r="T108" s="365" t="e">
        <f aca="false">xSPRDOPT(I108,H108,AQ108,AT108,O108,N108,P108,D108-$G$5,1,1)*AF108*F108*AH108</f>
        <v>#VALUE!</v>
      </c>
      <c r="U108" s="501"/>
      <c r="V108" s="503" t="e">
        <f aca="false">VLOOKUP($AG108,$AL$4:$AS$15,8)*AH108*AU108</f>
        <v>#VALUE!</v>
      </c>
      <c r="W108" s="503"/>
      <c r="X108" s="504" t="e">
        <f aca="false">((BM108*BC108)+(BL108*BB108))*AH108*F108</f>
        <v>#VALUE!</v>
      </c>
      <c r="Y108" s="504" t="e">
        <f aca="false">($F108*$AH108)*((($BG108/2)*($BC108)^2)+(($BF108/2)*($BB108)^2)+($BH108*$BC108*$BB108))</f>
        <v>#VALUE!</v>
      </c>
      <c r="Z108" s="504" t="e">
        <f aca="false">($BI108*$F108*$AH108*($G$5-$BV$5))/365.25</f>
        <v>#VALUE!</v>
      </c>
      <c r="AA108" s="504" t="e">
        <f aca="false">(($BK108*$BE108)+($BJ108*$BD108))*$F108*$AH108*$AF108</f>
        <v>#VALUE!</v>
      </c>
      <c r="AB108" s="504" t="e">
        <f aca="false">BN108*(AT108-CA108)*F108*AH108</f>
        <v>#VALUE!</v>
      </c>
      <c r="AC108" s="504" t="e">
        <f aca="false">BO108*CB108*F108*AH108*CA108*($G$5-$BV$5)/365.25</f>
        <v>#NAME?</v>
      </c>
      <c r="AF108" s="378" t="e">
        <f aca="false">IF(AND(D108&gt;=$G$7,D108&lt;=$G$8),1,0)</f>
        <v>#VALUE!</v>
      </c>
      <c r="AG108" s="378" t="e">
        <f aca="false">MONTH(D108)</f>
        <v>#VALUE!</v>
      </c>
      <c r="AH108" s="378" t="e">
        <f aca="false">(EOMONTH(D108,0)-EOMONTH(D108-DAY(D108),0))*AF108</f>
        <v>#VALUE!</v>
      </c>
      <c r="AI108" s="378" t="e">
        <f aca="false">AI107+AH107</f>
        <v>#VALUE!</v>
      </c>
      <c r="AJ108" s="378" t="e">
        <f aca="false">D108-$BV$5</f>
        <v>#VALUE!</v>
      </c>
      <c r="AL108" s="369" t="e">
        <f aca="false">VLOOKUP($D108,CurveTbl,$AK$4)</f>
        <v>#VALUE!</v>
      </c>
      <c r="AM108" s="505" t="e">
        <f aca="false">VLOOKUP($D108,CurveTbl,$AH$3)</f>
        <v>#VALUE!</v>
      </c>
      <c r="AN108" s="505" t="e">
        <f aca="false">VLOOKUP($D108,CurveTbl,$AH$4)+VLOOKUP($AG108,$AL$3:$AS$15,6)</f>
        <v>#VALUE!</v>
      </c>
      <c r="AO108" s="505" t="e">
        <f aca="false">VLOOKUP($D108,CurveTbl,$AH$5)</f>
        <v>#VALUE!</v>
      </c>
      <c r="AP108" s="505" t="e">
        <f aca="false">VLOOKUP($D108,CurveTbl,$AH$6)+VLOOKUP($AG108,$AL$3:$AS$15,7)</f>
        <v>#VALUE!</v>
      </c>
      <c r="AQ108" s="369" t="e">
        <f aca="false">VLOOKUP($AG108,$AL$4:$AS$15,3)+VLOOKUP($AG108,$AL$4:$AS$15,5)+($AH$10*VLOOKUP(D108,GRITable,2))</f>
        <v>#VALUE!</v>
      </c>
      <c r="AR108" s="370" t="e">
        <f aca="false">VLOOKUP($AG108,$AL$4:$AS$15,4)</f>
        <v>#VALUE!</v>
      </c>
      <c r="AS108" s="369" t="e">
        <f aca="false">(AL108+AM108+AN108)</f>
        <v>#VALUE!</v>
      </c>
      <c r="AT108" s="370" t="e">
        <f aca="false">VLOOKUP(D108,CurveTbl,$AK$6)</f>
        <v>#VALUE!</v>
      </c>
      <c r="AU108" s="370" t="e">
        <f aca="false">(1+$AT108/2)^(-2*($D108-$G$5)/365.25)*$AF108</f>
        <v>#VALUE!</v>
      </c>
      <c r="AV108" s="506" t="e">
        <f aca="false">ROUND((F108/(1-AR108))-F108,0)*AF108*AH108*AU108</f>
        <v>#VALUE!</v>
      </c>
      <c r="AW108" s="370" t="e">
        <f aca="false">VLOOKUP($D108,CurveTbl,$AK$8)</f>
        <v>#VALUE!</v>
      </c>
      <c r="AX108" s="370" t="e">
        <f aca="false">VLOOKUP($D108,CurveTbl,$AH$7)</f>
        <v>#VALUE!</v>
      </c>
      <c r="AY108" s="370" t="e">
        <f aca="false">VLOOKUP($D108,CurveTbl,$AH$8)</f>
        <v>#VALUE!</v>
      </c>
      <c r="AZ108" s="370"/>
      <c r="BA108" s="507"/>
      <c r="BB108" s="505" t="e">
        <f aca="false">$H108-$BV108</f>
        <v>#VALUE!</v>
      </c>
      <c r="BC108" s="505" t="e">
        <f aca="false">I108-BW108</f>
        <v>#VALUE!</v>
      </c>
      <c r="BD108" s="370" t="e">
        <f aca="false">N108-BX108</f>
        <v>#VALUE!</v>
      </c>
      <c r="BE108" s="370" t="e">
        <f aca="false">O108-BY108</f>
        <v>#VALUE!</v>
      </c>
      <c r="BF108" s="370" t="e">
        <f aca="false">xSPRDOPT($BW108,$BV108,$CG108,0,$BY108,$BX108,$BZ108,$AJ108,1,4)*$CB108</f>
        <v>#NAME?</v>
      </c>
      <c r="BG108" s="370" t="e">
        <f aca="false">xSPRDOPT($BW108,$BV108,$CG108,0,$BY108,$BX108,$BZ108,$AJ108,1,3)*$CB108</f>
        <v>#NAME?</v>
      </c>
      <c r="BH108" s="370" t="e">
        <f aca="false">IF(OR(BF108&lt;&gt;0,BG108&lt;&gt;0),xSPRDOPT($BW108,$BV108,$CG108,0,$BY108,$BX108,$BZ108,$AJ108,1,12)*$CB108,0)</f>
        <v>#NAME?</v>
      </c>
      <c r="BI108" s="370" t="e">
        <f aca="false">xSPRDOPT($BW108,$BV108,$CG108,2*LN(1+CA108/2),$BY108,$BX108,$BZ108,$AJ108,1,9)</f>
        <v>#NAME?</v>
      </c>
      <c r="BJ108" s="370" t="e">
        <f aca="false">xSPRDOPT($BW108,$BV108,$CG108,0,$BY108,$BX108,$BZ108,$AJ108,1,6)*$CB108</f>
        <v>#NAME?</v>
      </c>
      <c r="BK108" s="370" t="e">
        <f aca="false">xSPRDOPT($BW108,$BV108,$CG108,0,$BY108,$BX108,$BZ108,$AJ108,1,5)*$CB108</f>
        <v>#NAME?</v>
      </c>
      <c r="BL108" s="370" t="e">
        <f aca="false">xSPRDOPT(BW108,BV108,CG108,0,BY108,BX108,BZ108,AJ108,1,2)*CB108</f>
        <v>#NAME?</v>
      </c>
      <c r="BM108" s="370" t="e">
        <f aca="false">xSPRDOPT(BW108,BV108,CG108,0,BY108,BX108,BZ108,AJ108,1,1)*CB108</f>
        <v>#NAME?</v>
      </c>
      <c r="BN108" s="370" t="e">
        <f aca="false">IF(AH108&lt;&gt;0,xSPRDOPT($BW108,$BV108,$CG108,2*LN(1+CA108/2),$BY108,$BX108,$BZ108,$AJ108,1,8)+(AJ108/365.25)*CH108/AH108,0)</f>
        <v>#VALUE!</v>
      </c>
      <c r="BO108" s="370" t="e">
        <f aca="false">xSPRDOPT($BW108,$BV108,$CG108,0,$BY108,$BX108,$BZ108,$AJ108,1,0)</f>
        <v>#NAME?</v>
      </c>
      <c r="BP108" s="370"/>
      <c r="BQ108" s="370"/>
      <c r="BR108" s="370"/>
      <c r="BS108" s="370"/>
      <c r="BV108" s="508" t="n">
        <v>3.25401606425703</v>
      </c>
      <c r="BW108" s="369" t="n">
        <v>3.251</v>
      </c>
      <c r="BX108" s="370" t="n">
        <v>0.54</v>
      </c>
      <c r="BY108" s="370" t="n">
        <v>0.54</v>
      </c>
      <c r="BZ108" s="370" t="n">
        <v>0</v>
      </c>
      <c r="CA108" s="370" t="n">
        <v>0.0232740649677528</v>
      </c>
      <c r="CB108" s="370" t="n">
        <v>0</v>
      </c>
      <c r="CC108" s="505" t="n">
        <v>0</v>
      </c>
      <c r="CD108" s="505" t="n">
        <v>0.03</v>
      </c>
      <c r="CE108" s="505" t="n">
        <v>0.04</v>
      </c>
      <c r="CF108" s="505" t="n">
        <v>0</v>
      </c>
      <c r="CG108" s="505" t="n">
        <v>0.0006</v>
      </c>
      <c r="CH108" s="505" t="n">
        <v>0</v>
      </c>
      <c r="CI108" s="505" t="n">
        <v>3.211</v>
      </c>
      <c r="CJ108" s="505"/>
      <c r="CK108" s="505"/>
      <c r="CL108" s="505"/>
      <c r="CM108" s="505"/>
    </row>
    <row r="109" customFormat="false" ht="12.75" hidden="false" customHeight="false" outlineLevel="0" collapsed="false">
      <c r="A109" s="500"/>
      <c r="B109" s="500"/>
      <c r="D109" s="361" t="e">
        <f aca="false">D108+AH108</f>
        <v>#VALUE!</v>
      </c>
      <c r="F109" s="362" t="e">
        <f aca="false">VLOOKUP(AG109,$AL$4:$AS$15,2)</f>
        <v>#VALUE!</v>
      </c>
      <c r="G109" s="362" t="e">
        <f aca="false">F109*$AU109</f>
        <v>#VALUE!</v>
      </c>
      <c r="H109" s="363" t="e">
        <f aca="false">(AL109+AM109+AN109)/(1-(AR109))</f>
        <v>#VALUE!</v>
      </c>
      <c r="I109" s="363" t="e">
        <f aca="false">(AL109+AO109+AP109)</f>
        <v>#VALUE!</v>
      </c>
      <c r="K109" s="363" t="e">
        <f aca="false">MAX(((I109-H109)-AQ109)*AU109*AH109,0)</f>
        <v>#VALUE!</v>
      </c>
      <c r="L109" s="501" t="e">
        <f aca="false">MAX(Q109-K109,0)</f>
        <v>#VALUE!</v>
      </c>
      <c r="N109" s="502" t="e">
        <f aca="false">SQRT(($AX109^2*($AH109/2)+$AW109^2*$AI109)/(($AH109/2)+$AI109))</f>
        <v>#VALUE!</v>
      </c>
      <c r="O109" s="502" t="e">
        <f aca="false">SQRT(($AY109^2*($AH109/2)+$AW109^2*$AI109)/(($AH109/2)+$AI109))</f>
        <v>#VALUE!</v>
      </c>
      <c r="P109" s="371" t="e">
        <f aca="false">(VLOOKUP(AI109,CorrelationTwo,2)*(AW109^2)*AI109+VLOOKUP(D109,CorrelationOne,$AK$9)*AX109*AY109*(AH109/2))/((AI109+(AH109/2))*O109*N109)*AF109</f>
        <v>#VALUE!</v>
      </c>
      <c r="Q109" s="501" t="e">
        <f aca="false">xSPRDOPT(I109,H109,AQ109,0,O109,N109,P109,D109-$G$5,1,0)*AH109*AU109</f>
        <v>#VALUE!</v>
      </c>
      <c r="R109" s="501"/>
      <c r="S109" s="365" t="e">
        <f aca="false">xSPRDOPT(I109,H109,AQ109,AT109,O109,N109,P109,D109-$G$5,1,2)*AF109*(F109/(1-AR109))*AH109</f>
        <v>#VALUE!</v>
      </c>
      <c r="T109" s="365" t="e">
        <f aca="false">xSPRDOPT(I109,H109,AQ109,AT109,O109,N109,P109,D109-$G$5,1,1)*AF109*F109*AH109</f>
        <v>#VALUE!</v>
      </c>
      <c r="U109" s="501"/>
      <c r="V109" s="503" t="e">
        <f aca="false">VLOOKUP($AG109,$AL$4:$AS$15,8)*AH109*AU109</f>
        <v>#VALUE!</v>
      </c>
      <c r="W109" s="503"/>
      <c r="X109" s="504" t="e">
        <f aca="false">((BM109*BC109)+(BL109*BB109))*AH109*F109</f>
        <v>#VALUE!</v>
      </c>
      <c r="Y109" s="504" t="e">
        <f aca="false">($F109*$AH109)*((($BG109/2)*($BC109)^2)+(($BF109/2)*($BB109)^2)+($BH109*$BC109*$BB109))</f>
        <v>#VALUE!</v>
      </c>
      <c r="Z109" s="504" t="e">
        <f aca="false">($BI109*$F109*$AH109*($G$5-$BV$5))/365.25</f>
        <v>#VALUE!</v>
      </c>
      <c r="AA109" s="504" t="e">
        <f aca="false">(($BK109*$BE109)+($BJ109*$BD109))*$F109*$AH109*$AF109</f>
        <v>#VALUE!</v>
      </c>
      <c r="AB109" s="504" t="e">
        <f aca="false">BN109*(AT109-CA109)*F109*AH109</f>
        <v>#VALUE!</v>
      </c>
      <c r="AC109" s="504" t="e">
        <f aca="false">BO109*CB109*F109*AH109*CA109*($G$5-$BV$5)/365.25</f>
        <v>#NAME?</v>
      </c>
      <c r="AF109" s="378" t="e">
        <f aca="false">IF(AND(D109&gt;=$G$7,D109&lt;=$G$8),1,0)</f>
        <v>#VALUE!</v>
      </c>
      <c r="AG109" s="378" t="e">
        <f aca="false">MONTH(D109)</f>
        <v>#VALUE!</v>
      </c>
      <c r="AH109" s="378" t="e">
        <f aca="false">(EOMONTH(D109,0)-EOMONTH(D109-DAY(D109),0))*AF109</f>
        <v>#VALUE!</v>
      </c>
      <c r="AI109" s="378" t="e">
        <f aca="false">AI108+AH108</f>
        <v>#VALUE!</v>
      </c>
      <c r="AJ109" s="378" t="e">
        <f aca="false">D109-$BV$5</f>
        <v>#VALUE!</v>
      </c>
      <c r="AL109" s="369" t="e">
        <f aca="false">VLOOKUP($D109,CurveTbl,$AK$4)</f>
        <v>#VALUE!</v>
      </c>
      <c r="AM109" s="505" t="e">
        <f aca="false">VLOOKUP($D109,CurveTbl,$AH$3)</f>
        <v>#VALUE!</v>
      </c>
      <c r="AN109" s="505" t="e">
        <f aca="false">VLOOKUP($D109,CurveTbl,$AH$4)+VLOOKUP($AG109,$AL$3:$AS$15,6)</f>
        <v>#VALUE!</v>
      </c>
      <c r="AO109" s="505" t="e">
        <f aca="false">VLOOKUP($D109,CurveTbl,$AH$5)</f>
        <v>#VALUE!</v>
      </c>
      <c r="AP109" s="505" t="e">
        <f aca="false">VLOOKUP($D109,CurveTbl,$AH$6)+VLOOKUP($AG109,$AL$3:$AS$15,7)</f>
        <v>#VALUE!</v>
      </c>
      <c r="AQ109" s="369" t="e">
        <f aca="false">VLOOKUP($AG109,$AL$4:$AS$15,3)+VLOOKUP($AG109,$AL$4:$AS$15,5)+($AH$10*VLOOKUP(D109,GRITable,2))</f>
        <v>#VALUE!</v>
      </c>
      <c r="AR109" s="370" t="e">
        <f aca="false">VLOOKUP($AG109,$AL$4:$AS$15,4)</f>
        <v>#VALUE!</v>
      </c>
      <c r="AS109" s="369" t="e">
        <f aca="false">(AL109+AM109+AN109)</f>
        <v>#VALUE!</v>
      </c>
      <c r="AT109" s="370" t="e">
        <f aca="false">VLOOKUP(D109,CurveTbl,$AK$6)</f>
        <v>#VALUE!</v>
      </c>
      <c r="AU109" s="370" t="e">
        <f aca="false">(1+$AT109/2)^(-2*($D109-$G$5)/365.25)*$AF109</f>
        <v>#VALUE!</v>
      </c>
      <c r="AV109" s="506" t="e">
        <f aca="false">ROUND((F109/(1-AR109))-F109,0)*AF109*AH109*AU109</f>
        <v>#VALUE!</v>
      </c>
      <c r="AW109" s="370" t="e">
        <f aca="false">VLOOKUP($D109,CurveTbl,$AK$8)</f>
        <v>#VALUE!</v>
      </c>
      <c r="AX109" s="370" t="e">
        <f aca="false">VLOOKUP($D109,CurveTbl,$AH$7)</f>
        <v>#VALUE!</v>
      </c>
      <c r="AY109" s="370" t="e">
        <f aca="false">VLOOKUP($D109,CurveTbl,$AH$8)</f>
        <v>#VALUE!</v>
      </c>
      <c r="AZ109" s="370"/>
      <c r="BA109" s="507"/>
      <c r="BB109" s="505" t="e">
        <f aca="false">$H109-$BV109</f>
        <v>#VALUE!</v>
      </c>
      <c r="BC109" s="505" t="e">
        <f aca="false">I109-BW109</f>
        <v>#VALUE!</v>
      </c>
      <c r="BD109" s="370" t="e">
        <f aca="false">N109-BX109</f>
        <v>#VALUE!</v>
      </c>
      <c r="BE109" s="370" t="e">
        <f aca="false">O109-BY109</f>
        <v>#VALUE!</v>
      </c>
      <c r="BF109" s="370" t="e">
        <f aca="false">xSPRDOPT($BW109,$BV109,$CG109,0,$BY109,$BX109,$BZ109,$AJ109,1,4)*$CB109</f>
        <v>#NAME?</v>
      </c>
      <c r="BG109" s="370" t="e">
        <f aca="false">xSPRDOPT($BW109,$BV109,$CG109,0,$BY109,$BX109,$BZ109,$AJ109,1,3)*$CB109</f>
        <v>#NAME?</v>
      </c>
      <c r="BH109" s="370" t="e">
        <f aca="false">IF(OR(BF109&lt;&gt;0,BG109&lt;&gt;0),xSPRDOPT($BW109,$BV109,$CG109,0,$BY109,$BX109,$BZ109,$AJ109,1,12)*$CB109,0)</f>
        <v>#NAME?</v>
      </c>
      <c r="BI109" s="370" t="e">
        <f aca="false">xSPRDOPT($BW109,$BV109,$CG109,2*LN(1+CA109/2),$BY109,$BX109,$BZ109,$AJ109,1,9)</f>
        <v>#NAME?</v>
      </c>
      <c r="BJ109" s="370" t="e">
        <f aca="false">xSPRDOPT($BW109,$BV109,$CG109,0,$BY109,$BX109,$BZ109,$AJ109,1,6)*$CB109</f>
        <v>#NAME?</v>
      </c>
      <c r="BK109" s="370" t="e">
        <f aca="false">xSPRDOPT($BW109,$BV109,$CG109,0,$BY109,$BX109,$BZ109,$AJ109,1,5)*$CB109</f>
        <v>#NAME?</v>
      </c>
      <c r="BL109" s="370" t="e">
        <f aca="false">xSPRDOPT(BW109,BV109,CG109,0,BY109,BX109,BZ109,AJ109,1,2)*CB109</f>
        <v>#NAME?</v>
      </c>
      <c r="BM109" s="370" t="e">
        <f aca="false">xSPRDOPT(BW109,BV109,CG109,0,BY109,BX109,BZ109,AJ109,1,1)*CB109</f>
        <v>#NAME?</v>
      </c>
      <c r="BN109" s="370" t="e">
        <f aca="false">IF(AH109&lt;&gt;0,xSPRDOPT($BW109,$BV109,$CG109,2*LN(1+CA109/2),$BY109,$BX109,$BZ109,$AJ109,1,8)+(AJ109/365.25)*CH109/AH109,0)</f>
        <v>#VALUE!</v>
      </c>
      <c r="BO109" s="370" t="e">
        <f aca="false">xSPRDOPT($BW109,$BV109,$CG109,0,$BY109,$BX109,$BZ109,$AJ109,1,0)</f>
        <v>#NAME?</v>
      </c>
      <c r="BP109" s="370"/>
      <c r="BQ109" s="370"/>
      <c r="BR109" s="370"/>
      <c r="BS109" s="370"/>
      <c r="BV109" s="508" t="n">
        <v>3.25401606425703</v>
      </c>
      <c r="BW109" s="369" t="n">
        <v>3.251</v>
      </c>
      <c r="BX109" s="370" t="n">
        <v>0.54</v>
      </c>
      <c r="BY109" s="370" t="n">
        <v>0.54</v>
      </c>
      <c r="BZ109" s="370" t="n">
        <v>0</v>
      </c>
      <c r="CA109" s="370" t="n">
        <v>0.0232740649677528</v>
      </c>
      <c r="CB109" s="370" t="n">
        <v>0</v>
      </c>
      <c r="CC109" s="505" t="n">
        <v>0</v>
      </c>
      <c r="CD109" s="505" t="n">
        <v>0.03</v>
      </c>
      <c r="CE109" s="505" t="n">
        <v>0.04</v>
      </c>
      <c r="CF109" s="505" t="n">
        <v>0</v>
      </c>
      <c r="CG109" s="505" t="n">
        <v>0.0006</v>
      </c>
      <c r="CH109" s="505" t="n">
        <v>0</v>
      </c>
      <c r="CI109" s="505" t="n">
        <v>3.211</v>
      </c>
      <c r="CJ109" s="505"/>
      <c r="CK109" s="505"/>
      <c r="CL109" s="505"/>
      <c r="CM109" s="505"/>
    </row>
    <row r="110" customFormat="false" ht="12.75" hidden="false" customHeight="false" outlineLevel="0" collapsed="false">
      <c r="A110" s="500"/>
      <c r="B110" s="500"/>
      <c r="D110" s="361" t="e">
        <f aca="false">D109+AH109</f>
        <v>#VALUE!</v>
      </c>
      <c r="F110" s="362" t="e">
        <f aca="false">VLOOKUP(AG110,$AL$4:$AS$15,2)</f>
        <v>#VALUE!</v>
      </c>
      <c r="G110" s="362" t="e">
        <f aca="false">F110*$AU110</f>
        <v>#VALUE!</v>
      </c>
      <c r="H110" s="363" t="e">
        <f aca="false">(AL110+AM110+AN110)/(1-(AR110))</f>
        <v>#VALUE!</v>
      </c>
      <c r="I110" s="363" t="e">
        <f aca="false">(AL110+AO110+AP110)</f>
        <v>#VALUE!</v>
      </c>
      <c r="K110" s="363" t="e">
        <f aca="false">MAX(((I110-H110)-AQ110)*AU110*AH110,0)</f>
        <v>#VALUE!</v>
      </c>
      <c r="L110" s="501" t="e">
        <f aca="false">MAX(Q110-K110,0)</f>
        <v>#VALUE!</v>
      </c>
      <c r="N110" s="502" t="e">
        <f aca="false">SQRT(($AX110^2*($AH110/2)+$AW110^2*$AI110)/(($AH110/2)+$AI110))</f>
        <v>#VALUE!</v>
      </c>
      <c r="O110" s="502" t="e">
        <f aca="false">SQRT(($AY110^2*($AH110/2)+$AW110^2*$AI110)/(($AH110/2)+$AI110))</f>
        <v>#VALUE!</v>
      </c>
      <c r="P110" s="371" t="e">
        <f aca="false">(VLOOKUP(AI110,CorrelationTwo,2)*(AW110^2)*AI110+VLOOKUP(D110,CorrelationOne,$AK$9)*AX110*AY110*(AH110/2))/((AI110+(AH110/2))*O110*N110)*AF110</f>
        <v>#VALUE!</v>
      </c>
      <c r="Q110" s="501" t="e">
        <f aca="false">xSPRDOPT(I110,H110,AQ110,0,O110,N110,P110,D110-$G$5,1,0)*AH110*AU110</f>
        <v>#VALUE!</v>
      </c>
      <c r="R110" s="501"/>
      <c r="S110" s="365" t="e">
        <f aca="false">xSPRDOPT(I110,H110,AQ110,AT110,O110,N110,P110,D110-$G$5,1,2)*AF110*(F110/(1-AR110))*AH110</f>
        <v>#VALUE!</v>
      </c>
      <c r="T110" s="365" t="e">
        <f aca="false">xSPRDOPT(I110,H110,AQ110,AT110,O110,N110,P110,D110-$G$5,1,1)*AF110*F110*AH110</f>
        <v>#VALUE!</v>
      </c>
      <c r="U110" s="501"/>
      <c r="V110" s="503" t="e">
        <f aca="false">VLOOKUP($AG110,$AL$4:$AS$15,8)*AH110*AU110</f>
        <v>#VALUE!</v>
      </c>
      <c r="W110" s="503"/>
      <c r="X110" s="504" t="e">
        <f aca="false">((BM110*BC110)+(BL110*BB110))*AH110*F110</f>
        <v>#VALUE!</v>
      </c>
      <c r="Y110" s="504" t="e">
        <f aca="false">($F110*$AH110)*((($BG110/2)*($BC110)^2)+(($BF110/2)*($BB110)^2)+($BH110*$BC110*$BB110))</f>
        <v>#VALUE!</v>
      </c>
      <c r="Z110" s="504" t="e">
        <f aca="false">($BI110*$F110*$AH110*($G$5-$BV$5))/365.25</f>
        <v>#VALUE!</v>
      </c>
      <c r="AA110" s="504" t="e">
        <f aca="false">(($BK110*$BE110)+($BJ110*$BD110))*$F110*$AH110*$AF110</f>
        <v>#VALUE!</v>
      </c>
      <c r="AB110" s="504" t="e">
        <f aca="false">BN110*(AT110-CA110)*F110*AH110</f>
        <v>#VALUE!</v>
      </c>
      <c r="AC110" s="504" t="e">
        <f aca="false">BO110*CB110*F110*AH110*CA110*($G$5-$BV$5)/365.25</f>
        <v>#NAME?</v>
      </c>
      <c r="AF110" s="378" t="e">
        <f aca="false">IF(AND(D110&gt;=$G$7,D110&lt;=$G$8),1,0)</f>
        <v>#VALUE!</v>
      </c>
      <c r="AG110" s="378" t="e">
        <f aca="false">MONTH(D110)</f>
        <v>#VALUE!</v>
      </c>
      <c r="AH110" s="378" t="e">
        <f aca="false">(EOMONTH(D110,0)-EOMONTH(D110-DAY(D110),0))*AF110</f>
        <v>#VALUE!</v>
      </c>
      <c r="AI110" s="378" t="e">
        <f aca="false">AI109+AH109</f>
        <v>#VALUE!</v>
      </c>
      <c r="AJ110" s="378" t="e">
        <f aca="false">D110-$BV$5</f>
        <v>#VALUE!</v>
      </c>
      <c r="AL110" s="369" t="e">
        <f aca="false">VLOOKUP($D110,CurveTbl,$AK$4)</f>
        <v>#VALUE!</v>
      </c>
      <c r="AM110" s="505" t="e">
        <f aca="false">VLOOKUP($D110,CurveTbl,$AH$3)</f>
        <v>#VALUE!</v>
      </c>
      <c r="AN110" s="505" t="e">
        <f aca="false">VLOOKUP($D110,CurveTbl,$AH$4)+VLOOKUP($AG110,$AL$3:$AS$15,6)</f>
        <v>#VALUE!</v>
      </c>
      <c r="AO110" s="505" t="e">
        <f aca="false">VLOOKUP($D110,CurveTbl,$AH$5)</f>
        <v>#VALUE!</v>
      </c>
      <c r="AP110" s="505" t="e">
        <f aca="false">VLOOKUP($D110,CurveTbl,$AH$6)+VLOOKUP($AG110,$AL$3:$AS$15,7)</f>
        <v>#VALUE!</v>
      </c>
      <c r="AQ110" s="369" t="e">
        <f aca="false">VLOOKUP($AG110,$AL$4:$AS$15,3)+VLOOKUP($AG110,$AL$4:$AS$15,5)+($AH$10*VLOOKUP(D110,GRITable,2))</f>
        <v>#VALUE!</v>
      </c>
      <c r="AR110" s="370" t="e">
        <f aca="false">VLOOKUP($AG110,$AL$4:$AS$15,4)</f>
        <v>#VALUE!</v>
      </c>
      <c r="AS110" s="369" t="e">
        <f aca="false">(AL110+AM110+AN110)</f>
        <v>#VALUE!</v>
      </c>
      <c r="AT110" s="370" t="e">
        <f aca="false">VLOOKUP(D110,CurveTbl,$AK$6)</f>
        <v>#VALUE!</v>
      </c>
      <c r="AU110" s="370" t="e">
        <f aca="false">(1+$AT110/2)^(-2*($D110-$G$5)/365.25)*$AF110</f>
        <v>#VALUE!</v>
      </c>
      <c r="AV110" s="506" t="e">
        <f aca="false">ROUND((F110/(1-AR110))-F110,0)*AF110*AH110*AU110</f>
        <v>#VALUE!</v>
      </c>
      <c r="AW110" s="370" t="e">
        <f aca="false">VLOOKUP($D110,CurveTbl,$AK$8)</f>
        <v>#VALUE!</v>
      </c>
      <c r="AX110" s="370" t="e">
        <f aca="false">VLOOKUP($D110,CurveTbl,$AH$7)</f>
        <v>#VALUE!</v>
      </c>
      <c r="AY110" s="370" t="e">
        <f aca="false">VLOOKUP($D110,CurveTbl,$AH$8)</f>
        <v>#VALUE!</v>
      </c>
      <c r="AZ110" s="370"/>
      <c r="BA110" s="507"/>
      <c r="BB110" s="505" t="e">
        <f aca="false">$H110-$BV110</f>
        <v>#VALUE!</v>
      </c>
      <c r="BC110" s="505" t="e">
        <f aca="false">I110-BW110</f>
        <v>#VALUE!</v>
      </c>
      <c r="BD110" s="370" t="e">
        <f aca="false">N110-BX110</f>
        <v>#VALUE!</v>
      </c>
      <c r="BE110" s="370" t="e">
        <f aca="false">O110-BY110</f>
        <v>#VALUE!</v>
      </c>
      <c r="BF110" s="370" t="e">
        <f aca="false">xSPRDOPT($BW110,$BV110,$CG110,0,$BY110,$BX110,$BZ110,$AJ110,1,4)*$CB110</f>
        <v>#NAME?</v>
      </c>
      <c r="BG110" s="370" t="e">
        <f aca="false">xSPRDOPT($BW110,$BV110,$CG110,0,$BY110,$BX110,$BZ110,$AJ110,1,3)*$CB110</f>
        <v>#NAME?</v>
      </c>
      <c r="BH110" s="370" t="e">
        <f aca="false">IF(OR(BF110&lt;&gt;0,BG110&lt;&gt;0),xSPRDOPT($BW110,$BV110,$CG110,0,$BY110,$BX110,$BZ110,$AJ110,1,12)*$CB110,0)</f>
        <v>#NAME?</v>
      </c>
      <c r="BI110" s="370" t="e">
        <f aca="false">xSPRDOPT($BW110,$BV110,$CG110,2*LN(1+CA110/2),$BY110,$BX110,$BZ110,$AJ110,1,9)</f>
        <v>#NAME?</v>
      </c>
      <c r="BJ110" s="370" t="e">
        <f aca="false">xSPRDOPT($BW110,$BV110,$CG110,0,$BY110,$BX110,$BZ110,$AJ110,1,6)*$CB110</f>
        <v>#NAME?</v>
      </c>
      <c r="BK110" s="370" t="e">
        <f aca="false">xSPRDOPT($BW110,$BV110,$CG110,0,$BY110,$BX110,$BZ110,$AJ110,1,5)*$CB110</f>
        <v>#NAME?</v>
      </c>
      <c r="BL110" s="370" t="e">
        <f aca="false">xSPRDOPT(BW110,BV110,CG110,0,BY110,BX110,BZ110,AJ110,1,2)*CB110</f>
        <v>#NAME?</v>
      </c>
      <c r="BM110" s="370" t="e">
        <f aca="false">xSPRDOPT(BW110,BV110,CG110,0,BY110,BX110,BZ110,AJ110,1,1)*CB110</f>
        <v>#NAME?</v>
      </c>
      <c r="BN110" s="370" t="e">
        <f aca="false">IF(AH110&lt;&gt;0,xSPRDOPT($BW110,$BV110,$CG110,2*LN(1+CA110/2),$BY110,$BX110,$BZ110,$AJ110,1,8)+(AJ110/365.25)*CH110/AH110,0)</f>
        <v>#VALUE!</v>
      </c>
      <c r="BO110" s="370" t="e">
        <f aca="false">xSPRDOPT($BW110,$BV110,$CG110,0,$BY110,$BX110,$BZ110,$AJ110,1,0)</f>
        <v>#NAME?</v>
      </c>
      <c r="BP110" s="370"/>
      <c r="BQ110" s="370"/>
      <c r="BR110" s="370"/>
      <c r="BS110" s="370"/>
      <c r="BV110" s="508" t="n">
        <v>3.25401606425703</v>
      </c>
      <c r="BW110" s="369" t="n">
        <v>3.251</v>
      </c>
      <c r="BX110" s="370" t="n">
        <v>0.54</v>
      </c>
      <c r="BY110" s="370" t="n">
        <v>0.54</v>
      </c>
      <c r="BZ110" s="370" t="n">
        <v>0</v>
      </c>
      <c r="CA110" s="370" t="n">
        <v>0.0232740649677528</v>
      </c>
      <c r="CB110" s="370" t="n">
        <v>0</v>
      </c>
      <c r="CC110" s="505" t="n">
        <v>0</v>
      </c>
      <c r="CD110" s="505" t="n">
        <v>0.03</v>
      </c>
      <c r="CE110" s="505" t="n">
        <v>0.04</v>
      </c>
      <c r="CF110" s="505" t="n">
        <v>0</v>
      </c>
      <c r="CG110" s="505" t="n">
        <v>0.0006</v>
      </c>
      <c r="CH110" s="505" t="n">
        <v>0</v>
      </c>
      <c r="CI110" s="505" t="n">
        <v>3.211</v>
      </c>
      <c r="CJ110" s="505"/>
      <c r="CK110" s="505"/>
      <c r="CL110" s="505"/>
      <c r="CM110" s="505"/>
    </row>
    <row r="111" customFormat="false" ht="12.75" hidden="false" customHeight="false" outlineLevel="0" collapsed="false">
      <c r="A111" s="500"/>
      <c r="B111" s="500"/>
      <c r="D111" s="361" t="e">
        <f aca="false">D110+AH110</f>
        <v>#VALUE!</v>
      </c>
      <c r="F111" s="362" t="e">
        <f aca="false">VLOOKUP(AG111,$AL$4:$AS$15,2)</f>
        <v>#VALUE!</v>
      </c>
      <c r="G111" s="362" t="e">
        <f aca="false">F111*$AU111</f>
        <v>#VALUE!</v>
      </c>
      <c r="H111" s="363" t="e">
        <f aca="false">(AL111+AM111+AN111)/(1-(AR111))</f>
        <v>#VALUE!</v>
      </c>
      <c r="I111" s="363" t="e">
        <f aca="false">(AL111+AO111+AP111)</f>
        <v>#VALUE!</v>
      </c>
      <c r="K111" s="363" t="e">
        <f aca="false">MAX(((I111-H111)-AQ111)*AU111*AH111,0)</f>
        <v>#VALUE!</v>
      </c>
      <c r="L111" s="501" t="e">
        <f aca="false">MAX(Q111-K111,0)</f>
        <v>#VALUE!</v>
      </c>
      <c r="N111" s="502" t="e">
        <f aca="false">SQRT(($AX111^2*($AH111/2)+$AW111^2*$AI111)/(($AH111/2)+$AI111))</f>
        <v>#VALUE!</v>
      </c>
      <c r="O111" s="502" t="e">
        <f aca="false">SQRT(($AY111^2*($AH111/2)+$AW111^2*$AI111)/(($AH111/2)+$AI111))</f>
        <v>#VALUE!</v>
      </c>
      <c r="P111" s="371" t="e">
        <f aca="false">(VLOOKUP(AI111,CorrelationTwo,2)*(AW111^2)*AI111+VLOOKUP(D111,CorrelationOne,$AK$9)*AX111*AY111*(AH111/2))/((AI111+(AH111/2))*O111*N111)*AF111</f>
        <v>#VALUE!</v>
      </c>
      <c r="Q111" s="501" t="e">
        <f aca="false">xSPRDOPT(I111,H111,AQ111,0,O111,N111,P111,D111-$G$5,1,0)*AH111*AU111</f>
        <v>#VALUE!</v>
      </c>
      <c r="R111" s="501"/>
      <c r="S111" s="365" t="e">
        <f aca="false">xSPRDOPT(I111,H111,AQ111,AT111,O111,N111,P111,D111-$G$5,1,2)*AF111*(F111/(1-AR111))*AH111</f>
        <v>#VALUE!</v>
      </c>
      <c r="T111" s="365" t="e">
        <f aca="false">xSPRDOPT(I111,H111,AQ111,AT111,O111,N111,P111,D111-$G$5,1,1)*AF111*F111*AH111</f>
        <v>#VALUE!</v>
      </c>
      <c r="U111" s="501"/>
      <c r="V111" s="503" t="e">
        <f aca="false">VLOOKUP($AG111,$AL$4:$AS$15,8)*AH111*AU111</f>
        <v>#VALUE!</v>
      </c>
      <c r="W111" s="503"/>
      <c r="X111" s="504" t="e">
        <f aca="false">((BM111*BC111)+(BL111*BB111))*AH111*F111</f>
        <v>#VALUE!</v>
      </c>
      <c r="Y111" s="504" t="e">
        <f aca="false">($F111*$AH111)*((($BG111/2)*($BC111)^2)+(($BF111/2)*($BB111)^2)+($BH111*$BC111*$BB111))</f>
        <v>#VALUE!</v>
      </c>
      <c r="Z111" s="504" t="e">
        <f aca="false">($BI111*$F111*$AH111*($G$5-$BV$5))/365.25</f>
        <v>#VALUE!</v>
      </c>
      <c r="AA111" s="504" t="e">
        <f aca="false">(($BK111*$BE111)+($BJ111*$BD111))*$F111*$AH111*$AF111</f>
        <v>#VALUE!</v>
      </c>
      <c r="AB111" s="504" t="e">
        <f aca="false">BN111*(AT111-CA111)*F111*AH111</f>
        <v>#VALUE!</v>
      </c>
      <c r="AC111" s="504" t="e">
        <f aca="false">BO111*CB111*F111*AH111*CA111*($G$5-$BV$5)/365.25</f>
        <v>#NAME?</v>
      </c>
      <c r="AF111" s="378" t="e">
        <f aca="false">IF(AND(D111&gt;=$G$7,D111&lt;=$G$8),1,0)</f>
        <v>#VALUE!</v>
      </c>
      <c r="AG111" s="378" t="e">
        <f aca="false">MONTH(D111)</f>
        <v>#VALUE!</v>
      </c>
      <c r="AH111" s="378" t="e">
        <f aca="false">(EOMONTH(D111,0)-EOMONTH(D111-DAY(D111),0))*AF111</f>
        <v>#VALUE!</v>
      </c>
      <c r="AI111" s="378" t="e">
        <f aca="false">AI110+AH110</f>
        <v>#VALUE!</v>
      </c>
      <c r="AJ111" s="378" t="e">
        <f aca="false">D111-$BV$5</f>
        <v>#VALUE!</v>
      </c>
      <c r="AL111" s="369" t="e">
        <f aca="false">VLOOKUP($D111,CurveTbl,$AK$4)</f>
        <v>#VALUE!</v>
      </c>
      <c r="AM111" s="505" t="e">
        <f aca="false">VLOOKUP($D111,CurveTbl,$AH$3)</f>
        <v>#VALUE!</v>
      </c>
      <c r="AN111" s="505" t="e">
        <f aca="false">VLOOKUP($D111,CurveTbl,$AH$4)+VLOOKUP($AG111,$AL$3:$AS$15,6)</f>
        <v>#VALUE!</v>
      </c>
      <c r="AO111" s="505" t="e">
        <f aca="false">VLOOKUP($D111,CurveTbl,$AH$5)</f>
        <v>#VALUE!</v>
      </c>
      <c r="AP111" s="505" t="e">
        <f aca="false">VLOOKUP($D111,CurveTbl,$AH$6)+VLOOKUP($AG111,$AL$3:$AS$15,7)</f>
        <v>#VALUE!</v>
      </c>
      <c r="AQ111" s="369" t="e">
        <f aca="false">VLOOKUP($AG111,$AL$4:$AS$15,3)+VLOOKUP($AG111,$AL$4:$AS$15,5)+($AH$10*VLOOKUP(D111,GRITable,2))</f>
        <v>#VALUE!</v>
      </c>
      <c r="AR111" s="370" t="e">
        <f aca="false">VLOOKUP($AG111,$AL$4:$AS$15,4)</f>
        <v>#VALUE!</v>
      </c>
      <c r="AS111" s="369" t="e">
        <f aca="false">(AL111+AM111+AN111)</f>
        <v>#VALUE!</v>
      </c>
      <c r="AT111" s="370" t="e">
        <f aca="false">VLOOKUP(D111,CurveTbl,$AK$6)</f>
        <v>#VALUE!</v>
      </c>
      <c r="AU111" s="370" t="e">
        <f aca="false">(1+$AT111/2)^(-2*($D111-$G$5)/365.25)*$AF111</f>
        <v>#VALUE!</v>
      </c>
      <c r="AV111" s="506" t="e">
        <f aca="false">ROUND((F111/(1-AR111))-F111,0)*AF111*AH111*AU111</f>
        <v>#VALUE!</v>
      </c>
      <c r="AW111" s="370" t="e">
        <f aca="false">VLOOKUP($D111,CurveTbl,$AK$8)</f>
        <v>#VALUE!</v>
      </c>
      <c r="AX111" s="370" t="e">
        <f aca="false">VLOOKUP($D111,CurveTbl,$AH$7)</f>
        <v>#VALUE!</v>
      </c>
      <c r="AY111" s="370" t="e">
        <f aca="false">VLOOKUP($D111,CurveTbl,$AH$8)</f>
        <v>#VALUE!</v>
      </c>
      <c r="AZ111" s="370"/>
      <c r="BA111" s="507"/>
      <c r="BB111" s="505" t="e">
        <f aca="false">$H111-$BV111</f>
        <v>#VALUE!</v>
      </c>
      <c r="BC111" s="505" t="e">
        <f aca="false">I111-BW111</f>
        <v>#VALUE!</v>
      </c>
      <c r="BD111" s="370" t="e">
        <f aca="false">N111-BX111</f>
        <v>#VALUE!</v>
      </c>
      <c r="BE111" s="370" t="e">
        <f aca="false">O111-BY111</f>
        <v>#VALUE!</v>
      </c>
      <c r="BF111" s="370" t="e">
        <f aca="false">xSPRDOPT($BW111,$BV111,$CG111,0,$BY111,$BX111,$BZ111,$AJ111,1,4)*$CB111</f>
        <v>#NAME?</v>
      </c>
      <c r="BG111" s="370" t="e">
        <f aca="false">xSPRDOPT($BW111,$BV111,$CG111,0,$BY111,$BX111,$BZ111,$AJ111,1,3)*$CB111</f>
        <v>#NAME?</v>
      </c>
      <c r="BH111" s="370" t="e">
        <f aca="false">IF(OR(BF111&lt;&gt;0,BG111&lt;&gt;0),xSPRDOPT($BW111,$BV111,$CG111,0,$BY111,$BX111,$BZ111,$AJ111,1,12)*$CB111,0)</f>
        <v>#NAME?</v>
      </c>
      <c r="BI111" s="370" t="e">
        <f aca="false">xSPRDOPT($BW111,$BV111,$CG111,2*LN(1+CA111/2),$BY111,$BX111,$BZ111,$AJ111,1,9)</f>
        <v>#NAME?</v>
      </c>
      <c r="BJ111" s="370" t="e">
        <f aca="false">xSPRDOPT($BW111,$BV111,$CG111,0,$BY111,$BX111,$BZ111,$AJ111,1,6)*$CB111</f>
        <v>#NAME?</v>
      </c>
      <c r="BK111" s="370" t="e">
        <f aca="false">xSPRDOPT($BW111,$BV111,$CG111,0,$BY111,$BX111,$BZ111,$AJ111,1,5)*$CB111</f>
        <v>#NAME?</v>
      </c>
      <c r="BL111" s="370" t="e">
        <f aca="false">xSPRDOPT(BW111,BV111,CG111,0,BY111,BX111,BZ111,AJ111,1,2)*CB111</f>
        <v>#NAME?</v>
      </c>
      <c r="BM111" s="370" t="e">
        <f aca="false">xSPRDOPT(BW111,BV111,CG111,0,BY111,BX111,BZ111,AJ111,1,1)*CB111</f>
        <v>#NAME?</v>
      </c>
      <c r="BN111" s="370" t="e">
        <f aca="false">IF(AH111&lt;&gt;0,xSPRDOPT($BW111,$BV111,$CG111,2*LN(1+CA111/2),$BY111,$BX111,$BZ111,$AJ111,1,8)+(AJ111/365.25)*CH111/AH111,0)</f>
        <v>#VALUE!</v>
      </c>
      <c r="BO111" s="370" t="e">
        <f aca="false">xSPRDOPT($BW111,$BV111,$CG111,0,$BY111,$BX111,$BZ111,$AJ111,1,0)</f>
        <v>#NAME?</v>
      </c>
      <c r="BP111" s="370"/>
      <c r="BQ111" s="370"/>
      <c r="BR111" s="370"/>
      <c r="BS111" s="370"/>
      <c r="BV111" s="508" t="n">
        <v>3.25401606425703</v>
      </c>
      <c r="BW111" s="369" t="n">
        <v>3.251</v>
      </c>
      <c r="BX111" s="370" t="n">
        <v>0.54</v>
      </c>
      <c r="BY111" s="370" t="n">
        <v>0.54</v>
      </c>
      <c r="BZ111" s="370" t="n">
        <v>0</v>
      </c>
      <c r="CA111" s="370" t="n">
        <v>0.0232740649677528</v>
      </c>
      <c r="CB111" s="370" t="n">
        <v>0</v>
      </c>
      <c r="CC111" s="505" t="n">
        <v>0</v>
      </c>
      <c r="CD111" s="505" t="n">
        <v>0.03</v>
      </c>
      <c r="CE111" s="505" t="n">
        <v>0.04</v>
      </c>
      <c r="CF111" s="505" t="n">
        <v>0</v>
      </c>
      <c r="CG111" s="505" t="n">
        <v>0.0006</v>
      </c>
      <c r="CH111" s="505" t="n">
        <v>0</v>
      </c>
      <c r="CI111" s="505" t="n">
        <v>3.211</v>
      </c>
      <c r="CJ111" s="505"/>
      <c r="CK111" s="505"/>
      <c r="CL111" s="505"/>
      <c r="CM111" s="505"/>
    </row>
    <row r="112" customFormat="false" ht="12.75" hidden="false" customHeight="false" outlineLevel="0" collapsed="false">
      <c r="A112" s="500"/>
      <c r="B112" s="500"/>
      <c r="D112" s="361" t="e">
        <f aca="false">D111+AH111</f>
        <v>#VALUE!</v>
      </c>
      <c r="F112" s="362" t="e">
        <f aca="false">VLOOKUP(AG112,$AL$4:$AS$15,2)</f>
        <v>#VALUE!</v>
      </c>
      <c r="G112" s="362" t="e">
        <f aca="false">F112*$AU112</f>
        <v>#VALUE!</v>
      </c>
      <c r="H112" s="363" t="e">
        <f aca="false">(AL112+AM112+AN112)/(1-(AR112))</f>
        <v>#VALUE!</v>
      </c>
      <c r="I112" s="363" t="e">
        <f aca="false">(AL112+AO112+AP112)</f>
        <v>#VALUE!</v>
      </c>
      <c r="K112" s="363" t="e">
        <f aca="false">MAX(((I112-H112)-AQ112)*AU112*AH112,0)</f>
        <v>#VALUE!</v>
      </c>
      <c r="L112" s="501" t="e">
        <f aca="false">MAX(Q112-K112,0)</f>
        <v>#VALUE!</v>
      </c>
      <c r="N112" s="502" t="e">
        <f aca="false">SQRT(($AX112^2*($AH112/2)+$AW112^2*$AI112)/(($AH112/2)+$AI112))</f>
        <v>#VALUE!</v>
      </c>
      <c r="O112" s="502" t="e">
        <f aca="false">SQRT(($AY112^2*($AH112/2)+$AW112^2*$AI112)/(($AH112/2)+$AI112))</f>
        <v>#VALUE!</v>
      </c>
      <c r="P112" s="371" t="e">
        <f aca="false">(VLOOKUP(AI112,CorrelationTwo,2)*(AW112^2)*AI112+VLOOKUP(D112,CorrelationOne,$AK$9)*AX112*AY112*(AH112/2))/((AI112+(AH112/2))*O112*N112)*AF112</f>
        <v>#VALUE!</v>
      </c>
      <c r="Q112" s="501" t="e">
        <f aca="false">xSPRDOPT(I112,H112,AQ112,0,O112,N112,P112,D112-$G$5,1,0)*AH112*AU112</f>
        <v>#VALUE!</v>
      </c>
      <c r="R112" s="501"/>
      <c r="S112" s="365" t="e">
        <f aca="false">xSPRDOPT(I112,H112,AQ112,AT112,O112,N112,P112,D112-$G$5,1,2)*AF112*(F112/(1-AR112))*AH112</f>
        <v>#VALUE!</v>
      </c>
      <c r="T112" s="365" t="e">
        <f aca="false">xSPRDOPT(I112,H112,AQ112,AT112,O112,N112,P112,D112-$G$5,1,1)*AF112*F112*AH112</f>
        <v>#VALUE!</v>
      </c>
      <c r="U112" s="501"/>
      <c r="V112" s="503" t="e">
        <f aca="false">VLOOKUP($AG112,$AL$4:$AS$15,8)*AH112*AU112</f>
        <v>#VALUE!</v>
      </c>
      <c r="W112" s="503"/>
      <c r="X112" s="504" t="e">
        <f aca="false">((BM112*BC112)+(BL112*BB112))*AH112*F112</f>
        <v>#VALUE!</v>
      </c>
      <c r="Y112" s="504" t="e">
        <f aca="false">($F112*$AH112)*((($BG112/2)*($BC112)^2)+(($BF112/2)*($BB112)^2)+($BH112*$BC112*$BB112))</f>
        <v>#VALUE!</v>
      </c>
      <c r="Z112" s="504" t="e">
        <f aca="false">($BI112*$F112*$AH112*($G$5-$BV$5))/365.25</f>
        <v>#VALUE!</v>
      </c>
      <c r="AA112" s="504" t="e">
        <f aca="false">(($BK112*$BE112)+($BJ112*$BD112))*$F112*$AH112*$AF112</f>
        <v>#VALUE!</v>
      </c>
      <c r="AB112" s="504" t="e">
        <f aca="false">BN112*(AT112-CA112)*F112*AH112</f>
        <v>#VALUE!</v>
      </c>
      <c r="AC112" s="504" t="e">
        <f aca="false">BO112*CB112*F112*AH112*CA112*($G$5-$BV$5)/365.25</f>
        <v>#NAME?</v>
      </c>
      <c r="AF112" s="378" t="e">
        <f aca="false">IF(AND(D112&gt;=$G$7,D112&lt;=$G$8),1,0)</f>
        <v>#VALUE!</v>
      </c>
      <c r="AG112" s="378" t="e">
        <f aca="false">MONTH(D112)</f>
        <v>#VALUE!</v>
      </c>
      <c r="AH112" s="378" t="e">
        <f aca="false">(EOMONTH(D112,0)-EOMONTH(D112-DAY(D112),0))*AF112</f>
        <v>#VALUE!</v>
      </c>
      <c r="AI112" s="378" t="e">
        <f aca="false">AI111+AH111</f>
        <v>#VALUE!</v>
      </c>
      <c r="AJ112" s="378" t="e">
        <f aca="false">D112-$BV$5</f>
        <v>#VALUE!</v>
      </c>
      <c r="AL112" s="369" t="e">
        <f aca="false">VLOOKUP($D112,CurveTbl,$AK$4)</f>
        <v>#VALUE!</v>
      </c>
      <c r="AM112" s="505" t="e">
        <f aca="false">VLOOKUP($D112,CurveTbl,$AH$3)</f>
        <v>#VALUE!</v>
      </c>
      <c r="AN112" s="505" t="e">
        <f aca="false">VLOOKUP($D112,CurveTbl,$AH$4)+VLOOKUP($AG112,$AL$3:$AS$15,6)</f>
        <v>#VALUE!</v>
      </c>
      <c r="AO112" s="505" t="e">
        <f aca="false">VLOOKUP($D112,CurveTbl,$AH$5)</f>
        <v>#VALUE!</v>
      </c>
      <c r="AP112" s="505" t="e">
        <f aca="false">VLOOKUP($D112,CurveTbl,$AH$6)+VLOOKUP($AG112,$AL$3:$AS$15,7)</f>
        <v>#VALUE!</v>
      </c>
      <c r="AQ112" s="369" t="e">
        <f aca="false">VLOOKUP($AG112,$AL$4:$AS$15,3)+VLOOKUP($AG112,$AL$4:$AS$15,5)+($AH$10*VLOOKUP(D112,GRITable,2))</f>
        <v>#VALUE!</v>
      </c>
      <c r="AR112" s="370" t="e">
        <f aca="false">VLOOKUP($AG112,$AL$4:$AS$15,4)</f>
        <v>#VALUE!</v>
      </c>
      <c r="AS112" s="369" t="e">
        <f aca="false">(AL112+AM112+AN112)</f>
        <v>#VALUE!</v>
      </c>
      <c r="AT112" s="370" t="e">
        <f aca="false">VLOOKUP(D112,CurveTbl,$AK$6)</f>
        <v>#VALUE!</v>
      </c>
      <c r="AU112" s="370" t="e">
        <f aca="false">(1+$AT112/2)^(-2*($D112-$G$5)/365.25)*$AF112</f>
        <v>#VALUE!</v>
      </c>
      <c r="AV112" s="506" t="e">
        <f aca="false">ROUND((F112/(1-AR112))-F112,0)*AF112*AH112*AU112</f>
        <v>#VALUE!</v>
      </c>
      <c r="AW112" s="370" t="e">
        <f aca="false">VLOOKUP($D112,CurveTbl,$AK$8)</f>
        <v>#VALUE!</v>
      </c>
      <c r="AX112" s="370" t="e">
        <f aca="false">VLOOKUP($D112,CurveTbl,$AH$7)</f>
        <v>#VALUE!</v>
      </c>
      <c r="AY112" s="370" t="e">
        <f aca="false">VLOOKUP($D112,CurveTbl,$AH$8)</f>
        <v>#VALUE!</v>
      </c>
      <c r="AZ112" s="370"/>
      <c r="BA112" s="507"/>
      <c r="BB112" s="505" t="e">
        <f aca="false">$H112-$BV112</f>
        <v>#VALUE!</v>
      </c>
      <c r="BC112" s="505" t="e">
        <f aca="false">I112-BW112</f>
        <v>#VALUE!</v>
      </c>
      <c r="BD112" s="370" t="e">
        <f aca="false">N112-BX112</f>
        <v>#VALUE!</v>
      </c>
      <c r="BE112" s="370" t="e">
        <f aca="false">O112-BY112</f>
        <v>#VALUE!</v>
      </c>
      <c r="BF112" s="370" t="e">
        <f aca="false">xSPRDOPT($BW112,$BV112,$CG112,0,$BY112,$BX112,$BZ112,$AJ112,1,4)*$CB112</f>
        <v>#NAME?</v>
      </c>
      <c r="BG112" s="370" t="e">
        <f aca="false">xSPRDOPT($BW112,$BV112,$CG112,0,$BY112,$BX112,$BZ112,$AJ112,1,3)*$CB112</f>
        <v>#NAME?</v>
      </c>
      <c r="BH112" s="370" t="e">
        <f aca="false">IF(OR(BF112&lt;&gt;0,BG112&lt;&gt;0),xSPRDOPT($BW112,$BV112,$CG112,0,$BY112,$BX112,$BZ112,$AJ112,1,12)*$CB112,0)</f>
        <v>#NAME?</v>
      </c>
      <c r="BI112" s="370" t="e">
        <f aca="false">xSPRDOPT($BW112,$BV112,$CG112,2*LN(1+CA112/2),$BY112,$BX112,$BZ112,$AJ112,1,9)</f>
        <v>#NAME?</v>
      </c>
      <c r="BJ112" s="370" t="e">
        <f aca="false">xSPRDOPT($BW112,$BV112,$CG112,0,$BY112,$BX112,$BZ112,$AJ112,1,6)*$CB112</f>
        <v>#NAME?</v>
      </c>
      <c r="BK112" s="370" t="e">
        <f aca="false">xSPRDOPT($BW112,$BV112,$CG112,0,$BY112,$BX112,$BZ112,$AJ112,1,5)*$CB112</f>
        <v>#NAME?</v>
      </c>
      <c r="BL112" s="370" t="e">
        <f aca="false">xSPRDOPT(BW112,BV112,CG112,0,BY112,BX112,BZ112,AJ112,1,2)*CB112</f>
        <v>#NAME?</v>
      </c>
      <c r="BM112" s="370" t="e">
        <f aca="false">xSPRDOPT(BW112,BV112,CG112,0,BY112,BX112,BZ112,AJ112,1,1)*CB112</f>
        <v>#NAME?</v>
      </c>
      <c r="BN112" s="370" t="e">
        <f aca="false">IF(AH112&lt;&gt;0,xSPRDOPT($BW112,$BV112,$CG112,2*LN(1+CA112/2),$BY112,$BX112,$BZ112,$AJ112,1,8)+(AJ112/365.25)*CH112/AH112,0)</f>
        <v>#VALUE!</v>
      </c>
      <c r="BO112" s="370" t="e">
        <f aca="false">xSPRDOPT($BW112,$BV112,$CG112,0,$BY112,$BX112,$BZ112,$AJ112,1,0)</f>
        <v>#NAME?</v>
      </c>
      <c r="BP112" s="370"/>
      <c r="BQ112" s="370"/>
      <c r="BR112" s="370"/>
      <c r="BS112" s="370"/>
      <c r="BV112" s="508" t="n">
        <v>3.25401606425703</v>
      </c>
      <c r="BW112" s="369" t="n">
        <v>3.251</v>
      </c>
      <c r="BX112" s="370" t="n">
        <v>0.54</v>
      </c>
      <c r="BY112" s="370" t="n">
        <v>0.54</v>
      </c>
      <c r="BZ112" s="370" t="n">
        <v>0</v>
      </c>
      <c r="CA112" s="370" t="n">
        <v>0.0232740649677528</v>
      </c>
      <c r="CB112" s="370" t="n">
        <v>0</v>
      </c>
      <c r="CC112" s="505" t="n">
        <v>0</v>
      </c>
      <c r="CD112" s="505" t="n">
        <v>0.03</v>
      </c>
      <c r="CE112" s="505" t="n">
        <v>0.04</v>
      </c>
      <c r="CF112" s="505" t="n">
        <v>0</v>
      </c>
      <c r="CG112" s="505" t="n">
        <v>0.0006</v>
      </c>
      <c r="CH112" s="505" t="n">
        <v>0</v>
      </c>
      <c r="CI112" s="505" t="n">
        <v>3.211</v>
      </c>
      <c r="CJ112" s="505"/>
      <c r="CK112" s="505"/>
      <c r="CL112" s="505"/>
      <c r="CM112" s="505"/>
    </row>
    <row r="113" customFormat="false" ht="12.75" hidden="false" customHeight="false" outlineLevel="0" collapsed="false">
      <c r="A113" s="500"/>
      <c r="B113" s="500"/>
      <c r="D113" s="361" t="e">
        <f aca="false">D112+AH112</f>
        <v>#VALUE!</v>
      </c>
      <c r="F113" s="362" t="e">
        <f aca="false">VLOOKUP(AG113,$AL$4:$AS$15,2)</f>
        <v>#VALUE!</v>
      </c>
      <c r="G113" s="362" t="e">
        <f aca="false">F113*$AU113</f>
        <v>#VALUE!</v>
      </c>
      <c r="H113" s="363" t="e">
        <f aca="false">(AL113+AM113+AN113)/(1-(AR113))</f>
        <v>#VALUE!</v>
      </c>
      <c r="I113" s="363" t="e">
        <f aca="false">(AL113+AO113+AP113)</f>
        <v>#VALUE!</v>
      </c>
      <c r="K113" s="363" t="e">
        <f aca="false">MAX(((I113-H113)-AQ113)*AU113*AH113,0)</f>
        <v>#VALUE!</v>
      </c>
      <c r="L113" s="501" t="e">
        <f aca="false">MAX(Q113-K113,0)</f>
        <v>#VALUE!</v>
      </c>
      <c r="N113" s="502" t="e">
        <f aca="false">SQRT(($AX113^2*($AH113/2)+$AW113^2*$AI113)/(($AH113/2)+$AI113))</f>
        <v>#VALUE!</v>
      </c>
      <c r="O113" s="502" t="e">
        <f aca="false">SQRT(($AY113^2*($AH113/2)+$AW113^2*$AI113)/(($AH113/2)+$AI113))</f>
        <v>#VALUE!</v>
      </c>
      <c r="P113" s="371" t="e">
        <f aca="false">(VLOOKUP(AI113,CorrelationTwo,2)*(AW113^2)*AI113+VLOOKUP(D113,CorrelationOne,$AK$9)*AX113*AY113*(AH113/2))/((AI113+(AH113/2))*O113*N113)*AF113</f>
        <v>#VALUE!</v>
      </c>
      <c r="Q113" s="501" t="e">
        <f aca="false">xSPRDOPT(I113,H113,AQ113,0,O113,N113,P113,D113-$G$5,1,0)*AH113*AU113</f>
        <v>#VALUE!</v>
      </c>
      <c r="R113" s="501"/>
      <c r="S113" s="365" t="e">
        <f aca="false">xSPRDOPT(I113,H113,AQ113,AT113,O113,N113,P113,D113-$G$5,1,2)*AF113*(F113/(1-AR113))*AH113</f>
        <v>#VALUE!</v>
      </c>
      <c r="T113" s="365" t="e">
        <f aca="false">xSPRDOPT(I113,H113,AQ113,AT113,O113,N113,P113,D113-$G$5,1,1)*AF113*F113*AH113</f>
        <v>#VALUE!</v>
      </c>
      <c r="U113" s="501"/>
      <c r="V113" s="503" t="e">
        <f aca="false">VLOOKUP($AG113,$AL$4:$AS$15,8)*AH113*AU113</f>
        <v>#VALUE!</v>
      </c>
      <c r="W113" s="503"/>
      <c r="X113" s="504" t="e">
        <f aca="false">((BM113*BC113)+(BL113*BB113))*AH113*F113</f>
        <v>#VALUE!</v>
      </c>
      <c r="Y113" s="504" t="e">
        <f aca="false">($F113*$AH113)*((($BG113/2)*($BC113)^2)+(($BF113/2)*($BB113)^2)+($BH113*$BC113*$BB113))</f>
        <v>#VALUE!</v>
      </c>
      <c r="Z113" s="504" t="e">
        <f aca="false">($BI113*$F113*$AH113*($G$5-$BV$5))/365.25</f>
        <v>#VALUE!</v>
      </c>
      <c r="AA113" s="504" t="e">
        <f aca="false">(($BK113*$BE113)+($BJ113*$BD113))*$F113*$AH113*$AF113</f>
        <v>#VALUE!</v>
      </c>
      <c r="AB113" s="504" t="e">
        <f aca="false">BN113*(AT113-CA113)*F113*AH113</f>
        <v>#VALUE!</v>
      </c>
      <c r="AC113" s="504" t="e">
        <f aca="false">BO113*CB113*F113*AH113*CA113*($G$5-$BV$5)/365.25</f>
        <v>#NAME?</v>
      </c>
      <c r="AF113" s="378" t="e">
        <f aca="false">IF(AND(D113&gt;=$G$7,D113&lt;=$G$8),1,0)</f>
        <v>#VALUE!</v>
      </c>
      <c r="AG113" s="378" t="e">
        <f aca="false">MONTH(D113)</f>
        <v>#VALUE!</v>
      </c>
      <c r="AH113" s="378" t="e">
        <f aca="false">(EOMONTH(D113,0)-EOMONTH(D113-DAY(D113),0))*AF113</f>
        <v>#VALUE!</v>
      </c>
      <c r="AI113" s="378" t="e">
        <f aca="false">AI112+AH112</f>
        <v>#VALUE!</v>
      </c>
      <c r="AJ113" s="378" t="e">
        <f aca="false">D113-$BV$5</f>
        <v>#VALUE!</v>
      </c>
      <c r="AL113" s="369" t="e">
        <f aca="false">VLOOKUP($D113,CurveTbl,$AK$4)</f>
        <v>#VALUE!</v>
      </c>
      <c r="AM113" s="505" t="e">
        <f aca="false">VLOOKUP($D113,CurveTbl,$AH$3)</f>
        <v>#VALUE!</v>
      </c>
      <c r="AN113" s="505" t="e">
        <f aca="false">VLOOKUP($D113,CurveTbl,$AH$4)+VLOOKUP($AG113,$AL$3:$AS$15,6)</f>
        <v>#VALUE!</v>
      </c>
      <c r="AO113" s="505" t="e">
        <f aca="false">VLOOKUP($D113,CurveTbl,$AH$5)</f>
        <v>#VALUE!</v>
      </c>
      <c r="AP113" s="505" t="e">
        <f aca="false">VLOOKUP($D113,CurveTbl,$AH$6)+VLOOKUP($AG113,$AL$3:$AS$15,7)</f>
        <v>#VALUE!</v>
      </c>
      <c r="AQ113" s="369" t="e">
        <f aca="false">VLOOKUP($AG113,$AL$4:$AS$15,3)+VLOOKUP($AG113,$AL$4:$AS$15,5)+($AH$10*VLOOKUP(D113,GRITable,2))</f>
        <v>#VALUE!</v>
      </c>
      <c r="AR113" s="370" t="e">
        <f aca="false">VLOOKUP($AG113,$AL$4:$AS$15,4)</f>
        <v>#VALUE!</v>
      </c>
      <c r="AS113" s="369" t="e">
        <f aca="false">(AL113+AM113+AN113)</f>
        <v>#VALUE!</v>
      </c>
      <c r="AT113" s="370" t="e">
        <f aca="false">VLOOKUP(D113,CurveTbl,$AK$6)</f>
        <v>#VALUE!</v>
      </c>
      <c r="AU113" s="370" t="e">
        <f aca="false">(1+$AT113/2)^(-2*($D113-$G$5)/365.25)*$AF113</f>
        <v>#VALUE!</v>
      </c>
      <c r="AV113" s="506" t="e">
        <f aca="false">ROUND((F113/(1-AR113))-F113,0)*AF113*AH113*AU113</f>
        <v>#VALUE!</v>
      </c>
      <c r="AW113" s="370" t="e">
        <f aca="false">VLOOKUP($D113,CurveTbl,$AK$8)</f>
        <v>#VALUE!</v>
      </c>
      <c r="AX113" s="370" t="e">
        <f aca="false">VLOOKUP($D113,CurveTbl,$AH$7)</f>
        <v>#VALUE!</v>
      </c>
      <c r="AY113" s="370" t="e">
        <f aca="false">VLOOKUP($D113,CurveTbl,$AH$8)</f>
        <v>#VALUE!</v>
      </c>
      <c r="AZ113" s="370"/>
      <c r="BA113" s="507"/>
      <c r="BB113" s="505" t="e">
        <f aca="false">$H113-$BV113</f>
        <v>#VALUE!</v>
      </c>
      <c r="BC113" s="505" t="e">
        <f aca="false">I113-BW113</f>
        <v>#VALUE!</v>
      </c>
      <c r="BD113" s="370" t="e">
        <f aca="false">N113-BX113</f>
        <v>#VALUE!</v>
      </c>
      <c r="BE113" s="370" t="e">
        <f aca="false">O113-BY113</f>
        <v>#VALUE!</v>
      </c>
      <c r="BF113" s="370" t="e">
        <f aca="false">xSPRDOPT($BW113,$BV113,$CG113,0,$BY113,$BX113,$BZ113,$AJ113,1,4)*$CB113</f>
        <v>#NAME?</v>
      </c>
      <c r="BG113" s="370" t="e">
        <f aca="false">xSPRDOPT($BW113,$BV113,$CG113,0,$BY113,$BX113,$BZ113,$AJ113,1,3)*$CB113</f>
        <v>#NAME?</v>
      </c>
      <c r="BH113" s="370" t="e">
        <f aca="false">IF(OR(BF113&lt;&gt;0,BG113&lt;&gt;0),xSPRDOPT($BW113,$BV113,$CG113,0,$BY113,$BX113,$BZ113,$AJ113,1,12)*$CB113,0)</f>
        <v>#NAME?</v>
      </c>
      <c r="BI113" s="370" t="e">
        <f aca="false">xSPRDOPT($BW113,$BV113,$CG113,2*LN(1+CA113/2),$BY113,$BX113,$BZ113,$AJ113,1,9)</f>
        <v>#NAME?</v>
      </c>
      <c r="BJ113" s="370" t="e">
        <f aca="false">xSPRDOPT($BW113,$BV113,$CG113,0,$BY113,$BX113,$BZ113,$AJ113,1,6)*$CB113</f>
        <v>#NAME?</v>
      </c>
      <c r="BK113" s="370" t="e">
        <f aca="false">xSPRDOPT($BW113,$BV113,$CG113,0,$BY113,$BX113,$BZ113,$AJ113,1,5)*$CB113</f>
        <v>#NAME?</v>
      </c>
      <c r="BL113" s="370" t="e">
        <f aca="false">xSPRDOPT(BW113,BV113,CG113,0,BY113,BX113,BZ113,AJ113,1,2)*CB113</f>
        <v>#NAME?</v>
      </c>
      <c r="BM113" s="370" t="e">
        <f aca="false">xSPRDOPT(BW113,BV113,CG113,0,BY113,BX113,BZ113,AJ113,1,1)*CB113</f>
        <v>#NAME?</v>
      </c>
      <c r="BN113" s="370" t="e">
        <f aca="false">IF(AH113&lt;&gt;0,xSPRDOPT($BW113,$BV113,$CG113,2*LN(1+CA113/2),$BY113,$BX113,$BZ113,$AJ113,1,8)+(AJ113/365.25)*CH113/AH113,0)</f>
        <v>#VALUE!</v>
      </c>
      <c r="BO113" s="370" t="e">
        <f aca="false">xSPRDOPT($BW113,$BV113,$CG113,0,$BY113,$BX113,$BZ113,$AJ113,1,0)</f>
        <v>#NAME?</v>
      </c>
      <c r="BP113" s="370"/>
      <c r="BQ113" s="370"/>
      <c r="BR113" s="370"/>
      <c r="BS113" s="370"/>
      <c r="BV113" s="508" t="n">
        <v>3.25401606425703</v>
      </c>
      <c r="BW113" s="369" t="n">
        <v>3.251</v>
      </c>
      <c r="BX113" s="370" t="n">
        <v>0.54</v>
      </c>
      <c r="BY113" s="370" t="n">
        <v>0.54</v>
      </c>
      <c r="BZ113" s="370" t="n">
        <v>0</v>
      </c>
      <c r="CA113" s="370" t="n">
        <v>0.0232740649677528</v>
      </c>
      <c r="CB113" s="370" t="n">
        <v>0</v>
      </c>
      <c r="CC113" s="505" t="n">
        <v>0</v>
      </c>
      <c r="CD113" s="505" t="n">
        <v>0.03</v>
      </c>
      <c r="CE113" s="505" t="n">
        <v>0.04</v>
      </c>
      <c r="CF113" s="505" t="n">
        <v>0</v>
      </c>
      <c r="CG113" s="505" t="n">
        <v>0.0006</v>
      </c>
      <c r="CH113" s="505" t="n">
        <v>0</v>
      </c>
      <c r="CI113" s="505" t="n">
        <v>3.211</v>
      </c>
      <c r="CJ113" s="505"/>
      <c r="CK113" s="505"/>
      <c r="CL113" s="505"/>
      <c r="CM113" s="505"/>
    </row>
    <row r="114" customFormat="false" ht="12.75" hidden="false" customHeight="false" outlineLevel="0" collapsed="false">
      <c r="A114" s="500"/>
      <c r="B114" s="500"/>
      <c r="D114" s="361" t="e">
        <f aca="false">D113+AH113</f>
        <v>#VALUE!</v>
      </c>
      <c r="F114" s="362" t="e">
        <f aca="false">VLOOKUP(AG114,$AL$4:$AS$15,2)</f>
        <v>#VALUE!</v>
      </c>
      <c r="G114" s="362" t="e">
        <f aca="false">F114*$AU114</f>
        <v>#VALUE!</v>
      </c>
      <c r="H114" s="363" t="e">
        <f aca="false">(AL114+AM114+AN114)/(1-(AR114))</f>
        <v>#VALUE!</v>
      </c>
      <c r="I114" s="363" t="e">
        <f aca="false">(AL114+AO114+AP114)</f>
        <v>#VALUE!</v>
      </c>
      <c r="K114" s="363" t="e">
        <f aca="false">MAX(((I114-H114)-AQ114)*AU114*AH114,0)</f>
        <v>#VALUE!</v>
      </c>
      <c r="L114" s="501" t="e">
        <f aca="false">MAX(Q114-K114,0)</f>
        <v>#VALUE!</v>
      </c>
      <c r="N114" s="502" t="e">
        <f aca="false">SQRT(($AX114^2*($AH114/2)+$AW114^2*$AI114)/(($AH114/2)+$AI114))</f>
        <v>#VALUE!</v>
      </c>
      <c r="O114" s="502" t="e">
        <f aca="false">SQRT(($AY114^2*($AH114/2)+$AW114^2*$AI114)/(($AH114/2)+$AI114))</f>
        <v>#VALUE!</v>
      </c>
      <c r="P114" s="371" t="e">
        <f aca="false">(VLOOKUP(AI114,CorrelationTwo,2)*(AW114^2)*AI114+VLOOKUP(D114,CorrelationOne,$AK$9)*AX114*AY114*(AH114/2))/((AI114+(AH114/2))*O114*N114)*AF114</f>
        <v>#VALUE!</v>
      </c>
      <c r="Q114" s="501" t="e">
        <f aca="false">xSPRDOPT(I114,H114,AQ114,0,O114,N114,P114,D114-$G$5,1,0)*AH114*AU114</f>
        <v>#VALUE!</v>
      </c>
      <c r="R114" s="501"/>
      <c r="S114" s="365" t="e">
        <f aca="false">xSPRDOPT(I114,H114,AQ114,AT114,O114,N114,P114,D114-$G$5,1,2)*AF114*(F114/(1-AR114))*AH114</f>
        <v>#VALUE!</v>
      </c>
      <c r="T114" s="365" t="e">
        <f aca="false">xSPRDOPT(I114,H114,AQ114,AT114,O114,N114,P114,D114-$G$5,1,1)*AF114*F114*AH114</f>
        <v>#VALUE!</v>
      </c>
      <c r="U114" s="501"/>
      <c r="V114" s="503" t="e">
        <f aca="false">VLOOKUP($AG114,$AL$4:$AS$15,8)*AH114*AU114</f>
        <v>#VALUE!</v>
      </c>
      <c r="W114" s="503"/>
      <c r="X114" s="504" t="e">
        <f aca="false">((BM114*BC114)+(BL114*BB114))*AH114*F114</f>
        <v>#VALUE!</v>
      </c>
      <c r="Y114" s="504" t="e">
        <f aca="false">($F114*$AH114)*((($BG114/2)*($BC114)^2)+(($BF114/2)*($BB114)^2)+($BH114*$BC114*$BB114))</f>
        <v>#VALUE!</v>
      </c>
      <c r="Z114" s="504" t="e">
        <f aca="false">($BI114*$F114*$AH114*($G$5-$BV$5))/365.25</f>
        <v>#VALUE!</v>
      </c>
      <c r="AA114" s="504" t="e">
        <f aca="false">(($BK114*$BE114)+($BJ114*$BD114))*$F114*$AH114*$AF114</f>
        <v>#VALUE!</v>
      </c>
      <c r="AB114" s="504" t="e">
        <f aca="false">BN114*(AT114-CA114)*F114*AH114</f>
        <v>#VALUE!</v>
      </c>
      <c r="AC114" s="504" t="e">
        <f aca="false">BO114*CB114*F114*AH114*CA114*($G$5-$BV$5)/365.25</f>
        <v>#NAME?</v>
      </c>
      <c r="AF114" s="378" t="e">
        <f aca="false">IF(AND(D114&gt;=$G$7,D114&lt;=$G$8),1,0)</f>
        <v>#VALUE!</v>
      </c>
      <c r="AG114" s="378" t="e">
        <f aca="false">MONTH(D114)</f>
        <v>#VALUE!</v>
      </c>
      <c r="AH114" s="378" t="e">
        <f aca="false">(EOMONTH(D114,0)-EOMONTH(D114-DAY(D114),0))*AF114</f>
        <v>#VALUE!</v>
      </c>
      <c r="AI114" s="378" t="e">
        <f aca="false">AI113+AH113</f>
        <v>#VALUE!</v>
      </c>
      <c r="AJ114" s="378" t="e">
        <f aca="false">D114-$BV$5</f>
        <v>#VALUE!</v>
      </c>
      <c r="AL114" s="369" t="e">
        <f aca="false">VLOOKUP($D114,CurveTbl,$AK$4)</f>
        <v>#VALUE!</v>
      </c>
      <c r="AM114" s="505" t="e">
        <f aca="false">VLOOKUP($D114,CurveTbl,$AH$3)</f>
        <v>#VALUE!</v>
      </c>
      <c r="AN114" s="505" t="e">
        <f aca="false">VLOOKUP($D114,CurveTbl,$AH$4)+VLOOKUP($AG114,$AL$3:$AS$15,6)</f>
        <v>#VALUE!</v>
      </c>
      <c r="AO114" s="505" t="e">
        <f aca="false">VLOOKUP($D114,CurveTbl,$AH$5)</f>
        <v>#VALUE!</v>
      </c>
      <c r="AP114" s="505" t="e">
        <f aca="false">VLOOKUP($D114,CurveTbl,$AH$6)+VLOOKUP($AG114,$AL$3:$AS$15,7)</f>
        <v>#VALUE!</v>
      </c>
      <c r="AQ114" s="369" t="e">
        <f aca="false">VLOOKUP($AG114,$AL$4:$AS$15,3)+VLOOKUP($AG114,$AL$4:$AS$15,5)+($AH$10*VLOOKUP(D114,GRITable,2))</f>
        <v>#VALUE!</v>
      </c>
      <c r="AR114" s="370" t="e">
        <f aca="false">VLOOKUP($AG114,$AL$4:$AS$15,4)</f>
        <v>#VALUE!</v>
      </c>
      <c r="AS114" s="369" t="e">
        <f aca="false">(AL114+AM114+AN114)</f>
        <v>#VALUE!</v>
      </c>
      <c r="AT114" s="370" t="e">
        <f aca="false">VLOOKUP(D114,CurveTbl,$AK$6)</f>
        <v>#VALUE!</v>
      </c>
      <c r="AU114" s="370" t="e">
        <f aca="false">(1+$AT114/2)^(-2*($D114-$G$5)/365.25)*$AF114</f>
        <v>#VALUE!</v>
      </c>
      <c r="AV114" s="506" t="e">
        <f aca="false">ROUND((F114/(1-AR114))-F114,0)*AF114*AH114*AU114</f>
        <v>#VALUE!</v>
      </c>
      <c r="AW114" s="370" t="e">
        <f aca="false">VLOOKUP($D114,CurveTbl,$AK$8)</f>
        <v>#VALUE!</v>
      </c>
      <c r="AX114" s="370" t="e">
        <f aca="false">VLOOKUP($D114,CurveTbl,$AH$7)</f>
        <v>#VALUE!</v>
      </c>
      <c r="AY114" s="370" t="e">
        <f aca="false">VLOOKUP($D114,CurveTbl,$AH$8)</f>
        <v>#VALUE!</v>
      </c>
      <c r="AZ114" s="370"/>
      <c r="BA114" s="507"/>
      <c r="BB114" s="505" t="e">
        <f aca="false">$H114-$BV114</f>
        <v>#VALUE!</v>
      </c>
      <c r="BC114" s="505" t="e">
        <f aca="false">I114-BW114</f>
        <v>#VALUE!</v>
      </c>
      <c r="BD114" s="370" t="e">
        <f aca="false">N114-BX114</f>
        <v>#VALUE!</v>
      </c>
      <c r="BE114" s="370" t="e">
        <f aca="false">O114-BY114</f>
        <v>#VALUE!</v>
      </c>
      <c r="BF114" s="370" t="e">
        <f aca="false">xSPRDOPT($BW114,$BV114,$CG114,0,$BY114,$BX114,$BZ114,$AJ114,1,4)*$CB114</f>
        <v>#NAME?</v>
      </c>
      <c r="BG114" s="370" t="e">
        <f aca="false">xSPRDOPT($BW114,$BV114,$CG114,0,$BY114,$BX114,$BZ114,$AJ114,1,3)*$CB114</f>
        <v>#NAME?</v>
      </c>
      <c r="BH114" s="370" t="e">
        <f aca="false">IF(OR(BF114&lt;&gt;0,BG114&lt;&gt;0),xSPRDOPT($BW114,$BV114,$CG114,0,$BY114,$BX114,$BZ114,$AJ114,1,12)*$CB114,0)</f>
        <v>#NAME?</v>
      </c>
      <c r="BI114" s="370" t="e">
        <f aca="false">xSPRDOPT($BW114,$BV114,$CG114,2*LN(1+CA114/2),$BY114,$BX114,$BZ114,$AJ114,1,9)</f>
        <v>#NAME?</v>
      </c>
      <c r="BJ114" s="370" t="e">
        <f aca="false">xSPRDOPT($BW114,$BV114,$CG114,0,$BY114,$BX114,$BZ114,$AJ114,1,6)*$CB114</f>
        <v>#NAME?</v>
      </c>
      <c r="BK114" s="370" t="e">
        <f aca="false">xSPRDOPT($BW114,$BV114,$CG114,0,$BY114,$BX114,$BZ114,$AJ114,1,5)*$CB114</f>
        <v>#NAME?</v>
      </c>
      <c r="BL114" s="370" t="e">
        <f aca="false">xSPRDOPT(BW114,BV114,CG114,0,BY114,BX114,BZ114,AJ114,1,2)*CB114</f>
        <v>#NAME?</v>
      </c>
      <c r="BM114" s="370" t="e">
        <f aca="false">xSPRDOPT(BW114,BV114,CG114,0,BY114,BX114,BZ114,AJ114,1,1)*CB114</f>
        <v>#NAME?</v>
      </c>
      <c r="BN114" s="370" t="e">
        <f aca="false">IF(AH114&lt;&gt;0,xSPRDOPT($BW114,$BV114,$CG114,2*LN(1+CA114/2),$BY114,$BX114,$BZ114,$AJ114,1,8)+(AJ114/365.25)*CH114/AH114,0)</f>
        <v>#VALUE!</v>
      </c>
      <c r="BO114" s="370" t="e">
        <f aca="false">xSPRDOPT($BW114,$BV114,$CG114,0,$BY114,$BX114,$BZ114,$AJ114,1,0)</f>
        <v>#NAME?</v>
      </c>
      <c r="BP114" s="370"/>
      <c r="BQ114" s="370"/>
      <c r="BR114" s="370"/>
      <c r="BS114" s="370"/>
      <c r="BV114" s="508" t="n">
        <v>3.25401606425703</v>
      </c>
      <c r="BW114" s="369" t="n">
        <v>3.251</v>
      </c>
      <c r="BX114" s="370" t="n">
        <v>0.54</v>
      </c>
      <c r="BY114" s="370" t="n">
        <v>0.54</v>
      </c>
      <c r="BZ114" s="370" t="n">
        <v>0</v>
      </c>
      <c r="CA114" s="370" t="n">
        <v>0.0232740649677528</v>
      </c>
      <c r="CB114" s="370" t="n">
        <v>0</v>
      </c>
      <c r="CC114" s="505" t="n">
        <v>0</v>
      </c>
      <c r="CD114" s="505" t="n">
        <v>0.03</v>
      </c>
      <c r="CE114" s="505" t="n">
        <v>0.04</v>
      </c>
      <c r="CF114" s="505" t="n">
        <v>0</v>
      </c>
      <c r="CG114" s="505" t="n">
        <v>0.0006</v>
      </c>
      <c r="CH114" s="505" t="n">
        <v>0</v>
      </c>
      <c r="CI114" s="505" t="n">
        <v>3.211</v>
      </c>
      <c r="CJ114" s="505"/>
      <c r="CK114" s="505"/>
      <c r="CL114" s="505"/>
      <c r="CM114" s="505"/>
    </row>
    <row r="115" customFormat="false" ht="12.75" hidden="false" customHeight="false" outlineLevel="0" collapsed="false">
      <c r="A115" s="500"/>
      <c r="B115" s="500"/>
      <c r="D115" s="361" t="e">
        <f aca="false">D114+AH114</f>
        <v>#VALUE!</v>
      </c>
      <c r="F115" s="362" t="e">
        <f aca="false">VLOOKUP(AG115,$AL$4:$AS$15,2)</f>
        <v>#VALUE!</v>
      </c>
      <c r="G115" s="362" t="e">
        <f aca="false">F115*$AU115</f>
        <v>#VALUE!</v>
      </c>
      <c r="H115" s="363" t="e">
        <f aca="false">(AL115+AM115+AN115)/(1-(AR115))</f>
        <v>#VALUE!</v>
      </c>
      <c r="I115" s="363" t="e">
        <f aca="false">(AL115+AO115+AP115)</f>
        <v>#VALUE!</v>
      </c>
      <c r="K115" s="363" t="e">
        <f aca="false">MAX(((I115-H115)-AQ115)*AU115*AH115,0)</f>
        <v>#VALUE!</v>
      </c>
      <c r="L115" s="501" t="e">
        <f aca="false">MAX(Q115-K115,0)</f>
        <v>#VALUE!</v>
      </c>
      <c r="N115" s="502" t="e">
        <f aca="false">SQRT(($AX115^2*($AH115/2)+$AW115^2*$AI115)/(($AH115/2)+$AI115))</f>
        <v>#VALUE!</v>
      </c>
      <c r="O115" s="502" t="e">
        <f aca="false">SQRT(($AY115^2*($AH115/2)+$AW115^2*$AI115)/(($AH115/2)+$AI115))</f>
        <v>#VALUE!</v>
      </c>
      <c r="P115" s="371" t="e">
        <f aca="false">(VLOOKUP(AI115,CorrelationTwo,2)*(AW115^2)*AI115+VLOOKUP(D115,CorrelationOne,$AK$9)*AX115*AY115*(AH115/2))/((AI115+(AH115/2))*O115*N115)*AF115</f>
        <v>#VALUE!</v>
      </c>
      <c r="Q115" s="501" t="e">
        <f aca="false">xSPRDOPT(I115,H115,AQ115,0,O115,N115,P115,D115-$G$5,1,0)*AH115*AU115</f>
        <v>#VALUE!</v>
      </c>
      <c r="R115" s="501"/>
      <c r="S115" s="365" t="e">
        <f aca="false">xSPRDOPT(I115,H115,AQ115,AT115,O115,N115,P115,D115-$G$5,1,2)*AF115*(F115/(1-AR115))*AH115</f>
        <v>#VALUE!</v>
      </c>
      <c r="T115" s="365" t="e">
        <f aca="false">xSPRDOPT(I115,H115,AQ115,AT115,O115,N115,P115,D115-$G$5,1,1)*AF115*F115*AH115</f>
        <v>#VALUE!</v>
      </c>
      <c r="U115" s="501"/>
      <c r="V115" s="503" t="e">
        <f aca="false">VLOOKUP($AG115,$AL$4:$AS$15,8)*AH115*AU115</f>
        <v>#VALUE!</v>
      </c>
      <c r="W115" s="503"/>
      <c r="X115" s="504" t="e">
        <f aca="false">((BM115*BC115)+(BL115*BB115))*AH115*F115</f>
        <v>#VALUE!</v>
      </c>
      <c r="Y115" s="504" t="e">
        <f aca="false">($F115*$AH115)*((($BG115/2)*($BC115)^2)+(($BF115/2)*($BB115)^2)+($BH115*$BC115*$BB115))</f>
        <v>#VALUE!</v>
      </c>
      <c r="Z115" s="504" t="e">
        <f aca="false">($BI115*$F115*$AH115*($G$5-$BV$5))/365.25</f>
        <v>#VALUE!</v>
      </c>
      <c r="AA115" s="504" t="e">
        <f aca="false">(($BK115*$BE115)+($BJ115*$BD115))*$F115*$AH115*$AF115</f>
        <v>#VALUE!</v>
      </c>
      <c r="AB115" s="504" t="e">
        <f aca="false">BN115*(AT115-CA115)*F115*AH115</f>
        <v>#VALUE!</v>
      </c>
      <c r="AC115" s="504" t="e">
        <f aca="false">BO115*CB115*F115*AH115*CA115*($G$5-$BV$5)/365.25</f>
        <v>#NAME?</v>
      </c>
      <c r="AF115" s="378" t="e">
        <f aca="false">IF(AND(D115&gt;=$G$7,D115&lt;=$G$8),1,0)</f>
        <v>#VALUE!</v>
      </c>
      <c r="AG115" s="378" t="e">
        <f aca="false">MONTH(D115)</f>
        <v>#VALUE!</v>
      </c>
      <c r="AH115" s="378" t="e">
        <f aca="false">(EOMONTH(D115,0)-EOMONTH(D115-DAY(D115),0))*AF115</f>
        <v>#VALUE!</v>
      </c>
      <c r="AI115" s="378" t="e">
        <f aca="false">AI114+AH114</f>
        <v>#VALUE!</v>
      </c>
      <c r="AJ115" s="378" t="e">
        <f aca="false">D115-$BV$5</f>
        <v>#VALUE!</v>
      </c>
      <c r="AL115" s="369" t="e">
        <f aca="false">VLOOKUP($D115,CurveTbl,$AK$4)</f>
        <v>#VALUE!</v>
      </c>
      <c r="AM115" s="505" t="e">
        <f aca="false">VLOOKUP($D115,CurveTbl,$AH$3)</f>
        <v>#VALUE!</v>
      </c>
      <c r="AN115" s="505" t="e">
        <f aca="false">VLOOKUP($D115,CurveTbl,$AH$4)+VLOOKUP($AG115,$AL$3:$AS$15,6)</f>
        <v>#VALUE!</v>
      </c>
      <c r="AO115" s="505" t="e">
        <f aca="false">VLOOKUP($D115,CurveTbl,$AH$5)</f>
        <v>#VALUE!</v>
      </c>
      <c r="AP115" s="505" t="e">
        <f aca="false">VLOOKUP($D115,CurveTbl,$AH$6)+VLOOKUP($AG115,$AL$3:$AS$15,7)</f>
        <v>#VALUE!</v>
      </c>
      <c r="AQ115" s="369" t="e">
        <f aca="false">VLOOKUP($AG115,$AL$4:$AS$15,3)+VLOOKUP($AG115,$AL$4:$AS$15,5)+($AH$10*VLOOKUP(D115,GRITable,2))</f>
        <v>#VALUE!</v>
      </c>
      <c r="AR115" s="370" t="e">
        <f aca="false">VLOOKUP($AG115,$AL$4:$AS$15,4)</f>
        <v>#VALUE!</v>
      </c>
      <c r="AS115" s="369" t="e">
        <f aca="false">(AL115+AM115+AN115)</f>
        <v>#VALUE!</v>
      </c>
      <c r="AT115" s="370" t="e">
        <f aca="false">VLOOKUP(D115,CurveTbl,$AK$6)</f>
        <v>#VALUE!</v>
      </c>
      <c r="AU115" s="370" t="e">
        <f aca="false">(1+$AT115/2)^(-2*($D115-$G$5)/365.25)*$AF115</f>
        <v>#VALUE!</v>
      </c>
      <c r="AV115" s="506" t="e">
        <f aca="false">ROUND((F115/(1-AR115))-F115,0)*AF115*AH115*AU115</f>
        <v>#VALUE!</v>
      </c>
      <c r="AW115" s="370" t="e">
        <f aca="false">VLOOKUP($D115,CurveTbl,$AK$8)</f>
        <v>#VALUE!</v>
      </c>
      <c r="AX115" s="370" t="e">
        <f aca="false">VLOOKUP($D115,CurveTbl,$AH$7)</f>
        <v>#VALUE!</v>
      </c>
      <c r="AY115" s="370" t="e">
        <f aca="false">VLOOKUP($D115,CurveTbl,$AH$8)</f>
        <v>#VALUE!</v>
      </c>
      <c r="AZ115" s="370"/>
      <c r="BA115" s="507"/>
      <c r="BB115" s="505" t="e">
        <f aca="false">$H115-$BV115</f>
        <v>#VALUE!</v>
      </c>
      <c r="BC115" s="505" t="e">
        <f aca="false">I115-BW115</f>
        <v>#VALUE!</v>
      </c>
      <c r="BD115" s="370" t="e">
        <f aca="false">N115-BX115</f>
        <v>#VALUE!</v>
      </c>
      <c r="BE115" s="370" t="e">
        <f aca="false">O115-BY115</f>
        <v>#VALUE!</v>
      </c>
      <c r="BF115" s="370" t="e">
        <f aca="false">xSPRDOPT($BW115,$BV115,$CG115,0,$BY115,$BX115,$BZ115,$AJ115,1,4)*$CB115</f>
        <v>#NAME?</v>
      </c>
      <c r="BG115" s="370" t="e">
        <f aca="false">xSPRDOPT($BW115,$BV115,$CG115,0,$BY115,$BX115,$BZ115,$AJ115,1,3)*$CB115</f>
        <v>#NAME?</v>
      </c>
      <c r="BH115" s="370" t="e">
        <f aca="false">IF(OR(BF115&lt;&gt;0,BG115&lt;&gt;0),xSPRDOPT($BW115,$BV115,$CG115,0,$BY115,$BX115,$BZ115,$AJ115,1,12)*$CB115,0)</f>
        <v>#NAME?</v>
      </c>
      <c r="BI115" s="370" t="e">
        <f aca="false">xSPRDOPT($BW115,$BV115,$CG115,2*LN(1+CA115/2),$BY115,$BX115,$BZ115,$AJ115,1,9)</f>
        <v>#NAME?</v>
      </c>
      <c r="BJ115" s="370" t="e">
        <f aca="false">xSPRDOPT($BW115,$BV115,$CG115,0,$BY115,$BX115,$BZ115,$AJ115,1,6)*$CB115</f>
        <v>#NAME?</v>
      </c>
      <c r="BK115" s="370" t="e">
        <f aca="false">xSPRDOPT($BW115,$BV115,$CG115,0,$BY115,$BX115,$BZ115,$AJ115,1,5)*$CB115</f>
        <v>#NAME?</v>
      </c>
      <c r="BL115" s="370" t="e">
        <f aca="false">xSPRDOPT(BW115,BV115,CG115,0,BY115,BX115,BZ115,AJ115,1,2)*CB115</f>
        <v>#NAME?</v>
      </c>
      <c r="BM115" s="370" t="e">
        <f aca="false">xSPRDOPT(BW115,BV115,CG115,0,BY115,BX115,BZ115,AJ115,1,1)*CB115</f>
        <v>#NAME?</v>
      </c>
      <c r="BN115" s="370" t="e">
        <f aca="false">IF(AH115&lt;&gt;0,xSPRDOPT($BW115,$BV115,$CG115,2*LN(1+CA115/2),$BY115,$BX115,$BZ115,$AJ115,1,8)+(AJ115/365.25)*CH115/AH115,0)</f>
        <v>#VALUE!</v>
      </c>
      <c r="BO115" s="370" t="e">
        <f aca="false">xSPRDOPT($BW115,$BV115,$CG115,0,$BY115,$BX115,$BZ115,$AJ115,1,0)</f>
        <v>#NAME?</v>
      </c>
      <c r="BP115" s="370"/>
      <c r="BQ115" s="370"/>
      <c r="BR115" s="370"/>
      <c r="BS115" s="370"/>
      <c r="BV115" s="508" t="n">
        <v>3.25401606425703</v>
      </c>
      <c r="BW115" s="369" t="n">
        <v>3.251</v>
      </c>
      <c r="BX115" s="370" t="n">
        <v>0.54</v>
      </c>
      <c r="BY115" s="370" t="n">
        <v>0.54</v>
      </c>
      <c r="BZ115" s="370" t="n">
        <v>0</v>
      </c>
      <c r="CA115" s="370" t="n">
        <v>0.0232740649677528</v>
      </c>
      <c r="CB115" s="370" t="n">
        <v>0</v>
      </c>
      <c r="CC115" s="505" t="n">
        <v>0</v>
      </c>
      <c r="CD115" s="505" t="n">
        <v>0.03</v>
      </c>
      <c r="CE115" s="505" t="n">
        <v>0.04</v>
      </c>
      <c r="CF115" s="505" t="n">
        <v>0</v>
      </c>
      <c r="CG115" s="505" t="n">
        <v>0.0006</v>
      </c>
      <c r="CH115" s="505" t="n">
        <v>0</v>
      </c>
      <c r="CI115" s="505" t="n">
        <v>3.211</v>
      </c>
      <c r="CJ115" s="505"/>
      <c r="CK115" s="505"/>
      <c r="CL115" s="505"/>
      <c r="CM115" s="505"/>
    </row>
    <row r="116" customFormat="false" ht="12.75" hidden="false" customHeight="false" outlineLevel="0" collapsed="false">
      <c r="A116" s="500"/>
      <c r="B116" s="500"/>
      <c r="D116" s="361" t="e">
        <f aca="false">D115+AH115</f>
        <v>#VALUE!</v>
      </c>
      <c r="F116" s="362" t="e">
        <f aca="false">VLOOKUP(AG116,$AL$4:$AS$15,2)</f>
        <v>#VALUE!</v>
      </c>
      <c r="G116" s="362" t="e">
        <f aca="false">F116*$AU116</f>
        <v>#VALUE!</v>
      </c>
      <c r="H116" s="363" t="e">
        <f aca="false">(AL116+AM116+AN116)/(1-(AR116))</f>
        <v>#VALUE!</v>
      </c>
      <c r="I116" s="363" t="e">
        <f aca="false">(AL116+AO116+AP116)</f>
        <v>#VALUE!</v>
      </c>
      <c r="K116" s="363" t="e">
        <f aca="false">MAX(((I116-H116)-AQ116)*AU116*AH116,0)</f>
        <v>#VALUE!</v>
      </c>
      <c r="L116" s="501" t="e">
        <f aca="false">MAX(Q116-K116,0)</f>
        <v>#VALUE!</v>
      </c>
      <c r="N116" s="502" t="e">
        <f aca="false">SQRT(($AX116^2*($AH116/2)+$AW116^2*$AI116)/(($AH116/2)+$AI116))</f>
        <v>#VALUE!</v>
      </c>
      <c r="O116" s="502" t="e">
        <f aca="false">SQRT(($AY116^2*($AH116/2)+$AW116^2*$AI116)/(($AH116/2)+$AI116))</f>
        <v>#VALUE!</v>
      </c>
      <c r="P116" s="371" t="e">
        <f aca="false">(VLOOKUP(AI116,CorrelationTwo,2)*(AW116^2)*AI116+VLOOKUP(D116,CorrelationOne,$AK$9)*AX116*AY116*(AH116/2))/((AI116+(AH116/2))*O116*N116)*AF116</f>
        <v>#VALUE!</v>
      </c>
      <c r="Q116" s="501" t="e">
        <f aca="false">xSPRDOPT(I116,H116,AQ116,0,O116,N116,P116,D116-$G$5,1,0)*AH116*AU116</f>
        <v>#VALUE!</v>
      </c>
      <c r="R116" s="501"/>
      <c r="S116" s="365" t="e">
        <f aca="false">xSPRDOPT(I116,H116,AQ116,AT116,O116,N116,P116,D116-$G$5,1,2)*AF116*(F116/(1-AR116))*AH116</f>
        <v>#VALUE!</v>
      </c>
      <c r="T116" s="365" t="e">
        <f aca="false">xSPRDOPT(I116,H116,AQ116,AT116,O116,N116,P116,D116-$G$5,1,1)*AF116*F116*AH116</f>
        <v>#VALUE!</v>
      </c>
      <c r="U116" s="501"/>
      <c r="V116" s="503" t="e">
        <f aca="false">VLOOKUP($AG116,$AL$4:$AS$15,8)*AH116*AU116</f>
        <v>#VALUE!</v>
      </c>
      <c r="W116" s="503"/>
      <c r="X116" s="504" t="e">
        <f aca="false">((BM116*BC116)+(BL116*BB116))*AH116*F116</f>
        <v>#VALUE!</v>
      </c>
      <c r="Y116" s="504" t="e">
        <f aca="false">($F116*$AH116)*((($BG116/2)*($BC116)^2)+(($BF116/2)*($BB116)^2)+($BH116*$BC116*$BB116))</f>
        <v>#VALUE!</v>
      </c>
      <c r="Z116" s="504" t="e">
        <f aca="false">($BI116*$F116*$AH116*($G$5-$BV$5))/365.25</f>
        <v>#VALUE!</v>
      </c>
      <c r="AA116" s="504" t="e">
        <f aca="false">(($BK116*$BE116)+($BJ116*$BD116))*$F116*$AH116*$AF116</f>
        <v>#VALUE!</v>
      </c>
      <c r="AB116" s="504" t="e">
        <f aca="false">BN116*(AT116-CA116)*F116*AH116</f>
        <v>#VALUE!</v>
      </c>
      <c r="AC116" s="504" t="e">
        <f aca="false">BO116*CB116*F116*AH116*CA116*($G$5-$BV$5)/365.25</f>
        <v>#NAME?</v>
      </c>
      <c r="AF116" s="378" t="e">
        <f aca="false">IF(AND(D116&gt;=$G$7,D116&lt;=$G$8),1,0)</f>
        <v>#VALUE!</v>
      </c>
      <c r="AG116" s="378" t="e">
        <f aca="false">MONTH(D116)</f>
        <v>#VALUE!</v>
      </c>
      <c r="AH116" s="378" t="e">
        <f aca="false">(EOMONTH(D116,0)-EOMONTH(D116-DAY(D116),0))*AF116</f>
        <v>#VALUE!</v>
      </c>
      <c r="AI116" s="378" t="e">
        <f aca="false">AI115+AH115</f>
        <v>#VALUE!</v>
      </c>
      <c r="AJ116" s="378" t="e">
        <f aca="false">D116-$BV$5</f>
        <v>#VALUE!</v>
      </c>
      <c r="AL116" s="369" t="e">
        <f aca="false">VLOOKUP($D116,CurveTbl,$AK$4)</f>
        <v>#VALUE!</v>
      </c>
      <c r="AM116" s="505" t="e">
        <f aca="false">VLOOKUP($D116,CurveTbl,$AH$3)</f>
        <v>#VALUE!</v>
      </c>
      <c r="AN116" s="505" t="e">
        <f aca="false">VLOOKUP($D116,CurveTbl,$AH$4)+VLOOKUP($AG116,$AL$3:$AS$15,6)</f>
        <v>#VALUE!</v>
      </c>
      <c r="AO116" s="505" t="e">
        <f aca="false">VLOOKUP($D116,CurveTbl,$AH$5)</f>
        <v>#VALUE!</v>
      </c>
      <c r="AP116" s="505" t="e">
        <f aca="false">VLOOKUP($D116,CurveTbl,$AH$6)+VLOOKUP($AG116,$AL$3:$AS$15,7)</f>
        <v>#VALUE!</v>
      </c>
      <c r="AQ116" s="369" t="e">
        <f aca="false">VLOOKUP($AG116,$AL$4:$AS$15,3)+VLOOKUP($AG116,$AL$4:$AS$15,5)+($AH$10*VLOOKUP(D116,GRITable,2))</f>
        <v>#VALUE!</v>
      </c>
      <c r="AR116" s="370" t="e">
        <f aca="false">VLOOKUP($AG116,$AL$4:$AS$15,4)</f>
        <v>#VALUE!</v>
      </c>
      <c r="AS116" s="369" t="e">
        <f aca="false">(AL116+AM116+AN116)</f>
        <v>#VALUE!</v>
      </c>
      <c r="AT116" s="370" t="e">
        <f aca="false">VLOOKUP(D116,CurveTbl,$AK$6)</f>
        <v>#VALUE!</v>
      </c>
      <c r="AU116" s="370" t="e">
        <f aca="false">(1+$AT116/2)^(-2*($D116-$G$5)/365.25)*$AF116</f>
        <v>#VALUE!</v>
      </c>
      <c r="AV116" s="506" t="e">
        <f aca="false">ROUND((F116/(1-AR116))-F116,0)*AF116*AH116*AU116</f>
        <v>#VALUE!</v>
      </c>
      <c r="AW116" s="370" t="e">
        <f aca="false">VLOOKUP($D116,CurveTbl,$AK$8)</f>
        <v>#VALUE!</v>
      </c>
      <c r="AX116" s="370" t="e">
        <f aca="false">VLOOKUP($D116,CurveTbl,$AH$7)</f>
        <v>#VALUE!</v>
      </c>
      <c r="AY116" s="370" t="e">
        <f aca="false">VLOOKUP($D116,CurveTbl,$AH$8)</f>
        <v>#VALUE!</v>
      </c>
      <c r="AZ116" s="370"/>
      <c r="BA116" s="507"/>
      <c r="BB116" s="505" t="e">
        <f aca="false">$H116-$BV116</f>
        <v>#VALUE!</v>
      </c>
      <c r="BC116" s="505" t="e">
        <f aca="false">I116-BW116</f>
        <v>#VALUE!</v>
      </c>
      <c r="BD116" s="370" t="e">
        <f aca="false">N116-BX116</f>
        <v>#VALUE!</v>
      </c>
      <c r="BE116" s="370" t="e">
        <f aca="false">O116-BY116</f>
        <v>#VALUE!</v>
      </c>
      <c r="BF116" s="370" t="e">
        <f aca="false">xSPRDOPT($BW116,$BV116,$CG116,0,$BY116,$BX116,$BZ116,$AJ116,1,4)*$CB116</f>
        <v>#NAME?</v>
      </c>
      <c r="BG116" s="370" t="e">
        <f aca="false">xSPRDOPT($BW116,$BV116,$CG116,0,$BY116,$BX116,$BZ116,$AJ116,1,3)*$CB116</f>
        <v>#NAME?</v>
      </c>
      <c r="BH116" s="370" t="e">
        <f aca="false">IF(OR(BF116&lt;&gt;0,BG116&lt;&gt;0),xSPRDOPT($BW116,$BV116,$CG116,0,$BY116,$BX116,$BZ116,$AJ116,1,12)*$CB116,0)</f>
        <v>#NAME?</v>
      </c>
      <c r="BI116" s="370" t="e">
        <f aca="false">xSPRDOPT($BW116,$BV116,$CG116,2*LN(1+CA116/2),$BY116,$BX116,$BZ116,$AJ116,1,9)</f>
        <v>#NAME?</v>
      </c>
      <c r="BJ116" s="370" t="e">
        <f aca="false">xSPRDOPT($BW116,$BV116,$CG116,0,$BY116,$BX116,$BZ116,$AJ116,1,6)*$CB116</f>
        <v>#NAME?</v>
      </c>
      <c r="BK116" s="370" t="e">
        <f aca="false">xSPRDOPT($BW116,$BV116,$CG116,0,$BY116,$BX116,$BZ116,$AJ116,1,5)*$CB116</f>
        <v>#NAME?</v>
      </c>
      <c r="BL116" s="370" t="e">
        <f aca="false">xSPRDOPT(BW116,BV116,CG116,0,BY116,BX116,BZ116,AJ116,1,2)*CB116</f>
        <v>#NAME?</v>
      </c>
      <c r="BM116" s="370" t="e">
        <f aca="false">xSPRDOPT(BW116,BV116,CG116,0,BY116,BX116,BZ116,AJ116,1,1)*CB116</f>
        <v>#NAME?</v>
      </c>
      <c r="BN116" s="370" t="e">
        <f aca="false">IF(AH116&lt;&gt;0,xSPRDOPT($BW116,$BV116,$CG116,2*LN(1+CA116/2),$BY116,$BX116,$BZ116,$AJ116,1,8)+(AJ116/365.25)*CH116/AH116,0)</f>
        <v>#VALUE!</v>
      </c>
      <c r="BO116" s="370" t="e">
        <f aca="false">xSPRDOPT($BW116,$BV116,$CG116,0,$BY116,$BX116,$BZ116,$AJ116,1,0)</f>
        <v>#NAME?</v>
      </c>
      <c r="BP116" s="370"/>
      <c r="BQ116" s="370"/>
      <c r="BR116" s="370"/>
      <c r="BS116" s="370"/>
      <c r="BV116" s="508" t="n">
        <v>3.25401606425703</v>
      </c>
      <c r="BW116" s="369" t="n">
        <v>3.251</v>
      </c>
      <c r="BX116" s="370" t="n">
        <v>0.54</v>
      </c>
      <c r="BY116" s="370" t="n">
        <v>0.54</v>
      </c>
      <c r="BZ116" s="370" t="n">
        <v>0</v>
      </c>
      <c r="CA116" s="370" t="n">
        <v>0.0232740649677528</v>
      </c>
      <c r="CB116" s="370" t="n">
        <v>0</v>
      </c>
      <c r="CC116" s="505" t="n">
        <v>0</v>
      </c>
      <c r="CD116" s="505" t="n">
        <v>0.03</v>
      </c>
      <c r="CE116" s="505" t="n">
        <v>0.04</v>
      </c>
      <c r="CF116" s="505" t="n">
        <v>0</v>
      </c>
      <c r="CG116" s="505" t="n">
        <v>0.0006</v>
      </c>
      <c r="CH116" s="505" t="n">
        <v>0</v>
      </c>
      <c r="CI116" s="505" t="n">
        <v>3.211</v>
      </c>
      <c r="CJ116" s="505"/>
      <c r="CK116" s="505"/>
      <c r="CL116" s="505"/>
      <c r="CM116" s="505"/>
    </row>
    <row r="117" customFormat="false" ht="12.75" hidden="false" customHeight="false" outlineLevel="0" collapsed="false">
      <c r="A117" s="500"/>
      <c r="B117" s="500"/>
      <c r="D117" s="361" t="e">
        <f aca="false">D116+AH116</f>
        <v>#VALUE!</v>
      </c>
      <c r="F117" s="362" t="e">
        <f aca="false">VLOOKUP(AG117,$AL$4:$AS$15,2)</f>
        <v>#VALUE!</v>
      </c>
      <c r="G117" s="362" t="e">
        <f aca="false">F117*$AU117</f>
        <v>#VALUE!</v>
      </c>
      <c r="H117" s="363" t="e">
        <f aca="false">(AL117+AM117+AN117)/(1-(AR117))</f>
        <v>#VALUE!</v>
      </c>
      <c r="I117" s="363" t="e">
        <f aca="false">(AL117+AO117+AP117)</f>
        <v>#VALUE!</v>
      </c>
      <c r="K117" s="363" t="e">
        <f aca="false">MAX(((I117-H117)-AQ117)*AU117*AH117,0)</f>
        <v>#VALUE!</v>
      </c>
      <c r="L117" s="501" t="e">
        <f aca="false">MAX(Q117-K117,0)</f>
        <v>#VALUE!</v>
      </c>
      <c r="N117" s="502" t="e">
        <f aca="false">SQRT(($AX117^2*($AH117/2)+$AW117^2*$AI117)/(($AH117/2)+$AI117))</f>
        <v>#VALUE!</v>
      </c>
      <c r="O117" s="502" t="e">
        <f aca="false">SQRT(($AY117^2*($AH117/2)+$AW117^2*$AI117)/(($AH117/2)+$AI117))</f>
        <v>#VALUE!</v>
      </c>
      <c r="P117" s="371" t="e">
        <f aca="false">(VLOOKUP(AI117,CorrelationTwo,2)*(AW117^2)*AI117+VLOOKUP(D117,CorrelationOne,$AK$9)*AX117*AY117*(AH117/2))/((AI117+(AH117/2))*O117*N117)*AF117</f>
        <v>#VALUE!</v>
      </c>
      <c r="Q117" s="501" t="e">
        <f aca="false">xSPRDOPT(I117,H117,AQ117,0,O117,N117,P117,D117-$G$5,1,0)*AH117*AU117</f>
        <v>#VALUE!</v>
      </c>
      <c r="R117" s="501"/>
      <c r="S117" s="365" t="e">
        <f aca="false">xSPRDOPT(I117,H117,AQ117,AT117,O117,N117,P117,D117-$G$5,1,2)*AF117*(F117/(1-AR117))*AH117</f>
        <v>#VALUE!</v>
      </c>
      <c r="T117" s="365" t="e">
        <f aca="false">xSPRDOPT(I117,H117,AQ117,AT117,O117,N117,P117,D117-$G$5,1,1)*AF117*F117*AH117</f>
        <v>#VALUE!</v>
      </c>
      <c r="U117" s="501"/>
      <c r="V117" s="503" t="e">
        <f aca="false">VLOOKUP($AG117,$AL$4:$AS$15,8)*AH117*AU117</f>
        <v>#VALUE!</v>
      </c>
      <c r="W117" s="503"/>
      <c r="X117" s="504" t="e">
        <f aca="false">((BM117*BC117)+(BL117*BB117))*AH117*F117</f>
        <v>#VALUE!</v>
      </c>
      <c r="Y117" s="504" t="e">
        <f aca="false">($F117*$AH117)*((($BG117/2)*($BC117)^2)+(($BF117/2)*($BB117)^2)+($BH117*$BC117*$BB117))</f>
        <v>#VALUE!</v>
      </c>
      <c r="Z117" s="504" t="e">
        <f aca="false">($BI117*$F117*$AH117*($G$5-$BV$5))/365.25</f>
        <v>#VALUE!</v>
      </c>
      <c r="AA117" s="504" t="e">
        <f aca="false">(($BK117*$BE117)+($BJ117*$BD117))*$F117*$AH117*$AF117</f>
        <v>#VALUE!</v>
      </c>
      <c r="AB117" s="504" t="e">
        <f aca="false">BN117*(AT117-CA117)*F117*AH117</f>
        <v>#VALUE!</v>
      </c>
      <c r="AC117" s="504" t="e">
        <f aca="false">BO117*CB117*F117*AH117*CA117*($G$5-$BV$5)/365.25</f>
        <v>#NAME?</v>
      </c>
      <c r="AF117" s="378" t="e">
        <f aca="false">IF(AND(D117&gt;=$G$7,D117&lt;=$G$8),1,0)</f>
        <v>#VALUE!</v>
      </c>
      <c r="AG117" s="378" t="e">
        <f aca="false">MONTH(D117)</f>
        <v>#VALUE!</v>
      </c>
      <c r="AH117" s="378" t="e">
        <f aca="false">(EOMONTH(D117,0)-EOMONTH(D117-DAY(D117),0))*AF117</f>
        <v>#VALUE!</v>
      </c>
      <c r="AI117" s="378" t="e">
        <f aca="false">AI116+AH116</f>
        <v>#VALUE!</v>
      </c>
      <c r="AJ117" s="378" t="e">
        <f aca="false">D117-$BV$5</f>
        <v>#VALUE!</v>
      </c>
      <c r="AL117" s="369" t="e">
        <f aca="false">VLOOKUP($D117,CurveTbl,$AK$4)</f>
        <v>#VALUE!</v>
      </c>
      <c r="AM117" s="505" t="e">
        <f aca="false">VLOOKUP($D117,CurveTbl,$AH$3)</f>
        <v>#VALUE!</v>
      </c>
      <c r="AN117" s="505" t="e">
        <f aca="false">VLOOKUP($D117,CurveTbl,$AH$4)+VLOOKUP($AG117,$AL$3:$AS$15,6)</f>
        <v>#VALUE!</v>
      </c>
      <c r="AO117" s="505" t="e">
        <f aca="false">VLOOKUP($D117,CurveTbl,$AH$5)</f>
        <v>#VALUE!</v>
      </c>
      <c r="AP117" s="505" t="e">
        <f aca="false">VLOOKUP($D117,CurveTbl,$AH$6)+VLOOKUP($AG117,$AL$3:$AS$15,7)</f>
        <v>#VALUE!</v>
      </c>
      <c r="AQ117" s="369" t="e">
        <f aca="false">VLOOKUP($AG117,$AL$4:$AS$15,3)+VLOOKUP($AG117,$AL$4:$AS$15,5)+($AH$10*VLOOKUP(D117,GRITable,2))</f>
        <v>#VALUE!</v>
      </c>
      <c r="AR117" s="370" t="e">
        <f aca="false">VLOOKUP($AG117,$AL$4:$AS$15,4)</f>
        <v>#VALUE!</v>
      </c>
      <c r="AS117" s="369" t="e">
        <f aca="false">(AL117+AM117+AN117)</f>
        <v>#VALUE!</v>
      </c>
      <c r="AT117" s="370" t="e">
        <f aca="false">VLOOKUP(D117,CurveTbl,$AK$6)</f>
        <v>#VALUE!</v>
      </c>
      <c r="AU117" s="370" t="e">
        <f aca="false">(1+$AT117/2)^(-2*($D117-$G$5)/365.25)*$AF117</f>
        <v>#VALUE!</v>
      </c>
      <c r="AV117" s="506" t="e">
        <f aca="false">ROUND((F117/(1-AR117))-F117,0)*AF117*AH117*AU117</f>
        <v>#VALUE!</v>
      </c>
      <c r="AW117" s="370" t="e">
        <f aca="false">VLOOKUP($D117,CurveTbl,$AK$8)</f>
        <v>#VALUE!</v>
      </c>
      <c r="AX117" s="370" t="e">
        <f aca="false">VLOOKUP($D117,CurveTbl,$AH$7)</f>
        <v>#VALUE!</v>
      </c>
      <c r="AY117" s="370" t="e">
        <f aca="false">VLOOKUP($D117,CurveTbl,$AH$8)</f>
        <v>#VALUE!</v>
      </c>
      <c r="AZ117" s="370"/>
      <c r="BA117" s="507"/>
      <c r="BB117" s="505" t="e">
        <f aca="false">$H117-$BV117</f>
        <v>#VALUE!</v>
      </c>
      <c r="BC117" s="505" t="e">
        <f aca="false">I117-BW117</f>
        <v>#VALUE!</v>
      </c>
      <c r="BD117" s="370" t="e">
        <f aca="false">N117-BX117</f>
        <v>#VALUE!</v>
      </c>
      <c r="BE117" s="370" t="e">
        <f aca="false">O117-BY117</f>
        <v>#VALUE!</v>
      </c>
      <c r="BF117" s="370" t="e">
        <f aca="false">xSPRDOPT($BW117,$BV117,$CG117,0,$BY117,$BX117,$BZ117,$AJ117,1,4)*$CB117</f>
        <v>#NAME?</v>
      </c>
      <c r="BG117" s="370" t="e">
        <f aca="false">xSPRDOPT($BW117,$BV117,$CG117,0,$BY117,$BX117,$BZ117,$AJ117,1,3)*$CB117</f>
        <v>#NAME?</v>
      </c>
      <c r="BH117" s="370" t="e">
        <f aca="false">IF(OR(BF117&lt;&gt;0,BG117&lt;&gt;0),xSPRDOPT($BW117,$BV117,$CG117,0,$BY117,$BX117,$BZ117,$AJ117,1,12)*$CB117,0)</f>
        <v>#NAME?</v>
      </c>
      <c r="BI117" s="370" t="e">
        <f aca="false">xSPRDOPT($BW117,$BV117,$CG117,2*LN(1+CA117/2),$BY117,$BX117,$BZ117,$AJ117,1,9)</f>
        <v>#NAME?</v>
      </c>
      <c r="BJ117" s="370" t="e">
        <f aca="false">xSPRDOPT($BW117,$BV117,$CG117,0,$BY117,$BX117,$BZ117,$AJ117,1,6)*$CB117</f>
        <v>#NAME?</v>
      </c>
      <c r="BK117" s="370" t="e">
        <f aca="false">xSPRDOPT($BW117,$BV117,$CG117,0,$BY117,$BX117,$BZ117,$AJ117,1,5)*$CB117</f>
        <v>#NAME?</v>
      </c>
      <c r="BL117" s="370" t="e">
        <f aca="false">xSPRDOPT(BW117,BV117,CG117,0,BY117,BX117,BZ117,AJ117,1,2)*CB117</f>
        <v>#NAME?</v>
      </c>
      <c r="BM117" s="370" t="e">
        <f aca="false">xSPRDOPT(BW117,BV117,CG117,0,BY117,BX117,BZ117,AJ117,1,1)*CB117</f>
        <v>#NAME?</v>
      </c>
      <c r="BN117" s="370" t="e">
        <f aca="false">IF(AH117&lt;&gt;0,xSPRDOPT($BW117,$BV117,$CG117,2*LN(1+CA117/2),$BY117,$BX117,$BZ117,$AJ117,1,8)+(AJ117/365.25)*CH117/AH117,0)</f>
        <v>#VALUE!</v>
      </c>
      <c r="BO117" s="370" t="e">
        <f aca="false">xSPRDOPT($BW117,$BV117,$CG117,0,$BY117,$BX117,$BZ117,$AJ117,1,0)</f>
        <v>#NAME?</v>
      </c>
      <c r="BP117" s="370"/>
      <c r="BQ117" s="370"/>
      <c r="BR117" s="370"/>
      <c r="BS117" s="370"/>
      <c r="BV117" s="508" t="n">
        <v>3.25401606425703</v>
      </c>
      <c r="BW117" s="369" t="n">
        <v>3.251</v>
      </c>
      <c r="BX117" s="370" t="n">
        <v>0.54</v>
      </c>
      <c r="BY117" s="370" t="n">
        <v>0.54</v>
      </c>
      <c r="BZ117" s="370" t="n">
        <v>0</v>
      </c>
      <c r="CA117" s="370" t="n">
        <v>0.0232740649677528</v>
      </c>
      <c r="CB117" s="370" t="n">
        <v>0</v>
      </c>
      <c r="CC117" s="505" t="n">
        <v>0</v>
      </c>
      <c r="CD117" s="505" t="n">
        <v>0.03</v>
      </c>
      <c r="CE117" s="505" t="n">
        <v>0.04</v>
      </c>
      <c r="CF117" s="505" t="n">
        <v>0</v>
      </c>
      <c r="CG117" s="505" t="n">
        <v>0.0006</v>
      </c>
      <c r="CH117" s="505" t="n">
        <v>0</v>
      </c>
      <c r="CI117" s="505" t="n">
        <v>3.211</v>
      </c>
      <c r="CJ117" s="505"/>
      <c r="CK117" s="505"/>
      <c r="CL117" s="505"/>
      <c r="CM117" s="505"/>
    </row>
    <row r="118" customFormat="false" ht="12.75" hidden="false" customHeight="false" outlineLevel="0" collapsed="false">
      <c r="A118" s="500"/>
      <c r="B118" s="500"/>
    </row>
    <row r="119" customFormat="false" ht="12.75" hidden="false" customHeight="false" outlineLevel="0" collapsed="false">
      <c r="A119" s="500"/>
      <c r="B119" s="500"/>
    </row>
    <row r="120" customFormat="false" ht="12.75" hidden="false" customHeight="false" outlineLevel="0" collapsed="false">
      <c r="A120" s="500"/>
      <c r="B120" s="500"/>
    </row>
    <row r="121" customFormat="false" ht="12.75" hidden="false" customHeight="false" outlineLevel="0" collapsed="false">
      <c r="A121" s="500"/>
      <c r="B121" s="500"/>
    </row>
    <row r="122" customFormat="false" ht="12.75" hidden="false" customHeight="false" outlineLevel="0" collapsed="false">
      <c r="A122" s="500"/>
      <c r="B122" s="500"/>
    </row>
    <row r="123" customFormat="false" ht="12.75" hidden="false" customHeight="false" outlineLevel="0" collapsed="false">
      <c r="A123" s="500"/>
      <c r="B123" s="500"/>
    </row>
    <row r="124" customFormat="false" ht="12.75" hidden="false" customHeight="false" outlineLevel="0" collapsed="false">
      <c r="A124" s="500"/>
      <c r="B124" s="500"/>
    </row>
    <row r="125" customFormat="false" ht="12.75" hidden="false" customHeight="false" outlineLevel="0" collapsed="false">
      <c r="A125" s="500"/>
      <c r="B125" s="500"/>
    </row>
    <row r="126" customFormat="false" ht="12.75" hidden="false" customHeight="false" outlineLevel="0" collapsed="false">
      <c r="A126" s="500"/>
      <c r="B126" s="500"/>
    </row>
    <row r="127" customFormat="false" ht="12.75" hidden="false" customHeight="false" outlineLevel="0" collapsed="false">
      <c r="A127" s="500"/>
      <c r="B127" s="500"/>
    </row>
    <row r="128" customFormat="false" ht="12.75" hidden="false" customHeight="false" outlineLevel="0" collapsed="false">
      <c r="A128" s="500"/>
      <c r="B128" s="500"/>
    </row>
    <row r="129" customFormat="false" ht="12.75" hidden="false" customHeight="false" outlineLevel="0" collapsed="false">
      <c r="A129" s="500"/>
      <c r="B129" s="500"/>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126"/>
  <sheetViews>
    <sheetView showFormulas="false" showGridLines="true" showRowColHeaders="true" showZeros="true" rightToLeft="false" tabSelected="false" showOutlineSymbols="true" defaultGridColor="true" view="normal" topLeftCell="G92" colorId="64" zoomScale="80" zoomScaleNormal="80" zoomScalePageLayoutView="100" workbookViewId="0">
      <selection pane="topLeft" activeCell="C85" activeCellId="0" sqref="C85:AC127"/>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9.28"/>
    <col collapsed="false" customWidth="true" hidden="false" outlineLevel="0" max="6" min="6" style="96" width="32.7"/>
    <col collapsed="false" customWidth="true" hidden="false" outlineLevel="0" max="7" min="7" style="97" width="30.7"/>
    <col collapsed="false" customWidth="true" hidden="false" outlineLevel="0" max="12" min="8" style="98" width="13.7"/>
    <col collapsed="false" customWidth="true" hidden="false" outlineLevel="0" max="13" min="13" style="98" width="3.7"/>
    <col collapsed="false" customWidth="true" hidden="false" outlineLevel="0" max="15" min="14" style="98" width="13.7"/>
    <col collapsed="false" customWidth="true" hidden="false" outlineLevel="0" max="16" min="16" style="98" width="3.7"/>
    <col collapsed="false" customWidth="true" hidden="false" outlineLevel="0" max="19" min="17" style="98" width="13.7"/>
    <col collapsed="false" customWidth="true" hidden="false" outlineLevel="0" max="20" min="20" style="98" width="3.7"/>
    <col collapsed="false" customWidth="true" hidden="false" outlineLevel="0" max="21" min="21" style="99" width="13.7"/>
    <col collapsed="false" customWidth="true" hidden="false" outlineLevel="0" max="22" min="22" style="95" width="13.7"/>
    <col collapsed="false" customWidth="true" hidden="false" outlineLevel="0" max="23" min="23" style="95" width="3.7"/>
    <col collapsed="false" customWidth="true" hidden="false" outlineLevel="0" max="24" min="24" style="95" width="13.7"/>
    <col collapsed="false" customWidth="true" hidden="false" outlineLevel="0" max="26" min="25" style="95" width="11.7"/>
    <col collapsed="false" customWidth="true" hidden="false" outlineLevel="0" max="27" min="27" style="95" width="12.7"/>
    <col collapsed="false" customWidth="true" hidden="false" outlineLevel="0" max="29" min="28" style="95" width="11.7"/>
    <col collapsed="false" customWidth="false" hidden="false" outlineLevel="0" max="257" min="30" style="95" width="9.14"/>
  </cols>
  <sheetData>
    <row r="1" customFormat="false" ht="12.75" hidden="false" customHeight="false" outlineLevel="0" collapsed="false">
      <c r="A1" s="19" t="s">
        <v>208</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ADDRESS(ROW($C$7),COLUMN($C$7))</f>
        <v>$C$7</v>
      </c>
      <c r="E3" s="100" t="s">
        <v>209</v>
      </c>
      <c r="F3" s="101" t="s">
        <v>210</v>
      </c>
    </row>
    <row r="4" customFormat="false" ht="12.75" hidden="false" customHeight="false" outlineLevel="0" collapsed="false">
      <c r="A4" s="19" t="str">
        <f aca="false">ADDRESS(ROW($F$4),COLUMN($F$4))</f>
        <v>$F$4</v>
      </c>
      <c r="E4" s="100" t="s">
        <v>211</v>
      </c>
      <c r="F4" s="101" t="n">
        <v>1</v>
      </c>
    </row>
    <row r="7" customFormat="false" ht="18.75" hidden="false" customHeight="false" outlineLevel="0" collapsed="false">
      <c r="E7" s="102" t="s">
        <v>212</v>
      </c>
      <c r="U7" s="98"/>
      <c r="V7" s="98"/>
      <c r="W7" s="98"/>
      <c r="X7" s="98"/>
      <c r="Y7" s="98"/>
      <c r="Z7" s="98"/>
      <c r="AA7" s="98"/>
      <c r="AB7" s="98"/>
      <c r="AC7" s="98"/>
      <c r="AD7" s="98"/>
      <c r="AE7" s="99"/>
    </row>
    <row r="8" customFormat="false" ht="12.75" hidden="false" customHeight="true" outlineLevel="0" collapsed="false">
      <c r="A8" s="103"/>
      <c r="B8" s="103"/>
      <c r="C8" s="104" t="s">
        <v>213</v>
      </c>
      <c r="E8" s="105"/>
      <c r="F8" s="106"/>
      <c r="G8" s="107" t="s">
        <v>214</v>
      </c>
      <c r="H8" s="108" t="s">
        <v>215</v>
      </c>
      <c r="I8" s="109" t="s">
        <v>216</v>
      </c>
      <c r="J8" s="109" t="s">
        <v>217</v>
      </c>
      <c r="K8" s="109" t="s">
        <v>218</v>
      </c>
      <c r="L8" s="110" t="s">
        <v>219</v>
      </c>
      <c r="N8" s="108" t="s">
        <v>220</v>
      </c>
      <c r="O8" s="111" t="s">
        <v>221</v>
      </c>
      <c r="Q8" s="108" t="s">
        <v>222</v>
      </c>
      <c r="R8" s="109" t="s">
        <v>223</v>
      </c>
      <c r="S8" s="111" t="s">
        <v>224</v>
      </c>
      <c r="U8" s="108" t="s">
        <v>225</v>
      </c>
      <c r="V8" s="111" t="s">
        <v>226</v>
      </c>
      <c r="W8" s="98"/>
      <c r="X8" s="108" t="s">
        <v>227</v>
      </c>
      <c r="Y8" s="109" t="s">
        <v>228</v>
      </c>
      <c r="Z8" s="109" t="s">
        <v>229</v>
      </c>
      <c r="AA8" s="109" t="s">
        <v>230</v>
      </c>
      <c r="AB8" s="109" t="s">
        <v>231</v>
      </c>
      <c r="AC8" s="110" t="s">
        <v>232</v>
      </c>
      <c r="AD8" s="98"/>
      <c r="AE8" s="98"/>
      <c r="AF8" s="98"/>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true" outlineLevel="0" collapsed="false">
      <c r="A9" s="103"/>
      <c r="B9" s="103"/>
      <c r="C9" s="104"/>
      <c r="E9" s="112" t="s">
        <v>13</v>
      </c>
      <c r="F9" s="113" t="s">
        <v>233</v>
      </c>
      <c r="G9" s="114" t="s">
        <v>234</v>
      </c>
      <c r="H9" s="108"/>
      <c r="I9" s="109" t="s">
        <v>216</v>
      </c>
      <c r="J9" s="109"/>
      <c r="K9" s="109"/>
      <c r="L9" s="110"/>
      <c r="N9" s="108"/>
      <c r="O9" s="111"/>
      <c r="Q9" s="108"/>
      <c r="R9" s="109"/>
      <c r="S9" s="111"/>
      <c r="U9" s="108"/>
      <c r="V9" s="111"/>
      <c r="W9" s="98"/>
      <c r="X9" s="108"/>
      <c r="Y9" s="109"/>
      <c r="Z9" s="109"/>
      <c r="AA9" s="109"/>
      <c r="AB9" s="109"/>
      <c r="AC9" s="110"/>
      <c r="AD9" s="98"/>
      <c r="AE9" s="98"/>
      <c r="AF9" s="98"/>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1</v>
      </c>
      <c r="E10" s="116" t="e">
        <f aca="false">GetPipeName($AH10,$AL10)</f>
        <v>#VALUE!</v>
      </c>
      <c r="F10" s="117" t="e">
        <f aca="false">CONCATENATE(GetRcptPoint($AH10,$AL10)," to ",GetDelPoint($AH10,$AL10))</f>
        <v>#VALUE!</v>
      </c>
      <c r="G10" s="118" t="e">
        <f aca="false">GetRcptBasis($AH10,$AL10)</f>
        <v>#VALUE!</v>
      </c>
      <c r="H10" s="119" t="e">
        <f aca="false">GetTodayAsset($AI10)</f>
        <v>#VALUE!</v>
      </c>
      <c r="I10" s="120" t="e">
        <f aca="false">GetTodayDemand($AI10)</f>
        <v>#VALUE!</v>
      </c>
      <c r="J10" s="120" t="e">
        <f aca="false">H10-I10</f>
        <v>#VALUE!</v>
      </c>
      <c r="K10" s="120" t="e">
        <f aca="false">GetYesterdayPL($AI10)</f>
        <v>#VALUE!</v>
      </c>
      <c r="L10" s="121" t="e">
        <f aca="false">J10-K10</f>
        <v>#VALUE!</v>
      </c>
      <c r="N10" s="119" t="e">
        <f aca="false">GetTodayIntrinsic($AI10)</f>
        <v>#VALUE!</v>
      </c>
      <c r="O10" s="121" t="e">
        <f aca="false">GetTodayExtrinsic($AI10)</f>
        <v>#VALUE!</v>
      </c>
      <c r="Q10" s="119" t="e">
        <f aca="false">GetPriceChange($AI10)</f>
        <v>#VALUE!</v>
      </c>
      <c r="R10" s="120" t="e">
        <f aca="false">GetBasisChange($AI10)</f>
        <v>#VALUE!</v>
      </c>
      <c r="S10" s="121" t="e">
        <f aca="false">GetIndexChange($AI10)</f>
        <v>#VALUE!</v>
      </c>
      <c r="T10" s="122"/>
      <c r="U10" s="119" t="e">
        <f aca="false">GetFuelChange($AI10)</f>
        <v>#VALUE!</v>
      </c>
      <c r="V10" s="123" t="e">
        <f aca="false">GetVarChrgChange($AI10)</f>
        <v>#VALUE!</v>
      </c>
      <c r="W10" s="98"/>
      <c r="X10" s="119" t="e">
        <f aca="false">GetDelta($AI10)</f>
        <v>#VALUE!</v>
      </c>
      <c r="Y10" s="120" t="e">
        <f aca="false">GetGamma($AI10)</f>
        <v>#VALUE!</v>
      </c>
      <c r="Z10" s="120" t="e">
        <f aca="false">GetTheta($AI10)</f>
        <v>#VALUE!</v>
      </c>
      <c r="AA10" s="120" t="e">
        <f aca="false">GetVega($AI10)</f>
        <v>#VALUE!</v>
      </c>
      <c r="AB10" s="120" t="e">
        <f aca="false">GetRho($AI10)</f>
        <v>#VALUE!</v>
      </c>
      <c r="AC10" s="121" t="e">
        <f aca="false">GetDrift($AI10)</f>
        <v>#VALUE!</v>
      </c>
      <c r="AD10" s="98"/>
      <c r="AE10" s="98"/>
      <c r="AF10" s="98"/>
      <c r="AH10" s="124" t="e">
        <f aca="false">GetDBPage($C10)</f>
        <v>#VALUE!</v>
      </c>
      <c r="AI10" s="125" t="e">
        <f aca="false">GetWorkSheet($C10)</f>
        <v>#VALUE!</v>
      </c>
      <c r="AJ10" s="125" t="e">
        <f aca="false">IF(NOT($AI10="#VALUE#"),CONCATENATE($AI10,"!",GetDateStart($AI10),":",GetDateEnd($AI10)),"")</f>
        <v>#VALUE!</v>
      </c>
      <c r="AK10" s="125" t="e">
        <f aca="false">IF(NOT($AI10="#VALUE#"),CONCATENATE($AI10,"!",GetReceiptStart($AI10),":",GetReceiptEnd($AI10)),"")</f>
        <v>#VALUE!</v>
      </c>
      <c r="AL10" s="125" t="e">
        <f aca="false">GetRecNdx($AH10,$C10)</f>
        <v>#VALUE!</v>
      </c>
    </row>
    <row r="11" customFormat="false" ht="12.75" hidden="false" customHeight="false" outlineLevel="0" collapsed="false">
      <c r="C11" s="115"/>
      <c r="E11" s="116"/>
      <c r="F11" s="117"/>
      <c r="G11" s="126" t="e">
        <f aca="false">GetDelBasis($AH10,$AL11)</f>
        <v>#VALUE!</v>
      </c>
      <c r="H11" s="119"/>
      <c r="I11" s="120"/>
      <c r="J11" s="120"/>
      <c r="K11" s="120"/>
      <c r="L11" s="121"/>
      <c r="M11" s="127"/>
      <c r="N11" s="119"/>
      <c r="O11" s="121"/>
      <c r="P11" s="127"/>
      <c r="Q11" s="119"/>
      <c r="R11" s="120"/>
      <c r="S11" s="121"/>
      <c r="T11" s="122"/>
      <c r="U11" s="119"/>
      <c r="V11" s="123"/>
      <c r="W11" s="98"/>
      <c r="X11" s="119"/>
      <c r="Y11" s="120"/>
      <c r="Z11" s="120"/>
      <c r="AA11" s="120"/>
      <c r="AB11" s="120"/>
      <c r="AC11" s="121"/>
      <c r="AD11" s="98"/>
      <c r="AE11" s="98"/>
      <c r="AF11" s="98"/>
      <c r="AI11" s="125" t="e">
        <f aca="false">GetWorkSheet($C10)</f>
        <v>#VALUE!</v>
      </c>
      <c r="AJ11" s="125" t="e">
        <f aca="false">IF(NOT($AI11="#VALUE#"),CONCATENATE($AI11,"!",GetDateStart($AI11),":",GetDateEnd($AI11)),"")</f>
        <v>#VALUE!</v>
      </c>
      <c r="AK11" s="125" t="e">
        <f aca="false">IF(NOT($AI11="#VALUE#"),CONCATENATE($AI11,"!",GetDeliveryStart($AI11),":",GetDeliveryEnd($AI11)),"")</f>
        <v>#VALUE!</v>
      </c>
      <c r="AL11" s="125" t="e">
        <f aca="false">GetRecNdx($AH10,$C10)</f>
        <v>#VALUE!</v>
      </c>
    </row>
    <row r="12" customFormat="false" ht="12.75" hidden="false" customHeight="false" outlineLevel="0" collapsed="false">
      <c r="C12" s="115" t="n">
        <v>2</v>
      </c>
      <c r="E12" s="116" t="e">
        <f aca="false">GetPipeName($AH12,$AL12)</f>
        <v>#VALUE!</v>
      </c>
      <c r="F12" s="117" t="e">
        <f aca="false">CONCATENATE(GetRcptPoint($AH12,$AL12)," to ",GetDelPoint($AH12,$AL12))</f>
        <v>#VALUE!</v>
      </c>
      <c r="G12" s="118" t="e">
        <f aca="false">GetRcptBasis($AH12,$AL12)</f>
        <v>#VALUE!</v>
      </c>
      <c r="H12" s="119" t="e">
        <f aca="false">GetTodayAsset($AI12)</f>
        <v>#VALUE!</v>
      </c>
      <c r="I12" s="120" t="e">
        <f aca="false">GetTodayDemand($AI12)</f>
        <v>#VALUE!</v>
      </c>
      <c r="J12" s="120" t="e">
        <f aca="false">H12-I12</f>
        <v>#VALUE!</v>
      </c>
      <c r="K12" s="120" t="e">
        <f aca="false">GetYesterdayPL($AI12)</f>
        <v>#VALUE!</v>
      </c>
      <c r="L12" s="121" t="e">
        <f aca="false">J12-K12</f>
        <v>#VALUE!</v>
      </c>
      <c r="N12" s="119" t="e">
        <f aca="false">GetTodayIntrinsic($AI12)</f>
        <v>#VALUE!</v>
      </c>
      <c r="O12" s="121" t="e">
        <f aca="false">GetTodayExtrinsic($AI12)</f>
        <v>#VALUE!</v>
      </c>
      <c r="Q12" s="119" t="e">
        <f aca="false">GetPriceChange($AI12)</f>
        <v>#VALUE!</v>
      </c>
      <c r="R12" s="120" t="e">
        <f aca="false">GetBasisChange($AI12)</f>
        <v>#VALUE!</v>
      </c>
      <c r="S12" s="121" t="e">
        <f aca="false">GetIndexChange($AI12)</f>
        <v>#VALUE!</v>
      </c>
      <c r="T12" s="122"/>
      <c r="U12" s="119" t="e">
        <f aca="false">GetFuelChange($AI12)</f>
        <v>#VALUE!</v>
      </c>
      <c r="V12" s="123" t="e">
        <f aca="false">GetVarChrgChange($AI12)</f>
        <v>#VALUE!</v>
      </c>
      <c r="W12" s="98"/>
      <c r="X12" s="119" t="e">
        <f aca="false">GetDelta($AI12)</f>
        <v>#VALUE!</v>
      </c>
      <c r="Y12" s="120" t="e">
        <f aca="false">GetGamma($AI12)</f>
        <v>#VALUE!</v>
      </c>
      <c r="Z12" s="120" t="e">
        <f aca="false">GetTheta($AI12)</f>
        <v>#VALUE!</v>
      </c>
      <c r="AA12" s="120" t="e">
        <f aca="false">GetVega($AI12)</f>
        <v>#VALUE!</v>
      </c>
      <c r="AB12" s="120" t="e">
        <f aca="false">GetRho($AI12)</f>
        <v>#VALUE!</v>
      </c>
      <c r="AC12" s="121" t="e">
        <f aca="false">GetDrift($AI12)</f>
        <v>#VALUE!</v>
      </c>
      <c r="AD12" s="98"/>
      <c r="AE12" s="98"/>
      <c r="AF12" s="98"/>
      <c r="AH12" s="124" t="e">
        <f aca="false">GetDBPage($C12)</f>
        <v>#VALUE!</v>
      </c>
      <c r="AI12" s="125" t="e">
        <f aca="false">GetWorkSheet($C12)</f>
        <v>#VALUE!</v>
      </c>
      <c r="AJ12" s="125" t="e">
        <f aca="false">IF(NOT($AI12="#VALUE#"),CONCATENATE($AI12,"!",GetDateStart($AI12),":",GetDateEnd($AI12)),"")</f>
        <v>#VALUE!</v>
      </c>
      <c r="AK12" s="125" t="e">
        <f aca="false">IF(NOT($AI12="#VALUE#"),CONCATENATE($AI12,"!",GetReceiptStart($AI12),":",GetReceiptEnd($AI12)),"")</f>
        <v>#VALUE!</v>
      </c>
      <c r="AL12" s="125" t="e">
        <f aca="false">GetRecNdx($AH12,$C12)</f>
        <v>#VALUE!</v>
      </c>
    </row>
    <row r="13" customFormat="false" ht="12.75" hidden="false" customHeight="false" outlineLevel="0" collapsed="false">
      <c r="C13" s="115"/>
      <c r="E13" s="116"/>
      <c r="F13" s="117"/>
      <c r="G13" s="126" t="e">
        <f aca="false">GetDelBasis($AH12,$AL13)</f>
        <v>#VALUE!</v>
      </c>
      <c r="H13" s="119"/>
      <c r="I13" s="120"/>
      <c r="J13" s="120"/>
      <c r="K13" s="120"/>
      <c r="L13" s="121"/>
      <c r="M13" s="127"/>
      <c r="N13" s="119"/>
      <c r="O13" s="121"/>
      <c r="P13" s="127"/>
      <c r="Q13" s="119"/>
      <c r="R13" s="120"/>
      <c r="S13" s="121"/>
      <c r="T13" s="122"/>
      <c r="U13" s="119"/>
      <c r="V13" s="123"/>
      <c r="W13" s="98"/>
      <c r="X13" s="119"/>
      <c r="Y13" s="120"/>
      <c r="Z13" s="120"/>
      <c r="AA13" s="120"/>
      <c r="AB13" s="120"/>
      <c r="AC13" s="121"/>
      <c r="AD13" s="98"/>
      <c r="AE13" s="98"/>
      <c r="AF13" s="98"/>
      <c r="AI13" s="125" t="e">
        <f aca="false">GetWorkSheet($C12)</f>
        <v>#VALUE!</v>
      </c>
      <c r="AJ13" s="125" t="e">
        <f aca="false">IF(NOT($AI13="#VALUE#"),CONCATENATE($AI13,"!",GetDateStart($AI13),":",GetDateEnd($AI13)),"")</f>
        <v>#VALUE!</v>
      </c>
      <c r="AK13" s="125" t="e">
        <f aca="false">IF(NOT($AI13="#VALUE#"),CONCATENATE($AI13,"!",GetDeliveryStart($AI13),":",GetDeliveryEnd($AI13)),"")</f>
        <v>#VALUE!</v>
      </c>
      <c r="AL13" s="125" t="e">
        <f aca="false">GetRecNdx($AH12,$C12)</f>
        <v>#VALUE!</v>
      </c>
    </row>
    <row r="14" customFormat="false" ht="12.75" hidden="false" customHeight="false" outlineLevel="0" collapsed="false">
      <c r="C14" s="115" t="n">
        <v>25</v>
      </c>
      <c r="E14" s="116" t="e">
        <f aca="false">GetPipeName($AH14,$AL14)</f>
        <v>#VALUE!</v>
      </c>
      <c r="F14" s="117" t="e">
        <f aca="false">CONCATENATE(GetRcptPoint($AH14,$AL14)," to ",GetDelPoint($AH14,$AL14))</f>
        <v>#VALUE!</v>
      </c>
      <c r="G14" s="118" t="e">
        <f aca="false">GetRcptBasis($AH14,$AL14)</f>
        <v>#VALUE!</v>
      </c>
      <c r="H14" s="119" t="e">
        <f aca="false">GetTodayAsset($AI14)</f>
        <v>#VALUE!</v>
      </c>
      <c r="I14" s="120" t="e">
        <f aca="false">GetTodayDemand($AI14)</f>
        <v>#VALUE!</v>
      </c>
      <c r="J14" s="120" t="e">
        <f aca="false">H14-I14</f>
        <v>#VALUE!</v>
      </c>
      <c r="K14" s="120" t="e">
        <f aca="false">GetYesterdayPL($AI14)</f>
        <v>#VALUE!</v>
      </c>
      <c r="L14" s="121" t="e">
        <f aca="false">J14-K14</f>
        <v>#VALUE!</v>
      </c>
      <c r="N14" s="119" t="e">
        <f aca="false">GetTodayIntrinsic($AI14)</f>
        <v>#VALUE!</v>
      </c>
      <c r="O14" s="121" t="e">
        <f aca="false">GetTodayExtrinsic($AI14)</f>
        <v>#VALUE!</v>
      </c>
      <c r="Q14" s="119" t="e">
        <f aca="false">GetPriceChange($AI14)</f>
        <v>#VALUE!</v>
      </c>
      <c r="R14" s="120" t="e">
        <f aca="false">GetBasisChange($AI14)</f>
        <v>#VALUE!</v>
      </c>
      <c r="S14" s="121" t="e">
        <f aca="false">GetIndexChange($AI14)</f>
        <v>#VALUE!</v>
      </c>
      <c r="T14" s="122"/>
      <c r="U14" s="119" t="e">
        <f aca="false">GetFuelChange($AI14)</f>
        <v>#VALUE!</v>
      </c>
      <c r="V14" s="123" t="e">
        <f aca="false">GetVarChrgChange($AI14)</f>
        <v>#VALUE!</v>
      </c>
      <c r="W14" s="98"/>
      <c r="X14" s="119" t="e">
        <f aca="false">GetDelta($AI14)</f>
        <v>#VALUE!</v>
      </c>
      <c r="Y14" s="120" t="e">
        <f aca="false">GetGamma($AI14)</f>
        <v>#VALUE!</v>
      </c>
      <c r="Z14" s="120" t="e">
        <f aca="false">GetTheta($AI14)</f>
        <v>#VALUE!</v>
      </c>
      <c r="AA14" s="120" t="e">
        <f aca="false">GetVega($AI14)</f>
        <v>#VALUE!</v>
      </c>
      <c r="AB14" s="120" t="e">
        <f aca="false">GetRho($AI14)</f>
        <v>#VALUE!</v>
      </c>
      <c r="AC14" s="121" t="e">
        <f aca="false">GetDrift($AI14)</f>
        <v>#VALUE!</v>
      </c>
      <c r="AD14" s="98"/>
      <c r="AE14" s="98"/>
      <c r="AF14" s="98"/>
      <c r="AH14" s="124" t="e">
        <f aca="false">GetDBPage($C14)</f>
        <v>#VALUE!</v>
      </c>
      <c r="AI14" s="125" t="e">
        <f aca="false">GetWorkSheet($C14)</f>
        <v>#VALUE!</v>
      </c>
      <c r="AJ14" s="125" t="e">
        <f aca="false">IF(NOT($AI14="#VALUE#"),CONCATENATE($AI14,"!",GetDateStart($AI14),":",GetDateEnd($AI14)),"")</f>
        <v>#VALUE!</v>
      </c>
      <c r="AK14" s="125" t="e">
        <f aca="false">IF(NOT($AI14="#VALUE#"),CONCATENATE($AI14,"!",GetReceiptStart($AI14),":",GetReceiptEnd($AI14)),"")</f>
        <v>#VALUE!</v>
      </c>
      <c r="AL14" s="125" t="e">
        <f aca="false">GetRecNdx($AH14,$C14)</f>
        <v>#VALUE!</v>
      </c>
    </row>
    <row r="15" customFormat="false" ht="12.75" hidden="false" customHeight="false" outlineLevel="0" collapsed="false">
      <c r="C15" s="115"/>
      <c r="E15" s="116"/>
      <c r="F15" s="117"/>
      <c r="G15" s="126" t="e">
        <f aca="false">GetDelBasis($AH14,$AL15)</f>
        <v>#VALUE!</v>
      </c>
      <c r="H15" s="119"/>
      <c r="I15" s="120"/>
      <c r="J15" s="120"/>
      <c r="K15" s="120"/>
      <c r="L15" s="121"/>
      <c r="M15" s="127"/>
      <c r="N15" s="119"/>
      <c r="O15" s="121"/>
      <c r="P15" s="127"/>
      <c r="Q15" s="119"/>
      <c r="R15" s="120"/>
      <c r="S15" s="121"/>
      <c r="T15" s="122"/>
      <c r="U15" s="119"/>
      <c r="V15" s="123"/>
      <c r="W15" s="98"/>
      <c r="X15" s="119"/>
      <c r="Y15" s="120"/>
      <c r="Z15" s="120"/>
      <c r="AA15" s="120"/>
      <c r="AB15" s="120"/>
      <c r="AC15" s="121"/>
      <c r="AD15" s="98"/>
      <c r="AE15" s="98"/>
      <c r="AF15" s="98"/>
      <c r="AI15" s="125" t="e">
        <f aca="false">GetWorkSheet($C14)</f>
        <v>#VALUE!</v>
      </c>
      <c r="AJ15" s="125" t="e">
        <f aca="false">IF(NOT($AI15="#VALUE#"),CONCATENATE($AI15,"!",GetDateStart($AI15),":",GetDateEnd($AI15)),"")</f>
        <v>#VALUE!</v>
      </c>
      <c r="AK15" s="125" t="e">
        <f aca="false">IF(NOT($AI15="#VALUE#"),CONCATENATE($AI15,"!",GetDeliveryStart($AI15),":",GetDeliveryEnd($AI15)),"")</f>
        <v>#VALUE!</v>
      </c>
      <c r="AL15" s="125" t="e">
        <f aca="false">GetRecNdx($AH14,$C14)</f>
        <v>#VALUE!</v>
      </c>
    </row>
    <row r="16" customFormat="false" ht="12.75" hidden="false" customHeight="false" outlineLevel="0" collapsed="false">
      <c r="C16" s="115" t="n">
        <v>26</v>
      </c>
      <c r="E16" s="116" t="e">
        <f aca="false">GetPipeName($AH16,$AL16)</f>
        <v>#VALUE!</v>
      </c>
      <c r="F16" s="117" t="e">
        <f aca="false">CONCATENATE(GetRcptPoint($AH16,$AL16)," to ",GetDelPoint($AH16,$AL16))</f>
        <v>#VALUE!</v>
      </c>
      <c r="G16" s="118" t="e">
        <f aca="false">GetRcptBasis($AH16,$AL16)</f>
        <v>#VALUE!</v>
      </c>
      <c r="H16" s="119" t="e">
        <f aca="false">GetTodayAsset($AI16)</f>
        <v>#VALUE!</v>
      </c>
      <c r="I16" s="120" t="e">
        <f aca="false">GetTodayDemand($AI16)</f>
        <v>#VALUE!</v>
      </c>
      <c r="J16" s="120" t="e">
        <f aca="false">H16-I16</f>
        <v>#VALUE!</v>
      </c>
      <c r="K16" s="120" t="e">
        <f aca="false">GetYesterdayPL($AI16)</f>
        <v>#VALUE!</v>
      </c>
      <c r="L16" s="121" t="e">
        <f aca="false">J16-K16</f>
        <v>#VALUE!</v>
      </c>
      <c r="N16" s="119" t="e">
        <f aca="false">GetTodayIntrinsic($AI16)</f>
        <v>#VALUE!</v>
      </c>
      <c r="O16" s="121" t="e">
        <f aca="false">GetTodayExtrinsic($AI16)</f>
        <v>#VALUE!</v>
      </c>
      <c r="Q16" s="119" t="e">
        <f aca="false">GetPriceChange($AI16)</f>
        <v>#VALUE!</v>
      </c>
      <c r="R16" s="120" t="e">
        <f aca="false">GetBasisChange($AI16)</f>
        <v>#VALUE!</v>
      </c>
      <c r="S16" s="121" t="e">
        <f aca="false">GetIndexChange($AI16)</f>
        <v>#VALUE!</v>
      </c>
      <c r="T16" s="122"/>
      <c r="U16" s="119" t="e">
        <f aca="false">GetFuelChange($AI16)</f>
        <v>#VALUE!</v>
      </c>
      <c r="V16" s="123" t="e">
        <f aca="false">GetVarChrgChange($AI16)</f>
        <v>#VALUE!</v>
      </c>
      <c r="W16" s="98"/>
      <c r="X16" s="119" t="e">
        <f aca="false">GetDelta($AI16)</f>
        <v>#VALUE!</v>
      </c>
      <c r="Y16" s="120" t="e">
        <f aca="false">GetGamma($AI16)</f>
        <v>#VALUE!</v>
      </c>
      <c r="Z16" s="120" t="e">
        <f aca="false">GetTheta($AI16)</f>
        <v>#VALUE!</v>
      </c>
      <c r="AA16" s="120" t="e">
        <f aca="false">GetVega($AI16)</f>
        <v>#VALUE!</v>
      </c>
      <c r="AB16" s="120" t="e">
        <f aca="false">GetRho($AI16)</f>
        <v>#VALUE!</v>
      </c>
      <c r="AC16" s="121" t="e">
        <f aca="false">GetDrift($AI16)</f>
        <v>#VALUE!</v>
      </c>
      <c r="AD16" s="98"/>
      <c r="AE16" s="98"/>
      <c r="AF16" s="98"/>
      <c r="AH16" s="124" t="e">
        <f aca="false">GetDBPage($C16)</f>
        <v>#VALUE!</v>
      </c>
      <c r="AI16" s="125" t="e">
        <f aca="false">GetWorkSheet($C16)</f>
        <v>#VALUE!</v>
      </c>
      <c r="AJ16" s="125" t="e">
        <f aca="false">IF(NOT($AI16="#VALUE#"),CONCATENATE($AI16,"!",GetDateStart($AI16),":",GetDateEnd($AI16)),"")</f>
        <v>#VALUE!</v>
      </c>
      <c r="AK16" s="125" t="e">
        <f aca="false">IF(NOT($AI16="#VALUE#"),CONCATENATE($AI16,"!",GetReceiptStart($AI16),":",GetReceiptEnd($AI16)),"")</f>
        <v>#VALUE!</v>
      </c>
      <c r="AL16" s="125" t="e">
        <f aca="false">GetRecNdx($AH16,$C16)</f>
        <v>#VALUE!</v>
      </c>
    </row>
    <row r="17" customFormat="false" ht="12.75" hidden="false" customHeight="false" outlineLevel="0" collapsed="false">
      <c r="C17" s="115"/>
      <c r="E17" s="116"/>
      <c r="F17" s="117"/>
      <c r="G17" s="126" t="e">
        <f aca="false">GetDelBasis($AH16,$AL17)</f>
        <v>#VALUE!</v>
      </c>
      <c r="H17" s="119"/>
      <c r="I17" s="120"/>
      <c r="J17" s="120"/>
      <c r="K17" s="120"/>
      <c r="L17" s="121"/>
      <c r="M17" s="127"/>
      <c r="N17" s="119"/>
      <c r="O17" s="121"/>
      <c r="P17" s="127"/>
      <c r="Q17" s="119"/>
      <c r="R17" s="120"/>
      <c r="S17" s="121"/>
      <c r="T17" s="122"/>
      <c r="U17" s="119"/>
      <c r="V17" s="123"/>
      <c r="W17" s="98"/>
      <c r="X17" s="119"/>
      <c r="Y17" s="120"/>
      <c r="Z17" s="120"/>
      <c r="AA17" s="120"/>
      <c r="AB17" s="120"/>
      <c r="AC17" s="121"/>
      <c r="AD17" s="98"/>
      <c r="AE17" s="98"/>
      <c r="AF17" s="98"/>
      <c r="AI17" s="125" t="e">
        <f aca="false">GetWorkSheet($C16)</f>
        <v>#VALUE!</v>
      </c>
      <c r="AJ17" s="125" t="e">
        <f aca="false">IF(NOT($AI17="#VALUE#"),CONCATENATE($AI17,"!",GetDateStart($AI17),":",GetDateEnd($AI17)),"")</f>
        <v>#VALUE!</v>
      </c>
      <c r="AK17" s="125" t="e">
        <f aca="false">IF(NOT($AI17="#VALUE#"),CONCATENATE($AI17,"!",GetDeliveryStart($AI17),":",GetDeliveryEnd($AI17)),"")</f>
        <v>#VALUE!</v>
      </c>
      <c r="AL17" s="125" t="e">
        <f aca="false">GetRecNdx($AH16,$C16)</f>
        <v>#VALUE!</v>
      </c>
    </row>
    <row r="18" customFormat="false" ht="12.75" hidden="false" customHeight="false" outlineLevel="0" collapsed="false">
      <c r="C18" s="115" t="n">
        <v>72</v>
      </c>
      <c r="E18" s="116" t="e">
        <f aca="false">GetPipeName($AH18,$AL18)</f>
        <v>#VALUE!</v>
      </c>
      <c r="F18" s="117" t="e">
        <f aca="false">CONCATENATE(GetRcptPoint($AH18,$AL18)," to ",GetDelPoint($AH18,$AL18))</f>
        <v>#VALUE!</v>
      </c>
      <c r="G18" s="118" t="e">
        <f aca="false">GetRcptBasis($AH18,$AL18)</f>
        <v>#VALUE!</v>
      </c>
      <c r="H18" s="119" t="e">
        <f aca="false">GetTodayAsset($AI18)</f>
        <v>#VALUE!</v>
      </c>
      <c r="I18" s="120" t="e">
        <f aca="false">GetTodayDemand($AI18)</f>
        <v>#VALUE!</v>
      </c>
      <c r="J18" s="120" t="e">
        <f aca="false">H18-I18</f>
        <v>#VALUE!</v>
      </c>
      <c r="K18" s="120" t="e">
        <f aca="false">GetYesterdayPL($AI18)</f>
        <v>#VALUE!</v>
      </c>
      <c r="L18" s="121" t="e">
        <f aca="false">J18-K18</f>
        <v>#VALUE!</v>
      </c>
      <c r="N18" s="119" t="e">
        <f aca="false">GetTodayIntrinsic($AI18)</f>
        <v>#VALUE!</v>
      </c>
      <c r="O18" s="121" t="e">
        <f aca="false">GetTodayExtrinsic($AI18)</f>
        <v>#VALUE!</v>
      </c>
      <c r="Q18" s="119" t="e">
        <f aca="false">GetPriceChange($AI18)</f>
        <v>#VALUE!</v>
      </c>
      <c r="R18" s="120" t="e">
        <f aca="false">GetBasisChange($AI18)</f>
        <v>#VALUE!</v>
      </c>
      <c r="S18" s="121" t="e">
        <f aca="false">GetIndexChange($AI18)</f>
        <v>#VALUE!</v>
      </c>
      <c r="T18" s="122"/>
      <c r="U18" s="119" t="e">
        <f aca="false">GetFuelChange($AI18)</f>
        <v>#VALUE!</v>
      </c>
      <c r="V18" s="123" t="e">
        <f aca="false">GetVarChrgChange($AI18)</f>
        <v>#VALUE!</v>
      </c>
      <c r="W18" s="98"/>
      <c r="X18" s="119" t="e">
        <f aca="false">GetDelta($AI18)</f>
        <v>#VALUE!</v>
      </c>
      <c r="Y18" s="120" t="e">
        <f aca="false">GetGamma($AI18)</f>
        <v>#VALUE!</v>
      </c>
      <c r="Z18" s="120" t="e">
        <f aca="false">GetTheta($AI18)</f>
        <v>#VALUE!</v>
      </c>
      <c r="AA18" s="120" t="e">
        <f aca="false">GetVega($AI18)</f>
        <v>#VALUE!</v>
      </c>
      <c r="AB18" s="120" t="e">
        <f aca="false">GetRho($AI18)</f>
        <v>#VALUE!</v>
      </c>
      <c r="AC18" s="121" t="e">
        <f aca="false">GetDrift($AI18)</f>
        <v>#VALUE!</v>
      </c>
      <c r="AD18" s="98"/>
      <c r="AE18" s="98"/>
      <c r="AF18" s="98"/>
      <c r="AH18" s="124" t="e">
        <f aca="false">GetDBPage($C18)</f>
        <v>#VALUE!</v>
      </c>
      <c r="AI18" s="125" t="e">
        <f aca="false">GetWorkSheet($C18)</f>
        <v>#VALUE!</v>
      </c>
      <c r="AJ18" s="125" t="e">
        <f aca="false">IF(NOT($AI18="#VALUE#"),CONCATENATE($AI18,"!",GetDateStart($AI18),":",GetDateEnd($AI18)),"")</f>
        <v>#VALUE!</v>
      </c>
      <c r="AK18" s="125" t="e">
        <f aca="false">IF(NOT($AI18="#VALUE#"),CONCATENATE($AI18,"!",GetReceiptStart($AI18),":",GetReceiptEnd($AI18)),"")</f>
        <v>#VALUE!</v>
      </c>
      <c r="AL18" s="125" t="e">
        <f aca="false">GetRecNdx($AH18,$C18)</f>
        <v>#VALUE!</v>
      </c>
    </row>
    <row r="19" customFormat="false" ht="12.75" hidden="false" customHeight="false" outlineLevel="0" collapsed="false">
      <c r="C19" s="115"/>
      <c r="E19" s="116"/>
      <c r="F19" s="117"/>
      <c r="G19" s="126" t="e">
        <f aca="false">GetDelBasis($AH18,$AL19)</f>
        <v>#VALUE!</v>
      </c>
      <c r="H19" s="119"/>
      <c r="I19" s="120"/>
      <c r="J19" s="120"/>
      <c r="K19" s="120"/>
      <c r="L19" s="121"/>
      <c r="M19" s="127"/>
      <c r="N19" s="119"/>
      <c r="O19" s="121"/>
      <c r="P19" s="127"/>
      <c r="Q19" s="119"/>
      <c r="R19" s="120"/>
      <c r="S19" s="121"/>
      <c r="T19" s="122"/>
      <c r="U19" s="119"/>
      <c r="V19" s="123"/>
      <c r="W19" s="98"/>
      <c r="X19" s="119"/>
      <c r="Y19" s="120"/>
      <c r="Z19" s="120"/>
      <c r="AA19" s="120"/>
      <c r="AB19" s="120"/>
      <c r="AC19" s="121"/>
      <c r="AD19" s="98"/>
      <c r="AE19" s="98"/>
      <c r="AF19" s="98"/>
      <c r="AI19" s="125" t="e">
        <f aca="false">GetWorkSheet($C18)</f>
        <v>#VALUE!</v>
      </c>
      <c r="AJ19" s="125" t="e">
        <f aca="false">IF(NOT($AI19="#VALUE#"),CONCATENATE($AI19,"!",GetDateStart($AI19),":",GetDateEnd($AI19)),"")</f>
        <v>#VALUE!</v>
      </c>
      <c r="AK19" s="125" t="e">
        <f aca="false">IF(NOT($AI19="#VALUE#"),CONCATENATE($AI19,"!",GetDeliveryStart($AI19),":",GetDeliveryEnd($AI19)),"")</f>
        <v>#VALUE!</v>
      </c>
      <c r="AL19" s="125" t="e">
        <f aca="false">GetRecNdx($AH18,$C18)</f>
        <v>#VALUE!</v>
      </c>
    </row>
    <row r="20" customFormat="false" ht="12.75" hidden="false" customHeight="false" outlineLevel="0" collapsed="false">
      <c r="C20" s="115" t="n">
        <v>107</v>
      </c>
      <c r="E20" s="116" t="e">
        <f aca="false">GetPipeName($AH20,$AL20)</f>
        <v>#VALUE!</v>
      </c>
      <c r="F20" s="117" t="e">
        <f aca="false">CONCATENATE(GetRcptPoint($AH20,$AL20)," to ",GetDelPoint($AH20,$AL20))</f>
        <v>#VALUE!</v>
      </c>
      <c r="G20" s="118" t="e">
        <f aca="false">GetRcptBasis($AH20,$AL20)</f>
        <v>#VALUE!</v>
      </c>
      <c r="H20" s="119" t="e">
        <f aca="false">GetTodayAsset($AI20)</f>
        <v>#VALUE!</v>
      </c>
      <c r="I20" s="120" t="e">
        <f aca="false">GetTodayDemand($AI20)</f>
        <v>#VALUE!</v>
      </c>
      <c r="J20" s="120" t="e">
        <f aca="false">H20-I20</f>
        <v>#VALUE!</v>
      </c>
      <c r="K20" s="120" t="e">
        <f aca="false">GetYesterdayPL($AI20)</f>
        <v>#VALUE!</v>
      </c>
      <c r="L20" s="121" t="e">
        <f aca="false">J20-K20</f>
        <v>#VALUE!</v>
      </c>
      <c r="N20" s="119" t="e">
        <f aca="false">GetTodayIntrinsic($AI20)</f>
        <v>#VALUE!</v>
      </c>
      <c r="O20" s="121" t="e">
        <f aca="false">GetTodayExtrinsic($AI20)</f>
        <v>#VALUE!</v>
      </c>
      <c r="Q20" s="119" t="e">
        <f aca="false">GetPriceChange($AI20)</f>
        <v>#VALUE!</v>
      </c>
      <c r="R20" s="120" t="e">
        <f aca="false">GetBasisChange($AI20)</f>
        <v>#VALUE!</v>
      </c>
      <c r="S20" s="121" t="e">
        <f aca="false">GetIndexChange($AI20)</f>
        <v>#VALUE!</v>
      </c>
      <c r="T20" s="122"/>
      <c r="U20" s="119" t="e">
        <f aca="false">GetFuelChange($AI20)</f>
        <v>#VALUE!</v>
      </c>
      <c r="V20" s="123" t="e">
        <f aca="false">GetVarChrgChange($AI20)</f>
        <v>#VALUE!</v>
      </c>
      <c r="W20" s="98"/>
      <c r="X20" s="119" t="e">
        <f aca="false">GetDelta($AI20)</f>
        <v>#VALUE!</v>
      </c>
      <c r="Y20" s="120" t="e">
        <f aca="false">GetGamma($AI20)</f>
        <v>#VALUE!</v>
      </c>
      <c r="Z20" s="120" t="e">
        <f aca="false">GetTheta($AI20)</f>
        <v>#VALUE!</v>
      </c>
      <c r="AA20" s="120" t="e">
        <f aca="false">GetVega($AI20)</f>
        <v>#VALUE!</v>
      </c>
      <c r="AB20" s="120" t="e">
        <f aca="false">GetRho($AI20)</f>
        <v>#VALUE!</v>
      </c>
      <c r="AC20" s="121" t="e">
        <f aca="false">GetDrift($AI20)</f>
        <v>#VALUE!</v>
      </c>
      <c r="AD20" s="98"/>
      <c r="AE20" s="98"/>
      <c r="AF20" s="98"/>
      <c r="AH20" s="124" t="e">
        <f aca="false">GetDBPage($C20)</f>
        <v>#VALUE!</v>
      </c>
      <c r="AI20" s="125" t="e">
        <f aca="false">GetWorkSheet($C20)</f>
        <v>#VALUE!</v>
      </c>
      <c r="AJ20" s="125" t="e">
        <f aca="false">IF(NOT($AI20="#VALUE#"),CONCATENATE($AI20,"!",GetDateStart($AI20),":",GetDateEnd($AI20)),"")</f>
        <v>#VALUE!</v>
      </c>
      <c r="AK20" s="125" t="e">
        <f aca="false">IF(NOT($AI20="#VALUE#"),CONCATENATE($AI20,"!",GetReceiptStart($AI20),":",GetReceiptEnd($AI20)),"")</f>
        <v>#VALUE!</v>
      </c>
      <c r="AL20" s="125" t="e">
        <f aca="false">GetRecNdx($AH20,$C20)</f>
        <v>#VALUE!</v>
      </c>
    </row>
    <row r="21" customFormat="false" ht="12.75" hidden="false" customHeight="false" outlineLevel="0" collapsed="false">
      <c r="C21" s="115"/>
      <c r="E21" s="116"/>
      <c r="F21" s="117"/>
      <c r="G21" s="126" t="e">
        <f aca="false">GetDelBasis($AH20,$AL21)</f>
        <v>#VALUE!</v>
      </c>
      <c r="H21" s="119"/>
      <c r="I21" s="120"/>
      <c r="J21" s="120"/>
      <c r="K21" s="120"/>
      <c r="L21" s="121"/>
      <c r="M21" s="127"/>
      <c r="N21" s="119"/>
      <c r="O21" s="121"/>
      <c r="P21" s="127"/>
      <c r="Q21" s="119"/>
      <c r="R21" s="120"/>
      <c r="S21" s="121"/>
      <c r="T21" s="122"/>
      <c r="U21" s="119"/>
      <c r="V21" s="123"/>
      <c r="W21" s="98"/>
      <c r="X21" s="119"/>
      <c r="Y21" s="120"/>
      <c r="Z21" s="120"/>
      <c r="AA21" s="120"/>
      <c r="AB21" s="120"/>
      <c r="AC21" s="121"/>
      <c r="AD21" s="98"/>
      <c r="AE21" s="98"/>
      <c r="AF21" s="98"/>
      <c r="AI21" s="125" t="e">
        <f aca="false">GetWorkSheet($C20)</f>
        <v>#VALUE!</v>
      </c>
      <c r="AJ21" s="125" t="e">
        <f aca="false">IF(NOT($AI21="#VALUE#"),CONCATENATE($AI21,"!",GetDateStart($AI21),":",GetDateEnd($AI21)),"")</f>
        <v>#VALUE!</v>
      </c>
      <c r="AK21" s="125" t="e">
        <f aca="false">IF(NOT($AI21="#VALUE#"),CONCATENATE($AI21,"!",GetDeliveryStart($AI21),":",GetDeliveryEnd($AI21)),"")</f>
        <v>#VALUE!</v>
      </c>
      <c r="AL21" s="125" t="e">
        <f aca="false">GetRecNdx($AH20,$C20)</f>
        <v>#VALUE!</v>
      </c>
    </row>
    <row r="22" customFormat="false" ht="12.75" hidden="false" customHeight="false" outlineLevel="0" collapsed="false">
      <c r="C22" s="115" t="n">
        <v>108</v>
      </c>
      <c r="E22" s="116" t="e">
        <f aca="false">GetPipeName($AH22,$AL22)</f>
        <v>#VALUE!</v>
      </c>
      <c r="F22" s="117" t="e">
        <f aca="false">CONCATENATE(GetRcptPoint($AH22,$AL22)," to ",GetDelPoint($AH22,$AL22))</f>
        <v>#VALUE!</v>
      </c>
      <c r="G22" s="118" t="e">
        <f aca="false">GetRcptBasis($AH22,$AL22)</f>
        <v>#VALUE!</v>
      </c>
      <c r="H22" s="119" t="e">
        <f aca="false">GetTodayAsset($AI22)</f>
        <v>#VALUE!</v>
      </c>
      <c r="I22" s="120" t="e">
        <f aca="false">GetTodayDemand($AI22)</f>
        <v>#VALUE!</v>
      </c>
      <c r="J22" s="120" t="e">
        <f aca="false">H22-I22</f>
        <v>#VALUE!</v>
      </c>
      <c r="K22" s="120" t="e">
        <f aca="false">GetYesterdayPL($AI22)</f>
        <v>#VALUE!</v>
      </c>
      <c r="L22" s="121" t="e">
        <f aca="false">J22-K22</f>
        <v>#VALUE!</v>
      </c>
      <c r="N22" s="119" t="e">
        <f aca="false">GetTodayIntrinsic($AI22)</f>
        <v>#VALUE!</v>
      </c>
      <c r="O22" s="121" t="e">
        <f aca="false">GetTodayExtrinsic($AI22)</f>
        <v>#VALUE!</v>
      </c>
      <c r="Q22" s="119" t="e">
        <f aca="false">GetPriceChange($AI22)</f>
        <v>#VALUE!</v>
      </c>
      <c r="R22" s="120" t="e">
        <f aca="false">GetBasisChange($AI22)</f>
        <v>#VALUE!</v>
      </c>
      <c r="S22" s="121" t="e">
        <f aca="false">GetIndexChange($AI22)</f>
        <v>#VALUE!</v>
      </c>
      <c r="T22" s="122"/>
      <c r="U22" s="119" t="e">
        <f aca="false">GetFuelChange($AI22)</f>
        <v>#VALUE!</v>
      </c>
      <c r="V22" s="123" t="e">
        <f aca="false">GetVarChrgChange($AI22)</f>
        <v>#VALUE!</v>
      </c>
      <c r="W22" s="98"/>
      <c r="X22" s="119" t="e">
        <f aca="false">GetDelta($AI22)</f>
        <v>#VALUE!</v>
      </c>
      <c r="Y22" s="120" t="e">
        <f aca="false">GetGamma($AI22)</f>
        <v>#VALUE!</v>
      </c>
      <c r="Z22" s="120" t="e">
        <f aca="false">GetTheta($AI22)</f>
        <v>#VALUE!</v>
      </c>
      <c r="AA22" s="120" t="e">
        <f aca="false">GetVega($AI22)</f>
        <v>#VALUE!</v>
      </c>
      <c r="AB22" s="120" t="e">
        <f aca="false">GetRho($AI22)</f>
        <v>#VALUE!</v>
      </c>
      <c r="AC22" s="121" t="e">
        <f aca="false">GetDrift($AI22)</f>
        <v>#VALUE!</v>
      </c>
      <c r="AD22" s="98"/>
      <c r="AE22" s="98"/>
      <c r="AF22" s="98"/>
      <c r="AH22" s="124" t="e">
        <f aca="false">GetDBPage($C22)</f>
        <v>#VALUE!</v>
      </c>
      <c r="AI22" s="125" t="e">
        <f aca="false">GetWorkSheet($C22)</f>
        <v>#VALUE!</v>
      </c>
      <c r="AJ22" s="125" t="e">
        <f aca="false">IF(NOT($AI22="#VALUE#"),CONCATENATE($AI22,"!",GetDateStart($AI22),":",GetDateEnd($AI22)),"")</f>
        <v>#VALUE!</v>
      </c>
      <c r="AK22" s="125" t="e">
        <f aca="false">IF(NOT($AI22="#VALUE#"),CONCATENATE($AI22,"!",GetReceiptStart($AI22),":",GetReceiptEnd($AI22)),"")</f>
        <v>#VALUE!</v>
      </c>
      <c r="AL22" s="125" t="e">
        <f aca="false">GetRecNdx($AH22,$C22)</f>
        <v>#VALUE!</v>
      </c>
    </row>
    <row r="23" customFormat="false" ht="12.75" hidden="false" customHeight="false" outlineLevel="0" collapsed="false">
      <c r="C23" s="115"/>
      <c r="E23" s="116"/>
      <c r="F23" s="117"/>
      <c r="G23" s="126" t="e">
        <f aca="false">GetDelBasis($AH22,$AL23)</f>
        <v>#VALUE!</v>
      </c>
      <c r="H23" s="119"/>
      <c r="I23" s="120"/>
      <c r="J23" s="120"/>
      <c r="K23" s="120"/>
      <c r="L23" s="121"/>
      <c r="M23" s="127"/>
      <c r="N23" s="119"/>
      <c r="O23" s="121"/>
      <c r="P23" s="127"/>
      <c r="Q23" s="119"/>
      <c r="R23" s="120"/>
      <c r="S23" s="121"/>
      <c r="T23" s="122"/>
      <c r="U23" s="119"/>
      <c r="V23" s="123"/>
      <c r="W23" s="98"/>
      <c r="X23" s="119"/>
      <c r="Y23" s="120"/>
      <c r="Z23" s="120"/>
      <c r="AA23" s="120"/>
      <c r="AB23" s="120"/>
      <c r="AC23" s="121"/>
      <c r="AD23" s="98"/>
      <c r="AE23" s="98"/>
      <c r="AF23" s="98"/>
      <c r="AI23" s="125" t="e">
        <f aca="false">GetWorkSheet($C22)</f>
        <v>#VALUE!</v>
      </c>
      <c r="AJ23" s="125" t="e">
        <f aca="false">IF(NOT($AI23="#VALUE#"),CONCATENATE($AI23,"!",GetDateStart($AI23),":",GetDateEnd($AI23)),"")</f>
        <v>#VALUE!</v>
      </c>
      <c r="AK23" s="125" t="e">
        <f aca="false">IF(NOT($AI23="#VALUE#"),CONCATENATE($AI23,"!",GetDeliveryStart($AI23),":",GetDeliveryEnd($AI23)),"")</f>
        <v>#VALUE!</v>
      </c>
      <c r="AL23" s="125" t="e">
        <f aca="false">GetRecNdx($AH22,$C22)</f>
        <v>#VALUE!</v>
      </c>
    </row>
    <row r="24" customFormat="false" ht="12.75" hidden="false" customHeight="false" outlineLevel="0" collapsed="false">
      <c r="G24" s="128" t="s">
        <v>235</v>
      </c>
      <c r="H24" s="129" t="e">
        <f aca="true">SUM(INDIRECT(CONCATENATE(ADDRESS($AI24,COLUMN()),":",ADDRESS($AJ24,COLUMN()))))</f>
        <v>#VALUE!</v>
      </c>
      <c r="I24" s="129" t="e">
        <f aca="true">SUM(INDIRECT(CONCATENATE(ADDRESS($AI24,COLUMN()),":",ADDRESS($AJ24,COLUMN()))))</f>
        <v>#VALUE!</v>
      </c>
      <c r="J24" s="129" t="e">
        <f aca="true">SUM(INDIRECT(CONCATENATE(ADDRESS($AI24,COLUMN()),":",ADDRESS($AJ24,COLUMN()))))</f>
        <v>#VALUE!</v>
      </c>
      <c r="K24" s="129" t="e">
        <f aca="true">SUM(INDIRECT(CONCATENATE(ADDRESS($AI24,COLUMN()),":",ADDRESS($AJ24,COLUMN()))))</f>
        <v>#VALUE!</v>
      </c>
      <c r="L24" s="130" t="e">
        <f aca="true">SUM(INDIRECT(CONCATENATE(ADDRESS($AI24,COLUMN()),":",ADDRESS($AJ24,COLUMN()))))</f>
        <v>#VALUE!</v>
      </c>
      <c r="M24" s="131"/>
      <c r="N24" s="132" t="e">
        <f aca="true">SUM(INDIRECT(CONCATENATE(ADDRESS($AI24,COLUMN()),":",ADDRESS($AJ24,COLUMN()))))</f>
        <v>#VALUE!</v>
      </c>
      <c r="O24" s="133" t="e">
        <f aca="true">SUM(INDIRECT(CONCATENATE(ADDRESS($AI24,COLUMN()),":",ADDRESS($AJ24,COLUMN()))))</f>
        <v>#VALUE!</v>
      </c>
      <c r="P24" s="131"/>
      <c r="Q24" s="132" t="e">
        <f aca="true">SUM(INDIRECT(CONCATENATE(ADDRESS($AI24,COLUMN()),":",ADDRESS($AJ24,COLUMN()))))</f>
        <v>#VALUE!</v>
      </c>
      <c r="R24" s="129" t="e">
        <f aca="true">SUM(INDIRECT(CONCATENATE(ADDRESS($AI24,COLUMN()),":",ADDRESS($AJ24,COLUMN()))))</f>
        <v>#VALUE!</v>
      </c>
      <c r="S24" s="133" t="e">
        <f aca="true">SUM(INDIRECT(CONCATENATE(ADDRESS($AI24,COLUMN()),":",ADDRESS($AJ24,COLUMN()))))</f>
        <v>#VALUE!</v>
      </c>
      <c r="T24" s="131"/>
      <c r="U24" s="132" t="e">
        <f aca="true">SUM(INDIRECT(CONCATENATE(ADDRESS($AI24,COLUMN()),":",ADDRESS($AJ24,COLUMN()))))</f>
        <v>#VALUE!</v>
      </c>
      <c r="V24" s="133" t="e">
        <f aca="true">SUM(INDIRECT(CONCATENATE(ADDRESS($AI24,COLUMN()),":",ADDRESS($AJ24,COLUMN()))))</f>
        <v>#VALUE!</v>
      </c>
      <c r="W24" s="98"/>
      <c r="X24" s="132" t="e">
        <f aca="true">SUM(INDIRECT(CONCATENATE(ADDRESS($AI24,COLUMN()),":",ADDRESS($AJ24,COLUMN()))))</f>
        <v>#VALUE!</v>
      </c>
      <c r="Y24" s="129" t="e">
        <f aca="true">SUM(INDIRECT(CONCATENATE(ADDRESS($AI24,COLUMN()),":",ADDRESS($AJ24,COLUMN()))))</f>
        <v>#VALUE!</v>
      </c>
      <c r="Z24" s="129" t="e">
        <f aca="true">SUM(INDIRECT(CONCATENATE(ADDRESS($AI24,COLUMN()),":",ADDRESS($AJ24,COLUMN()))))</f>
        <v>#VALUE!</v>
      </c>
      <c r="AA24" s="129" t="e">
        <f aca="true">SUM(INDIRECT(CONCATENATE(ADDRESS($AI24,COLUMN()),":",ADDRESS($AJ24,COLUMN()))))</f>
        <v>#VALUE!</v>
      </c>
      <c r="AB24" s="129" t="e">
        <f aca="true">SUM(INDIRECT(CONCATENATE(ADDRESS($AI24,COLUMN()),":",ADDRESS($AJ24,COLUMN()))))</f>
        <v>#VALUE!</v>
      </c>
      <c r="AC24" s="130" t="e">
        <f aca="true">SUM(INDIRECT(CONCATENATE(ADDRESS($AI24,COLUMN()),":",ADDRESS($AJ24,COLUMN()))))</f>
        <v>#VALUE!</v>
      </c>
      <c r="AD24" s="98"/>
      <c r="AE24" s="99"/>
      <c r="AI24" s="134" t="e">
        <f aca="false">GetStartRow($AI23)</f>
        <v>#VALUE!</v>
      </c>
      <c r="AJ24" s="134" t="n">
        <f aca="false">ROW($AI23)</f>
        <v>23</v>
      </c>
    </row>
    <row r="27" customFormat="false" ht="18.75" hidden="false" customHeight="false" outlineLevel="0" collapsed="false">
      <c r="E27" s="102" t="s">
        <v>236</v>
      </c>
      <c r="U27" s="98"/>
      <c r="V27" s="98"/>
      <c r="W27" s="98"/>
      <c r="X27" s="98"/>
      <c r="Y27" s="98"/>
      <c r="Z27" s="98"/>
      <c r="AA27" s="98"/>
      <c r="AB27" s="98"/>
      <c r="AC27" s="98"/>
      <c r="AD27" s="98"/>
      <c r="AE27" s="99"/>
    </row>
    <row r="28" customFormat="false" ht="12.75" hidden="false" customHeight="true" outlineLevel="0" collapsed="false">
      <c r="A28" s="103"/>
      <c r="B28" s="103"/>
      <c r="C28" s="104" t="s">
        <v>213</v>
      </c>
      <c r="E28" s="105"/>
      <c r="F28" s="106"/>
      <c r="G28" s="107" t="s">
        <v>214</v>
      </c>
      <c r="H28" s="108" t="s">
        <v>215</v>
      </c>
      <c r="I28" s="109" t="s">
        <v>216</v>
      </c>
      <c r="J28" s="109" t="s">
        <v>217</v>
      </c>
      <c r="K28" s="109" t="s">
        <v>218</v>
      </c>
      <c r="L28" s="110" t="s">
        <v>219</v>
      </c>
      <c r="N28" s="108" t="s">
        <v>220</v>
      </c>
      <c r="O28" s="111" t="s">
        <v>221</v>
      </c>
      <c r="Q28" s="108" t="s">
        <v>222</v>
      </c>
      <c r="R28" s="109" t="s">
        <v>223</v>
      </c>
      <c r="S28" s="111" t="s">
        <v>224</v>
      </c>
      <c r="U28" s="108" t="s">
        <v>225</v>
      </c>
      <c r="V28" s="111" t="s">
        <v>226</v>
      </c>
      <c r="W28" s="98"/>
      <c r="X28" s="108" t="s">
        <v>227</v>
      </c>
      <c r="Y28" s="109" t="s">
        <v>228</v>
      </c>
      <c r="Z28" s="109" t="s">
        <v>229</v>
      </c>
      <c r="AA28" s="109" t="s">
        <v>230</v>
      </c>
      <c r="AB28" s="109" t="s">
        <v>231</v>
      </c>
      <c r="AC28" s="110" t="s">
        <v>232</v>
      </c>
      <c r="AD28" s="98"/>
      <c r="AE28" s="98"/>
      <c r="AF28" s="98"/>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c r="IW28" s="103"/>
    </row>
    <row r="29" customFormat="false" ht="12.75" hidden="false" customHeight="true" outlineLevel="0" collapsed="false">
      <c r="A29" s="103"/>
      <c r="B29" s="103"/>
      <c r="C29" s="104"/>
      <c r="E29" s="112" t="s">
        <v>13</v>
      </c>
      <c r="F29" s="113" t="s">
        <v>233</v>
      </c>
      <c r="G29" s="114" t="s">
        <v>234</v>
      </c>
      <c r="H29" s="108"/>
      <c r="I29" s="109" t="s">
        <v>216</v>
      </c>
      <c r="J29" s="109"/>
      <c r="K29" s="109"/>
      <c r="L29" s="110"/>
      <c r="N29" s="108"/>
      <c r="O29" s="111"/>
      <c r="Q29" s="108"/>
      <c r="R29" s="109"/>
      <c r="S29" s="111"/>
      <c r="U29" s="108"/>
      <c r="V29" s="111"/>
      <c r="W29" s="98"/>
      <c r="X29" s="108"/>
      <c r="Y29" s="109"/>
      <c r="Z29" s="109"/>
      <c r="AA29" s="109"/>
      <c r="AB29" s="109"/>
      <c r="AC29" s="110"/>
      <c r="AD29" s="98"/>
      <c r="AE29" s="98"/>
      <c r="AF29" s="98"/>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row>
    <row r="30" customFormat="false" ht="12.75" hidden="false" customHeight="false" outlineLevel="0" collapsed="false">
      <c r="C30" s="115" t="n">
        <v>17</v>
      </c>
      <c r="E30" s="116" t="e">
        <f aca="false">GetPipeName($AH30,$AL30)</f>
        <v>#VALUE!</v>
      </c>
      <c r="F30" s="117" t="e">
        <f aca="false">CONCATENATE(GetRcptPoint($AH30,$AL30)," to ",GetDelPoint($AH30,$AL30))</f>
        <v>#VALUE!</v>
      </c>
      <c r="G30" s="118" t="e">
        <f aca="false">GetRcptBasis($AH30,$AL30)</f>
        <v>#VALUE!</v>
      </c>
      <c r="H30" s="119" t="e">
        <f aca="false">GetTodayAsset($AI30)</f>
        <v>#VALUE!</v>
      </c>
      <c r="I30" s="120" t="e">
        <f aca="false">GetTodayDemand($AI30)</f>
        <v>#VALUE!</v>
      </c>
      <c r="J30" s="120" t="e">
        <f aca="false">H30-I30</f>
        <v>#VALUE!</v>
      </c>
      <c r="K30" s="120" t="e">
        <f aca="false">GetYesterdayPL($AI30)</f>
        <v>#VALUE!</v>
      </c>
      <c r="L30" s="121" t="e">
        <f aca="false">J30-K30</f>
        <v>#VALUE!</v>
      </c>
      <c r="N30" s="119" t="e">
        <f aca="false">GetTodayIntrinsic($AI30)</f>
        <v>#VALUE!</v>
      </c>
      <c r="O30" s="121" t="e">
        <f aca="false">GetTodayExtrinsic($AI30)</f>
        <v>#VALUE!</v>
      </c>
      <c r="Q30" s="119" t="e">
        <f aca="false">GetPriceChange($AI30)</f>
        <v>#VALUE!</v>
      </c>
      <c r="R30" s="120" t="e">
        <f aca="false">GetBasisChange($AI30)</f>
        <v>#VALUE!</v>
      </c>
      <c r="S30" s="121" t="e">
        <f aca="false">GetIndexChange($AI30)</f>
        <v>#VALUE!</v>
      </c>
      <c r="T30" s="122"/>
      <c r="U30" s="119" t="e">
        <f aca="false">GetFuelChange($AI30)</f>
        <v>#VALUE!</v>
      </c>
      <c r="V30" s="123" t="e">
        <f aca="false">GetVarChrgChange($AI30)</f>
        <v>#VALUE!</v>
      </c>
      <c r="W30" s="98"/>
      <c r="X30" s="119" t="e">
        <f aca="false">GetDelta($AI30)</f>
        <v>#VALUE!</v>
      </c>
      <c r="Y30" s="120" t="e">
        <f aca="false">GetGamma($AI30)</f>
        <v>#VALUE!</v>
      </c>
      <c r="Z30" s="120" t="e">
        <f aca="false">GetTheta($AI30)</f>
        <v>#VALUE!</v>
      </c>
      <c r="AA30" s="120" t="e">
        <f aca="false">GetVega($AI30)</f>
        <v>#VALUE!</v>
      </c>
      <c r="AB30" s="120" t="e">
        <f aca="false">GetRho($AI30)</f>
        <v>#VALUE!</v>
      </c>
      <c r="AC30" s="121" t="e">
        <f aca="false">GetDrift($AI30)</f>
        <v>#VALUE!</v>
      </c>
      <c r="AD30" s="98"/>
      <c r="AE30" s="98"/>
      <c r="AF30" s="98"/>
      <c r="AH30" s="124" t="e">
        <f aca="false">GetDBPage($C30)</f>
        <v>#VALUE!</v>
      </c>
      <c r="AI30" s="125" t="e">
        <f aca="false">GetWorkSheet($C30)</f>
        <v>#VALUE!</v>
      </c>
      <c r="AJ30" s="125" t="e">
        <f aca="false">IF(NOT($AI30="#VALUE#"),CONCATENATE($AI30,"!",GetDateStart($AI30),":",GetDateEnd($AI30)),"")</f>
        <v>#VALUE!</v>
      </c>
      <c r="AK30" s="125" t="e">
        <f aca="false">IF(NOT($AI30="#VALUE#"),CONCATENATE($AI30,"!",GetReceiptStart($AI30),":",GetReceiptEnd($AI30)),"")</f>
        <v>#VALUE!</v>
      </c>
      <c r="AL30" s="125" t="e">
        <f aca="false">GetRecNdx($AH30,$C30)</f>
        <v>#VALUE!</v>
      </c>
    </row>
    <row r="31" customFormat="false" ht="12.75" hidden="false" customHeight="false" outlineLevel="0" collapsed="false">
      <c r="C31" s="115"/>
      <c r="E31" s="116"/>
      <c r="F31" s="117"/>
      <c r="G31" s="126" t="e">
        <f aca="false">GetDelBasis($AH30,$AL31)</f>
        <v>#VALUE!</v>
      </c>
      <c r="H31" s="119"/>
      <c r="I31" s="120"/>
      <c r="J31" s="120"/>
      <c r="K31" s="120"/>
      <c r="L31" s="121"/>
      <c r="M31" s="127"/>
      <c r="N31" s="119"/>
      <c r="O31" s="121"/>
      <c r="P31" s="127"/>
      <c r="Q31" s="119"/>
      <c r="R31" s="120"/>
      <c r="S31" s="121"/>
      <c r="T31" s="122"/>
      <c r="U31" s="119"/>
      <c r="V31" s="123"/>
      <c r="W31" s="98"/>
      <c r="X31" s="119"/>
      <c r="Y31" s="120"/>
      <c r="Z31" s="120"/>
      <c r="AA31" s="120"/>
      <c r="AB31" s="120"/>
      <c r="AC31" s="121"/>
      <c r="AD31" s="98"/>
      <c r="AE31" s="98"/>
      <c r="AF31" s="98"/>
      <c r="AI31" s="125" t="e">
        <f aca="false">GetWorkSheet($C30)</f>
        <v>#VALUE!</v>
      </c>
      <c r="AJ31" s="125" t="e">
        <f aca="false">IF(NOT($AI31="#VALUE#"),CONCATENATE($AI31,"!",GetDateStart($AI31),":",GetDateEnd($AI31)),"")</f>
        <v>#VALUE!</v>
      </c>
      <c r="AK31" s="125" t="e">
        <f aca="false">IF(NOT($AI31="#VALUE#"),CONCATENATE($AI31,"!",GetDeliveryStart($AI31),":",GetDeliveryEnd($AI31)),"")</f>
        <v>#VALUE!</v>
      </c>
      <c r="AL31" s="125" t="e">
        <f aca="false">GetRecNdx($AH30,$C30)</f>
        <v>#VALUE!</v>
      </c>
    </row>
    <row r="32" customFormat="false" ht="12.75" hidden="false" customHeight="false" outlineLevel="0" collapsed="false">
      <c r="C32" s="115" t="n">
        <v>19</v>
      </c>
      <c r="E32" s="116" t="e">
        <f aca="false">GetPipeName($AH32,$AL32)</f>
        <v>#VALUE!</v>
      </c>
      <c r="F32" s="117" t="e">
        <f aca="false">CONCATENATE(GetRcptPoint($AH32,$AL32)," to ",GetDelPoint($AH32,$AL32))</f>
        <v>#VALUE!</v>
      </c>
      <c r="G32" s="118" t="e">
        <f aca="false">GetRcptBasis($AH32,$AL32)</f>
        <v>#VALUE!</v>
      </c>
      <c r="H32" s="119" t="e">
        <f aca="false">GetTodayAsset($AI32)</f>
        <v>#VALUE!</v>
      </c>
      <c r="I32" s="120" t="e">
        <f aca="false">GetTodayDemand($AI32)</f>
        <v>#VALUE!</v>
      </c>
      <c r="J32" s="120" t="e">
        <f aca="false">H32-I32</f>
        <v>#VALUE!</v>
      </c>
      <c r="K32" s="120" t="e">
        <f aca="false">GetYesterdayPL($AI32)</f>
        <v>#VALUE!</v>
      </c>
      <c r="L32" s="121" t="e">
        <f aca="false">J32-K32</f>
        <v>#VALUE!</v>
      </c>
      <c r="N32" s="119" t="e">
        <f aca="false">GetTodayIntrinsic($AI32)</f>
        <v>#VALUE!</v>
      </c>
      <c r="O32" s="121" t="e">
        <f aca="false">GetTodayExtrinsic($AI32)</f>
        <v>#VALUE!</v>
      </c>
      <c r="Q32" s="119" t="e">
        <f aca="false">GetPriceChange($AI32)</f>
        <v>#VALUE!</v>
      </c>
      <c r="R32" s="120" t="e">
        <f aca="false">GetBasisChange($AI32)</f>
        <v>#VALUE!</v>
      </c>
      <c r="S32" s="121" t="e">
        <f aca="false">GetIndexChange($AI32)</f>
        <v>#VALUE!</v>
      </c>
      <c r="T32" s="122"/>
      <c r="U32" s="119" t="e">
        <f aca="false">GetFuelChange($AI32)</f>
        <v>#VALUE!</v>
      </c>
      <c r="V32" s="123" t="e">
        <f aca="false">GetVarChrgChange($AI32)</f>
        <v>#VALUE!</v>
      </c>
      <c r="W32" s="98"/>
      <c r="X32" s="119" t="e">
        <f aca="false">GetDelta($AI32)</f>
        <v>#VALUE!</v>
      </c>
      <c r="Y32" s="120" t="e">
        <f aca="false">GetGamma($AI32)</f>
        <v>#VALUE!</v>
      </c>
      <c r="Z32" s="120" t="e">
        <f aca="false">GetTheta($AI32)</f>
        <v>#VALUE!</v>
      </c>
      <c r="AA32" s="120" t="e">
        <f aca="false">GetVega($AI32)</f>
        <v>#VALUE!</v>
      </c>
      <c r="AB32" s="120" t="e">
        <f aca="false">GetRho($AI32)</f>
        <v>#VALUE!</v>
      </c>
      <c r="AC32" s="121" t="e">
        <f aca="false">GetDrift($AI32)</f>
        <v>#VALUE!</v>
      </c>
      <c r="AD32" s="98"/>
      <c r="AE32" s="98"/>
      <c r="AF32" s="98"/>
      <c r="AH32" s="124" t="e">
        <f aca="false">GetDBPage($C32)</f>
        <v>#VALUE!</v>
      </c>
      <c r="AI32" s="125" t="e">
        <f aca="false">GetWorkSheet($C32)</f>
        <v>#VALUE!</v>
      </c>
      <c r="AJ32" s="125" t="e">
        <f aca="false">IF(NOT($AI32="#VALUE#"),CONCATENATE($AI32,"!",GetDateStart($AI32),":",GetDateEnd($AI32)),"")</f>
        <v>#VALUE!</v>
      </c>
      <c r="AK32" s="125" t="e">
        <f aca="false">IF(NOT($AI32="#VALUE#"),CONCATENATE($AI32,"!",GetReceiptStart($AI32),":",GetReceiptEnd($AI32)),"")</f>
        <v>#VALUE!</v>
      </c>
      <c r="AL32" s="125" t="e">
        <f aca="false">GetRecNdx($AH32,$C32)</f>
        <v>#VALUE!</v>
      </c>
    </row>
    <row r="33" customFormat="false" ht="12.75" hidden="false" customHeight="false" outlineLevel="0" collapsed="false">
      <c r="C33" s="115"/>
      <c r="E33" s="116"/>
      <c r="F33" s="117"/>
      <c r="G33" s="126" t="e">
        <f aca="false">GetDelBasis($AH32,$AL33)</f>
        <v>#VALUE!</v>
      </c>
      <c r="H33" s="119"/>
      <c r="I33" s="120"/>
      <c r="J33" s="120"/>
      <c r="K33" s="120"/>
      <c r="L33" s="121"/>
      <c r="M33" s="127"/>
      <c r="N33" s="119"/>
      <c r="O33" s="121"/>
      <c r="P33" s="127"/>
      <c r="Q33" s="119"/>
      <c r="R33" s="120"/>
      <c r="S33" s="121"/>
      <c r="T33" s="122"/>
      <c r="U33" s="119"/>
      <c r="V33" s="123"/>
      <c r="W33" s="98"/>
      <c r="X33" s="119"/>
      <c r="Y33" s="120"/>
      <c r="Z33" s="120"/>
      <c r="AA33" s="120"/>
      <c r="AB33" s="120"/>
      <c r="AC33" s="121"/>
      <c r="AD33" s="98"/>
      <c r="AE33" s="98"/>
      <c r="AF33" s="98"/>
      <c r="AI33" s="125" t="e">
        <f aca="false">GetWorkSheet($C32)</f>
        <v>#VALUE!</v>
      </c>
      <c r="AJ33" s="125" t="e">
        <f aca="false">IF(NOT($AI33="#VALUE#"),CONCATENATE($AI33,"!",GetDateStart($AI33),":",GetDateEnd($AI33)),"")</f>
        <v>#VALUE!</v>
      </c>
      <c r="AK33" s="125" t="e">
        <f aca="false">IF(NOT($AI33="#VALUE#"),CONCATENATE($AI33,"!",GetDeliveryStart($AI33),":",GetDeliveryEnd($AI33)),"")</f>
        <v>#VALUE!</v>
      </c>
      <c r="AL33" s="125" t="e">
        <f aca="false">GetRecNdx($AH32,$C32)</f>
        <v>#VALUE!</v>
      </c>
    </row>
    <row r="34" customFormat="false" ht="12.75" hidden="false" customHeight="false" outlineLevel="0" collapsed="false">
      <c r="C34" s="115" t="n">
        <v>20</v>
      </c>
      <c r="E34" s="116" t="e">
        <f aca="false">GetPipeName($AH34,$AL34)</f>
        <v>#VALUE!</v>
      </c>
      <c r="F34" s="117" t="e">
        <f aca="false">CONCATENATE(GetRcptPoint($AH34,$AL34)," to ",GetDelPoint($AH34,$AL34))</f>
        <v>#VALUE!</v>
      </c>
      <c r="G34" s="118" t="e">
        <f aca="false">GetRcptBasis($AH34,$AL34)</f>
        <v>#VALUE!</v>
      </c>
      <c r="H34" s="119" t="e">
        <f aca="false">GetTodayAsset($AI34)</f>
        <v>#VALUE!</v>
      </c>
      <c r="I34" s="120" t="e">
        <f aca="false">GetTodayDemand($AI34)</f>
        <v>#VALUE!</v>
      </c>
      <c r="J34" s="120" t="e">
        <f aca="false">H34-I34</f>
        <v>#VALUE!</v>
      </c>
      <c r="K34" s="120" t="e">
        <f aca="false">GetYesterdayPL($AI34)</f>
        <v>#VALUE!</v>
      </c>
      <c r="L34" s="121" t="e">
        <f aca="false">J34-K34</f>
        <v>#VALUE!</v>
      </c>
      <c r="N34" s="119" t="e">
        <f aca="false">GetTodayIntrinsic($AI34)</f>
        <v>#VALUE!</v>
      </c>
      <c r="O34" s="121" t="e">
        <f aca="false">GetTodayExtrinsic($AI34)</f>
        <v>#VALUE!</v>
      </c>
      <c r="Q34" s="119" t="e">
        <f aca="false">GetPriceChange($AI34)</f>
        <v>#VALUE!</v>
      </c>
      <c r="R34" s="120" t="e">
        <f aca="false">GetBasisChange($AI34)</f>
        <v>#VALUE!</v>
      </c>
      <c r="S34" s="121" t="e">
        <f aca="false">GetIndexChange($AI34)</f>
        <v>#VALUE!</v>
      </c>
      <c r="T34" s="122"/>
      <c r="U34" s="119" t="e">
        <f aca="false">GetFuelChange($AI34)</f>
        <v>#VALUE!</v>
      </c>
      <c r="V34" s="123" t="e">
        <f aca="false">GetVarChrgChange($AI34)</f>
        <v>#VALUE!</v>
      </c>
      <c r="W34" s="98"/>
      <c r="X34" s="119" t="e">
        <f aca="false">GetDelta($AI34)</f>
        <v>#VALUE!</v>
      </c>
      <c r="Y34" s="120" t="e">
        <f aca="false">GetGamma($AI34)</f>
        <v>#VALUE!</v>
      </c>
      <c r="Z34" s="120" t="e">
        <f aca="false">GetTheta($AI34)</f>
        <v>#VALUE!</v>
      </c>
      <c r="AA34" s="120" t="e">
        <f aca="false">GetVega($AI34)</f>
        <v>#VALUE!</v>
      </c>
      <c r="AB34" s="120" t="e">
        <f aca="false">GetRho($AI34)</f>
        <v>#VALUE!</v>
      </c>
      <c r="AC34" s="121" t="e">
        <f aca="false">GetDrift($AI34)</f>
        <v>#VALUE!</v>
      </c>
      <c r="AD34" s="98"/>
      <c r="AE34" s="98"/>
      <c r="AF34" s="98"/>
      <c r="AH34" s="124" t="e">
        <f aca="false">GetDBPage($C34)</f>
        <v>#VALUE!</v>
      </c>
      <c r="AI34" s="125" t="e">
        <f aca="false">GetWorkSheet($C34)</f>
        <v>#VALUE!</v>
      </c>
      <c r="AJ34" s="125" t="e">
        <f aca="false">IF(NOT($AI34="#VALUE#"),CONCATENATE($AI34,"!",GetDateStart($AI34),":",GetDateEnd($AI34)),"")</f>
        <v>#VALUE!</v>
      </c>
      <c r="AK34" s="125" t="e">
        <f aca="false">IF(NOT($AI34="#VALUE#"),CONCATENATE($AI34,"!",GetReceiptStart($AI34),":",GetReceiptEnd($AI34)),"")</f>
        <v>#VALUE!</v>
      </c>
      <c r="AL34" s="125" t="e">
        <f aca="false">GetRecNdx($AH34,$C34)</f>
        <v>#VALUE!</v>
      </c>
    </row>
    <row r="35" customFormat="false" ht="12.75" hidden="false" customHeight="false" outlineLevel="0" collapsed="false">
      <c r="C35" s="115"/>
      <c r="E35" s="116"/>
      <c r="F35" s="117"/>
      <c r="G35" s="126" t="e">
        <f aca="false">GetDelBasis($AH34,$AL35)</f>
        <v>#VALUE!</v>
      </c>
      <c r="H35" s="119"/>
      <c r="I35" s="120"/>
      <c r="J35" s="120"/>
      <c r="K35" s="120"/>
      <c r="L35" s="121"/>
      <c r="M35" s="127"/>
      <c r="N35" s="119"/>
      <c r="O35" s="121"/>
      <c r="P35" s="127"/>
      <c r="Q35" s="119"/>
      <c r="R35" s="120"/>
      <c r="S35" s="121"/>
      <c r="T35" s="122"/>
      <c r="U35" s="119"/>
      <c r="V35" s="123"/>
      <c r="W35" s="98"/>
      <c r="X35" s="119"/>
      <c r="Y35" s="120"/>
      <c r="Z35" s="120"/>
      <c r="AA35" s="120"/>
      <c r="AB35" s="120"/>
      <c r="AC35" s="121"/>
      <c r="AD35" s="98"/>
      <c r="AE35" s="98"/>
      <c r="AF35" s="98"/>
      <c r="AI35" s="125" t="e">
        <f aca="false">GetWorkSheet($C34)</f>
        <v>#VALUE!</v>
      </c>
      <c r="AJ35" s="125" t="e">
        <f aca="false">IF(NOT($AI35="#VALUE#"),CONCATENATE($AI35,"!",GetDateStart($AI35),":",GetDateEnd($AI35)),"")</f>
        <v>#VALUE!</v>
      </c>
      <c r="AK35" s="125" t="e">
        <f aca="false">IF(NOT($AI35="#VALUE#"),CONCATENATE($AI35,"!",GetDeliveryStart($AI35),":",GetDeliveryEnd($AI35)),"")</f>
        <v>#VALUE!</v>
      </c>
      <c r="AL35" s="125" t="e">
        <f aca="false">GetRecNdx($AH34,$C34)</f>
        <v>#VALUE!</v>
      </c>
    </row>
    <row r="36" customFormat="false" ht="12.75" hidden="false" customHeight="false" outlineLevel="0" collapsed="false">
      <c r="C36" s="115" t="n">
        <v>21</v>
      </c>
      <c r="E36" s="116" t="e">
        <f aca="false">GetPipeName($AH36,$AL36)</f>
        <v>#VALUE!</v>
      </c>
      <c r="F36" s="117" t="e">
        <f aca="false">CONCATENATE(GetRcptPoint($AH36,$AL36)," to ",GetDelPoint($AH36,$AL36))</f>
        <v>#VALUE!</v>
      </c>
      <c r="G36" s="118" t="e">
        <f aca="false">GetRcptBasis($AH36,$AL36)</f>
        <v>#VALUE!</v>
      </c>
      <c r="H36" s="119" t="e">
        <f aca="false">GetTodayAsset($AI36)</f>
        <v>#VALUE!</v>
      </c>
      <c r="I36" s="120" t="e">
        <f aca="false">GetTodayDemand($AI36)</f>
        <v>#VALUE!</v>
      </c>
      <c r="J36" s="120" t="e">
        <f aca="false">H36-I36</f>
        <v>#VALUE!</v>
      </c>
      <c r="K36" s="120" t="e">
        <f aca="false">GetYesterdayPL($AI36)</f>
        <v>#VALUE!</v>
      </c>
      <c r="L36" s="121" t="e">
        <f aca="false">J36-K36</f>
        <v>#VALUE!</v>
      </c>
      <c r="N36" s="119" t="e">
        <f aca="false">GetTodayIntrinsic($AI36)</f>
        <v>#VALUE!</v>
      </c>
      <c r="O36" s="121" t="e">
        <f aca="false">GetTodayExtrinsic($AI36)</f>
        <v>#VALUE!</v>
      </c>
      <c r="Q36" s="119" t="e">
        <f aca="false">GetPriceChange($AI36)</f>
        <v>#VALUE!</v>
      </c>
      <c r="R36" s="120" t="e">
        <f aca="false">GetBasisChange($AI36)</f>
        <v>#VALUE!</v>
      </c>
      <c r="S36" s="121" t="e">
        <f aca="false">GetIndexChange($AI36)</f>
        <v>#VALUE!</v>
      </c>
      <c r="T36" s="122"/>
      <c r="U36" s="119" t="e">
        <f aca="false">GetFuelChange($AI36)</f>
        <v>#VALUE!</v>
      </c>
      <c r="V36" s="123" t="e">
        <f aca="false">GetVarChrgChange($AI36)</f>
        <v>#VALUE!</v>
      </c>
      <c r="W36" s="98"/>
      <c r="X36" s="119" t="e">
        <f aca="false">GetDelta($AI36)</f>
        <v>#VALUE!</v>
      </c>
      <c r="Y36" s="120" t="e">
        <f aca="false">GetGamma($AI36)</f>
        <v>#VALUE!</v>
      </c>
      <c r="Z36" s="120" t="e">
        <f aca="false">GetTheta($AI36)</f>
        <v>#VALUE!</v>
      </c>
      <c r="AA36" s="120" t="e">
        <f aca="false">GetVega($AI36)</f>
        <v>#VALUE!</v>
      </c>
      <c r="AB36" s="120" t="e">
        <f aca="false">GetRho($AI36)</f>
        <v>#VALUE!</v>
      </c>
      <c r="AC36" s="121" t="e">
        <f aca="false">GetDrift($AI36)</f>
        <v>#VALUE!</v>
      </c>
      <c r="AD36" s="98"/>
      <c r="AE36" s="98"/>
      <c r="AF36" s="98"/>
      <c r="AH36" s="124" t="e">
        <f aca="false">GetDBPage($C36)</f>
        <v>#VALUE!</v>
      </c>
      <c r="AI36" s="125" t="e">
        <f aca="false">GetWorkSheet($C36)</f>
        <v>#VALUE!</v>
      </c>
      <c r="AJ36" s="125" t="e">
        <f aca="false">IF(NOT($AI36="#VALUE#"),CONCATENATE($AI36,"!",GetDateStart($AI36),":",GetDateEnd($AI36)),"")</f>
        <v>#VALUE!</v>
      </c>
      <c r="AK36" s="125" t="e">
        <f aca="false">IF(NOT($AI36="#VALUE#"),CONCATENATE($AI36,"!",GetReceiptStart($AI36),":",GetReceiptEnd($AI36)),"")</f>
        <v>#VALUE!</v>
      </c>
      <c r="AL36" s="125" t="e">
        <f aca="false">GetRecNdx($AH36,$C36)</f>
        <v>#VALUE!</v>
      </c>
    </row>
    <row r="37" customFormat="false" ht="12.75" hidden="false" customHeight="false" outlineLevel="0" collapsed="false">
      <c r="C37" s="115"/>
      <c r="E37" s="116"/>
      <c r="F37" s="117"/>
      <c r="G37" s="126" t="e">
        <f aca="false">GetDelBasis($AH36,$AL37)</f>
        <v>#VALUE!</v>
      </c>
      <c r="H37" s="119"/>
      <c r="I37" s="120"/>
      <c r="J37" s="120"/>
      <c r="K37" s="120"/>
      <c r="L37" s="121"/>
      <c r="M37" s="127"/>
      <c r="N37" s="119"/>
      <c r="O37" s="121"/>
      <c r="P37" s="127"/>
      <c r="Q37" s="119"/>
      <c r="R37" s="120"/>
      <c r="S37" s="121"/>
      <c r="T37" s="122"/>
      <c r="U37" s="119"/>
      <c r="V37" s="123"/>
      <c r="W37" s="98"/>
      <c r="X37" s="119"/>
      <c r="Y37" s="120"/>
      <c r="Z37" s="120"/>
      <c r="AA37" s="120"/>
      <c r="AB37" s="120"/>
      <c r="AC37" s="121"/>
      <c r="AD37" s="98"/>
      <c r="AE37" s="98"/>
      <c r="AF37" s="98"/>
      <c r="AI37" s="125" t="e">
        <f aca="false">GetWorkSheet($C36)</f>
        <v>#VALUE!</v>
      </c>
      <c r="AJ37" s="125" t="e">
        <f aca="false">IF(NOT($AI37="#VALUE#"),CONCATENATE($AI37,"!",GetDateStart($AI37),":",GetDateEnd($AI37)),"")</f>
        <v>#VALUE!</v>
      </c>
      <c r="AK37" s="125" t="e">
        <f aca="false">IF(NOT($AI37="#VALUE#"),CONCATENATE($AI37,"!",GetDeliveryStart($AI37),":",GetDeliveryEnd($AI37)),"")</f>
        <v>#VALUE!</v>
      </c>
      <c r="AL37" s="125" t="e">
        <f aca="false">GetRecNdx($AH36,$C36)</f>
        <v>#VALUE!</v>
      </c>
    </row>
    <row r="38" customFormat="false" ht="12.75" hidden="false" customHeight="false" outlineLevel="0" collapsed="false">
      <c r="C38" s="115" t="n">
        <v>24</v>
      </c>
      <c r="E38" s="116" t="e">
        <f aca="false">GetPipeName($AH38,$AL38)</f>
        <v>#VALUE!</v>
      </c>
      <c r="F38" s="117" t="e">
        <f aca="false">CONCATENATE(GetRcptPoint($AH38,$AL38)," to ",GetDelPoint($AH38,$AL38))</f>
        <v>#VALUE!</v>
      </c>
      <c r="G38" s="118" t="e">
        <f aca="false">GetRcptBasis($AH38,$AL38)</f>
        <v>#VALUE!</v>
      </c>
      <c r="H38" s="119" t="e">
        <f aca="false">GetTodayAsset($AI38)</f>
        <v>#VALUE!</v>
      </c>
      <c r="I38" s="120" t="e">
        <f aca="false">GetTodayDemand($AI38)</f>
        <v>#VALUE!</v>
      </c>
      <c r="J38" s="120" t="e">
        <f aca="false">H38-I38</f>
        <v>#VALUE!</v>
      </c>
      <c r="K38" s="120" t="e">
        <f aca="false">GetYesterdayPL($AI38)</f>
        <v>#VALUE!</v>
      </c>
      <c r="L38" s="121" t="e">
        <f aca="false">J38-K38</f>
        <v>#VALUE!</v>
      </c>
      <c r="N38" s="119" t="e">
        <f aca="false">GetTodayIntrinsic($AI38)</f>
        <v>#VALUE!</v>
      </c>
      <c r="O38" s="121" t="e">
        <f aca="false">GetTodayExtrinsic($AI38)</f>
        <v>#VALUE!</v>
      </c>
      <c r="Q38" s="119" t="e">
        <f aca="false">GetPriceChange($AI38)</f>
        <v>#VALUE!</v>
      </c>
      <c r="R38" s="120" t="e">
        <f aca="false">GetBasisChange($AI38)</f>
        <v>#VALUE!</v>
      </c>
      <c r="S38" s="121" t="e">
        <f aca="false">GetIndexChange($AI38)</f>
        <v>#VALUE!</v>
      </c>
      <c r="T38" s="122"/>
      <c r="U38" s="119" t="e">
        <f aca="false">GetFuelChange($AI38)</f>
        <v>#VALUE!</v>
      </c>
      <c r="V38" s="123" t="e">
        <f aca="false">GetVarChrgChange($AI38)</f>
        <v>#VALUE!</v>
      </c>
      <c r="W38" s="98"/>
      <c r="X38" s="119" t="e">
        <f aca="false">GetDelta($AI38)</f>
        <v>#VALUE!</v>
      </c>
      <c r="Y38" s="120" t="e">
        <f aca="false">GetGamma($AI38)</f>
        <v>#VALUE!</v>
      </c>
      <c r="Z38" s="120" t="e">
        <f aca="false">GetTheta($AI38)</f>
        <v>#VALUE!</v>
      </c>
      <c r="AA38" s="120" t="e">
        <f aca="false">GetVega($AI38)</f>
        <v>#VALUE!</v>
      </c>
      <c r="AB38" s="120" t="e">
        <f aca="false">GetRho($AI38)</f>
        <v>#VALUE!</v>
      </c>
      <c r="AC38" s="121" t="e">
        <f aca="false">GetDrift($AI38)</f>
        <v>#VALUE!</v>
      </c>
      <c r="AD38" s="98"/>
      <c r="AE38" s="98"/>
      <c r="AF38" s="98"/>
      <c r="AH38" s="124" t="e">
        <f aca="false">GetDBPage($C38)</f>
        <v>#VALUE!</v>
      </c>
      <c r="AI38" s="125" t="e">
        <f aca="false">GetWorkSheet($C38)</f>
        <v>#VALUE!</v>
      </c>
      <c r="AJ38" s="125" t="e">
        <f aca="false">IF(NOT($AI38="#VALUE#"),CONCATENATE($AI38,"!",GetDateStart($AI38),":",GetDateEnd($AI38)),"")</f>
        <v>#VALUE!</v>
      </c>
      <c r="AK38" s="125" t="e">
        <f aca="false">IF(NOT($AI38="#VALUE#"),CONCATENATE($AI38,"!",GetReceiptStart($AI38),":",GetReceiptEnd($AI38)),"")</f>
        <v>#VALUE!</v>
      </c>
      <c r="AL38" s="125" t="e">
        <f aca="false">GetRecNdx($AH38,$C38)</f>
        <v>#VALUE!</v>
      </c>
    </row>
    <row r="39" customFormat="false" ht="12.75" hidden="false" customHeight="false" outlineLevel="0" collapsed="false">
      <c r="C39" s="115"/>
      <c r="E39" s="116"/>
      <c r="F39" s="117"/>
      <c r="G39" s="126" t="e">
        <f aca="false">GetDelBasis($AH38,$AL39)</f>
        <v>#VALUE!</v>
      </c>
      <c r="H39" s="119"/>
      <c r="I39" s="120"/>
      <c r="J39" s="120"/>
      <c r="K39" s="120"/>
      <c r="L39" s="121"/>
      <c r="M39" s="127"/>
      <c r="N39" s="119"/>
      <c r="O39" s="121"/>
      <c r="P39" s="127"/>
      <c r="Q39" s="119"/>
      <c r="R39" s="120"/>
      <c r="S39" s="121"/>
      <c r="T39" s="122"/>
      <c r="U39" s="119"/>
      <c r="V39" s="123"/>
      <c r="W39" s="98"/>
      <c r="X39" s="119"/>
      <c r="Y39" s="120"/>
      <c r="Z39" s="120"/>
      <c r="AA39" s="120"/>
      <c r="AB39" s="120"/>
      <c r="AC39" s="121"/>
      <c r="AD39" s="98"/>
      <c r="AE39" s="98"/>
      <c r="AF39" s="98"/>
      <c r="AI39" s="125" t="e">
        <f aca="false">GetWorkSheet($C38)</f>
        <v>#VALUE!</v>
      </c>
      <c r="AJ39" s="125" t="e">
        <f aca="false">IF(NOT($AI39="#VALUE#"),CONCATENATE($AI39,"!",GetDateStart($AI39),":",GetDateEnd($AI39)),"")</f>
        <v>#VALUE!</v>
      </c>
      <c r="AK39" s="125" t="e">
        <f aca="false">IF(NOT($AI39="#VALUE#"),CONCATENATE($AI39,"!",GetDeliveryStart($AI39),":",GetDeliveryEnd($AI39)),"")</f>
        <v>#VALUE!</v>
      </c>
      <c r="AL39" s="125" t="e">
        <f aca="false">GetRecNdx($AH38,$C38)</f>
        <v>#VALUE!</v>
      </c>
    </row>
    <row r="40" customFormat="false" ht="12.75" hidden="false" customHeight="false" outlineLevel="0" collapsed="false">
      <c r="C40" s="115" t="n">
        <v>50</v>
      </c>
      <c r="E40" s="116" t="e">
        <f aca="false">GetPipeName($AH40,$AL40)</f>
        <v>#VALUE!</v>
      </c>
      <c r="F40" s="117" t="e">
        <f aca="false">CONCATENATE(GetRcptPoint($AH40,$AL40)," to ",GetDelPoint($AH40,$AL40))</f>
        <v>#VALUE!</v>
      </c>
      <c r="G40" s="118" t="e">
        <f aca="false">GetRcptBasis($AH40,$AL40)</f>
        <v>#VALUE!</v>
      </c>
      <c r="H40" s="119" t="e">
        <f aca="false">GetTodayAsset($AI40)</f>
        <v>#VALUE!</v>
      </c>
      <c r="I40" s="120" t="e">
        <f aca="false">GetTodayDemand($AI40)</f>
        <v>#VALUE!</v>
      </c>
      <c r="J40" s="120" t="e">
        <f aca="false">H40-I40</f>
        <v>#VALUE!</v>
      </c>
      <c r="K40" s="120" t="e">
        <f aca="false">GetYesterdayPL($AI40)</f>
        <v>#VALUE!</v>
      </c>
      <c r="L40" s="121" t="e">
        <f aca="false">J40-K40</f>
        <v>#VALUE!</v>
      </c>
      <c r="N40" s="119" t="e">
        <f aca="false">GetTodayIntrinsic($AI40)</f>
        <v>#VALUE!</v>
      </c>
      <c r="O40" s="121" t="e">
        <f aca="false">GetTodayExtrinsic($AI40)</f>
        <v>#VALUE!</v>
      </c>
      <c r="Q40" s="119" t="e">
        <f aca="false">GetPriceChange($AI40)</f>
        <v>#VALUE!</v>
      </c>
      <c r="R40" s="120" t="e">
        <f aca="false">GetBasisChange($AI40)</f>
        <v>#VALUE!</v>
      </c>
      <c r="S40" s="121" t="e">
        <f aca="false">GetIndexChange($AI40)</f>
        <v>#VALUE!</v>
      </c>
      <c r="T40" s="122"/>
      <c r="U40" s="119" t="e">
        <f aca="false">GetFuelChange($AI40)</f>
        <v>#VALUE!</v>
      </c>
      <c r="V40" s="123" t="e">
        <f aca="false">GetVarChrgChange($AI40)</f>
        <v>#VALUE!</v>
      </c>
      <c r="W40" s="98"/>
      <c r="X40" s="119" t="e">
        <f aca="false">GetDelta($AI40)</f>
        <v>#VALUE!</v>
      </c>
      <c r="Y40" s="120" t="e">
        <f aca="false">GetGamma($AI40)</f>
        <v>#VALUE!</v>
      </c>
      <c r="Z40" s="120" t="e">
        <f aca="false">GetTheta($AI40)</f>
        <v>#VALUE!</v>
      </c>
      <c r="AA40" s="120" t="e">
        <f aca="false">GetVega($AI40)</f>
        <v>#VALUE!</v>
      </c>
      <c r="AB40" s="120" t="e">
        <f aca="false">GetRho($AI40)</f>
        <v>#VALUE!</v>
      </c>
      <c r="AC40" s="121" t="e">
        <f aca="false">GetDrift($AI40)</f>
        <v>#VALUE!</v>
      </c>
      <c r="AD40" s="98"/>
      <c r="AE40" s="98"/>
      <c r="AF40" s="98"/>
      <c r="AH40" s="124" t="e">
        <f aca="false">GetDBPage($C40)</f>
        <v>#VALUE!</v>
      </c>
      <c r="AI40" s="125" t="e">
        <f aca="false">GetWorkSheet($C40)</f>
        <v>#VALUE!</v>
      </c>
      <c r="AJ40" s="125" t="e">
        <f aca="false">IF(NOT($AI40="#VALUE#"),CONCATENATE($AI40,"!",GetDateStart($AI40),":",GetDateEnd($AI40)),"")</f>
        <v>#VALUE!</v>
      </c>
      <c r="AK40" s="125" t="e">
        <f aca="false">IF(NOT($AI40="#VALUE#"),CONCATENATE($AI40,"!",GetReceiptStart($AI40),":",GetReceiptEnd($AI40)),"")</f>
        <v>#VALUE!</v>
      </c>
      <c r="AL40" s="125" t="e">
        <f aca="false">GetRecNdx($AH40,$C40)</f>
        <v>#VALUE!</v>
      </c>
    </row>
    <row r="41" customFormat="false" ht="12.75" hidden="false" customHeight="false" outlineLevel="0" collapsed="false">
      <c r="C41" s="115"/>
      <c r="E41" s="116"/>
      <c r="F41" s="117"/>
      <c r="G41" s="126" t="e">
        <f aca="false">GetDelBasis($AH40,$AL41)</f>
        <v>#VALUE!</v>
      </c>
      <c r="H41" s="119"/>
      <c r="I41" s="120"/>
      <c r="J41" s="120"/>
      <c r="K41" s="120"/>
      <c r="L41" s="121"/>
      <c r="M41" s="127"/>
      <c r="N41" s="119"/>
      <c r="O41" s="121"/>
      <c r="P41" s="127"/>
      <c r="Q41" s="119"/>
      <c r="R41" s="120"/>
      <c r="S41" s="121"/>
      <c r="T41" s="122"/>
      <c r="U41" s="119"/>
      <c r="V41" s="123"/>
      <c r="W41" s="98"/>
      <c r="X41" s="119"/>
      <c r="Y41" s="120"/>
      <c r="Z41" s="120"/>
      <c r="AA41" s="120"/>
      <c r="AB41" s="120"/>
      <c r="AC41" s="121"/>
      <c r="AD41" s="98"/>
      <c r="AE41" s="98"/>
      <c r="AF41" s="98"/>
      <c r="AI41" s="125" t="e">
        <f aca="false">GetWorkSheet($C40)</f>
        <v>#VALUE!</v>
      </c>
      <c r="AJ41" s="125" t="e">
        <f aca="false">IF(NOT($AI41="#VALUE#"),CONCATENATE($AI41,"!",GetDateStart($AI41),":",GetDateEnd($AI41)),"")</f>
        <v>#VALUE!</v>
      </c>
      <c r="AK41" s="125" t="e">
        <f aca="false">IF(NOT($AI41="#VALUE#"),CONCATENATE($AI41,"!",GetDeliveryStart($AI41),":",GetDeliveryEnd($AI41)),"")</f>
        <v>#VALUE!</v>
      </c>
      <c r="AL41" s="125" t="e">
        <f aca="false">GetRecNdx($AH40,$C40)</f>
        <v>#VALUE!</v>
      </c>
    </row>
    <row r="42" customFormat="false" ht="12.75" hidden="false" customHeight="false" outlineLevel="0" collapsed="false">
      <c r="C42" s="115" t="n">
        <v>51</v>
      </c>
      <c r="E42" s="116" t="e">
        <f aca="false">GetPipeName($AH42,$AL42)</f>
        <v>#VALUE!</v>
      </c>
      <c r="F42" s="117" t="e">
        <f aca="false">CONCATENATE(GetRcptPoint($AH42,$AL42)," to ",GetDelPoint($AH42,$AL42))</f>
        <v>#VALUE!</v>
      </c>
      <c r="G42" s="118" t="e">
        <f aca="false">GetRcptBasis($AH42,$AL42)</f>
        <v>#VALUE!</v>
      </c>
      <c r="H42" s="119" t="e">
        <f aca="false">GetTodayAsset($AI42)</f>
        <v>#VALUE!</v>
      </c>
      <c r="I42" s="120" t="e">
        <f aca="false">GetTodayDemand($AI42)</f>
        <v>#VALUE!</v>
      </c>
      <c r="J42" s="120" t="e">
        <f aca="false">H42-I42</f>
        <v>#VALUE!</v>
      </c>
      <c r="K42" s="120" t="e">
        <f aca="false">GetYesterdayPL($AI42)</f>
        <v>#VALUE!</v>
      </c>
      <c r="L42" s="121" t="e">
        <f aca="false">J42-K42</f>
        <v>#VALUE!</v>
      </c>
      <c r="N42" s="119" t="e">
        <f aca="false">GetTodayIntrinsic($AI42)</f>
        <v>#VALUE!</v>
      </c>
      <c r="O42" s="121" t="e">
        <f aca="false">GetTodayExtrinsic($AI42)</f>
        <v>#VALUE!</v>
      </c>
      <c r="Q42" s="119" t="e">
        <f aca="false">GetPriceChange($AI42)</f>
        <v>#VALUE!</v>
      </c>
      <c r="R42" s="120" t="e">
        <f aca="false">GetBasisChange($AI42)</f>
        <v>#VALUE!</v>
      </c>
      <c r="S42" s="121" t="e">
        <f aca="false">GetIndexChange($AI42)</f>
        <v>#VALUE!</v>
      </c>
      <c r="T42" s="122"/>
      <c r="U42" s="119" t="e">
        <f aca="false">GetFuelChange($AI42)</f>
        <v>#VALUE!</v>
      </c>
      <c r="V42" s="123" t="e">
        <f aca="false">GetVarChrgChange($AI42)</f>
        <v>#VALUE!</v>
      </c>
      <c r="W42" s="98"/>
      <c r="X42" s="119" t="e">
        <f aca="false">GetDelta($AI42)</f>
        <v>#VALUE!</v>
      </c>
      <c r="Y42" s="120" t="e">
        <f aca="false">GetGamma($AI42)</f>
        <v>#VALUE!</v>
      </c>
      <c r="Z42" s="120" t="e">
        <f aca="false">GetTheta($AI42)</f>
        <v>#VALUE!</v>
      </c>
      <c r="AA42" s="120" t="e">
        <f aca="false">GetVega($AI42)</f>
        <v>#VALUE!</v>
      </c>
      <c r="AB42" s="120" t="e">
        <f aca="false">GetRho($AI42)</f>
        <v>#VALUE!</v>
      </c>
      <c r="AC42" s="121" t="e">
        <f aca="false">GetDrift($AI42)</f>
        <v>#VALUE!</v>
      </c>
      <c r="AD42" s="98"/>
      <c r="AE42" s="98"/>
      <c r="AF42" s="98"/>
      <c r="AH42" s="124" t="e">
        <f aca="false">GetDBPage($C42)</f>
        <v>#VALUE!</v>
      </c>
      <c r="AI42" s="125" t="e">
        <f aca="false">GetWorkSheet($C42)</f>
        <v>#VALUE!</v>
      </c>
      <c r="AJ42" s="125" t="e">
        <f aca="false">IF(NOT($AI42="#VALUE#"),CONCATENATE($AI42,"!",GetDateStart($AI42),":",GetDateEnd($AI42)),"")</f>
        <v>#VALUE!</v>
      </c>
      <c r="AK42" s="125" t="e">
        <f aca="false">IF(NOT($AI42="#VALUE#"),CONCATENATE($AI42,"!",GetReceiptStart($AI42),":",GetReceiptEnd($AI42)),"")</f>
        <v>#VALUE!</v>
      </c>
      <c r="AL42" s="125" t="e">
        <f aca="false">GetRecNdx($AH42,$C42)</f>
        <v>#VALUE!</v>
      </c>
    </row>
    <row r="43" customFormat="false" ht="12.75" hidden="false" customHeight="false" outlineLevel="0" collapsed="false">
      <c r="C43" s="115"/>
      <c r="E43" s="116"/>
      <c r="F43" s="117"/>
      <c r="G43" s="126" t="e">
        <f aca="false">GetDelBasis($AH42,$AL43)</f>
        <v>#VALUE!</v>
      </c>
      <c r="H43" s="119"/>
      <c r="I43" s="120"/>
      <c r="J43" s="120"/>
      <c r="K43" s="120"/>
      <c r="L43" s="121"/>
      <c r="M43" s="127"/>
      <c r="N43" s="119"/>
      <c r="O43" s="121"/>
      <c r="P43" s="127"/>
      <c r="Q43" s="119"/>
      <c r="R43" s="120"/>
      <c r="S43" s="121"/>
      <c r="T43" s="122"/>
      <c r="U43" s="119"/>
      <c r="V43" s="123"/>
      <c r="W43" s="98"/>
      <c r="X43" s="119"/>
      <c r="Y43" s="120"/>
      <c r="Z43" s="120"/>
      <c r="AA43" s="120"/>
      <c r="AB43" s="120"/>
      <c r="AC43" s="121"/>
      <c r="AD43" s="98"/>
      <c r="AE43" s="98"/>
      <c r="AF43" s="98"/>
      <c r="AI43" s="125" t="e">
        <f aca="false">GetWorkSheet($C42)</f>
        <v>#VALUE!</v>
      </c>
      <c r="AJ43" s="125" t="e">
        <f aca="false">IF(NOT($AI43="#VALUE#"),CONCATENATE($AI43,"!",GetDateStart($AI43),":",GetDateEnd($AI43)),"")</f>
        <v>#VALUE!</v>
      </c>
      <c r="AK43" s="125" t="e">
        <f aca="false">IF(NOT($AI43="#VALUE#"),CONCATENATE($AI43,"!",GetDeliveryStart($AI43),":",GetDeliveryEnd($AI43)),"")</f>
        <v>#VALUE!</v>
      </c>
      <c r="AL43" s="125" t="e">
        <f aca="false">GetRecNdx($AH42,$C42)</f>
        <v>#VALUE!</v>
      </c>
    </row>
    <row r="44" customFormat="false" ht="12.75" hidden="false" customHeight="false" outlineLevel="0" collapsed="false">
      <c r="C44" s="115" t="n">
        <v>52</v>
      </c>
      <c r="E44" s="116" t="e">
        <f aca="false">GetPipeName($AH44,$AL44)</f>
        <v>#VALUE!</v>
      </c>
      <c r="F44" s="117" t="e">
        <f aca="false">CONCATENATE(GetRcptPoint($AH44,$AL44)," to ",GetDelPoint($AH44,$AL44))</f>
        <v>#VALUE!</v>
      </c>
      <c r="G44" s="118" t="e">
        <f aca="false">GetRcptBasis($AH44,$AL44)</f>
        <v>#VALUE!</v>
      </c>
      <c r="H44" s="119" t="e">
        <f aca="false">GetTodayAsset($AI44)</f>
        <v>#VALUE!</v>
      </c>
      <c r="I44" s="120" t="e">
        <f aca="false">GetTodayDemand($AI44)</f>
        <v>#VALUE!</v>
      </c>
      <c r="J44" s="120" t="e">
        <f aca="false">H44-I44</f>
        <v>#VALUE!</v>
      </c>
      <c r="K44" s="120" t="e">
        <f aca="false">GetYesterdayPL($AI44)</f>
        <v>#VALUE!</v>
      </c>
      <c r="L44" s="121" t="e">
        <f aca="false">J44-K44</f>
        <v>#VALUE!</v>
      </c>
      <c r="N44" s="119" t="e">
        <f aca="false">GetTodayIntrinsic($AI44)</f>
        <v>#VALUE!</v>
      </c>
      <c r="O44" s="121" t="e">
        <f aca="false">GetTodayExtrinsic($AI44)</f>
        <v>#VALUE!</v>
      </c>
      <c r="Q44" s="119" t="e">
        <f aca="false">GetPriceChange($AI44)</f>
        <v>#VALUE!</v>
      </c>
      <c r="R44" s="120" t="e">
        <f aca="false">GetBasisChange($AI44)</f>
        <v>#VALUE!</v>
      </c>
      <c r="S44" s="121" t="e">
        <f aca="false">GetIndexChange($AI44)</f>
        <v>#VALUE!</v>
      </c>
      <c r="T44" s="122"/>
      <c r="U44" s="119" t="e">
        <f aca="false">GetFuelChange($AI44)</f>
        <v>#VALUE!</v>
      </c>
      <c r="V44" s="123" t="e">
        <f aca="false">GetVarChrgChange($AI44)</f>
        <v>#VALUE!</v>
      </c>
      <c r="W44" s="98"/>
      <c r="X44" s="119" t="e">
        <f aca="false">GetDelta($AI44)</f>
        <v>#VALUE!</v>
      </c>
      <c r="Y44" s="120" t="e">
        <f aca="false">GetGamma($AI44)</f>
        <v>#VALUE!</v>
      </c>
      <c r="Z44" s="120" t="e">
        <f aca="false">GetTheta($AI44)</f>
        <v>#VALUE!</v>
      </c>
      <c r="AA44" s="120" t="e">
        <f aca="false">GetVega($AI44)</f>
        <v>#VALUE!</v>
      </c>
      <c r="AB44" s="120" t="e">
        <f aca="false">GetRho($AI44)</f>
        <v>#VALUE!</v>
      </c>
      <c r="AC44" s="121" t="e">
        <f aca="false">GetDrift($AI44)</f>
        <v>#VALUE!</v>
      </c>
      <c r="AD44" s="98"/>
      <c r="AE44" s="98"/>
      <c r="AF44" s="98"/>
      <c r="AH44" s="124" t="e">
        <f aca="false">GetDBPage($C44)</f>
        <v>#VALUE!</v>
      </c>
      <c r="AI44" s="125" t="e">
        <f aca="false">GetWorkSheet($C44)</f>
        <v>#VALUE!</v>
      </c>
      <c r="AJ44" s="125" t="e">
        <f aca="false">IF(NOT($AI44="#VALUE#"),CONCATENATE($AI44,"!",GetDateStart($AI44),":",GetDateEnd($AI44)),"")</f>
        <v>#VALUE!</v>
      </c>
      <c r="AK44" s="125" t="e">
        <f aca="false">IF(NOT($AI44="#VALUE#"),CONCATENATE($AI44,"!",GetReceiptStart($AI44),":",GetReceiptEnd($AI44)),"")</f>
        <v>#VALUE!</v>
      </c>
      <c r="AL44" s="125" t="e">
        <f aca="false">GetRecNdx($AH44,$C44)</f>
        <v>#VALUE!</v>
      </c>
    </row>
    <row r="45" customFormat="false" ht="12.75" hidden="false" customHeight="false" outlineLevel="0" collapsed="false">
      <c r="C45" s="115"/>
      <c r="E45" s="116"/>
      <c r="F45" s="117"/>
      <c r="G45" s="126" t="e">
        <f aca="false">GetDelBasis($AH44,$AL45)</f>
        <v>#VALUE!</v>
      </c>
      <c r="H45" s="119"/>
      <c r="I45" s="120"/>
      <c r="J45" s="120"/>
      <c r="K45" s="120"/>
      <c r="L45" s="121"/>
      <c r="M45" s="127"/>
      <c r="N45" s="119"/>
      <c r="O45" s="121"/>
      <c r="P45" s="127"/>
      <c r="Q45" s="119"/>
      <c r="R45" s="120"/>
      <c r="S45" s="121"/>
      <c r="T45" s="122"/>
      <c r="U45" s="119"/>
      <c r="V45" s="123"/>
      <c r="W45" s="98"/>
      <c r="X45" s="119"/>
      <c r="Y45" s="120"/>
      <c r="Z45" s="120"/>
      <c r="AA45" s="120"/>
      <c r="AB45" s="120"/>
      <c r="AC45" s="121"/>
      <c r="AD45" s="98"/>
      <c r="AE45" s="98"/>
      <c r="AF45" s="98"/>
      <c r="AI45" s="125" t="e">
        <f aca="false">GetWorkSheet($C44)</f>
        <v>#VALUE!</v>
      </c>
      <c r="AJ45" s="125" t="e">
        <f aca="false">IF(NOT($AI45="#VALUE#"),CONCATENATE($AI45,"!",GetDateStart($AI45),":",GetDateEnd($AI45)),"")</f>
        <v>#VALUE!</v>
      </c>
      <c r="AK45" s="125" t="e">
        <f aca="false">IF(NOT($AI45="#VALUE#"),CONCATENATE($AI45,"!",GetDeliveryStart($AI45),":",GetDeliveryEnd($AI45)),"")</f>
        <v>#VALUE!</v>
      </c>
      <c r="AL45" s="125" t="e">
        <f aca="false">GetRecNdx($AH44,$C44)</f>
        <v>#VALUE!</v>
      </c>
    </row>
    <row r="46" customFormat="false" ht="12.75" hidden="false" customHeight="false" outlineLevel="0" collapsed="false">
      <c r="C46" s="115" t="n">
        <v>53</v>
      </c>
      <c r="E46" s="116" t="e">
        <f aca="false">GetPipeName($AH46,$AL46)</f>
        <v>#VALUE!</v>
      </c>
      <c r="F46" s="117" t="e">
        <f aca="false">CONCATENATE(GetRcptPoint($AH46,$AL46)," to ",GetDelPoint($AH46,$AL46))</f>
        <v>#VALUE!</v>
      </c>
      <c r="G46" s="118" t="e">
        <f aca="false">GetRcptBasis($AH46,$AL46)</f>
        <v>#VALUE!</v>
      </c>
      <c r="H46" s="119" t="e">
        <f aca="false">GetTodayAsset($AI46)</f>
        <v>#VALUE!</v>
      </c>
      <c r="I46" s="120" t="e">
        <f aca="false">GetTodayDemand($AI46)</f>
        <v>#VALUE!</v>
      </c>
      <c r="J46" s="120" t="e">
        <f aca="false">H46-I46</f>
        <v>#VALUE!</v>
      </c>
      <c r="K46" s="120" t="e">
        <f aca="false">GetYesterdayPL($AI46)</f>
        <v>#VALUE!</v>
      </c>
      <c r="L46" s="121" t="e">
        <f aca="false">J46-K46</f>
        <v>#VALUE!</v>
      </c>
      <c r="N46" s="119" t="e">
        <f aca="false">GetTodayIntrinsic($AI46)</f>
        <v>#VALUE!</v>
      </c>
      <c r="O46" s="121" t="e">
        <f aca="false">GetTodayExtrinsic($AI46)</f>
        <v>#VALUE!</v>
      </c>
      <c r="Q46" s="119" t="e">
        <f aca="false">GetPriceChange($AI46)</f>
        <v>#VALUE!</v>
      </c>
      <c r="R46" s="120" t="e">
        <f aca="false">GetBasisChange($AI46)</f>
        <v>#VALUE!</v>
      </c>
      <c r="S46" s="121" t="e">
        <f aca="false">GetIndexChange($AI46)</f>
        <v>#VALUE!</v>
      </c>
      <c r="T46" s="122"/>
      <c r="U46" s="119" t="e">
        <f aca="false">GetFuelChange($AI46)</f>
        <v>#VALUE!</v>
      </c>
      <c r="V46" s="123" t="e">
        <f aca="false">GetVarChrgChange($AI46)</f>
        <v>#VALUE!</v>
      </c>
      <c r="W46" s="98"/>
      <c r="X46" s="119" t="e">
        <f aca="false">GetDelta($AI46)</f>
        <v>#VALUE!</v>
      </c>
      <c r="Y46" s="120" t="e">
        <f aca="false">GetGamma($AI46)</f>
        <v>#VALUE!</v>
      </c>
      <c r="Z46" s="120" t="e">
        <f aca="false">GetTheta($AI46)</f>
        <v>#VALUE!</v>
      </c>
      <c r="AA46" s="120" t="e">
        <f aca="false">GetVega($AI46)</f>
        <v>#VALUE!</v>
      </c>
      <c r="AB46" s="120" t="e">
        <f aca="false">GetRho($AI46)</f>
        <v>#VALUE!</v>
      </c>
      <c r="AC46" s="121" t="e">
        <f aca="false">GetDrift($AI46)</f>
        <v>#VALUE!</v>
      </c>
      <c r="AD46" s="98"/>
      <c r="AE46" s="98"/>
      <c r="AF46" s="98"/>
      <c r="AH46" s="124" t="e">
        <f aca="false">GetDBPage($C46)</f>
        <v>#VALUE!</v>
      </c>
      <c r="AI46" s="125" t="e">
        <f aca="false">GetWorkSheet($C46)</f>
        <v>#VALUE!</v>
      </c>
      <c r="AJ46" s="125" t="e">
        <f aca="false">IF(NOT($AI46="#VALUE#"),CONCATENATE($AI46,"!",GetDateStart($AI46),":",GetDateEnd($AI46)),"")</f>
        <v>#VALUE!</v>
      </c>
      <c r="AK46" s="125" t="e">
        <f aca="false">IF(NOT($AI46="#VALUE#"),CONCATENATE($AI46,"!",GetReceiptStart($AI46),":",GetReceiptEnd($AI46)),"")</f>
        <v>#VALUE!</v>
      </c>
      <c r="AL46" s="125" t="e">
        <f aca="false">GetRecNdx($AH46,$C46)</f>
        <v>#VALUE!</v>
      </c>
    </row>
    <row r="47" customFormat="false" ht="12.75" hidden="false" customHeight="false" outlineLevel="0" collapsed="false">
      <c r="C47" s="115"/>
      <c r="E47" s="116"/>
      <c r="F47" s="117"/>
      <c r="G47" s="126" t="e">
        <f aca="false">GetDelBasis($AH46,$AL47)</f>
        <v>#VALUE!</v>
      </c>
      <c r="H47" s="119"/>
      <c r="I47" s="120"/>
      <c r="J47" s="120"/>
      <c r="K47" s="120"/>
      <c r="L47" s="121"/>
      <c r="M47" s="127"/>
      <c r="N47" s="119"/>
      <c r="O47" s="121"/>
      <c r="P47" s="127"/>
      <c r="Q47" s="119"/>
      <c r="R47" s="120"/>
      <c r="S47" s="121"/>
      <c r="T47" s="122"/>
      <c r="U47" s="119"/>
      <c r="V47" s="123"/>
      <c r="W47" s="98"/>
      <c r="X47" s="119"/>
      <c r="Y47" s="120"/>
      <c r="Z47" s="120"/>
      <c r="AA47" s="120"/>
      <c r="AB47" s="120"/>
      <c r="AC47" s="121"/>
      <c r="AD47" s="98"/>
      <c r="AE47" s="98"/>
      <c r="AF47" s="98"/>
      <c r="AI47" s="125" t="e">
        <f aca="false">GetWorkSheet($C46)</f>
        <v>#VALUE!</v>
      </c>
      <c r="AJ47" s="125" t="e">
        <f aca="false">IF(NOT($AI47="#VALUE#"),CONCATENATE($AI47,"!",GetDateStart($AI47),":",GetDateEnd($AI47)),"")</f>
        <v>#VALUE!</v>
      </c>
      <c r="AK47" s="125" t="e">
        <f aca="false">IF(NOT($AI47="#VALUE#"),CONCATENATE($AI47,"!",GetDeliveryStart($AI47),":",GetDeliveryEnd($AI47)),"")</f>
        <v>#VALUE!</v>
      </c>
      <c r="AL47" s="125" t="e">
        <f aca="false">GetRecNdx($AH46,$C46)</f>
        <v>#VALUE!</v>
      </c>
    </row>
    <row r="48" customFormat="false" ht="12.75" hidden="false" customHeight="false" outlineLevel="0" collapsed="false">
      <c r="C48" s="115" t="n">
        <v>54</v>
      </c>
      <c r="E48" s="116" t="e">
        <f aca="false">GetPipeName($AH48,$AL48)</f>
        <v>#VALUE!</v>
      </c>
      <c r="F48" s="117" t="e">
        <f aca="false">CONCATENATE(GetRcptPoint($AH48,$AL48)," to ",GetDelPoint($AH48,$AL48))</f>
        <v>#VALUE!</v>
      </c>
      <c r="G48" s="118" t="e">
        <f aca="false">GetRcptBasis($AH48,$AL48)</f>
        <v>#VALUE!</v>
      </c>
      <c r="H48" s="119" t="e">
        <f aca="false">GetTodayAsset($AI48)</f>
        <v>#VALUE!</v>
      </c>
      <c r="I48" s="120" t="e">
        <f aca="false">GetTodayDemand($AI48)</f>
        <v>#VALUE!</v>
      </c>
      <c r="J48" s="120" t="e">
        <f aca="false">H48-I48</f>
        <v>#VALUE!</v>
      </c>
      <c r="K48" s="120" t="e">
        <f aca="false">GetYesterdayPL($AI48)</f>
        <v>#VALUE!</v>
      </c>
      <c r="L48" s="121" t="e">
        <f aca="false">J48-K48</f>
        <v>#VALUE!</v>
      </c>
      <c r="N48" s="119" t="e">
        <f aca="false">GetTodayIntrinsic($AI48)</f>
        <v>#VALUE!</v>
      </c>
      <c r="O48" s="121" t="e">
        <f aca="false">GetTodayExtrinsic($AI48)</f>
        <v>#VALUE!</v>
      </c>
      <c r="Q48" s="119" t="e">
        <f aca="false">GetPriceChange($AI48)</f>
        <v>#VALUE!</v>
      </c>
      <c r="R48" s="120" t="e">
        <f aca="false">GetBasisChange($AI48)</f>
        <v>#VALUE!</v>
      </c>
      <c r="S48" s="121" t="e">
        <f aca="false">GetIndexChange($AI48)</f>
        <v>#VALUE!</v>
      </c>
      <c r="T48" s="122"/>
      <c r="U48" s="119" t="e">
        <f aca="false">GetFuelChange($AI48)</f>
        <v>#VALUE!</v>
      </c>
      <c r="V48" s="123" t="e">
        <f aca="false">GetVarChrgChange($AI48)</f>
        <v>#VALUE!</v>
      </c>
      <c r="W48" s="98"/>
      <c r="X48" s="119" t="e">
        <f aca="false">GetDelta($AI48)</f>
        <v>#VALUE!</v>
      </c>
      <c r="Y48" s="120" t="e">
        <f aca="false">GetGamma($AI48)</f>
        <v>#VALUE!</v>
      </c>
      <c r="Z48" s="120" t="e">
        <f aca="false">GetTheta($AI48)</f>
        <v>#VALUE!</v>
      </c>
      <c r="AA48" s="120" t="e">
        <f aca="false">GetVega($AI48)</f>
        <v>#VALUE!</v>
      </c>
      <c r="AB48" s="120" t="e">
        <f aca="false">GetRho($AI48)</f>
        <v>#VALUE!</v>
      </c>
      <c r="AC48" s="121" t="e">
        <f aca="false">GetDrift($AI48)</f>
        <v>#VALUE!</v>
      </c>
      <c r="AD48" s="98"/>
      <c r="AE48" s="98"/>
      <c r="AF48" s="98"/>
      <c r="AH48" s="124" t="e">
        <f aca="false">GetDBPage($C48)</f>
        <v>#VALUE!</v>
      </c>
      <c r="AI48" s="125" t="e">
        <f aca="false">GetWorkSheet($C48)</f>
        <v>#VALUE!</v>
      </c>
      <c r="AJ48" s="125" t="e">
        <f aca="false">IF(NOT($AI48="#VALUE#"),CONCATENATE($AI48,"!",GetDateStart($AI48),":",GetDateEnd($AI48)),"")</f>
        <v>#VALUE!</v>
      </c>
      <c r="AK48" s="125" t="e">
        <f aca="false">IF(NOT($AI48="#VALUE#"),CONCATENATE($AI48,"!",GetReceiptStart($AI48),":",GetReceiptEnd($AI48)),"")</f>
        <v>#VALUE!</v>
      </c>
      <c r="AL48" s="125" t="e">
        <f aca="false">GetRecNdx($AH48,$C48)</f>
        <v>#VALUE!</v>
      </c>
    </row>
    <row r="49" customFormat="false" ht="12.75" hidden="false" customHeight="false" outlineLevel="0" collapsed="false">
      <c r="C49" s="115"/>
      <c r="E49" s="116"/>
      <c r="F49" s="117"/>
      <c r="G49" s="126" t="e">
        <f aca="false">GetDelBasis($AH48,$AL49)</f>
        <v>#VALUE!</v>
      </c>
      <c r="H49" s="119"/>
      <c r="I49" s="120"/>
      <c r="J49" s="120"/>
      <c r="K49" s="120"/>
      <c r="L49" s="121"/>
      <c r="M49" s="127"/>
      <c r="N49" s="119"/>
      <c r="O49" s="121"/>
      <c r="P49" s="127"/>
      <c r="Q49" s="119"/>
      <c r="R49" s="120"/>
      <c r="S49" s="121"/>
      <c r="T49" s="122"/>
      <c r="U49" s="119"/>
      <c r="V49" s="123"/>
      <c r="W49" s="98"/>
      <c r="X49" s="119"/>
      <c r="Y49" s="120"/>
      <c r="Z49" s="120"/>
      <c r="AA49" s="120"/>
      <c r="AB49" s="120"/>
      <c r="AC49" s="121"/>
      <c r="AD49" s="98"/>
      <c r="AE49" s="98"/>
      <c r="AF49" s="98"/>
      <c r="AI49" s="125" t="e">
        <f aca="false">GetWorkSheet($C48)</f>
        <v>#VALUE!</v>
      </c>
      <c r="AJ49" s="125" t="e">
        <f aca="false">IF(NOT($AI49="#VALUE#"),CONCATENATE($AI49,"!",GetDateStart($AI49),":",GetDateEnd($AI49)),"")</f>
        <v>#VALUE!</v>
      </c>
      <c r="AK49" s="125" t="e">
        <f aca="false">IF(NOT($AI49="#VALUE#"),CONCATENATE($AI49,"!",GetDeliveryStart($AI49),":",GetDeliveryEnd($AI49)),"")</f>
        <v>#VALUE!</v>
      </c>
      <c r="AL49" s="125" t="e">
        <f aca="false">GetRecNdx($AH48,$C48)</f>
        <v>#VALUE!</v>
      </c>
    </row>
    <row r="50" customFormat="false" ht="12.75" hidden="false" customHeight="false" outlineLevel="0" collapsed="false">
      <c r="C50" s="115" t="n">
        <v>55</v>
      </c>
      <c r="E50" s="116" t="e">
        <f aca="false">GetPipeName($AH50,$AL50)</f>
        <v>#VALUE!</v>
      </c>
      <c r="F50" s="117" t="e">
        <f aca="false">CONCATENATE(GetRcptPoint($AH50,$AL50)," to ",GetDelPoint($AH50,$AL50))</f>
        <v>#VALUE!</v>
      </c>
      <c r="G50" s="118" t="e">
        <f aca="false">GetRcptBasis($AH50,$AL50)</f>
        <v>#VALUE!</v>
      </c>
      <c r="H50" s="119" t="e">
        <f aca="false">GetTodayAsset($AI50)</f>
        <v>#VALUE!</v>
      </c>
      <c r="I50" s="120" t="e">
        <f aca="false">GetTodayDemand($AI50)</f>
        <v>#VALUE!</v>
      </c>
      <c r="J50" s="120" t="e">
        <f aca="false">H50-I50</f>
        <v>#VALUE!</v>
      </c>
      <c r="K50" s="120" t="e">
        <f aca="false">GetYesterdayPL($AI50)</f>
        <v>#VALUE!</v>
      </c>
      <c r="L50" s="121" t="e">
        <f aca="false">J50-K50</f>
        <v>#VALUE!</v>
      </c>
      <c r="N50" s="119" t="e">
        <f aca="false">GetTodayIntrinsic($AI50)</f>
        <v>#VALUE!</v>
      </c>
      <c r="O50" s="121" t="e">
        <f aca="false">GetTodayExtrinsic($AI50)</f>
        <v>#VALUE!</v>
      </c>
      <c r="Q50" s="119" t="e">
        <f aca="false">GetPriceChange($AI50)</f>
        <v>#VALUE!</v>
      </c>
      <c r="R50" s="120" t="e">
        <f aca="false">GetBasisChange($AI50)</f>
        <v>#VALUE!</v>
      </c>
      <c r="S50" s="121" t="e">
        <f aca="false">GetIndexChange($AI50)</f>
        <v>#VALUE!</v>
      </c>
      <c r="T50" s="122"/>
      <c r="U50" s="119" t="e">
        <f aca="false">GetFuelChange($AI50)</f>
        <v>#VALUE!</v>
      </c>
      <c r="V50" s="123" t="e">
        <f aca="false">GetVarChrgChange($AI50)</f>
        <v>#VALUE!</v>
      </c>
      <c r="W50" s="98"/>
      <c r="X50" s="119" t="e">
        <f aca="false">GetDelta($AI50)</f>
        <v>#VALUE!</v>
      </c>
      <c r="Y50" s="120" t="e">
        <f aca="false">GetGamma($AI50)</f>
        <v>#VALUE!</v>
      </c>
      <c r="Z50" s="120" t="e">
        <f aca="false">GetTheta($AI50)</f>
        <v>#VALUE!</v>
      </c>
      <c r="AA50" s="120" t="e">
        <f aca="false">GetVega($AI50)</f>
        <v>#VALUE!</v>
      </c>
      <c r="AB50" s="120" t="e">
        <f aca="false">GetRho($AI50)</f>
        <v>#VALUE!</v>
      </c>
      <c r="AC50" s="121" t="e">
        <f aca="false">GetDrift($AI50)</f>
        <v>#VALUE!</v>
      </c>
      <c r="AD50" s="98"/>
      <c r="AE50" s="98"/>
      <c r="AF50" s="98"/>
      <c r="AH50" s="124" t="e">
        <f aca="false">GetDBPage($C50)</f>
        <v>#VALUE!</v>
      </c>
      <c r="AI50" s="125" t="e">
        <f aca="false">GetWorkSheet($C50)</f>
        <v>#VALUE!</v>
      </c>
      <c r="AJ50" s="125" t="e">
        <f aca="false">IF(NOT($AI50="#VALUE#"),CONCATENATE($AI50,"!",GetDateStart($AI50),":",GetDateEnd($AI50)),"")</f>
        <v>#VALUE!</v>
      </c>
      <c r="AK50" s="125" t="e">
        <f aca="false">IF(NOT($AI50="#VALUE#"),CONCATENATE($AI50,"!",GetReceiptStart($AI50),":",GetReceiptEnd($AI50)),"")</f>
        <v>#VALUE!</v>
      </c>
      <c r="AL50" s="125" t="e">
        <f aca="false">GetRecNdx($AH50,$C50)</f>
        <v>#VALUE!</v>
      </c>
    </row>
    <row r="51" customFormat="false" ht="12.75" hidden="false" customHeight="false" outlineLevel="0" collapsed="false">
      <c r="C51" s="115"/>
      <c r="E51" s="116"/>
      <c r="F51" s="117"/>
      <c r="G51" s="126" t="e">
        <f aca="false">GetDelBasis($AH50,$AL51)</f>
        <v>#VALUE!</v>
      </c>
      <c r="H51" s="119"/>
      <c r="I51" s="120"/>
      <c r="J51" s="120"/>
      <c r="K51" s="120"/>
      <c r="L51" s="121"/>
      <c r="M51" s="127"/>
      <c r="N51" s="119"/>
      <c r="O51" s="121"/>
      <c r="P51" s="127"/>
      <c r="Q51" s="119"/>
      <c r="R51" s="120"/>
      <c r="S51" s="121"/>
      <c r="T51" s="122"/>
      <c r="U51" s="119"/>
      <c r="V51" s="123"/>
      <c r="W51" s="98"/>
      <c r="X51" s="119"/>
      <c r="Y51" s="120"/>
      <c r="Z51" s="120"/>
      <c r="AA51" s="120"/>
      <c r="AB51" s="120"/>
      <c r="AC51" s="121"/>
      <c r="AD51" s="98"/>
      <c r="AE51" s="98"/>
      <c r="AF51" s="98"/>
      <c r="AI51" s="125" t="e">
        <f aca="false">GetWorkSheet($C50)</f>
        <v>#VALUE!</v>
      </c>
      <c r="AJ51" s="125" t="e">
        <f aca="false">IF(NOT($AI51="#VALUE#"),CONCATENATE($AI51,"!",GetDateStart($AI51),":",GetDateEnd($AI51)),"")</f>
        <v>#VALUE!</v>
      </c>
      <c r="AK51" s="125" t="e">
        <f aca="false">IF(NOT($AI51="#VALUE#"),CONCATENATE($AI51,"!",GetDeliveryStart($AI51),":",GetDeliveryEnd($AI51)),"")</f>
        <v>#VALUE!</v>
      </c>
      <c r="AL51" s="125" t="e">
        <f aca="false">GetRecNdx($AH50,$C50)</f>
        <v>#VALUE!</v>
      </c>
    </row>
    <row r="52" customFormat="false" ht="12.75" hidden="false" customHeight="false" outlineLevel="0" collapsed="false">
      <c r="C52" s="115" t="n">
        <v>73</v>
      </c>
      <c r="E52" s="116" t="e">
        <f aca="false">GetPipeName($AH52,$AL52)</f>
        <v>#VALUE!</v>
      </c>
      <c r="F52" s="117" t="e">
        <f aca="false">CONCATENATE(GetRcptPoint($AH52,$AL52)," to ",GetDelPoint($AH52,$AL52))</f>
        <v>#VALUE!</v>
      </c>
      <c r="G52" s="118" t="e">
        <f aca="false">GetRcptBasis($AH52,$AL52)</f>
        <v>#VALUE!</v>
      </c>
      <c r="H52" s="119" t="e">
        <f aca="false">GetTodayAsset($AI52)</f>
        <v>#VALUE!</v>
      </c>
      <c r="I52" s="120" t="e">
        <f aca="false">GetTodayDemand($AI52)</f>
        <v>#VALUE!</v>
      </c>
      <c r="J52" s="120" t="e">
        <f aca="false">H52-I52</f>
        <v>#VALUE!</v>
      </c>
      <c r="K52" s="120" t="e">
        <f aca="false">GetYesterdayPL($AI52)</f>
        <v>#VALUE!</v>
      </c>
      <c r="L52" s="121" t="e">
        <f aca="false">J52-K52</f>
        <v>#VALUE!</v>
      </c>
      <c r="N52" s="119" t="e">
        <f aca="false">GetTodayIntrinsic($AI52)</f>
        <v>#VALUE!</v>
      </c>
      <c r="O52" s="121" t="e">
        <f aca="false">GetTodayExtrinsic($AI52)</f>
        <v>#VALUE!</v>
      </c>
      <c r="Q52" s="119" t="e">
        <f aca="false">GetPriceChange($AI52)</f>
        <v>#VALUE!</v>
      </c>
      <c r="R52" s="120" t="e">
        <f aca="false">GetBasisChange($AI52)</f>
        <v>#VALUE!</v>
      </c>
      <c r="S52" s="121" t="e">
        <f aca="false">GetIndexChange($AI52)</f>
        <v>#VALUE!</v>
      </c>
      <c r="T52" s="122"/>
      <c r="U52" s="119" t="e">
        <f aca="false">GetFuelChange($AI52)</f>
        <v>#VALUE!</v>
      </c>
      <c r="V52" s="123" t="e">
        <f aca="false">GetVarChrgChange($AI52)</f>
        <v>#VALUE!</v>
      </c>
      <c r="W52" s="98"/>
      <c r="X52" s="119" t="e">
        <f aca="false">GetDelta($AI52)</f>
        <v>#VALUE!</v>
      </c>
      <c r="Y52" s="120" t="e">
        <f aca="false">GetGamma($AI52)</f>
        <v>#VALUE!</v>
      </c>
      <c r="Z52" s="120" t="e">
        <f aca="false">GetTheta($AI52)</f>
        <v>#VALUE!</v>
      </c>
      <c r="AA52" s="120" t="e">
        <f aca="false">GetVega($AI52)</f>
        <v>#VALUE!</v>
      </c>
      <c r="AB52" s="120" t="e">
        <f aca="false">GetRho($AI52)</f>
        <v>#VALUE!</v>
      </c>
      <c r="AC52" s="121" t="e">
        <f aca="false">GetDrift($AI52)</f>
        <v>#VALUE!</v>
      </c>
      <c r="AD52" s="98"/>
      <c r="AE52" s="98"/>
      <c r="AF52" s="98"/>
      <c r="AH52" s="124" t="e">
        <f aca="false">GetDBPage($C52)</f>
        <v>#VALUE!</v>
      </c>
      <c r="AI52" s="125" t="e">
        <f aca="false">GetWorkSheet($C52)</f>
        <v>#VALUE!</v>
      </c>
      <c r="AJ52" s="125" t="e">
        <f aca="false">IF(NOT($AI52="#VALUE#"),CONCATENATE($AI52,"!",GetDateStart($AI52),":",GetDateEnd($AI52)),"")</f>
        <v>#VALUE!</v>
      </c>
      <c r="AK52" s="125" t="e">
        <f aca="false">IF(NOT($AI52="#VALUE#"),CONCATENATE($AI52,"!",GetReceiptStart($AI52),":",GetReceiptEnd($AI52)),"")</f>
        <v>#VALUE!</v>
      </c>
      <c r="AL52" s="125" t="e">
        <f aca="false">GetRecNdx($AH52,$C52)</f>
        <v>#VALUE!</v>
      </c>
    </row>
    <row r="53" customFormat="false" ht="12.75" hidden="false" customHeight="false" outlineLevel="0" collapsed="false">
      <c r="C53" s="115"/>
      <c r="E53" s="116"/>
      <c r="F53" s="117"/>
      <c r="G53" s="126" t="e">
        <f aca="false">GetDelBasis($AH52,$AL53)</f>
        <v>#VALUE!</v>
      </c>
      <c r="H53" s="119"/>
      <c r="I53" s="120"/>
      <c r="J53" s="120"/>
      <c r="K53" s="120"/>
      <c r="L53" s="121"/>
      <c r="M53" s="127"/>
      <c r="N53" s="119"/>
      <c r="O53" s="121"/>
      <c r="P53" s="127"/>
      <c r="Q53" s="119"/>
      <c r="R53" s="120"/>
      <c r="S53" s="121"/>
      <c r="T53" s="122"/>
      <c r="U53" s="119"/>
      <c r="V53" s="123"/>
      <c r="W53" s="98"/>
      <c r="X53" s="119"/>
      <c r="Y53" s="120"/>
      <c r="Z53" s="120"/>
      <c r="AA53" s="120"/>
      <c r="AB53" s="120"/>
      <c r="AC53" s="121"/>
      <c r="AD53" s="98"/>
      <c r="AE53" s="98"/>
      <c r="AF53" s="98"/>
      <c r="AI53" s="125" t="e">
        <f aca="false">GetWorkSheet($C52)</f>
        <v>#VALUE!</v>
      </c>
      <c r="AJ53" s="125" t="e">
        <f aca="false">IF(NOT($AI53="#VALUE#"),CONCATENATE($AI53,"!",GetDateStart($AI53),":",GetDateEnd($AI53)),"")</f>
        <v>#VALUE!</v>
      </c>
      <c r="AK53" s="125" t="e">
        <f aca="false">IF(NOT($AI53="#VALUE#"),CONCATENATE($AI53,"!",GetDeliveryStart($AI53),":",GetDeliveryEnd($AI53)),"")</f>
        <v>#VALUE!</v>
      </c>
      <c r="AL53" s="125" t="e">
        <f aca="false">GetRecNdx($AH52,$C52)</f>
        <v>#VALUE!</v>
      </c>
    </row>
    <row r="54" customFormat="false" ht="12.75" hidden="false" customHeight="false" outlineLevel="0" collapsed="false">
      <c r="C54" s="115" t="n">
        <v>88</v>
      </c>
      <c r="E54" s="116" t="e">
        <f aca="false">GetPipeName($AH54,$AL54)</f>
        <v>#VALUE!</v>
      </c>
      <c r="F54" s="117" t="e">
        <f aca="false">CONCATENATE(GetRcptPoint($AH54,$AL54)," to ",GetDelPoint($AH54,$AL54))</f>
        <v>#VALUE!</v>
      </c>
      <c r="G54" s="118" t="e">
        <f aca="false">GetRcptBasis($AH54,$AL54)</f>
        <v>#VALUE!</v>
      </c>
      <c r="H54" s="119" t="e">
        <f aca="false">GetTodayAsset($AI54)</f>
        <v>#VALUE!</v>
      </c>
      <c r="I54" s="120" t="e">
        <f aca="false">GetTodayDemand($AI54)</f>
        <v>#VALUE!</v>
      </c>
      <c r="J54" s="120" t="e">
        <f aca="false">H54-I54</f>
        <v>#VALUE!</v>
      </c>
      <c r="K54" s="120" t="e">
        <f aca="false">GetYesterdayPL($AI54)</f>
        <v>#VALUE!</v>
      </c>
      <c r="L54" s="121" t="e">
        <f aca="false">J54-K54</f>
        <v>#VALUE!</v>
      </c>
      <c r="N54" s="119" t="e">
        <f aca="false">GetTodayIntrinsic($AI54)</f>
        <v>#VALUE!</v>
      </c>
      <c r="O54" s="121" t="e">
        <f aca="false">GetTodayExtrinsic($AI54)</f>
        <v>#VALUE!</v>
      </c>
      <c r="Q54" s="119" t="e">
        <f aca="false">GetPriceChange($AI54)</f>
        <v>#VALUE!</v>
      </c>
      <c r="R54" s="120" t="e">
        <f aca="false">GetBasisChange($AI54)</f>
        <v>#VALUE!</v>
      </c>
      <c r="S54" s="121" t="e">
        <f aca="false">GetIndexChange($AI54)</f>
        <v>#VALUE!</v>
      </c>
      <c r="T54" s="122"/>
      <c r="U54" s="119" t="e">
        <f aca="false">GetFuelChange($AI54)</f>
        <v>#VALUE!</v>
      </c>
      <c r="V54" s="123" t="e">
        <f aca="false">GetVarChrgChange($AI54)</f>
        <v>#VALUE!</v>
      </c>
      <c r="W54" s="98"/>
      <c r="X54" s="119" t="e">
        <f aca="false">GetDelta($AI54)</f>
        <v>#VALUE!</v>
      </c>
      <c r="Y54" s="120" t="e">
        <f aca="false">GetGamma($AI54)</f>
        <v>#VALUE!</v>
      </c>
      <c r="Z54" s="120" t="e">
        <f aca="false">GetTheta($AI54)</f>
        <v>#VALUE!</v>
      </c>
      <c r="AA54" s="120" t="e">
        <f aca="false">GetVega($AI54)</f>
        <v>#VALUE!</v>
      </c>
      <c r="AB54" s="120" t="e">
        <f aca="false">GetRho($AI54)</f>
        <v>#VALUE!</v>
      </c>
      <c r="AC54" s="121" t="e">
        <f aca="false">GetDrift($AI54)</f>
        <v>#VALUE!</v>
      </c>
      <c r="AD54" s="98"/>
      <c r="AE54" s="98"/>
      <c r="AF54" s="98"/>
      <c r="AH54" s="124" t="e">
        <f aca="false">GetDBPage($C54)</f>
        <v>#VALUE!</v>
      </c>
      <c r="AI54" s="125" t="e">
        <f aca="false">GetWorkSheet($C54)</f>
        <v>#VALUE!</v>
      </c>
      <c r="AJ54" s="125" t="e">
        <f aca="false">IF(NOT($AI54="#VALUE#"),CONCATENATE($AI54,"!",GetDateStart($AI54),":",GetDateEnd($AI54)),"")</f>
        <v>#VALUE!</v>
      </c>
      <c r="AK54" s="125" t="e">
        <f aca="false">IF(NOT($AI54="#VALUE#"),CONCATENATE($AI54,"!",GetReceiptStart($AI54),":",GetReceiptEnd($AI54)),"")</f>
        <v>#VALUE!</v>
      </c>
      <c r="AL54" s="125" t="e">
        <f aca="false">GetRecNdx($AH54,$C54)</f>
        <v>#VALUE!</v>
      </c>
    </row>
    <row r="55" customFormat="false" ht="12.75" hidden="false" customHeight="false" outlineLevel="0" collapsed="false">
      <c r="C55" s="115"/>
      <c r="E55" s="116"/>
      <c r="F55" s="117"/>
      <c r="G55" s="126" t="e">
        <f aca="false">GetDelBasis($AH54,$AL55)</f>
        <v>#VALUE!</v>
      </c>
      <c r="H55" s="119"/>
      <c r="I55" s="120"/>
      <c r="J55" s="120"/>
      <c r="K55" s="120"/>
      <c r="L55" s="121"/>
      <c r="M55" s="127"/>
      <c r="N55" s="119"/>
      <c r="O55" s="121"/>
      <c r="P55" s="127"/>
      <c r="Q55" s="119"/>
      <c r="R55" s="120"/>
      <c r="S55" s="121"/>
      <c r="T55" s="122"/>
      <c r="U55" s="119"/>
      <c r="V55" s="123"/>
      <c r="W55" s="98"/>
      <c r="X55" s="119"/>
      <c r="Y55" s="120"/>
      <c r="Z55" s="120"/>
      <c r="AA55" s="120"/>
      <c r="AB55" s="120"/>
      <c r="AC55" s="121"/>
      <c r="AD55" s="98"/>
      <c r="AE55" s="98"/>
      <c r="AF55" s="98"/>
      <c r="AI55" s="125" t="e">
        <f aca="false">GetWorkSheet($C54)</f>
        <v>#VALUE!</v>
      </c>
      <c r="AJ55" s="125" t="e">
        <f aca="false">IF(NOT($AI55="#VALUE#"),CONCATENATE($AI55,"!",GetDateStart($AI55),":",GetDateEnd($AI55)),"")</f>
        <v>#VALUE!</v>
      </c>
      <c r="AK55" s="125" t="e">
        <f aca="false">IF(NOT($AI55="#VALUE#"),CONCATENATE($AI55,"!",GetDeliveryStart($AI55),":",GetDeliveryEnd($AI55)),"")</f>
        <v>#VALUE!</v>
      </c>
      <c r="AL55" s="125" t="e">
        <f aca="false">GetRecNdx($AH54,$C54)</f>
        <v>#VALUE!</v>
      </c>
    </row>
    <row r="56" customFormat="false" ht="12.75" hidden="false" customHeight="false" outlineLevel="0" collapsed="false">
      <c r="C56" s="115" t="n">
        <v>89</v>
      </c>
      <c r="E56" s="116" t="e">
        <f aca="false">GetPipeName($AH56,$AL56)</f>
        <v>#VALUE!</v>
      </c>
      <c r="F56" s="117" t="e">
        <f aca="false">CONCATENATE(GetRcptPoint($AH56,$AL56)," to ",GetDelPoint($AH56,$AL56))</f>
        <v>#VALUE!</v>
      </c>
      <c r="G56" s="118" t="e">
        <f aca="false">GetRcptBasis($AH56,$AL56)</f>
        <v>#VALUE!</v>
      </c>
      <c r="H56" s="119" t="e">
        <f aca="false">GetTodayAsset($AI56)</f>
        <v>#VALUE!</v>
      </c>
      <c r="I56" s="120" t="e">
        <f aca="false">GetTodayDemand($AI56)</f>
        <v>#VALUE!</v>
      </c>
      <c r="J56" s="120" t="e">
        <f aca="false">H56-I56</f>
        <v>#VALUE!</v>
      </c>
      <c r="K56" s="120" t="e">
        <f aca="false">GetYesterdayPL($AI56)</f>
        <v>#VALUE!</v>
      </c>
      <c r="L56" s="121" t="e">
        <f aca="false">J56-K56</f>
        <v>#VALUE!</v>
      </c>
      <c r="N56" s="119" t="e">
        <f aca="false">GetTodayIntrinsic($AI56)</f>
        <v>#VALUE!</v>
      </c>
      <c r="O56" s="121" t="e">
        <f aca="false">GetTodayExtrinsic($AI56)</f>
        <v>#VALUE!</v>
      </c>
      <c r="Q56" s="119" t="e">
        <f aca="false">GetPriceChange($AI56)</f>
        <v>#VALUE!</v>
      </c>
      <c r="R56" s="120" t="e">
        <f aca="false">GetBasisChange($AI56)</f>
        <v>#VALUE!</v>
      </c>
      <c r="S56" s="121" t="e">
        <f aca="false">GetIndexChange($AI56)</f>
        <v>#VALUE!</v>
      </c>
      <c r="T56" s="122"/>
      <c r="U56" s="119" t="e">
        <f aca="false">GetFuelChange($AI56)</f>
        <v>#VALUE!</v>
      </c>
      <c r="V56" s="123" t="e">
        <f aca="false">GetVarChrgChange($AI56)</f>
        <v>#VALUE!</v>
      </c>
      <c r="W56" s="98"/>
      <c r="X56" s="119" t="e">
        <f aca="false">GetDelta($AI56)</f>
        <v>#VALUE!</v>
      </c>
      <c r="Y56" s="120" t="e">
        <f aca="false">GetGamma($AI56)</f>
        <v>#VALUE!</v>
      </c>
      <c r="Z56" s="120" t="e">
        <f aca="false">GetTheta($AI56)</f>
        <v>#VALUE!</v>
      </c>
      <c r="AA56" s="120" t="e">
        <f aca="false">GetVega($AI56)</f>
        <v>#VALUE!</v>
      </c>
      <c r="AB56" s="120" t="e">
        <f aca="false">GetRho($AI56)</f>
        <v>#VALUE!</v>
      </c>
      <c r="AC56" s="121" t="e">
        <f aca="false">GetDrift($AI56)</f>
        <v>#VALUE!</v>
      </c>
      <c r="AD56" s="98"/>
      <c r="AE56" s="98"/>
      <c r="AF56" s="98"/>
      <c r="AH56" s="124" t="e">
        <f aca="false">GetDBPage($C56)</f>
        <v>#VALUE!</v>
      </c>
      <c r="AI56" s="125" t="e">
        <f aca="false">GetWorkSheet($C56)</f>
        <v>#VALUE!</v>
      </c>
      <c r="AJ56" s="125" t="e">
        <f aca="false">IF(NOT($AI56="#VALUE#"),CONCATENATE($AI56,"!",GetDateStart($AI56),":",GetDateEnd($AI56)),"")</f>
        <v>#VALUE!</v>
      </c>
      <c r="AK56" s="125" t="e">
        <f aca="false">IF(NOT($AI56="#VALUE#"),CONCATENATE($AI56,"!",GetReceiptStart($AI56),":",GetReceiptEnd($AI56)),"")</f>
        <v>#VALUE!</v>
      </c>
      <c r="AL56" s="125" t="e">
        <f aca="false">GetRecNdx($AH56,$C56)</f>
        <v>#VALUE!</v>
      </c>
    </row>
    <row r="57" customFormat="false" ht="12.75" hidden="false" customHeight="false" outlineLevel="0" collapsed="false">
      <c r="C57" s="115"/>
      <c r="E57" s="116"/>
      <c r="F57" s="117"/>
      <c r="G57" s="126" t="e">
        <f aca="false">GetDelBasis($AH56,$AL57)</f>
        <v>#VALUE!</v>
      </c>
      <c r="H57" s="119"/>
      <c r="I57" s="120"/>
      <c r="J57" s="120"/>
      <c r="K57" s="120"/>
      <c r="L57" s="121"/>
      <c r="M57" s="127"/>
      <c r="N57" s="119"/>
      <c r="O57" s="121"/>
      <c r="P57" s="127"/>
      <c r="Q57" s="119"/>
      <c r="R57" s="120"/>
      <c r="S57" s="121"/>
      <c r="T57" s="122"/>
      <c r="U57" s="119"/>
      <c r="V57" s="123"/>
      <c r="W57" s="98"/>
      <c r="X57" s="119"/>
      <c r="Y57" s="120"/>
      <c r="Z57" s="120"/>
      <c r="AA57" s="120"/>
      <c r="AB57" s="120"/>
      <c r="AC57" s="121"/>
      <c r="AD57" s="98"/>
      <c r="AE57" s="98"/>
      <c r="AF57" s="98"/>
      <c r="AI57" s="125" t="e">
        <f aca="false">GetWorkSheet($C56)</f>
        <v>#VALUE!</v>
      </c>
      <c r="AJ57" s="125" t="e">
        <f aca="false">IF(NOT($AI57="#VALUE#"),CONCATENATE($AI57,"!",GetDateStart($AI57),":",GetDateEnd($AI57)),"")</f>
        <v>#VALUE!</v>
      </c>
      <c r="AK57" s="125" t="e">
        <f aca="false">IF(NOT($AI57="#VALUE#"),CONCATENATE($AI57,"!",GetDeliveryStart($AI57),":",GetDeliveryEnd($AI57)),"")</f>
        <v>#VALUE!</v>
      </c>
      <c r="AL57" s="125" t="e">
        <f aca="false">GetRecNdx($AH56,$C56)</f>
        <v>#VALUE!</v>
      </c>
    </row>
    <row r="58" customFormat="false" ht="12.75" hidden="false" customHeight="false" outlineLevel="0" collapsed="false">
      <c r="C58" s="115" t="n">
        <v>90</v>
      </c>
      <c r="E58" s="116" t="e">
        <f aca="false">GetPipeName($AH58,$AL58)</f>
        <v>#VALUE!</v>
      </c>
      <c r="F58" s="117" t="e">
        <f aca="false">CONCATENATE(GetRcptPoint($AH58,$AL58)," to ",GetDelPoint($AH58,$AL58))</f>
        <v>#VALUE!</v>
      </c>
      <c r="G58" s="118" t="e">
        <f aca="false">GetRcptBasis($AH58,$AL58)</f>
        <v>#VALUE!</v>
      </c>
      <c r="H58" s="119" t="e">
        <f aca="false">GetTodayAsset($AI58)</f>
        <v>#VALUE!</v>
      </c>
      <c r="I58" s="120" t="e">
        <f aca="false">GetTodayDemand($AI58)</f>
        <v>#VALUE!</v>
      </c>
      <c r="J58" s="120" t="e">
        <f aca="false">H58-I58</f>
        <v>#VALUE!</v>
      </c>
      <c r="K58" s="120" t="e">
        <f aca="false">GetYesterdayPL($AI58)</f>
        <v>#VALUE!</v>
      </c>
      <c r="L58" s="121" t="e">
        <f aca="false">J58-K58</f>
        <v>#VALUE!</v>
      </c>
      <c r="N58" s="119" t="e">
        <f aca="false">GetTodayIntrinsic($AI58)</f>
        <v>#VALUE!</v>
      </c>
      <c r="O58" s="121" t="e">
        <f aca="false">GetTodayExtrinsic($AI58)</f>
        <v>#VALUE!</v>
      </c>
      <c r="Q58" s="119" t="e">
        <f aca="false">GetPriceChange($AI58)</f>
        <v>#VALUE!</v>
      </c>
      <c r="R58" s="120" t="e">
        <f aca="false">GetBasisChange($AI58)</f>
        <v>#VALUE!</v>
      </c>
      <c r="S58" s="121" t="e">
        <f aca="false">GetIndexChange($AI58)</f>
        <v>#VALUE!</v>
      </c>
      <c r="T58" s="122"/>
      <c r="U58" s="119" t="e">
        <f aca="false">GetFuelChange($AI58)</f>
        <v>#VALUE!</v>
      </c>
      <c r="V58" s="123" t="e">
        <f aca="false">GetVarChrgChange($AI58)</f>
        <v>#VALUE!</v>
      </c>
      <c r="W58" s="98"/>
      <c r="X58" s="119" t="e">
        <f aca="false">GetDelta($AI58)</f>
        <v>#VALUE!</v>
      </c>
      <c r="Y58" s="120" t="e">
        <f aca="false">GetGamma($AI58)</f>
        <v>#VALUE!</v>
      </c>
      <c r="Z58" s="120" t="e">
        <f aca="false">GetTheta($AI58)</f>
        <v>#VALUE!</v>
      </c>
      <c r="AA58" s="120" t="e">
        <f aca="false">GetVega($AI58)</f>
        <v>#VALUE!</v>
      </c>
      <c r="AB58" s="120" t="e">
        <f aca="false">GetRho($AI58)</f>
        <v>#VALUE!</v>
      </c>
      <c r="AC58" s="121" t="e">
        <f aca="false">GetDrift($AI58)</f>
        <v>#VALUE!</v>
      </c>
      <c r="AD58" s="98"/>
      <c r="AE58" s="98"/>
      <c r="AF58" s="98"/>
      <c r="AH58" s="124" t="e">
        <f aca="false">GetDBPage($C58)</f>
        <v>#VALUE!</v>
      </c>
      <c r="AI58" s="125" t="e">
        <f aca="false">GetWorkSheet($C58)</f>
        <v>#VALUE!</v>
      </c>
      <c r="AJ58" s="125" t="e">
        <f aca="false">IF(NOT($AI58="#VALUE#"),CONCATENATE($AI58,"!",GetDateStart($AI58),":",GetDateEnd($AI58)),"")</f>
        <v>#VALUE!</v>
      </c>
      <c r="AK58" s="125" t="e">
        <f aca="false">IF(NOT($AI58="#VALUE#"),CONCATENATE($AI58,"!",GetReceiptStart($AI58),":",GetReceiptEnd($AI58)),"")</f>
        <v>#VALUE!</v>
      </c>
      <c r="AL58" s="125" t="e">
        <f aca="false">GetRecNdx($AH58,$C58)</f>
        <v>#VALUE!</v>
      </c>
    </row>
    <row r="59" customFormat="false" ht="12.75" hidden="false" customHeight="false" outlineLevel="0" collapsed="false">
      <c r="C59" s="115"/>
      <c r="E59" s="116"/>
      <c r="F59" s="117"/>
      <c r="G59" s="126" t="e">
        <f aca="false">GetDelBasis($AH58,$AL59)</f>
        <v>#VALUE!</v>
      </c>
      <c r="H59" s="119"/>
      <c r="I59" s="120"/>
      <c r="J59" s="120"/>
      <c r="K59" s="120"/>
      <c r="L59" s="121"/>
      <c r="M59" s="127"/>
      <c r="N59" s="119"/>
      <c r="O59" s="121"/>
      <c r="P59" s="127"/>
      <c r="Q59" s="119"/>
      <c r="R59" s="120"/>
      <c r="S59" s="121"/>
      <c r="T59" s="122"/>
      <c r="U59" s="119"/>
      <c r="V59" s="123"/>
      <c r="W59" s="98"/>
      <c r="X59" s="119"/>
      <c r="Y59" s="120"/>
      <c r="Z59" s="120"/>
      <c r="AA59" s="120"/>
      <c r="AB59" s="120"/>
      <c r="AC59" s="121"/>
      <c r="AD59" s="98"/>
      <c r="AE59" s="98"/>
      <c r="AF59" s="98"/>
      <c r="AI59" s="125" t="e">
        <f aca="false">GetWorkSheet($C58)</f>
        <v>#VALUE!</v>
      </c>
      <c r="AJ59" s="125" t="e">
        <f aca="false">IF(NOT($AI59="#VALUE#"),CONCATENATE($AI59,"!",GetDateStart($AI59),":",GetDateEnd($AI59)),"")</f>
        <v>#VALUE!</v>
      </c>
      <c r="AK59" s="125" t="e">
        <f aca="false">IF(NOT($AI59="#VALUE#"),CONCATENATE($AI59,"!",GetDeliveryStart($AI59),":",GetDeliveryEnd($AI59)),"")</f>
        <v>#VALUE!</v>
      </c>
      <c r="AL59" s="125" t="e">
        <f aca="false">GetRecNdx($AH58,$C58)</f>
        <v>#VALUE!</v>
      </c>
    </row>
    <row r="60" customFormat="false" ht="12.75" hidden="false" customHeight="false" outlineLevel="0" collapsed="false">
      <c r="C60" s="115" t="n">
        <v>100</v>
      </c>
      <c r="E60" s="116" t="e">
        <f aca="false">GetPipeName($AH60,$AL60)</f>
        <v>#VALUE!</v>
      </c>
      <c r="F60" s="117" t="e">
        <f aca="false">CONCATENATE(GetRcptPoint($AH60,$AL60)," to ",GetDelPoint($AH60,$AL60))</f>
        <v>#VALUE!</v>
      </c>
      <c r="G60" s="118" t="e">
        <f aca="false">GetRcptBasis($AH60,$AL60)</f>
        <v>#VALUE!</v>
      </c>
      <c r="H60" s="119" t="e">
        <f aca="false">GetTodayAsset($AI60)</f>
        <v>#VALUE!</v>
      </c>
      <c r="I60" s="120" t="e">
        <f aca="false">GetTodayDemand($AI60)</f>
        <v>#VALUE!</v>
      </c>
      <c r="J60" s="120" t="e">
        <f aca="false">H60-I60</f>
        <v>#VALUE!</v>
      </c>
      <c r="K60" s="120" t="e">
        <f aca="false">GetYesterdayPL($AI60)</f>
        <v>#VALUE!</v>
      </c>
      <c r="L60" s="121" t="e">
        <f aca="false">J60-K60</f>
        <v>#VALUE!</v>
      </c>
      <c r="N60" s="119" t="e">
        <f aca="false">GetTodayIntrinsic($AI60)</f>
        <v>#VALUE!</v>
      </c>
      <c r="O60" s="121" t="e">
        <f aca="false">GetTodayExtrinsic($AI60)</f>
        <v>#VALUE!</v>
      </c>
      <c r="Q60" s="119" t="e">
        <f aca="false">GetPriceChange($AI60)</f>
        <v>#VALUE!</v>
      </c>
      <c r="R60" s="120" t="e">
        <f aca="false">GetBasisChange($AI60)</f>
        <v>#VALUE!</v>
      </c>
      <c r="S60" s="121" t="e">
        <f aca="false">GetIndexChange($AI60)</f>
        <v>#VALUE!</v>
      </c>
      <c r="T60" s="122"/>
      <c r="U60" s="119" t="e">
        <f aca="false">GetFuelChange($AI60)</f>
        <v>#VALUE!</v>
      </c>
      <c r="V60" s="123" t="e">
        <f aca="false">GetVarChrgChange($AI60)</f>
        <v>#VALUE!</v>
      </c>
      <c r="W60" s="98"/>
      <c r="X60" s="119" t="e">
        <f aca="false">GetDelta($AI60)</f>
        <v>#VALUE!</v>
      </c>
      <c r="Y60" s="120" t="e">
        <f aca="false">GetGamma($AI60)</f>
        <v>#VALUE!</v>
      </c>
      <c r="Z60" s="120" t="e">
        <f aca="false">GetTheta($AI60)</f>
        <v>#VALUE!</v>
      </c>
      <c r="AA60" s="120" t="e">
        <f aca="false">GetVega($AI60)</f>
        <v>#VALUE!</v>
      </c>
      <c r="AB60" s="120" t="e">
        <f aca="false">GetRho($AI60)</f>
        <v>#VALUE!</v>
      </c>
      <c r="AC60" s="121" t="e">
        <f aca="false">GetDrift($AI60)</f>
        <v>#VALUE!</v>
      </c>
      <c r="AD60" s="98"/>
      <c r="AE60" s="98"/>
      <c r="AF60" s="98"/>
      <c r="AH60" s="124" t="e">
        <f aca="false">GetDBPage($C60)</f>
        <v>#VALUE!</v>
      </c>
      <c r="AI60" s="125" t="e">
        <f aca="false">GetWorkSheet($C60)</f>
        <v>#VALUE!</v>
      </c>
      <c r="AJ60" s="125" t="e">
        <f aca="false">IF(NOT($AI60="#VALUE#"),CONCATENATE($AI60,"!",GetDateStart($AI60),":",GetDateEnd($AI60)),"")</f>
        <v>#VALUE!</v>
      </c>
      <c r="AK60" s="125" t="e">
        <f aca="false">IF(NOT($AI60="#VALUE#"),CONCATENATE($AI60,"!",GetReceiptStart($AI60),":",GetReceiptEnd($AI60)),"")</f>
        <v>#VALUE!</v>
      </c>
      <c r="AL60" s="125" t="e">
        <f aca="false">GetRecNdx($AH60,$C60)</f>
        <v>#VALUE!</v>
      </c>
    </row>
    <row r="61" customFormat="false" ht="12.75" hidden="false" customHeight="false" outlineLevel="0" collapsed="false">
      <c r="C61" s="115"/>
      <c r="E61" s="116"/>
      <c r="F61" s="117"/>
      <c r="G61" s="126" t="e">
        <f aca="false">GetDelBasis($AH60,$AL61)</f>
        <v>#VALUE!</v>
      </c>
      <c r="H61" s="119"/>
      <c r="I61" s="120"/>
      <c r="J61" s="120"/>
      <c r="K61" s="120"/>
      <c r="L61" s="121"/>
      <c r="M61" s="127"/>
      <c r="N61" s="119"/>
      <c r="O61" s="121"/>
      <c r="P61" s="127"/>
      <c r="Q61" s="119"/>
      <c r="R61" s="120"/>
      <c r="S61" s="121"/>
      <c r="T61" s="122"/>
      <c r="U61" s="119"/>
      <c r="V61" s="123"/>
      <c r="W61" s="98"/>
      <c r="X61" s="119"/>
      <c r="Y61" s="120"/>
      <c r="Z61" s="120"/>
      <c r="AA61" s="120"/>
      <c r="AB61" s="120"/>
      <c r="AC61" s="121"/>
      <c r="AD61" s="98"/>
      <c r="AE61" s="98"/>
      <c r="AF61" s="98"/>
      <c r="AI61" s="125" t="e">
        <f aca="false">GetWorkSheet($C60)</f>
        <v>#VALUE!</v>
      </c>
      <c r="AJ61" s="125" t="e">
        <f aca="false">IF(NOT($AI61="#VALUE#"),CONCATENATE($AI61,"!",GetDateStart($AI61),":",GetDateEnd($AI61)),"")</f>
        <v>#VALUE!</v>
      </c>
      <c r="AK61" s="125" t="e">
        <f aca="false">IF(NOT($AI61="#VALUE#"),CONCATENATE($AI61,"!",GetDeliveryStart($AI61),":",GetDeliveryEnd($AI61)),"")</f>
        <v>#VALUE!</v>
      </c>
      <c r="AL61" s="125" t="e">
        <f aca="false">GetRecNdx($AH60,$C60)</f>
        <v>#VALUE!</v>
      </c>
    </row>
    <row r="62" customFormat="false" ht="12.75" hidden="false" customHeight="false" outlineLevel="0" collapsed="false">
      <c r="C62" s="115" t="n">
        <v>101</v>
      </c>
      <c r="E62" s="116" t="e">
        <f aca="false">GetPipeName($AH62,$AL62)</f>
        <v>#VALUE!</v>
      </c>
      <c r="F62" s="117" t="e">
        <f aca="false">CONCATENATE(GetRcptPoint($AH62,$AL62)," to ",GetDelPoint($AH62,$AL62))</f>
        <v>#VALUE!</v>
      </c>
      <c r="G62" s="118" t="e">
        <f aca="false">GetRcptBasis($AH62,$AL62)</f>
        <v>#VALUE!</v>
      </c>
      <c r="H62" s="119" t="e">
        <f aca="false">GetTodayAsset($AI62)</f>
        <v>#VALUE!</v>
      </c>
      <c r="I62" s="120" t="e">
        <f aca="false">GetTodayDemand($AI62)</f>
        <v>#VALUE!</v>
      </c>
      <c r="J62" s="120" t="e">
        <f aca="false">H62-I62</f>
        <v>#VALUE!</v>
      </c>
      <c r="K62" s="120" t="e">
        <f aca="false">GetYesterdayPL($AI62)</f>
        <v>#VALUE!</v>
      </c>
      <c r="L62" s="121" t="e">
        <f aca="false">J62-K62</f>
        <v>#VALUE!</v>
      </c>
      <c r="N62" s="119" t="e">
        <f aca="false">GetTodayIntrinsic($AI62)</f>
        <v>#VALUE!</v>
      </c>
      <c r="O62" s="121" t="e">
        <f aca="false">GetTodayExtrinsic($AI62)</f>
        <v>#VALUE!</v>
      </c>
      <c r="Q62" s="119" t="e">
        <f aca="false">GetPriceChange($AI62)</f>
        <v>#VALUE!</v>
      </c>
      <c r="R62" s="120" t="e">
        <f aca="false">GetBasisChange($AI62)</f>
        <v>#VALUE!</v>
      </c>
      <c r="S62" s="121" t="e">
        <f aca="false">GetIndexChange($AI62)</f>
        <v>#VALUE!</v>
      </c>
      <c r="T62" s="122"/>
      <c r="U62" s="119" t="e">
        <f aca="false">GetFuelChange($AI62)</f>
        <v>#VALUE!</v>
      </c>
      <c r="V62" s="123" t="e">
        <f aca="false">GetVarChrgChange($AI62)</f>
        <v>#VALUE!</v>
      </c>
      <c r="W62" s="98"/>
      <c r="X62" s="119" t="e">
        <f aca="false">GetDelta($AI62)</f>
        <v>#VALUE!</v>
      </c>
      <c r="Y62" s="120" t="e">
        <f aca="false">GetGamma($AI62)</f>
        <v>#VALUE!</v>
      </c>
      <c r="Z62" s="120" t="e">
        <f aca="false">GetTheta($AI62)</f>
        <v>#VALUE!</v>
      </c>
      <c r="AA62" s="120" t="e">
        <f aca="false">GetVega($AI62)</f>
        <v>#VALUE!</v>
      </c>
      <c r="AB62" s="120" t="e">
        <f aca="false">GetRho($AI62)</f>
        <v>#VALUE!</v>
      </c>
      <c r="AC62" s="121" t="e">
        <f aca="false">GetDrift($AI62)</f>
        <v>#VALUE!</v>
      </c>
      <c r="AD62" s="98"/>
      <c r="AE62" s="98"/>
      <c r="AF62" s="98"/>
      <c r="AH62" s="124" t="e">
        <f aca="false">GetDBPage($C62)</f>
        <v>#VALUE!</v>
      </c>
      <c r="AI62" s="125" t="e">
        <f aca="false">GetWorkSheet($C62)</f>
        <v>#VALUE!</v>
      </c>
      <c r="AJ62" s="125" t="e">
        <f aca="false">IF(NOT($AI62="#VALUE#"),CONCATENATE($AI62,"!",GetDateStart($AI62),":",GetDateEnd($AI62)),"")</f>
        <v>#VALUE!</v>
      </c>
      <c r="AK62" s="125" t="e">
        <f aca="false">IF(NOT($AI62="#VALUE#"),CONCATENATE($AI62,"!",GetReceiptStart($AI62),":",GetReceiptEnd($AI62)),"")</f>
        <v>#VALUE!</v>
      </c>
      <c r="AL62" s="125" t="e">
        <f aca="false">GetRecNdx($AH62,$C62)</f>
        <v>#VALUE!</v>
      </c>
    </row>
    <row r="63" customFormat="false" ht="12.75" hidden="false" customHeight="false" outlineLevel="0" collapsed="false">
      <c r="C63" s="115"/>
      <c r="E63" s="116"/>
      <c r="F63" s="117"/>
      <c r="G63" s="126" t="e">
        <f aca="false">GetDelBasis($AH62,$AL63)</f>
        <v>#VALUE!</v>
      </c>
      <c r="H63" s="119"/>
      <c r="I63" s="120"/>
      <c r="J63" s="120"/>
      <c r="K63" s="120"/>
      <c r="L63" s="121"/>
      <c r="M63" s="127"/>
      <c r="N63" s="119"/>
      <c r="O63" s="121"/>
      <c r="P63" s="127"/>
      <c r="Q63" s="119"/>
      <c r="R63" s="120"/>
      <c r="S63" s="121"/>
      <c r="T63" s="122"/>
      <c r="U63" s="119"/>
      <c r="V63" s="123"/>
      <c r="W63" s="98"/>
      <c r="X63" s="119"/>
      <c r="Y63" s="120"/>
      <c r="Z63" s="120"/>
      <c r="AA63" s="120"/>
      <c r="AB63" s="120"/>
      <c r="AC63" s="121"/>
      <c r="AD63" s="98"/>
      <c r="AE63" s="98"/>
      <c r="AF63" s="98"/>
      <c r="AI63" s="125" t="e">
        <f aca="false">GetWorkSheet($C62)</f>
        <v>#VALUE!</v>
      </c>
      <c r="AJ63" s="125" t="e">
        <f aca="false">IF(NOT($AI63="#VALUE#"),CONCATENATE($AI63,"!",GetDateStart($AI63),":",GetDateEnd($AI63)),"")</f>
        <v>#VALUE!</v>
      </c>
      <c r="AK63" s="125" t="e">
        <f aca="false">IF(NOT($AI63="#VALUE#"),CONCATENATE($AI63,"!",GetDeliveryStart($AI63),":",GetDeliveryEnd($AI63)),"")</f>
        <v>#VALUE!</v>
      </c>
      <c r="AL63" s="125" t="e">
        <f aca="false">GetRecNdx($AH62,$C62)</f>
        <v>#VALUE!</v>
      </c>
    </row>
    <row r="64" customFormat="false" ht="12.75" hidden="false" customHeight="false" outlineLevel="0" collapsed="false">
      <c r="C64" s="115" t="n">
        <v>102</v>
      </c>
      <c r="E64" s="116" t="e">
        <f aca="false">GetPipeName($AH64,$AL64)</f>
        <v>#VALUE!</v>
      </c>
      <c r="F64" s="117" t="e">
        <f aca="false">CONCATENATE(GetRcptPoint($AH64,$AL64)," to ",GetDelPoint($AH64,$AL64))</f>
        <v>#VALUE!</v>
      </c>
      <c r="G64" s="118" t="e">
        <f aca="false">GetRcptBasis($AH64,$AL64)</f>
        <v>#VALUE!</v>
      </c>
      <c r="H64" s="119" t="e">
        <f aca="false">GetTodayAsset($AI64)</f>
        <v>#VALUE!</v>
      </c>
      <c r="I64" s="120" t="e">
        <f aca="false">GetTodayDemand($AI64)</f>
        <v>#VALUE!</v>
      </c>
      <c r="J64" s="120" t="e">
        <f aca="false">H64-I64</f>
        <v>#VALUE!</v>
      </c>
      <c r="K64" s="120" t="e">
        <f aca="false">GetYesterdayPL($AI64)</f>
        <v>#VALUE!</v>
      </c>
      <c r="L64" s="121" t="e">
        <f aca="false">J64-K64</f>
        <v>#VALUE!</v>
      </c>
      <c r="N64" s="119" t="e">
        <f aca="false">GetTodayIntrinsic($AI64)</f>
        <v>#VALUE!</v>
      </c>
      <c r="O64" s="121" t="e">
        <f aca="false">GetTodayExtrinsic($AI64)</f>
        <v>#VALUE!</v>
      </c>
      <c r="Q64" s="119" t="e">
        <f aca="false">GetPriceChange($AI64)</f>
        <v>#VALUE!</v>
      </c>
      <c r="R64" s="120" t="e">
        <f aca="false">GetBasisChange($AI64)</f>
        <v>#VALUE!</v>
      </c>
      <c r="S64" s="121" t="e">
        <f aca="false">GetIndexChange($AI64)</f>
        <v>#VALUE!</v>
      </c>
      <c r="T64" s="122"/>
      <c r="U64" s="119" t="e">
        <f aca="false">GetFuelChange($AI64)</f>
        <v>#VALUE!</v>
      </c>
      <c r="V64" s="123" t="e">
        <f aca="false">GetVarChrgChange($AI64)</f>
        <v>#VALUE!</v>
      </c>
      <c r="W64" s="98"/>
      <c r="X64" s="119" t="e">
        <f aca="false">GetDelta($AI64)</f>
        <v>#VALUE!</v>
      </c>
      <c r="Y64" s="120" t="e">
        <f aca="false">GetGamma($AI64)</f>
        <v>#VALUE!</v>
      </c>
      <c r="Z64" s="120" t="e">
        <f aca="false">GetTheta($AI64)</f>
        <v>#VALUE!</v>
      </c>
      <c r="AA64" s="120" t="e">
        <f aca="false">GetVega($AI64)</f>
        <v>#VALUE!</v>
      </c>
      <c r="AB64" s="120" t="e">
        <f aca="false">GetRho($AI64)</f>
        <v>#VALUE!</v>
      </c>
      <c r="AC64" s="121" t="e">
        <f aca="false">GetDrift($AI64)</f>
        <v>#VALUE!</v>
      </c>
      <c r="AD64" s="98"/>
      <c r="AE64" s="98"/>
      <c r="AF64" s="98"/>
      <c r="AH64" s="124" t="e">
        <f aca="false">GetDBPage($C64)</f>
        <v>#VALUE!</v>
      </c>
      <c r="AI64" s="125" t="e">
        <f aca="false">GetWorkSheet($C64)</f>
        <v>#VALUE!</v>
      </c>
      <c r="AJ64" s="125" t="e">
        <f aca="false">IF(NOT($AI64="#VALUE#"),CONCATENATE($AI64,"!",GetDateStart($AI64),":",GetDateEnd($AI64)),"")</f>
        <v>#VALUE!</v>
      </c>
      <c r="AK64" s="125" t="e">
        <f aca="false">IF(NOT($AI64="#VALUE#"),CONCATENATE($AI64,"!",GetReceiptStart($AI64),":",GetReceiptEnd($AI64)),"")</f>
        <v>#VALUE!</v>
      </c>
      <c r="AL64" s="125" t="e">
        <f aca="false">GetRecNdx($AH64,$C64)</f>
        <v>#VALUE!</v>
      </c>
    </row>
    <row r="65" customFormat="false" ht="12.75" hidden="false" customHeight="false" outlineLevel="0" collapsed="false">
      <c r="C65" s="115"/>
      <c r="E65" s="116"/>
      <c r="F65" s="117"/>
      <c r="G65" s="126" t="e">
        <f aca="false">GetDelBasis($AH64,$AL65)</f>
        <v>#VALUE!</v>
      </c>
      <c r="H65" s="119"/>
      <c r="I65" s="120"/>
      <c r="J65" s="120"/>
      <c r="K65" s="120"/>
      <c r="L65" s="121"/>
      <c r="M65" s="127"/>
      <c r="N65" s="119"/>
      <c r="O65" s="121"/>
      <c r="P65" s="127"/>
      <c r="Q65" s="119"/>
      <c r="R65" s="120"/>
      <c r="S65" s="121"/>
      <c r="T65" s="122"/>
      <c r="U65" s="119"/>
      <c r="V65" s="123"/>
      <c r="W65" s="98"/>
      <c r="X65" s="119"/>
      <c r="Y65" s="120"/>
      <c r="Z65" s="120"/>
      <c r="AA65" s="120"/>
      <c r="AB65" s="120"/>
      <c r="AC65" s="121"/>
      <c r="AD65" s="98"/>
      <c r="AE65" s="98"/>
      <c r="AF65" s="98"/>
      <c r="AI65" s="125" t="e">
        <f aca="false">GetWorkSheet($C64)</f>
        <v>#VALUE!</v>
      </c>
      <c r="AJ65" s="125" t="e">
        <f aca="false">IF(NOT($AI65="#VALUE#"),CONCATENATE($AI65,"!",GetDateStart($AI65),":",GetDateEnd($AI65)),"")</f>
        <v>#VALUE!</v>
      </c>
      <c r="AK65" s="125" t="e">
        <f aca="false">IF(NOT($AI65="#VALUE#"),CONCATENATE($AI65,"!",GetDeliveryStart($AI65),":",GetDeliveryEnd($AI65)),"")</f>
        <v>#VALUE!</v>
      </c>
      <c r="AL65" s="125" t="e">
        <f aca="false">GetRecNdx($AH64,$C64)</f>
        <v>#VALUE!</v>
      </c>
    </row>
    <row r="66" customFormat="false" ht="12.75" hidden="false" customHeight="false" outlineLevel="0" collapsed="false">
      <c r="C66" s="115" t="n">
        <v>103</v>
      </c>
      <c r="E66" s="116" t="e">
        <f aca="false">GetPipeName($AH66,$AL66)</f>
        <v>#VALUE!</v>
      </c>
      <c r="F66" s="117" t="e">
        <f aca="false">CONCATENATE(GetRcptPoint($AH66,$AL66)," to ",GetDelPoint($AH66,$AL66))</f>
        <v>#VALUE!</v>
      </c>
      <c r="G66" s="118" t="e">
        <f aca="false">GetRcptBasis($AH66,$AL66)</f>
        <v>#VALUE!</v>
      </c>
      <c r="H66" s="119" t="e">
        <f aca="false">GetTodayAsset($AI66)</f>
        <v>#VALUE!</v>
      </c>
      <c r="I66" s="120" t="e">
        <f aca="false">GetTodayDemand($AI66)</f>
        <v>#VALUE!</v>
      </c>
      <c r="J66" s="120" t="e">
        <f aca="false">H66-I66</f>
        <v>#VALUE!</v>
      </c>
      <c r="K66" s="120" t="e">
        <f aca="false">GetYesterdayPL($AI66)</f>
        <v>#VALUE!</v>
      </c>
      <c r="L66" s="121" t="e">
        <f aca="false">J66-K66</f>
        <v>#VALUE!</v>
      </c>
      <c r="N66" s="119" t="e">
        <f aca="false">GetTodayIntrinsic($AI66)</f>
        <v>#VALUE!</v>
      </c>
      <c r="O66" s="121" t="e">
        <f aca="false">GetTodayExtrinsic($AI66)</f>
        <v>#VALUE!</v>
      </c>
      <c r="Q66" s="119" t="e">
        <f aca="false">GetPriceChange($AI66)</f>
        <v>#VALUE!</v>
      </c>
      <c r="R66" s="120" t="e">
        <f aca="false">GetBasisChange($AI66)</f>
        <v>#VALUE!</v>
      </c>
      <c r="S66" s="121" t="e">
        <f aca="false">GetIndexChange($AI66)</f>
        <v>#VALUE!</v>
      </c>
      <c r="T66" s="122"/>
      <c r="U66" s="119" t="e">
        <f aca="false">GetFuelChange($AI66)</f>
        <v>#VALUE!</v>
      </c>
      <c r="V66" s="123" t="e">
        <f aca="false">GetVarChrgChange($AI66)</f>
        <v>#VALUE!</v>
      </c>
      <c r="W66" s="98"/>
      <c r="X66" s="119" t="e">
        <f aca="false">GetDelta($AI66)</f>
        <v>#VALUE!</v>
      </c>
      <c r="Y66" s="120" t="e">
        <f aca="false">GetGamma($AI66)</f>
        <v>#VALUE!</v>
      </c>
      <c r="Z66" s="120" t="e">
        <f aca="false">GetTheta($AI66)</f>
        <v>#VALUE!</v>
      </c>
      <c r="AA66" s="120" t="e">
        <f aca="false">GetVega($AI66)</f>
        <v>#VALUE!</v>
      </c>
      <c r="AB66" s="120" t="e">
        <f aca="false">GetRho($AI66)</f>
        <v>#VALUE!</v>
      </c>
      <c r="AC66" s="121" t="e">
        <f aca="false">GetDrift($AI66)</f>
        <v>#VALUE!</v>
      </c>
      <c r="AD66" s="98"/>
      <c r="AE66" s="98"/>
      <c r="AF66" s="98"/>
      <c r="AH66" s="124" t="e">
        <f aca="false">GetDBPage($C66)</f>
        <v>#VALUE!</v>
      </c>
      <c r="AI66" s="125" t="e">
        <f aca="false">GetWorkSheet($C66)</f>
        <v>#VALUE!</v>
      </c>
      <c r="AJ66" s="125" t="e">
        <f aca="false">IF(NOT($AI66="#VALUE#"),CONCATENATE($AI66,"!",GetDateStart($AI66),":",GetDateEnd($AI66)),"")</f>
        <v>#VALUE!</v>
      </c>
      <c r="AK66" s="125" t="e">
        <f aca="false">IF(NOT($AI66="#VALUE#"),CONCATENATE($AI66,"!",GetReceiptStart($AI66),":",GetReceiptEnd($AI66)),"")</f>
        <v>#VALUE!</v>
      </c>
      <c r="AL66" s="125" t="e">
        <f aca="false">GetRecNdx($AH66,$C66)</f>
        <v>#VALUE!</v>
      </c>
    </row>
    <row r="67" customFormat="false" ht="12.75" hidden="false" customHeight="false" outlineLevel="0" collapsed="false">
      <c r="C67" s="115"/>
      <c r="E67" s="116"/>
      <c r="F67" s="117"/>
      <c r="G67" s="126" t="e">
        <f aca="false">GetDelBasis($AH66,$AL67)</f>
        <v>#VALUE!</v>
      </c>
      <c r="H67" s="119"/>
      <c r="I67" s="120"/>
      <c r="J67" s="120"/>
      <c r="K67" s="120"/>
      <c r="L67" s="121"/>
      <c r="M67" s="127"/>
      <c r="N67" s="119"/>
      <c r="O67" s="121"/>
      <c r="P67" s="127"/>
      <c r="Q67" s="119"/>
      <c r="R67" s="120"/>
      <c r="S67" s="121"/>
      <c r="T67" s="122"/>
      <c r="U67" s="119"/>
      <c r="V67" s="123"/>
      <c r="W67" s="98"/>
      <c r="X67" s="119"/>
      <c r="Y67" s="120"/>
      <c r="Z67" s="120"/>
      <c r="AA67" s="120"/>
      <c r="AB67" s="120"/>
      <c r="AC67" s="121"/>
      <c r="AD67" s="98"/>
      <c r="AE67" s="98"/>
      <c r="AF67" s="98"/>
      <c r="AI67" s="125" t="e">
        <f aca="false">GetWorkSheet($C66)</f>
        <v>#VALUE!</v>
      </c>
      <c r="AJ67" s="125" t="e">
        <f aca="false">IF(NOT($AI67="#VALUE#"),CONCATENATE($AI67,"!",GetDateStart($AI67),":",GetDateEnd($AI67)),"")</f>
        <v>#VALUE!</v>
      </c>
      <c r="AK67" s="125" t="e">
        <f aca="false">IF(NOT($AI67="#VALUE#"),CONCATENATE($AI67,"!",GetDeliveryStart($AI67),":",GetDeliveryEnd($AI67)),"")</f>
        <v>#VALUE!</v>
      </c>
      <c r="AL67" s="125" t="e">
        <f aca="false">GetRecNdx($AH66,$C66)</f>
        <v>#VALUE!</v>
      </c>
    </row>
    <row r="68" customFormat="false" ht="12.75" hidden="false" customHeight="false" outlineLevel="0" collapsed="false">
      <c r="C68" s="115" t="n">
        <v>104</v>
      </c>
      <c r="E68" s="116" t="e">
        <f aca="false">GetPipeName($AH68,$AL68)</f>
        <v>#VALUE!</v>
      </c>
      <c r="F68" s="117" t="e">
        <f aca="false">CONCATENATE(GetRcptPoint($AH68,$AL68)," to ",GetDelPoint($AH68,$AL68))</f>
        <v>#VALUE!</v>
      </c>
      <c r="G68" s="118" t="e">
        <f aca="false">GetRcptBasis($AH68,$AL68)</f>
        <v>#VALUE!</v>
      </c>
      <c r="H68" s="119" t="e">
        <f aca="false">GetTodayAsset($AI68)</f>
        <v>#VALUE!</v>
      </c>
      <c r="I68" s="120" t="e">
        <f aca="false">GetTodayDemand($AI68)</f>
        <v>#VALUE!</v>
      </c>
      <c r="J68" s="120" t="e">
        <f aca="false">H68-I68</f>
        <v>#VALUE!</v>
      </c>
      <c r="K68" s="120" t="e">
        <f aca="false">GetYesterdayPL($AI68)</f>
        <v>#VALUE!</v>
      </c>
      <c r="L68" s="121" t="e">
        <f aca="false">J68-K68</f>
        <v>#VALUE!</v>
      </c>
      <c r="N68" s="119" t="e">
        <f aca="false">GetTodayIntrinsic($AI68)</f>
        <v>#VALUE!</v>
      </c>
      <c r="O68" s="121" t="e">
        <f aca="false">GetTodayExtrinsic($AI68)</f>
        <v>#VALUE!</v>
      </c>
      <c r="Q68" s="119" t="e">
        <f aca="false">GetPriceChange($AI68)</f>
        <v>#VALUE!</v>
      </c>
      <c r="R68" s="120" t="e">
        <f aca="false">GetBasisChange($AI68)</f>
        <v>#VALUE!</v>
      </c>
      <c r="S68" s="121" t="e">
        <f aca="false">GetIndexChange($AI68)</f>
        <v>#VALUE!</v>
      </c>
      <c r="T68" s="122"/>
      <c r="U68" s="119" t="e">
        <f aca="false">GetFuelChange($AI68)</f>
        <v>#VALUE!</v>
      </c>
      <c r="V68" s="123" t="e">
        <f aca="false">GetVarChrgChange($AI68)</f>
        <v>#VALUE!</v>
      </c>
      <c r="W68" s="98"/>
      <c r="X68" s="119" t="e">
        <f aca="false">GetDelta($AI68)</f>
        <v>#VALUE!</v>
      </c>
      <c r="Y68" s="120" t="e">
        <f aca="false">GetGamma($AI68)</f>
        <v>#VALUE!</v>
      </c>
      <c r="Z68" s="120" t="e">
        <f aca="false">GetTheta($AI68)</f>
        <v>#VALUE!</v>
      </c>
      <c r="AA68" s="120" t="e">
        <f aca="false">GetVega($AI68)</f>
        <v>#VALUE!</v>
      </c>
      <c r="AB68" s="120" t="e">
        <f aca="false">GetRho($AI68)</f>
        <v>#VALUE!</v>
      </c>
      <c r="AC68" s="121" t="e">
        <f aca="false">GetDrift($AI68)</f>
        <v>#VALUE!</v>
      </c>
      <c r="AD68" s="98"/>
      <c r="AE68" s="98"/>
      <c r="AF68" s="98"/>
      <c r="AH68" s="124" t="e">
        <f aca="false">GetDBPage($C68)</f>
        <v>#VALUE!</v>
      </c>
      <c r="AI68" s="125" t="e">
        <f aca="false">GetWorkSheet($C68)</f>
        <v>#VALUE!</v>
      </c>
      <c r="AJ68" s="125" t="e">
        <f aca="false">IF(NOT($AI68="#VALUE#"),CONCATENATE($AI68,"!",GetDateStart($AI68),":",GetDateEnd($AI68)),"")</f>
        <v>#VALUE!</v>
      </c>
      <c r="AK68" s="125" t="e">
        <f aca="false">IF(NOT($AI68="#VALUE#"),CONCATENATE($AI68,"!",GetReceiptStart($AI68),":",GetReceiptEnd($AI68)),"")</f>
        <v>#VALUE!</v>
      </c>
      <c r="AL68" s="125" t="e">
        <f aca="false">GetRecNdx($AH68,$C68)</f>
        <v>#VALUE!</v>
      </c>
    </row>
    <row r="69" customFormat="false" ht="12.75" hidden="false" customHeight="false" outlineLevel="0" collapsed="false">
      <c r="C69" s="115"/>
      <c r="E69" s="116"/>
      <c r="F69" s="117"/>
      <c r="G69" s="126" t="e">
        <f aca="false">GetDelBasis($AH68,$AL69)</f>
        <v>#VALUE!</v>
      </c>
      <c r="H69" s="119"/>
      <c r="I69" s="120"/>
      <c r="J69" s="120"/>
      <c r="K69" s="120"/>
      <c r="L69" s="121"/>
      <c r="M69" s="127"/>
      <c r="N69" s="119"/>
      <c r="O69" s="121"/>
      <c r="P69" s="127"/>
      <c r="Q69" s="119"/>
      <c r="R69" s="120"/>
      <c r="S69" s="121"/>
      <c r="T69" s="122"/>
      <c r="U69" s="119"/>
      <c r="V69" s="123"/>
      <c r="W69" s="98"/>
      <c r="X69" s="119"/>
      <c r="Y69" s="120"/>
      <c r="Z69" s="120"/>
      <c r="AA69" s="120"/>
      <c r="AB69" s="120"/>
      <c r="AC69" s="121"/>
      <c r="AD69" s="98"/>
      <c r="AE69" s="98"/>
      <c r="AF69" s="98"/>
      <c r="AI69" s="125" t="e">
        <f aca="false">GetWorkSheet($C68)</f>
        <v>#VALUE!</v>
      </c>
      <c r="AJ69" s="125" t="e">
        <f aca="false">IF(NOT($AI69="#VALUE#"),CONCATENATE($AI69,"!",GetDateStart($AI69),":",GetDateEnd($AI69)),"")</f>
        <v>#VALUE!</v>
      </c>
      <c r="AK69" s="125" t="e">
        <f aca="false">IF(NOT($AI69="#VALUE#"),CONCATENATE($AI69,"!",GetDeliveryStart($AI69),":",GetDeliveryEnd($AI69)),"")</f>
        <v>#VALUE!</v>
      </c>
      <c r="AL69" s="125" t="e">
        <f aca="false">GetRecNdx($AH68,$C68)</f>
        <v>#VALUE!</v>
      </c>
    </row>
    <row r="70" customFormat="false" ht="12.75" hidden="false" customHeight="false" outlineLevel="0" collapsed="false">
      <c r="C70" s="115" t="n">
        <v>105</v>
      </c>
      <c r="E70" s="116" t="e">
        <f aca="false">GetPipeName($AH70,$AL70)</f>
        <v>#VALUE!</v>
      </c>
      <c r="F70" s="117" t="e">
        <f aca="false">CONCATENATE(GetRcptPoint($AH70,$AL70)," to ",GetDelPoint($AH70,$AL70))</f>
        <v>#VALUE!</v>
      </c>
      <c r="G70" s="118" t="e">
        <f aca="false">GetRcptBasis($AH70,$AL70)</f>
        <v>#VALUE!</v>
      </c>
      <c r="H70" s="119" t="e">
        <f aca="false">GetTodayAsset($AI70)</f>
        <v>#VALUE!</v>
      </c>
      <c r="I70" s="120" t="e">
        <f aca="false">GetTodayDemand($AI70)</f>
        <v>#VALUE!</v>
      </c>
      <c r="J70" s="120" t="e">
        <f aca="false">H70-I70</f>
        <v>#VALUE!</v>
      </c>
      <c r="K70" s="120" t="e">
        <f aca="false">GetYesterdayPL($AI70)</f>
        <v>#VALUE!</v>
      </c>
      <c r="L70" s="121" t="e">
        <f aca="false">J70-K70</f>
        <v>#VALUE!</v>
      </c>
      <c r="N70" s="119" t="e">
        <f aca="false">GetTodayIntrinsic($AI70)</f>
        <v>#VALUE!</v>
      </c>
      <c r="O70" s="121" t="e">
        <f aca="false">GetTodayExtrinsic($AI70)</f>
        <v>#VALUE!</v>
      </c>
      <c r="Q70" s="119" t="e">
        <f aca="false">GetPriceChange($AI70)</f>
        <v>#VALUE!</v>
      </c>
      <c r="R70" s="120" t="e">
        <f aca="false">GetBasisChange($AI70)</f>
        <v>#VALUE!</v>
      </c>
      <c r="S70" s="121" t="e">
        <f aca="false">GetIndexChange($AI70)</f>
        <v>#VALUE!</v>
      </c>
      <c r="T70" s="122"/>
      <c r="U70" s="119" t="e">
        <f aca="false">GetFuelChange($AI70)</f>
        <v>#VALUE!</v>
      </c>
      <c r="V70" s="123" t="e">
        <f aca="false">GetVarChrgChange($AI70)</f>
        <v>#VALUE!</v>
      </c>
      <c r="W70" s="98"/>
      <c r="X70" s="119" t="e">
        <f aca="false">GetDelta($AI70)</f>
        <v>#VALUE!</v>
      </c>
      <c r="Y70" s="120" t="e">
        <f aca="false">GetGamma($AI70)</f>
        <v>#VALUE!</v>
      </c>
      <c r="Z70" s="120" t="e">
        <f aca="false">GetTheta($AI70)</f>
        <v>#VALUE!</v>
      </c>
      <c r="AA70" s="120" t="e">
        <f aca="false">GetVega($AI70)</f>
        <v>#VALUE!</v>
      </c>
      <c r="AB70" s="120" t="e">
        <f aca="false">GetRho($AI70)</f>
        <v>#VALUE!</v>
      </c>
      <c r="AC70" s="121" t="e">
        <f aca="false">GetDrift($AI70)</f>
        <v>#VALUE!</v>
      </c>
      <c r="AD70" s="98"/>
      <c r="AE70" s="98"/>
      <c r="AF70" s="98"/>
      <c r="AH70" s="124" t="e">
        <f aca="false">GetDBPage($C70)</f>
        <v>#VALUE!</v>
      </c>
      <c r="AI70" s="125" t="e">
        <f aca="false">GetWorkSheet($C70)</f>
        <v>#VALUE!</v>
      </c>
      <c r="AJ70" s="125" t="e">
        <f aca="false">IF(NOT($AI70="#VALUE#"),CONCATENATE($AI70,"!",GetDateStart($AI70),":",GetDateEnd($AI70)),"")</f>
        <v>#VALUE!</v>
      </c>
      <c r="AK70" s="125" t="e">
        <f aca="false">IF(NOT($AI70="#VALUE#"),CONCATENATE($AI70,"!",GetReceiptStart($AI70),":",GetReceiptEnd($AI70)),"")</f>
        <v>#VALUE!</v>
      </c>
      <c r="AL70" s="125" t="e">
        <f aca="false">GetRecNdx($AH70,$C70)</f>
        <v>#VALUE!</v>
      </c>
    </row>
    <row r="71" customFormat="false" ht="12.75" hidden="false" customHeight="false" outlineLevel="0" collapsed="false">
      <c r="C71" s="115"/>
      <c r="E71" s="116"/>
      <c r="F71" s="117"/>
      <c r="G71" s="126" t="e">
        <f aca="false">GetDelBasis($AH70,$AL71)</f>
        <v>#VALUE!</v>
      </c>
      <c r="H71" s="119"/>
      <c r="I71" s="120"/>
      <c r="J71" s="120"/>
      <c r="K71" s="120"/>
      <c r="L71" s="121"/>
      <c r="M71" s="127"/>
      <c r="N71" s="119"/>
      <c r="O71" s="121"/>
      <c r="P71" s="127"/>
      <c r="Q71" s="119"/>
      <c r="R71" s="120"/>
      <c r="S71" s="121"/>
      <c r="T71" s="122"/>
      <c r="U71" s="119"/>
      <c r="V71" s="123"/>
      <c r="W71" s="98"/>
      <c r="X71" s="119"/>
      <c r="Y71" s="120"/>
      <c r="Z71" s="120"/>
      <c r="AA71" s="120"/>
      <c r="AB71" s="120"/>
      <c r="AC71" s="121"/>
      <c r="AD71" s="98"/>
      <c r="AE71" s="98"/>
      <c r="AF71" s="98"/>
      <c r="AI71" s="125" t="e">
        <f aca="false">GetWorkSheet($C70)</f>
        <v>#VALUE!</v>
      </c>
      <c r="AJ71" s="125" t="e">
        <f aca="false">IF(NOT($AI71="#VALUE#"),CONCATENATE($AI71,"!",GetDateStart($AI71),":",GetDateEnd($AI71)),"")</f>
        <v>#VALUE!</v>
      </c>
      <c r="AK71" s="125" t="e">
        <f aca="false">IF(NOT($AI71="#VALUE#"),CONCATENATE($AI71,"!",GetDeliveryStart($AI71),":",GetDeliveryEnd($AI71)),"")</f>
        <v>#VALUE!</v>
      </c>
      <c r="AL71" s="125" t="e">
        <f aca="false">GetRecNdx($AH70,$C70)</f>
        <v>#VALUE!</v>
      </c>
    </row>
    <row r="72" customFormat="false" ht="12.75" hidden="false" customHeight="false" outlineLevel="0" collapsed="false">
      <c r="C72" s="115" t="n">
        <v>106</v>
      </c>
      <c r="E72" s="116" t="e">
        <f aca="false">GetPipeName($AH72,$AL72)</f>
        <v>#VALUE!</v>
      </c>
      <c r="F72" s="117" t="e">
        <f aca="false">CONCATENATE(GetRcptPoint($AH72,$AL72)," to ",GetDelPoint($AH72,$AL72))</f>
        <v>#VALUE!</v>
      </c>
      <c r="G72" s="118" t="e">
        <f aca="false">GetRcptBasis($AH72,$AL72)</f>
        <v>#VALUE!</v>
      </c>
      <c r="H72" s="119" t="e">
        <f aca="false">GetTodayAsset($AI72)</f>
        <v>#VALUE!</v>
      </c>
      <c r="I72" s="120" t="e">
        <f aca="false">GetTodayDemand($AI72)</f>
        <v>#VALUE!</v>
      </c>
      <c r="J72" s="120" t="e">
        <f aca="false">H72-I72</f>
        <v>#VALUE!</v>
      </c>
      <c r="K72" s="120" t="e">
        <f aca="false">GetYesterdayPL($AI72)</f>
        <v>#VALUE!</v>
      </c>
      <c r="L72" s="121" t="e">
        <f aca="false">J72-K72</f>
        <v>#VALUE!</v>
      </c>
      <c r="N72" s="119" t="e">
        <f aca="false">GetTodayIntrinsic($AI72)</f>
        <v>#VALUE!</v>
      </c>
      <c r="O72" s="121" t="e">
        <f aca="false">GetTodayExtrinsic($AI72)</f>
        <v>#VALUE!</v>
      </c>
      <c r="Q72" s="119" t="e">
        <f aca="false">GetPriceChange($AI72)</f>
        <v>#VALUE!</v>
      </c>
      <c r="R72" s="120" t="e">
        <f aca="false">GetBasisChange($AI72)</f>
        <v>#VALUE!</v>
      </c>
      <c r="S72" s="121" t="e">
        <f aca="false">GetIndexChange($AI72)</f>
        <v>#VALUE!</v>
      </c>
      <c r="T72" s="122"/>
      <c r="U72" s="119" t="e">
        <f aca="false">GetFuelChange($AI72)</f>
        <v>#VALUE!</v>
      </c>
      <c r="V72" s="123" t="e">
        <f aca="false">GetVarChrgChange($AI72)</f>
        <v>#VALUE!</v>
      </c>
      <c r="W72" s="98"/>
      <c r="X72" s="119" t="e">
        <f aca="false">GetDelta($AI72)</f>
        <v>#VALUE!</v>
      </c>
      <c r="Y72" s="120" t="e">
        <f aca="false">GetGamma($AI72)</f>
        <v>#VALUE!</v>
      </c>
      <c r="Z72" s="120" t="e">
        <f aca="false">GetTheta($AI72)</f>
        <v>#VALUE!</v>
      </c>
      <c r="AA72" s="120" t="e">
        <f aca="false">GetVega($AI72)</f>
        <v>#VALUE!</v>
      </c>
      <c r="AB72" s="120" t="e">
        <f aca="false">GetRho($AI72)</f>
        <v>#VALUE!</v>
      </c>
      <c r="AC72" s="121" t="e">
        <f aca="false">GetDrift($AI72)</f>
        <v>#VALUE!</v>
      </c>
      <c r="AD72" s="98"/>
      <c r="AE72" s="98"/>
      <c r="AF72" s="98"/>
      <c r="AH72" s="124" t="e">
        <f aca="false">GetDBPage($C72)</f>
        <v>#VALUE!</v>
      </c>
      <c r="AI72" s="125" t="e">
        <f aca="false">GetWorkSheet($C72)</f>
        <v>#VALUE!</v>
      </c>
      <c r="AJ72" s="125" t="e">
        <f aca="false">IF(NOT($AI72="#VALUE#"),CONCATENATE($AI72,"!",GetDateStart($AI72),":",GetDateEnd($AI72)),"")</f>
        <v>#VALUE!</v>
      </c>
      <c r="AK72" s="125" t="e">
        <f aca="false">IF(NOT($AI72="#VALUE#"),CONCATENATE($AI72,"!",GetReceiptStart($AI72),":",GetReceiptEnd($AI72)),"")</f>
        <v>#VALUE!</v>
      </c>
      <c r="AL72" s="125" t="e">
        <f aca="false">GetRecNdx($AH72,$C72)</f>
        <v>#VALUE!</v>
      </c>
    </row>
    <row r="73" customFormat="false" ht="12.75" hidden="false" customHeight="false" outlineLevel="0" collapsed="false">
      <c r="C73" s="115"/>
      <c r="E73" s="116"/>
      <c r="F73" s="117"/>
      <c r="G73" s="126" t="e">
        <f aca="false">GetDelBasis($AH72,$AL73)</f>
        <v>#VALUE!</v>
      </c>
      <c r="H73" s="119"/>
      <c r="I73" s="120"/>
      <c r="J73" s="120"/>
      <c r="K73" s="120"/>
      <c r="L73" s="121"/>
      <c r="M73" s="127"/>
      <c r="N73" s="119"/>
      <c r="O73" s="121"/>
      <c r="P73" s="127"/>
      <c r="Q73" s="119"/>
      <c r="R73" s="120"/>
      <c r="S73" s="121"/>
      <c r="T73" s="122"/>
      <c r="U73" s="119"/>
      <c r="V73" s="123"/>
      <c r="W73" s="98"/>
      <c r="X73" s="119"/>
      <c r="Y73" s="120"/>
      <c r="Z73" s="120"/>
      <c r="AA73" s="120"/>
      <c r="AB73" s="120"/>
      <c r="AC73" s="121"/>
      <c r="AD73" s="98"/>
      <c r="AE73" s="98"/>
      <c r="AF73" s="98"/>
      <c r="AI73" s="125" t="e">
        <f aca="false">GetWorkSheet($C72)</f>
        <v>#VALUE!</v>
      </c>
      <c r="AJ73" s="125" t="e">
        <f aca="false">IF(NOT($AI73="#VALUE#"),CONCATENATE($AI73,"!",GetDateStart($AI73),":",GetDateEnd($AI73)),"")</f>
        <v>#VALUE!</v>
      </c>
      <c r="AK73" s="125" t="e">
        <f aca="false">IF(NOT($AI73="#VALUE#"),CONCATENATE($AI73,"!",GetDeliveryStart($AI73),":",GetDeliveryEnd($AI73)),"")</f>
        <v>#VALUE!</v>
      </c>
      <c r="AL73" s="125" t="e">
        <f aca="false">GetRecNdx($AH72,$C72)</f>
        <v>#VALUE!</v>
      </c>
    </row>
    <row r="74" customFormat="false" ht="12.75" hidden="false" customHeight="false" outlineLevel="0" collapsed="false">
      <c r="G74" s="128" t="s">
        <v>235</v>
      </c>
      <c r="H74" s="129" t="e">
        <f aca="true">SUM(INDIRECT(CONCATENATE(ADDRESS($AI74,COLUMN()),":",ADDRESS($AJ74,COLUMN()))))</f>
        <v>#VALUE!</v>
      </c>
      <c r="I74" s="129" t="e">
        <f aca="true">SUM(INDIRECT(CONCATENATE(ADDRESS($AI74,COLUMN()),":",ADDRESS($AJ74,COLUMN()))))</f>
        <v>#VALUE!</v>
      </c>
      <c r="J74" s="129" t="e">
        <f aca="true">SUM(INDIRECT(CONCATENATE(ADDRESS($AI74,COLUMN()),":",ADDRESS($AJ74,COLUMN()))))</f>
        <v>#VALUE!</v>
      </c>
      <c r="K74" s="129" t="e">
        <f aca="true">SUM(INDIRECT(CONCATENATE(ADDRESS($AI74,COLUMN()),":",ADDRESS($AJ74,COLUMN()))))</f>
        <v>#VALUE!</v>
      </c>
      <c r="L74" s="130" t="e">
        <f aca="true">SUM(INDIRECT(CONCATENATE(ADDRESS($AI74,COLUMN()),":",ADDRESS($AJ74,COLUMN()))))</f>
        <v>#VALUE!</v>
      </c>
      <c r="M74" s="131"/>
      <c r="N74" s="132" t="e">
        <f aca="true">SUM(INDIRECT(CONCATENATE(ADDRESS($AI74,COLUMN()),":",ADDRESS($AJ74,COLUMN()))))</f>
        <v>#VALUE!</v>
      </c>
      <c r="O74" s="133" t="e">
        <f aca="true">SUM(INDIRECT(CONCATENATE(ADDRESS($AI74,COLUMN()),":",ADDRESS($AJ74,COLUMN()))))</f>
        <v>#VALUE!</v>
      </c>
      <c r="P74" s="131"/>
      <c r="Q74" s="132" t="e">
        <f aca="true">SUM(INDIRECT(CONCATENATE(ADDRESS($AI74,COLUMN()),":",ADDRESS($AJ74,COLUMN()))))</f>
        <v>#VALUE!</v>
      </c>
      <c r="R74" s="129" t="e">
        <f aca="true">SUM(INDIRECT(CONCATENATE(ADDRESS($AI74,COLUMN()),":",ADDRESS($AJ74,COLUMN()))))</f>
        <v>#VALUE!</v>
      </c>
      <c r="S74" s="133" t="e">
        <f aca="true">SUM(INDIRECT(CONCATENATE(ADDRESS($AI74,COLUMN()),":",ADDRESS($AJ74,COLUMN()))))</f>
        <v>#VALUE!</v>
      </c>
      <c r="T74" s="131"/>
      <c r="U74" s="132" t="e">
        <f aca="true">SUM(INDIRECT(CONCATENATE(ADDRESS($AI74,COLUMN()),":",ADDRESS($AJ74,COLUMN()))))</f>
        <v>#VALUE!</v>
      </c>
      <c r="V74" s="133" t="e">
        <f aca="true">SUM(INDIRECT(CONCATENATE(ADDRESS($AI74,COLUMN()),":",ADDRESS($AJ74,COLUMN()))))</f>
        <v>#VALUE!</v>
      </c>
      <c r="W74" s="98"/>
      <c r="X74" s="132" t="e">
        <f aca="true">SUM(INDIRECT(CONCATENATE(ADDRESS($AI74,COLUMN()),":",ADDRESS($AJ74,COLUMN()))))</f>
        <v>#VALUE!</v>
      </c>
      <c r="Y74" s="129" t="e">
        <f aca="true">SUM(INDIRECT(CONCATENATE(ADDRESS($AI74,COLUMN()),":",ADDRESS($AJ74,COLUMN()))))</f>
        <v>#VALUE!</v>
      </c>
      <c r="Z74" s="129" t="e">
        <f aca="true">SUM(INDIRECT(CONCATENATE(ADDRESS($AI74,COLUMN()),":",ADDRESS($AJ74,COLUMN()))))</f>
        <v>#VALUE!</v>
      </c>
      <c r="AA74" s="129" t="e">
        <f aca="true">SUM(INDIRECT(CONCATENATE(ADDRESS($AI74,COLUMN()),":",ADDRESS($AJ74,COLUMN()))))</f>
        <v>#VALUE!</v>
      </c>
      <c r="AB74" s="129" t="e">
        <f aca="true">SUM(INDIRECT(CONCATENATE(ADDRESS($AI74,COLUMN()),":",ADDRESS($AJ74,COLUMN()))))</f>
        <v>#VALUE!</v>
      </c>
      <c r="AC74" s="130" t="e">
        <f aca="true">SUM(INDIRECT(CONCATENATE(ADDRESS($AI74,COLUMN()),":",ADDRESS($AJ74,COLUMN()))))</f>
        <v>#VALUE!</v>
      </c>
      <c r="AD74" s="98"/>
      <c r="AE74" s="99"/>
      <c r="AI74" s="134" t="e">
        <f aca="false">GetStartRow($AI73)</f>
        <v>#VALUE!</v>
      </c>
      <c r="AJ74" s="134" t="n">
        <f aca="false">ROW($AI73)</f>
        <v>73</v>
      </c>
    </row>
    <row r="77" customFormat="false" ht="18.75" hidden="false" customHeight="false" outlineLevel="0" collapsed="false">
      <c r="E77" s="102" t="s">
        <v>237</v>
      </c>
      <c r="U77" s="98"/>
      <c r="V77" s="98"/>
      <c r="W77" s="98"/>
      <c r="X77" s="98"/>
      <c r="Y77" s="98"/>
      <c r="Z77" s="98"/>
      <c r="AA77" s="98"/>
      <c r="AB77" s="98"/>
      <c r="AC77" s="98"/>
      <c r="AD77" s="98"/>
      <c r="AE77" s="99"/>
    </row>
    <row r="78" customFormat="false" ht="12.75" hidden="false" customHeight="true" outlineLevel="0" collapsed="false">
      <c r="A78" s="103"/>
      <c r="B78" s="103"/>
      <c r="C78" s="104" t="s">
        <v>213</v>
      </c>
      <c r="E78" s="105"/>
      <c r="F78" s="106"/>
      <c r="G78" s="107" t="s">
        <v>214</v>
      </c>
      <c r="H78" s="108" t="s">
        <v>215</v>
      </c>
      <c r="I78" s="109" t="s">
        <v>216</v>
      </c>
      <c r="J78" s="109" t="s">
        <v>217</v>
      </c>
      <c r="K78" s="109" t="s">
        <v>218</v>
      </c>
      <c r="L78" s="110" t="s">
        <v>219</v>
      </c>
      <c r="N78" s="108" t="s">
        <v>220</v>
      </c>
      <c r="O78" s="111" t="s">
        <v>221</v>
      </c>
      <c r="Q78" s="108" t="s">
        <v>222</v>
      </c>
      <c r="R78" s="109" t="s">
        <v>223</v>
      </c>
      <c r="S78" s="111" t="s">
        <v>224</v>
      </c>
      <c r="U78" s="108" t="s">
        <v>225</v>
      </c>
      <c r="V78" s="111" t="s">
        <v>226</v>
      </c>
      <c r="W78" s="98"/>
      <c r="X78" s="108" t="s">
        <v>227</v>
      </c>
      <c r="Y78" s="109" t="s">
        <v>228</v>
      </c>
      <c r="Z78" s="109" t="s">
        <v>229</v>
      </c>
      <c r="AA78" s="109" t="s">
        <v>230</v>
      </c>
      <c r="AB78" s="109" t="s">
        <v>231</v>
      </c>
      <c r="AC78" s="110" t="s">
        <v>232</v>
      </c>
      <c r="AD78" s="98"/>
      <c r="AE78" s="98"/>
      <c r="AF78" s="98"/>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c r="FW78" s="103"/>
      <c r="FX78" s="103"/>
      <c r="FY78" s="103"/>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103"/>
      <c r="GX78" s="103"/>
      <c r="GY78" s="103"/>
      <c r="GZ78" s="103"/>
      <c r="HA78" s="103"/>
      <c r="HB78" s="103"/>
      <c r="HC78" s="103"/>
      <c r="HD78" s="103"/>
      <c r="HE78" s="103"/>
      <c r="HF78" s="103"/>
      <c r="HG78" s="103"/>
      <c r="HH78" s="103"/>
      <c r="HI78" s="103"/>
      <c r="HJ78" s="103"/>
      <c r="HK78" s="103"/>
      <c r="HL78" s="103"/>
      <c r="HM78" s="103"/>
      <c r="HN78" s="103"/>
      <c r="HO78" s="103"/>
      <c r="HP78" s="103"/>
      <c r="HQ78" s="103"/>
      <c r="HR78" s="103"/>
      <c r="HS78" s="103"/>
      <c r="HT78" s="103"/>
      <c r="HU78" s="103"/>
      <c r="HV78" s="103"/>
      <c r="HW78" s="103"/>
      <c r="HX78" s="103"/>
      <c r="HY78" s="103"/>
      <c r="HZ78" s="103"/>
      <c r="IA78" s="103"/>
      <c r="IB78" s="103"/>
      <c r="IC78" s="103"/>
      <c r="ID78" s="103"/>
      <c r="IE78" s="103"/>
      <c r="IF78" s="103"/>
      <c r="IG78" s="103"/>
      <c r="IH78" s="103"/>
      <c r="II78" s="103"/>
      <c r="IJ78" s="103"/>
      <c r="IK78" s="103"/>
      <c r="IL78" s="103"/>
      <c r="IM78" s="103"/>
      <c r="IN78" s="103"/>
      <c r="IO78" s="103"/>
      <c r="IP78" s="103"/>
      <c r="IQ78" s="103"/>
      <c r="IR78" s="103"/>
      <c r="IS78" s="103"/>
      <c r="IT78" s="103"/>
      <c r="IU78" s="103"/>
      <c r="IV78" s="103"/>
      <c r="IW78" s="103"/>
    </row>
    <row r="79" customFormat="false" ht="12.75" hidden="false" customHeight="true" outlineLevel="0" collapsed="false">
      <c r="A79" s="103"/>
      <c r="B79" s="103"/>
      <c r="C79" s="104"/>
      <c r="E79" s="112" t="s">
        <v>13</v>
      </c>
      <c r="F79" s="113" t="s">
        <v>233</v>
      </c>
      <c r="G79" s="114" t="s">
        <v>234</v>
      </c>
      <c r="H79" s="108"/>
      <c r="I79" s="109" t="s">
        <v>216</v>
      </c>
      <c r="J79" s="109"/>
      <c r="K79" s="109"/>
      <c r="L79" s="110"/>
      <c r="N79" s="108"/>
      <c r="O79" s="111"/>
      <c r="Q79" s="108"/>
      <c r="R79" s="109"/>
      <c r="S79" s="111"/>
      <c r="U79" s="108"/>
      <c r="V79" s="111"/>
      <c r="W79" s="98"/>
      <c r="X79" s="108"/>
      <c r="Y79" s="109"/>
      <c r="Z79" s="109"/>
      <c r="AA79" s="109"/>
      <c r="AB79" s="109"/>
      <c r="AC79" s="110"/>
      <c r="AD79" s="98"/>
      <c r="AE79" s="98"/>
      <c r="AF79" s="98"/>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c r="FW79" s="103"/>
      <c r="FX79" s="103"/>
      <c r="FY79" s="103"/>
      <c r="FZ79" s="103"/>
      <c r="GA79" s="103"/>
      <c r="GB79" s="103"/>
      <c r="GC79" s="103"/>
      <c r="GD79" s="103"/>
      <c r="GE79" s="103"/>
      <c r="GF79" s="103"/>
      <c r="GG79" s="103"/>
      <c r="GH79" s="103"/>
      <c r="GI79" s="103"/>
      <c r="GJ79" s="103"/>
      <c r="GK79" s="103"/>
      <c r="GL79" s="103"/>
      <c r="GM79" s="103"/>
      <c r="GN79" s="103"/>
      <c r="GO79" s="103"/>
      <c r="GP79" s="103"/>
      <c r="GQ79" s="103"/>
      <c r="GR79" s="103"/>
      <c r="GS79" s="103"/>
      <c r="GT79" s="103"/>
      <c r="GU79" s="103"/>
      <c r="GV79" s="103"/>
      <c r="GW79" s="103"/>
      <c r="GX79" s="103"/>
      <c r="GY79" s="103"/>
      <c r="GZ79" s="103"/>
      <c r="HA79" s="103"/>
      <c r="HB79" s="103"/>
      <c r="HC79" s="103"/>
      <c r="HD79" s="103"/>
      <c r="HE79" s="103"/>
      <c r="HF79" s="103"/>
      <c r="HG79" s="103"/>
      <c r="HH79" s="103"/>
      <c r="HI79" s="103"/>
      <c r="HJ79" s="103"/>
      <c r="HK79" s="103"/>
      <c r="HL79" s="103"/>
      <c r="HM79" s="103"/>
      <c r="HN79" s="103"/>
      <c r="HO79" s="103"/>
      <c r="HP79" s="103"/>
      <c r="HQ79" s="103"/>
      <c r="HR79" s="103"/>
      <c r="HS79" s="103"/>
      <c r="HT79" s="103"/>
      <c r="HU79" s="103"/>
      <c r="HV79" s="103"/>
      <c r="HW79" s="103"/>
      <c r="HX79" s="103"/>
      <c r="HY79" s="103"/>
      <c r="HZ79" s="103"/>
      <c r="IA79" s="103"/>
      <c r="IB79" s="103"/>
      <c r="IC79" s="103"/>
      <c r="ID79" s="103"/>
      <c r="IE79" s="103"/>
      <c r="IF79" s="103"/>
      <c r="IG79" s="103"/>
      <c r="IH79" s="103"/>
      <c r="II79" s="103"/>
      <c r="IJ79" s="103"/>
      <c r="IK79" s="103"/>
      <c r="IL79" s="103"/>
      <c r="IM79" s="103"/>
      <c r="IN79" s="103"/>
      <c r="IO79" s="103"/>
      <c r="IP79" s="103"/>
      <c r="IQ79" s="103"/>
      <c r="IR79" s="103"/>
      <c r="IS79" s="103"/>
      <c r="IT79" s="103"/>
      <c r="IU79" s="103"/>
      <c r="IV79" s="103"/>
      <c r="IW79" s="103"/>
    </row>
    <row r="80" customFormat="false" ht="12.75" hidden="false" customHeight="false" outlineLevel="0" collapsed="false">
      <c r="C80" s="115" t="n">
        <v>62</v>
      </c>
      <c r="E80" s="116" t="e">
        <f aca="false">GetPipeName($AH80,$AL80)</f>
        <v>#VALUE!</v>
      </c>
      <c r="F80" s="117" t="e">
        <f aca="false">CONCATENATE(GetRcptPoint($AH80,$AL80)," to ",GetDelPoint($AH80,$AL80))</f>
        <v>#VALUE!</v>
      </c>
      <c r="G80" s="118" t="e">
        <f aca="false">GetRcptBasis($AH80,$AL80)</f>
        <v>#VALUE!</v>
      </c>
      <c r="H80" s="119" t="e">
        <f aca="false">GetTodayAsset($AI80)</f>
        <v>#VALUE!</v>
      </c>
      <c r="I80" s="120" t="e">
        <f aca="false">GetTodayDemand($AI80)</f>
        <v>#VALUE!</v>
      </c>
      <c r="J80" s="120" t="e">
        <f aca="false">H80-I80</f>
        <v>#VALUE!</v>
      </c>
      <c r="K80" s="120" t="e">
        <f aca="false">GetYesterdayPL($AI80)</f>
        <v>#VALUE!</v>
      </c>
      <c r="L80" s="121" t="e">
        <f aca="false">J80-K80</f>
        <v>#VALUE!</v>
      </c>
      <c r="N80" s="119" t="e">
        <f aca="false">GetTodayIntrinsic($AI80)</f>
        <v>#VALUE!</v>
      </c>
      <c r="O80" s="121" t="e">
        <f aca="false">GetTodayExtrinsic($AI80)</f>
        <v>#VALUE!</v>
      </c>
      <c r="Q80" s="119" t="e">
        <f aca="false">GetPriceChange($AI80)</f>
        <v>#VALUE!</v>
      </c>
      <c r="R80" s="120" t="e">
        <f aca="false">GetBasisChange($AI80)</f>
        <v>#VALUE!</v>
      </c>
      <c r="S80" s="121" t="e">
        <f aca="false">GetIndexChange($AI80)</f>
        <v>#VALUE!</v>
      </c>
      <c r="T80" s="122"/>
      <c r="U80" s="119" t="e">
        <f aca="false">GetFuelChange($AI80)</f>
        <v>#VALUE!</v>
      </c>
      <c r="V80" s="123" t="e">
        <f aca="false">GetVarChrgChange($AI80)</f>
        <v>#VALUE!</v>
      </c>
      <c r="W80" s="98"/>
      <c r="X80" s="119" t="e">
        <f aca="false">GetDelta($AI80)</f>
        <v>#VALUE!</v>
      </c>
      <c r="Y80" s="120" t="e">
        <f aca="false">GetGamma($AI80)</f>
        <v>#VALUE!</v>
      </c>
      <c r="Z80" s="120" t="e">
        <f aca="false">GetTheta($AI80)</f>
        <v>#VALUE!</v>
      </c>
      <c r="AA80" s="120" t="e">
        <f aca="false">GetVega($AI80)</f>
        <v>#VALUE!</v>
      </c>
      <c r="AB80" s="120" t="e">
        <f aca="false">GetRho($AI80)</f>
        <v>#VALUE!</v>
      </c>
      <c r="AC80" s="121" t="e">
        <f aca="false">GetDrift($AI80)</f>
        <v>#VALUE!</v>
      </c>
      <c r="AD80" s="98"/>
      <c r="AE80" s="98"/>
      <c r="AF80" s="98"/>
      <c r="AH80" s="124" t="e">
        <f aca="false">GetDBPage($C80)</f>
        <v>#VALUE!</v>
      </c>
      <c r="AI80" s="125" t="e">
        <f aca="false">GetWorkSheet($C80)</f>
        <v>#VALUE!</v>
      </c>
      <c r="AJ80" s="125" t="e">
        <f aca="false">IF(NOT($AI80="#VALUE#"),CONCATENATE($AI80,"!",GetDateStart($AI80),":",GetDateEnd($AI80)),"")</f>
        <v>#VALUE!</v>
      </c>
      <c r="AK80" s="125" t="e">
        <f aca="false">IF(NOT($AI80="#VALUE#"),CONCATENATE($AI80,"!",GetReceiptStart($AI80),":",GetReceiptEnd($AI80)),"")</f>
        <v>#VALUE!</v>
      </c>
      <c r="AL80" s="125" t="e">
        <f aca="false">GetRecNdx($AH80,$C80)</f>
        <v>#VALUE!</v>
      </c>
    </row>
    <row r="81" customFormat="false" ht="12.75" hidden="false" customHeight="false" outlineLevel="0" collapsed="false">
      <c r="C81" s="115"/>
      <c r="E81" s="116"/>
      <c r="F81" s="117"/>
      <c r="G81" s="126" t="e">
        <f aca="false">GetDelBasis($AH80,$AL81)</f>
        <v>#VALUE!</v>
      </c>
      <c r="H81" s="119"/>
      <c r="I81" s="120"/>
      <c r="J81" s="120"/>
      <c r="K81" s="120"/>
      <c r="L81" s="121"/>
      <c r="M81" s="127"/>
      <c r="N81" s="119"/>
      <c r="O81" s="121"/>
      <c r="P81" s="127"/>
      <c r="Q81" s="119"/>
      <c r="R81" s="120"/>
      <c r="S81" s="121"/>
      <c r="T81" s="122"/>
      <c r="U81" s="119"/>
      <c r="V81" s="123"/>
      <c r="W81" s="98"/>
      <c r="X81" s="119"/>
      <c r="Y81" s="120"/>
      <c r="Z81" s="120"/>
      <c r="AA81" s="120"/>
      <c r="AB81" s="120"/>
      <c r="AC81" s="121"/>
      <c r="AD81" s="98"/>
      <c r="AE81" s="98"/>
      <c r="AF81" s="98"/>
      <c r="AI81" s="125" t="e">
        <f aca="false">GetWorkSheet($C80)</f>
        <v>#VALUE!</v>
      </c>
      <c r="AJ81" s="125" t="e">
        <f aca="false">IF(NOT($AI81="#VALUE#"),CONCATENATE($AI81,"!",GetDateStart($AI81),":",GetDateEnd($AI81)),"")</f>
        <v>#VALUE!</v>
      </c>
      <c r="AK81" s="125" t="e">
        <f aca="false">IF(NOT($AI81="#VALUE#"),CONCATENATE($AI81,"!",GetDeliveryStart($AI81),":",GetDeliveryEnd($AI81)),"")</f>
        <v>#VALUE!</v>
      </c>
      <c r="AL81" s="125" t="e">
        <f aca="false">GetRecNdx($AH80,$C80)</f>
        <v>#VALUE!</v>
      </c>
    </row>
    <row r="82" customFormat="false" ht="12.75" hidden="false" customHeight="false" outlineLevel="0" collapsed="false">
      <c r="G82" s="128" t="s">
        <v>235</v>
      </c>
      <c r="H82" s="129" t="e">
        <f aca="true">SUM(INDIRECT(CONCATENATE(ADDRESS($AI82,COLUMN()),":",ADDRESS($AJ82,COLUMN()))))</f>
        <v>#VALUE!</v>
      </c>
      <c r="I82" s="129" t="e">
        <f aca="true">SUM(INDIRECT(CONCATENATE(ADDRESS($AI82,COLUMN()),":",ADDRESS($AJ82,COLUMN()))))</f>
        <v>#VALUE!</v>
      </c>
      <c r="J82" s="129" t="e">
        <f aca="true">SUM(INDIRECT(CONCATENATE(ADDRESS($AI82,COLUMN()),":",ADDRESS($AJ82,COLUMN()))))</f>
        <v>#VALUE!</v>
      </c>
      <c r="K82" s="129" t="e">
        <f aca="true">SUM(INDIRECT(CONCATENATE(ADDRESS($AI82,COLUMN()),":",ADDRESS($AJ82,COLUMN()))))</f>
        <v>#VALUE!</v>
      </c>
      <c r="L82" s="130" t="e">
        <f aca="true">SUM(INDIRECT(CONCATENATE(ADDRESS($AI82,COLUMN()),":",ADDRESS($AJ82,COLUMN()))))</f>
        <v>#VALUE!</v>
      </c>
      <c r="M82" s="131"/>
      <c r="N82" s="132" t="e">
        <f aca="true">SUM(INDIRECT(CONCATENATE(ADDRESS($AI82,COLUMN()),":",ADDRESS($AJ82,COLUMN()))))</f>
        <v>#VALUE!</v>
      </c>
      <c r="O82" s="133" t="e">
        <f aca="true">SUM(INDIRECT(CONCATENATE(ADDRESS($AI82,COLUMN()),":",ADDRESS($AJ82,COLUMN()))))</f>
        <v>#VALUE!</v>
      </c>
      <c r="P82" s="131"/>
      <c r="Q82" s="132" t="e">
        <f aca="true">SUM(INDIRECT(CONCATENATE(ADDRESS($AI82,COLUMN()),":",ADDRESS($AJ82,COLUMN()))))</f>
        <v>#VALUE!</v>
      </c>
      <c r="R82" s="129" t="e">
        <f aca="true">SUM(INDIRECT(CONCATENATE(ADDRESS($AI82,COLUMN()),":",ADDRESS($AJ82,COLUMN()))))</f>
        <v>#VALUE!</v>
      </c>
      <c r="S82" s="133" t="e">
        <f aca="true">SUM(INDIRECT(CONCATENATE(ADDRESS($AI82,COLUMN()),":",ADDRESS($AJ82,COLUMN()))))</f>
        <v>#VALUE!</v>
      </c>
      <c r="T82" s="131"/>
      <c r="U82" s="132" t="e">
        <f aca="true">SUM(INDIRECT(CONCATENATE(ADDRESS($AI82,COLUMN()),":",ADDRESS($AJ82,COLUMN()))))</f>
        <v>#VALUE!</v>
      </c>
      <c r="V82" s="133" t="e">
        <f aca="true">SUM(INDIRECT(CONCATENATE(ADDRESS($AI82,COLUMN()),":",ADDRESS($AJ82,COLUMN()))))</f>
        <v>#VALUE!</v>
      </c>
      <c r="W82" s="98"/>
      <c r="X82" s="132" t="e">
        <f aca="true">SUM(INDIRECT(CONCATENATE(ADDRESS($AI82,COLUMN()),":",ADDRESS($AJ82,COLUMN()))))</f>
        <v>#VALUE!</v>
      </c>
      <c r="Y82" s="129" t="e">
        <f aca="true">SUM(INDIRECT(CONCATENATE(ADDRESS($AI82,COLUMN()),":",ADDRESS($AJ82,COLUMN()))))</f>
        <v>#VALUE!</v>
      </c>
      <c r="Z82" s="129" t="e">
        <f aca="true">SUM(INDIRECT(CONCATENATE(ADDRESS($AI82,COLUMN()),":",ADDRESS($AJ82,COLUMN()))))</f>
        <v>#VALUE!</v>
      </c>
      <c r="AA82" s="129" t="e">
        <f aca="true">SUM(INDIRECT(CONCATENATE(ADDRESS($AI82,COLUMN()),":",ADDRESS($AJ82,COLUMN()))))</f>
        <v>#VALUE!</v>
      </c>
      <c r="AB82" s="129" t="e">
        <f aca="true">SUM(INDIRECT(CONCATENATE(ADDRESS($AI82,COLUMN()),":",ADDRESS($AJ82,COLUMN()))))</f>
        <v>#VALUE!</v>
      </c>
      <c r="AC82" s="130" t="e">
        <f aca="true">SUM(INDIRECT(CONCATENATE(ADDRESS($AI82,COLUMN()),":",ADDRESS($AJ82,COLUMN()))))</f>
        <v>#VALUE!</v>
      </c>
      <c r="AD82" s="98"/>
      <c r="AE82" s="99"/>
      <c r="AI82" s="134" t="e">
        <f aca="false">GetStartRow($AI81)</f>
        <v>#VALUE!</v>
      </c>
      <c r="AJ82" s="134" t="n">
        <f aca="false">ROW($AI81)</f>
        <v>81</v>
      </c>
    </row>
    <row r="85" customFormat="false" ht="18.75" hidden="false" customHeight="false" outlineLevel="0" collapsed="false">
      <c r="E85" s="102" t="s">
        <v>238</v>
      </c>
      <c r="U85" s="98"/>
      <c r="V85" s="98"/>
      <c r="W85" s="98"/>
      <c r="X85" s="98"/>
      <c r="Y85" s="98"/>
      <c r="Z85" s="98"/>
      <c r="AA85" s="98"/>
      <c r="AB85" s="98"/>
      <c r="AC85" s="98"/>
      <c r="AD85" s="98"/>
      <c r="AE85" s="99"/>
    </row>
    <row r="86" customFormat="false" ht="12.75" hidden="false" customHeight="true" outlineLevel="0" collapsed="false">
      <c r="A86" s="103"/>
      <c r="B86" s="103"/>
      <c r="C86" s="104" t="s">
        <v>213</v>
      </c>
      <c r="E86" s="105"/>
      <c r="F86" s="106"/>
      <c r="G86" s="107" t="s">
        <v>214</v>
      </c>
      <c r="H86" s="108" t="s">
        <v>215</v>
      </c>
      <c r="I86" s="109" t="s">
        <v>216</v>
      </c>
      <c r="J86" s="109" t="s">
        <v>217</v>
      </c>
      <c r="K86" s="109" t="s">
        <v>218</v>
      </c>
      <c r="L86" s="110" t="s">
        <v>219</v>
      </c>
      <c r="N86" s="108" t="s">
        <v>220</v>
      </c>
      <c r="O86" s="111" t="s">
        <v>221</v>
      </c>
      <c r="Q86" s="108" t="s">
        <v>222</v>
      </c>
      <c r="R86" s="109" t="s">
        <v>223</v>
      </c>
      <c r="S86" s="111" t="s">
        <v>224</v>
      </c>
      <c r="U86" s="108" t="s">
        <v>225</v>
      </c>
      <c r="V86" s="111" t="s">
        <v>226</v>
      </c>
      <c r="W86" s="98"/>
      <c r="X86" s="108" t="s">
        <v>227</v>
      </c>
      <c r="Y86" s="109" t="s">
        <v>228</v>
      </c>
      <c r="Z86" s="109" t="s">
        <v>229</v>
      </c>
      <c r="AA86" s="109" t="s">
        <v>230</v>
      </c>
      <c r="AB86" s="109" t="s">
        <v>231</v>
      </c>
      <c r="AC86" s="110" t="s">
        <v>232</v>
      </c>
      <c r="AD86" s="98"/>
      <c r="AE86" s="98"/>
      <c r="AF86" s="98"/>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c r="DA86" s="103"/>
      <c r="DB86" s="103"/>
      <c r="DC86" s="103"/>
      <c r="DD86" s="103"/>
      <c r="DE86" s="103"/>
      <c r="DF86" s="103"/>
      <c r="DG86" s="103"/>
      <c r="DH86" s="103"/>
      <c r="DI86" s="103"/>
      <c r="DJ86" s="103"/>
      <c r="DK86" s="103"/>
      <c r="DL86" s="103"/>
      <c r="DM86" s="103"/>
      <c r="DN86" s="103"/>
      <c r="DO86" s="103"/>
      <c r="DP86" s="103"/>
      <c r="DQ86" s="103"/>
      <c r="DR86" s="103"/>
      <c r="DS86" s="103"/>
      <c r="DT86" s="103"/>
      <c r="DU86" s="103"/>
      <c r="DV86" s="103"/>
      <c r="DW86" s="103"/>
      <c r="DX86" s="103"/>
      <c r="DY86" s="103"/>
      <c r="DZ86" s="103"/>
      <c r="EA86" s="103"/>
      <c r="EB86" s="103"/>
      <c r="EC86" s="103"/>
      <c r="ED86" s="103"/>
      <c r="EE86" s="103"/>
      <c r="EF86" s="103"/>
      <c r="EG86" s="103"/>
      <c r="EH86" s="103"/>
      <c r="EI86" s="103"/>
      <c r="EJ86" s="103"/>
      <c r="EK86" s="103"/>
      <c r="EL86" s="103"/>
      <c r="EM86" s="103"/>
      <c r="EN86" s="103"/>
      <c r="EO86" s="103"/>
      <c r="EP86" s="103"/>
      <c r="EQ86" s="103"/>
      <c r="ER86" s="103"/>
      <c r="ES86" s="103"/>
      <c r="ET86" s="103"/>
      <c r="EU86" s="103"/>
      <c r="EV86" s="103"/>
      <c r="EW86" s="103"/>
      <c r="EX86" s="103"/>
      <c r="EY86" s="103"/>
      <c r="EZ86" s="103"/>
      <c r="FA86" s="103"/>
      <c r="FB86" s="103"/>
      <c r="FC86" s="103"/>
      <c r="FD86" s="103"/>
      <c r="FE86" s="103"/>
      <c r="FF86" s="103"/>
      <c r="FG86" s="103"/>
      <c r="FH86" s="103"/>
      <c r="FI86" s="103"/>
      <c r="FJ86" s="103"/>
      <c r="FK86" s="103"/>
      <c r="FL86" s="103"/>
      <c r="FM86" s="103"/>
      <c r="FN86" s="103"/>
      <c r="FO86" s="103"/>
      <c r="FP86" s="103"/>
      <c r="FQ86" s="103"/>
      <c r="FR86" s="103"/>
      <c r="FS86" s="103"/>
      <c r="FT86" s="103"/>
      <c r="FU86" s="103"/>
      <c r="FV86" s="103"/>
      <c r="FW86" s="103"/>
      <c r="FX86" s="103"/>
      <c r="FY86" s="103"/>
      <c r="FZ86" s="103"/>
      <c r="GA86" s="103"/>
      <c r="GB86" s="103"/>
      <c r="GC86" s="103"/>
      <c r="GD86" s="103"/>
      <c r="GE86" s="103"/>
      <c r="GF86" s="103"/>
      <c r="GG86" s="103"/>
      <c r="GH86" s="103"/>
      <c r="GI86" s="103"/>
      <c r="GJ86" s="103"/>
      <c r="GK86" s="103"/>
      <c r="GL86" s="103"/>
      <c r="GM86" s="103"/>
      <c r="GN86" s="103"/>
      <c r="GO86" s="103"/>
      <c r="GP86" s="103"/>
      <c r="GQ86" s="103"/>
      <c r="GR86" s="103"/>
      <c r="GS86" s="103"/>
      <c r="GT86" s="103"/>
      <c r="GU86" s="103"/>
      <c r="GV86" s="103"/>
      <c r="GW86" s="103"/>
      <c r="GX86" s="103"/>
      <c r="GY86" s="103"/>
      <c r="GZ86" s="103"/>
      <c r="HA86" s="103"/>
      <c r="HB86" s="103"/>
      <c r="HC86" s="103"/>
      <c r="HD86" s="103"/>
      <c r="HE86" s="103"/>
      <c r="HF86" s="103"/>
      <c r="HG86" s="103"/>
      <c r="HH86" s="103"/>
      <c r="HI86" s="103"/>
      <c r="HJ86" s="103"/>
      <c r="HK86" s="103"/>
      <c r="HL86" s="103"/>
      <c r="HM86" s="103"/>
      <c r="HN86" s="103"/>
      <c r="HO86" s="103"/>
      <c r="HP86" s="103"/>
      <c r="HQ86" s="103"/>
      <c r="HR86" s="103"/>
      <c r="HS86" s="103"/>
      <c r="HT86" s="103"/>
      <c r="HU86" s="103"/>
      <c r="HV86" s="103"/>
      <c r="HW86" s="103"/>
      <c r="HX86" s="103"/>
      <c r="HY86" s="103"/>
      <c r="HZ86" s="103"/>
      <c r="IA86" s="103"/>
      <c r="IB86" s="103"/>
      <c r="IC86" s="103"/>
      <c r="ID86" s="103"/>
      <c r="IE86" s="103"/>
      <c r="IF86" s="103"/>
      <c r="IG86" s="103"/>
      <c r="IH86" s="103"/>
      <c r="II86" s="103"/>
      <c r="IJ86" s="103"/>
      <c r="IK86" s="103"/>
      <c r="IL86" s="103"/>
      <c r="IM86" s="103"/>
      <c r="IN86" s="103"/>
      <c r="IO86" s="103"/>
      <c r="IP86" s="103"/>
      <c r="IQ86" s="103"/>
      <c r="IR86" s="103"/>
      <c r="IS86" s="103"/>
      <c r="IT86" s="103"/>
      <c r="IU86" s="103"/>
      <c r="IV86" s="103"/>
      <c r="IW86" s="103"/>
    </row>
    <row r="87" customFormat="false" ht="12.75" hidden="false" customHeight="true" outlineLevel="0" collapsed="false">
      <c r="A87" s="103"/>
      <c r="B87" s="103"/>
      <c r="C87" s="104"/>
      <c r="E87" s="112" t="s">
        <v>13</v>
      </c>
      <c r="F87" s="113" t="s">
        <v>233</v>
      </c>
      <c r="G87" s="114" t="s">
        <v>234</v>
      </c>
      <c r="H87" s="108"/>
      <c r="I87" s="109" t="s">
        <v>216</v>
      </c>
      <c r="J87" s="109"/>
      <c r="K87" s="109"/>
      <c r="L87" s="110"/>
      <c r="N87" s="108"/>
      <c r="O87" s="111"/>
      <c r="Q87" s="108"/>
      <c r="R87" s="109"/>
      <c r="S87" s="111"/>
      <c r="U87" s="108"/>
      <c r="V87" s="111"/>
      <c r="W87" s="98"/>
      <c r="X87" s="108"/>
      <c r="Y87" s="109"/>
      <c r="Z87" s="109"/>
      <c r="AA87" s="109"/>
      <c r="AB87" s="109"/>
      <c r="AC87" s="110"/>
      <c r="AD87" s="98"/>
      <c r="AE87" s="98"/>
      <c r="AF87" s="98"/>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103"/>
      <c r="CS87" s="103"/>
      <c r="CT87" s="103"/>
      <c r="CU87" s="103"/>
      <c r="CV87" s="103"/>
      <c r="CW87" s="103"/>
      <c r="CX87" s="103"/>
      <c r="CY87" s="103"/>
      <c r="CZ87" s="103"/>
      <c r="DA87" s="103"/>
      <c r="DB87" s="103"/>
      <c r="DC87" s="103"/>
      <c r="DD87" s="103"/>
      <c r="DE87" s="103"/>
      <c r="DF87" s="103"/>
      <c r="DG87" s="103"/>
      <c r="DH87" s="103"/>
      <c r="DI87" s="103"/>
      <c r="DJ87" s="103"/>
      <c r="DK87" s="103"/>
      <c r="DL87" s="103"/>
      <c r="DM87" s="103"/>
      <c r="DN87" s="103"/>
      <c r="DO87" s="103"/>
      <c r="DP87" s="103"/>
      <c r="DQ87" s="103"/>
      <c r="DR87" s="103"/>
      <c r="DS87" s="103"/>
      <c r="DT87" s="103"/>
      <c r="DU87" s="103"/>
      <c r="DV87" s="103"/>
      <c r="DW87" s="103"/>
      <c r="DX87" s="103"/>
      <c r="DY87" s="103"/>
      <c r="DZ87" s="103"/>
      <c r="EA87" s="103"/>
      <c r="EB87" s="103"/>
      <c r="EC87" s="103"/>
      <c r="ED87" s="103"/>
      <c r="EE87" s="103"/>
      <c r="EF87" s="103"/>
      <c r="EG87" s="103"/>
      <c r="EH87" s="103"/>
      <c r="EI87" s="103"/>
      <c r="EJ87" s="103"/>
      <c r="EK87" s="103"/>
      <c r="EL87" s="103"/>
      <c r="EM87" s="103"/>
      <c r="EN87" s="103"/>
      <c r="EO87" s="103"/>
      <c r="EP87" s="103"/>
      <c r="EQ87" s="103"/>
      <c r="ER87" s="103"/>
      <c r="ES87" s="103"/>
      <c r="ET87" s="103"/>
      <c r="EU87" s="103"/>
      <c r="EV87" s="103"/>
      <c r="EW87" s="103"/>
      <c r="EX87" s="103"/>
      <c r="EY87" s="103"/>
      <c r="EZ87" s="103"/>
      <c r="FA87" s="103"/>
      <c r="FB87" s="103"/>
      <c r="FC87" s="103"/>
      <c r="FD87" s="103"/>
      <c r="FE87" s="103"/>
      <c r="FF87" s="103"/>
      <c r="FG87" s="103"/>
      <c r="FH87" s="103"/>
      <c r="FI87" s="103"/>
      <c r="FJ87" s="103"/>
      <c r="FK87" s="103"/>
      <c r="FL87" s="103"/>
      <c r="FM87" s="103"/>
      <c r="FN87" s="103"/>
      <c r="FO87" s="103"/>
      <c r="FP87" s="103"/>
      <c r="FQ87" s="103"/>
      <c r="FR87" s="103"/>
      <c r="FS87" s="103"/>
      <c r="FT87" s="103"/>
      <c r="FU87" s="103"/>
      <c r="FV87" s="103"/>
      <c r="FW87" s="103"/>
      <c r="FX87" s="103"/>
      <c r="FY87" s="103"/>
      <c r="FZ87" s="103"/>
      <c r="GA87" s="103"/>
      <c r="GB87" s="103"/>
      <c r="GC87" s="103"/>
      <c r="GD87" s="103"/>
      <c r="GE87" s="103"/>
      <c r="GF87" s="103"/>
      <c r="GG87" s="103"/>
      <c r="GH87" s="103"/>
      <c r="GI87" s="103"/>
      <c r="GJ87" s="103"/>
      <c r="GK87" s="103"/>
      <c r="GL87" s="103"/>
      <c r="GM87" s="103"/>
      <c r="GN87" s="103"/>
      <c r="GO87" s="103"/>
      <c r="GP87" s="103"/>
      <c r="GQ87" s="103"/>
      <c r="GR87" s="103"/>
      <c r="GS87" s="103"/>
      <c r="GT87" s="103"/>
      <c r="GU87" s="103"/>
      <c r="GV87" s="103"/>
      <c r="GW87" s="103"/>
      <c r="GX87" s="103"/>
      <c r="GY87" s="103"/>
      <c r="GZ87" s="103"/>
      <c r="HA87" s="103"/>
      <c r="HB87" s="103"/>
      <c r="HC87" s="103"/>
      <c r="HD87" s="103"/>
      <c r="HE87" s="103"/>
      <c r="HF87" s="103"/>
      <c r="HG87" s="103"/>
      <c r="HH87" s="103"/>
      <c r="HI87" s="103"/>
      <c r="HJ87" s="103"/>
      <c r="HK87" s="103"/>
      <c r="HL87" s="103"/>
      <c r="HM87" s="103"/>
      <c r="HN87" s="103"/>
      <c r="HO87" s="103"/>
      <c r="HP87" s="103"/>
      <c r="HQ87" s="103"/>
      <c r="HR87" s="103"/>
      <c r="HS87" s="103"/>
      <c r="HT87" s="103"/>
      <c r="HU87" s="103"/>
      <c r="HV87" s="103"/>
      <c r="HW87" s="103"/>
      <c r="HX87" s="103"/>
      <c r="HY87" s="103"/>
      <c r="HZ87" s="103"/>
      <c r="IA87" s="103"/>
      <c r="IB87" s="103"/>
      <c r="IC87" s="103"/>
      <c r="ID87" s="103"/>
      <c r="IE87" s="103"/>
      <c r="IF87" s="103"/>
      <c r="IG87" s="103"/>
      <c r="IH87" s="103"/>
      <c r="II87" s="103"/>
      <c r="IJ87" s="103"/>
      <c r="IK87" s="103"/>
      <c r="IL87" s="103"/>
      <c r="IM87" s="103"/>
      <c r="IN87" s="103"/>
      <c r="IO87" s="103"/>
      <c r="IP87" s="103"/>
      <c r="IQ87" s="103"/>
      <c r="IR87" s="103"/>
      <c r="IS87" s="103"/>
      <c r="IT87" s="103"/>
      <c r="IU87" s="103"/>
      <c r="IV87" s="103"/>
      <c r="IW87" s="103"/>
    </row>
    <row r="88" customFormat="false" ht="12.75" hidden="false" customHeight="false" outlineLevel="0" collapsed="false">
      <c r="C88" s="115" t="n">
        <v>83</v>
      </c>
      <c r="E88" s="116" t="e">
        <f aca="false">GetPipeName($AH88,$AL88)</f>
        <v>#VALUE!</v>
      </c>
      <c r="F88" s="117" t="e">
        <f aca="false">CONCATENATE(GetRcptPoint($AH88,$AL88)," to ",GetDelPoint($AH88,$AL88))</f>
        <v>#VALUE!</v>
      </c>
      <c r="G88" s="118" t="e">
        <f aca="false">GetRcptBasis($AH88,$AL88)</f>
        <v>#VALUE!</v>
      </c>
      <c r="H88" s="119" t="e">
        <f aca="false">GetTodayAsset($AI88)</f>
        <v>#VALUE!</v>
      </c>
      <c r="I88" s="120" t="e">
        <f aca="false">GetTodayDemand($AI88)</f>
        <v>#VALUE!</v>
      </c>
      <c r="J88" s="120" t="e">
        <f aca="false">H88-I88</f>
        <v>#VALUE!</v>
      </c>
      <c r="K88" s="120" t="e">
        <f aca="false">GetYesterdayPL($AI88)</f>
        <v>#VALUE!</v>
      </c>
      <c r="L88" s="121" t="e">
        <f aca="false">J88-K88</f>
        <v>#VALUE!</v>
      </c>
      <c r="N88" s="119" t="e">
        <f aca="false">GetTodayIntrinsic($AI88)</f>
        <v>#VALUE!</v>
      </c>
      <c r="O88" s="121" t="e">
        <f aca="false">GetTodayExtrinsic($AI88)</f>
        <v>#VALUE!</v>
      </c>
      <c r="Q88" s="119" t="e">
        <f aca="false">GetPriceChange($AI88)</f>
        <v>#VALUE!</v>
      </c>
      <c r="R88" s="120" t="e">
        <f aca="false">GetBasisChange($AI88)</f>
        <v>#VALUE!</v>
      </c>
      <c r="S88" s="121" t="e">
        <f aca="false">GetIndexChange($AI88)</f>
        <v>#VALUE!</v>
      </c>
      <c r="T88" s="122"/>
      <c r="U88" s="119" t="e">
        <f aca="false">GetFuelChange($AI88)</f>
        <v>#VALUE!</v>
      </c>
      <c r="V88" s="123" t="e">
        <f aca="false">GetVarChrgChange($AI88)</f>
        <v>#VALUE!</v>
      </c>
      <c r="W88" s="98"/>
      <c r="X88" s="119" t="e">
        <f aca="false">GetDelta($AI88)</f>
        <v>#VALUE!</v>
      </c>
      <c r="Y88" s="120" t="e">
        <f aca="false">GetGamma($AI88)</f>
        <v>#VALUE!</v>
      </c>
      <c r="Z88" s="120" t="e">
        <f aca="false">GetTheta($AI88)</f>
        <v>#VALUE!</v>
      </c>
      <c r="AA88" s="120" t="e">
        <f aca="false">GetVega($AI88)</f>
        <v>#VALUE!</v>
      </c>
      <c r="AB88" s="120" t="e">
        <f aca="false">GetRho($AI88)</f>
        <v>#VALUE!</v>
      </c>
      <c r="AC88" s="121" t="e">
        <f aca="false">GetDrift($AI88)</f>
        <v>#VALUE!</v>
      </c>
      <c r="AD88" s="98"/>
      <c r="AE88" s="98"/>
      <c r="AF88" s="98"/>
      <c r="AH88" s="124" t="e">
        <f aca="false">GetDBPage($C88)</f>
        <v>#VALUE!</v>
      </c>
      <c r="AI88" s="125" t="e">
        <f aca="false">GetWorkSheet($C88)</f>
        <v>#VALUE!</v>
      </c>
      <c r="AJ88" s="125" t="e">
        <f aca="false">IF(NOT($AI88="#VALUE#"),CONCATENATE($AI88,"!",GetDateStart($AI88),":",GetDateEnd($AI88)),"")</f>
        <v>#VALUE!</v>
      </c>
      <c r="AK88" s="125" t="e">
        <f aca="false">IF(NOT($AI88="#VALUE#"),CONCATENATE($AI88,"!",GetReceiptStart($AI88),":",GetReceiptEnd($AI88)),"")</f>
        <v>#VALUE!</v>
      </c>
      <c r="AL88" s="125" t="e">
        <f aca="false">GetRecNdx($AH88,$C88)</f>
        <v>#VALUE!</v>
      </c>
    </row>
    <row r="89" customFormat="false" ht="12.75" hidden="false" customHeight="false" outlineLevel="0" collapsed="false">
      <c r="C89" s="115"/>
      <c r="E89" s="116"/>
      <c r="F89" s="117"/>
      <c r="G89" s="126" t="e">
        <f aca="false">GetDelBasis($AH88,$AL89)</f>
        <v>#VALUE!</v>
      </c>
      <c r="H89" s="119"/>
      <c r="I89" s="120"/>
      <c r="J89" s="120"/>
      <c r="K89" s="120"/>
      <c r="L89" s="121"/>
      <c r="M89" s="127"/>
      <c r="N89" s="119"/>
      <c r="O89" s="121"/>
      <c r="P89" s="127"/>
      <c r="Q89" s="119"/>
      <c r="R89" s="120"/>
      <c r="S89" s="121"/>
      <c r="T89" s="122"/>
      <c r="U89" s="119"/>
      <c r="V89" s="123"/>
      <c r="W89" s="98"/>
      <c r="X89" s="119"/>
      <c r="Y89" s="120"/>
      <c r="Z89" s="120"/>
      <c r="AA89" s="120"/>
      <c r="AB89" s="120"/>
      <c r="AC89" s="121"/>
      <c r="AD89" s="98"/>
      <c r="AE89" s="98"/>
      <c r="AF89" s="98"/>
      <c r="AI89" s="125" t="e">
        <f aca="false">GetWorkSheet($C88)</f>
        <v>#VALUE!</v>
      </c>
      <c r="AJ89" s="125" t="e">
        <f aca="false">IF(NOT($AI89="#VALUE#"),CONCATENATE($AI89,"!",GetDateStart($AI89),":",GetDateEnd($AI89)),"")</f>
        <v>#VALUE!</v>
      </c>
      <c r="AK89" s="125" t="e">
        <f aca="false">IF(NOT($AI89="#VALUE#"),CONCATENATE($AI89,"!",GetDeliveryStart($AI89),":",GetDeliveryEnd($AI89)),"")</f>
        <v>#VALUE!</v>
      </c>
      <c r="AL89" s="125" t="e">
        <f aca="false">GetRecNdx($AH88,$C88)</f>
        <v>#VALUE!</v>
      </c>
    </row>
    <row r="90" customFormat="false" ht="12.75" hidden="false" customHeight="false" outlineLevel="0" collapsed="false">
      <c r="G90" s="128" t="s">
        <v>235</v>
      </c>
      <c r="H90" s="129" t="e">
        <f aca="true">SUM(INDIRECT(CONCATENATE(ADDRESS($AI90,COLUMN()),":",ADDRESS($AJ90,COLUMN()))))</f>
        <v>#VALUE!</v>
      </c>
      <c r="I90" s="129" t="e">
        <f aca="true">SUM(INDIRECT(CONCATENATE(ADDRESS($AI90,COLUMN()),":",ADDRESS($AJ90,COLUMN()))))</f>
        <v>#VALUE!</v>
      </c>
      <c r="J90" s="129" t="e">
        <f aca="true">SUM(INDIRECT(CONCATENATE(ADDRESS($AI90,COLUMN()),":",ADDRESS($AJ90,COLUMN()))))</f>
        <v>#VALUE!</v>
      </c>
      <c r="K90" s="129" t="e">
        <f aca="true">SUM(INDIRECT(CONCATENATE(ADDRESS($AI90,COLUMN()),":",ADDRESS($AJ90,COLUMN()))))</f>
        <v>#VALUE!</v>
      </c>
      <c r="L90" s="130" t="e">
        <f aca="true">SUM(INDIRECT(CONCATENATE(ADDRESS($AI90,COLUMN()),":",ADDRESS($AJ90,COLUMN()))))</f>
        <v>#VALUE!</v>
      </c>
      <c r="M90" s="131"/>
      <c r="N90" s="132" t="e">
        <f aca="true">SUM(INDIRECT(CONCATENATE(ADDRESS($AI90,COLUMN()),":",ADDRESS($AJ90,COLUMN()))))</f>
        <v>#VALUE!</v>
      </c>
      <c r="O90" s="133" t="e">
        <f aca="true">SUM(INDIRECT(CONCATENATE(ADDRESS($AI90,COLUMN()),":",ADDRESS($AJ90,COLUMN()))))</f>
        <v>#VALUE!</v>
      </c>
      <c r="P90" s="131"/>
      <c r="Q90" s="132" t="e">
        <f aca="true">SUM(INDIRECT(CONCATENATE(ADDRESS($AI90,COLUMN()),":",ADDRESS($AJ90,COLUMN()))))</f>
        <v>#VALUE!</v>
      </c>
      <c r="R90" s="129" t="e">
        <f aca="true">SUM(INDIRECT(CONCATENATE(ADDRESS($AI90,COLUMN()),":",ADDRESS($AJ90,COLUMN()))))</f>
        <v>#VALUE!</v>
      </c>
      <c r="S90" s="133" t="e">
        <f aca="true">SUM(INDIRECT(CONCATENATE(ADDRESS($AI90,COLUMN()),":",ADDRESS($AJ90,COLUMN()))))</f>
        <v>#VALUE!</v>
      </c>
      <c r="T90" s="131"/>
      <c r="U90" s="132" t="e">
        <f aca="true">SUM(INDIRECT(CONCATENATE(ADDRESS($AI90,COLUMN()),":",ADDRESS($AJ90,COLUMN()))))</f>
        <v>#VALUE!</v>
      </c>
      <c r="V90" s="133" t="e">
        <f aca="true">SUM(INDIRECT(CONCATENATE(ADDRESS($AI90,COLUMN()),":",ADDRESS($AJ90,COLUMN()))))</f>
        <v>#VALUE!</v>
      </c>
      <c r="W90" s="98"/>
      <c r="X90" s="132" t="e">
        <f aca="true">SUM(INDIRECT(CONCATENATE(ADDRESS($AI90,COLUMN()),":",ADDRESS($AJ90,COLUMN()))))</f>
        <v>#VALUE!</v>
      </c>
      <c r="Y90" s="129" t="e">
        <f aca="true">SUM(INDIRECT(CONCATENATE(ADDRESS($AI90,COLUMN()),":",ADDRESS($AJ90,COLUMN()))))</f>
        <v>#VALUE!</v>
      </c>
      <c r="Z90" s="129" t="e">
        <f aca="true">SUM(INDIRECT(CONCATENATE(ADDRESS($AI90,COLUMN()),":",ADDRESS($AJ90,COLUMN()))))</f>
        <v>#VALUE!</v>
      </c>
      <c r="AA90" s="129" t="e">
        <f aca="true">SUM(INDIRECT(CONCATENATE(ADDRESS($AI90,COLUMN()),":",ADDRESS($AJ90,COLUMN()))))</f>
        <v>#VALUE!</v>
      </c>
      <c r="AB90" s="129" t="e">
        <f aca="true">SUM(INDIRECT(CONCATENATE(ADDRESS($AI90,COLUMN()),":",ADDRESS($AJ90,COLUMN()))))</f>
        <v>#VALUE!</v>
      </c>
      <c r="AC90" s="130" t="e">
        <f aca="true">SUM(INDIRECT(CONCATENATE(ADDRESS($AI90,COLUMN()),":",ADDRESS($AJ90,COLUMN()))))</f>
        <v>#VALUE!</v>
      </c>
      <c r="AD90" s="98"/>
      <c r="AE90" s="99"/>
      <c r="AI90" s="134" t="e">
        <f aca="false">GetStartRow($AI89)</f>
        <v>#VALUE!</v>
      </c>
      <c r="AJ90" s="134" t="n">
        <f aca="false">ROW($AI89)</f>
        <v>89</v>
      </c>
    </row>
    <row r="93" customFormat="false" ht="18.75" hidden="false" customHeight="false" outlineLevel="0" collapsed="false">
      <c r="E93" s="102" t="s">
        <v>239</v>
      </c>
      <c r="U93" s="98"/>
      <c r="V93" s="98"/>
      <c r="W93" s="98"/>
      <c r="X93" s="98"/>
      <c r="Y93" s="98"/>
      <c r="Z93" s="98"/>
      <c r="AA93" s="98"/>
      <c r="AB93" s="98"/>
      <c r="AC93" s="98"/>
      <c r="AD93" s="98"/>
      <c r="AE93" s="99"/>
    </row>
    <row r="94" customFormat="false" ht="12.75" hidden="false" customHeight="true" outlineLevel="0" collapsed="false">
      <c r="A94" s="103"/>
      <c r="B94" s="103"/>
      <c r="C94" s="104" t="s">
        <v>213</v>
      </c>
      <c r="E94" s="105"/>
      <c r="F94" s="106"/>
      <c r="G94" s="107" t="s">
        <v>214</v>
      </c>
      <c r="H94" s="108" t="s">
        <v>215</v>
      </c>
      <c r="I94" s="109" t="s">
        <v>216</v>
      </c>
      <c r="J94" s="109" t="s">
        <v>217</v>
      </c>
      <c r="K94" s="109" t="s">
        <v>218</v>
      </c>
      <c r="L94" s="110" t="s">
        <v>219</v>
      </c>
      <c r="N94" s="108" t="s">
        <v>220</v>
      </c>
      <c r="O94" s="111" t="s">
        <v>221</v>
      </c>
      <c r="Q94" s="108" t="s">
        <v>222</v>
      </c>
      <c r="R94" s="109" t="s">
        <v>223</v>
      </c>
      <c r="S94" s="111" t="s">
        <v>224</v>
      </c>
      <c r="U94" s="108" t="s">
        <v>225</v>
      </c>
      <c r="V94" s="111" t="s">
        <v>226</v>
      </c>
      <c r="W94" s="98"/>
      <c r="X94" s="108" t="s">
        <v>227</v>
      </c>
      <c r="Y94" s="109" t="s">
        <v>228</v>
      </c>
      <c r="Z94" s="109" t="s">
        <v>229</v>
      </c>
      <c r="AA94" s="109" t="s">
        <v>230</v>
      </c>
      <c r="AB94" s="109" t="s">
        <v>231</v>
      </c>
      <c r="AC94" s="110" t="s">
        <v>232</v>
      </c>
      <c r="AD94" s="98"/>
      <c r="AE94" s="98"/>
      <c r="AF94" s="98"/>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103"/>
      <c r="CS94" s="103"/>
      <c r="CT94" s="103"/>
      <c r="CU94" s="103"/>
      <c r="CV94" s="103"/>
      <c r="CW94" s="103"/>
      <c r="CX94" s="103"/>
      <c r="CY94" s="103"/>
      <c r="CZ94" s="103"/>
      <c r="DA94" s="103"/>
      <c r="DB94" s="103"/>
      <c r="DC94" s="103"/>
      <c r="DD94" s="103"/>
      <c r="DE94" s="103"/>
      <c r="DF94" s="103"/>
      <c r="DG94" s="103"/>
      <c r="DH94" s="103"/>
      <c r="DI94" s="103"/>
      <c r="DJ94" s="103"/>
      <c r="DK94" s="103"/>
      <c r="DL94" s="103"/>
      <c r="DM94" s="103"/>
      <c r="DN94" s="103"/>
      <c r="DO94" s="103"/>
      <c r="DP94" s="103"/>
      <c r="DQ94" s="103"/>
      <c r="DR94" s="103"/>
      <c r="DS94" s="103"/>
      <c r="DT94" s="103"/>
      <c r="DU94" s="103"/>
      <c r="DV94" s="103"/>
      <c r="DW94" s="103"/>
      <c r="DX94" s="103"/>
      <c r="DY94" s="103"/>
      <c r="DZ94" s="103"/>
      <c r="EA94" s="103"/>
      <c r="EB94" s="103"/>
      <c r="EC94" s="103"/>
      <c r="ED94" s="103"/>
      <c r="EE94" s="103"/>
      <c r="EF94" s="103"/>
      <c r="EG94" s="103"/>
      <c r="EH94" s="103"/>
      <c r="EI94" s="103"/>
      <c r="EJ94" s="103"/>
      <c r="EK94" s="103"/>
      <c r="EL94" s="103"/>
      <c r="EM94" s="103"/>
      <c r="EN94" s="103"/>
      <c r="EO94" s="103"/>
      <c r="EP94" s="103"/>
      <c r="EQ94" s="103"/>
      <c r="ER94" s="103"/>
      <c r="ES94" s="103"/>
      <c r="ET94" s="103"/>
      <c r="EU94" s="103"/>
      <c r="EV94" s="103"/>
      <c r="EW94" s="103"/>
      <c r="EX94" s="103"/>
      <c r="EY94" s="103"/>
      <c r="EZ94" s="103"/>
      <c r="FA94" s="103"/>
      <c r="FB94" s="103"/>
      <c r="FC94" s="103"/>
      <c r="FD94" s="103"/>
      <c r="FE94" s="103"/>
      <c r="FF94" s="103"/>
      <c r="FG94" s="103"/>
      <c r="FH94" s="103"/>
      <c r="FI94" s="103"/>
      <c r="FJ94" s="103"/>
      <c r="FK94" s="103"/>
      <c r="FL94" s="103"/>
      <c r="FM94" s="103"/>
      <c r="FN94" s="103"/>
      <c r="FO94" s="103"/>
      <c r="FP94" s="103"/>
      <c r="FQ94" s="103"/>
      <c r="FR94" s="103"/>
      <c r="FS94" s="103"/>
      <c r="FT94" s="103"/>
      <c r="FU94" s="103"/>
      <c r="FV94" s="103"/>
      <c r="FW94" s="103"/>
      <c r="FX94" s="103"/>
      <c r="FY94" s="103"/>
      <c r="FZ94" s="103"/>
      <c r="GA94" s="103"/>
      <c r="GB94" s="103"/>
      <c r="GC94" s="103"/>
      <c r="GD94" s="103"/>
      <c r="GE94" s="103"/>
      <c r="GF94" s="103"/>
      <c r="GG94" s="103"/>
      <c r="GH94" s="103"/>
      <c r="GI94" s="103"/>
      <c r="GJ94" s="103"/>
      <c r="GK94" s="103"/>
      <c r="GL94" s="103"/>
      <c r="GM94" s="103"/>
      <c r="GN94" s="103"/>
      <c r="GO94" s="103"/>
      <c r="GP94" s="103"/>
      <c r="GQ94" s="103"/>
      <c r="GR94" s="103"/>
      <c r="GS94" s="103"/>
      <c r="GT94" s="103"/>
      <c r="GU94" s="103"/>
      <c r="GV94" s="103"/>
      <c r="GW94" s="103"/>
      <c r="GX94" s="103"/>
      <c r="GY94" s="103"/>
      <c r="GZ94" s="103"/>
      <c r="HA94" s="103"/>
      <c r="HB94" s="103"/>
      <c r="HC94" s="103"/>
      <c r="HD94" s="103"/>
      <c r="HE94" s="103"/>
      <c r="HF94" s="103"/>
      <c r="HG94" s="103"/>
      <c r="HH94" s="103"/>
      <c r="HI94" s="103"/>
      <c r="HJ94" s="103"/>
      <c r="HK94" s="103"/>
      <c r="HL94" s="103"/>
      <c r="HM94" s="103"/>
      <c r="HN94" s="103"/>
      <c r="HO94" s="103"/>
      <c r="HP94" s="103"/>
      <c r="HQ94" s="103"/>
      <c r="HR94" s="103"/>
      <c r="HS94" s="103"/>
      <c r="HT94" s="103"/>
      <c r="HU94" s="103"/>
      <c r="HV94" s="103"/>
      <c r="HW94" s="103"/>
      <c r="HX94" s="103"/>
      <c r="HY94" s="103"/>
      <c r="HZ94" s="103"/>
      <c r="IA94" s="103"/>
      <c r="IB94" s="103"/>
      <c r="IC94" s="103"/>
      <c r="ID94" s="103"/>
      <c r="IE94" s="103"/>
      <c r="IF94" s="103"/>
      <c r="IG94" s="103"/>
      <c r="IH94" s="103"/>
      <c r="II94" s="103"/>
      <c r="IJ94" s="103"/>
      <c r="IK94" s="103"/>
      <c r="IL94" s="103"/>
      <c r="IM94" s="103"/>
      <c r="IN94" s="103"/>
      <c r="IO94" s="103"/>
      <c r="IP94" s="103"/>
      <c r="IQ94" s="103"/>
      <c r="IR94" s="103"/>
      <c r="IS94" s="103"/>
      <c r="IT94" s="103"/>
      <c r="IU94" s="103"/>
      <c r="IV94" s="103"/>
      <c r="IW94" s="103"/>
    </row>
    <row r="95" customFormat="false" ht="12.75" hidden="false" customHeight="true" outlineLevel="0" collapsed="false">
      <c r="A95" s="103"/>
      <c r="B95" s="103"/>
      <c r="C95" s="104"/>
      <c r="E95" s="112" t="s">
        <v>13</v>
      </c>
      <c r="F95" s="113" t="s">
        <v>233</v>
      </c>
      <c r="G95" s="114" t="s">
        <v>234</v>
      </c>
      <c r="H95" s="108"/>
      <c r="I95" s="109" t="s">
        <v>216</v>
      </c>
      <c r="J95" s="109"/>
      <c r="K95" s="109"/>
      <c r="L95" s="110"/>
      <c r="N95" s="108"/>
      <c r="O95" s="111"/>
      <c r="Q95" s="108"/>
      <c r="R95" s="109"/>
      <c r="S95" s="111"/>
      <c r="U95" s="108"/>
      <c r="V95" s="111"/>
      <c r="W95" s="98"/>
      <c r="X95" s="108"/>
      <c r="Y95" s="109"/>
      <c r="Z95" s="109"/>
      <c r="AA95" s="109"/>
      <c r="AB95" s="109"/>
      <c r="AC95" s="110"/>
      <c r="AD95" s="98"/>
      <c r="AE95" s="98"/>
      <c r="AF95" s="98"/>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c r="CT95" s="103"/>
      <c r="CU95" s="103"/>
      <c r="CV95" s="103"/>
      <c r="CW95" s="103"/>
      <c r="CX95" s="103"/>
      <c r="CY95" s="103"/>
      <c r="CZ95" s="103"/>
      <c r="DA95" s="103"/>
      <c r="DB95" s="103"/>
      <c r="DC95" s="103"/>
      <c r="DD95" s="103"/>
      <c r="DE95" s="103"/>
      <c r="DF95" s="103"/>
      <c r="DG95" s="103"/>
      <c r="DH95" s="103"/>
      <c r="DI95" s="103"/>
      <c r="DJ95" s="103"/>
      <c r="DK95" s="103"/>
      <c r="DL95" s="103"/>
      <c r="DM95" s="103"/>
      <c r="DN95" s="103"/>
      <c r="DO95" s="103"/>
      <c r="DP95" s="103"/>
      <c r="DQ95" s="103"/>
      <c r="DR95" s="103"/>
      <c r="DS95" s="103"/>
      <c r="DT95" s="103"/>
      <c r="DU95" s="103"/>
      <c r="DV95" s="103"/>
      <c r="DW95" s="103"/>
      <c r="DX95" s="103"/>
      <c r="DY95" s="103"/>
      <c r="DZ95" s="103"/>
      <c r="EA95" s="103"/>
      <c r="EB95" s="103"/>
      <c r="EC95" s="103"/>
      <c r="ED95" s="103"/>
      <c r="EE95" s="103"/>
      <c r="EF95" s="103"/>
      <c r="EG95" s="103"/>
      <c r="EH95" s="103"/>
      <c r="EI95" s="103"/>
      <c r="EJ95" s="103"/>
      <c r="EK95" s="103"/>
      <c r="EL95" s="103"/>
      <c r="EM95" s="103"/>
      <c r="EN95" s="103"/>
      <c r="EO95" s="103"/>
      <c r="EP95" s="103"/>
      <c r="EQ95" s="103"/>
      <c r="ER95" s="103"/>
      <c r="ES95" s="103"/>
      <c r="ET95" s="103"/>
      <c r="EU95" s="103"/>
      <c r="EV95" s="103"/>
      <c r="EW95" s="103"/>
      <c r="EX95" s="103"/>
      <c r="EY95" s="103"/>
      <c r="EZ95" s="103"/>
      <c r="FA95" s="103"/>
      <c r="FB95" s="103"/>
      <c r="FC95" s="103"/>
      <c r="FD95" s="103"/>
      <c r="FE95" s="103"/>
      <c r="FF95" s="103"/>
      <c r="FG95" s="103"/>
      <c r="FH95" s="103"/>
      <c r="FI95" s="103"/>
      <c r="FJ95" s="103"/>
      <c r="FK95" s="103"/>
      <c r="FL95" s="103"/>
      <c r="FM95" s="103"/>
      <c r="FN95" s="103"/>
      <c r="FO95" s="103"/>
      <c r="FP95" s="103"/>
      <c r="FQ95" s="103"/>
      <c r="FR95" s="103"/>
      <c r="FS95" s="103"/>
      <c r="FT95" s="103"/>
      <c r="FU95" s="103"/>
      <c r="FV95" s="103"/>
      <c r="FW95" s="103"/>
      <c r="FX95" s="103"/>
      <c r="FY95" s="103"/>
      <c r="FZ95" s="103"/>
      <c r="GA95" s="103"/>
      <c r="GB95" s="103"/>
      <c r="GC95" s="103"/>
      <c r="GD95" s="103"/>
      <c r="GE95" s="103"/>
      <c r="GF95" s="103"/>
      <c r="GG95" s="103"/>
      <c r="GH95" s="103"/>
      <c r="GI95" s="103"/>
      <c r="GJ95" s="103"/>
      <c r="GK95" s="103"/>
      <c r="GL95" s="103"/>
      <c r="GM95" s="103"/>
      <c r="GN95" s="103"/>
      <c r="GO95" s="103"/>
      <c r="GP95" s="103"/>
      <c r="GQ95" s="103"/>
      <c r="GR95" s="103"/>
      <c r="GS95" s="103"/>
      <c r="GT95" s="103"/>
      <c r="GU95" s="103"/>
      <c r="GV95" s="103"/>
      <c r="GW95" s="103"/>
      <c r="GX95" s="103"/>
      <c r="GY95" s="103"/>
      <c r="GZ95" s="103"/>
      <c r="HA95" s="103"/>
      <c r="HB95" s="103"/>
      <c r="HC95" s="103"/>
      <c r="HD95" s="103"/>
      <c r="HE95" s="103"/>
      <c r="HF95" s="103"/>
      <c r="HG95" s="103"/>
      <c r="HH95" s="103"/>
      <c r="HI95" s="103"/>
      <c r="HJ95" s="103"/>
      <c r="HK95" s="103"/>
      <c r="HL95" s="103"/>
      <c r="HM95" s="103"/>
      <c r="HN95" s="103"/>
      <c r="HO95" s="103"/>
      <c r="HP95" s="103"/>
      <c r="HQ95" s="103"/>
      <c r="HR95" s="103"/>
      <c r="HS95" s="103"/>
      <c r="HT95" s="103"/>
      <c r="HU95" s="103"/>
      <c r="HV95" s="103"/>
      <c r="HW95" s="103"/>
      <c r="HX95" s="103"/>
      <c r="HY95" s="103"/>
      <c r="HZ95" s="103"/>
      <c r="IA95" s="103"/>
      <c r="IB95" s="103"/>
      <c r="IC95" s="103"/>
      <c r="ID95" s="103"/>
      <c r="IE95" s="103"/>
      <c r="IF95" s="103"/>
      <c r="IG95" s="103"/>
      <c r="IH95" s="103"/>
      <c r="II95" s="103"/>
      <c r="IJ95" s="103"/>
      <c r="IK95" s="103"/>
      <c r="IL95" s="103"/>
      <c r="IM95" s="103"/>
      <c r="IN95" s="103"/>
      <c r="IO95" s="103"/>
      <c r="IP95" s="103"/>
      <c r="IQ95" s="103"/>
      <c r="IR95" s="103"/>
      <c r="IS95" s="103"/>
      <c r="IT95" s="103"/>
      <c r="IU95" s="103"/>
      <c r="IV95" s="103"/>
      <c r="IW95" s="103"/>
    </row>
    <row r="96" customFormat="false" ht="12.75" hidden="false" customHeight="false" outlineLevel="0" collapsed="false">
      <c r="C96" s="115" t="n">
        <v>84</v>
      </c>
      <c r="E96" s="116" t="e">
        <f aca="false">GetPipeName($AH96,$AL96)</f>
        <v>#VALUE!</v>
      </c>
      <c r="F96" s="117" t="e">
        <f aca="false">CONCATENATE(GetRcptPoint($AH96,$AL96)," to ",GetDelPoint($AH96,$AL96))</f>
        <v>#VALUE!</v>
      </c>
      <c r="G96" s="118" t="e">
        <f aca="false">GetRcptBasis($AH96,$AL96)</f>
        <v>#VALUE!</v>
      </c>
      <c r="H96" s="119" t="e">
        <f aca="false">GetTodayAsset($AI96)</f>
        <v>#VALUE!</v>
      </c>
      <c r="I96" s="120" t="e">
        <f aca="false">GetTodayDemand($AI96)</f>
        <v>#VALUE!</v>
      </c>
      <c r="J96" s="120" t="e">
        <f aca="false">H96-I96</f>
        <v>#VALUE!</v>
      </c>
      <c r="K96" s="120" t="e">
        <f aca="false">GetYesterdayPL($AI96)</f>
        <v>#VALUE!</v>
      </c>
      <c r="L96" s="121" t="e">
        <f aca="false">J96-K96</f>
        <v>#VALUE!</v>
      </c>
      <c r="N96" s="119" t="e">
        <f aca="false">GetTodayIntrinsic($AI96)</f>
        <v>#VALUE!</v>
      </c>
      <c r="O96" s="121" t="e">
        <f aca="false">GetTodayExtrinsic($AI96)</f>
        <v>#VALUE!</v>
      </c>
      <c r="Q96" s="119" t="e">
        <f aca="false">GetPriceChange($AI96)</f>
        <v>#VALUE!</v>
      </c>
      <c r="R96" s="120" t="e">
        <f aca="false">GetBasisChange($AI96)</f>
        <v>#VALUE!</v>
      </c>
      <c r="S96" s="121" t="e">
        <f aca="false">GetIndexChange($AI96)</f>
        <v>#VALUE!</v>
      </c>
      <c r="T96" s="122"/>
      <c r="U96" s="119" t="e">
        <f aca="false">GetFuelChange($AI96)</f>
        <v>#VALUE!</v>
      </c>
      <c r="V96" s="123" t="e">
        <f aca="false">GetVarChrgChange($AI96)</f>
        <v>#VALUE!</v>
      </c>
      <c r="W96" s="98"/>
      <c r="X96" s="119" t="e">
        <f aca="false">GetDelta($AI96)</f>
        <v>#VALUE!</v>
      </c>
      <c r="Y96" s="120" t="e">
        <f aca="false">GetGamma($AI96)</f>
        <v>#VALUE!</v>
      </c>
      <c r="Z96" s="120" t="e">
        <f aca="false">GetTheta($AI96)</f>
        <v>#VALUE!</v>
      </c>
      <c r="AA96" s="120" t="e">
        <f aca="false">GetVega($AI96)</f>
        <v>#VALUE!</v>
      </c>
      <c r="AB96" s="120" t="e">
        <f aca="false">GetRho($AI96)</f>
        <v>#VALUE!</v>
      </c>
      <c r="AC96" s="121" t="e">
        <f aca="false">GetDrift($AI96)</f>
        <v>#VALUE!</v>
      </c>
      <c r="AD96" s="98"/>
      <c r="AE96" s="98"/>
      <c r="AF96" s="98"/>
      <c r="AH96" s="124" t="e">
        <f aca="false">GetDBPage($C96)</f>
        <v>#VALUE!</v>
      </c>
      <c r="AI96" s="125" t="e">
        <f aca="false">GetWorkSheet($C96)</f>
        <v>#VALUE!</v>
      </c>
      <c r="AJ96" s="125" t="e">
        <f aca="false">IF(NOT($AI96="#VALUE#"),CONCATENATE($AI96,"!",GetDateStart($AI96),":",GetDateEnd($AI96)),"")</f>
        <v>#VALUE!</v>
      </c>
      <c r="AK96" s="125" t="e">
        <f aca="false">IF(NOT($AI96="#VALUE#"),CONCATENATE($AI96,"!",GetReceiptStart($AI96),":",GetReceiptEnd($AI96)),"")</f>
        <v>#VALUE!</v>
      </c>
      <c r="AL96" s="125" t="e">
        <f aca="false">GetRecNdx($AH96,$C96)</f>
        <v>#VALUE!</v>
      </c>
    </row>
    <row r="97" customFormat="false" ht="12.75" hidden="false" customHeight="false" outlineLevel="0" collapsed="false">
      <c r="C97" s="115"/>
      <c r="E97" s="116"/>
      <c r="F97" s="117"/>
      <c r="G97" s="126" t="e">
        <f aca="false">GetDelBasis($AH96,$AL97)</f>
        <v>#VALUE!</v>
      </c>
      <c r="H97" s="119"/>
      <c r="I97" s="120"/>
      <c r="J97" s="120"/>
      <c r="K97" s="120"/>
      <c r="L97" s="121"/>
      <c r="M97" s="127"/>
      <c r="N97" s="119"/>
      <c r="O97" s="121"/>
      <c r="P97" s="127"/>
      <c r="Q97" s="119"/>
      <c r="R97" s="120"/>
      <c r="S97" s="121"/>
      <c r="T97" s="122"/>
      <c r="U97" s="119"/>
      <c r="V97" s="123"/>
      <c r="W97" s="98"/>
      <c r="X97" s="119"/>
      <c r="Y97" s="120"/>
      <c r="Z97" s="120"/>
      <c r="AA97" s="120"/>
      <c r="AB97" s="120"/>
      <c r="AC97" s="121"/>
      <c r="AD97" s="98"/>
      <c r="AE97" s="98"/>
      <c r="AF97" s="98"/>
      <c r="AI97" s="125" t="e">
        <f aca="false">GetWorkSheet($C96)</f>
        <v>#VALUE!</v>
      </c>
      <c r="AJ97" s="125" t="e">
        <f aca="false">IF(NOT($AI97="#VALUE#"),CONCATENATE($AI97,"!",GetDateStart($AI97),":",GetDateEnd($AI97)),"")</f>
        <v>#VALUE!</v>
      </c>
      <c r="AK97" s="125" t="e">
        <f aca="false">IF(NOT($AI97="#VALUE#"),CONCATENATE($AI97,"!",GetDeliveryStart($AI97),":",GetDeliveryEnd($AI97)),"")</f>
        <v>#VALUE!</v>
      </c>
      <c r="AL97" s="125" t="e">
        <f aca="false">GetRecNdx($AH96,$C96)</f>
        <v>#VALUE!</v>
      </c>
    </row>
    <row r="98" customFormat="false" ht="12.75" hidden="false" customHeight="false" outlineLevel="0" collapsed="false">
      <c r="C98" s="115" t="n">
        <v>85</v>
      </c>
      <c r="E98" s="116" t="e">
        <f aca="false">GetPipeName($AH98,$AL98)</f>
        <v>#VALUE!</v>
      </c>
      <c r="F98" s="117" t="e">
        <f aca="false">CONCATENATE(GetRcptPoint($AH98,$AL98)," to ",GetDelPoint($AH98,$AL98))</f>
        <v>#VALUE!</v>
      </c>
      <c r="G98" s="118" t="e">
        <f aca="false">GetRcptBasis($AH98,$AL98)</f>
        <v>#VALUE!</v>
      </c>
      <c r="H98" s="119" t="e">
        <f aca="false">GetTodayAsset($AI98)</f>
        <v>#VALUE!</v>
      </c>
      <c r="I98" s="120" t="e">
        <f aca="false">GetTodayDemand($AI98)</f>
        <v>#VALUE!</v>
      </c>
      <c r="J98" s="120" t="e">
        <f aca="false">H98-I98</f>
        <v>#VALUE!</v>
      </c>
      <c r="K98" s="120" t="e">
        <f aca="false">GetYesterdayPL($AI98)</f>
        <v>#VALUE!</v>
      </c>
      <c r="L98" s="121" t="e">
        <f aca="false">J98-K98</f>
        <v>#VALUE!</v>
      </c>
      <c r="N98" s="119" t="e">
        <f aca="false">GetTodayIntrinsic($AI98)</f>
        <v>#VALUE!</v>
      </c>
      <c r="O98" s="121" t="e">
        <f aca="false">GetTodayExtrinsic($AI98)</f>
        <v>#VALUE!</v>
      </c>
      <c r="Q98" s="119" t="e">
        <f aca="false">GetPriceChange($AI98)</f>
        <v>#VALUE!</v>
      </c>
      <c r="R98" s="120" t="e">
        <f aca="false">GetBasisChange($AI98)</f>
        <v>#VALUE!</v>
      </c>
      <c r="S98" s="121" t="e">
        <f aca="false">GetIndexChange($AI98)</f>
        <v>#VALUE!</v>
      </c>
      <c r="T98" s="122"/>
      <c r="U98" s="119" t="e">
        <f aca="false">GetFuelChange($AI98)</f>
        <v>#VALUE!</v>
      </c>
      <c r="V98" s="123" t="e">
        <f aca="false">GetVarChrgChange($AI98)</f>
        <v>#VALUE!</v>
      </c>
      <c r="W98" s="98"/>
      <c r="X98" s="119" t="e">
        <f aca="false">GetDelta($AI98)</f>
        <v>#VALUE!</v>
      </c>
      <c r="Y98" s="120" t="e">
        <f aca="false">GetGamma($AI98)</f>
        <v>#VALUE!</v>
      </c>
      <c r="Z98" s="120" t="e">
        <f aca="false">GetTheta($AI98)</f>
        <v>#VALUE!</v>
      </c>
      <c r="AA98" s="120" t="e">
        <f aca="false">GetVega($AI98)</f>
        <v>#VALUE!</v>
      </c>
      <c r="AB98" s="120" t="e">
        <f aca="false">GetRho($AI98)</f>
        <v>#VALUE!</v>
      </c>
      <c r="AC98" s="121" t="e">
        <f aca="false">GetDrift($AI98)</f>
        <v>#VALUE!</v>
      </c>
      <c r="AD98" s="98"/>
      <c r="AE98" s="98"/>
      <c r="AF98" s="98"/>
      <c r="AH98" s="124" t="e">
        <f aca="false">GetDBPage($C98)</f>
        <v>#VALUE!</v>
      </c>
      <c r="AI98" s="125" t="e">
        <f aca="false">GetWorkSheet($C98)</f>
        <v>#VALUE!</v>
      </c>
      <c r="AJ98" s="125" t="e">
        <f aca="false">IF(NOT($AI98="#VALUE#"),CONCATENATE($AI98,"!",GetDateStart($AI98),":",GetDateEnd($AI98)),"")</f>
        <v>#VALUE!</v>
      </c>
      <c r="AK98" s="125" t="e">
        <f aca="false">IF(NOT($AI98="#VALUE#"),CONCATENATE($AI98,"!",GetReceiptStart($AI98),":",GetReceiptEnd($AI98)),"")</f>
        <v>#VALUE!</v>
      </c>
      <c r="AL98" s="125" t="e">
        <f aca="false">GetRecNdx($AH98,$C98)</f>
        <v>#VALUE!</v>
      </c>
    </row>
    <row r="99" customFormat="false" ht="12.75" hidden="false" customHeight="false" outlineLevel="0" collapsed="false">
      <c r="C99" s="115"/>
      <c r="E99" s="116"/>
      <c r="F99" s="117"/>
      <c r="G99" s="126" t="e">
        <f aca="false">GetDelBasis($AH98,$AL99)</f>
        <v>#VALUE!</v>
      </c>
      <c r="H99" s="119"/>
      <c r="I99" s="120"/>
      <c r="J99" s="120"/>
      <c r="K99" s="120"/>
      <c r="L99" s="121"/>
      <c r="M99" s="127"/>
      <c r="N99" s="119"/>
      <c r="O99" s="121"/>
      <c r="P99" s="127"/>
      <c r="Q99" s="119"/>
      <c r="R99" s="120"/>
      <c r="S99" s="121"/>
      <c r="T99" s="122"/>
      <c r="U99" s="119"/>
      <c r="V99" s="123"/>
      <c r="W99" s="98"/>
      <c r="X99" s="119"/>
      <c r="Y99" s="120"/>
      <c r="Z99" s="120"/>
      <c r="AA99" s="120"/>
      <c r="AB99" s="120"/>
      <c r="AC99" s="121"/>
      <c r="AD99" s="98"/>
      <c r="AE99" s="98"/>
      <c r="AF99" s="98"/>
      <c r="AI99" s="125" t="e">
        <f aca="false">GetWorkSheet($C98)</f>
        <v>#VALUE!</v>
      </c>
      <c r="AJ99" s="125" t="e">
        <f aca="false">IF(NOT($AI99="#VALUE#"),CONCATENATE($AI99,"!",GetDateStart($AI99),":",GetDateEnd($AI99)),"")</f>
        <v>#VALUE!</v>
      </c>
      <c r="AK99" s="125" t="e">
        <f aca="false">IF(NOT($AI99="#VALUE#"),CONCATENATE($AI99,"!",GetDeliveryStart($AI99),":",GetDeliveryEnd($AI99)),"")</f>
        <v>#VALUE!</v>
      </c>
      <c r="AL99" s="125" t="e">
        <f aca="false">GetRecNdx($AH98,$C98)</f>
        <v>#VALUE!</v>
      </c>
    </row>
    <row r="100" customFormat="false" ht="12.75" hidden="false" customHeight="false" outlineLevel="0" collapsed="false">
      <c r="C100" s="115" t="n">
        <v>86</v>
      </c>
      <c r="E100" s="116" t="e">
        <f aca="false">GetPipeName($AH100,$AL100)</f>
        <v>#VALUE!</v>
      </c>
      <c r="F100" s="117" t="e">
        <f aca="false">CONCATENATE(GetRcptPoint($AH100,$AL100)," to ",GetDelPoint($AH100,$AL100))</f>
        <v>#VALUE!</v>
      </c>
      <c r="G100" s="118" t="e">
        <f aca="false">GetRcptBasis($AH100,$AL100)</f>
        <v>#VALUE!</v>
      </c>
      <c r="H100" s="119" t="e">
        <f aca="false">GetTodayAsset($AI100)</f>
        <v>#VALUE!</v>
      </c>
      <c r="I100" s="120" t="e">
        <f aca="false">GetTodayDemand($AI100)</f>
        <v>#VALUE!</v>
      </c>
      <c r="J100" s="120" t="e">
        <f aca="false">H100-I100</f>
        <v>#VALUE!</v>
      </c>
      <c r="K100" s="120" t="e">
        <f aca="false">GetYesterdayPL($AI100)</f>
        <v>#VALUE!</v>
      </c>
      <c r="L100" s="121" t="e">
        <f aca="false">J100-K100</f>
        <v>#VALUE!</v>
      </c>
      <c r="N100" s="119" t="e">
        <f aca="false">GetTodayIntrinsic($AI100)</f>
        <v>#VALUE!</v>
      </c>
      <c r="O100" s="121" t="e">
        <f aca="false">GetTodayExtrinsic($AI100)</f>
        <v>#VALUE!</v>
      </c>
      <c r="Q100" s="119" t="e">
        <f aca="false">GetPriceChange($AI100)</f>
        <v>#VALUE!</v>
      </c>
      <c r="R100" s="120" t="e">
        <f aca="false">GetBasisChange($AI100)</f>
        <v>#VALUE!</v>
      </c>
      <c r="S100" s="121" t="e">
        <f aca="false">GetIndexChange($AI100)</f>
        <v>#VALUE!</v>
      </c>
      <c r="T100" s="122"/>
      <c r="U100" s="119" t="e">
        <f aca="false">GetFuelChange($AI100)</f>
        <v>#VALUE!</v>
      </c>
      <c r="V100" s="123" t="e">
        <f aca="false">GetVarChrgChange($AI100)</f>
        <v>#VALUE!</v>
      </c>
      <c r="W100" s="98"/>
      <c r="X100" s="119" t="e">
        <f aca="false">GetDelta($AI100)</f>
        <v>#VALUE!</v>
      </c>
      <c r="Y100" s="120" t="e">
        <f aca="false">GetGamma($AI100)</f>
        <v>#VALUE!</v>
      </c>
      <c r="Z100" s="120" t="e">
        <f aca="false">GetTheta($AI100)</f>
        <v>#VALUE!</v>
      </c>
      <c r="AA100" s="120" t="e">
        <f aca="false">GetVega($AI100)</f>
        <v>#VALUE!</v>
      </c>
      <c r="AB100" s="120" t="e">
        <f aca="false">GetRho($AI100)</f>
        <v>#VALUE!</v>
      </c>
      <c r="AC100" s="121" t="e">
        <f aca="false">GetDrift($AI100)</f>
        <v>#VALUE!</v>
      </c>
      <c r="AD100" s="98"/>
      <c r="AE100" s="98"/>
      <c r="AF100" s="98"/>
      <c r="AH100" s="124" t="e">
        <f aca="false">GetDBPage($C100)</f>
        <v>#VALUE!</v>
      </c>
      <c r="AI100" s="125" t="e">
        <f aca="false">GetWorkSheet($C100)</f>
        <v>#VALUE!</v>
      </c>
      <c r="AJ100" s="125" t="e">
        <f aca="false">IF(NOT($AI100="#VALUE#"),CONCATENATE($AI100,"!",GetDateStart($AI100),":",GetDateEnd($AI100)),"")</f>
        <v>#VALUE!</v>
      </c>
      <c r="AK100" s="125" t="e">
        <f aca="false">IF(NOT($AI100="#VALUE#"),CONCATENATE($AI100,"!",GetReceiptStart($AI100),":",GetReceiptEnd($AI100)),"")</f>
        <v>#VALUE!</v>
      </c>
      <c r="AL100" s="125" t="e">
        <f aca="false">GetRecNdx($AH100,$C100)</f>
        <v>#VALUE!</v>
      </c>
    </row>
    <row r="101" customFormat="false" ht="12.75" hidden="false" customHeight="false" outlineLevel="0" collapsed="false">
      <c r="C101" s="115"/>
      <c r="E101" s="116"/>
      <c r="F101" s="117"/>
      <c r="G101" s="126" t="e">
        <f aca="false">GetDelBasis($AH100,$AL101)</f>
        <v>#VALUE!</v>
      </c>
      <c r="H101" s="119"/>
      <c r="I101" s="120"/>
      <c r="J101" s="120"/>
      <c r="K101" s="120"/>
      <c r="L101" s="121"/>
      <c r="M101" s="127"/>
      <c r="N101" s="119"/>
      <c r="O101" s="121"/>
      <c r="P101" s="127"/>
      <c r="Q101" s="119"/>
      <c r="R101" s="120"/>
      <c r="S101" s="121"/>
      <c r="T101" s="122"/>
      <c r="U101" s="119"/>
      <c r="V101" s="123"/>
      <c r="W101" s="98"/>
      <c r="X101" s="119"/>
      <c r="Y101" s="120"/>
      <c r="Z101" s="120"/>
      <c r="AA101" s="120"/>
      <c r="AB101" s="120"/>
      <c r="AC101" s="121"/>
      <c r="AD101" s="98"/>
      <c r="AE101" s="98"/>
      <c r="AF101" s="98"/>
      <c r="AI101" s="125" t="e">
        <f aca="false">GetWorkSheet($C100)</f>
        <v>#VALUE!</v>
      </c>
      <c r="AJ101" s="125" t="e">
        <f aca="false">IF(NOT($AI101="#VALUE#"),CONCATENATE($AI101,"!",GetDateStart($AI101),":",GetDateEnd($AI101)),"")</f>
        <v>#VALUE!</v>
      </c>
      <c r="AK101" s="125" t="e">
        <f aca="false">IF(NOT($AI101="#VALUE#"),CONCATENATE($AI101,"!",GetDeliveryStart($AI101),":",GetDeliveryEnd($AI101)),"")</f>
        <v>#VALUE!</v>
      </c>
      <c r="AL101" s="125" t="e">
        <f aca="false">GetRecNdx($AH100,$C100)</f>
        <v>#VALUE!</v>
      </c>
    </row>
    <row r="102" customFormat="false" ht="12.75" hidden="false" customHeight="false" outlineLevel="0" collapsed="false">
      <c r="C102" s="115" t="n">
        <v>87</v>
      </c>
      <c r="E102" s="116" t="e">
        <f aca="false">GetPipeName($AH102,$AL102)</f>
        <v>#VALUE!</v>
      </c>
      <c r="F102" s="117" t="e">
        <f aca="false">CONCATENATE(GetRcptPoint($AH102,$AL102)," to ",GetDelPoint($AH102,$AL102))</f>
        <v>#VALUE!</v>
      </c>
      <c r="G102" s="118" t="e">
        <f aca="false">GetRcptBasis($AH102,$AL102)</f>
        <v>#VALUE!</v>
      </c>
      <c r="H102" s="119" t="e">
        <f aca="false">GetTodayAsset($AI102)</f>
        <v>#VALUE!</v>
      </c>
      <c r="I102" s="120" t="e">
        <f aca="false">GetTodayDemand($AI102)</f>
        <v>#VALUE!</v>
      </c>
      <c r="J102" s="120" t="e">
        <f aca="false">H102-I102</f>
        <v>#VALUE!</v>
      </c>
      <c r="K102" s="120" t="e">
        <f aca="false">GetYesterdayPL($AI102)</f>
        <v>#VALUE!</v>
      </c>
      <c r="L102" s="121" t="e">
        <f aca="false">J102-K102</f>
        <v>#VALUE!</v>
      </c>
      <c r="N102" s="119" t="e">
        <f aca="false">GetTodayIntrinsic($AI102)</f>
        <v>#VALUE!</v>
      </c>
      <c r="O102" s="121" t="e">
        <f aca="false">GetTodayExtrinsic($AI102)</f>
        <v>#VALUE!</v>
      </c>
      <c r="Q102" s="119" t="e">
        <f aca="false">GetPriceChange($AI102)</f>
        <v>#VALUE!</v>
      </c>
      <c r="R102" s="120" t="e">
        <f aca="false">GetBasisChange($AI102)</f>
        <v>#VALUE!</v>
      </c>
      <c r="S102" s="121" t="e">
        <f aca="false">GetIndexChange($AI102)</f>
        <v>#VALUE!</v>
      </c>
      <c r="T102" s="122"/>
      <c r="U102" s="119" t="e">
        <f aca="false">GetFuelChange($AI102)</f>
        <v>#VALUE!</v>
      </c>
      <c r="V102" s="123" t="e">
        <f aca="false">GetVarChrgChange($AI102)</f>
        <v>#VALUE!</v>
      </c>
      <c r="W102" s="98"/>
      <c r="X102" s="119" t="e">
        <f aca="false">GetDelta($AI102)</f>
        <v>#VALUE!</v>
      </c>
      <c r="Y102" s="120" t="e">
        <f aca="false">GetGamma($AI102)</f>
        <v>#VALUE!</v>
      </c>
      <c r="Z102" s="120" t="e">
        <f aca="false">GetTheta($AI102)</f>
        <v>#VALUE!</v>
      </c>
      <c r="AA102" s="120" t="e">
        <f aca="false">GetVega($AI102)</f>
        <v>#VALUE!</v>
      </c>
      <c r="AB102" s="120" t="e">
        <f aca="false">GetRho($AI102)</f>
        <v>#VALUE!</v>
      </c>
      <c r="AC102" s="121" t="e">
        <f aca="false">GetDrift($AI102)</f>
        <v>#VALUE!</v>
      </c>
      <c r="AD102" s="98"/>
      <c r="AE102" s="98"/>
      <c r="AF102" s="98"/>
      <c r="AH102" s="124" t="e">
        <f aca="false">GetDBPage($C102)</f>
        <v>#VALUE!</v>
      </c>
      <c r="AI102" s="125" t="e">
        <f aca="false">GetWorkSheet($C102)</f>
        <v>#VALUE!</v>
      </c>
      <c r="AJ102" s="125" t="e">
        <f aca="false">IF(NOT($AI102="#VALUE#"),CONCATENATE($AI102,"!",GetDateStart($AI102),":",GetDateEnd($AI102)),"")</f>
        <v>#VALUE!</v>
      </c>
      <c r="AK102" s="125" t="e">
        <f aca="false">IF(NOT($AI102="#VALUE#"),CONCATENATE($AI102,"!",GetReceiptStart($AI102),":",GetReceiptEnd($AI102)),"")</f>
        <v>#VALUE!</v>
      </c>
      <c r="AL102" s="125" t="e">
        <f aca="false">GetRecNdx($AH102,$C102)</f>
        <v>#VALUE!</v>
      </c>
    </row>
    <row r="103" customFormat="false" ht="12.75" hidden="false" customHeight="false" outlineLevel="0" collapsed="false">
      <c r="C103" s="115"/>
      <c r="E103" s="116"/>
      <c r="F103" s="117"/>
      <c r="G103" s="126" t="e">
        <f aca="false">GetDelBasis($AH102,$AL103)</f>
        <v>#VALUE!</v>
      </c>
      <c r="H103" s="119"/>
      <c r="I103" s="120"/>
      <c r="J103" s="120"/>
      <c r="K103" s="120"/>
      <c r="L103" s="121"/>
      <c r="M103" s="127"/>
      <c r="N103" s="119"/>
      <c r="O103" s="121"/>
      <c r="P103" s="127"/>
      <c r="Q103" s="119"/>
      <c r="R103" s="120"/>
      <c r="S103" s="121"/>
      <c r="T103" s="122"/>
      <c r="U103" s="119"/>
      <c r="V103" s="123"/>
      <c r="W103" s="98"/>
      <c r="X103" s="119"/>
      <c r="Y103" s="120"/>
      <c r="Z103" s="120"/>
      <c r="AA103" s="120"/>
      <c r="AB103" s="120"/>
      <c r="AC103" s="121"/>
      <c r="AD103" s="98"/>
      <c r="AE103" s="98"/>
      <c r="AF103" s="98"/>
      <c r="AI103" s="125" t="e">
        <f aca="false">GetWorkSheet($C102)</f>
        <v>#VALUE!</v>
      </c>
      <c r="AJ103" s="125" t="e">
        <f aca="false">IF(NOT($AI103="#VALUE#"),CONCATENATE($AI103,"!",GetDateStart($AI103),":",GetDateEnd($AI103)),"")</f>
        <v>#VALUE!</v>
      </c>
      <c r="AK103" s="125" t="e">
        <f aca="false">IF(NOT($AI103="#VALUE#"),CONCATENATE($AI103,"!",GetDeliveryStart($AI103),":",GetDeliveryEnd($AI103)),"")</f>
        <v>#VALUE!</v>
      </c>
      <c r="AL103" s="125" t="e">
        <f aca="false">GetRecNdx($AH102,$C102)</f>
        <v>#VALUE!</v>
      </c>
    </row>
    <row r="104" customFormat="false" ht="12.75" hidden="false" customHeight="false" outlineLevel="0" collapsed="false">
      <c r="G104" s="128" t="s">
        <v>235</v>
      </c>
      <c r="H104" s="129" t="e">
        <f aca="true">SUM(INDIRECT(CONCATENATE(ADDRESS($AI104,COLUMN()),":",ADDRESS($AJ104,COLUMN()))))</f>
        <v>#VALUE!</v>
      </c>
      <c r="I104" s="129" t="e">
        <f aca="true">SUM(INDIRECT(CONCATENATE(ADDRESS($AI104,COLUMN()),":",ADDRESS($AJ104,COLUMN()))))</f>
        <v>#VALUE!</v>
      </c>
      <c r="J104" s="129" t="e">
        <f aca="true">SUM(INDIRECT(CONCATENATE(ADDRESS($AI104,COLUMN()),":",ADDRESS($AJ104,COLUMN()))))</f>
        <v>#VALUE!</v>
      </c>
      <c r="K104" s="129" t="e">
        <f aca="true">SUM(INDIRECT(CONCATENATE(ADDRESS($AI104,COLUMN()),":",ADDRESS($AJ104,COLUMN()))))</f>
        <v>#VALUE!</v>
      </c>
      <c r="L104" s="130" t="e">
        <f aca="true">SUM(INDIRECT(CONCATENATE(ADDRESS($AI104,COLUMN()),":",ADDRESS($AJ104,COLUMN()))))</f>
        <v>#VALUE!</v>
      </c>
      <c r="M104" s="131"/>
      <c r="N104" s="132" t="e">
        <f aca="true">SUM(INDIRECT(CONCATENATE(ADDRESS($AI104,COLUMN()),":",ADDRESS($AJ104,COLUMN()))))</f>
        <v>#VALUE!</v>
      </c>
      <c r="O104" s="133" t="e">
        <f aca="true">SUM(INDIRECT(CONCATENATE(ADDRESS($AI104,COLUMN()),":",ADDRESS($AJ104,COLUMN()))))</f>
        <v>#VALUE!</v>
      </c>
      <c r="P104" s="131"/>
      <c r="Q104" s="132" t="e">
        <f aca="true">SUM(INDIRECT(CONCATENATE(ADDRESS($AI104,COLUMN()),":",ADDRESS($AJ104,COLUMN()))))</f>
        <v>#VALUE!</v>
      </c>
      <c r="R104" s="129" t="e">
        <f aca="true">SUM(INDIRECT(CONCATENATE(ADDRESS($AI104,COLUMN()),":",ADDRESS($AJ104,COLUMN()))))</f>
        <v>#VALUE!</v>
      </c>
      <c r="S104" s="133" t="e">
        <f aca="true">SUM(INDIRECT(CONCATENATE(ADDRESS($AI104,COLUMN()),":",ADDRESS($AJ104,COLUMN()))))</f>
        <v>#VALUE!</v>
      </c>
      <c r="T104" s="131"/>
      <c r="U104" s="132" t="e">
        <f aca="true">SUM(INDIRECT(CONCATENATE(ADDRESS($AI104,COLUMN()),":",ADDRESS($AJ104,COLUMN()))))</f>
        <v>#VALUE!</v>
      </c>
      <c r="V104" s="133" t="e">
        <f aca="true">SUM(INDIRECT(CONCATENATE(ADDRESS($AI104,COLUMN()),":",ADDRESS($AJ104,COLUMN()))))</f>
        <v>#VALUE!</v>
      </c>
      <c r="W104" s="98"/>
      <c r="X104" s="132" t="e">
        <f aca="true">SUM(INDIRECT(CONCATENATE(ADDRESS($AI104,COLUMN()),":",ADDRESS($AJ104,COLUMN()))))</f>
        <v>#VALUE!</v>
      </c>
      <c r="Y104" s="129" t="e">
        <f aca="true">SUM(INDIRECT(CONCATENATE(ADDRESS($AI104,COLUMN()),":",ADDRESS($AJ104,COLUMN()))))</f>
        <v>#VALUE!</v>
      </c>
      <c r="Z104" s="129" t="e">
        <f aca="true">SUM(INDIRECT(CONCATENATE(ADDRESS($AI104,COLUMN()),":",ADDRESS($AJ104,COLUMN()))))</f>
        <v>#VALUE!</v>
      </c>
      <c r="AA104" s="129" t="e">
        <f aca="true">SUM(INDIRECT(CONCATENATE(ADDRESS($AI104,COLUMN()),":",ADDRESS($AJ104,COLUMN()))))</f>
        <v>#VALUE!</v>
      </c>
      <c r="AB104" s="129" t="e">
        <f aca="true">SUM(INDIRECT(CONCATENATE(ADDRESS($AI104,COLUMN()),":",ADDRESS($AJ104,COLUMN()))))</f>
        <v>#VALUE!</v>
      </c>
      <c r="AC104" s="130" t="e">
        <f aca="true">SUM(INDIRECT(CONCATENATE(ADDRESS($AI104,COLUMN()),":",ADDRESS($AJ104,COLUMN()))))</f>
        <v>#VALUE!</v>
      </c>
      <c r="AD104" s="98"/>
      <c r="AE104" s="99"/>
      <c r="AI104" s="134" t="e">
        <f aca="false">GetStartRow($AI103)</f>
        <v>#VALUE!</v>
      </c>
      <c r="AJ104" s="134" t="n">
        <f aca="false">ROW($AI103)</f>
        <v>103</v>
      </c>
    </row>
    <row r="107" customFormat="false" ht="18.75" hidden="false" customHeight="false" outlineLevel="0" collapsed="false">
      <c r="E107" s="102" t="s">
        <v>240</v>
      </c>
      <c r="U107" s="98"/>
      <c r="V107" s="98"/>
      <c r="W107" s="98"/>
      <c r="X107" s="98"/>
      <c r="Y107" s="98"/>
      <c r="Z107" s="98"/>
      <c r="AA107" s="98"/>
      <c r="AB107" s="98"/>
      <c r="AC107" s="98"/>
      <c r="AD107" s="98"/>
      <c r="AE107" s="99"/>
    </row>
    <row r="108" customFormat="false" ht="12.75" hidden="false" customHeight="true" outlineLevel="0" collapsed="false">
      <c r="A108" s="103"/>
      <c r="B108" s="103"/>
      <c r="C108" s="104" t="s">
        <v>213</v>
      </c>
      <c r="E108" s="105"/>
      <c r="F108" s="106"/>
      <c r="G108" s="107" t="s">
        <v>214</v>
      </c>
      <c r="H108" s="108" t="s">
        <v>215</v>
      </c>
      <c r="I108" s="109" t="s">
        <v>216</v>
      </c>
      <c r="J108" s="109" t="s">
        <v>217</v>
      </c>
      <c r="K108" s="109" t="s">
        <v>218</v>
      </c>
      <c r="L108" s="110" t="s">
        <v>219</v>
      </c>
      <c r="N108" s="108" t="s">
        <v>220</v>
      </c>
      <c r="O108" s="111" t="s">
        <v>221</v>
      </c>
      <c r="Q108" s="108" t="s">
        <v>222</v>
      </c>
      <c r="R108" s="109" t="s">
        <v>223</v>
      </c>
      <c r="S108" s="111" t="s">
        <v>224</v>
      </c>
      <c r="U108" s="108" t="s">
        <v>225</v>
      </c>
      <c r="V108" s="111" t="s">
        <v>226</v>
      </c>
      <c r="W108" s="98"/>
      <c r="X108" s="108" t="s">
        <v>227</v>
      </c>
      <c r="Y108" s="109" t="s">
        <v>228</v>
      </c>
      <c r="Z108" s="109" t="s">
        <v>229</v>
      </c>
      <c r="AA108" s="109" t="s">
        <v>230</v>
      </c>
      <c r="AB108" s="109" t="s">
        <v>231</v>
      </c>
      <c r="AC108" s="110" t="s">
        <v>232</v>
      </c>
      <c r="AD108" s="98"/>
      <c r="AE108" s="98"/>
      <c r="AF108" s="98"/>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103"/>
      <c r="CT108" s="103"/>
      <c r="CU108" s="103"/>
      <c r="CV108" s="103"/>
      <c r="CW108" s="103"/>
      <c r="CX108" s="103"/>
      <c r="CY108" s="103"/>
      <c r="CZ108" s="103"/>
      <c r="DA108" s="103"/>
      <c r="DB108" s="103"/>
      <c r="DC108" s="103"/>
      <c r="DD108" s="103"/>
      <c r="DE108" s="103"/>
      <c r="DF108" s="103"/>
      <c r="DG108" s="103"/>
      <c r="DH108" s="103"/>
      <c r="DI108" s="103"/>
      <c r="DJ108" s="103"/>
      <c r="DK108" s="103"/>
      <c r="DL108" s="103"/>
      <c r="DM108" s="103"/>
      <c r="DN108" s="103"/>
      <c r="DO108" s="103"/>
      <c r="DP108" s="103"/>
      <c r="DQ108" s="103"/>
      <c r="DR108" s="103"/>
      <c r="DS108" s="103"/>
      <c r="DT108" s="103"/>
      <c r="DU108" s="103"/>
      <c r="DV108" s="103"/>
      <c r="DW108" s="103"/>
      <c r="DX108" s="103"/>
      <c r="DY108" s="103"/>
      <c r="DZ108" s="103"/>
      <c r="EA108" s="103"/>
      <c r="EB108" s="103"/>
      <c r="EC108" s="103"/>
      <c r="ED108" s="103"/>
      <c r="EE108" s="103"/>
      <c r="EF108" s="103"/>
      <c r="EG108" s="103"/>
      <c r="EH108" s="103"/>
      <c r="EI108" s="103"/>
      <c r="EJ108" s="103"/>
      <c r="EK108" s="103"/>
      <c r="EL108" s="103"/>
      <c r="EM108" s="103"/>
      <c r="EN108" s="103"/>
      <c r="EO108" s="103"/>
      <c r="EP108" s="103"/>
      <c r="EQ108" s="103"/>
      <c r="ER108" s="103"/>
      <c r="ES108" s="103"/>
      <c r="ET108" s="103"/>
      <c r="EU108" s="103"/>
      <c r="EV108" s="103"/>
      <c r="EW108" s="103"/>
      <c r="EX108" s="103"/>
      <c r="EY108" s="103"/>
      <c r="EZ108" s="103"/>
      <c r="FA108" s="103"/>
      <c r="FB108" s="103"/>
      <c r="FC108" s="103"/>
      <c r="FD108" s="103"/>
      <c r="FE108" s="103"/>
      <c r="FF108" s="103"/>
      <c r="FG108" s="103"/>
      <c r="FH108" s="103"/>
      <c r="FI108" s="103"/>
      <c r="FJ108" s="103"/>
      <c r="FK108" s="103"/>
      <c r="FL108" s="103"/>
      <c r="FM108" s="103"/>
      <c r="FN108" s="103"/>
      <c r="FO108" s="103"/>
      <c r="FP108" s="103"/>
      <c r="FQ108" s="103"/>
      <c r="FR108" s="103"/>
      <c r="FS108" s="103"/>
      <c r="FT108" s="103"/>
      <c r="FU108" s="103"/>
      <c r="FV108" s="103"/>
      <c r="FW108" s="103"/>
      <c r="FX108" s="103"/>
      <c r="FY108" s="103"/>
      <c r="FZ108" s="103"/>
      <c r="GA108" s="103"/>
      <c r="GB108" s="103"/>
      <c r="GC108" s="103"/>
      <c r="GD108" s="103"/>
      <c r="GE108" s="103"/>
      <c r="GF108" s="103"/>
      <c r="GG108" s="103"/>
      <c r="GH108" s="103"/>
      <c r="GI108" s="103"/>
      <c r="GJ108" s="103"/>
      <c r="GK108" s="103"/>
      <c r="GL108" s="103"/>
      <c r="GM108" s="103"/>
      <c r="GN108" s="103"/>
      <c r="GO108" s="103"/>
      <c r="GP108" s="103"/>
      <c r="GQ108" s="103"/>
      <c r="GR108" s="103"/>
      <c r="GS108" s="103"/>
      <c r="GT108" s="103"/>
      <c r="GU108" s="103"/>
      <c r="GV108" s="103"/>
      <c r="GW108" s="103"/>
      <c r="GX108" s="103"/>
      <c r="GY108" s="103"/>
      <c r="GZ108" s="103"/>
      <c r="HA108" s="103"/>
      <c r="HB108" s="103"/>
      <c r="HC108" s="103"/>
      <c r="HD108" s="103"/>
      <c r="HE108" s="103"/>
      <c r="HF108" s="103"/>
      <c r="HG108" s="103"/>
      <c r="HH108" s="103"/>
      <c r="HI108" s="103"/>
      <c r="HJ108" s="103"/>
      <c r="HK108" s="103"/>
      <c r="HL108" s="103"/>
      <c r="HM108" s="103"/>
      <c r="HN108" s="103"/>
      <c r="HO108" s="103"/>
      <c r="HP108" s="103"/>
      <c r="HQ108" s="103"/>
      <c r="HR108" s="103"/>
      <c r="HS108" s="103"/>
      <c r="HT108" s="103"/>
      <c r="HU108" s="103"/>
      <c r="HV108" s="103"/>
      <c r="HW108" s="103"/>
      <c r="HX108" s="103"/>
      <c r="HY108" s="103"/>
      <c r="HZ108" s="103"/>
      <c r="IA108" s="103"/>
      <c r="IB108" s="103"/>
      <c r="IC108" s="103"/>
      <c r="ID108" s="103"/>
      <c r="IE108" s="103"/>
      <c r="IF108" s="103"/>
      <c r="IG108" s="103"/>
      <c r="IH108" s="103"/>
      <c r="II108" s="103"/>
      <c r="IJ108" s="103"/>
      <c r="IK108" s="103"/>
      <c r="IL108" s="103"/>
      <c r="IM108" s="103"/>
      <c r="IN108" s="103"/>
      <c r="IO108" s="103"/>
      <c r="IP108" s="103"/>
      <c r="IQ108" s="103"/>
      <c r="IR108" s="103"/>
      <c r="IS108" s="103"/>
      <c r="IT108" s="103"/>
      <c r="IU108" s="103"/>
      <c r="IV108" s="103"/>
      <c r="IW108" s="103"/>
    </row>
    <row r="109" customFormat="false" ht="12.75" hidden="false" customHeight="true" outlineLevel="0" collapsed="false">
      <c r="A109" s="103"/>
      <c r="B109" s="103"/>
      <c r="C109" s="104"/>
      <c r="E109" s="112" t="s">
        <v>13</v>
      </c>
      <c r="F109" s="113" t="s">
        <v>233</v>
      </c>
      <c r="G109" s="114" t="s">
        <v>234</v>
      </c>
      <c r="H109" s="108"/>
      <c r="I109" s="109" t="s">
        <v>216</v>
      </c>
      <c r="J109" s="109"/>
      <c r="K109" s="109"/>
      <c r="L109" s="110"/>
      <c r="N109" s="108"/>
      <c r="O109" s="111"/>
      <c r="Q109" s="108"/>
      <c r="R109" s="109"/>
      <c r="S109" s="111"/>
      <c r="U109" s="108"/>
      <c r="V109" s="111"/>
      <c r="W109" s="98"/>
      <c r="X109" s="108"/>
      <c r="Y109" s="109"/>
      <c r="Z109" s="109"/>
      <c r="AA109" s="109"/>
      <c r="AB109" s="109"/>
      <c r="AC109" s="110"/>
      <c r="AD109" s="98"/>
      <c r="AE109" s="98"/>
      <c r="AF109" s="98"/>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c r="CU109" s="103"/>
      <c r="CV109" s="103"/>
      <c r="CW109" s="103"/>
      <c r="CX109" s="103"/>
      <c r="CY109" s="103"/>
      <c r="CZ109" s="103"/>
      <c r="DA109" s="103"/>
      <c r="DB109" s="103"/>
      <c r="DC109" s="103"/>
      <c r="DD109" s="103"/>
      <c r="DE109" s="103"/>
      <c r="DF109" s="103"/>
      <c r="DG109" s="103"/>
      <c r="DH109" s="103"/>
      <c r="DI109" s="103"/>
      <c r="DJ109" s="103"/>
      <c r="DK109" s="103"/>
      <c r="DL109" s="103"/>
      <c r="DM109" s="103"/>
      <c r="DN109" s="103"/>
      <c r="DO109" s="103"/>
      <c r="DP109" s="103"/>
      <c r="DQ109" s="103"/>
      <c r="DR109" s="103"/>
      <c r="DS109" s="103"/>
      <c r="DT109" s="103"/>
      <c r="DU109" s="103"/>
      <c r="DV109" s="103"/>
      <c r="DW109" s="103"/>
      <c r="DX109" s="103"/>
      <c r="DY109" s="103"/>
      <c r="DZ109" s="103"/>
      <c r="EA109" s="103"/>
      <c r="EB109" s="103"/>
      <c r="EC109" s="103"/>
      <c r="ED109" s="103"/>
      <c r="EE109" s="103"/>
      <c r="EF109" s="103"/>
      <c r="EG109" s="103"/>
      <c r="EH109" s="103"/>
      <c r="EI109" s="103"/>
      <c r="EJ109" s="103"/>
      <c r="EK109" s="103"/>
      <c r="EL109" s="103"/>
      <c r="EM109" s="103"/>
      <c r="EN109" s="103"/>
      <c r="EO109" s="103"/>
      <c r="EP109" s="103"/>
      <c r="EQ109" s="103"/>
      <c r="ER109" s="103"/>
      <c r="ES109" s="103"/>
      <c r="ET109" s="103"/>
      <c r="EU109" s="103"/>
      <c r="EV109" s="103"/>
      <c r="EW109" s="103"/>
      <c r="EX109" s="103"/>
      <c r="EY109" s="103"/>
      <c r="EZ109" s="103"/>
      <c r="FA109" s="103"/>
      <c r="FB109" s="103"/>
      <c r="FC109" s="103"/>
      <c r="FD109" s="103"/>
      <c r="FE109" s="103"/>
      <c r="FF109" s="103"/>
      <c r="FG109" s="103"/>
      <c r="FH109" s="103"/>
      <c r="FI109" s="103"/>
      <c r="FJ109" s="103"/>
      <c r="FK109" s="103"/>
      <c r="FL109" s="103"/>
      <c r="FM109" s="103"/>
      <c r="FN109" s="103"/>
      <c r="FO109" s="103"/>
      <c r="FP109" s="103"/>
      <c r="FQ109" s="103"/>
      <c r="FR109" s="103"/>
      <c r="FS109" s="103"/>
      <c r="FT109" s="103"/>
      <c r="FU109" s="103"/>
      <c r="FV109" s="103"/>
      <c r="FW109" s="103"/>
      <c r="FX109" s="103"/>
      <c r="FY109" s="103"/>
      <c r="FZ109" s="103"/>
      <c r="GA109" s="103"/>
      <c r="GB109" s="103"/>
      <c r="GC109" s="103"/>
      <c r="GD109" s="103"/>
      <c r="GE109" s="103"/>
      <c r="GF109" s="103"/>
      <c r="GG109" s="103"/>
      <c r="GH109" s="103"/>
      <c r="GI109" s="103"/>
      <c r="GJ109" s="103"/>
      <c r="GK109" s="103"/>
      <c r="GL109" s="103"/>
      <c r="GM109" s="103"/>
      <c r="GN109" s="103"/>
      <c r="GO109" s="103"/>
      <c r="GP109" s="103"/>
      <c r="GQ109" s="103"/>
      <c r="GR109" s="103"/>
      <c r="GS109" s="103"/>
      <c r="GT109" s="103"/>
      <c r="GU109" s="103"/>
      <c r="GV109" s="103"/>
      <c r="GW109" s="103"/>
      <c r="GX109" s="103"/>
      <c r="GY109" s="103"/>
      <c r="GZ109" s="103"/>
      <c r="HA109" s="103"/>
      <c r="HB109" s="103"/>
      <c r="HC109" s="103"/>
      <c r="HD109" s="103"/>
      <c r="HE109" s="103"/>
      <c r="HF109" s="103"/>
      <c r="HG109" s="103"/>
      <c r="HH109" s="103"/>
      <c r="HI109" s="103"/>
      <c r="HJ109" s="103"/>
      <c r="HK109" s="103"/>
      <c r="HL109" s="103"/>
      <c r="HM109" s="103"/>
      <c r="HN109" s="103"/>
      <c r="HO109" s="103"/>
      <c r="HP109" s="103"/>
      <c r="HQ109" s="103"/>
      <c r="HR109" s="103"/>
      <c r="HS109" s="103"/>
      <c r="HT109" s="103"/>
      <c r="HU109" s="103"/>
      <c r="HV109" s="103"/>
      <c r="HW109" s="103"/>
      <c r="HX109" s="103"/>
      <c r="HY109" s="103"/>
      <c r="HZ109" s="103"/>
      <c r="IA109" s="103"/>
      <c r="IB109" s="103"/>
      <c r="IC109" s="103"/>
      <c r="ID109" s="103"/>
      <c r="IE109" s="103"/>
      <c r="IF109" s="103"/>
      <c r="IG109" s="103"/>
      <c r="IH109" s="103"/>
      <c r="II109" s="103"/>
      <c r="IJ109" s="103"/>
      <c r="IK109" s="103"/>
      <c r="IL109" s="103"/>
      <c r="IM109" s="103"/>
      <c r="IN109" s="103"/>
      <c r="IO109" s="103"/>
      <c r="IP109" s="103"/>
      <c r="IQ109" s="103"/>
      <c r="IR109" s="103"/>
      <c r="IS109" s="103"/>
      <c r="IT109" s="103"/>
      <c r="IU109" s="103"/>
      <c r="IV109" s="103"/>
      <c r="IW109" s="103"/>
    </row>
    <row r="110" customFormat="false" ht="12.75" hidden="false" customHeight="false" outlineLevel="0" collapsed="false">
      <c r="C110" s="115" t="n">
        <v>9</v>
      </c>
      <c r="E110" s="116" t="e">
        <f aca="false">GetPipeName($AH110,$AL110)</f>
        <v>#VALUE!</v>
      </c>
      <c r="F110" s="117" t="e">
        <f aca="false">CONCATENATE(GetRcptPoint($AH110,$AL110)," to ",GetDelPoint($AH110,$AL110))</f>
        <v>#VALUE!</v>
      </c>
      <c r="G110" s="118" t="e">
        <f aca="false">GetRcptBasis($AH110,$AL110)</f>
        <v>#VALUE!</v>
      </c>
      <c r="H110" s="119" t="e">
        <f aca="false">GetTodayAsset($AI110)</f>
        <v>#VALUE!</v>
      </c>
      <c r="I110" s="120" t="e">
        <f aca="false">GetTodayDemand($AI110)</f>
        <v>#VALUE!</v>
      </c>
      <c r="J110" s="120" t="e">
        <f aca="false">H110-I110</f>
        <v>#VALUE!</v>
      </c>
      <c r="K110" s="120" t="e">
        <f aca="false">GetYesterdayPL($AI110)</f>
        <v>#VALUE!</v>
      </c>
      <c r="L110" s="121" t="e">
        <f aca="false">J110-K110</f>
        <v>#VALUE!</v>
      </c>
      <c r="N110" s="119" t="e">
        <f aca="false">GetTodayIntrinsic($AI110)</f>
        <v>#VALUE!</v>
      </c>
      <c r="O110" s="121" t="e">
        <f aca="false">GetTodayExtrinsic($AI110)</f>
        <v>#VALUE!</v>
      </c>
      <c r="Q110" s="119" t="e">
        <f aca="false">GetPriceChange($AI110)</f>
        <v>#VALUE!</v>
      </c>
      <c r="R110" s="120" t="e">
        <f aca="false">GetBasisChange($AI110)</f>
        <v>#VALUE!</v>
      </c>
      <c r="S110" s="121" t="e">
        <f aca="false">GetIndexChange($AI110)</f>
        <v>#VALUE!</v>
      </c>
      <c r="T110" s="122"/>
      <c r="U110" s="119" t="e">
        <f aca="false">GetFuelChange($AI110)</f>
        <v>#VALUE!</v>
      </c>
      <c r="V110" s="123" t="e">
        <f aca="false">GetVarChrgChange($AI110)</f>
        <v>#VALUE!</v>
      </c>
      <c r="W110" s="98"/>
      <c r="X110" s="119" t="e">
        <f aca="false">GetDelta($AI110)</f>
        <v>#VALUE!</v>
      </c>
      <c r="Y110" s="120" t="e">
        <f aca="false">GetGamma($AI110)</f>
        <v>#VALUE!</v>
      </c>
      <c r="Z110" s="120" t="e">
        <f aca="false">GetTheta($AI110)</f>
        <v>#VALUE!</v>
      </c>
      <c r="AA110" s="120" t="e">
        <f aca="false">GetVega($AI110)</f>
        <v>#VALUE!</v>
      </c>
      <c r="AB110" s="120" t="e">
        <f aca="false">GetRho($AI110)</f>
        <v>#VALUE!</v>
      </c>
      <c r="AC110" s="121" t="e">
        <f aca="false">GetDrift($AI110)</f>
        <v>#VALUE!</v>
      </c>
      <c r="AD110" s="98"/>
      <c r="AE110" s="98"/>
      <c r="AF110" s="98"/>
      <c r="AH110" s="124" t="e">
        <f aca="false">GetDBPage($C110)</f>
        <v>#VALUE!</v>
      </c>
      <c r="AI110" s="125" t="e">
        <f aca="false">GetWorkSheet($C110)</f>
        <v>#VALUE!</v>
      </c>
      <c r="AJ110" s="125" t="e">
        <f aca="false">IF(NOT($AI110="#VALUE#"),CONCATENATE($AI110,"!",GetDateStart($AI110),":",GetDateEnd($AI110)),"")</f>
        <v>#VALUE!</v>
      </c>
      <c r="AK110" s="125" t="e">
        <f aca="false">IF(NOT($AI110="#VALUE#"),CONCATENATE($AI110,"!",GetReceiptStart($AI110),":",GetReceiptEnd($AI110)),"")</f>
        <v>#VALUE!</v>
      </c>
      <c r="AL110" s="125" t="e">
        <f aca="false">GetRecNdx($AH110,$C110)</f>
        <v>#VALUE!</v>
      </c>
    </row>
    <row r="111" customFormat="false" ht="12.75" hidden="false" customHeight="false" outlineLevel="0" collapsed="false">
      <c r="C111" s="115"/>
      <c r="E111" s="116"/>
      <c r="F111" s="117"/>
      <c r="G111" s="126" t="e">
        <f aca="false">GetDelBasis($AH110,$AL111)</f>
        <v>#VALUE!</v>
      </c>
      <c r="H111" s="119"/>
      <c r="I111" s="120"/>
      <c r="J111" s="120"/>
      <c r="K111" s="120"/>
      <c r="L111" s="121"/>
      <c r="M111" s="127"/>
      <c r="N111" s="119"/>
      <c r="O111" s="121"/>
      <c r="P111" s="127"/>
      <c r="Q111" s="119"/>
      <c r="R111" s="120"/>
      <c r="S111" s="121"/>
      <c r="T111" s="122"/>
      <c r="U111" s="119"/>
      <c r="V111" s="123"/>
      <c r="W111" s="98"/>
      <c r="X111" s="119"/>
      <c r="Y111" s="120"/>
      <c r="Z111" s="120"/>
      <c r="AA111" s="120"/>
      <c r="AB111" s="120"/>
      <c r="AC111" s="121"/>
      <c r="AD111" s="98"/>
      <c r="AE111" s="98"/>
      <c r="AF111" s="98"/>
      <c r="AI111" s="125" t="e">
        <f aca="false">GetWorkSheet($C110)</f>
        <v>#VALUE!</v>
      </c>
      <c r="AJ111" s="125" t="e">
        <f aca="false">IF(NOT($AI111="#VALUE#"),CONCATENATE($AI111,"!",GetDateStart($AI111),":",GetDateEnd($AI111)),"")</f>
        <v>#VALUE!</v>
      </c>
      <c r="AK111" s="125" t="e">
        <f aca="false">IF(NOT($AI111="#VALUE#"),CONCATENATE($AI111,"!",GetDeliveryStart($AI111),":",GetDeliveryEnd($AI111)),"")</f>
        <v>#VALUE!</v>
      </c>
      <c r="AL111" s="125" t="e">
        <f aca="false">GetRecNdx($AH110,$C110)</f>
        <v>#VALUE!</v>
      </c>
    </row>
    <row r="112" customFormat="false" ht="12.75" hidden="false" customHeight="false" outlineLevel="0" collapsed="false">
      <c r="C112" s="115" t="n">
        <v>56</v>
      </c>
      <c r="E112" s="116" t="e">
        <f aca="false">GetPipeName($AH112,$AL112)</f>
        <v>#VALUE!</v>
      </c>
      <c r="F112" s="117" t="e">
        <f aca="false">CONCATENATE(GetRcptPoint($AH112,$AL112)," to ",GetDelPoint($AH112,$AL112))</f>
        <v>#VALUE!</v>
      </c>
      <c r="G112" s="118" t="e">
        <f aca="false">GetRcptBasis($AH112,$AL112)</f>
        <v>#VALUE!</v>
      </c>
      <c r="H112" s="119" t="e">
        <f aca="false">GetTodayAsset($AI112)</f>
        <v>#VALUE!</v>
      </c>
      <c r="I112" s="120" t="e">
        <f aca="false">GetTodayDemand($AI112)</f>
        <v>#VALUE!</v>
      </c>
      <c r="J112" s="120" t="e">
        <f aca="false">H112-I112</f>
        <v>#VALUE!</v>
      </c>
      <c r="K112" s="120" t="e">
        <f aca="false">GetYesterdayPL($AI112)</f>
        <v>#VALUE!</v>
      </c>
      <c r="L112" s="121" t="e">
        <f aca="false">J112-K112</f>
        <v>#VALUE!</v>
      </c>
      <c r="N112" s="119" t="e">
        <f aca="false">GetTodayIntrinsic($AI112)</f>
        <v>#VALUE!</v>
      </c>
      <c r="O112" s="121" t="e">
        <f aca="false">GetTodayExtrinsic($AI112)</f>
        <v>#VALUE!</v>
      </c>
      <c r="Q112" s="119" t="e">
        <f aca="false">GetPriceChange($AI112)</f>
        <v>#VALUE!</v>
      </c>
      <c r="R112" s="120" t="e">
        <f aca="false">GetBasisChange($AI112)</f>
        <v>#VALUE!</v>
      </c>
      <c r="S112" s="121" t="e">
        <f aca="false">GetIndexChange($AI112)</f>
        <v>#VALUE!</v>
      </c>
      <c r="T112" s="122"/>
      <c r="U112" s="119" t="e">
        <f aca="false">GetFuelChange($AI112)</f>
        <v>#VALUE!</v>
      </c>
      <c r="V112" s="123" t="e">
        <f aca="false">GetVarChrgChange($AI112)</f>
        <v>#VALUE!</v>
      </c>
      <c r="W112" s="98"/>
      <c r="X112" s="119" t="e">
        <f aca="false">GetDelta($AI112)</f>
        <v>#VALUE!</v>
      </c>
      <c r="Y112" s="120" t="e">
        <f aca="false">GetGamma($AI112)</f>
        <v>#VALUE!</v>
      </c>
      <c r="Z112" s="120" t="e">
        <f aca="false">GetTheta($AI112)</f>
        <v>#VALUE!</v>
      </c>
      <c r="AA112" s="120" t="e">
        <f aca="false">GetVega($AI112)</f>
        <v>#VALUE!</v>
      </c>
      <c r="AB112" s="120" t="e">
        <f aca="false">GetRho($AI112)</f>
        <v>#VALUE!</v>
      </c>
      <c r="AC112" s="121" t="e">
        <f aca="false">GetDrift($AI112)</f>
        <v>#VALUE!</v>
      </c>
      <c r="AD112" s="98"/>
      <c r="AE112" s="98"/>
      <c r="AF112" s="98"/>
      <c r="AH112" s="124" t="e">
        <f aca="false">GetDBPage($C112)</f>
        <v>#VALUE!</v>
      </c>
      <c r="AI112" s="125" t="e">
        <f aca="false">GetWorkSheet($C112)</f>
        <v>#VALUE!</v>
      </c>
      <c r="AJ112" s="125" t="e">
        <f aca="false">IF(NOT($AI112="#VALUE#"),CONCATENATE($AI112,"!",GetDateStart($AI112),":",GetDateEnd($AI112)),"")</f>
        <v>#VALUE!</v>
      </c>
      <c r="AK112" s="125" t="e">
        <f aca="false">IF(NOT($AI112="#VALUE#"),CONCATENATE($AI112,"!",GetReceiptStart($AI112),":",GetReceiptEnd($AI112)),"")</f>
        <v>#VALUE!</v>
      </c>
      <c r="AL112" s="125" t="e">
        <f aca="false">GetRecNdx($AH112,$C112)</f>
        <v>#VALUE!</v>
      </c>
    </row>
    <row r="113" customFormat="false" ht="12.75" hidden="false" customHeight="false" outlineLevel="0" collapsed="false">
      <c r="C113" s="115"/>
      <c r="E113" s="116"/>
      <c r="F113" s="117"/>
      <c r="G113" s="126" t="e">
        <f aca="false">GetDelBasis($AH112,$AL113)</f>
        <v>#VALUE!</v>
      </c>
      <c r="H113" s="119"/>
      <c r="I113" s="120"/>
      <c r="J113" s="120"/>
      <c r="K113" s="120"/>
      <c r="L113" s="121"/>
      <c r="M113" s="127"/>
      <c r="N113" s="119"/>
      <c r="O113" s="121"/>
      <c r="P113" s="127"/>
      <c r="Q113" s="119"/>
      <c r="R113" s="120"/>
      <c r="S113" s="121"/>
      <c r="T113" s="122"/>
      <c r="U113" s="119"/>
      <c r="V113" s="123"/>
      <c r="W113" s="98"/>
      <c r="X113" s="119"/>
      <c r="Y113" s="120"/>
      <c r="Z113" s="120"/>
      <c r="AA113" s="120"/>
      <c r="AB113" s="120"/>
      <c r="AC113" s="121"/>
      <c r="AD113" s="98"/>
      <c r="AE113" s="98"/>
      <c r="AF113" s="98"/>
      <c r="AI113" s="125" t="e">
        <f aca="false">GetWorkSheet($C112)</f>
        <v>#VALUE!</v>
      </c>
      <c r="AJ113" s="125" t="e">
        <f aca="false">IF(NOT($AI113="#VALUE#"),CONCATENATE($AI113,"!",GetDateStart($AI113),":",GetDateEnd($AI113)),"")</f>
        <v>#VALUE!</v>
      </c>
      <c r="AK113" s="125" t="e">
        <f aca="false">IF(NOT($AI113="#VALUE#"),CONCATENATE($AI113,"!",GetDeliveryStart($AI113),":",GetDeliveryEnd($AI113)),"")</f>
        <v>#VALUE!</v>
      </c>
      <c r="AL113" s="125" t="e">
        <f aca="false">GetRecNdx($AH112,$C112)</f>
        <v>#VALUE!</v>
      </c>
    </row>
    <row r="114" customFormat="false" ht="12.75" hidden="false" customHeight="false" outlineLevel="0" collapsed="false">
      <c r="C114" s="115" t="n">
        <v>57</v>
      </c>
      <c r="E114" s="116" t="e">
        <f aca="false">GetPipeName($AH114,$AL114)</f>
        <v>#VALUE!</v>
      </c>
      <c r="F114" s="117" t="e">
        <f aca="false">CONCATENATE(GetRcptPoint($AH114,$AL114)," to ",GetDelPoint($AH114,$AL114))</f>
        <v>#VALUE!</v>
      </c>
      <c r="G114" s="118" t="e">
        <f aca="false">GetRcptBasis($AH114,$AL114)</f>
        <v>#VALUE!</v>
      </c>
      <c r="H114" s="119" t="e">
        <f aca="false">GetTodayAsset($AI114)</f>
        <v>#VALUE!</v>
      </c>
      <c r="I114" s="120" t="e">
        <f aca="false">GetTodayDemand($AI114)</f>
        <v>#VALUE!</v>
      </c>
      <c r="J114" s="120" t="e">
        <f aca="false">H114-I114</f>
        <v>#VALUE!</v>
      </c>
      <c r="K114" s="120" t="e">
        <f aca="false">GetYesterdayPL($AI114)</f>
        <v>#VALUE!</v>
      </c>
      <c r="L114" s="121" t="e">
        <f aca="false">J114-K114</f>
        <v>#VALUE!</v>
      </c>
      <c r="N114" s="119" t="e">
        <f aca="false">GetTodayIntrinsic($AI114)</f>
        <v>#VALUE!</v>
      </c>
      <c r="O114" s="121" t="e">
        <f aca="false">GetTodayExtrinsic($AI114)</f>
        <v>#VALUE!</v>
      </c>
      <c r="Q114" s="119" t="e">
        <f aca="false">GetPriceChange($AI114)</f>
        <v>#VALUE!</v>
      </c>
      <c r="R114" s="120" t="e">
        <f aca="false">GetBasisChange($AI114)</f>
        <v>#VALUE!</v>
      </c>
      <c r="S114" s="121" t="e">
        <f aca="false">GetIndexChange($AI114)</f>
        <v>#VALUE!</v>
      </c>
      <c r="T114" s="122"/>
      <c r="U114" s="119" t="e">
        <f aca="false">GetFuelChange($AI114)</f>
        <v>#VALUE!</v>
      </c>
      <c r="V114" s="123" t="e">
        <f aca="false">GetVarChrgChange($AI114)</f>
        <v>#VALUE!</v>
      </c>
      <c r="W114" s="98"/>
      <c r="X114" s="119" t="e">
        <f aca="false">GetDelta($AI114)</f>
        <v>#VALUE!</v>
      </c>
      <c r="Y114" s="120" t="e">
        <f aca="false">GetGamma($AI114)</f>
        <v>#VALUE!</v>
      </c>
      <c r="Z114" s="120" t="e">
        <f aca="false">GetTheta($AI114)</f>
        <v>#VALUE!</v>
      </c>
      <c r="AA114" s="120" t="e">
        <f aca="false">GetVega($AI114)</f>
        <v>#VALUE!</v>
      </c>
      <c r="AB114" s="120" t="e">
        <f aca="false">GetRho($AI114)</f>
        <v>#VALUE!</v>
      </c>
      <c r="AC114" s="121" t="e">
        <f aca="false">GetDrift($AI114)</f>
        <v>#VALUE!</v>
      </c>
      <c r="AD114" s="98"/>
      <c r="AE114" s="98"/>
      <c r="AF114" s="98"/>
      <c r="AH114" s="124" t="e">
        <f aca="false">GetDBPage($C114)</f>
        <v>#VALUE!</v>
      </c>
      <c r="AI114" s="125" t="e">
        <f aca="false">GetWorkSheet($C114)</f>
        <v>#VALUE!</v>
      </c>
      <c r="AJ114" s="125" t="e">
        <f aca="false">IF(NOT($AI114="#VALUE#"),CONCATENATE($AI114,"!",GetDateStart($AI114),":",GetDateEnd($AI114)),"")</f>
        <v>#VALUE!</v>
      </c>
      <c r="AK114" s="125" t="e">
        <f aca="false">IF(NOT($AI114="#VALUE#"),CONCATENATE($AI114,"!",GetReceiptStart($AI114),":",GetReceiptEnd($AI114)),"")</f>
        <v>#VALUE!</v>
      </c>
      <c r="AL114" s="125" t="e">
        <f aca="false">GetRecNdx($AH114,$C114)</f>
        <v>#VALUE!</v>
      </c>
    </row>
    <row r="115" customFormat="false" ht="12.75" hidden="false" customHeight="false" outlineLevel="0" collapsed="false">
      <c r="C115" s="115"/>
      <c r="E115" s="116"/>
      <c r="F115" s="117"/>
      <c r="G115" s="126" t="e">
        <f aca="false">GetDelBasis($AH114,$AL115)</f>
        <v>#VALUE!</v>
      </c>
      <c r="H115" s="119"/>
      <c r="I115" s="120"/>
      <c r="J115" s="120"/>
      <c r="K115" s="120"/>
      <c r="L115" s="121"/>
      <c r="M115" s="127"/>
      <c r="N115" s="119"/>
      <c r="O115" s="121"/>
      <c r="P115" s="127"/>
      <c r="Q115" s="119"/>
      <c r="R115" s="120"/>
      <c r="S115" s="121"/>
      <c r="T115" s="122"/>
      <c r="U115" s="119"/>
      <c r="V115" s="123"/>
      <c r="W115" s="98"/>
      <c r="X115" s="119"/>
      <c r="Y115" s="120"/>
      <c r="Z115" s="120"/>
      <c r="AA115" s="120"/>
      <c r="AB115" s="120"/>
      <c r="AC115" s="121"/>
      <c r="AD115" s="98"/>
      <c r="AE115" s="98"/>
      <c r="AF115" s="98"/>
      <c r="AI115" s="125" t="e">
        <f aca="false">GetWorkSheet($C114)</f>
        <v>#VALUE!</v>
      </c>
      <c r="AJ115" s="125" t="e">
        <f aca="false">IF(NOT($AI115="#VALUE#"),CONCATENATE($AI115,"!",GetDateStart($AI115),":",GetDateEnd($AI115)),"")</f>
        <v>#VALUE!</v>
      </c>
      <c r="AK115" s="125" t="e">
        <f aca="false">IF(NOT($AI115="#VALUE#"),CONCATENATE($AI115,"!",GetDeliveryStart($AI115),":",GetDeliveryEnd($AI115)),"")</f>
        <v>#VALUE!</v>
      </c>
      <c r="AL115" s="125" t="e">
        <f aca="false">GetRecNdx($AH114,$C114)</f>
        <v>#VALUE!</v>
      </c>
    </row>
    <row r="116" customFormat="false" ht="12.75" hidden="false" customHeight="false" outlineLevel="0" collapsed="false">
      <c r="C116" s="115" t="n">
        <v>74</v>
      </c>
      <c r="E116" s="116" t="e">
        <f aca="false">GetPipeName($AH116,$AL116)</f>
        <v>#VALUE!</v>
      </c>
      <c r="F116" s="117" t="e">
        <f aca="false">CONCATENATE(GetRcptPoint($AH116,$AL116)," to ",GetDelPoint($AH116,$AL116))</f>
        <v>#VALUE!</v>
      </c>
      <c r="G116" s="118" t="e">
        <f aca="false">GetRcptBasis($AH116,$AL116)</f>
        <v>#VALUE!</v>
      </c>
      <c r="H116" s="119" t="e">
        <f aca="false">GetTodayAsset($AI116)</f>
        <v>#VALUE!</v>
      </c>
      <c r="I116" s="120" t="e">
        <f aca="false">GetTodayDemand($AI116)</f>
        <v>#VALUE!</v>
      </c>
      <c r="J116" s="120" t="e">
        <f aca="false">H116-I116</f>
        <v>#VALUE!</v>
      </c>
      <c r="K116" s="120" t="e">
        <f aca="false">GetYesterdayPL($AI116)</f>
        <v>#VALUE!</v>
      </c>
      <c r="L116" s="121" t="e">
        <f aca="false">J116-K116</f>
        <v>#VALUE!</v>
      </c>
      <c r="N116" s="119" t="e">
        <f aca="false">GetTodayIntrinsic($AI116)</f>
        <v>#VALUE!</v>
      </c>
      <c r="O116" s="121" t="e">
        <f aca="false">GetTodayExtrinsic($AI116)</f>
        <v>#VALUE!</v>
      </c>
      <c r="Q116" s="119" t="e">
        <f aca="false">GetPriceChange($AI116)</f>
        <v>#VALUE!</v>
      </c>
      <c r="R116" s="120" t="e">
        <f aca="false">GetBasisChange($AI116)</f>
        <v>#VALUE!</v>
      </c>
      <c r="S116" s="121" t="e">
        <f aca="false">GetIndexChange($AI116)</f>
        <v>#VALUE!</v>
      </c>
      <c r="T116" s="122"/>
      <c r="U116" s="119" t="e">
        <f aca="false">GetFuelChange($AI116)</f>
        <v>#VALUE!</v>
      </c>
      <c r="V116" s="123" t="e">
        <f aca="false">GetVarChrgChange($AI116)</f>
        <v>#VALUE!</v>
      </c>
      <c r="W116" s="98"/>
      <c r="X116" s="119" t="e">
        <f aca="false">GetDelta($AI116)</f>
        <v>#VALUE!</v>
      </c>
      <c r="Y116" s="120" t="e">
        <f aca="false">GetGamma($AI116)</f>
        <v>#VALUE!</v>
      </c>
      <c r="Z116" s="120" t="e">
        <f aca="false">GetTheta($AI116)</f>
        <v>#VALUE!</v>
      </c>
      <c r="AA116" s="120" t="e">
        <f aca="false">GetVega($AI116)</f>
        <v>#VALUE!</v>
      </c>
      <c r="AB116" s="120" t="e">
        <f aca="false">GetRho($AI116)</f>
        <v>#VALUE!</v>
      </c>
      <c r="AC116" s="121" t="e">
        <f aca="false">GetDrift($AI116)</f>
        <v>#VALUE!</v>
      </c>
      <c r="AD116" s="98"/>
      <c r="AE116" s="98"/>
      <c r="AF116" s="98"/>
      <c r="AH116" s="124" t="e">
        <f aca="false">GetDBPage($C116)</f>
        <v>#VALUE!</v>
      </c>
      <c r="AI116" s="125" t="e">
        <f aca="false">GetWorkSheet($C116)</f>
        <v>#VALUE!</v>
      </c>
      <c r="AJ116" s="125" t="e">
        <f aca="false">IF(NOT($AI116="#VALUE#"),CONCATENATE($AI116,"!",GetDateStart($AI116),":",GetDateEnd($AI116)),"")</f>
        <v>#VALUE!</v>
      </c>
      <c r="AK116" s="125" t="e">
        <f aca="false">IF(NOT($AI116="#VALUE#"),CONCATENATE($AI116,"!",GetReceiptStart($AI116),":",GetReceiptEnd($AI116)),"")</f>
        <v>#VALUE!</v>
      </c>
      <c r="AL116" s="125" t="e">
        <f aca="false">GetRecNdx($AH116,$C116)</f>
        <v>#VALUE!</v>
      </c>
    </row>
    <row r="117" customFormat="false" ht="12.75" hidden="false" customHeight="false" outlineLevel="0" collapsed="false">
      <c r="C117" s="115"/>
      <c r="E117" s="116"/>
      <c r="F117" s="117"/>
      <c r="G117" s="126" t="e">
        <f aca="false">GetDelBasis($AH116,$AL117)</f>
        <v>#VALUE!</v>
      </c>
      <c r="H117" s="119"/>
      <c r="I117" s="120"/>
      <c r="J117" s="120"/>
      <c r="K117" s="120"/>
      <c r="L117" s="121"/>
      <c r="M117" s="127"/>
      <c r="N117" s="119"/>
      <c r="O117" s="121"/>
      <c r="P117" s="127"/>
      <c r="Q117" s="119"/>
      <c r="R117" s="120"/>
      <c r="S117" s="121"/>
      <c r="T117" s="122"/>
      <c r="U117" s="119"/>
      <c r="V117" s="123"/>
      <c r="W117" s="98"/>
      <c r="X117" s="119"/>
      <c r="Y117" s="120"/>
      <c r="Z117" s="120"/>
      <c r="AA117" s="120"/>
      <c r="AB117" s="120"/>
      <c r="AC117" s="121"/>
      <c r="AD117" s="98"/>
      <c r="AE117" s="98"/>
      <c r="AF117" s="98"/>
      <c r="AI117" s="125" t="e">
        <f aca="false">GetWorkSheet($C116)</f>
        <v>#VALUE!</v>
      </c>
      <c r="AJ117" s="125" t="e">
        <f aca="false">IF(NOT($AI117="#VALUE#"),CONCATENATE($AI117,"!",GetDateStart($AI117),":",GetDateEnd($AI117)),"")</f>
        <v>#VALUE!</v>
      </c>
      <c r="AK117" s="125" t="e">
        <f aca="false">IF(NOT($AI117="#VALUE#"),CONCATENATE($AI117,"!",GetDeliveryStart($AI117),":",GetDeliveryEnd($AI117)),"")</f>
        <v>#VALUE!</v>
      </c>
      <c r="AL117" s="125" t="e">
        <f aca="false">GetRecNdx($AH116,$C116)</f>
        <v>#VALUE!</v>
      </c>
    </row>
    <row r="118" customFormat="false" ht="12.75" hidden="false" customHeight="false" outlineLevel="0" collapsed="false">
      <c r="G118" s="128" t="s">
        <v>235</v>
      </c>
      <c r="H118" s="129" t="e">
        <f aca="true">SUM(INDIRECT(CONCATENATE(ADDRESS($AI118,COLUMN()),":",ADDRESS($AJ118,COLUMN()))))</f>
        <v>#VALUE!</v>
      </c>
      <c r="I118" s="129" t="e">
        <f aca="true">SUM(INDIRECT(CONCATENATE(ADDRESS($AI118,COLUMN()),":",ADDRESS($AJ118,COLUMN()))))</f>
        <v>#VALUE!</v>
      </c>
      <c r="J118" s="129" t="e">
        <f aca="true">SUM(INDIRECT(CONCATENATE(ADDRESS($AI118,COLUMN()),":",ADDRESS($AJ118,COLUMN()))))</f>
        <v>#VALUE!</v>
      </c>
      <c r="K118" s="129" t="e">
        <f aca="true">SUM(INDIRECT(CONCATENATE(ADDRESS($AI118,COLUMN()),":",ADDRESS($AJ118,COLUMN()))))</f>
        <v>#VALUE!</v>
      </c>
      <c r="L118" s="130" t="e">
        <f aca="true">SUM(INDIRECT(CONCATENATE(ADDRESS($AI118,COLUMN()),":",ADDRESS($AJ118,COLUMN()))))</f>
        <v>#VALUE!</v>
      </c>
      <c r="M118" s="131"/>
      <c r="N118" s="132" t="e">
        <f aca="true">SUM(INDIRECT(CONCATENATE(ADDRESS($AI118,COLUMN()),":",ADDRESS($AJ118,COLUMN()))))</f>
        <v>#VALUE!</v>
      </c>
      <c r="O118" s="133" t="e">
        <f aca="true">SUM(INDIRECT(CONCATENATE(ADDRESS($AI118,COLUMN()),":",ADDRESS($AJ118,COLUMN()))))</f>
        <v>#VALUE!</v>
      </c>
      <c r="P118" s="131"/>
      <c r="Q118" s="132" t="e">
        <f aca="true">SUM(INDIRECT(CONCATENATE(ADDRESS($AI118,COLUMN()),":",ADDRESS($AJ118,COLUMN()))))</f>
        <v>#VALUE!</v>
      </c>
      <c r="R118" s="129" t="e">
        <f aca="true">SUM(INDIRECT(CONCATENATE(ADDRESS($AI118,COLUMN()),":",ADDRESS($AJ118,COLUMN()))))</f>
        <v>#VALUE!</v>
      </c>
      <c r="S118" s="133" t="e">
        <f aca="true">SUM(INDIRECT(CONCATENATE(ADDRESS($AI118,COLUMN()),":",ADDRESS($AJ118,COLUMN()))))</f>
        <v>#VALUE!</v>
      </c>
      <c r="T118" s="131"/>
      <c r="U118" s="132" t="e">
        <f aca="true">SUM(INDIRECT(CONCATENATE(ADDRESS($AI118,COLUMN()),":",ADDRESS($AJ118,COLUMN()))))</f>
        <v>#VALUE!</v>
      </c>
      <c r="V118" s="133" t="e">
        <f aca="true">SUM(INDIRECT(CONCATENATE(ADDRESS($AI118,COLUMN()),":",ADDRESS($AJ118,COLUMN()))))</f>
        <v>#VALUE!</v>
      </c>
      <c r="W118" s="98"/>
      <c r="X118" s="132" t="e">
        <f aca="true">SUM(INDIRECT(CONCATENATE(ADDRESS($AI118,COLUMN()),":",ADDRESS($AJ118,COLUMN()))))</f>
        <v>#VALUE!</v>
      </c>
      <c r="Y118" s="129" t="e">
        <f aca="true">SUM(INDIRECT(CONCATENATE(ADDRESS($AI118,COLUMN()),":",ADDRESS($AJ118,COLUMN()))))</f>
        <v>#VALUE!</v>
      </c>
      <c r="Z118" s="129" t="e">
        <f aca="true">SUM(INDIRECT(CONCATENATE(ADDRESS($AI118,COLUMN()),":",ADDRESS($AJ118,COLUMN()))))</f>
        <v>#VALUE!</v>
      </c>
      <c r="AA118" s="129" t="e">
        <f aca="true">SUM(INDIRECT(CONCATENATE(ADDRESS($AI118,COLUMN()),":",ADDRESS($AJ118,COLUMN()))))</f>
        <v>#VALUE!</v>
      </c>
      <c r="AB118" s="129" t="e">
        <f aca="true">SUM(INDIRECT(CONCATENATE(ADDRESS($AI118,COLUMN()),":",ADDRESS($AJ118,COLUMN()))))</f>
        <v>#VALUE!</v>
      </c>
      <c r="AC118" s="130" t="e">
        <f aca="true">SUM(INDIRECT(CONCATENATE(ADDRESS($AI118,COLUMN()),":",ADDRESS($AJ118,COLUMN()))))</f>
        <v>#VALUE!</v>
      </c>
      <c r="AD118" s="98"/>
      <c r="AE118" s="99"/>
      <c r="AI118" s="134" t="e">
        <f aca="false">GetStartRow($AI117)</f>
        <v>#VALUE!</v>
      </c>
      <c r="AJ118" s="134" t="n">
        <f aca="false">ROW($AI117)</f>
        <v>117</v>
      </c>
    </row>
    <row r="121" customFormat="false" ht="18.75" hidden="false" customHeight="false" outlineLevel="0" collapsed="false">
      <c r="E121" s="102" t="s">
        <v>241</v>
      </c>
      <c r="U121" s="98"/>
      <c r="V121" s="98"/>
      <c r="W121" s="98"/>
      <c r="X121" s="98"/>
      <c r="Y121" s="98"/>
      <c r="Z121" s="98"/>
      <c r="AA121" s="98"/>
      <c r="AB121" s="98"/>
      <c r="AC121" s="98"/>
      <c r="AD121" s="98"/>
      <c r="AE121" s="99"/>
    </row>
    <row r="122" customFormat="false" ht="12.75" hidden="false" customHeight="true" outlineLevel="0" collapsed="false">
      <c r="A122" s="103"/>
      <c r="B122" s="103"/>
      <c r="C122" s="104" t="s">
        <v>213</v>
      </c>
      <c r="E122" s="105"/>
      <c r="F122" s="106"/>
      <c r="G122" s="107" t="s">
        <v>214</v>
      </c>
      <c r="H122" s="108" t="s">
        <v>215</v>
      </c>
      <c r="I122" s="109" t="s">
        <v>216</v>
      </c>
      <c r="J122" s="109" t="s">
        <v>217</v>
      </c>
      <c r="K122" s="109" t="s">
        <v>218</v>
      </c>
      <c r="L122" s="110" t="s">
        <v>219</v>
      </c>
      <c r="N122" s="108" t="s">
        <v>220</v>
      </c>
      <c r="O122" s="111" t="s">
        <v>221</v>
      </c>
      <c r="Q122" s="108" t="s">
        <v>222</v>
      </c>
      <c r="R122" s="109" t="s">
        <v>223</v>
      </c>
      <c r="S122" s="111" t="s">
        <v>224</v>
      </c>
      <c r="U122" s="108" t="s">
        <v>225</v>
      </c>
      <c r="V122" s="111" t="s">
        <v>226</v>
      </c>
      <c r="W122" s="98"/>
      <c r="X122" s="108" t="s">
        <v>227</v>
      </c>
      <c r="Y122" s="109" t="s">
        <v>228</v>
      </c>
      <c r="Z122" s="109" t="s">
        <v>229</v>
      </c>
      <c r="AA122" s="109" t="s">
        <v>230</v>
      </c>
      <c r="AB122" s="109" t="s">
        <v>231</v>
      </c>
      <c r="AC122" s="110" t="s">
        <v>232</v>
      </c>
      <c r="AD122" s="98"/>
      <c r="AE122" s="98"/>
      <c r="AF122" s="98"/>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c r="BY122" s="103"/>
      <c r="BZ122" s="103"/>
      <c r="CA122" s="103"/>
      <c r="CB122" s="103"/>
      <c r="CC122" s="103"/>
      <c r="CD122" s="103"/>
      <c r="CE122" s="103"/>
      <c r="CF122" s="103"/>
      <c r="CG122" s="103"/>
      <c r="CH122" s="103"/>
      <c r="CI122" s="103"/>
      <c r="CJ122" s="103"/>
      <c r="CK122" s="103"/>
      <c r="CL122" s="103"/>
      <c r="CM122" s="103"/>
      <c r="CN122" s="103"/>
      <c r="CO122" s="103"/>
      <c r="CP122" s="103"/>
      <c r="CQ122" s="103"/>
      <c r="CR122" s="103"/>
      <c r="CS122" s="103"/>
      <c r="CT122" s="103"/>
      <c r="CU122" s="103"/>
      <c r="CV122" s="103"/>
      <c r="CW122" s="103"/>
      <c r="CX122" s="103"/>
      <c r="CY122" s="103"/>
      <c r="CZ122" s="103"/>
      <c r="DA122" s="103"/>
      <c r="DB122" s="103"/>
      <c r="DC122" s="103"/>
      <c r="DD122" s="103"/>
      <c r="DE122" s="103"/>
      <c r="DF122" s="103"/>
      <c r="DG122" s="103"/>
      <c r="DH122" s="103"/>
      <c r="DI122" s="103"/>
      <c r="DJ122" s="103"/>
      <c r="DK122" s="103"/>
      <c r="DL122" s="103"/>
      <c r="DM122" s="103"/>
      <c r="DN122" s="103"/>
      <c r="DO122" s="103"/>
      <c r="DP122" s="103"/>
      <c r="DQ122" s="103"/>
      <c r="DR122" s="103"/>
      <c r="DS122" s="103"/>
      <c r="DT122" s="103"/>
      <c r="DU122" s="103"/>
      <c r="DV122" s="103"/>
      <c r="DW122" s="103"/>
      <c r="DX122" s="103"/>
      <c r="DY122" s="103"/>
      <c r="DZ122" s="103"/>
      <c r="EA122" s="103"/>
      <c r="EB122" s="103"/>
      <c r="EC122" s="103"/>
      <c r="ED122" s="103"/>
      <c r="EE122" s="103"/>
      <c r="EF122" s="103"/>
      <c r="EG122" s="103"/>
      <c r="EH122" s="103"/>
      <c r="EI122" s="103"/>
      <c r="EJ122" s="103"/>
      <c r="EK122" s="103"/>
      <c r="EL122" s="103"/>
      <c r="EM122" s="103"/>
      <c r="EN122" s="103"/>
      <c r="EO122" s="103"/>
      <c r="EP122" s="103"/>
      <c r="EQ122" s="103"/>
      <c r="ER122" s="103"/>
      <c r="ES122" s="103"/>
      <c r="ET122" s="103"/>
      <c r="EU122" s="103"/>
      <c r="EV122" s="103"/>
      <c r="EW122" s="103"/>
      <c r="EX122" s="103"/>
      <c r="EY122" s="103"/>
      <c r="EZ122" s="103"/>
      <c r="FA122" s="103"/>
      <c r="FB122" s="103"/>
      <c r="FC122" s="103"/>
      <c r="FD122" s="103"/>
      <c r="FE122" s="103"/>
      <c r="FF122" s="103"/>
      <c r="FG122" s="103"/>
      <c r="FH122" s="103"/>
      <c r="FI122" s="103"/>
      <c r="FJ122" s="103"/>
      <c r="FK122" s="103"/>
      <c r="FL122" s="103"/>
      <c r="FM122" s="103"/>
      <c r="FN122" s="103"/>
      <c r="FO122" s="103"/>
      <c r="FP122" s="103"/>
      <c r="FQ122" s="103"/>
      <c r="FR122" s="103"/>
      <c r="FS122" s="103"/>
      <c r="FT122" s="103"/>
      <c r="FU122" s="103"/>
      <c r="FV122" s="103"/>
      <c r="FW122" s="103"/>
      <c r="FX122" s="103"/>
      <c r="FY122" s="103"/>
      <c r="FZ122" s="103"/>
      <c r="GA122" s="103"/>
      <c r="GB122" s="103"/>
      <c r="GC122" s="103"/>
      <c r="GD122" s="103"/>
      <c r="GE122" s="103"/>
      <c r="GF122" s="103"/>
      <c r="GG122" s="103"/>
      <c r="GH122" s="103"/>
      <c r="GI122" s="103"/>
      <c r="GJ122" s="103"/>
      <c r="GK122" s="103"/>
      <c r="GL122" s="103"/>
      <c r="GM122" s="103"/>
      <c r="GN122" s="103"/>
      <c r="GO122" s="103"/>
      <c r="GP122" s="103"/>
      <c r="GQ122" s="103"/>
      <c r="GR122" s="103"/>
      <c r="GS122" s="103"/>
      <c r="GT122" s="103"/>
      <c r="GU122" s="103"/>
      <c r="GV122" s="103"/>
      <c r="GW122" s="103"/>
      <c r="GX122" s="103"/>
      <c r="GY122" s="103"/>
      <c r="GZ122" s="103"/>
      <c r="HA122" s="103"/>
      <c r="HB122" s="103"/>
      <c r="HC122" s="103"/>
      <c r="HD122" s="103"/>
      <c r="HE122" s="103"/>
      <c r="HF122" s="103"/>
      <c r="HG122" s="103"/>
      <c r="HH122" s="103"/>
      <c r="HI122" s="103"/>
      <c r="HJ122" s="103"/>
      <c r="HK122" s="103"/>
      <c r="HL122" s="103"/>
      <c r="HM122" s="103"/>
      <c r="HN122" s="103"/>
      <c r="HO122" s="103"/>
      <c r="HP122" s="103"/>
      <c r="HQ122" s="103"/>
      <c r="HR122" s="103"/>
      <c r="HS122" s="103"/>
      <c r="HT122" s="103"/>
      <c r="HU122" s="103"/>
      <c r="HV122" s="103"/>
      <c r="HW122" s="103"/>
      <c r="HX122" s="103"/>
      <c r="HY122" s="103"/>
      <c r="HZ122" s="103"/>
      <c r="IA122" s="103"/>
      <c r="IB122" s="103"/>
      <c r="IC122" s="103"/>
      <c r="ID122" s="103"/>
      <c r="IE122" s="103"/>
      <c r="IF122" s="103"/>
      <c r="IG122" s="103"/>
      <c r="IH122" s="103"/>
      <c r="II122" s="103"/>
      <c r="IJ122" s="103"/>
      <c r="IK122" s="103"/>
      <c r="IL122" s="103"/>
      <c r="IM122" s="103"/>
      <c r="IN122" s="103"/>
      <c r="IO122" s="103"/>
      <c r="IP122" s="103"/>
      <c r="IQ122" s="103"/>
      <c r="IR122" s="103"/>
      <c r="IS122" s="103"/>
      <c r="IT122" s="103"/>
      <c r="IU122" s="103"/>
      <c r="IV122" s="103"/>
      <c r="IW122" s="103"/>
    </row>
    <row r="123" customFormat="false" ht="12.75" hidden="false" customHeight="true" outlineLevel="0" collapsed="false">
      <c r="A123" s="103"/>
      <c r="B123" s="103"/>
      <c r="C123" s="104"/>
      <c r="E123" s="112" t="s">
        <v>13</v>
      </c>
      <c r="F123" s="113" t="s">
        <v>233</v>
      </c>
      <c r="G123" s="114" t="s">
        <v>234</v>
      </c>
      <c r="H123" s="108"/>
      <c r="I123" s="109" t="s">
        <v>216</v>
      </c>
      <c r="J123" s="109"/>
      <c r="K123" s="109"/>
      <c r="L123" s="110"/>
      <c r="N123" s="108"/>
      <c r="O123" s="111"/>
      <c r="Q123" s="108"/>
      <c r="R123" s="109"/>
      <c r="S123" s="111"/>
      <c r="U123" s="108"/>
      <c r="V123" s="111"/>
      <c r="W123" s="98"/>
      <c r="X123" s="108"/>
      <c r="Y123" s="109"/>
      <c r="Z123" s="109"/>
      <c r="AA123" s="109"/>
      <c r="AB123" s="109"/>
      <c r="AC123" s="110"/>
      <c r="AD123" s="98"/>
      <c r="AE123" s="98"/>
      <c r="AF123" s="98"/>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c r="BQ123" s="103"/>
      <c r="BR123" s="103"/>
      <c r="BS123" s="103"/>
      <c r="BT123" s="103"/>
      <c r="BU123" s="103"/>
      <c r="BV123" s="103"/>
      <c r="BW123" s="103"/>
      <c r="BX123" s="103"/>
      <c r="BY123" s="103"/>
      <c r="BZ123" s="103"/>
      <c r="CA123" s="103"/>
      <c r="CB123" s="103"/>
      <c r="CC123" s="103"/>
      <c r="CD123" s="103"/>
      <c r="CE123" s="103"/>
      <c r="CF123" s="103"/>
      <c r="CG123" s="103"/>
      <c r="CH123" s="103"/>
      <c r="CI123" s="103"/>
      <c r="CJ123" s="103"/>
      <c r="CK123" s="103"/>
      <c r="CL123" s="103"/>
      <c r="CM123" s="103"/>
      <c r="CN123" s="103"/>
      <c r="CO123" s="103"/>
      <c r="CP123" s="103"/>
      <c r="CQ123" s="103"/>
      <c r="CR123" s="103"/>
      <c r="CS123" s="103"/>
      <c r="CT123" s="103"/>
      <c r="CU123" s="103"/>
      <c r="CV123" s="103"/>
      <c r="CW123" s="103"/>
      <c r="CX123" s="103"/>
      <c r="CY123" s="103"/>
      <c r="CZ123" s="103"/>
      <c r="DA123" s="103"/>
      <c r="DB123" s="103"/>
      <c r="DC123" s="103"/>
      <c r="DD123" s="103"/>
      <c r="DE123" s="103"/>
      <c r="DF123" s="103"/>
      <c r="DG123" s="103"/>
      <c r="DH123" s="103"/>
      <c r="DI123" s="103"/>
      <c r="DJ123" s="103"/>
      <c r="DK123" s="103"/>
      <c r="DL123" s="103"/>
      <c r="DM123" s="103"/>
      <c r="DN123" s="103"/>
      <c r="DO123" s="103"/>
      <c r="DP123" s="103"/>
      <c r="DQ123" s="103"/>
      <c r="DR123" s="103"/>
      <c r="DS123" s="103"/>
      <c r="DT123" s="103"/>
      <c r="DU123" s="103"/>
      <c r="DV123" s="103"/>
      <c r="DW123" s="103"/>
      <c r="DX123" s="103"/>
      <c r="DY123" s="103"/>
      <c r="DZ123" s="103"/>
      <c r="EA123" s="103"/>
      <c r="EB123" s="103"/>
      <c r="EC123" s="103"/>
      <c r="ED123" s="103"/>
      <c r="EE123" s="103"/>
      <c r="EF123" s="103"/>
      <c r="EG123" s="103"/>
      <c r="EH123" s="103"/>
      <c r="EI123" s="103"/>
      <c r="EJ123" s="103"/>
      <c r="EK123" s="103"/>
      <c r="EL123" s="103"/>
      <c r="EM123" s="103"/>
      <c r="EN123" s="103"/>
      <c r="EO123" s="103"/>
      <c r="EP123" s="103"/>
      <c r="EQ123" s="103"/>
      <c r="ER123" s="103"/>
      <c r="ES123" s="103"/>
      <c r="ET123" s="103"/>
      <c r="EU123" s="103"/>
      <c r="EV123" s="103"/>
      <c r="EW123" s="103"/>
      <c r="EX123" s="103"/>
      <c r="EY123" s="103"/>
      <c r="EZ123" s="103"/>
      <c r="FA123" s="103"/>
      <c r="FB123" s="103"/>
      <c r="FC123" s="103"/>
      <c r="FD123" s="103"/>
      <c r="FE123" s="103"/>
      <c r="FF123" s="103"/>
      <c r="FG123" s="103"/>
      <c r="FH123" s="103"/>
      <c r="FI123" s="103"/>
      <c r="FJ123" s="103"/>
      <c r="FK123" s="103"/>
      <c r="FL123" s="103"/>
      <c r="FM123" s="103"/>
      <c r="FN123" s="103"/>
      <c r="FO123" s="103"/>
      <c r="FP123" s="103"/>
      <c r="FQ123" s="103"/>
      <c r="FR123" s="103"/>
      <c r="FS123" s="103"/>
      <c r="FT123" s="103"/>
      <c r="FU123" s="103"/>
      <c r="FV123" s="103"/>
      <c r="FW123" s="103"/>
      <c r="FX123" s="103"/>
      <c r="FY123" s="103"/>
      <c r="FZ123" s="103"/>
      <c r="GA123" s="103"/>
      <c r="GB123" s="103"/>
      <c r="GC123" s="103"/>
      <c r="GD123" s="103"/>
      <c r="GE123" s="103"/>
      <c r="GF123" s="103"/>
      <c r="GG123" s="103"/>
      <c r="GH123" s="103"/>
      <c r="GI123" s="103"/>
      <c r="GJ123" s="103"/>
      <c r="GK123" s="103"/>
      <c r="GL123" s="103"/>
      <c r="GM123" s="103"/>
      <c r="GN123" s="103"/>
      <c r="GO123" s="103"/>
      <c r="GP123" s="103"/>
      <c r="GQ123" s="103"/>
      <c r="GR123" s="103"/>
      <c r="GS123" s="103"/>
      <c r="GT123" s="103"/>
      <c r="GU123" s="103"/>
      <c r="GV123" s="103"/>
      <c r="GW123" s="103"/>
      <c r="GX123" s="103"/>
      <c r="GY123" s="103"/>
      <c r="GZ123" s="103"/>
      <c r="HA123" s="103"/>
      <c r="HB123" s="103"/>
      <c r="HC123" s="103"/>
      <c r="HD123" s="103"/>
      <c r="HE123" s="103"/>
      <c r="HF123" s="103"/>
      <c r="HG123" s="103"/>
      <c r="HH123" s="103"/>
      <c r="HI123" s="103"/>
      <c r="HJ123" s="103"/>
      <c r="HK123" s="103"/>
      <c r="HL123" s="103"/>
      <c r="HM123" s="103"/>
      <c r="HN123" s="103"/>
      <c r="HO123" s="103"/>
      <c r="HP123" s="103"/>
      <c r="HQ123" s="103"/>
      <c r="HR123" s="103"/>
      <c r="HS123" s="103"/>
      <c r="HT123" s="103"/>
      <c r="HU123" s="103"/>
      <c r="HV123" s="103"/>
      <c r="HW123" s="103"/>
      <c r="HX123" s="103"/>
      <c r="HY123" s="103"/>
      <c r="HZ123" s="103"/>
      <c r="IA123" s="103"/>
      <c r="IB123" s="103"/>
      <c r="IC123" s="103"/>
      <c r="ID123" s="103"/>
      <c r="IE123" s="103"/>
      <c r="IF123" s="103"/>
      <c r="IG123" s="103"/>
      <c r="IH123" s="103"/>
      <c r="II123" s="103"/>
      <c r="IJ123" s="103"/>
      <c r="IK123" s="103"/>
      <c r="IL123" s="103"/>
      <c r="IM123" s="103"/>
      <c r="IN123" s="103"/>
      <c r="IO123" s="103"/>
      <c r="IP123" s="103"/>
      <c r="IQ123" s="103"/>
      <c r="IR123" s="103"/>
      <c r="IS123" s="103"/>
      <c r="IT123" s="103"/>
      <c r="IU123" s="103"/>
      <c r="IV123" s="103"/>
      <c r="IW123" s="103"/>
    </row>
    <row r="124" customFormat="false" ht="12.75" hidden="false" customHeight="false" outlineLevel="0" collapsed="false">
      <c r="C124" s="115" t="n">
        <v>10</v>
      </c>
      <c r="E124" s="116" t="e">
        <f aca="false">GetPipeName($AH124,$AL124)</f>
        <v>#VALUE!</v>
      </c>
      <c r="F124" s="117" t="e">
        <f aca="false">CONCATENATE(GetRcptPoint($AH124,$AL124)," to ",GetDelPoint($AH124,$AL124))</f>
        <v>#VALUE!</v>
      </c>
      <c r="G124" s="118" t="e">
        <f aca="false">GetRcptBasis($AH124,$AL124)</f>
        <v>#VALUE!</v>
      </c>
      <c r="H124" s="119" t="e">
        <f aca="false">GetTodayAsset($AI124)</f>
        <v>#VALUE!</v>
      </c>
      <c r="I124" s="120" t="e">
        <f aca="false">GetTodayDemand($AI124)</f>
        <v>#VALUE!</v>
      </c>
      <c r="J124" s="120" t="e">
        <f aca="false">H124-I124</f>
        <v>#VALUE!</v>
      </c>
      <c r="K124" s="120" t="e">
        <f aca="false">GetYesterdayPL($AI124)</f>
        <v>#VALUE!</v>
      </c>
      <c r="L124" s="121" t="e">
        <f aca="false">J124-K124</f>
        <v>#VALUE!</v>
      </c>
      <c r="N124" s="119" t="e">
        <f aca="false">GetTodayIntrinsic($AI124)</f>
        <v>#VALUE!</v>
      </c>
      <c r="O124" s="121" t="e">
        <f aca="false">GetTodayExtrinsic($AI124)</f>
        <v>#VALUE!</v>
      </c>
      <c r="Q124" s="119" t="e">
        <f aca="false">GetPriceChange($AI124)</f>
        <v>#VALUE!</v>
      </c>
      <c r="R124" s="120" t="e">
        <f aca="false">GetBasisChange($AI124)</f>
        <v>#VALUE!</v>
      </c>
      <c r="S124" s="121" t="e">
        <f aca="false">GetIndexChange($AI124)</f>
        <v>#VALUE!</v>
      </c>
      <c r="T124" s="122"/>
      <c r="U124" s="119" t="e">
        <f aca="false">GetFuelChange($AI124)</f>
        <v>#VALUE!</v>
      </c>
      <c r="V124" s="123" t="e">
        <f aca="false">GetVarChrgChange($AI124)</f>
        <v>#VALUE!</v>
      </c>
      <c r="W124" s="98"/>
      <c r="X124" s="119" t="e">
        <f aca="false">GetDelta($AI124)</f>
        <v>#VALUE!</v>
      </c>
      <c r="Y124" s="120" t="e">
        <f aca="false">GetGamma($AI124)</f>
        <v>#VALUE!</v>
      </c>
      <c r="Z124" s="120" t="e">
        <f aca="false">GetTheta($AI124)</f>
        <v>#VALUE!</v>
      </c>
      <c r="AA124" s="120" t="e">
        <f aca="false">GetVega($AI124)</f>
        <v>#VALUE!</v>
      </c>
      <c r="AB124" s="120" t="e">
        <f aca="false">GetRho($AI124)</f>
        <v>#VALUE!</v>
      </c>
      <c r="AC124" s="121" t="e">
        <f aca="false">GetDrift($AI124)</f>
        <v>#VALUE!</v>
      </c>
      <c r="AD124" s="98"/>
      <c r="AE124" s="98"/>
      <c r="AF124" s="98"/>
      <c r="AH124" s="124" t="e">
        <f aca="false">GetDBPage($C124)</f>
        <v>#VALUE!</v>
      </c>
      <c r="AI124" s="125" t="e">
        <f aca="false">GetWorkSheet($C124)</f>
        <v>#VALUE!</v>
      </c>
      <c r="AJ124" s="125" t="e">
        <f aca="false">IF(NOT($AI124="#VALUE#"),CONCATENATE($AI124,"!",GetDateStart($AI124),":",GetDateEnd($AI124)),"")</f>
        <v>#VALUE!</v>
      </c>
      <c r="AK124" s="125" t="e">
        <f aca="false">IF(NOT($AI124="#VALUE#"),CONCATENATE($AI124,"!",GetReceiptStart($AI124),":",GetReceiptEnd($AI124)),"")</f>
        <v>#VALUE!</v>
      </c>
      <c r="AL124" s="125" t="e">
        <f aca="false">GetRecNdx($AH124,$C124)</f>
        <v>#VALUE!</v>
      </c>
    </row>
    <row r="125" customFormat="false" ht="12.75" hidden="false" customHeight="false" outlineLevel="0" collapsed="false">
      <c r="C125" s="115"/>
      <c r="E125" s="116"/>
      <c r="F125" s="117"/>
      <c r="G125" s="126" t="e">
        <f aca="false">GetDelBasis($AH124,$AL125)</f>
        <v>#VALUE!</v>
      </c>
      <c r="H125" s="119"/>
      <c r="I125" s="120"/>
      <c r="J125" s="120"/>
      <c r="K125" s="120"/>
      <c r="L125" s="121"/>
      <c r="M125" s="127"/>
      <c r="N125" s="119"/>
      <c r="O125" s="121"/>
      <c r="P125" s="127"/>
      <c r="Q125" s="119"/>
      <c r="R125" s="120"/>
      <c r="S125" s="121"/>
      <c r="T125" s="122"/>
      <c r="U125" s="119"/>
      <c r="V125" s="123"/>
      <c r="W125" s="98"/>
      <c r="X125" s="119"/>
      <c r="Y125" s="120"/>
      <c r="Z125" s="120"/>
      <c r="AA125" s="120"/>
      <c r="AB125" s="120"/>
      <c r="AC125" s="121"/>
      <c r="AD125" s="98"/>
      <c r="AE125" s="98"/>
      <c r="AF125" s="98"/>
      <c r="AI125" s="125" t="e">
        <f aca="false">GetWorkSheet($C124)</f>
        <v>#VALUE!</v>
      </c>
      <c r="AJ125" s="125" t="e">
        <f aca="false">IF(NOT($AI125="#VALUE#"),CONCATENATE($AI125,"!",GetDateStart($AI125),":",GetDateEnd($AI125)),"")</f>
        <v>#VALUE!</v>
      </c>
      <c r="AK125" s="125" t="e">
        <f aca="false">IF(NOT($AI125="#VALUE#"),CONCATENATE($AI125,"!",GetDeliveryStart($AI125),":",GetDeliveryEnd($AI125)),"")</f>
        <v>#VALUE!</v>
      </c>
      <c r="AL125" s="125" t="e">
        <f aca="false">GetRecNdx($AH124,$C124)</f>
        <v>#VALUE!</v>
      </c>
    </row>
    <row r="126" customFormat="false" ht="12.75" hidden="false" customHeight="false" outlineLevel="0" collapsed="false">
      <c r="G126" s="128" t="s">
        <v>235</v>
      </c>
      <c r="H126" s="129" t="e">
        <f aca="true">SUM(INDIRECT(CONCATENATE(ADDRESS($AI126,COLUMN()),":",ADDRESS($AJ126,COLUMN()))))</f>
        <v>#VALUE!</v>
      </c>
      <c r="I126" s="129" t="e">
        <f aca="true">SUM(INDIRECT(CONCATENATE(ADDRESS($AI126,COLUMN()),":",ADDRESS($AJ126,COLUMN()))))</f>
        <v>#VALUE!</v>
      </c>
      <c r="J126" s="129" t="e">
        <f aca="true">SUM(INDIRECT(CONCATENATE(ADDRESS($AI126,COLUMN()),":",ADDRESS($AJ126,COLUMN()))))</f>
        <v>#VALUE!</v>
      </c>
      <c r="K126" s="129" t="e">
        <f aca="true">SUM(INDIRECT(CONCATENATE(ADDRESS($AI126,COLUMN()),":",ADDRESS($AJ126,COLUMN()))))</f>
        <v>#VALUE!</v>
      </c>
      <c r="L126" s="130" t="e">
        <f aca="true">SUM(INDIRECT(CONCATENATE(ADDRESS($AI126,COLUMN()),":",ADDRESS($AJ126,COLUMN()))))</f>
        <v>#VALUE!</v>
      </c>
      <c r="M126" s="131"/>
      <c r="N126" s="132" t="e">
        <f aca="true">SUM(INDIRECT(CONCATENATE(ADDRESS($AI126,COLUMN()),":",ADDRESS($AJ126,COLUMN()))))</f>
        <v>#VALUE!</v>
      </c>
      <c r="O126" s="133" t="e">
        <f aca="true">SUM(INDIRECT(CONCATENATE(ADDRESS($AI126,COLUMN()),":",ADDRESS($AJ126,COLUMN()))))</f>
        <v>#VALUE!</v>
      </c>
      <c r="P126" s="131"/>
      <c r="Q126" s="132" t="e">
        <f aca="true">SUM(INDIRECT(CONCATENATE(ADDRESS($AI126,COLUMN()),":",ADDRESS($AJ126,COLUMN()))))</f>
        <v>#VALUE!</v>
      </c>
      <c r="R126" s="129" t="e">
        <f aca="true">SUM(INDIRECT(CONCATENATE(ADDRESS($AI126,COLUMN()),":",ADDRESS($AJ126,COLUMN()))))</f>
        <v>#VALUE!</v>
      </c>
      <c r="S126" s="133" t="e">
        <f aca="true">SUM(INDIRECT(CONCATENATE(ADDRESS($AI126,COLUMN()),":",ADDRESS($AJ126,COLUMN()))))</f>
        <v>#VALUE!</v>
      </c>
      <c r="T126" s="131"/>
      <c r="U126" s="132" t="e">
        <f aca="true">SUM(INDIRECT(CONCATENATE(ADDRESS($AI126,COLUMN()),":",ADDRESS($AJ126,COLUMN()))))</f>
        <v>#VALUE!</v>
      </c>
      <c r="V126" s="133" t="e">
        <f aca="true">SUM(INDIRECT(CONCATENATE(ADDRESS($AI126,COLUMN()),":",ADDRESS($AJ126,COLUMN()))))</f>
        <v>#VALUE!</v>
      </c>
      <c r="W126" s="98"/>
      <c r="X126" s="132" t="e">
        <f aca="true">SUM(INDIRECT(CONCATENATE(ADDRESS($AI126,COLUMN()),":",ADDRESS($AJ126,COLUMN()))))</f>
        <v>#VALUE!</v>
      </c>
      <c r="Y126" s="129" t="e">
        <f aca="true">SUM(INDIRECT(CONCATENATE(ADDRESS($AI126,COLUMN()),":",ADDRESS($AJ126,COLUMN()))))</f>
        <v>#VALUE!</v>
      </c>
      <c r="Z126" s="129" t="e">
        <f aca="true">SUM(INDIRECT(CONCATENATE(ADDRESS($AI126,COLUMN()),":",ADDRESS($AJ126,COLUMN()))))</f>
        <v>#VALUE!</v>
      </c>
      <c r="AA126" s="129" t="e">
        <f aca="true">SUM(INDIRECT(CONCATENATE(ADDRESS($AI126,COLUMN()),":",ADDRESS($AJ126,COLUMN()))))</f>
        <v>#VALUE!</v>
      </c>
      <c r="AB126" s="129" t="e">
        <f aca="true">SUM(INDIRECT(CONCATENATE(ADDRESS($AI126,COLUMN()),":",ADDRESS($AJ126,COLUMN()))))</f>
        <v>#VALUE!</v>
      </c>
      <c r="AC126" s="130" t="e">
        <f aca="true">SUM(INDIRECT(CONCATENATE(ADDRESS($AI126,COLUMN()),":",ADDRESS($AJ126,COLUMN()))))</f>
        <v>#VALUE!</v>
      </c>
      <c r="AD126" s="98"/>
      <c r="AE126" s="99"/>
      <c r="AI126" s="134" t="e">
        <f aca="false">GetStartRow($AI125)</f>
        <v>#VALUE!</v>
      </c>
      <c r="AJ126" s="134" t="n">
        <f aca="false">ROW($AI125)</f>
        <v>125</v>
      </c>
    </row>
  </sheetData>
  <mergeCells count="973">
    <mergeCell ref="C8:C9"/>
    <mergeCell ref="H8:H9"/>
    <mergeCell ref="I8:I9"/>
    <mergeCell ref="J8:J9"/>
    <mergeCell ref="K8:K9"/>
    <mergeCell ref="L8:L9"/>
    <mergeCell ref="N8:N9"/>
    <mergeCell ref="O8:O9"/>
    <mergeCell ref="Q8:Q9"/>
    <mergeCell ref="R8:R9"/>
    <mergeCell ref="S8:S9"/>
    <mergeCell ref="U8:U9"/>
    <mergeCell ref="V8:V9"/>
    <mergeCell ref="X8:X9"/>
    <mergeCell ref="Y8:Y9"/>
    <mergeCell ref="Z8:Z9"/>
    <mergeCell ref="AA8:AA9"/>
    <mergeCell ref="AB8:AB9"/>
    <mergeCell ref="AC8:AC9"/>
    <mergeCell ref="C10:C11"/>
    <mergeCell ref="E10:E11"/>
    <mergeCell ref="F10:F11"/>
    <mergeCell ref="H10:H11"/>
    <mergeCell ref="I10:I11"/>
    <mergeCell ref="J10:J11"/>
    <mergeCell ref="K10:K11"/>
    <mergeCell ref="L10:L11"/>
    <mergeCell ref="N10:N11"/>
    <mergeCell ref="O10:O11"/>
    <mergeCell ref="Q10:Q11"/>
    <mergeCell ref="R10:R11"/>
    <mergeCell ref="S10:S11"/>
    <mergeCell ref="U10:U11"/>
    <mergeCell ref="V10:V11"/>
    <mergeCell ref="X10:X11"/>
    <mergeCell ref="Y10:Y11"/>
    <mergeCell ref="Z10:Z11"/>
    <mergeCell ref="AA10:AA11"/>
    <mergeCell ref="AB10:AB11"/>
    <mergeCell ref="AC10:AC11"/>
    <mergeCell ref="C12:C13"/>
    <mergeCell ref="E12:E13"/>
    <mergeCell ref="F12:F13"/>
    <mergeCell ref="H12:H13"/>
    <mergeCell ref="I12:I13"/>
    <mergeCell ref="J12:J13"/>
    <mergeCell ref="K12:K13"/>
    <mergeCell ref="L12:L13"/>
    <mergeCell ref="N12:N13"/>
    <mergeCell ref="O12:O13"/>
    <mergeCell ref="Q12:Q13"/>
    <mergeCell ref="R12:R13"/>
    <mergeCell ref="S12:S13"/>
    <mergeCell ref="U12:U13"/>
    <mergeCell ref="V12:V13"/>
    <mergeCell ref="X12:X13"/>
    <mergeCell ref="Y12:Y13"/>
    <mergeCell ref="Z12:Z13"/>
    <mergeCell ref="AA12:AA13"/>
    <mergeCell ref="AB12:AB13"/>
    <mergeCell ref="AC12:AC13"/>
    <mergeCell ref="C14:C15"/>
    <mergeCell ref="E14:E15"/>
    <mergeCell ref="F14:F15"/>
    <mergeCell ref="H14:H15"/>
    <mergeCell ref="I14:I15"/>
    <mergeCell ref="J14:J15"/>
    <mergeCell ref="K14:K15"/>
    <mergeCell ref="L14:L15"/>
    <mergeCell ref="N14:N15"/>
    <mergeCell ref="O14:O15"/>
    <mergeCell ref="Q14:Q15"/>
    <mergeCell ref="R14:R15"/>
    <mergeCell ref="S14:S15"/>
    <mergeCell ref="U14:U15"/>
    <mergeCell ref="V14:V15"/>
    <mergeCell ref="X14:X15"/>
    <mergeCell ref="Y14:Y15"/>
    <mergeCell ref="Z14:Z15"/>
    <mergeCell ref="AA14:AA15"/>
    <mergeCell ref="AB14:AB15"/>
    <mergeCell ref="AC14:AC15"/>
    <mergeCell ref="C16:C17"/>
    <mergeCell ref="E16:E17"/>
    <mergeCell ref="F16:F17"/>
    <mergeCell ref="H16:H17"/>
    <mergeCell ref="I16:I17"/>
    <mergeCell ref="J16:J17"/>
    <mergeCell ref="K16:K17"/>
    <mergeCell ref="L16:L17"/>
    <mergeCell ref="N16:N17"/>
    <mergeCell ref="O16:O17"/>
    <mergeCell ref="Q16:Q17"/>
    <mergeCell ref="R16:R17"/>
    <mergeCell ref="S16:S17"/>
    <mergeCell ref="U16:U17"/>
    <mergeCell ref="V16:V17"/>
    <mergeCell ref="X16:X17"/>
    <mergeCell ref="Y16:Y17"/>
    <mergeCell ref="Z16:Z17"/>
    <mergeCell ref="AA16:AA17"/>
    <mergeCell ref="AB16:AB17"/>
    <mergeCell ref="AC16:AC17"/>
    <mergeCell ref="C18:C19"/>
    <mergeCell ref="E18:E19"/>
    <mergeCell ref="F18:F19"/>
    <mergeCell ref="H18:H19"/>
    <mergeCell ref="I18:I19"/>
    <mergeCell ref="J18:J19"/>
    <mergeCell ref="K18:K19"/>
    <mergeCell ref="L18:L19"/>
    <mergeCell ref="N18:N19"/>
    <mergeCell ref="O18:O19"/>
    <mergeCell ref="Q18:Q19"/>
    <mergeCell ref="R18:R19"/>
    <mergeCell ref="S18:S19"/>
    <mergeCell ref="U18:U19"/>
    <mergeCell ref="V18:V19"/>
    <mergeCell ref="X18:X19"/>
    <mergeCell ref="Y18:Y19"/>
    <mergeCell ref="Z18:Z19"/>
    <mergeCell ref="AA18:AA19"/>
    <mergeCell ref="AB18:AB19"/>
    <mergeCell ref="AC18:AC19"/>
    <mergeCell ref="C20:C21"/>
    <mergeCell ref="E20:E21"/>
    <mergeCell ref="F20:F21"/>
    <mergeCell ref="H20:H21"/>
    <mergeCell ref="I20:I21"/>
    <mergeCell ref="J20:J21"/>
    <mergeCell ref="K20:K21"/>
    <mergeCell ref="L20:L21"/>
    <mergeCell ref="N20:N21"/>
    <mergeCell ref="O20:O21"/>
    <mergeCell ref="Q20:Q21"/>
    <mergeCell ref="R20:R21"/>
    <mergeCell ref="S20:S21"/>
    <mergeCell ref="U20:U21"/>
    <mergeCell ref="V20:V21"/>
    <mergeCell ref="X20:X21"/>
    <mergeCell ref="Y20:Y21"/>
    <mergeCell ref="Z20:Z21"/>
    <mergeCell ref="AA20:AA21"/>
    <mergeCell ref="AB20:AB21"/>
    <mergeCell ref="AC20:AC21"/>
    <mergeCell ref="C22:C23"/>
    <mergeCell ref="E22:E23"/>
    <mergeCell ref="F22:F23"/>
    <mergeCell ref="H22:H23"/>
    <mergeCell ref="I22:I23"/>
    <mergeCell ref="J22:J23"/>
    <mergeCell ref="K22:K23"/>
    <mergeCell ref="L22:L23"/>
    <mergeCell ref="N22:N23"/>
    <mergeCell ref="O22:O23"/>
    <mergeCell ref="Q22:Q23"/>
    <mergeCell ref="R22:R23"/>
    <mergeCell ref="S22:S23"/>
    <mergeCell ref="U22:U23"/>
    <mergeCell ref="V22:V23"/>
    <mergeCell ref="X22:X23"/>
    <mergeCell ref="Y22:Y23"/>
    <mergeCell ref="Z22:Z23"/>
    <mergeCell ref="AA22:AA23"/>
    <mergeCell ref="AB22:AB23"/>
    <mergeCell ref="AC22:AC23"/>
    <mergeCell ref="C28:C29"/>
    <mergeCell ref="H28:H29"/>
    <mergeCell ref="I28:I29"/>
    <mergeCell ref="J28:J29"/>
    <mergeCell ref="K28:K29"/>
    <mergeCell ref="L28:L29"/>
    <mergeCell ref="N28:N29"/>
    <mergeCell ref="O28:O29"/>
    <mergeCell ref="Q28:Q29"/>
    <mergeCell ref="R28:R29"/>
    <mergeCell ref="S28:S29"/>
    <mergeCell ref="U28:U29"/>
    <mergeCell ref="V28:V29"/>
    <mergeCell ref="X28:X29"/>
    <mergeCell ref="Y28:Y29"/>
    <mergeCell ref="Z28:Z29"/>
    <mergeCell ref="AA28:AA29"/>
    <mergeCell ref="AB28:AB29"/>
    <mergeCell ref="AC28:AC29"/>
    <mergeCell ref="C30:C31"/>
    <mergeCell ref="E30:E31"/>
    <mergeCell ref="F30:F31"/>
    <mergeCell ref="H30:H31"/>
    <mergeCell ref="I30:I31"/>
    <mergeCell ref="J30:J31"/>
    <mergeCell ref="K30:K31"/>
    <mergeCell ref="L30:L31"/>
    <mergeCell ref="N30:N31"/>
    <mergeCell ref="O30:O31"/>
    <mergeCell ref="Q30:Q31"/>
    <mergeCell ref="R30:R31"/>
    <mergeCell ref="S30:S31"/>
    <mergeCell ref="U30:U31"/>
    <mergeCell ref="V30:V31"/>
    <mergeCell ref="X30:X31"/>
    <mergeCell ref="Y30:Y31"/>
    <mergeCell ref="Z30:Z31"/>
    <mergeCell ref="AA30:AA31"/>
    <mergeCell ref="AB30:AB31"/>
    <mergeCell ref="AC30:AC31"/>
    <mergeCell ref="C32:C33"/>
    <mergeCell ref="E32:E33"/>
    <mergeCell ref="F32:F33"/>
    <mergeCell ref="H32:H33"/>
    <mergeCell ref="I32:I33"/>
    <mergeCell ref="J32:J33"/>
    <mergeCell ref="K32:K33"/>
    <mergeCell ref="L32:L33"/>
    <mergeCell ref="N32:N33"/>
    <mergeCell ref="O32:O33"/>
    <mergeCell ref="Q32:Q33"/>
    <mergeCell ref="R32:R33"/>
    <mergeCell ref="S32:S33"/>
    <mergeCell ref="U32:U33"/>
    <mergeCell ref="V32:V33"/>
    <mergeCell ref="X32:X33"/>
    <mergeCell ref="Y32:Y33"/>
    <mergeCell ref="Z32:Z33"/>
    <mergeCell ref="AA32:AA33"/>
    <mergeCell ref="AB32:AB33"/>
    <mergeCell ref="AC32:AC33"/>
    <mergeCell ref="C34:C35"/>
    <mergeCell ref="E34:E35"/>
    <mergeCell ref="F34:F35"/>
    <mergeCell ref="H34:H35"/>
    <mergeCell ref="I34:I35"/>
    <mergeCell ref="J34:J35"/>
    <mergeCell ref="K34:K35"/>
    <mergeCell ref="L34:L35"/>
    <mergeCell ref="N34:N35"/>
    <mergeCell ref="O34:O35"/>
    <mergeCell ref="Q34:Q35"/>
    <mergeCell ref="R34:R35"/>
    <mergeCell ref="S34:S35"/>
    <mergeCell ref="U34:U35"/>
    <mergeCell ref="V34:V35"/>
    <mergeCell ref="X34:X35"/>
    <mergeCell ref="Y34:Y35"/>
    <mergeCell ref="Z34:Z35"/>
    <mergeCell ref="AA34:AA35"/>
    <mergeCell ref="AB34:AB35"/>
    <mergeCell ref="AC34:AC35"/>
    <mergeCell ref="C36:C37"/>
    <mergeCell ref="E36:E37"/>
    <mergeCell ref="F36:F37"/>
    <mergeCell ref="H36:H37"/>
    <mergeCell ref="I36:I37"/>
    <mergeCell ref="J36:J37"/>
    <mergeCell ref="K36:K37"/>
    <mergeCell ref="L36:L37"/>
    <mergeCell ref="N36:N37"/>
    <mergeCell ref="O36:O37"/>
    <mergeCell ref="Q36:Q37"/>
    <mergeCell ref="R36:R37"/>
    <mergeCell ref="S36:S37"/>
    <mergeCell ref="U36:U37"/>
    <mergeCell ref="V36:V37"/>
    <mergeCell ref="X36:X37"/>
    <mergeCell ref="Y36:Y37"/>
    <mergeCell ref="Z36:Z37"/>
    <mergeCell ref="AA36:AA37"/>
    <mergeCell ref="AB36:AB37"/>
    <mergeCell ref="AC36:AC37"/>
    <mergeCell ref="C38:C39"/>
    <mergeCell ref="E38:E39"/>
    <mergeCell ref="F38:F39"/>
    <mergeCell ref="H38:H39"/>
    <mergeCell ref="I38:I39"/>
    <mergeCell ref="J38:J39"/>
    <mergeCell ref="K38:K39"/>
    <mergeCell ref="L38:L39"/>
    <mergeCell ref="N38:N39"/>
    <mergeCell ref="O38:O39"/>
    <mergeCell ref="Q38:Q39"/>
    <mergeCell ref="R38:R39"/>
    <mergeCell ref="S38:S39"/>
    <mergeCell ref="U38:U39"/>
    <mergeCell ref="V38:V39"/>
    <mergeCell ref="X38:X39"/>
    <mergeCell ref="Y38:Y39"/>
    <mergeCell ref="Z38:Z39"/>
    <mergeCell ref="AA38:AA39"/>
    <mergeCell ref="AB38:AB39"/>
    <mergeCell ref="AC38:AC39"/>
    <mergeCell ref="C40:C41"/>
    <mergeCell ref="E40:E41"/>
    <mergeCell ref="F40:F41"/>
    <mergeCell ref="H40:H41"/>
    <mergeCell ref="I40:I41"/>
    <mergeCell ref="J40:J41"/>
    <mergeCell ref="K40:K41"/>
    <mergeCell ref="L40:L41"/>
    <mergeCell ref="N40:N41"/>
    <mergeCell ref="O40:O41"/>
    <mergeCell ref="Q40:Q41"/>
    <mergeCell ref="R40:R41"/>
    <mergeCell ref="S40:S41"/>
    <mergeCell ref="U40:U41"/>
    <mergeCell ref="V40:V41"/>
    <mergeCell ref="X40:X41"/>
    <mergeCell ref="Y40:Y41"/>
    <mergeCell ref="Z40:Z41"/>
    <mergeCell ref="AA40:AA41"/>
    <mergeCell ref="AB40:AB41"/>
    <mergeCell ref="AC40:AC41"/>
    <mergeCell ref="C42:C43"/>
    <mergeCell ref="E42:E43"/>
    <mergeCell ref="F42:F43"/>
    <mergeCell ref="H42:H43"/>
    <mergeCell ref="I42:I43"/>
    <mergeCell ref="J42:J43"/>
    <mergeCell ref="K42:K43"/>
    <mergeCell ref="L42:L43"/>
    <mergeCell ref="N42:N43"/>
    <mergeCell ref="O42:O43"/>
    <mergeCell ref="Q42:Q43"/>
    <mergeCell ref="R42:R43"/>
    <mergeCell ref="S42:S43"/>
    <mergeCell ref="U42:U43"/>
    <mergeCell ref="V42:V43"/>
    <mergeCell ref="X42:X43"/>
    <mergeCell ref="Y42:Y43"/>
    <mergeCell ref="Z42:Z43"/>
    <mergeCell ref="AA42:AA43"/>
    <mergeCell ref="AB42:AB43"/>
    <mergeCell ref="AC42:AC43"/>
    <mergeCell ref="C44:C45"/>
    <mergeCell ref="E44:E45"/>
    <mergeCell ref="F44:F45"/>
    <mergeCell ref="H44:H45"/>
    <mergeCell ref="I44:I45"/>
    <mergeCell ref="J44:J45"/>
    <mergeCell ref="K44:K45"/>
    <mergeCell ref="L44:L45"/>
    <mergeCell ref="N44:N45"/>
    <mergeCell ref="O44:O45"/>
    <mergeCell ref="Q44:Q45"/>
    <mergeCell ref="R44:R45"/>
    <mergeCell ref="S44:S45"/>
    <mergeCell ref="U44:U45"/>
    <mergeCell ref="V44:V45"/>
    <mergeCell ref="X44:X45"/>
    <mergeCell ref="Y44:Y45"/>
    <mergeCell ref="Z44:Z45"/>
    <mergeCell ref="AA44:AA45"/>
    <mergeCell ref="AB44:AB45"/>
    <mergeCell ref="AC44:AC45"/>
    <mergeCell ref="C46:C47"/>
    <mergeCell ref="E46:E47"/>
    <mergeCell ref="F46:F47"/>
    <mergeCell ref="H46:H47"/>
    <mergeCell ref="I46:I47"/>
    <mergeCell ref="J46:J47"/>
    <mergeCell ref="K46:K47"/>
    <mergeCell ref="L46:L47"/>
    <mergeCell ref="N46:N47"/>
    <mergeCell ref="O46:O47"/>
    <mergeCell ref="Q46:Q47"/>
    <mergeCell ref="R46:R47"/>
    <mergeCell ref="S46:S47"/>
    <mergeCell ref="U46:U47"/>
    <mergeCell ref="V46:V47"/>
    <mergeCell ref="X46:X47"/>
    <mergeCell ref="Y46:Y47"/>
    <mergeCell ref="Z46:Z47"/>
    <mergeCell ref="AA46:AA47"/>
    <mergeCell ref="AB46:AB47"/>
    <mergeCell ref="AC46:AC47"/>
    <mergeCell ref="C48:C49"/>
    <mergeCell ref="E48:E49"/>
    <mergeCell ref="F48:F49"/>
    <mergeCell ref="H48:H49"/>
    <mergeCell ref="I48:I49"/>
    <mergeCell ref="J48:J49"/>
    <mergeCell ref="K48:K49"/>
    <mergeCell ref="L48:L49"/>
    <mergeCell ref="N48:N49"/>
    <mergeCell ref="O48:O49"/>
    <mergeCell ref="Q48:Q49"/>
    <mergeCell ref="R48:R49"/>
    <mergeCell ref="S48:S49"/>
    <mergeCell ref="U48:U49"/>
    <mergeCell ref="V48:V49"/>
    <mergeCell ref="X48:X49"/>
    <mergeCell ref="Y48:Y49"/>
    <mergeCell ref="Z48:Z49"/>
    <mergeCell ref="AA48:AA49"/>
    <mergeCell ref="AB48:AB49"/>
    <mergeCell ref="AC48:AC49"/>
    <mergeCell ref="C50:C51"/>
    <mergeCell ref="E50:E51"/>
    <mergeCell ref="F50:F51"/>
    <mergeCell ref="H50:H51"/>
    <mergeCell ref="I50:I51"/>
    <mergeCell ref="J50:J51"/>
    <mergeCell ref="K50:K51"/>
    <mergeCell ref="L50:L51"/>
    <mergeCell ref="N50:N51"/>
    <mergeCell ref="O50:O51"/>
    <mergeCell ref="Q50:Q51"/>
    <mergeCell ref="R50:R51"/>
    <mergeCell ref="S50:S51"/>
    <mergeCell ref="U50:U51"/>
    <mergeCell ref="V50:V51"/>
    <mergeCell ref="X50:X51"/>
    <mergeCell ref="Y50:Y51"/>
    <mergeCell ref="Z50:Z51"/>
    <mergeCell ref="AA50:AA51"/>
    <mergeCell ref="AB50:AB51"/>
    <mergeCell ref="AC50:AC51"/>
    <mergeCell ref="C52:C53"/>
    <mergeCell ref="E52:E53"/>
    <mergeCell ref="F52:F53"/>
    <mergeCell ref="H52:H53"/>
    <mergeCell ref="I52:I53"/>
    <mergeCell ref="J52:J53"/>
    <mergeCell ref="K52:K53"/>
    <mergeCell ref="L52:L53"/>
    <mergeCell ref="N52:N53"/>
    <mergeCell ref="O52:O53"/>
    <mergeCell ref="Q52:Q53"/>
    <mergeCell ref="R52:R53"/>
    <mergeCell ref="S52:S53"/>
    <mergeCell ref="U52:U53"/>
    <mergeCell ref="V52:V53"/>
    <mergeCell ref="X52:X53"/>
    <mergeCell ref="Y52:Y53"/>
    <mergeCell ref="Z52:Z53"/>
    <mergeCell ref="AA52:AA53"/>
    <mergeCell ref="AB52:AB53"/>
    <mergeCell ref="AC52:AC53"/>
    <mergeCell ref="C54:C55"/>
    <mergeCell ref="E54:E55"/>
    <mergeCell ref="F54:F55"/>
    <mergeCell ref="H54:H55"/>
    <mergeCell ref="I54:I55"/>
    <mergeCell ref="J54:J55"/>
    <mergeCell ref="K54:K55"/>
    <mergeCell ref="L54:L55"/>
    <mergeCell ref="N54:N55"/>
    <mergeCell ref="O54:O55"/>
    <mergeCell ref="Q54:Q55"/>
    <mergeCell ref="R54:R55"/>
    <mergeCell ref="S54:S55"/>
    <mergeCell ref="U54:U55"/>
    <mergeCell ref="V54:V55"/>
    <mergeCell ref="X54:X55"/>
    <mergeCell ref="Y54:Y55"/>
    <mergeCell ref="Z54:Z55"/>
    <mergeCell ref="AA54:AA55"/>
    <mergeCell ref="AB54:AB55"/>
    <mergeCell ref="AC54:AC55"/>
    <mergeCell ref="C56:C57"/>
    <mergeCell ref="E56:E57"/>
    <mergeCell ref="F56:F57"/>
    <mergeCell ref="H56:H57"/>
    <mergeCell ref="I56:I57"/>
    <mergeCell ref="J56:J57"/>
    <mergeCell ref="K56:K57"/>
    <mergeCell ref="L56:L57"/>
    <mergeCell ref="N56:N57"/>
    <mergeCell ref="O56:O57"/>
    <mergeCell ref="Q56:Q57"/>
    <mergeCell ref="R56:R57"/>
    <mergeCell ref="S56:S57"/>
    <mergeCell ref="U56:U57"/>
    <mergeCell ref="V56:V57"/>
    <mergeCell ref="X56:X57"/>
    <mergeCell ref="Y56:Y57"/>
    <mergeCell ref="Z56:Z57"/>
    <mergeCell ref="AA56:AA57"/>
    <mergeCell ref="AB56:AB57"/>
    <mergeCell ref="AC56:AC57"/>
    <mergeCell ref="C58:C59"/>
    <mergeCell ref="E58:E59"/>
    <mergeCell ref="F58:F59"/>
    <mergeCell ref="H58:H59"/>
    <mergeCell ref="I58:I59"/>
    <mergeCell ref="J58:J59"/>
    <mergeCell ref="K58:K59"/>
    <mergeCell ref="L58:L59"/>
    <mergeCell ref="N58:N59"/>
    <mergeCell ref="O58:O59"/>
    <mergeCell ref="Q58:Q59"/>
    <mergeCell ref="R58:R59"/>
    <mergeCell ref="S58:S59"/>
    <mergeCell ref="U58:U59"/>
    <mergeCell ref="V58:V59"/>
    <mergeCell ref="X58:X59"/>
    <mergeCell ref="Y58:Y59"/>
    <mergeCell ref="Z58:Z59"/>
    <mergeCell ref="AA58:AA59"/>
    <mergeCell ref="AB58:AB59"/>
    <mergeCell ref="AC58:AC59"/>
    <mergeCell ref="C60:C61"/>
    <mergeCell ref="E60:E61"/>
    <mergeCell ref="F60:F61"/>
    <mergeCell ref="H60:H61"/>
    <mergeCell ref="I60:I61"/>
    <mergeCell ref="J60:J61"/>
    <mergeCell ref="K60:K61"/>
    <mergeCell ref="L60:L61"/>
    <mergeCell ref="N60:N61"/>
    <mergeCell ref="O60:O61"/>
    <mergeCell ref="Q60:Q61"/>
    <mergeCell ref="R60:R61"/>
    <mergeCell ref="S60:S61"/>
    <mergeCell ref="U60:U61"/>
    <mergeCell ref="V60:V61"/>
    <mergeCell ref="X60:X61"/>
    <mergeCell ref="Y60:Y61"/>
    <mergeCell ref="Z60:Z61"/>
    <mergeCell ref="AA60:AA61"/>
    <mergeCell ref="AB60:AB61"/>
    <mergeCell ref="AC60:AC61"/>
    <mergeCell ref="C62:C63"/>
    <mergeCell ref="E62:E63"/>
    <mergeCell ref="F62:F63"/>
    <mergeCell ref="H62:H63"/>
    <mergeCell ref="I62:I63"/>
    <mergeCell ref="J62:J63"/>
    <mergeCell ref="K62:K63"/>
    <mergeCell ref="L62:L63"/>
    <mergeCell ref="N62:N63"/>
    <mergeCell ref="O62:O63"/>
    <mergeCell ref="Q62:Q63"/>
    <mergeCell ref="R62:R63"/>
    <mergeCell ref="S62:S63"/>
    <mergeCell ref="U62:U63"/>
    <mergeCell ref="V62:V63"/>
    <mergeCell ref="X62:X63"/>
    <mergeCell ref="Y62:Y63"/>
    <mergeCell ref="Z62:Z63"/>
    <mergeCell ref="AA62:AA63"/>
    <mergeCell ref="AB62:AB63"/>
    <mergeCell ref="AC62:AC63"/>
    <mergeCell ref="C64:C65"/>
    <mergeCell ref="E64:E65"/>
    <mergeCell ref="F64:F65"/>
    <mergeCell ref="H64:H65"/>
    <mergeCell ref="I64:I65"/>
    <mergeCell ref="J64:J65"/>
    <mergeCell ref="K64:K65"/>
    <mergeCell ref="L64:L65"/>
    <mergeCell ref="N64:N65"/>
    <mergeCell ref="O64:O65"/>
    <mergeCell ref="Q64:Q65"/>
    <mergeCell ref="R64:R65"/>
    <mergeCell ref="S64:S65"/>
    <mergeCell ref="U64:U65"/>
    <mergeCell ref="V64:V65"/>
    <mergeCell ref="X64:X65"/>
    <mergeCell ref="Y64:Y65"/>
    <mergeCell ref="Z64:Z65"/>
    <mergeCell ref="AA64:AA65"/>
    <mergeCell ref="AB64:AB65"/>
    <mergeCell ref="AC64:AC65"/>
    <mergeCell ref="C66:C67"/>
    <mergeCell ref="E66:E67"/>
    <mergeCell ref="F66:F67"/>
    <mergeCell ref="H66:H67"/>
    <mergeCell ref="I66:I67"/>
    <mergeCell ref="J66:J67"/>
    <mergeCell ref="K66:K67"/>
    <mergeCell ref="L66:L67"/>
    <mergeCell ref="N66:N67"/>
    <mergeCell ref="O66:O67"/>
    <mergeCell ref="Q66:Q67"/>
    <mergeCell ref="R66:R67"/>
    <mergeCell ref="S66:S67"/>
    <mergeCell ref="U66:U67"/>
    <mergeCell ref="V66:V67"/>
    <mergeCell ref="X66:X67"/>
    <mergeCell ref="Y66:Y67"/>
    <mergeCell ref="Z66:Z67"/>
    <mergeCell ref="AA66:AA67"/>
    <mergeCell ref="AB66:AB67"/>
    <mergeCell ref="AC66:AC67"/>
    <mergeCell ref="C68:C69"/>
    <mergeCell ref="E68:E69"/>
    <mergeCell ref="F68:F69"/>
    <mergeCell ref="H68:H69"/>
    <mergeCell ref="I68:I69"/>
    <mergeCell ref="J68:J69"/>
    <mergeCell ref="K68:K69"/>
    <mergeCell ref="L68:L69"/>
    <mergeCell ref="N68:N69"/>
    <mergeCell ref="O68:O69"/>
    <mergeCell ref="Q68:Q69"/>
    <mergeCell ref="R68:R69"/>
    <mergeCell ref="S68:S69"/>
    <mergeCell ref="U68:U69"/>
    <mergeCell ref="V68:V69"/>
    <mergeCell ref="X68:X69"/>
    <mergeCell ref="Y68:Y69"/>
    <mergeCell ref="Z68:Z69"/>
    <mergeCell ref="AA68:AA69"/>
    <mergeCell ref="AB68:AB69"/>
    <mergeCell ref="AC68:AC69"/>
    <mergeCell ref="C70:C71"/>
    <mergeCell ref="E70:E71"/>
    <mergeCell ref="F70:F71"/>
    <mergeCell ref="H70:H71"/>
    <mergeCell ref="I70:I71"/>
    <mergeCell ref="J70:J71"/>
    <mergeCell ref="K70:K71"/>
    <mergeCell ref="L70:L71"/>
    <mergeCell ref="N70:N71"/>
    <mergeCell ref="O70:O71"/>
    <mergeCell ref="Q70:Q71"/>
    <mergeCell ref="R70:R71"/>
    <mergeCell ref="S70:S71"/>
    <mergeCell ref="U70:U71"/>
    <mergeCell ref="V70:V71"/>
    <mergeCell ref="X70:X71"/>
    <mergeCell ref="Y70:Y71"/>
    <mergeCell ref="Z70:Z71"/>
    <mergeCell ref="AA70:AA71"/>
    <mergeCell ref="AB70:AB71"/>
    <mergeCell ref="AC70:AC71"/>
    <mergeCell ref="C72:C73"/>
    <mergeCell ref="E72:E73"/>
    <mergeCell ref="F72:F73"/>
    <mergeCell ref="H72:H73"/>
    <mergeCell ref="I72:I73"/>
    <mergeCell ref="J72:J73"/>
    <mergeCell ref="K72:K73"/>
    <mergeCell ref="L72:L73"/>
    <mergeCell ref="N72:N73"/>
    <mergeCell ref="O72:O73"/>
    <mergeCell ref="Q72:Q73"/>
    <mergeCell ref="R72:R73"/>
    <mergeCell ref="S72:S73"/>
    <mergeCell ref="U72:U73"/>
    <mergeCell ref="V72:V73"/>
    <mergeCell ref="X72:X73"/>
    <mergeCell ref="Y72:Y73"/>
    <mergeCell ref="Z72:Z73"/>
    <mergeCell ref="AA72:AA73"/>
    <mergeCell ref="AB72:AB73"/>
    <mergeCell ref="AC72:AC73"/>
    <mergeCell ref="C78:C79"/>
    <mergeCell ref="H78:H79"/>
    <mergeCell ref="I78:I79"/>
    <mergeCell ref="J78:J79"/>
    <mergeCell ref="K78:K79"/>
    <mergeCell ref="L78:L79"/>
    <mergeCell ref="N78:N79"/>
    <mergeCell ref="O78:O79"/>
    <mergeCell ref="Q78:Q79"/>
    <mergeCell ref="R78:R79"/>
    <mergeCell ref="S78:S79"/>
    <mergeCell ref="U78:U79"/>
    <mergeCell ref="V78:V79"/>
    <mergeCell ref="X78:X79"/>
    <mergeCell ref="Y78:Y79"/>
    <mergeCell ref="Z78:Z79"/>
    <mergeCell ref="AA78:AA79"/>
    <mergeCell ref="AB78:AB79"/>
    <mergeCell ref="AC78:AC79"/>
    <mergeCell ref="C80:C81"/>
    <mergeCell ref="E80:E81"/>
    <mergeCell ref="F80:F81"/>
    <mergeCell ref="H80:H81"/>
    <mergeCell ref="I80:I81"/>
    <mergeCell ref="J80:J81"/>
    <mergeCell ref="K80:K81"/>
    <mergeCell ref="L80:L81"/>
    <mergeCell ref="N80:N81"/>
    <mergeCell ref="O80:O81"/>
    <mergeCell ref="Q80:Q81"/>
    <mergeCell ref="R80:R81"/>
    <mergeCell ref="S80:S81"/>
    <mergeCell ref="U80:U81"/>
    <mergeCell ref="V80:V81"/>
    <mergeCell ref="X80:X81"/>
    <mergeCell ref="Y80:Y81"/>
    <mergeCell ref="Z80:Z81"/>
    <mergeCell ref="AA80:AA81"/>
    <mergeCell ref="AB80:AB81"/>
    <mergeCell ref="AC80:AC81"/>
    <mergeCell ref="C86:C87"/>
    <mergeCell ref="H86:H87"/>
    <mergeCell ref="I86:I87"/>
    <mergeCell ref="J86:J87"/>
    <mergeCell ref="K86:K87"/>
    <mergeCell ref="L86:L87"/>
    <mergeCell ref="N86:N87"/>
    <mergeCell ref="O86:O87"/>
    <mergeCell ref="Q86:Q87"/>
    <mergeCell ref="R86:R87"/>
    <mergeCell ref="S86:S87"/>
    <mergeCell ref="U86:U87"/>
    <mergeCell ref="V86:V87"/>
    <mergeCell ref="X86:X87"/>
    <mergeCell ref="Y86:Y87"/>
    <mergeCell ref="Z86:Z87"/>
    <mergeCell ref="AA86:AA87"/>
    <mergeCell ref="AB86:AB87"/>
    <mergeCell ref="AC86:AC87"/>
    <mergeCell ref="C88:C89"/>
    <mergeCell ref="E88:E89"/>
    <mergeCell ref="F88:F89"/>
    <mergeCell ref="H88:H89"/>
    <mergeCell ref="I88:I89"/>
    <mergeCell ref="J88:J89"/>
    <mergeCell ref="K88:K89"/>
    <mergeCell ref="L88:L89"/>
    <mergeCell ref="N88:N89"/>
    <mergeCell ref="O88:O89"/>
    <mergeCell ref="Q88:Q89"/>
    <mergeCell ref="R88:R89"/>
    <mergeCell ref="S88:S89"/>
    <mergeCell ref="U88:U89"/>
    <mergeCell ref="V88:V89"/>
    <mergeCell ref="X88:X89"/>
    <mergeCell ref="Y88:Y89"/>
    <mergeCell ref="Z88:Z89"/>
    <mergeCell ref="AA88:AA89"/>
    <mergeCell ref="AB88:AB89"/>
    <mergeCell ref="AC88:AC89"/>
    <mergeCell ref="C94:C95"/>
    <mergeCell ref="H94:H95"/>
    <mergeCell ref="I94:I95"/>
    <mergeCell ref="J94:J95"/>
    <mergeCell ref="K94:K95"/>
    <mergeCell ref="L94:L95"/>
    <mergeCell ref="N94:N95"/>
    <mergeCell ref="O94:O95"/>
    <mergeCell ref="Q94:Q95"/>
    <mergeCell ref="R94:R95"/>
    <mergeCell ref="S94:S95"/>
    <mergeCell ref="U94:U95"/>
    <mergeCell ref="V94:V95"/>
    <mergeCell ref="X94:X95"/>
    <mergeCell ref="Y94:Y95"/>
    <mergeCell ref="Z94:Z95"/>
    <mergeCell ref="AA94:AA95"/>
    <mergeCell ref="AB94:AB95"/>
    <mergeCell ref="AC94:AC95"/>
    <mergeCell ref="C96:C97"/>
    <mergeCell ref="E96:E97"/>
    <mergeCell ref="F96:F97"/>
    <mergeCell ref="H96:H97"/>
    <mergeCell ref="I96:I97"/>
    <mergeCell ref="J96:J97"/>
    <mergeCell ref="K96:K97"/>
    <mergeCell ref="L96:L97"/>
    <mergeCell ref="N96:N97"/>
    <mergeCell ref="O96:O97"/>
    <mergeCell ref="Q96:Q97"/>
    <mergeCell ref="R96:R97"/>
    <mergeCell ref="S96:S97"/>
    <mergeCell ref="U96:U97"/>
    <mergeCell ref="V96:V97"/>
    <mergeCell ref="X96:X97"/>
    <mergeCell ref="Y96:Y97"/>
    <mergeCell ref="Z96:Z97"/>
    <mergeCell ref="AA96:AA97"/>
    <mergeCell ref="AB96:AB97"/>
    <mergeCell ref="AC96:AC97"/>
    <mergeCell ref="C98:C99"/>
    <mergeCell ref="E98:E99"/>
    <mergeCell ref="F98:F99"/>
    <mergeCell ref="H98:H99"/>
    <mergeCell ref="I98:I99"/>
    <mergeCell ref="J98:J99"/>
    <mergeCell ref="K98:K99"/>
    <mergeCell ref="L98:L99"/>
    <mergeCell ref="N98:N99"/>
    <mergeCell ref="O98:O99"/>
    <mergeCell ref="Q98:Q99"/>
    <mergeCell ref="R98:R99"/>
    <mergeCell ref="S98:S99"/>
    <mergeCell ref="U98:U99"/>
    <mergeCell ref="V98:V99"/>
    <mergeCell ref="X98:X99"/>
    <mergeCell ref="Y98:Y99"/>
    <mergeCell ref="Z98:Z99"/>
    <mergeCell ref="AA98:AA99"/>
    <mergeCell ref="AB98:AB99"/>
    <mergeCell ref="AC98:AC99"/>
    <mergeCell ref="C100:C101"/>
    <mergeCell ref="E100:E101"/>
    <mergeCell ref="F100:F101"/>
    <mergeCell ref="H100:H101"/>
    <mergeCell ref="I100:I101"/>
    <mergeCell ref="J100:J101"/>
    <mergeCell ref="K100:K101"/>
    <mergeCell ref="L100:L101"/>
    <mergeCell ref="N100:N101"/>
    <mergeCell ref="O100:O101"/>
    <mergeCell ref="Q100:Q101"/>
    <mergeCell ref="R100:R101"/>
    <mergeCell ref="S100:S101"/>
    <mergeCell ref="U100:U101"/>
    <mergeCell ref="V100:V101"/>
    <mergeCell ref="X100:X101"/>
    <mergeCell ref="Y100:Y101"/>
    <mergeCell ref="Z100:Z101"/>
    <mergeCell ref="AA100:AA101"/>
    <mergeCell ref="AB100:AB101"/>
    <mergeCell ref="AC100:AC101"/>
    <mergeCell ref="C102:C103"/>
    <mergeCell ref="E102:E103"/>
    <mergeCell ref="F102:F103"/>
    <mergeCell ref="H102:H103"/>
    <mergeCell ref="I102:I103"/>
    <mergeCell ref="J102:J103"/>
    <mergeCell ref="K102:K103"/>
    <mergeCell ref="L102:L103"/>
    <mergeCell ref="N102:N103"/>
    <mergeCell ref="O102:O103"/>
    <mergeCell ref="Q102:Q103"/>
    <mergeCell ref="R102:R103"/>
    <mergeCell ref="S102:S103"/>
    <mergeCell ref="U102:U103"/>
    <mergeCell ref="V102:V103"/>
    <mergeCell ref="X102:X103"/>
    <mergeCell ref="Y102:Y103"/>
    <mergeCell ref="Z102:Z103"/>
    <mergeCell ref="AA102:AA103"/>
    <mergeCell ref="AB102:AB103"/>
    <mergeCell ref="AC102:AC103"/>
    <mergeCell ref="C108:C109"/>
    <mergeCell ref="H108:H109"/>
    <mergeCell ref="I108:I109"/>
    <mergeCell ref="J108:J109"/>
    <mergeCell ref="K108:K109"/>
    <mergeCell ref="L108:L109"/>
    <mergeCell ref="N108:N109"/>
    <mergeCell ref="O108:O109"/>
    <mergeCell ref="Q108:Q109"/>
    <mergeCell ref="R108:R109"/>
    <mergeCell ref="S108:S109"/>
    <mergeCell ref="U108:U109"/>
    <mergeCell ref="V108:V109"/>
    <mergeCell ref="X108:X109"/>
    <mergeCell ref="Y108:Y109"/>
    <mergeCell ref="Z108:Z109"/>
    <mergeCell ref="AA108:AA109"/>
    <mergeCell ref="AB108:AB109"/>
    <mergeCell ref="AC108:AC109"/>
    <mergeCell ref="C110:C111"/>
    <mergeCell ref="E110:E111"/>
    <mergeCell ref="F110:F111"/>
    <mergeCell ref="H110:H111"/>
    <mergeCell ref="I110:I111"/>
    <mergeCell ref="J110:J111"/>
    <mergeCell ref="K110:K111"/>
    <mergeCell ref="L110:L111"/>
    <mergeCell ref="N110:N111"/>
    <mergeCell ref="O110:O111"/>
    <mergeCell ref="Q110:Q111"/>
    <mergeCell ref="R110:R111"/>
    <mergeCell ref="S110:S111"/>
    <mergeCell ref="U110:U111"/>
    <mergeCell ref="V110:V111"/>
    <mergeCell ref="X110:X111"/>
    <mergeCell ref="Y110:Y111"/>
    <mergeCell ref="Z110:Z111"/>
    <mergeCell ref="AA110:AA111"/>
    <mergeCell ref="AB110:AB111"/>
    <mergeCell ref="AC110:AC111"/>
    <mergeCell ref="C112:C113"/>
    <mergeCell ref="E112:E113"/>
    <mergeCell ref="F112:F113"/>
    <mergeCell ref="H112:H113"/>
    <mergeCell ref="I112:I113"/>
    <mergeCell ref="J112:J113"/>
    <mergeCell ref="K112:K113"/>
    <mergeCell ref="L112:L113"/>
    <mergeCell ref="N112:N113"/>
    <mergeCell ref="O112:O113"/>
    <mergeCell ref="Q112:Q113"/>
    <mergeCell ref="R112:R113"/>
    <mergeCell ref="S112:S113"/>
    <mergeCell ref="U112:U113"/>
    <mergeCell ref="V112:V113"/>
    <mergeCell ref="X112:X113"/>
    <mergeCell ref="Y112:Y113"/>
    <mergeCell ref="Z112:Z113"/>
    <mergeCell ref="AA112:AA113"/>
    <mergeCell ref="AB112:AB113"/>
    <mergeCell ref="AC112:AC113"/>
    <mergeCell ref="C114:C115"/>
    <mergeCell ref="E114:E115"/>
    <mergeCell ref="F114:F115"/>
    <mergeCell ref="H114:H115"/>
    <mergeCell ref="I114:I115"/>
    <mergeCell ref="J114:J115"/>
    <mergeCell ref="K114:K115"/>
    <mergeCell ref="L114:L115"/>
    <mergeCell ref="N114:N115"/>
    <mergeCell ref="O114:O115"/>
    <mergeCell ref="Q114:Q115"/>
    <mergeCell ref="R114:R115"/>
    <mergeCell ref="S114:S115"/>
    <mergeCell ref="U114:U115"/>
    <mergeCell ref="V114:V115"/>
    <mergeCell ref="X114:X115"/>
    <mergeCell ref="Y114:Y115"/>
    <mergeCell ref="Z114:Z115"/>
    <mergeCell ref="AA114:AA115"/>
    <mergeCell ref="AB114:AB115"/>
    <mergeCell ref="AC114:AC115"/>
    <mergeCell ref="C116:C117"/>
    <mergeCell ref="E116:E117"/>
    <mergeCell ref="F116:F117"/>
    <mergeCell ref="H116:H117"/>
    <mergeCell ref="I116:I117"/>
    <mergeCell ref="J116:J117"/>
    <mergeCell ref="K116:K117"/>
    <mergeCell ref="L116:L117"/>
    <mergeCell ref="N116:N117"/>
    <mergeCell ref="O116:O117"/>
    <mergeCell ref="Q116:Q117"/>
    <mergeCell ref="R116:R117"/>
    <mergeCell ref="S116:S117"/>
    <mergeCell ref="U116:U117"/>
    <mergeCell ref="V116:V117"/>
    <mergeCell ref="X116:X117"/>
    <mergeCell ref="Y116:Y117"/>
    <mergeCell ref="Z116:Z117"/>
    <mergeCell ref="AA116:AA117"/>
    <mergeCell ref="AB116:AB117"/>
    <mergeCell ref="AC116:AC117"/>
    <mergeCell ref="C122:C123"/>
    <mergeCell ref="H122:H123"/>
    <mergeCell ref="I122:I123"/>
    <mergeCell ref="J122:J123"/>
    <mergeCell ref="K122:K123"/>
    <mergeCell ref="L122:L123"/>
    <mergeCell ref="N122:N123"/>
    <mergeCell ref="O122:O123"/>
    <mergeCell ref="Q122:Q123"/>
    <mergeCell ref="R122:R123"/>
    <mergeCell ref="S122:S123"/>
    <mergeCell ref="U122:U123"/>
    <mergeCell ref="V122:V123"/>
    <mergeCell ref="X122:X123"/>
    <mergeCell ref="Y122:Y123"/>
    <mergeCell ref="Z122:Z123"/>
    <mergeCell ref="AA122:AA123"/>
    <mergeCell ref="AB122:AB123"/>
    <mergeCell ref="AC122:AC123"/>
    <mergeCell ref="C124:C125"/>
    <mergeCell ref="E124:E125"/>
    <mergeCell ref="F124:F125"/>
    <mergeCell ref="H124:H125"/>
    <mergeCell ref="I124:I125"/>
    <mergeCell ref="J124:J125"/>
    <mergeCell ref="K124:K125"/>
    <mergeCell ref="L124:L125"/>
    <mergeCell ref="N124:N125"/>
    <mergeCell ref="O124:O125"/>
    <mergeCell ref="Q124:Q125"/>
    <mergeCell ref="R124:R125"/>
    <mergeCell ref="S124:S125"/>
    <mergeCell ref="U124:U125"/>
    <mergeCell ref="V124:V125"/>
    <mergeCell ref="X124:X125"/>
    <mergeCell ref="Y124:Y125"/>
    <mergeCell ref="Z124:Z125"/>
    <mergeCell ref="AA124:AA125"/>
    <mergeCell ref="AB124:AB125"/>
    <mergeCell ref="AC124:AC125"/>
  </mergeCells>
  <printOptions headings="false" gridLines="false" gridLinesSet="true" horizontalCentered="false" verticalCentered="false"/>
  <pageMargins left="0.5" right="0.5" top="0.5" bottom="0.5"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2">
              <controlPr defaultSize="0" print="false" autoFill="0" autoPict="0" macro="Report_Routines.PLReport_Button2_Click">
                <anchor moveWithCells="true" sizeWithCells="false">
                  <from>
                    <xdr:col>1</xdr:col>
                    <xdr:colOff>190800</xdr:colOff>
                    <xdr:row>1</xdr:row>
                    <xdr:rowOff>75960</xdr:rowOff>
                  </from>
                  <to>
                    <xdr:col>3</xdr:col>
                    <xdr:colOff>50400</xdr:colOff>
                    <xdr:row>4</xdr:row>
                    <xdr:rowOff>66600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29"/>
  <sheetViews>
    <sheetView showFormulas="false" showGridLines="true" showRowColHeaders="true" showZeros="true" rightToLeft="false" tabSelected="false" showOutlineSymbols="true" defaultGridColor="true" view="normal" topLeftCell="AK2" colorId="64" zoomScale="100" zoomScaleNormal="100" zoomScalePageLayoutView="100" workbookViewId="0">
      <selection pane="topLeft" activeCell="CI21" activeCellId="0" sqref="CI21:CI117"/>
    </sheetView>
  </sheetViews>
  <sheetFormatPr defaultColWidth="9.13671875" defaultRowHeight="12.75" customHeight="true" zeroHeight="false" outlineLevelRow="0" outlineLevelCol="0"/>
  <cols>
    <col collapsed="false" customWidth="true" hidden="false" outlineLevel="0" max="3" min="1" style="95" width="3.7"/>
    <col collapsed="false" customWidth="true" hidden="false" outlineLevel="0" max="4" min="4" style="361" width="15.7"/>
    <col collapsed="false" customWidth="true" hidden="false" outlineLevel="0" max="5" min="5" style="361" width="3.7"/>
    <col collapsed="false" customWidth="true" hidden="false" outlineLevel="0" max="7" min="6" style="362" width="15.7"/>
    <col collapsed="false" customWidth="true" hidden="false" outlineLevel="0" max="9" min="8" style="363" width="15.7"/>
    <col collapsed="false" customWidth="true" hidden="false" outlineLevel="0" max="10" min="10" style="95" width="3.7"/>
    <col collapsed="false" customWidth="true" hidden="false" outlineLevel="0" max="11" min="11" style="95" width="17.14"/>
    <col collapsed="false" customWidth="true" hidden="false" outlineLevel="0" max="12" min="12" style="95" width="17.85"/>
    <col collapsed="false" customWidth="true" hidden="false" outlineLevel="0" max="13" min="13" style="95" width="3.7"/>
    <col collapsed="false" customWidth="true" hidden="false" outlineLevel="0" max="15" min="14" style="95" width="15.7"/>
    <col collapsed="false" customWidth="true" hidden="false" outlineLevel="0" max="16" min="16" style="362" width="15.7"/>
    <col collapsed="false" customWidth="true" hidden="false" outlineLevel="0" max="17" min="17" style="364" width="16.42"/>
    <col collapsed="false" customWidth="true" hidden="false" outlineLevel="0" max="18" min="18" style="364" width="3.7"/>
    <col collapsed="false" customWidth="true" hidden="false" outlineLevel="0" max="19" min="19" style="365" width="19.85"/>
    <col collapsed="false" customWidth="true" hidden="false" outlineLevel="0" max="20" min="20" style="365" width="15.7"/>
    <col collapsed="false" customWidth="true" hidden="false" outlineLevel="0" max="21" min="21" style="364" width="3.7"/>
    <col collapsed="false" customWidth="true" hidden="false" outlineLevel="0" max="22" min="22" style="364" width="15.7"/>
    <col collapsed="false" customWidth="true" hidden="false" outlineLevel="0" max="23" min="23" style="364" width="3.7"/>
    <col collapsed="false" customWidth="true" hidden="false" outlineLevel="0" max="24" min="24" style="364" width="15.7"/>
    <col collapsed="false" customWidth="true" hidden="false" outlineLevel="0" max="29" min="25" style="366" width="15.7"/>
    <col collapsed="false" customWidth="true" hidden="false" outlineLevel="0" max="30" min="30" style="367" width="3.7"/>
    <col collapsed="false" customWidth="true" hidden="false" outlineLevel="0" max="31" min="31" style="368" width="3.7"/>
    <col collapsed="false" customWidth="true" hidden="false" outlineLevel="0" max="36" min="32" style="134" width="11.7"/>
    <col collapsed="false" customWidth="true" hidden="false" outlineLevel="0" max="37" min="37" style="369" width="11.7"/>
    <col collapsed="false" customWidth="true" hidden="false" outlineLevel="0" max="40" min="38" style="369" width="10.71"/>
    <col collapsed="false" customWidth="true" hidden="false" outlineLevel="0" max="41" min="41" style="370" width="10.71"/>
    <col collapsed="false" customWidth="true" hidden="false" outlineLevel="0" max="46" min="42" style="369" width="10.71"/>
    <col collapsed="false" customWidth="true" hidden="false" outlineLevel="0" max="47" min="47" style="370" width="10.71"/>
    <col collapsed="false" customWidth="true" hidden="false" outlineLevel="0" max="49" min="48" style="371" width="10.71"/>
    <col collapsed="false" customWidth="true" hidden="false" outlineLevel="0" max="51" min="50" style="371" width="10.99"/>
    <col collapsed="false" customWidth="true" hidden="false" outlineLevel="0" max="52" min="52" style="371" width="3.7"/>
    <col collapsed="false" customWidth="true" hidden="false" outlineLevel="0" max="53" min="53" style="372" width="3.7"/>
    <col collapsed="false" customWidth="true" hidden="false" outlineLevel="0" max="71" min="54" style="371" width="15.7"/>
    <col collapsed="false" customWidth="true" hidden="false" outlineLevel="0" max="72" min="72" style="95" width="3.7"/>
    <col collapsed="false" customWidth="true" hidden="false" outlineLevel="0" max="73" min="73" style="373" width="3.7"/>
    <col collapsed="false" customWidth="true" hidden="false" outlineLevel="0" max="74" min="74" style="368" width="15.7"/>
    <col collapsed="false" customWidth="true" hidden="false" outlineLevel="0" max="91" min="75" style="95" width="15.7"/>
    <col collapsed="false" customWidth="false" hidden="false" outlineLevel="0" max="257" min="92" style="95" width="9.14"/>
  </cols>
  <sheetData>
    <row r="1" customFormat="false" ht="16.5" hidden="false" customHeight="false" outlineLevel="0" collapsed="false">
      <c r="A1" s="19" t="s">
        <v>442</v>
      </c>
      <c r="D1" s="374" t="s">
        <v>443</v>
      </c>
      <c r="F1" s="375" t="e">
        <f aca="false">GetPipeName($AH$12,$AH$13)</f>
        <v>#VALUE!</v>
      </c>
      <c r="G1" s="375"/>
      <c r="L1" s="376" t="s">
        <v>444</v>
      </c>
      <c r="M1" s="376"/>
      <c r="N1" s="376"/>
      <c r="O1" s="376"/>
      <c r="P1" s="376"/>
      <c r="Q1" s="95"/>
      <c r="AE1" s="377" t="s">
        <v>445</v>
      </c>
      <c r="AF1" s="377"/>
      <c r="AG1" s="377"/>
      <c r="AH1" s="377"/>
      <c r="AI1" s="377"/>
      <c r="AJ1" s="377"/>
      <c r="AK1" s="377"/>
      <c r="AV1" s="378" t="e">
        <f aca="true">MID(CELL("filename",A1),FIND("]",CELL("filename",A1))+1,LEN(CELL("filename",A1))-FIND("]",CELL("filename",A1)))</f>
        <v>#VALUE!</v>
      </c>
      <c r="BA1" s="377" t="s">
        <v>446</v>
      </c>
      <c r="BB1" s="377"/>
      <c r="BC1" s="377"/>
      <c r="BD1" s="377"/>
      <c r="BE1" s="377"/>
      <c r="BF1" s="377"/>
      <c r="BG1" s="377"/>
      <c r="BH1" s="377"/>
      <c r="BU1" s="377" t="s">
        <v>447</v>
      </c>
      <c r="BV1" s="377"/>
      <c r="BW1" s="377"/>
      <c r="BX1" s="377"/>
      <c r="BY1" s="377"/>
      <c r="BZ1" s="377"/>
      <c r="CA1" s="377"/>
      <c r="CB1" s="377"/>
    </row>
    <row r="2" customFormat="false" ht="16.5" hidden="false" customHeight="false" outlineLevel="0" collapsed="false">
      <c r="A2" s="379" t="str">
        <f aca="false">ADDRESS(ROW($L$3),COLUMN($L$3))</f>
        <v>$L$3</v>
      </c>
      <c r="D2" s="380" t="n">
        <v>108</v>
      </c>
      <c r="F2" s="381" t="e">
        <f aca="false">GetRcptPoint($AH$12,$AH$13)</f>
        <v>#VALUE!</v>
      </c>
      <c r="G2" s="382" t="e">
        <f aca="false">GetDelPoint($AH$12,$AH$13)</f>
        <v>#VALUE!</v>
      </c>
      <c r="L2" s="363"/>
      <c r="N2" s="361" t="n">
        <f aca="false">TodayDate</f>
        <v>37242</v>
      </c>
      <c r="O2" s="361" t="n">
        <v>37239</v>
      </c>
      <c r="P2" s="95"/>
      <c r="Q2" s="95"/>
      <c r="AL2" s="378" t="n">
        <v>1</v>
      </c>
      <c r="AM2" s="378" t="n">
        <v>2</v>
      </c>
      <c r="AN2" s="378" t="n">
        <v>3</v>
      </c>
      <c r="AO2" s="378" t="n">
        <v>4</v>
      </c>
      <c r="AP2" s="378" t="n">
        <v>5</v>
      </c>
      <c r="AQ2" s="378" t="n">
        <v>6</v>
      </c>
      <c r="AR2" s="378" t="n">
        <v>7</v>
      </c>
      <c r="AS2" s="378" t="n">
        <v>8</v>
      </c>
      <c r="AT2" s="378" t="n">
        <v>9</v>
      </c>
      <c r="AV2" s="383" t="str">
        <f aca="false">ADDRESS(ROW($F$22),COLUMN($F$22))</f>
        <v>$F$22</v>
      </c>
      <c r="AW2" s="378" t="e">
        <f aca="false">GetEnd($AV$1,AV2)</f>
        <v>#VALUE!</v>
      </c>
      <c r="AX2" s="383" t="str">
        <f aca="false">ADDRESS(ROW($G$22),COLUMN($G$22))</f>
        <v>$G$22</v>
      </c>
      <c r="AY2" s="378" t="e">
        <f aca="false">GetEnd($AV$1,AX2)</f>
        <v>#VALUE!</v>
      </c>
      <c r="BV2" s="384" t="s">
        <v>448</v>
      </c>
      <c r="BW2" s="385" t="str">
        <f aca="false">ADDRESS(ROW($H$21),COLUMN($H$21))</f>
        <v>$H$21</v>
      </c>
      <c r="BX2" s="385" t="str">
        <f aca="false">ADDRESS(ROW($BV$21),COLUMN($BV$21))</f>
        <v>$BV$21</v>
      </c>
      <c r="BY2" s="385" t="str">
        <f aca="false">ADDRESS(ROW($I$21),COLUMN($I$21))</f>
        <v>$I$21</v>
      </c>
      <c r="BZ2" s="385" t="str">
        <f aca="false">ADDRESS(ROW($BW$21),COLUMN($BW$21))</f>
        <v>$BW$21</v>
      </c>
      <c r="CA2" s="385" t="str">
        <f aca="false">ADDRESS(ROW($N$21),COLUMN($N$21))</f>
        <v>$N$21</v>
      </c>
      <c r="CB2" s="385" t="str">
        <f aca="false">ADDRESS(ROW($BX$21),COLUMN($BX$21))</f>
        <v>$BX$21</v>
      </c>
      <c r="CC2" s="385" t="str">
        <f aca="false">ADDRESS(ROW($O$21),COLUMN($O$21))</f>
        <v>$O$21</v>
      </c>
      <c r="CD2" s="385" t="str">
        <f aca="false">ADDRESS(ROW($BY$21),COLUMN($BY$21))</f>
        <v>$BY$21</v>
      </c>
      <c r="CE2" s="385" t="str">
        <f aca="false">ADDRESS(ROW($P$21),COLUMN($P$21))</f>
        <v>$P$21</v>
      </c>
      <c r="CF2" s="385" t="str">
        <f aca="false">ADDRESS(ROW($BZ$21),COLUMN($BZ$21))</f>
        <v>$BZ$21</v>
      </c>
      <c r="CG2" s="385" t="str">
        <f aca="false">ADDRESS(ROW($AT$21),COLUMN($AT$21))</f>
        <v>$AT$21</v>
      </c>
      <c r="CH2" s="385" t="str">
        <f aca="false">ADDRESS(ROW($CA$21),COLUMN($CA$21))</f>
        <v>$CA$21</v>
      </c>
      <c r="CI2" s="385" t="str">
        <f aca="false">ADDRESS(ROW($AU$21),COLUMN($AU$21))</f>
        <v>$AU$21</v>
      </c>
      <c r="CJ2" s="385" t="str">
        <f aca="false">ADDRESS(ROW($CB$21),COLUMN($CB$21))</f>
        <v>$CB$21</v>
      </c>
      <c r="CK2" s="385" t="str">
        <f aca="false">ADDRESS(ROW($AM$21),COLUMN($AM$21))</f>
        <v>$AM$21</v>
      </c>
      <c r="CL2" s="385" t="str">
        <f aca="false">ADDRESS(ROW($CC$21),COLUMN($CC$21))</f>
        <v>$CC$21</v>
      </c>
      <c r="CM2" s="385" t="str">
        <f aca="false">ADDRESS(ROW($AN$21),COLUMN($AN$21))</f>
        <v>$AN$21</v>
      </c>
      <c r="CN2" s="385" t="str">
        <f aca="false">ADDRESS(ROW($CD$21),COLUMN($CD$21))</f>
        <v>$CD$21</v>
      </c>
      <c r="CO2" s="385" t="str">
        <f aca="false">ADDRESS(ROW($AO$21),COLUMN($AO$21))</f>
        <v>$AO$21</v>
      </c>
      <c r="CP2" s="385" t="str">
        <f aca="false">ADDRESS(ROW($CE$21),COLUMN($CE$21))</f>
        <v>$CE$21</v>
      </c>
      <c r="CQ2" s="385" t="str">
        <f aca="false">ADDRESS(ROW($AP$21),COLUMN($AP$21))</f>
        <v>$AP$21</v>
      </c>
      <c r="CR2" s="385" t="str">
        <f aca="false">ADDRESS(ROW($CF$21),COLUMN($CF$21))</f>
        <v>$CF$21</v>
      </c>
      <c r="CS2" s="385" t="str">
        <f aca="false">ADDRESS(ROW($AQ$21),COLUMN($AQ$21))</f>
        <v>$AQ$21</v>
      </c>
      <c r="CT2" s="385" t="str">
        <f aca="false">ADDRESS(ROW($CG$21),COLUMN($CG$21))</f>
        <v>$CG$21</v>
      </c>
      <c r="CU2" s="385" t="str">
        <f aca="false">ADDRESS(ROW($V$21),COLUMN($V$21))</f>
        <v>$V$21</v>
      </c>
      <c r="CV2" s="385" t="str">
        <f aca="false">ADDRESS(ROW($CH$21),COLUMN($CH$21))</f>
        <v>$CH$21</v>
      </c>
      <c r="CW2" s="385" t="str">
        <f aca="false">ADDRESS(ROW($AL$21),COLUMN($AL$21))</f>
        <v>$AL$21</v>
      </c>
      <c r="CX2" s="385" t="str">
        <f aca="false">ADDRESS(ROW($CI$21),COLUMN($CI$21))</f>
        <v>$CI$21</v>
      </c>
    </row>
    <row r="3" customFormat="false" ht="12.75" hidden="false" customHeight="false" outlineLevel="0" collapsed="false">
      <c r="A3" s="379" t="str">
        <f aca="false">ADDRESS(ROW($D$22),COLUMN($D$22))</f>
        <v>$D$22</v>
      </c>
      <c r="L3" s="386"/>
      <c r="M3" s="386"/>
      <c r="N3" s="387" t="s">
        <v>2</v>
      </c>
      <c r="O3" s="388" t="s">
        <v>449</v>
      </c>
      <c r="P3" s="389" t="s">
        <v>450</v>
      </c>
      <c r="AF3" s="362"/>
      <c r="AG3" s="390" t="s">
        <v>451</v>
      </c>
      <c r="AH3" s="391" t="e">
        <f aca="false">GetRcptBasisCol($AH$12,$AH$13)</f>
        <v>#VALUE!</v>
      </c>
      <c r="AI3" s="95"/>
      <c r="AJ3" s="390" t="s">
        <v>452</v>
      </c>
      <c r="AK3" s="391" t="str">
        <f aca="false">NymexCurve</f>
        <v>Nymex Mid</v>
      </c>
      <c r="AL3" s="392" t="s">
        <v>453</v>
      </c>
      <c r="AM3" s="393" t="s">
        <v>29</v>
      </c>
      <c r="AN3" s="394" t="s">
        <v>30</v>
      </c>
      <c r="AO3" s="395" t="s">
        <v>31</v>
      </c>
      <c r="AP3" s="394" t="s">
        <v>33</v>
      </c>
      <c r="AQ3" s="394" t="s">
        <v>34</v>
      </c>
      <c r="AR3" s="396" t="s">
        <v>35</v>
      </c>
      <c r="AS3" s="397" t="s">
        <v>32</v>
      </c>
      <c r="AT3" s="398" t="s">
        <v>454</v>
      </c>
      <c r="AV3" s="383" t="str">
        <f aca="false">ADDRESS(ROW($AF$22),COLUMN($AF$22))</f>
        <v>$AF$22</v>
      </c>
      <c r="AW3" s="378" t="e">
        <f aca="false">GetEnd($AV$1,AV3)</f>
        <v>#VALUE!</v>
      </c>
      <c r="AX3" s="383" t="str">
        <f aca="false">ADDRESS(ROW($AH$22),COLUMN($AH$22))</f>
        <v>$AH$22</v>
      </c>
      <c r="AY3" s="378" t="e">
        <f aca="false">GetEnd($AV$1,AX3)</f>
        <v>#VALUE!</v>
      </c>
    </row>
    <row r="4" customFormat="false" ht="12.75" hidden="false" customHeight="false" outlineLevel="0" collapsed="false">
      <c r="A4" s="379" t="str">
        <f aca="false">ADDRESS(ROW($S$22),COLUMN($S$22))</f>
        <v>$S$22</v>
      </c>
      <c r="L4" s="399" t="s">
        <v>215</v>
      </c>
      <c r="M4" s="399"/>
      <c r="N4" s="400" t="e">
        <f aca="true">SUMPRODUCT(INDIRECT(CONCATENATE(AV4,":",AW4)),INDIRECT(CONCATENATE($AV$2,":",$AW$2)),INDIRECT(CONCATENATE($AV$3,":",$AW$3)))</f>
        <v>#VALUE!</v>
      </c>
      <c r="O4" s="400" t="n">
        <v>612947.31</v>
      </c>
      <c r="P4" s="401" t="e">
        <f aca="false">N4-O4</f>
        <v>#VALUE!</v>
      </c>
      <c r="S4" s="402" t="s">
        <v>455</v>
      </c>
      <c r="T4" s="403" t="e">
        <f aca="true">SUMPRODUCT(INDIRECT(CONCATENATE(V4,":",W4)),INDIRECT(CONCATENATE(AV2,":",AW2)),INDIRECT(CONCATENATE(AV3,":",AW3)))</f>
        <v>#VALUE!</v>
      </c>
      <c r="V4" s="364" t="str">
        <f aca="false">ADDRESS(ROW(K22),COLUMN(K22))</f>
        <v>$K$22</v>
      </c>
      <c r="W4" s="364" t="e">
        <f aca="false">GetEnd($AV$1,V4)</f>
        <v>#VALUE!</v>
      </c>
      <c r="AF4" s="362"/>
      <c r="AG4" s="390" t="s">
        <v>456</v>
      </c>
      <c r="AH4" s="404" t="e">
        <f aca="false">GetRcptIndexCol($AH$12,$AH$13)</f>
        <v>#VALUE!</v>
      </c>
      <c r="AI4" s="95"/>
      <c r="AJ4" s="390" t="s">
        <v>457</v>
      </c>
      <c r="AK4" s="404" t="e">
        <f aca="false">GetNymexCol(AK3)</f>
        <v>#VALUE!</v>
      </c>
      <c r="AL4" s="134" t="n">
        <v>1</v>
      </c>
      <c r="AM4" s="405" t="e">
        <f aca="false">GetVolume($AH$12,$AH$13,AT4)</f>
        <v>#VALUE!</v>
      </c>
      <c r="AN4" s="406" t="e">
        <f aca="false">GetCommodity($AH$12,$AH$13,AT4)</f>
        <v>#VALUE!</v>
      </c>
      <c r="AO4" s="407" t="e">
        <f aca="false">GetFuelRate($AH$12,$AH$13,AT4)</f>
        <v>#VALUE!</v>
      </c>
      <c r="AP4" s="406" t="e">
        <f aca="false">GetSurcharge($AH$12,$AH$13,$AT4)</f>
        <v>#VALUE!</v>
      </c>
      <c r="AQ4" s="406" t="e">
        <f aca="false">GetRcptIndexAdj($AH$12,$AH$13,$AT4)</f>
        <v>#VALUE!</v>
      </c>
      <c r="AR4" s="408" t="e">
        <f aca="false">GetDelIndexAdj($AH$12,$AH$13,$AT4)</f>
        <v>#VALUE!</v>
      </c>
      <c r="AS4" s="409" t="e">
        <f aca="false">GetDemandRate($AH$12,$AH$13,$AT4)</f>
        <v>#VALUE!</v>
      </c>
      <c r="AT4" s="410" t="e">
        <f aca="false">gettier($AH$12,$AH$13,AL4)</f>
        <v>#VALUE!</v>
      </c>
      <c r="AV4" s="383" t="str">
        <f aca="false">ADDRESS(ROW($Q$22),COLUMN($Q$22))</f>
        <v>$Q$22</v>
      </c>
      <c r="AW4" s="378" t="e">
        <f aca="false">GetEnd($AV$1,AV4)</f>
        <v>#VALUE!</v>
      </c>
      <c r="AX4" s="383" t="str">
        <f aca="false">ADDRESS(ROW($K$22),COLUMN($K$22))</f>
        <v>$K$22</v>
      </c>
      <c r="AY4" s="378" t="e">
        <f aca="false">GetEnd($AV$1,AX4)</f>
        <v>#VALUE!</v>
      </c>
      <c r="BV4" s="411" t="s">
        <v>449</v>
      </c>
    </row>
    <row r="5" customFormat="false" ht="12.75" hidden="false" customHeight="false" outlineLevel="0" collapsed="false">
      <c r="A5" s="379" t="str">
        <f aca="false">ADDRESS(ROW($S$20),COLUMN($S$20))</f>
        <v>$S$20</v>
      </c>
      <c r="F5" s="412" t="s">
        <v>458</v>
      </c>
      <c r="G5" s="413" t="n">
        <f aca="false">TodayDate</f>
        <v>37242</v>
      </c>
      <c r="L5" s="414" t="s">
        <v>32</v>
      </c>
      <c r="M5" s="414"/>
      <c r="N5" s="400" t="e">
        <f aca="true">SUMPRODUCT(INDIRECT(CONCATENATE(AV5,":",AW5)),INDIRECT(CONCATENATE($AV$2,":",$AW$2)),INDIRECT(CONCATENATE($AV$3,":",$AW$3)))</f>
        <v>#VALUE!</v>
      </c>
      <c r="O5" s="400" t="n">
        <v>483993.17</v>
      </c>
      <c r="P5" s="415" t="e">
        <f aca="false">N5-O5</f>
        <v>#VALUE!</v>
      </c>
      <c r="S5" s="416" t="s">
        <v>459</v>
      </c>
      <c r="T5" s="417" t="e">
        <f aca="true">SUMPRODUCT(INDIRECT(CONCATENATE(V5,":",W5)),INDIRECT(CONCATENATE(AV2,":",AW2)),INDIRECT(CONCATENATE(AV3,":",AW3)))</f>
        <v>#VALUE!</v>
      </c>
      <c r="V5" s="364" t="str">
        <f aca="false">ADDRESS(ROW(L22),COLUMN(L22))</f>
        <v>$L$22</v>
      </c>
      <c r="W5" s="364" t="e">
        <f aca="false">GetEnd($AV$1,V5)</f>
        <v>#VALUE!</v>
      </c>
      <c r="AF5" s="362"/>
      <c r="AG5" s="390" t="s">
        <v>460</v>
      </c>
      <c r="AH5" s="404" t="e">
        <f aca="false">GetDelBasisCol($AH$12,$AH$13)</f>
        <v>#VALUE!</v>
      </c>
      <c r="AI5" s="95"/>
      <c r="AJ5" s="390" t="s">
        <v>461</v>
      </c>
      <c r="AK5" s="404" t="str">
        <f aca="false">LiborCurve</f>
        <v>Libor AA</v>
      </c>
      <c r="AL5" s="134" t="n">
        <v>2</v>
      </c>
      <c r="AM5" s="418" t="e">
        <f aca="false">GetVolume($AH$12,$AH$13,AT5)</f>
        <v>#VALUE!</v>
      </c>
      <c r="AN5" s="419" t="e">
        <f aca="false">GetCommodity($AH$12,$AH$13,AT5)</f>
        <v>#VALUE!</v>
      </c>
      <c r="AO5" s="420" t="e">
        <f aca="false">GetFuelRate($AH$12,$AH$13,AT5)</f>
        <v>#VALUE!</v>
      </c>
      <c r="AP5" s="419" t="e">
        <f aca="false">GetSurcharge($AH$12,$AH$13,$AT5)</f>
        <v>#VALUE!</v>
      </c>
      <c r="AQ5" s="419" t="e">
        <f aca="false">GetRcptIndexAdj($AH$12,$AH$13,$AT5)</f>
        <v>#VALUE!</v>
      </c>
      <c r="AR5" s="421" t="e">
        <f aca="false">GetDelIndexAdj($AH$12,$AH$13,$AT5)</f>
        <v>#VALUE!</v>
      </c>
      <c r="AS5" s="422" t="e">
        <f aca="false">GetDemandRate($AH$12,$AH$13,$AT5)</f>
        <v>#VALUE!</v>
      </c>
      <c r="AT5" s="410" t="e">
        <f aca="false">gettier($AH$12,$AH$13,AL5)</f>
        <v>#VALUE!</v>
      </c>
      <c r="AV5" s="383" t="str">
        <f aca="false">ADDRESS(ROW($V$22),COLUMN($V$22))</f>
        <v>$V$22</v>
      </c>
      <c r="AW5" s="378" t="e">
        <f aca="false">GetEnd($AV$1,AV5)</f>
        <v>#VALUE!</v>
      </c>
      <c r="AX5" s="383" t="str">
        <f aca="false">ADDRESS(ROW($L$22),COLUMN($L$22))</f>
        <v>$L$22</v>
      </c>
      <c r="AY5" s="378" t="e">
        <f aca="false">GetEnd($AV$1,AX5)</f>
        <v>#VALUE!</v>
      </c>
      <c r="BV5" s="423" t="n">
        <f aca="false">O2</f>
        <v>37239</v>
      </c>
    </row>
    <row r="6" customFormat="false" ht="12.75" hidden="false" customHeight="false" outlineLevel="0" collapsed="false">
      <c r="A6" s="379" t="str">
        <f aca="false">ADDRESS(ROW($BW$2),COLUMN($BW$2))</f>
        <v>$BW$2</v>
      </c>
      <c r="F6" s="424"/>
      <c r="G6" s="424"/>
      <c r="L6" s="425" t="s">
        <v>462</v>
      </c>
      <c r="M6" s="425"/>
      <c r="N6" s="426" t="e">
        <f aca="false">N4-N5</f>
        <v>#VALUE!</v>
      </c>
      <c r="O6" s="427" t="n">
        <v>128954.14</v>
      </c>
      <c r="P6" s="428" t="e">
        <f aca="false">N6-O6</f>
        <v>#VALUE!</v>
      </c>
      <c r="S6" s="416" t="s">
        <v>463</v>
      </c>
      <c r="T6" s="429" t="e">
        <f aca="true">SUMPRODUCT(INDIRECT(CONCATENATE(V6,":",W6)),INDIRECT(CONCATENATE(AV3,":",AW3)),INDIRECT(CONCATENATE(AX3,":",AY3)))</f>
        <v>#VALUE!</v>
      </c>
      <c r="V6" s="364" t="str">
        <f aca="false">ADDRESS(ROW(G22),COLUMN(G22))</f>
        <v>$G$22</v>
      </c>
      <c r="W6" s="364" t="e">
        <f aca="false">GetEnd($AV$1,V6)</f>
        <v>#VALUE!</v>
      </c>
      <c r="AF6" s="362"/>
      <c r="AG6" s="390" t="s">
        <v>464</v>
      </c>
      <c r="AH6" s="404" t="e">
        <f aca="false">GetDelIndexCol($AH$12,$AH$13)</f>
        <v>#VALUE!</v>
      </c>
      <c r="AI6" s="95"/>
      <c r="AJ6" s="390" t="s">
        <v>465</v>
      </c>
      <c r="AK6" s="404" t="e">
        <f aca="false">GetLiborCol(AK5)</f>
        <v>#VALUE!</v>
      </c>
      <c r="AL6" s="134" t="n">
        <v>3</v>
      </c>
      <c r="AM6" s="418" t="e">
        <f aca="false">GetVolume($AH$12,$AH$13,AT6)</f>
        <v>#VALUE!</v>
      </c>
      <c r="AN6" s="419" t="e">
        <f aca="false">GetCommodity($AH$12,$AH$13,AT6)</f>
        <v>#VALUE!</v>
      </c>
      <c r="AO6" s="420" t="e">
        <f aca="false">GetFuelRate($AH$12,$AH$13,AT6)</f>
        <v>#VALUE!</v>
      </c>
      <c r="AP6" s="419" t="e">
        <f aca="false">GetSurcharge($AH$12,$AH$13,$AT6)</f>
        <v>#VALUE!</v>
      </c>
      <c r="AQ6" s="419" t="e">
        <f aca="false">GetRcptIndexAdj($AH$12,$AH$13,$AT6)</f>
        <v>#VALUE!</v>
      </c>
      <c r="AR6" s="421" t="e">
        <f aca="false">GetDelIndexAdj($AH$12,$AH$13,$AT6)</f>
        <v>#VALUE!</v>
      </c>
      <c r="AS6" s="422" t="e">
        <f aca="false">GetDemandRate($AH$12,$AH$13,$AT6)</f>
        <v>#VALUE!</v>
      </c>
      <c r="AT6" s="410" t="e">
        <f aca="false">gettier($AH$12,$AH$13,AL6)</f>
        <v>#VALUE!</v>
      </c>
      <c r="AX6" s="383"/>
      <c r="AY6" s="378"/>
    </row>
    <row r="7" customFormat="false" ht="12.75" hidden="false" customHeight="false" outlineLevel="0" collapsed="false">
      <c r="A7" s="379" t="str">
        <f aca="false">ADDRESS(ROW($AH$12),COLUMN($AH$12))</f>
        <v>$AH$12</v>
      </c>
      <c r="F7" s="412" t="s">
        <v>249</v>
      </c>
      <c r="G7" s="430" t="e">
        <f aca="false">GetMonthStart($AH$12,$AH$13,G5)</f>
        <v>#VALUE!</v>
      </c>
      <c r="L7" s="414" t="s">
        <v>466</v>
      </c>
      <c r="M7" s="414"/>
      <c r="N7" s="400" t="e">
        <f aca="true" t="array" ref="N7:N7">SUM((INDIRECT(CONCATENATE(AV7,":",AW7))-INDIRECT(CONCATENATE(AX18,":",AY18)))*INDIRECT(CONCATENATE(AX7,":",AY7))*INDIRECT(CONCATENATE(AV3,":",AW3)))</f>
        <v>#VALUE!</v>
      </c>
      <c r="O7" s="431" t="n">
        <v>1315.45</v>
      </c>
      <c r="P7" s="415" t="e">
        <f aca="false">N7</f>
        <v>#VALUE!</v>
      </c>
      <c r="S7" s="416" t="s">
        <v>467</v>
      </c>
      <c r="T7" s="432" t="e">
        <f aca="false">T5/T6</f>
        <v>#VALUE!</v>
      </c>
      <c r="AF7" s="362"/>
      <c r="AG7" s="390" t="s">
        <v>468</v>
      </c>
      <c r="AH7" s="404" t="e">
        <f aca="false">GetRcptOmicronCol($AH$12,$AH$13)</f>
        <v>#VALUE!</v>
      </c>
      <c r="AI7" s="95"/>
      <c r="AJ7" s="390" t="s">
        <v>469</v>
      </c>
      <c r="AK7" s="404" t="str">
        <f aca="false">Configuration!$D$8</f>
        <v>Nymex Vol</v>
      </c>
      <c r="AL7" s="134" t="n">
        <v>4</v>
      </c>
      <c r="AM7" s="418" t="e">
        <f aca="false">GetVolume($AH$12,$AH$13,AT7)</f>
        <v>#VALUE!</v>
      </c>
      <c r="AN7" s="419" t="e">
        <f aca="false">GetCommodity($AH$12,$AH$13,AT7)</f>
        <v>#VALUE!</v>
      </c>
      <c r="AO7" s="420" t="e">
        <f aca="false">GetFuelRate($AH$12,$AH$13,AT7)</f>
        <v>#VALUE!</v>
      </c>
      <c r="AP7" s="419" t="e">
        <f aca="false">GetSurcharge($AH$12,$AH$13,$AT7)</f>
        <v>#VALUE!</v>
      </c>
      <c r="AQ7" s="419" t="e">
        <f aca="false">GetRcptIndexAdj($AH$12,$AH$13,$AT7)</f>
        <v>#VALUE!</v>
      </c>
      <c r="AR7" s="421" t="e">
        <f aca="false">GetDelIndexAdj($AH$12,$AH$13,$AT7)</f>
        <v>#VALUE!</v>
      </c>
      <c r="AS7" s="422" t="e">
        <f aca="false">GetDemandRate($AH$12,$AH$13,$AT7)</f>
        <v>#VALUE!</v>
      </c>
      <c r="AT7" s="410" t="e">
        <f aca="false">gettier($AH$12,$AH$13,AL7)</f>
        <v>#VALUE!</v>
      </c>
      <c r="AU7" s="433" t="s">
        <v>410</v>
      </c>
      <c r="AV7" s="383" t="str">
        <f aca="false">ADDRESS(ROW($AL$22),COLUMN($AL$22))</f>
        <v>$AL$22</v>
      </c>
      <c r="AW7" s="378" t="e">
        <f aca="false">GetEnd($AV$1,AV7)</f>
        <v>#VALUE!</v>
      </c>
      <c r="AX7" s="383" t="str">
        <f aca="false">ADDRESS(ROW($AV$22),COLUMN($AV$22))</f>
        <v>$AV$22</v>
      </c>
      <c r="AY7" s="378" t="e">
        <f aca="false">GetEnd($AV$1,AX7)</f>
        <v>#VALUE!</v>
      </c>
    </row>
    <row r="8" customFormat="false" ht="12.75" hidden="false" customHeight="false" outlineLevel="0" collapsed="false">
      <c r="A8" s="434" t="s">
        <v>3</v>
      </c>
      <c r="F8" s="412" t="s">
        <v>251</v>
      </c>
      <c r="G8" s="435" t="e">
        <f aca="false">GetMonthEnd($AH$12,$AH$13)</f>
        <v>#VALUE!</v>
      </c>
      <c r="L8" s="414" t="s">
        <v>470</v>
      </c>
      <c r="M8" s="414"/>
      <c r="N8" s="400" t="e">
        <f aca="true" t="array" ref="N8:N8">SUM(((INDIRECT(AX14)-INDIRECT(AY16))-(INDIRECT(AX15)-INDIRECT(AY14)))*INDIRECT(CONCATENATE(AX2,":",AY2))*INDIRECT(CONCATENATE(AV3,":",AW3))*INDIRECT(CONCATENATE(AX3,":",AY3)))</f>
        <v>#VALUE!</v>
      </c>
      <c r="O8" s="431" t="n">
        <v>0</v>
      </c>
      <c r="P8" s="415" t="e">
        <f aca="false">N8</f>
        <v>#VALUE!</v>
      </c>
      <c r="S8" s="436" t="s">
        <v>471</v>
      </c>
      <c r="T8" s="437" t="e">
        <f aca="false">Y8/Z8</f>
        <v>#VALUE!</v>
      </c>
      <c r="V8" s="364" t="str">
        <f aca="false">ADDRESS(ROW(P22),COLUMN(P22))</f>
        <v>$P$22</v>
      </c>
      <c r="W8" s="364" t="e">
        <f aca="false">GetEnd($AV$1,V8)</f>
        <v>#VALUE!</v>
      </c>
      <c r="Y8" s="366" t="e">
        <f aca="true">SUMIF(INDIRECT(CONCATENATE(V8,":",W8)),"&gt;0",INDIRECT(CONCATENATE(V8,":",W8)))</f>
        <v>#VALUE!</v>
      </c>
      <c r="Z8" s="366" t="e">
        <f aca="true">COUNTIF(INDIRECT(CONCATENATE(V8,":",W8)),"&gt;0")</f>
        <v>#VALUE!</v>
      </c>
      <c r="AF8" s="362"/>
      <c r="AG8" s="390" t="s">
        <v>472</v>
      </c>
      <c r="AH8" s="438" t="e">
        <f aca="false">GetDelOmicronCol($AH$12,$AH$13)</f>
        <v>#VALUE!</v>
      </c>
      <c r="AI8" s="95"/>
      <c r="AJ8" s="390" t="s">
        <v>473</v>
      </c>
      <c r="AK8" s="404" t="e">
        <f aca="false">GetNGOmicronCol(AK7)</f>
        <v>#VALUE!</v>
      </c>
      <c r="AL8" s="134" t="n">
        <v>5</v>
      </c>
      <c r="AM8" s="418" t="e">
        <f aca="false">GetVolume($AH$12,$AH$13,AT8)</f>
        <v>#VALUE!</v>
      </c>
      <c r="AN8" s="419" t="e">
        <f aca="false">GetCommodity($AH$12,$AH$13,AT8)</f>
        <v>#VALUE!</v>
      </c>
      <c r="AO8" s="420" t="e">
        <f aca="false">GetFuelRate($AH$12,$AH$13,AT8)</f>
        <v>#VALUE!</v>
      </c>
      <c r="AP8" s="419" t="e">
        <f aca="false">GetSurcharge($AH$12,$AH$13,$AT8)</f>
        <v>#VALUE!</v>
      </c>
      <c r="AQ8" s="419" t="e">
        <f aca="false">GetRcptIndexAdj($AH$12,$AH$13,$AT8)</f>
        <v>#VALUE!</v>
      </c>
      <c r="AR8" s="421" t="e">
        <f aca="false">GetDelIndexAdj($AH$12,$AH$13,$AT8)</f>
        <v>#VALUE!</v>
      </c>
      <c r="AS8" s="422" t="e">
        <f aca="false">GetDemandRate($AH$12,$AH$13,$AT8)</f>
        <v>#VALUE!</v>
      </c>
      <c r="AT8" s="410" t="e">
        <f aca="false">gettier($AH$12,$AH$13,AL8)</f>
        <v>#VALUE!</v>
      </c>
      <c r="AU8" s="439" t="s">
        <v>474</v>
      </c>
      <c r="AV8" s="383" t="str">
        <f aca="false">ADDRESS(ROW($AM$22),COLUMN($AM$22))</f>
        <v>$AM$22</v>
      </c>
      <c r="AW8" s="378" t="e">
        <f aca="false">GetEnd($AV$1,AV8)</f>
        <v>#VALUE!</v>
      </c>
      <c r="AX8" s="383" t="str">
        <f aca="false">ADDRESS(ROW($AO$22),COLUMN($AO$22))</f>
        <v>$AO$22</v>
      </c>
      <c r="AY8" s="378" t="e">
        <f aca="false">GetEnd($AV$1,AX8)</f>
        <v>#VALUE!</v>
      </c>
    </row>
    <row r="9" customFormat="false" ht="12.75" hidden="false" customHeight="false" outlineLevel="0" collapsed="false">
      <c r="A9" s="434" t="s">
        <v>3</v>
      </c>
      <c r="L9" s="414" t="s">
        <v>475</v>
      </c>
      <c r="M9" s="414"/>
      <c r="N9" s="400" t="e">
        <f aca="true" t="array" ref="N9:N9">SUM(((INDIRECT(AX16)-INDIRECT(AY17))-(INDIRECT(AX17)-INDIRECT(AY15)))*INDIRECT(CONCATENATE(AX2,":",AY2))*INDIRECT(CONCATENATE(AV3,":",AW3))*INDIRECT(CONCATENATE(AX3,":",AY3)))</f>
        <v>#VALUE!</v>
      </c>
      <c r="O9" s="431" t="n">
        <v>0</v>
      </c>
      <c r="P9" s="415" t="e">
        <f aca="false">N9</f>
        <v>#VALUE!</v>
      </c>
      <c r="AF9" s="362"/>
      <c r="AG9" s="363"/>
      <c r="AH9" s="363"/>
      <c r="AI9" s="95"/>
      <c r="AJ9" s="390" t="s">
        <v>51</v>
      </c>
      <c r="AK9" s="438" t="e">
        <f aca="false">GetCorrelCol($AH$12,$AH$13)</f>
        <v>#VALUE!</v>
      </c>
      <c r="AL9" s="134" t="n">
        <v>6</v>
      </c>
      <c r="AM9" s="418" t="e">
        <f aca="false">GetVolume($AH$12,$AH$13,AT9)</f>
        <v>#VALUE!</v>
      </c>
      <c r="AN9" s="419" t="e">
        <f aca="false">GetCommodity($AH$12,$AH$13,AT9)</f>
        <v>#VALUE!</v>
      </c>
      <c r="AO9" s="420" t="e">
        <f aca="false">GetFuelRate($AH$12,$AH$13,AT9)</f>
        <v>#VALUE!</v>
      </c>
      <c r="AP9" s="419" t="e">
        <f aca="false">GetSurcharge($AH$12,$AH$13,$AT9)</f>
        <v>#VALUE!</v>
      </c>
      <c r="AQ9" s="419" t="e">
        <f aca="false">GetRcptIndexAdj($AH$12,$AH$13,$AT9)</f>
        <v>#VALUE!</v>
      </c>
      <c r="AR9" s="421" t="e">
        <f aca="false">GetDelIndexAdj($AH$12,$AH$13,$AT9)</f>
        <v>#VALUE!</v>
      </c>
      <c r="AS9" s="422" t="e">
        <f aca="false">GetDemandRate($AH$12,$AH$13,$AT9)</f>
        <v>#VALUE!</v>
      </c>
      <c r="AT9" s="410" t="e">
        <f aca="false">gettier($AH$12,$AH$13,AL9)</f>
        <v>#VALUE!</v>
      </c>
      <c r="AU9" s="433" t="s">
        <v>476</v>
      </c>
      <c r="AV9" s="383" t="str">
        <f aca="false">ADDRESS(ROW($AN$22),COLUMN($AN$22))</f>
        <v>$AN$22</v>
      </c>
      <c r="AW9" s="378" t="e">
        <f aca="false">GetEnd($AV$1,AV9)</f>
        <v>#VALUE!</v>
      </c>
      <c r="AX9" s="383" t="str">
        <f aca="false">ADDRESS(ROW($AP$22),COLUMN($AP$22))</f>
        <v>$AP$22</v>
      </c>
      <c r="AY9" s="378" t="e">
        <f aca="false">GetEnd($AV$1,AX9)</f>
        <v>#VALUE!</v>
      </c>
    </row>
    <row r="10" customFormat="false" ht="12.75" hidden="false" customHeight="false" outlineLevel="0" collapsed="false">
      <c r="A10" s="434" t="s">
        <v>3</v>
      </c>
      <c r="D10" s="440" t="s">
        <v>477</v>
      </c>
      <c r="E10" s="440"/>
      <c r="F10" s="440"/>
      <c r="G10" s="440"/>
      <c r="H10" s="440"/>
      <c r="L10" s="414" t="s">
        <v>478</v>
      </c>
      <c r="M10" s="414"/>
      <c r="N10" s="400" t="e">
        <f aca="true">-SUMPRODUCT(INDIRECT(CONCATENATE(AV10,":",AW10)),INDIRECT(CONCATENATE($AX$7,":",$AY$7)),INDIRECT(CONCATENATE($AV$3,":",$AW$3)))</f>
        <v>#VALUE!</v>
      </c>
      <c r="O10" s="400" t="n">
        <v>-125318.79</v>
      </c>
      <c r="P10" s="415" t="e">
        <f aca="false">N10-O10</f>
        <v>#VALUE!</v>
      </c>
      <c r="AF10" s="362"/>
      <c r="AG10" s="390" t="s">
        <v>479</v>
      </c>
      <c r="AH10" s="441" t="e">
        <f aca="false">GetGRIFactor($AH$12,$AH$13)</f>
        <v>#VALUE!</v>
      </c>
      <c r="AI10" s="95"/>
      <c r="AJ10" s="95"/>
      <c r="AK10" s="95"/>
      <c r="AL10" s="134" t="n">
        <v>7</v>
      </c>
      <c r="AM10" s="418" t="e">
        <f aca="false">GetVolume($AH$12,$AH$13,AT10)</f>
        <v>#VALUE!</v>
      </c>
      <c r="AN10" s="419" t="e">
        <f aca="false">GetCommodity($AH$12,$AH$13,AT10)</f>
        <v>#VALUE!</v>
      </c>
      <c r="AO10" s="420" t="e">
        <f aca="false">GetFuelRate($AH$12,$AH$13,AT10)</f>
        <v>#VALUE!</v>
      </c>
      <c r="AP10" s="419" t="e">
        <f aca="false">GetSurcharge($AH$12,$AH$13,$AT10)</f>
        <v>#VALUE!</v>
      </c>
      <c r="AQ10" s="419" t="e">
        <f aca="false">GetRcptIndexAdj($AH$12,$AH$13,$AT10)</f>
        <v>#VALUE!</v>
      </c>
      <c r="AR10" s="421" t="e">
        <f aca="false">GetDelIndexAdj($AH$12,$AH$13,$AT10)</f>
        <v>#VALUE!</v>
      </c>
      <c r="AS10" s="422" t="e">
        <f aca="false">GetDemandRate($AH$12,$AH$13,$AT10)</f>
        <v>#VALUE!</v>
      </c>
      <c r="AT10" s="410" t="e">
        <f aca="false">gettier($AH$12,$AH$13,AL10)</f>
        <v>#VALUE!</v>
      </c>
      <c r="AU10" s="433" t="s">
        <v>480</v>
      </c>
      <c r="AV10" s="383" t="str">
        <f aca="false">ADDRESS(ROW($AS$22),COLUMN($AS$22))</f>
        <v>$AS$22</v>
      </c>
      <c r="AW10" s="378" t="e">
        <f aca="false">GetEnd($AV$1,AV10)</f>
        <v>#VALUE!</v>
      </c>
      <c r="AX10" s="383" t="str">
        <f aca="false">ADDRESS(ROW($CC$22),COLUMN($CC$22))</f>
        <v>$CC$22</v>
      </c>
      <c r="AY10" s="378" t="e">
        <f aca="false">GetEnd($AV$1,AX10)</f>
        <v>#VALUE!</v>
      </c>
    </row>
    <row r="11" customFormat="false" ht="12.75" hidden="false" customHeight="false" outlineLevel="0" collapsed="false">
      <c r="A11" s="434" t="s">
        <v>3</v>
      </c>
      <c r="D11" s="442" t="str">
        <f aca="false">IF(ISERROR($AH$13),"Check Contract Index to make sure it is valid","")</f>
        <v>Check Contract Index to make sure it is valid</v>
      </c>
      <c r="E11" s="443"/>
      <c r="F11" s="444"/>
      <c r="G11" s="444"/>
      <c r="H11" s="445"/>
      <c r="L11" s="425" t="s">
        <v>481</v>
      </c>
      <c r="M11" s="425"/>
      <c r="N11" s="426" t="e">
        <f aca="true">-SUMPRODUCT(INDIRECT(CONCATENATE(AV11,":",AW11)),INDIRECT(CONCATENATE($AV$2,":",$AW$2)),INDIRECT(CONCATENATE($AV$3,":",$AW$3)),INDIRECT(CONCATENATE(AX3,":",AY3)))</f>
        <v>#VALUE!</v>
      </c>
      <c r="O11" s="427" t="n">
        <v>-6044.4</v>
      </c>
      <c r="P11" s="428" t="e">
        <f aca="false">N11-O11</f>
        <v>#VALUE!</v>
      </c>
      <c r="AL11" s="134" t="n">
        <v>8</v>
      </c>
      <c r="AM11" s="418" t="e">
        <f aca="false">GetVolume($AH$12,$AH$13,AT11)</f>
        <v>#VALUE!</v>
      </c>
      <c r="AN11" s="419" t="e">
        <f aca="false">GetCommodity($AH$12,$AH$13,AT11)</f>
        <v>#VALUE!</v>
      </c>
      <c r="AO11" s="420" t="e">
        <f aca="false">GetFuelRate($AH$12,$AH$13,AT11)</f>
        <v>#VALUE!</v>
      </c>
      <c r="AP11" s="419" t="e">
        <f aca="false">GetSurcharge($AH$12,$AH$13,$AT11)</f>
        <v>#VALUE!</v>
      </c>
      <c r="AQ11" s="419" t="e">
        <f aca="false">GetRcptIndexAdj($AH$12,$AH$13,$AT11)</f>
        <v>#VALUE!</v>
      </c>
      <c r="AR11" s="421" t="e">
        <f aca="false">GetDelIndexAdj($AH$12,$AH$13,$AT11)</f>
        <v>#VALUE!</v>
      </c>
      <c r="AS11" s="422" t="e">
        <f aca="false">GetDemandRate($AH$12,$AH$13,$AT11)</f>
        <v>#VALUE!</v>
      </c>
      <c r="AT11" s="410" t="e">
        <f aca="false">gettier($AH$12,$AH$13,AL11)</f>
        <v>#VALUE!</v>
      </c>
      <c r="AU11" s="433" t="s">
        <v>482</v>
      </c>
      <c r="AV11" s="383" t="str">
        <f aca="false">ADDRESS(ROW($AQ$22),COLUMN($AQ$22))</f>
        <v>$AQ$22</v>
      </c>
      <c r="AW11" s="378" t="e">
        <f aca="false">GetEnd($AV$1,AV11)</f>
        <v>#VALUE!</v>
      </c>
      <c r="AX11" s="383" t="str">
        <f aca="false">ADDRESS(ROW($CD$22),COLUMN($CD$22))</f>
        <v>$CD$22</v>
      </c>
      <c r="AY11" s="378" t="e">
        <f aca="false">GetEnd($AV$1,AX11)</f>
        <v>#VALUE!</v>
      </c>
    </row>
    <row r="12" customFormat="false" ht="12.75" hidden="false" customHeight="false" outlineLevel="0" collapsed="false">
      <c r="A12" s="434" t="s">
        <v>3</v>
      </c>
      <c r="D12" s="446" t="e">
        <f aca="false">IF(OR(AH3="#VALUE#",AH4="#VALUE#",AH5="#VALUE#",AH6="#VALUE#",AH7="#VALUE#",AH8="#VALUE#"),"Check to make sure all curves are valid in input table","")</f>
        <v>#VALUE!</v>
      </c>
      <c r="E12" s="447"/>
      <c r="F12" s="448"/>
      <c r="G12" s="448"/>
      <c r="H12" s="449"/>
      <c r="L12" s="414" t="s">
        <v>227</v>
      </c>
      <c r="M12" s="414"/>
      <c r="N12" s="400" t="e">
        <f aca="true">SUM(INDIRECT(CONCATENATE(AV12,":",AW12)))</f>
        <v>#VALUE!</v>
      </c>
      <c r="O12" s="400" t="n">
        <v>4038.41</v>
      </c>
      <c r="P12" s="415" t="e">
        <f aca="false">N12-O12</f>
        <v>#VALUE!</v>
      </c>
      <c r="AG12" s="450" t="s">
        <v>483</v>
      </c>
      <c r="AH12" s="441" t="e">
        <f aca="false">GetDBPage($D$2)</f>
        <v>#VALUE!</v>
      </c>
      <c r="AL12" s="134" t="n">
        <v>9</v>
      </c>
      <c r="AM12" s="418" t="e">
        <f aca="false">GetVolume($AH$12,$AH$13,AT12)</f>
        <v>#VALUE!</v>
      </c>
      <c r="AN12" s="419" t="e">
        <f aca="false">GetCommodity($AH$12,$AH$13,AT12)</f>
        <v>#VALUE!</v>
      </c>
      <c r="AO12" s="420" t="e">
        <f aca="false">GetFuelRate($AH$12,$AH$13,AT12)</f>
        <v>#VALUE!</v>
      </c>
      <c r="AP12" s="419" t="e">
        <f aca="false">GetSurcharge($AH$12,$AH$13,$AT12)</f>
        <v>#VALUE!</v>
      </c>
      <c r="AQ12" s="419" t="e">
        <f aca="false">GetRcptIndexAdj($AH$12,$AH$13,$AT12)</f>
        <v>#VALUE!</v>
      </c>
      <c r="AR12" s="421" t="e">
        <f aca="false">GetDelIndexAdj($AH$12,$AH$13,$AT12)</f>
        <v>#VALUE!</v>
      </c>
      <c r="AS12" s="422" t="e">
        <f aca="false">GetDemandRate($AH$12,$AH$13,$AT12)</f>
        <v>#VALUE!</v>
      </c>
      <c r="AT12" s="410" t="e">
        <f aca="false">gettier($AH$12,$AH$13,AL12)</f>
        <v>#VALUE!</v>
      </c>
      <c r="AU12" s="433" t="s">
        <v>227</v>
      </c>
      <c r="AV12" s="383" t="str">
        <f aca="false">ADDRESS(ROW($X$22),COLUMN($X$22))</f>
        <v>$X$22</v>
      </c>
      <c r="AW12" s="378" t="e">
        <f aca="false">GetEnd($AV$1,AV12)</f>
        <v>#VALUE!</v>
      </c>
      <c r="AX12" s="383" t="str">
        <f aca="false">ADDRESS(ROW($CE$22),COLUMN($CE$22))</f>
        <v>$CE$22</v>
      </c>
      <c r="AY12" s="378" t="e">
        <f aca="false">GetEnd($AV$1,AX12)</f>
        <v>#VALUE!</v>
      </c>
    </row>
    <row r="13" customFormat="false" ht="12.75" hidden="false" customHeight="false" outlineLevel="0" collapsed="false">
      <c r="A13" s="434" t="s">
        <v>3</v>
      </c>
      <c r="D13" s="446"/>
      <c r="E13" s="447"/>
      <c r="F13" s="448"/>
      <c r="G13" s="448"/>
      <c r="H13" s="449"/>
      <c r="L13" s="414" t="s">
        <v>228</v>
      </c>
      <c r="M13" s="414"/>
      <c r="N13" s="400" t="e">
        <f aca="true">SUM(INDIRECT(CONCATENATE(AV13,":",AW13)))</f>
        <v>#VALUE!</v>
      </c>
      <c r="O13" s="400" t="n">
        <v>3.11</v>
      </c>
      <c r="P13" s="415" t="e">
        <f aca="false">N13-O13</f>
        <v>#VALUE!</v>
      </c>
      <c r="AG13" s="450" t="s">
        <v>484</v>
      </c>
      <c r="AH13" s="441" t="e">
        <f aca="false">GetRecNdx($AH$12,$D$2)</f>
        <v>#VALUE!</v>
      </c>
      <c r="AL13" s="134" t="n">
        <v>10</v>
      </c>
      <c r="AM13" s="418" t="e">
        <f aca="false">GetVolume($AH$12,$AH$13,AT13)</f>
        <v>#VALUE!</v>
      </c>
      <c r="AN13" s="419" t="e">
        <f aca="false">GetCommodity($AH$12,$AH$13,AT13)</f>
        <v>#VALUE!</v>
      </c>
      <c r="AO13" s="420" t="e">
        <f aca="false">GetFuelRate($AH$12,$AH$13,AT13)</f>
        <v>#VALUE!</v>
      </c>
      <c r="AP13" s="419" t="e">
        <f aca="false">GetSurcharge($AH$12,$AH$13,$AT13)</f>
        <v>#VALUE!</v>
      </c>
      <c r="AQ13" s="419" t="e">
        <f aca="false">GetRcptIndexAdj($AH$12,$AH$13,$AT13)</f>
        <v>#VALUE!</v>
      </c>
      <c r="AR13" s="421" t="e">
        <f aca="false">GetDelIndexAdj($AH$12,$AH$13,$AT13)</f>
        <v>#VALUE!</v>
      </c>
      <c r="AS13" s="422" t="e">
        <f aca="false">GetDemandRate($AH$12,$AH$13,$AT13)</f>
        <v>#VALUE!</v>
      </c>
      <c r="AT13" s="410" t="e">
        <f aca="false">gettier($AH$12,$AH$13,AL13)</f>
        <v>#VALUE!</v>
      </c>
      <c r="AU13" s="433" t="s">
        <v>228</v>
      </c>
      <c r="AV13" s="383" t="str">
        <f aca="false">ADDRESS(ROW($Y$22),COLUMN($Y$22))</f>
        <v>$Y$22</v>
      </c>
      <c r="AW13" s="378" t="e">
        <f aca="false">GetEnd($AV$1,AV13)</f>
        <v>#VALUE!</v>
      </c>
      <c r="AX13" s="383" t="str">
        <f aca="false">ADDRESS(ROW($CF$22),COLUMN($CF$22))</f>
        <v>$CF$22</v>
      </c>
      <c r="AY13" s="378" t="e">
        <f aca="false">GetEnd($AV$1,AX13)</f>
        <v>#VALUE!</v>
      </c>
    </row>
    <row r="14" customFormat="false" ht="12.75" hidden="false" customHeight="false" outlineLevel="0" collapsed="false">
      <c r="A14" s="434" t="s">
        <v>3</v>
      </c>
      <c r="D14" s="446"/>
      <c r="E14" s="447"/>
      <c r="F14" s="448"/>
      <c r="G14" s="448"/>
      <c r="H14" s="449"/>
      <c r="K14" s="451"/>
      <c r="L14" s="414" t="s">
        <v>229</v>
      </c>
      <c r="M14" s="414"/>
      <c r="N14" s="400" t="e">
        <f aca="true">SUM(INDIRECT(CONCATENATE(AV14,":",AW14)))</f>
        <v>#VALUE!</v>
      </c>
      <c r="O14" s="400" t="n">
        <v>-457.95</v>
      </c>
      <c r="P14" s="415" t="e">
        <f aca="false">N14-O14</f>
        <v>#VALUE!</v>
      </c>
      <c r="S14" s="365" t="e">
        <f aca="false">F22/(1-AR22)*AH22*AU22</f>
        <v>#VALUE!</v>
      </c>
      <c r="T14" s="365" t="e">
        <f aca="false">F22*AH22*AU22</f>
        <v>#VALUE!</v>
      </c>
      <c r="AL14" s="134" t="n">
        <v>11</v>
      </c>
      <c r="AM14" s="418" t="e">
        <f aca="false">GetVolume($AH$12,$AH$13,AT14)</f>
        <v>#VALUE!</v>
      </c>
      <c r="AN14" s="419" t="e">
        <f aca="false">GetCommodity($AH$12,$AH$13,AT14)</f>
        <v>#VALUE!</v>
      </c>
      <c r="AO14" s="420" t="e">
        <f aca="false">GetFuelRate($AH$12,$AH$13,AT14)</f>
        <v>#VALUE!</v>
      </c>
      <c r="AP14" s="419" t="e">
        <f aca="false">GetSurcharge($AH$12,$AH$13,$AT14)</f>
        <v>#VALUE!</v>
      </c>
      <c r="AQ14" s="419" t="e">
        <f aca="false">GetRcptIndexAdj($AH$12,$AH$13,$AT14)</f>
        <v>#VALUE!</v>
      </c>
      <c r="AR14" s="421" t="e">
        <f aca="false">GetDelIndexAdj($AH$12,$AH$13,$AT14)</f>
        <v>#VALUE!</v>
      </c>
      <c r="AS14" s="422" t="e">
        <f aca="false">GetDemandRate($AH$12,$AH$13,$AT14)</f>
        <v>#VALUE!</v>
      </c>
      <c r="AT14" s="410" t="e">
        <f aca="false">gettier($AH$12,$AH$13,AL14)</f>
        <v>#VALUE!</v>
      </c>
      <c r="AU14" s="433" t="s">
        <v>229</v>
      </c>
      <c r="AV14" s="383" t="str">
        <f aca="false">ADDRESS(ROW($Z$22),COLUMN($Z$22))</f>
        <v>$Z$22</v>
      </c>
      <c r="AW14" s="378" t="e">
        <f aca="false">GetEnd($AV$1,AV14)</f>
        <v>#VALUE!</v>
      </c>
      <c r="AX14" s="452" t="e">
        <f aca="false">CONCATENATE(AX8,":",AY8)</f>
        <v>#VALUE!</v>
      </c>
      <c r="AY14" s="452" t="e">
        <f aca="false">CONCATENATE(AX10,":",AY10)</f>
        <v>#VALUE!</v>
      </c>
    </row>
    <row r="15" customFormat="false" ht="13.5" hidden="false" customHeight="false" outlineLevel="0" collapsed="false">
      <c r="A15" s="434" t="s">
        <v>3</v>
      </c>
      <c r="D15" s="446"/>
      <c r="E15" s="447"/>
      <c r="F15" s="448"/>
      <c r="G15" s="448"/>
      <c r="H15" s="449"/>
      <c r="L15" s="414" t="s">
        <v>230</v>
      </c>
      <c r="M15" s="414"/>
      <c r="N15" s="400" t="e">
        <f aca="true">SUM(INDIRECT(CONCATENATE(AV15,":",AW15)))</f>
        <v>#VALUE!</v>
      </c>
      <c r="O15" s="400" t="n">
        <v>3818.74</v>
      </c>
      <c r="P15" s="415" t="e">
        <f aca="false">N15-O15</f>
        <v>#VALUE!</v>
      </c>
      <c r="AL15" s="134" t="n">
        <v>12</v>
      </c>
      <c r="AM15" s="453" t="e">
        <f aca="false">GetVolume($AH$12,$AH$13,AT15)</f>
        <v>#VALUE!</v>
      </c>
      <c r="AN15" s="454" t="e">
        <f aca="false">GetCommodity($AH$12,$AH$13,AT15)</f>
        <v>#VALUE!</v>
      </c>
      <c r="AO15" s="455" t="e">
        <f aca="false">GetFuelRate($AH$12,$AH$13,AT15)</f>
        <v>#VALUE!</v>
      </c>
      <c r="AP15" s="454" t="e">
        <f aca="false">GetSurcharge($AH$12,$AH$13,$AT15)</f>
        <v>#VALUE!</v>
      </c>
      <c r="AQ15" s="454" t="e">
        <f aca="false">GetRcptIndexAdj($AH$12,$AH$13,$AT15)</f>
        <v>#VALUE!</v>
      </c>
      <c r="AR15" s="456" t="e">
        <f aca="false">GetDelIndexAdj($AH$12,$AH$13,$AT15)</f>
        <v>#VALUE!</v>
      </c>
      <c r="AS15" s="457" t="e">
        <f aca="false">GetDemandRate($AH$12,$AH$13,$AT15)</f>
        <v>#VALUE!</v>
      </c>
      <c r="AT15" s="410" t="e">
        <f aca="false">gettier($AH$12,$AH$13,AL15)</f>
        <v>#VALUE!</v>
      </c>
      <c r="AU15" s="458" t="s">
        <v>230</v>
      </c>
      <c r="AV15" s="383" t="str">
        <f aca="false">ADDRESS(ROW($AA$22),COLUMN($AA$22))</f>
        <v>$AA$22</v>
      </c>
      <c r="AW15" s="378" t="e">
        <f aca="false">GetEnd($AV$1,AV15)</f>
        <v>#VALUE!</v>
      </c>
      <c r="AX15" s="452" t="e">
        <f aca="false">CONCATENATE(AV8,":",AW8)</f>
        <v>#VALUE!</v>
      </c>
      <c r="AY15" s="452" t="e">
        <f aca="false">CONCATENATE(AX11,":",AY11)</f>
        <v>#VALUE!</v>
      </c>
    </row>
    <row r="16" customFormat="false" ht="12.75" hidden="false" customHeight="false" outlineLevel="0" collapsed="false">
      <c r="D16" s="459"/>
      <c r="E16" s="460"/>
      <c r="F16" s="461"/>
      <c r="G16" s="461"/>
      <c r="H16" s="462"/>
      <c r="L16" s="414" t="s">
        <v>231</v>
      </c>
      <c r="M16" s="414"/>
      <c r="N16" s="400" t="e">
        <f aca="true">SUM(INDIRECT(CONCATENATE(AV16,":",AW16)))</f>
        <v>#VALUE!</v>
      </c>
      <c r="O16" s="400" t="n">
        <v>-64.31</v>
      </c>
      <c r="P16" s="415" t="e">
        <f aca="false">N16-O16</f>
        <v>#VALUE!</v>
      </c>
      <c r="AU16" s="433" t="s">
        <v>231</v>
      </c>
      <c r="AV16" s="383" t="str">
        <f aca="false">ADDRESS(ROW($AB$22),COLUMN($AB$22))</f>
        <v>$AB$22</v>
      </c>
      <c r="AW16" s="378" t="e">
        <f aca="false">GetEnd($AV$1,AV16)</f>
        <v>#VALUE!</v>
      </c>
      <c r="AX16" s="452" t="e">
        <f aca="false">CONCATENATE(AX9,":",AY9)</f>
        <v>#VALUE!</v>
      </c>
      <c r="AY16" s="452" t="e">
        <f aca="false">CONCATENATE(AX12,":",AY12)</f>
        <v>#VALUE!</v>
      </c>
    </row>
    <row r="17" customFormat="false" ht="12.75" hidden="false" customHeight="false" outlineLevel="0" collapsed="false">
      <c r="D17" s="447"/>
      <c r="E17" s="447"/>
      <c r="F17" s="448"/>
      <c r="G17" s="448"/>
      <c r="H17" s="448"/>
      <c r="L17" s="425" t="s">
        <v>232</v>
      </c>
      <c r="M17" s="425"/>
      <c r="N17" s="426" t="e">
        <f aca="true">SUM(INDIRECT(CONCATENATE(AV17,":",AW17)))</f>
        <v>#VALUE!</v>
      </c>
      <c r="O17" s="427" t="n">
        <v>45.96</v>
      </c>
      <c r="P17" s="428" t="e">
        <f aca="false">N17-O17</f>
        <v>#VALUE!</v>
      </c>
      <c r="AU17" s="433" t="s">
        <v>232</v>
      </c>
      <c r="AV17" s="383" t="str">
        <f aca="false">ADDRESS(ROW($AC$22),COLUMN($AC$22))</f>
        <v>$AC$22</v>
      </c>
      <c r="AW17" s="378" t="e">
        <f aca="false">GetEnd($AV$1,AV17)</f>
        <v>#VALUE!</v>
      </c>
      <c r="AX17" s="452" t="e">
        <f aca="false">CONCATENATE(AV9,":",AW9)</f>
        <v>#VALUE!</v>
      </c>
      <c r="AY17" s="452" t="e">
        <f aca="false">CONCATENATE(AX13,":",AY13)</f>
        <v>#VALUE!</v>
      </c>
    </row>
    <row r="18" customFormat="false" ht="12.75" hidden="false" customHeight="false" outlineLevel="0" collapsed="false">
      <c r="D18" s="447"/>
      <c r="E18" s="447"/>
      <c r="F18" s="448"/>
      <c r="G18" s="448"/>
      <c r="H18" s="448"/>
      <c r="L18" s="414" t="s">
        <v>485</v>
      </c>
      <c r="M18" s="414"/>
      <c r="N18" s="400" t="e">
        <f aca="true">SUMPRODUCT(INDIRECT(CONCATENATE(AX4,":",AY4)),INDIRECT(CONCATENATE($AV$2,":",$AW$2)),INDIRECT(CONCATENATE($AV$3,":",$AW$3)))</f>
        <v>#VALUE!</v>
      </c>
      <c r="O18" s="400" t="n">
        <v>251278.94</v>
      </c>
      <c r="P18" s="415" t="e">
        <f aca="false">N18-O18</f>
        <v>#VALUE!</v>
      </c>
      <c r="AU18" s="433"/>
      <c r="AV18" s="383"/>
      <c r="AW18" s="378"/>
      <c r="AX18" s="383" t="str">
        <f aca="false">ADDRESS(ROW($CI$22),COLUMN($CI$22))</f>
        <v>$CI$22</v>
      </c>
      <c r="AY18" s="378" t="e">
        <f aca="false">GetEnd($AV$1,AX18)</f>
        <v>#VALUE!</v>
      </c>
    </row>
    <row r="19" customFormat="false" ht="12.75" hidden="false" customHeight="false" outlineLevel="0" collapsed="false">
      <c r="D19" s="447"/>
      <c r="E19" s="447"/>
      <c r="F19" s="448"/>
      <c r="G19" s="448"/>
      <c r="H19" s="448"/>
      <c r="L19" s="463" t="s">
        <v>486</v>
      </c>
      <c r="M19" s="463"/>
      <c r="N19" s="464" t="e">
        <f aca="true">SUMPRODUCT(INDIRECT(CONCATENATE(AX5,":",AY5)),INDIRECT(CONCATENATE($AV$2,":",$AW$2)),INDIRECT(CONCATENATE($AV$3,":",$AW$3)))</f>
        <v>#VALUE!</v>
      </c>
      <c r="O19" s="464" t="n">
        <v>361668.37</v>
      </c>
      <c r="P19" s="465" t="e">
        <f aca="false">N19-O19</f>
        <v>#VALUE!</v>
      </c>
      <c r="AU19" s="433"/>
      <c r="AV19" s="383"/>
      <c r="AW19" s="378"/>
    </row>
    <row r="20" customFormat="false" ht="14.25" hidden="false" customHeight="true" outlineLevel="0" collapsed="false">
      <c r="D20" s="466"/>
      <c r="E20" s="467"/>
      <c r="F20" s="468"/>
      <c r="G20" s="468"/>
      <c r="H20" s="469"/>
      <c r="I20" s="469"/>
      <c r="J20" s="368"/>
      <c r="K20" s="368"/>
      <c r="L20" s="368"/>
      <c r="M20" s="368"/>
      <c r="N20" s="368"/>
      <c r="O20" s="368"/>
      <c r="P20" s="468"/>
      <c r="Q20" s="470"/>
      <c r="R20" s="470"/>
      <c r="S20" s="471" t="e">
        <f aca="false">GetRcptBasis($AH$12,$AH$13)</f>
        <v>#VALUE!</v>
      </c>
      <c r="T20" s="471" t="e">
        <f aca="false">GetDelBasis($AH$12,$AH$13)</f>
        <v>#VALUE!</v>
      </c>
      <c r="U20" s="470"/>
      <c r="V20" s="470"/>
      <c r="W20" s="470"/>
      <c r="X20" s="470"/>
      <c r="Y20" s="472"/>
      <c r="Z20" s="472"/>
      <c r="AA20" s="472"/>
      <c r="AB20" s="472"/>
      <c r="AC20" s="472"/>
      <c r="AI20" s="378"/>
      <c r="AM20" s="473" t="e">
        <f aca="false">GetRcptPoint($AH$12,$AH$13)</f>
        <v>#VALUE!</v>
      </c>
      <c r="AN20" s="473"/>
      <c r="AO20" s="473" t="e">
        <f aca="false">GetDelPoint($AH$12,$AH$13)</f>
        <v>#VALUE!</v>
      </c>
      <c r="AP20" s="473"/>
      <c r="AQ20" s="370"/>
      <c r="AS20" s="370"/>
      <c r="AU20" s="369" t="s">
        <v>487</v>
      </c>
      <c r="AV20" s="452" t="e">
        <f aca="true">SUMPRODUCT(INDIRECT(CONCATENATE(AV8,":",AW8)),INDIRECT(CONCATENATE($AV$2,":",$AW$2)),INDIRECT(CONCATENATE($AV$3,":",$AW$3)),INDIRECT(CONCATENATE(AX3,":",AY3)))</f>
        <v>#VALUE!</v>
      </c>
      <c r="AW20" s="452" t="e">
        <f aca="true">SUMPRODUCT(INDIRECT(CONCATENATE(AX8,":",AY8)),INDIRECT(CONCATENATE($AV$2,":",$AW$2)),INDIRECT(CONCATENATE($AV$3,":",$AW$3)),INDIRECT(CONCATENATE(AX3,":",AY3)))</f>
        <v>#VALUE!</v>
      </c>
      <c r="AX20" s="452" t="e">
        <f aca="true">SUMPRODUCT(INDIRECT(CONCATENATE(AV9,":",AW9)),INDIRECT(CONCATENATE($AV$2,":",$AW$2)),INDIRECT(CONCATENATE($AV$3,":",$AW$3)),INDIRECT(CONCATENATE(AX3,":",AY3)))</f>
        <v>#VALUE!</v>
      </c>
      <c r="AY20" s="452" t="e">
        <f aca="true">SUMPRODUCT(INDIRECT(CONCATENATE(AX9,":",AY9)),INDIRECT(CONCATENATE($AV$2,":",$AW$2)),INDIRECT(CONCATENATE($AV$3,":",$AW$3)),INDIRECT(CONCATENATE(AX3,":",AY3)))</f>
        <v>#VALUE!</v>
      </c>
    </row>
    <row r="21" customFormat="false" ht="38.25" hidden="false" customHeight="false" outlineLevel="0" collapsed="false">
      <c r="A21" s="474"/>
      <c r="B21" s="474"/>
      <c r="C21" s="474"/>
      <c r="D21" s="475" t="s">
        <v>488</v>
      </c>
      <c r="E21" s="362"/>
      <c r="F21" s="476" t="s">
        <v>29</v>
      </c>
      <c r="G21" s="477" t="s">
        <v>489</v>
      </c>
      <c r="H21" s="478" t="s">
        <v>490</v>
      </c>
      <c r="I21" s="479" t="s">
        <v>491</v>
      </c>
      <c r="K21" s="480" t="s">
        <v>492</v>
      </c>
      <c r="L21" s="481" t="s">
        <v>493</v>
      </c>
      <c r="N21" s="480" t="s">
        <v>494</v>
      </c>
      <c r="O21" s="482" t="s">
        <v>495</v>
      </c>
      <c r="P21" s="483" t="s">
        <v>496</v>
      </c>
      <c r="Q21" s="484" t="s">
        <v>497</v>
      </c>
      <c r="R21" s="95"/>
      <c r="S21" s="485" t="s">
        <v>15</v>
      </c>
      <c r="T21" s="486" t="s">
        <v>16</v>
      </c>
      <c r="V21" s="487" t="s">
        <v>32</v>
      </c>
      <c r="W21" s="488"/>
      <c r="X21" s="489" t="s">
        <v>498</v>
      </c>
      <c r="Y21" s="489" t="s">
        <v>499</v>
      </c>
      <c r="Z21" s="490" t="s">
        <v>500</v>
      </c>
      <c r="AA21" s="490" t="s">
        <v>501</v>
      </c>
      <c r="AB21" s="490" t="s">
        <v>502</v>
      </c>
      <c r="AC21" s="489" t="s">
        <v>503</v>
      </c>
      <c r="AD21" s="488"/>
      <c r="AE21" s="491"/>
      <c r="AF21" s="492" t="s">
        <v>504</v>
      </c>
      <c r="AG21" s="492" t="s">
        <v>453</v>
      </c>
      <c r="AH21" s="492" t="s">
        <v>505</v>
      </c>
      <c r="AI21" s="492" t="s">
        <v>506</v>
      </c>
      <c r="AJ21" s="492" t="s">
        <v>507</v>
      </c>
      <c r="AK21" s="474"/>
      <c r="AL21" s="493" t="s">
        <v>508</v>
      </c>
      <c r="AM21" s="493" t="s">
        <v>36</v>
      </c>
      <c r="AN21" s="493" t="s">
        <v>41</v>
      </c>
      <c r="AO21" s="493" t="s">
        <v>38</v>
      </c>
      <c r="AP21" s="493" t="s">
        <v>43</v>
      </c>
      <c r="AQ21" s="493" t="s">
        <v>509</v>
      </c>
      <c r="AR21" s="494" t="s">
        <v>31</v>
      </c>
      <c r="AS21" s="493" t="s">
        <v>510</v>
      </c>
      <c r="AT21" s="494" t="s">
        <v>511</v>
      </c>
      <c r="AU21" s="494" t="s">
        <v>512</v>
      </c>
      <c r="AV21" s="495" t="s">
        <v>513</v>
      </c>
      <c r="AW21" s="494" t="s">
        <v>514</v>
      </c>
      <c r="AX21" s="494" t="s">
        <v>515</v>
      </c>
      <c r="AY21" s="494" t="s">
        <v>516</v>
      </c>
      <c r="AZ21" s="494"/>
      <c r="BA21" s="496"/>
      <c r="BB21" s="494" t="s">
        <v>517</v>
      </c>
      <c r="BC21" s="494" t="s">
        <v>518</v>
      </c>
      <c r="BD21" s="494" t="s">
        <v>519</v>
      </c>
      <c r="BE21" s="494" t="s">
        <v>520</v>
      </c>
      <c r="BF21" s="494" t="s">
        <v>521</v>
      </c>
      <c r="BG21" s="494" t="s">
        <v>522</v>
      </c>
      <c r="BH21" s="494" t="s">
        <v>523</v>
      </c>
      <c r="BI21" s="494" t="s">
        <v>524</v>
      </c>
      <c r="BJ21" s="494" t="s">
        <v>525</v>
      </c>
      <c r="BK21" s="494" t="s">
        <v>526</v>
      </c>
      <c r="BL21" s="494" t="s">
        <v>527</v>
      </c>
      <c r="BM21" s="494" t="s">
        <v>528</v>
      </c>
      <c r="BN21" s="494" t="s">
        <v>231</v>
      </c>
      <c r="BO21" s="494" t="s">
        <v>232</v>
      </c>
      <c r="BP21" s="494"/>
      <c r="BQ21" s="494"/>
      <c r="BR21" s="494"/>
      <c r="BS21" s="494"/>
      <c r="BT21" s="474"/>
      <c r="BU21" s="497"/>
      <c r="BV21" s="498" t="s">
        <v>490</v>
      </c>
      <c r="BW21" s="494" t="s">
        <v>491</v>
      </c>
      <c r="BX21" s="494" t="s">
        <v>494</v>
      </c>
      <c r="BY21" s="494" t="s">
        <v>495</v>
      </c>
      <c r="BZ21" s="494" t="s">
        <v>496</v>
      </c>
      <c r="CA21" s="494" t="s">
        <v>511</v>
      </c>
      <c r="CB21" s="494" t="s">
        <v>512</v>
      </c>
      <c r="CC21" s="499" t="s">
        <v>36</v>
      </c>
      <c r="CD21" s="499" t="s">
        <v>41</v>
      </c>
      <c r="CE21" s="499" t="s">
        <v>38</v>
      </c>
      <c r="CF21" s="499" t="s">
        <v>43</v>
      </c>
      <c r="CG21" s="499" t="s">
        <v>509</v>
      </c>
      <c r="CH21" s="499" t="s">
        <v>32</v>
      </c>
      <c r="CI21" s="499" t="s">
        <v>508</v>
      </c>
      <c r="CJ21" s="493"/>
      <c r="CK21" s="493"/>
      <c r="CL21" s="493"/>
      <c r="CM21" s="493"/>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c r="FI21" s="474"/>
      <c r="FJ21" s="474"/>
      <c r="FK21" s="474"/>
      <c r="FL21" s="474"/>
      <c r="FM21" s="474"/>
      <c r="FN21" s="474"/>
      <c r="FO21" s="474"/>
      <c r="FP21" s="474"/>
      <c r="FQ21" s="474"/>
      <c r="FR21" s="474"/>
      <c r="FS21" s="474"/>
      <c r="FT21" s="474"/>
      <c r="FU21" s="474"/>
      <c r="FV21" s="474"/>
      <c r="FW21" s="474"/>
      <c r="FX21" s="474"/>
      <c r="FY21" s="474"/>
      <c r="FZ21" s="474"/>
      <c r="GA21" s="474"/>
      <c r="GB21" s="474"/>
      <c r="GC21" s="474"/>
      <c r="GD21" s="474"/>
      <c r="GE21" s="474"/>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row>
    <row r="22" customFormat="false" ht="12.75" hidden="false" customHeight="false" outlineLevel="0" collapsed="false">
      <c r="A22" s="500"/>
      <c r="B22" s="500"/>
      <c r="D22" s="361" t="e">
        <f aca="false">G7+OffsetDays</f>
        <v>#VALUE!</v>
      </c>
      <c r="F22" s="362" t="e">
        <f aca="false">VLOOKUP(AG22,$AL$4:$AS$15,2)</f>
        <v>#VALUE!</v>
      </c>
      <c r="G22" s="362" t="e">
        <f aca="false">F22*$AU22</f>
        <v>#VALUE!</v>
      </c>
      <c r="H22" s="363" t="e">
        <f aca="false">(AL22+AM22+AN22)/(1-(AR22))</f>
        <v>#VALUE!</v>
      </c>
      <c r="I22" s="363" t="e">
        <f aca="false">(AL22+AO22+AP22)</f>
        <v>#VALUE!</v>
      </c>
      <c r="K22" s="363" t="e">
        <f aca="false">MAX(((I22-H22)-AQ22)*AU22*AH22,0)</f>
        <v>#VALUE!</v>
      </c>
      <c r="L22" s="501" t="e">
        <f aca="false">MAX(Q22-K22,0)</f>
        <v>#VALUE!</v>
      </c>
      <c r="N22" s="502" t="e">
        <f aca="false">SQRT(($AX22^2*($AH22/2)+$AW22^2*$AI22)/(($AH22/2)+$AI22))</f>
        <v>#VALUE!</v>
      </c>
      <c r="O22" s="502" t="e">
        <f aca="false">SQRT(($AY22^2*($AH22/2)+$AW22^2*$AI22)/(($AH22/2)+$AI22))</f>
        <v>#VALUE!</v>
      </c>
      <c r="P22" s="371" t="e">
        <f aca="false">(VLOOKUP(AI22,CorrelationTwo,2)*(AW22^2)*AI22+VLOOKUP(D22,CorrelationOne,$AK$9)*AX22*AY22*(AH22/2))/((AI22+(AH22/2))*O22*N22)*AF22</f>
        <v>#VALUE!</v>
      </c>
      <c r="Q22" s="501" t="e">
        <f aca="false">xSPRDOPT(I22,H22,AQ22,0,O22,N22,P22,D22-$G$5,1,0)*AH22*AU22</f>
        <v>#VALUE!</v>
      </c>
      <c r="R22" s="501"/>
      <c r="S22" s="365" t="e">
        <f aca="false">xSPRDOPT(I22,H22,AQ22,AT22,O22,N22,P22,D22-$G$5,1,2)*AF22*(F22/(1-AR22))*AH22</f>
        <v>#VALUE!</v>
      </c>
      <c r="T22" s="365" t="e">
        <f aca="false">xSPRDOPT(I22,H22,AQ22,AT22,O22,N22,P22,D22-$G$5,1,1)*AF22*F22*AH22</f>
        <v>#VALUE!</v>
      </c>
      <c r="U22" s="501"/>
      <c r="V22" s="503" t="e">
        <f aca="false">VLOOKUP($AG22,$AL$4:$AS$15,8)*AH22*AU22</f>
        <v>#VALUE!</v>
      </c>
      <c r="W22" s="503"/>
      <c r="X22" s="504" t="e">
        <f aca="false">((BM22*BC22)+(BL22*BB22))*AH22*F22</f>
        <v>#VALUE!</v>
      </c>
      <c r="Y22" s="504" t="e">
        <f aca="false">($F22*$AH22)*((($BG22/2)*($BC22)^2)+(($BF22/2)*($BB22)^2)+($BH22*$BC22*$BB22))</f>
        <v>#VALUE!</v>
      </c>
      <c r="Z22" s="504" t="e">
        <f aca="false">($BI22*$F22*$AH22*($G$5-$BV$5))/365.25</f>
        <v>#VALUE!</v>
      </c>
      <c r="AA22" s="504" t="e">
        <f aca="false">(($BK22*$BE22)+($BJ22*$BD22))*$F22*$AH22*$AF22</f>
        <v>#VALUE!</v>
      </c>
      <c r="AB22" s="504" t="e">
        <f aca="false">BN22*(AT22-CA22)*F22*AH22</f>
        <v>#VALUE!</v>
      </c>
      <c r="AC22" s="504" t="e">
        <f aca="false">BO22*CB22*F22*AH22*CA22*($G$5-$BV$5)/365.25</f>
        <v>#NAME?</v>
      </c>
      <c r="AF22" s="378" t="e">
        <f aca="false">IF(AND(D22&gt;=$G$7,D22&lt;=$G$8),1,0)</f>
        <v>#VALUE!</v>
      </c>
      <c r="AG22" s="378" t="e">
        <f aca="false">MONTH(D22)</f>
        <v>#VALUE!</v>
      </c>
      <c r="AH22" s="378" t="e">
        <f aca="false">(EOMONTH(D22,0)-EOMONTH(D22-DAY(D22),0))*AF22</f>
        <v>#VALUE!</v>
      </c>
      <c r="AI22" s="378" t="e">
        <f aca="false">MAX(0,(D22-DAY(D22))-$G$5+1)</f>
        <v>#VALUE!</v>
      </c>
      <c r="AJ22" s="378" t="e">
        <f aca="false">D22-$BV$5</f>
        <v>#VALUE!</v>
      </c>
      <c r="AL22" s="369" t="e">
        <f aca="false">VLOOKUP($D22,CurveTbl,$AK$4)</f>
        <v>#VALUE!</v>
      </c>
      <c r="AM22" s="505" t="e">
        <f aca="false">VLOOKUP($D22,CurveTbl,$AH$3)</f>
        <v>#VALUE!</v>
      </c>
      <c r="AN22" s="505" t="e">
        <f aca="false">VLOOKUP($D22,CurveTbl,$AH$4)+VLOOKUP($AG22,$AL$3:$AS$15,6)</f>
        <v>#VALUE!</v>
      </c>
      <c r="AO22" s="505" t="e">
        <f aca="false">VLOOKUP($D22,CurveTbl,$AH$5)</f>
        <v>#VALUE!</v>
      </c>
      <c r="AP22" s="505" t="e">
        <f aca="false">VLOOKUP($D22,CurveTbl,$AH$6)+VLOOKUP($AG22,$AL$3:$AS$15,7)</f>
        <v>#VALUE!</v>
      </c>
      <c r="AQ22" s="369" t="e">
        <f aca="false">VLOOKUP($AG22,$AL$4:$AS$15,3)+VLOOKUP($AG22,$AL$4:$AS$15,5)+($AH$10*VLOOKUP(D22,GRITable,2))</f>
        <v>#VALUE!</v>
      </c>
      <c r="AR22" s="370" t="e">
        <f aca="false">VLOOKUP($AG22,$AL$4:$AS$15,4)</f>
        <v>#VALUE!</v>
      </c>
      <c r="AS22" s="369" t="e">
        <f aca="false">(AL22+AM22+AN22)</f>
        <v>#VALUE!</v>
      </c>
      <c r="AT22" s="370" t="e">
        <f aca="false">VLOOKUP(D22,CurveTbl,$AK$6)</f>
        <v>#VALUE!</v>
      </c>
      <c r="AU22" s="370" t="e">
        <f aca="false">(1+$AT22/2)^(-2*($D22-$G$5)/365.25)*$AF22</f>
        <v>#VALUE!</v>
      </c>
      <c r="AV22" s="506" t="e">
        <f aca="false">ROUND((F22/(1-AR22))-F22,0)*AF22*AH22*AU22</f>
        <v>#VALUE!</v>
      </c>
      <c r="AW22" s="370" t="e">
        <f aca="false">VLOOKUP($D22,CurveTbl,$AK$8)</f>
        <v>#VALUE!</v>
      </c>
      <c r="AX22" s="370" t="e">
        <f aca="false">VLOOKUP($D22,CurveTbl,$AH$7)</f>
        <v>#VALUE!</v>
      </c>
      <c r="AY22" s="370" t="e">
        <f aca="false">VLOOKUP($D22,CurveTbl,$AH$8)</f>
        <v>#VALUE!</v>
      </c>
      <c r="AZ22" s="370"/>
      <c r="BA22" s="507"/>
      <c r="BB22" s="505" t="e">
        <f aca="false">$H22-$BV22</f>
        <v>#VALUE!</v>
      </c>
      <c r="BC22" s="505" t="e">
        <f aca="false">I22-BW22</f>
        <v>#VALUE!</v>
      </c>
      <c r="BD22" s="370" t="e">
        <f aca="false">N22-BX22</f>
        <v>#VALUE!</v>
      </c>
      <c r="BE22" s="370" t="e">
        <f aca="false">O22-BY22</f>
        <v>#VALUE!</v>
      </c>
      <c r="BF22" s="370" t="e">
        <f aca="false">xSPRDOPT($BW22,$BV22,$CG22,0,$BY22,$BX22,$BZ22,$AJ22,1,4)*$CB22</f>
        <v>#NAME?</v>
      </c>
      <c r="BG22" s="370" t="e">
        <f aca="false">xSPRDOPT($BW22,$BV22,$CG22,0,$BY22,$BX22,$BZ22,$AJ22,1,3)*$CB22</f>
        <v>#NAME?</v>
      </c>
      <c r="BH22" s="370" t="e">
        <f aca="false">IF(OR(BF22&lt;&gt;0,BG22&lt;&gt;0),xSPRDOPT($BW22,$BV22,$CG22,0,$BY22,$BX22,$BZ22,$AJ22,1,12)*$CB22,0)</f>
        <v>#NAME?</v>
      </c>
      <c r="BI22" s="370" t="e">
        <f aca="false">xSPRDOPT($BW22,$BV22,$CG22,2*LN(1+CA22/2),$BY22,$BX22,$BZ22,$AJ22,1,9)</f>
        <v>#NAME?</v>
      </c>
      <c r="BJ22" s="370" t="e">
        <f aca="false">xSPRDOPT($BW22,$BV22,$CG22,0,$BY22,$BX22,$BZ22,$AJ22,1,6)*$CB22</f>
        <v>#NAME?</v>
      </c>
      <c r="BK22" s="370" t="e">
        <f aca="false">xSPRDOPT($BW22,$BV22,$CG22,0,$BY22,$BX22,$BZ22,$AJ22,1,5)*$CB22</f>
        <v>#NAME?</v>
      </c>
      <c r="BL22" s="370" t="e">
        <f aca="false">xSPRDOPT(BW22,BV22,CG22,0,BY22,BX22,BZ22,AJ22,1,2)*CB22</f>
        <v>#NAME?</v>
      </c>
      <c r="BM22" s="370" t="e">
        <f aca="false">xSPRDOPT(BW22,BV22,CG22,0,BY22,BX22,BZ22,AJ22,1,1)*CB22</f>
        <v>#NAME?</v>
      </c>
      <c r="BN22" s="370" t="e">
        <f aca="false">IF(AH22&lt;&gt;0,xSPRDOPT($BW22,$BV22,$CG22,2*LN(1+CA22/2),$BY22,$BX22,$BZ22,$AJ22,1,8)+(AJ22/365.25)*CH22/AH22,0)</f>
        <v>#VALUE!</v>
      </c>
      <c r="BO22" s="370" t="e">
        <f aca="false">xSPRDOPT($BW22,$BV22,$CG22,0,$BY22,$BX22,$BZ22,$AJ22,1,0)</f>
        <v>#NAME?</v>
      </c>
      <c r="BP22" s="370"/>
      <c r="BQ22" s="370"/>
      <c r="BR22" s="370"/>
      <c r="BS22" s="370"/>
      <c r="BV22" s="508" t="n">
        <v>3.25401606425703</v>
      </c>
      <c r="BW22" s="369" t="n">
        <v>3.251</v>
      </c>
      <c r="BX22" s="370" t="n">
        <v>0.564616148067653</v>
      </c>
      <c r="BY22" s="370" t="n">
        <v>0.557476031074478</v>
      </c>
      <c r="BZ22" s="370" t="n">
        <v>0.996519205703552</v>
      </c>
      <c r="CA22" s="370" t="n">
        <v>0.0232740649677528</v>
      </c>
      <c r="CB22" s="370" t="n">
        <v>0.97893835036076</v>
      </c>
      <c r="CC22" s="505" t="n">
        <v>0</v>
      </c>
      <c r="CD22" s="505" t="n">
        <v>0.03</v>
      </c>
      <c r="CE22" s="505" t="n">
        <v>0.04</v>
      </c>
      <c r="CF22" s="505" t="n">
        <v>0</v>
      </c>
      <c r="CG22" s="505" t="n">
        <v>0.0006</v>
      </c>
      <c r="CH22" s="505" t="n">
        <v>1.46840752554114</v>
      </c>
      <c r="CI22" s="505" t="n">
        <v>3.211</v>
      </c>
      <c r="CJ22" s="505"/>
      <c r="CK22" s="505"/>
      <c r="CL22" s="505"/>
      <c r="CM22" s="505"/>
    </row>
    <row r="23" customFormat="false" ht="12.75" hidden="false" customHeight="false" outlineLevel="0" collapsed="false">
      <c r="A23" s="500"/>
      <c r="B23" s="500"/>
      <c r="D23" s="361" t="e">
        <f aca="false">D22+AH22</f>
        <v>#VALUE!</v>
      </c>
      <c r="F23" s="362" t="e">
        <f aca="false">VLOOKUP(AG23,$AL$4:$AS$15,2)</f>
        <v>#VALUE!</v>
      </c>
      <c r="G23" s="362" t="e">
        <f aca="false">F23*$AU23</f>
        <v>#VALUE!</v>
      </c>
      <c r="H23" s="363" t="e">
        <f aca="false">(AL23+AM23+AN23)/(1-(AR23))</f>
        <v>#VALUE!</v>
      </c>
      <c r="I23" s="363" t="e">
        <f aca="false">(AL23+AO23+AP23)</f>
        <v>#VALUE!</v>
      </c>
      <c r="K23" s="363" t="e">
        <f aca="false">MAX(((I23-H23)-AQ23)*AU23*AH23,0)</f>
        <v>#VALUE!</v>
      </c>
      <c r="L23" s="501" t="e">
        <f aca="false">MAX(Q23-K23,0)</f>
        <v>#VALUE!</v>
      </c>
      <c r="N23" s="502" t="e">
        <f aca="false">SQRT(($AX23^2*($AH23/2)+$AW23^2*$AI23)/(($AH23/2)+$AI23))</f>
        <v>#VALUE!</v>
      </c>
      <c r="O23" s="502" t="e">
        <f aca="false">SQRT(($AY23^2*($AH23/2)+$AW23^2*$AI23)/(($AH23/2)+$AI23))</f>
        <v>#VALUE!</v>
      </c>
      <c r="P23" s="371" t="e">
        <f aca="false">(VLOOKUP(AI23,CorrelationTwo,2)*(AW23^2)*AI23+VLOOKUP(D23,CorrelationOne,$AK$9)*AX23*AY23*(AH23/2))/((AI23+(AH23/2))*O23*N23)*AF23</f>
        <v>#VALUE!</v>
      </c>
      <c r="Q23" s="501" t="e">
        <f aca="false">xSPRDOPT(I23,H23,AQ23,0,O23,N23,P23,D23-$G$5,1,0)*AH23*AU23</f>
        <v>#VALUE!</v>
      </c>
      <c r="R23" s="501"/>
      <c r="S23" s="365" t="e">
        <f aca="false">xSPRDOPT(I23,H23,AQ23,AT23,O23,N23,P23,D23-$G$5,1,2)*AF23*(F23/(1-AR23))*AH23</f>
        <v>#VALUE!</v>
      </c>
      <c r="T23" s="365" t="e">
        <f aca="false">xSPRDOPT(I23,H23,AQ23,AT23,O23,N23,P23,D23-$G$5,1,1)*AF23*F23*AH23</f>
        <v>#VALUE!</v>
      </c>
      <c r="U23" s="501"/>
      <c r="V23" s="503" t="e">
        <f aca="false">VLOOKUP($AG23,$AL$4:$AS$15,8)*AH23*AU23</f>
        <v>#VALUE!</v>
      </c>
      <c r="W23" s="503"/>
      <c r="X23" s="504" t="e">
        <f aca="false">((BM23*BC23)+(BL23*BB23))*AH23*F23</f>
        <v>#VALUE!</v>
      </c>
      <c r="Y23" s="504" t="e">
        <f aca="false">($F23*$AH23)*((($BG23/2)*($BC23)^2)+(($BF23/2)*($BB23)^2)+($BH23*$BC23*$BB23))</f>
        <v>#VALUE!</v>
      </c>
      <c r="Z23" s="504" t="e">
        <f aca="false">($BI23*$F23*$AH23*($G$5-$BV$5))/365.25</f>
        <v>#VALUE!</v>
      </c>
      <c r="AA23" s="504" t="e">
        <f aca="false">(($BK23*$BE23)+($BJ23*$BD23))*$F23*$AH23*$AF23</f>
        <v>#VALUE!</v>
      </c>
      <c r="AB23" s="504" t="e">
        <f aca="false">BN23*(AT23-CA23)*F23*AH23</f>
        <v>#VALUE!</v>
      </c>
      <c r="AC23" s="504" t="e">
        <f aca="false">BO23*CB23*F23*AH23*CA23*($G$5-$BV$5)/365.25</f>
        <v>#NAME?</v>
      </c>
      <c r="AF23" s="378" t="e">
        <f aca="false">IF(AND(D23&gt;=$G$7,D23&lt;=$G$8),1,0)</f>
        <v>#VALUE!</v>
      </c>
      <c r="AG23" s="378" t="e">
        <f aca="false">MONTH(D23)</f>
        <v>#VALUE!</v>
      </c>
      <c r="AH23" s="378" t="e">
        <f aca="false">(EOMONTH(D23,0)-EOMONTH(D23-DAY(D23),0))*AF23</f>
        <v>#VALUE!</v>
      </c>
      <c r="AI23" s="378" t="e">
        <f aca="false">AI22+AH22</f>
        <v>#VALUE!</v>
      </c>
      <c r="AJ23" s="378" t="e">
        <f aca="false">D23-$BV$5</f>
        <v>#VALUE!</v>
      </c>
      <c r="AL23" s="369" t="e">
        <f aca="false">VLOOKUP($D23,CurveTbl,$AK$4)</f>
        <v>#VALUE!</v>
      </c>
      <c r="AM23" s="505" t="e">
        <f aca="false">VLOOKUP($D23,CurveTbl,$AH$3)</f>
        <v>#VALUE!</v>
      </c>
      <c r="AN23" s="505" t="e">
        <f aca="false">VLOOKUP($D23,CurveTbl,$AH$4)+VLOOKUP($AG23,$AL$3:$AS$15,6)</f>
        <v>#VALUE!</v>
      </c>
      <c r="AO23" s="505" t="e">
        <f aca="false">VLOOKUP($D23,CurveTbl,$AH$5)</f>
        <v>#VALUE!</v>
      </c>
      <c r="AP23" s="505" t="e">
        <f aca="false">VLOOKUP($D23,CurveTbl,$AH$6)+VLOOKUP($AG23,$AL$3:$AS$15,7)</f>
        <v>#VALUE!</v>
      </c>
      <c r="AQ23" s="369" t="e">
        <f aca="false">VLOOKUP($AG23,$AL$4:$AS$15,3)+VLOOKUP($AG23,$AL$4:$AS$15,5)+($AH$10*VLOOKUP(D23,GRITable,2))</f>
        <v>#VALUE!</v>
      </c>
      <c r="AR23" s="370" t="e">
        <f aca="false">VLOOKUP($AG23,$AL$4:$AS$15,4)</f>
        <v>#VALUE!</v>
      </c>
      <c r="AS23" s="369" t="e">
        <f aca="false">(AL23+AM23+AN23)</f>
        <v>#VALUE!</v>
      </c>
      <c r="AT23" s="370" t="e">
        <f aca="false">VLOOKUP(D23,CurveTbl,$AK$6)</f>
        <v>#VALUE!</v>
      </c>
      <c r="AU23" s="370" t="e">
        <f aca="false">(1+$AT23/2)^(-2*($D23-$G$5)/365.25)*$AF23</f>
        <v>#VALUE!</v>
      </c>
      <c r="AV23" s="506" t="e">
        <f aca="false">ROUND((F23/(1-AR23))-F23,0)*AF23*AH23*AU23</f>
        <v>#VALUE!</v>
      </c>
      <c r="AW23" s="370" t="e">
        <f aca="false">VLOOKUP($D23,CurveTbl,$AK$8)</f>
        <v>#VALUE!</v>
      </c>
      <c r="AX23" s="370" t="e">
        <f aca="false">VLOOKUP($D23,CurveTbl,$AH$7)</f>
        <v>#VALUE!</v>
      </c>
      <c r="AY23" s="370" t="e">
        <f aca="false">VLOOKUP($D23,CurveTbl,$AH$8)</f>
        <v>#VALUE!</v>
      </c>
      <c r="AZ23" s="370"/>
      <c r="BA23" s="507"/>
      <c r="BB23" s="505" t="e">
        <f aca="false">$H23-$BV23</f>
        <v>#VALUE!</v>
      </c>
      <c r="BC23" s="505" t="e">
        <f aca="false">I23-BW23</f>
        <v>#VALUE!</v>
      </c>
      <c r="BD23" s="370" t="e">
        <f aca="false">N23-BX23</f>
        <v>#VALUE!</v>
      </c>
      <c r="BE23" s="370" t="e">
        <f aca="false">O23-BY23</f>
        <v>#VALUE!</v>
      </c>
      <c r="BF23" s="370" t="e">
        <f aca="false">xSPRDOPT($BW23,$BV23,$CG23,0,$BY23,$BX23,$BZ23,$AJ23,1,4)*$CB23</f>
        <v>#NAME?</v>
      </c>
      <c r="BG23" s="370" t="e">
        <f aca="false">xSPRDOPT($BW23,$BV23,$CG23,0,$BY23,$BX23,$BZ23,$AJ23,1,3)*$CB23</f>
        <v>#NAME?</v>
      </c>
      <c r="BH23" s="370" t="e">
        <f aca="false">IF(OR(BF23&lt;&gt;0,BG23&lt;&gt;0),xSPRDOPT($BW23,$BV23,$CG23,0,$BY23,$BX23,$BZ23,$AJ23,1,12)*$CB23,0)</f>
        <v>#NAME?</v>
      </c>
      <c r="BI23" s="370" t="e">
        <f aca="false">xSPRDOPT($BW23,$BV23,$CG23,2*LN(1+CA23/2),$BY23,$BX23,$BZ23,$AJ23,1,9)</f>
        <v>#NAME?</v>
      </c>
      <c r="BJ23" s="370" t="e">
        <f aca="false">xSPRDOPT($BW23,$BV23,$CG23,0,$BY23,$BX23,$BZ23,$AJ23,1,6)*$CB23</f>
        <v>#NAME?</v>
      </c>
      <c r="BK23" s="370" t="e">
        <f aca="false">xSPRDOPT($BW23,$BV23,$CG23,0,$BY23,$BX23,$BZ23,$AJ23,1,5)*$CB23</f>
        <v>#NAME?</v>
      </c>
      <c r="BL23" s="370" t="e">
        <f aca="false">xSPRDOPT(BW23,BV23,CG23,0,BY23,BX23,BZ23,AJ23,1,2)*CB23</f>
        <v>#NAME?</v>
      </c>
      <c r="BM23" s="370" t="e">
        <f aca="false">xSPRDOPT(BW23,BV23,CG23,0,BY23,BX23,BZ23,AJ23,1,1)*CB23</f>
        <v>#NAME?</v>
      </c>
      <c r="BN23" s="370" t="e">
        <f aca="false">IF(AH23&lt;&gt;0,xSPRDOPT($BW23,$BV23,$CG23,2*LN(1+CA23/2),$BY23,$BX23,$BZ23,$AJ23,1,8)+(AJ23/365.25)*CH23/AH23,0)</f>
        <v>#VALUE!</v>
      </c>
      <c r="BO23" s="370" t="e">
        <f aca="false">xSPRDOPT($BW23,$BV23,$CG23,0,$BY23,$BX23,$BZ23,$AJ23,1,0)</f>
        <v>#NAME?</v>
      </c>
      <c r="BP23" s="370"/>
      <c r="BQ23" s="370"/>
      <c r="BR23" s="370"/>
      <c r="BS23" s="370"/>
      <c r="BV23" s="508" t="n">
        <v>3.41967871485944</v>
      </c>
      <c r="BW23" s="369" t="n">
        <v>3.441</v>
      </c>
      <c r="BX23" s="370" t="n">
        <v>0.583125988417037</v>
      </c>
      <c r="BY23" s="370" t="n">
        <v>0.578861068007188</v>
      </c>
      <c r="BZ23" s="370" t="n">
        <v>0.995559967127206</v>
      </c>
      <c r="CA23" s="370" t="n">
        <v>0.024110098358836</v>
      </c>
      <c r="CB23" s="370" t="n">
        <v>0.976270925999808</v>
      </c>
      <c r="CC23" s="505" t="n">
        <v>0.005</v>
      </c>
      <c r="CD23" s="505" t="n">
        <v>0.03</v>
      </c>
      <c r="CE23" s="505" t="n">
        <v>0.07</v>
      </c>
      <c r="CF23" s="505" t="n">
        <v>0</v>
      </c>
      <c r="CG23" s="505" t="n">
        <v>0.0006</v>
      </c>
      <c r="CH23" s="505" t="n">
        <v>1.5132199352997</v>
      </c>
      <c r="CI23" s="505" t="n">
        <v>3.371</v>
      </c>
      <c r="CJ23" s="505"/>
      <c r="CK23" s="505"/>
      <c r="CL23" s="505"/>
      <c r="CM23" s="505"/>
    </row>
    <row r="24" customFormat="false" ht="12.75" hidden="false" customHeight="false" outlineLevel="0" collapsed="false">
      <c r="A24" s="500"/>
      <c r="B24" s="500"/>
      <c r="D24" s="361" t="e">
        <f aca="false">D23+AH23</f>
        <v>#VALUE!</v>
      </c>
      <c r="F24" s="362" t="e">
        <f aca="false">VLOOKUP(AG24,$AL$4:$AS$15,2)</f>
        <v>#VALUE!</v>
      </c>
      <c r="G24" s="362" t="e">
        <f aca="false">F24*$AU24</f>
        <v>#VALUE!</v>
      </c>
      <c r="H24" s="363" t="e">
        <f aca="false">(AL24+AM24+AN24)/(1-(AR24))</f>
        <v>#VALUE!</v>
      </c>
      <c r="I24" s="363" t="e">
        <f aca="false">(AL24+AO24+AP24)</f>
        <v>#VALUE!</v>
      </c>
      <c r="K24" s="363" t="e">
        <f aca="false">MAX(((I24-H24)-AQ24)*AU24*AH24,0)</f>
        <v>#VALUE!</v>
      </c>
      <c r="L24" s="501" t="e">
        <f aca="false">MAX(Q24-K24,0)</f>
        <v>#VALUE!</v>
      </c>
      <c r="N24" s="502" t="e">
        <f aca="false">SQRT(($AX24^2*($AH24/2)+$AW24^2*$AI24)/(($AH24/2)+$AI24))</f>
        <v>#VALUE!</v>
      </c>
      <c r="O24" s="502" t="e">
        <f aca="false">SQRT(($AY24^2*($AH24/2)+$AW24^2*$AI24)/(($AH24/2)+$AI24))</f>
        <v>#VALUE!</v>
      </c>
      <c r="P24" s="371" t="e">
        <f aca="false">(VLOOKUP(AI24,CorrelationTwo,2)*(AW24^2)*AI24+VLOOKUP(D24,CorrelationOne,$AK$9)*AX24*AY24*(AH24/2))/((AI24+(AH24/2))*O24*N24)*AF24</f>
        <v>#VALUE!</v>
      </c>
      <c r="Q24" s="501" t="e">
        <f aca="false">xSPRDOPT(I24,H24,AQ24,0,O24,N24,P24,D24-$G$5,1,0)*AH24*AU24</f>
        <v>#VALUE!</v>
      </c>
      <c r="R24" s="501"/>
      <c r="S24" s="365" t="e">
        <f aca="false">xSPRDOPT(I24,H24,AQ24,AT24,O24,N24,P24,D24-$G$5,1,2)*AF24*(F24/(1-AR24))*AH24</f>
        <v>#VALUE!</v>
      </c>
      <c r="T24" s="365" t="e">
        <f aca="false">xSPRDOPT(I24,H24,AQ24,AT24,O24,N24,P24,D24-$G$5,1,1)*AF24*F24*AH24</f>
        <v>#VALUE!</v>
      </c>
      <c r="U24" s="501"/>
      <c r="V24" s="503" t="e">
        <f aca="false">VLOOKUP($AG24,$AL$4:$AS$15,8)*AH24*AU24</f>
        <v>#VALUE!</v>
      </c>
      <c r="W24" s="503"/>
      <c r="X24" s="504" t="e">
        <f aca="false">((BM24*BC24)+(BL24*BB24))*AH24*F24</f>
        <v>#VALUE!</v>
      </c>
      <c r="Y24" s="504" t="e">
        <f aca="false">($F24*$AH24)*((($BG24/2)*($BC24)^2)+(($BF24/2)*($BB24)^2)+($BH24*$BC24*$BB24))</f>
        <v>#VALUE!</v>
      </c>
      <c r="Z24" s="504" t="e">
        <f aca="false">($BI24*$F24*$AH24*($G$5-$BV$5))/365.25</f>
        <v>#VALUE!</v>
      </c>
      <c r="AA24" s="504" t="e">
        <f aca="false">(($BK24*$BE24)+($BJ24*$BD24))*$F24*$AH24*$AF24</f>
        <v>#VALUE!</v>
      </c>
      <c r="AB24" s="504" t="e">
        <f aca="false">BN24*(AT24-CA24)*F24*AH24</f>
        <v>#VALUE!</v>
      </c>
      <c r="AC24" s="504" t="e">
        <f aca="false">BO24*CB24*F24*AH24*CA24*($G$5-$BV$5)/365.25</f>
        <v>#NAME?</v>
      </c>
      <c r="AF24" s="378" t="e">
        <f aca="false">IF(AND(D24&gt;=$G$7,D24&lt;=$G$8),1,0)</f>
        <v>#VALUE!</v>
      </c>
      <c r="AG24" s="378" t="e">
        <f aca="false">MONTH(D24)</f>
        <v>#VALUE!</v>
      </c>
      <c r="AH24" s="378" t="e">
        <f aca="false">(EOMONTH(D24,0)-EOMONTH(D24-DAY(D24),0))*AF24</f>
        <v>#VALUE!</v>
      </c>
      <c r="AI24" s="378" t="e">
        <f aca="false">AI23+AH23</f>
        <v>#VALUE!</v>
      </c>
      <c r="AJ24" s="378" t="e">
        <f aca="false">D24-$BV$5</f>
        <v>#VALUE!</v>
      </c>
      <c r="AL24" s="369" t="e">
        <f aca="false">VLOOKUP($D24,CurveTbl,$AK$4)</f>
        <v>#VALUE!</v>
      </c>
      <c r="AM24" s="505" t="e">
        <f aca="false">VLOOKUP($D24,CurveTbl,$AH$3)</f>
        <v>#VALUE!</v>
      </c>
      <c r="AN24" s="505" t="e">
        <f aca="false">VLOOKUP($D24,CurveTbl,$AH$4)+VLOOKUP($AG24,$AL$3:$AS$15,6)</f>
        <v>#VALUE!</v>
      </c>
      <c r="AO24" s="505" t="e">
        <f aca="false">VLOOKUP($D24,CurveTbl,$AH$5)</f>
        <v>#VALUE!</v>
      </c>
      <c r="AP24" s="505" t="e">
        <f aca="false">VLOOKUP($D24,CurveTbl,$AH$6)+VLOOKUP($AG24,$AL$3:$AS$15,7)</f>
        <v>#VALUE!</v>
      </c>
      <c r="AQ24" s="369" t="e">
        <f aca="false">VLOOKUP($AG24,$AL$4:$AS$15,3)+VLOOKUP($AG24,$AL$4:$AS$15,5)+($AH$10*VLOOKUP(D24,GRITable,2))</f>
        <v>#VALUE!</v>
      </c>
      <c r="AR24" s="370" t="e">
        <f aca="false">VLOOKUP($AG24,$AL$4:$AS$15,4)</f>
        <v>#VALUE!</v>
      </c>
      <c r="AS24" s="369" t="e">
        <f aca="false">(AL24+AM24+AN24)</f>
        <v>#VALUE!</v>
      </c>
      <c r="AT24" s="370" t="e">
        <f aca="false">VLOOKUP(D24,CurveTbl,$AK$6)</f>
        <v>#VALUE!</v>
      </c>
      <c r="AU24" s="370" t="e">
        <f aca="false">(1+$AT24/2)^(-2*($D24-$G$5)/365.25)*$AF24</f>
        <v>#VALUE!</v>
      </c>
      <c r="AV24" s="506" t="e">
        <f aca="false">ROUND((F24/(1-AR24))-F24,0)*AF24*AH24*AU24</f>
        <v>#VALUE!</v>
      </c>
      <c r="AW24" s="370" t="e">
        <f aca="false">VLOOKUP($D24,CurveTbl,$AK$8)</f>
        <v>#VALUE!</v>
      </c>
      <c r="AX24" s="370" t="e">
        <f aca="false">VLOOKUP($D24,CurveTbl,$AH$7)</f>
        <v>#VALUE!</v>
      </c>
      <c r="AY24" s="370" t="e">
        <f aca="false">VLOOKUP($D24,CurveTbl,$AH$8)</f>
        <v>#VALUE!</v>
      </c>
      <c r="AZ24" s="370"/>
      <c r="BA24" s="507"/>
      <c r="BB24" s="505" t="e">
        <f aca="false">$H24-$BV24</f>
        <v>#VALUE!</v>
      </c>
      <c r="BC24" s="505" t="e">
        <f aca="false">I24-BW24</f>
        <v>#VALUE!</v>
      </c>
      <c r="BD24" s="370" t="e">
        <f aca="false">N24-BX24</f>
        <v>#VALUE!</v>
      </c>
      <c r="BE24" s="370" t="e">
        <f aca="false">O24-BY24</f>
        <v>#VALUE!</v>
      </c>
      <c r="BF24" s="370" t="e">
        <f aca="false">xSPRDOPT($BW24,$BV24,$CG24,0,$BY24,$BX24,$BZ24,$AJ24,1,4)*$CB24</f>
        <v>#NAME?</v>
      </c>
      <c r="BG24" s="370" t="e">
        <f aca="false">xSPRDOPT($BW24,$BV24,$CG24,0,$BY24,$BX24,$BZ24,$AJ24,1,3)*$CB24</f>
        <v>#NAME?</v>
      </c>
      <c r="BH24" s="370" t="e">
        <f aca="false">IF(OR(BF24&lt;&gt;0,BG24&lt;&gt;0),xSPRDOPT($BW24,$BV24,$CG24,0,$BY24,$BX24,$BZ24,$AJ24,1,12)*$CB24,0)</f>
        <v>#NAME?</v>
      </c>
      <c r="BI24" s="370" t="e">
        <f aca="false">xSPRDOPT($BW24,$BV24,$CG24,2*LN(1+CA24/2),$BY24,$BX24,$BZ24,$AJ24,1,9)</f>
        <v>#NAME?</v>
      </c>
      <c r="BJ24" s="370" t="e">
        <f aca="false">xSPRDOPT($BW24,$BV24,$CG24,0,$BY24,$BX24,$BZ24,$AJ24,1,6)*$CB24</f>
        <v>#NAME?</v>
      </c>
      <c r="BK24" s="370" t="e">
        <f aca="false">xSPRDOPT($BW24,$BV24,$CG24,0,$BY24,$BX24,$BZ24,$AJ24,1,5)*$CB24</f>
        <v>#NAME?</v>
      </c>
      <c r="BL24" s="370" t="e">
        <f aca="false">xSPRDOPT(BW24,BV24,CG24,0,BY24,BX24,BZ24,AJ24,1,2)*CB24</f>
        <v>#NAME?</v>
      </c>
      <c r="BM24" s="370" t="e">
        <f aca="false">xSPRDOPT(BW24,BV24,CG24,0,BY24,BX24,BZ24,AJ24,1,1)*CB24</f>
        <v>#NAME?</v>
      </c>
      <c r="BN24" s="370" t="e">
        <f aca="false">IF(AH24&lt;&gt;0,xSPRDOPT($BW24,$BV24,$CG24,2*LN(1+CA24/2),$BY24,$BX24,$BZ24,$AJ24,1,8)+(AJ24/365.25)*CH24/AH24,0)</f>
        <v>#VALUE!</v>
      </c>
      <c r="BO24" s="370" t="e">
        <f aca="false">xSPRDOPT($BW24,$BV24,$CG24,0,$BY24,$BX24,$BZ24,$AJ24,1,0)</f>
        <v>#NAME?</v>
      </c>
      <c r="BP24" s="370"/>
      <c r="BQ24" s="370"/>
      <c r="BR24" s="370"/>
      <c r="BS24" s="370"/>
      <c r="BV24" s="508" t="n">
        <v>3.51506024096386</v>
      </c>
      <c r="BW24" s="369" t="n">
        <v>3.536</v>
      </c>
      <c r="BX24" s="370" t="n">
        <v>0.580098732024006</v>
      </c>
      <c r="BY24" s="370" t="n">
        <v>0.576044779361258</v>
      </c>
      <c r="BZ24" s="370" t="n">
        <v>0.99565559476111</v>
      </c>
      <c r="CA24" s="370" t="n">
        <v>0.0250384261928196</v>
      </c>
      <c r="CB24" s="370" t="n">
        <v>0.97331647833328</v>
      </c>
      <c r="CC24" s="505" t="n">
        <v>0.025</v>
      </c>
      <c r="CD24" s="505" t="n">
        <v>0.03</v>
      </c>
      <c r="CE24" s="505" t="n">
        <v>0.09</v>
      </c>
      <c r="CF24" s="505" t="n">
        <v>0</v>
      </c>
      <c r="CG24" s="505" t="n">
        <v>0.0006</v>
      </c>
      <c r="CH24" s="505" t="n">
        <v>1.50864054141658</v>
      </c>
      <c r="CI24" s="505" t="n">
        <v>3.446</v>
      </c>
      <c r="CJ24" s="505"/>
      <c r="CK24" s="505"/>
      <c r="CL24" s="505"/>
      <c r="CM24" s="505"/>
    </row>
    <row r="25" customFormat="false" ht="12.75" hidden="false" customHeight="false" outlineLevel="0" collapsed="false">
      <c r="A25" s="500"/>
      <c r="B25" s="500"/>
      <c r="D25" s="361" t="e">
        <f aca="false">D24+AH24</f>
        <v>#VALUE!</v>
      </c>
      <c r="F25" s="362" t="e">
        <f aca="false">VLOOKUP(AG25,$AL$4:$AS$15,2)</f>
        <v>#VALUE!</v>
      </c>
      <c r="G25" s="362" t="e">
        <f aca="false">F25*$AU25</f>
        <v>#VALUE!</v>
      </c>
      <c r="H25" s="363" t="e">
        <f aca="false">(AL25+AM25+AN25)/(1-(AR25))</f>
        <v>#VALUE!</v>
      </c>
      <c r="I25" s="363" t="e">
        <f aca="false">(AL25+AO25+AP25)</f>
        <v>#VALUE!</v>
      </c>
      <c r="K25" s="363" t="e">
        <f aca="false">MAX(((I25-H25)-AQ25)*AU25*AH25,0)</f>
        <v>#VALUE!</v>
      </c>
      <c r="L25" s="501" t="e">
        <f aca="false">MAX(Q25-K25,0)</f>
        <v>#VALUE!</v>
      </c>
      <c r="N25" s="502" t="e">
        <f aca="false">SQRT(($AX25^2*($AH25/2)+$AW25^2*$AI25)/(($AH25/2)+$AI25))</f>
        <v>#VALUE!</v>
      </c>
      <c r="O25" s="502" t="e">
        <f aca="false">SQRT(($AY25^2*($AH25/2)+$AW25^2*$AI25)/(($AH25/2)+$AI25))</f>
        <v>#VALUE!</v>
      </c>
      <c r="P25" s="371" t="e">
        <f aca="false">(VLOOKUP(AI25,CorrelationTwo,2)*(AW25^2)*AI25+VLOOKUP(D25,CorrelationOne,$AK$9)*AX25*AY25*(AH25/2))/((AI25+(AH25/2))*O25*N25)*AF25</f>
        <v>#VALUE!</v>
      </c>
      <c r="Q25" s="501" t="e">
        <f aca="false">xSPRDOPT(I25,H25,AQ25,0,O25,N25,P25,D25-$G$5,1,0)*AH25*AU25</f>
        <v>#VALUE!</v>
      </c>
      <c r="R25" s="501"/>
      <c r="S25" s="365" t="e">
        <f aca="false">xSPRDOPT(I25,H25,AQ25,AT25,O25,N25,P25,D25-$G$5,1,2)*AF25*(F25/(1-AR25))*AH25</f>
        <v>#VALUE!</v>
      </c>
      <c r="T25" s="365" t="e">
        <f aca="false">xSPRDOPT(I25,H25,AQ25,AT25,O25,N25,P25,D25-$G$5,1,1)*AF25*F25*AH25</f>
        <v>#VALUE!</v>
      </c>
      <c r="U25" s="501"/>
      <c r="V25" s="503" t="e">
        <f aca="false">VLOOKUP($AG25,$AL$4:$AS$15,8)*AH25*AU25</f>
        <v>#VALUE!</v>
      </c>
      <c r="W25" s="503"/>
      <c r="X25" s="504" t="e">
        <f aca="false">((BM25*BC25)+(BL25*BB25))*AH25*F25</f>
        <v>#VALUE!</v>
      </c>
      <c r="Y25" s="504" t="e">
        <f aca="false">($F25*$AH25)*((($BG25/2)*($BC25)^2)+(($BF25/2)*($BB25)^2)+($BH25*$BC25*$BB25))</f>
        <v>#VALUE!</v>
      </c>
      <c r="Z25" s="504" t="e">
        <f aca="false">($BI25*$F25*$AH25*($G$5-$BV$5))/365.25</f>
        <v>#VALUE!</v>
      </c>
      <c r="AA25" s="504" t="e">
        <f aca="false">(($BK25*$BE25)+($BJ25*$BD25))*$F25*$AH25*$AF25</f>
        <v>#VALUE!</v>
      </c>
      <c r="AB25" s="504" t="e">
        <f aca="false">BN25*(AT25-CA25)*F25*AH25</f>
        <v>#VALUE!</v>
      </c>
      <c r="AC25" s="504" t="e">
        <f aca="false">BO25*CB25*F25*AH25*CA25*($G$5-$BV$5)/365.25</f>
        <v>#NAME?</v>
      </c>
      <c r="AF25" s="378" t="e">
        <f aca="false">IF(AND(D25&gt;=$G$7,D25&lt;=$G$8),1,0)</f>
        <v>#VALUE!</v>
      </c>
      <c r="AG25" s="378" t="e">
        <f aca="false">MONTH(D25)</f>
        <v>#VALUE!</v>
      </c>
      <c r="AH25" s="378" t="e">
        <f aca="false">(EOMONTH(D25,0)-EOMONTH(D25-DAY(D25),0))*AF25</f>
        <v>#VALUE!</v>
      </c>
      <c r="AI25" s="378" t="e">
        <f aca="false">AI24+AH24</f>
        <v>#VALUE!</v>
      </c>
      <c r="AJ25" s="378" t="e">
        <f aca="false">D25-$BV$5</f>
        <v>#VALUE!</v>
      </c>
      <c r="AL25" s="369" t="e">
        <f aca="false">VLOOKUP($D25,CurveTbl,$AK$4)</f>
        <v>#VALUE!</v>
      </c>
      <c r="AM25" s="505" t="e">
        <f aca="false">VLOOKUP($D25,CurveTbl,$AH$3)</f>
        <v>#VALUE!</v>
      </c>
      <c r="AN25" s="505" t="e">
        <f aca="false">VLOOKUP($D25,CurveTbl,$AH$4)+VLOOKUP($AG25,$AL$3:$AS$15,6)</f>
        <v>#VALUE!</v>
      </c>
      <c r="AO25" s="505" t="e">
        <f aca="false">VLOOKUP($D25,CurveTbl,$AH$5)</f>
        <v>#VALUE!</v>
      </c>
      <c r="AP25" s="505" t="e">
        <f aca="false">VLOOKUP($D25,CurveTbl,$AH$6)+VLOOKUP($AG25,$AL$3:$AS$15,7)</f>
        <v>#VALUE!</v>
      </c>
      <c r="AQ25" s="369" t="e">
        <f aca="false">VLOOKUP($AG25,$AL$4:$AS$15,3)+VLOOKUP($AG25,$AL$4:$AS$15,5)+($AH$10*VLOOKUP(D25,GRITable,2))</f>
        <v>#VALUE!</v>
      </c>
      <c r="AR25" s="370" t="e">
        <f aca="false">VLOOKUP($AG25,$AL$4:$AS$15,4)</f>
        <v>#VALUE!</v>
      </c>
      <c r="AS25" s="369" t="e">
        <f aca="false">(AL25+AM25+AN25)</f>
        <v>#VALUE!</v>
      </c>
      <c r="AT25" s="370" t="e">
        <f aca="false">VLOOKUP(D25,CurveTbl,$AK$6)</f>
        <v>#VALUE!</v>
      </c>
      <c r="AU25" s="370" t="e">
        <f aca="false">(1+$AT25/2)^(-2*($D25-$G$5)/365.25)*$AF25</f>
        <v>#VALUE!</v>
      </c>
      <c r="AV25" s="506" t="e">
        <f aca="false">ROUND((F25/(1-AR25))-F25,0)*AF25*AH25*AU25</f>
        <v>#VALUE!</v>
      </c>
      <c r="AW25" s="370" t="e">
        <f aca="false">VLOOKUP($D25,CurveTbl,$AK$8)</f>
        <v>#VALUE!</v>
      </c>
      <c r="AX25" s="370" t="e">
        <f aca="false">VLOOKUP($D25,CurveTbl,$AH$7)</f>
        <v>#VALUE!</v>
      </c>
      <c r="AY25" s="370" t="e">
        <f aca="false">VLOOKUP($D25,CurveTbl,$AH$8)</f>
        <v>#VALUE!</v>
      </c>
      <c r="AZ25" s="370"/>
      <c r="BA25" s="507"/>
      <c r="BB25" s="505" t="e">
        <f aca="false">$H25-$BV25</f>
        <v>#VALUE!</v>
      </c>
      <c r="BC25" s="505" t="e">
        <f aca="false">I25-BW25</f>
        <v>#VALUE!</v>
      </c>
      <c r="BD25" s="370" t="e">
        <f aca="false">N25-BX25</f>
        <v>#VALUE!</v>
      </c>
      <c r="BE25" s="370" t="e">
        <f aca="false">O25-BY25</f>
        <v>#VALUE!</v>
      </c>
      <c r="BF25" s="370" t="e">
        <f aca="false">xSPRDOPT($BW25,$BV25,$CG25,0,$BY25,$BX25,$BZ25,$AJ25,1,4)*$CB25</f>
        <v>#NAME?</v>
      </c>
      <c r="BG25" s="370" t="e">
        <f aca="false">xSPRDOPT($BW25,$BV25,$CG25,0,$BY25,$BX25,$BZ25,$AJ25,1,3)*$CB25</f>
        <v>#NAME?</v>
      </c>
      <c r="BH25" s="370" t="e">
        <f aca="false">IF(OR(BF25&lt;&gt;0,BG25&lt;&gt;0),xSPRDOPT($BW25,$BV25,$CG25,0,$BY25,$BX25,$BZ25,$AJ25,1,12)*$CB25,0)</f>
        <v>#NAME?</v>
      </c>
      <c r="BI25" s="370" t="e">
        <f aca="false">xSPRDOPT($BW25,$BV25,$CG25,2*LN(1+CA25/2),$BY25,$BX25,$BZ25,$AJ25,1,9)</f>
        <v>#NAME?</v>
      </c>
      <c r="BJ25" s="370" t="e">
        <f aca="false">xSPRDOPT($BW25,$BV25,$CG25,0,$BY25,$BX25,$BZ25,$AJ25,1,6)*$CB25</f>
        <v>#NAME?</v>
      </c>
      <c r="BK25" s="370" t="e">
        <f aca="false">xSPRDOPT($BW25,$BV25,$CG25,0,$BY25,$BX25,$BZ25,$AJ25,1,5)*$CB25</f>
        <v>#NAME?</v>
      </c>
      <c r="BL25" s="370" t="e">
        <f aca="false">xSPRDOPT(BW25,BV25,CG25,0,BY25,BX25,BZ25,AJ25,1,2)*CB25</f>
        <v>#NAME?</v>
      </c>
      <c r="BM25" s="370" t="e">
        <f aca="false">xSPRDOPT(BW25,BV25,CG25,0,BY25,BX25,BZ25,AJ25,1,1)*CB25</f>
        <v>#NAME?</v>
      </c>
      <c r="BN25" s="370" t="e">
        <f aca="false">IF(AH25&lt;&gt;0,xSPRDOPT($BW25,$BV25,$CG25,2*LN(1+CA25/2),$BY25,$BX25,$BZ25,$AJ25,1,8)+(AJ25/365.25)*CH25/AH25,0)</f>
        <v>#VALUE!</v>
      </c>
      <c r="BO25" s="370" t="e">
        <f aca="false">xSPRDOPT($BW25,$BV25,$CG25,0,$BY25,$BX25,$BZ25,$AJ25,1,0)</f>
        <v>#NAME?</v>
      </c>
      <c r="BP25" s="370"/>
      <c r="BQ25" s="370"/>
      <c r="BR25" s="370"/>
      <c r="BS25" s="370"/>
      <c r="BV25" s="508" t="n">
        <v>3.43473895582329</v>
      </c>
      <c r="BW25" s="369" t="n">
        <v>3.451</v>
      </c>
      <c r="BX25" s="370" t="n">
        <v>0.564483651866287</v>
      </c>
      <c r="BY25" s="370" t="n">
        <v>0.560981465325952</v>
      </c>
      <c r="BZ25" s="370" t="n">
        <v>0.996142143164473</v>
      </c>
      <c r="CA25" s="370" t="n">
        <v>0.0260449864197474</v>
      </c>
      <c r="CB25" s="370" t="n">
        <v>0.970132608451962</v>
      </c>
      <c r="CC25" s="505" t="n">
        <v>0.02</v>
      </c>
      <c r="CD25" s="505" t="n">
        <v>0.03</v>
      </c>
      <c r="CE25" s="505" t="n">
        <v>0.08</v>
      </c>
      <c r="CF25" s="505" t="n">
        <v>0</v>
      </c>
      <c r="CG25" s="505" t="n">
        <v>0.0006</v>
      </c>
      <c r="CH25" s="505" t="n">
        <v>1.35818565183275</v>
      </c>
      <c r="CI25" s="505" t="n">
        <v>3.371</v>
      </c>
      <c r="CJ25" s="505"/>
      <c r="CK25" s="505"/>
      <c r="CL25" s="505"/>
      <c r="CM25" s="505"/>
    </row>
    <row r="26" customFormat="false" ht="12.75" hidden="false" customHeight="false" outlineLevel="0" collapsed="false">
      <c r="A26" s="500"/>
      <c r="B26" s="500"/>
      <c r="D26" s="361" t="e">
        <f aca="false">D25+AH25</f>
        <v>#VALUE!</v>
      </c>
      <c r="F26" s="362" t="e">
        <f aca="false">VLOOKUP(AG26,$AL$4:$AS$15,2)</f>
        <v>#VALUE!</v>
      </c>
      <c r="G26" s="362" t="e">
        <f aca="false">F26*$AU26</f>
        <v>#VALUE!</v>
      </c>
      <c r="H26" s="363" t="e">
        <f aca="false">(AL26+AM26+AN26)/(1-(AR26))</f>
        <v>#VALUE!</v>
      </c>
      <c r="I26" s="363" t="e">
        <f aca="false">(AL26+AO26+AP26)</f>
        <v>#VALUE!</v>
      </c>
      <c r="K26" s="363" t="e">
        <f aca="false">MAX(((I26-H26)-AQ26)*AU26*AH26,0)</f>
        <v>#VALUE!</v>
      </c>
      <c r="L26" s="501" t="e">
        <f aca="false">MAX(Q26-K26,0)</f>
        <v>#VALUE!</v>
      </c>
      <c r="N26" s="502" t="e">
        <f aca="false">SQRT(($AX26^2*($AH26/2)+$AW26^2*$AI26)/(($AH26/2)+$AI26))</f>
        <v>#VALUE!</v>
      </c>
      <c r="O26" s="502" t="e">
        <f aca="false">SQRT(($AY26^2*($AH26/2)+$AW26^2*$AI26)/(($AH26/2)+$AI26))</f>
        <v>#VALUE!</v>
      </c>
      <c r="P26" s="371" t="e">
        <f aca="false">(VLOOKUP(AI26,CorrelationTwo,2)*(AW26^2)*AI26+VLOOKUP(D26,CorrelationOne,$AK$9)*AX26*AY26*(AH26/2))/((AI26+(AH26/2))*O26*N26)*AF26</f>
        <v>#VALUE!</v>
      </c>
      <c r="Q26" s="501" t="e">
        <f aca="false">xSPRDOPT(I26,H26,AQ26,0,O26,N26,P26,D26-$G$5,1,0)*AH26*AU26</f>
        <v>#VALUE!</v>
      </c>
      <c r="R26" s="501"/>
      <c r="S26" s="365" t="e">
        <f aca="false">xSPRDOPT(I26,H26,AQ26,AT26,O26,N26,P26,D26-$G$5,1,2)*AF26*(F26/(1-AR26))*AH26</f>
        <v>#VALUE!</v>
      </c>
      <c r="T26" s="365" t="e">
        <f aca="false">xSPRDOPT(I26,H26,AQ26,AT26,O26,N26,P26,D26-$G$5,1,1)*AF26*F26*AH26</f>
        <v>#VALUE!</v>
      </c>
      <c r="U26" s="501"/>
      <c r="V26" s="503" t="e">
        <f aca="false">VLOOKUP($AG26,$AL$4:$AS$15,8)*AH26*AU26</f>
        <v>#VALUE!</v>
      </c>
      <c r="W26" s="503"/>
      <c r="X26" s="504" t="e">
        <f aca="false">((BM26*BC26)+(BL26*BB26))*AH26*F26</f>
        <v>#VALUE!</v>
      </c>
      <c r="Y26" s="504" t="e">
        <f aca="false">($F26*$AH26)*((($BG26/2)*($BC26)^2)+(($BF26/2)*($BB26)^2)+($BH26*$BC26*$BB26))</f>
        <v>#VALUE!</v>
      </c>
      <c r="Z26" s="504" t="e">
        <f aca="false">($BI26*$F26*$AH26*($G$5-$BV$5))/365.25</f>
        <v>#VALUE!</v>
      </c>
      <c r="AA26" s="504" t="e">
        <f aca="false">(($BK26*$BE26)+($BJ26*$BD26))*$F26*$AH26*$AF26</f>
        <v>#VALUE!</v>
      </c>
      <c r="AB26" s="504" t="e">
        <f aca="false">BN26*(AT26-CA26)*F26*AH26</f>
        <v>#VALUE!</v>
      </c>
      <c r="AC26" s="504" t="e">
        <f aca="false">BO26*CB26*F26*AH26*CA26*($G$5-$BV$5)/365.25</f>
        <v>#NAME?</v>
      </c>
      <c r="AF26" s="378" t="e">
        <f aca="false">IF(AND(D26&gt;=$G$7,D26&lt;=$G$8),1,0)</f>
        <v>#VALUE!</v>
      </c>
      <c r="AG26" s="378" t="e">
        <f aca="false">MONTH(D26)</f>
        <v>#VALUE!</v>
      </c>
      <c r="AH26" s="378" t="e">
        <f aca="false">(EOMONTH(D26,0)-EOMONTH(D26-DAY(D26),0))*AF26</f>
        <v>#VALUE!</v>
      </c>
      <c r="AI26" s="378" t="e">
        <f aca="false">AI25+AH25</f>
        <v>#VALUE!</v>
      </c>
      <c r="AJ26" s="378" t="e">
        <f aca="false">D26-$BV$5</f>
        <v>#VALUE!</v>
      </c>
      <c r="AL26" s="369" t="e">
        <f aca="false">VLOOKUP($D26,CurveTbl,$AK$4)</f>
        <v>#VALUE!</v>
      </c>
      <c r="AM26" s="505" t="e">
        <f aca="false">VLOOKUP($D26,CurveTbl,$AH$3)</f>
        <v>#VALUE!</v>
      </c>
      <c r="AN26" s="505" t="e">
        <f aca="false">VLOOKUP($D26,CurveTbl,$AH$4)+VLOOKUP($AG26,$AL$3:$AS$15,6)</f>
        <v>#VALUE!</v>
      </c>
      <c r="AO26" s="505" t="e">
        <f aca="false">VLOOKUP($D26,CurveTbl,$AH$5)</f>
        <v>#VALUE!</v>
      </c>
      <c r="AP26" s="505" t="e">
        <f aca="false">VLOOKUP($D26,CurveTbl,$AH$6)+VLOOKUP($AG26,$AL$3:$AS$15,7)</f>
        <v>#VALUE!</v>
      </c>
      <c r="AQ26" s="369" t="e">
        <f aca="false">VLOOKUP($AG26,$AL$4:$AS$15,3)+VLOOKUP($AG26,$AL$4:$AS$15,5)+($AH$10*VLOOKUP(D26,GRITable,2))</f>
        <v>#VALUE!</v>
      </c>
      <c r="AR26" s="370" t="e">
        <f aca="false">VLOOKUP($AG26,$AL$4:$AS$15,4)</f>
        <v>#VALUE!</v>
      </c>
      <c r="AS26" s="369" t="e">
        <f aca="false">(AL26+AM26+AN26)</f>
        <v>#VALUE!</v>
      </c>
      <c r="AT26" s="370" t="e">
        <f aca="false">VLOOKUP(D26,CurveTbl,$AK$6)</f>
        <v>#VALUE!</v>
      </c>
      <c r="AU26" s="370" t="e">
        <f aca="false">(1+$AT26/2)^(-2*($D26-$G$5)/365.25)*$AF26</f>
        <v>#VALUE!</v>
      </c>
      <c r="AV26" s="506" t="e">
        <f aca="false">ROUND((F26/(1-AR26))-F26,0)*AF26*AH26*AU26</f>
        <v>#VALUE!</v>
      </c>
      <c r="AW26" s="370" t="e">
        <f aca="false">VLOOKUP($D26,CurveTbl,$AK$8)</f>
        <v>#VALUE!</v>
      </c>
      <c r="AX26" s="370" t="e">
        <f aca="false">VLOOKUP($D26,CurveTbl,$AH$7)</f>
        <v>#VALUE!</v>
      </c>
      <c r="AY26" s="370" t="e">
        <f aca="false">VLOOKUP($D26,CurveTbl,$AH$8)</f>
        <v>#VALUE!</v>
      </c>
      <c r="AZ26" s="370"/>
      <c r="BA26" s="507"/>
      <c r="BB26" s="505" t="e">
        <f aca="false">$H26-$BV26</f>
        <v>#VALUE!</v>
      </c>
      <c r="BC26" s="505" t="e">
        <f aca="false">I26-BW26</f>
        <v>#VALUE!</v>
      </c>
      <c r="BD26" s="370" t="e">
        <f aca="false">N26-BX26</f>
        <v>#VALUE!</v>
      </c>
      <c r="BE26" s="370" t="e">
        <f aca="false">O26-BY26</f>
        <v>#VALUE!</v>
      </c>
      <c r="BF26" s="370" t="e">
        <f aca="false">xSPRDOPT($BW26,$BV26,$CG26,0,$BY26,$BX26,$BZ26,$AJ26,1,4)*$CB26</f>
        <v>#NAME?</v>
      </c>
      <c r="BG26" s="370" t="e">
        <f aca="false">xSPRDOPT($BW26,$BV26,$CG26,0,$BY26,$BX26,$BZ26,$AJ26,1,3)*$CB26</f>
        <v>#NAME?</v>
      </c>
      <c r="BH26" s="370" t="e">
        <f aca="false">IF(OR(BF26&lt;&gt;0,BG26&lt;&gt;0),xSPRDOPT($BW26,$BV26,$CG26,0,$BY26,$BX26,$BZ26,$AJ26,1,12)*$CB26,0)</f>
        <v>#NAME?</v>
      </c>
      <c r="BI26" s="370" t="e">
        <f aca="false">xSPRDOPT($BW26,$BV26,$CG26,2*LN(1+CA26/2),$BY26,$BX26,$BZ26,$AJ26,1,9)</f>
        <v>#NAME?</v>
      </c>
      <c r="BJ26" s="370" t="e">
        <f aca="false">xSPRDOPT($BW26,$BV26,$CG26,0,$BY26,$BX26,$BZ26,$AJ26,1,6)*$CB26</f>
        <v>#NAME?</v>
      </c>
      <c r="BK26" s="370" t="e">
        <f aca="false">xSPRDOPT($BW26,$BV26,$CG26,0,$BY26,$BX26,$BZ26,$AJ26,1,5)*$CB26</f>
        <v>#NAME?</v>
      </c>
      <c r="BL26" s="370" t="e">
        <f aca="false">xSPRDOPT(BW26,BV26,CG26,0,BY26,BX26,BZ26,AJ26,1,2)*CB26</f>
        <v>#NAME?</v>
      </c>
      <c r="BM26" s="370" t="e">
        <f aca="false">xSPRDOPT(BW26,BV26,CG26,0,BY26,BX26,BZ26,AJ26,1,1)*CB26</f>
        <v>#NAME?</v>
      </c>
      <c r="BN26" s="370" t="e">
        <f aca="false">IF(AH26&lt;&gt;0,xSPRDOPT($BW26,$BV26,$CG26,2*LN(1+CA26/2),$BY26,$BX26,$BZ26,$AJ26,1,8)+(AJ26/365.25)*CH26/AH26,0)</f>
        <v>#VALUE!</v>
      </c>
      <c r="BO26" s="370" t="e">
        <f aca="false">xSPRDOPT($BW26,$BV26,$CG26,0,$BY26,$BX26,$BZ26,$AJ26,1,0)</f>
        <v>#NAME?</v>
      </c>
      <c r="BP26" s="370"/>
      <c r="BQ26" s="370"/>
      <c r="BR26" s="370"/>
      <c r="BS26" s="370"/>
      <c r="BV26" s="508" t="n">
        <v>3.32429718875502</v>
      </c>
      <c r="BW26" s="369" t="n">
        <v>3.356</v>
      </c>
      <c r="BX26" s="370" t="n">
        <v>0.508829176784843</v>
      </c>
      <c r="BY26" s="370" t="n">
        <v>0.50293567145062</v>
      </c>
      <c r="BZ26" s="370" t="n">
        <v>0.996851109757029</v>
      </c>
      <c r="CA26" s="370" t="n">
        <v>0.0269541378866576</v>
      </c>
      <c r="CB26" s="370" t="n">
        <v>0.967126070368611</v>
      </c>
      <c r="CC26" s="505" t="n">
        <v>0</v>
      </c>
      <c r="CD26" s="505" t="n">
        <v>0.03</v>
      </c>
      <c r="CE26" s="505" t="n">
        <v>0.075</v>
      </c>
      <c r="CF26" s="505" t="n">
        <v>0</v>
      </c>
      <c r="CG26" s="505" t="n">
        <v>0.0006</v>
      </c>
      <c r="CH26" s="505" t="n">
        <v>1.49904540907135</v>
      </c>
      <c r="CI26" s="505" t="n">
        <v>3.281</v>
      </c>
      <c r="CJ26" s="505"/>
      <c r="CK26" s="505"/>
      <c r="CL26" s="505"/>
      <c r="CM26" s="505"/>
    </row>
    <row r="27" customFormat="false" ht="12.75" hidden="false" customHeight="false" outlineLevel="0" collapsed="false">
      <c r="A27" s="509"/>
      <c r="B27" s="509"/>
      <c r="C27" s="509"/>
      <c r="D27" s="361" t="e">
        <f aca="false">D26+AH26</f>
        <v>#VALUE!</v>
      </c>
      <c r="F27" s="362" t="e">
        <f aca="false">VLOOKUP(AG27,$AL$4:$AS$15,2)</f>
        <v>#VALUE!</v>
      </c>
      <c r="G27" s="362" t="e">
        <f aca="false">F27*$AU27</f>
        <v>#VALUE!</v>
      </c>
      <c r="H27" s="363" t="e">
        <f aca="false">(AL27+AM27+AN27)/(1-(AR27))</f>
        <v>#VALUE!</v>
      </c>
      <c r="I27" s="363" t="e">
        <f aca="false">(AL27+AO27+AP27)</f>
        <v>#VALUE!</v>
      </c>
      <c r="K27" s="363" t="e">
        <f aca="false">MAX(((I27-H27)-AQ27)*AU27*AH27,0)</f>
        <v>#VALUE!</v>
      </c>
      <c r="L27" s="501" t="e">
        <f aca="false">MAX(Q27-K27,0)</f>
        <v>#VALUE!</v>
      </c>
      <c r="N27" s="502" t="e">
        <f aca="false">SQRT(($AX27^2*($AH27/2)+$AW27^2*$AI27)/(($AH27/2)+$AI27))</f>
        <v>#VALUE!</v>
      </c>
      <c r="O27" s="502" t="e">
        <f aca="false">SQRT(($AY27^2*($AH27/2)+$AW27^2*$AI27)/(($AH27/2)+$AI27))</f>
        <v>#VALUE!</v>
      </c>
      <c r="P27" s="371" t="e">
        <f aca="false">(VLOOKUP(AI27,CorrelationTwo,2)*(AW27^2)*AI27+VLOOKUP(D27,CorrelationOne,$AK$9)*AX27*AY27*(AH27/2))/((AI27+(AH27/2))*O27*N27)*AF27</f>
        <v>#VALUE!</v>
      </c>
      <c r="Q27" s="501" t="e">
        <f aca="false">xSPRDOPT(I27,H27,AQ27,0,O27,N27,P27,D27-$G$5,1,0)*AH27*AU27</f>
        <v>#VALUE!</v>
      </c>
      <c r="R27" s="501"/>
      <c r="S27" s="365" t="e">
        <f aca="false">xSPRDOPT(I27,H27,AQ27,AT27,O27,N27,P27,D27-$G$5,1,2)*AF27*(F27/(1-AR27))*AH27</f>
        <v>#VALUE!</v>
      </c>
      <c r="T27" s="365" t="e">
        <f aca="false">xSPRDOPT(I27,H27,AQ27,AT27,O27,N27,P27,D27-$G$5,1,1)*AF27*F27*AH27</f>
        <v>#VALUE!</v>
      </c>
      <c r="U27" s="501"/>
      <c r="V27" s="503" t="e">
        <f aca="false">VLOOKUP($AG27,$AL$4:$AS$15,8)*AH27*AU27</f>
        <v>#VALUE!</v>
      </c>
      <c r="W27" s="503"/>
      <c r="X27" s="504" t="e">
        <f aca="false">((BM27*BC27)+(BL27*BB27))*AH27*F27</f>
        <v>#VALUE!</v>
      </c>
      <c r="Y27" s="504" t="e">
        <f aca="false">($F27*$AH27)*((($BG27/2)*($BC27)^2)+(($BF27/2)*($BB27)^2)+($BH27*$BC27*$BB27))</f>
        <v>#VALUE!</v>
      </c>
      <c r="Z27" s="504" t="e">
        <f aca="false">($BI27*$F27*$AH27*($G$5-$BV$5))/365.25</f>
        <v>#VALUE!</v>
      </c>
      <c r="AA27" s="504" t="e">
        <f aca="false">(($BK27*$BE27)+($BJ27*$BD27))*$F27*$AH27*$AF27</f>
        <v>#VALUE!</v>
      </c>
      <c r="AB27" s="504" t="e">
        <f aca="false">BN27*(AT27-CA27)*F27*AH27</f>
        <v>#VALUE!</v>
      </c>
      <c r="AC27" s="504" t="e">
        <f aca="false">BO27*CB27*F27*AH27*CA27*($G$5-$BV$5)/365.25</f>
        <v>#NAME?</v>
      </c>
      <c r="AF27" s="378" t="e">
        <f aca="false">IF(AND(D27&gt;=$G$7,D27&lt;=$G$8),1,0)</f>
        <v>#VALUE!</v>
      </c>
      <c r="AG27" s="378" t="e">
        <f aca="false">MONTH(D27)</f>
        <v>#VALUE!</v>
      </c>
      <c r="AH27" s="378" t="e">
        <f aca="false">(EOMONTH(D27,0)-EOMONTH(D27-DAY(D27),0))*AF27</f>
        <v>#VALUE!</v>
      </c>
      <c r="AI27" s="378" t="e">
        <f aca="false">AI26+AH26</f>
        <v>#VALUE!</v>
      </c>
      <c r="AJ27" s="378" t="e">
        <f aca="false">D27-$BV$5</f>
        <v>#VALUE!</v>
      </c>
      <c r="AL27" s="369" t="e">
        <f aca="false">VLOOKUP($D27,CurveTbl,$AK$4)</f>
        <v>#VALUE!</v>
      </c>
      <c r="AM27" s="505" t="e">
        <f aca="false">VLOOKUP($D27,CurveTbl,$AH$3)</f>
        <v>#VALUE!</v>
      </c>
      <c r="AN27" s="505" t="e">
        <f aca="false">VLOOKUP($D27,CurveTbl,$AH$4)+VLOOKUP($AG27,$AL$3:$AS$15,6)</f>
        <v>#VALUE!</v>
      </c>
      <c r="AO27" s="505" t="e">
        <f aca="false">VLOOKUP($D27,CurveTbl,$AH$5)</f>
        <v>#VALUE!</v>
      </c>
      <c r="AP27" s="505" t="e">
        <f aca="false">VLOOKUP($D27,CurveTbl,$AH$6)+VLOOKUP($AG27,$AL$3:$AS$15,7)</f>
        <v>#VALUE!</v>
      </c>
      <c r="AQ27" s="369" t="e">
        <f aca="false">VLOOKUP($AG27,$AL$4:$AS$15,3)+VLOOKUP($AG27,$AL$4:$AS$15,5)+($AH$10*VLOOKUP(D27,GRITable,2))</f>
        <v>#VALUE!</v>
      </c>
      <c r="AR27" s="370" t="e">
        <f aca="false">VLOOKUP($AG27,$AL$4:$AS$15,4)</f>
        <v>#VALUE!</v>
      </c>
      <c r="AS27" s="369" t="e">
        <f aca="false">(AL27+AM27+AN27)</f>
        <v>#VALUE!</v>
      </c>
      <c r="AT27" s="370" t="e">
        <f aca="false">VLOOKUP(D27,CurveTbl,$AK$6)</f>
        <v>#VALUE!</v>
      </c>
      <c r="AU27" s="370" t="e">
        <f aca="false">(1+$AT27/2)^(-2*($D27-$G$5)/365.25)*$AF27</f>
        <v>#VALUE!</v>
      </c>
      <c r="AV27" s="506" t="e">
        <f aca="false">ROUND((F27/(1-AR27))-F27,0)*AF27*AH27*AU27</f>
        <v>#VALUE!</v>
      </c>
      <c r="AW27" s="370" t="e">
        <f aca="false">VLOOKUP($D27,CurveTbl,$AK$8)</f>
        <v>#VALUE!</v>
      </c>
      <c r="AX27" s="370" t="e">
        <f aca="false">VLOOKUP($D27,CurveTbl,$AH$7)</f>
        <v>#VALUE!</v>
      </c>
      <c r="AY27" s="370" t="e">
        <f aca="false">VLOOKUP($D27,CurveTbl,$AH$8)</f>
        <v>#VALUE!</v>
      </c>
      <c r="AZ27" s="370"/>
      <c r="BA27" s="507"/>
      <c r="BB27" s="505" t="e">
        <f aca="false">$H27-$BV27</f>
        <v>#VALUE!</v>
      </c>
      <c r="BC27" s="505" t="e">
        <f aca="false">I27-BW27</f>
        <v>#VALUE!</v>
      </c>
      <c r="BD27" s="370" t="e">
        <f aca="false">N27-BX27</f>
        <v>#VALUE!</v>
      </c>
      <c r="BE27" s="370" t="e">
        <f aca="false">O27-BY27</f>
        <v>#VALUE!</v>
      </c>
      <c r="BF27" s="370" t="e">
        <f aca="false">xSPRDOPT($BW27,$BV27,$CG27,0,$BY27,$BX27,$BZ27,$AJ27,1,4)*$CB27</f>
        <v>#NAME?</v>
      </c>
      <c r="BG27" s="370" t="e">
        <f aca="false">xSPRDOPT($BW27,$BV27,$CG27,0,$BY27,$BX27,$BZ27,$AJ27,1,3)*$CB27</f>
        <v>#NAME?</v>
      </c>
      <c r="BH27" s="370" t="e">
        <f aca="false">IF(OR(BF27&lt;&gt;0,BG27&lt;&gt;0),xSPRDOPT($BW27,$BV27,$CG27,0,$BY27,$BX27,$BZ27,$AJ27,1,12)*$CB27,0)</f>
        <v>#NAME?</v>
      </c>
      <c r="BI27" s="370" t="e">
        <f aca="false">xSPRDOPT($BW27,$BV27,$CG27,2*LN(1+CA27/2),$BY27,$BX27,$BZ27,$AJ27,1,9)</f>
        <v>#NAME?</v>
      </c>
      <c r="BJ27" s="370" t="e">
        <f aca="false">xSPRDOPT($BW27,$BV27,$CG27,0,$BY27,$BX27,$BZ27,$AJ27,1,6)*$CB27</f>
        <v>#NAME?</v>
      </c>
      <c r="BK27" s="370" t="e">
        <f aca="false">xSPRDOPT($BW27,$BV27,$CG27,0,$BY27,$BX27,$BZ27,$AJ27,1,5)*$CB27</f>
        <v>#NAME?</v>
      </c>
      <c r="BL27" s="370" t="e">
        <f aca="false">xSPRDOPT(BW27,BV27,CG27,0,BY27,BX27,BZ27,AJ27,1,2)*CB27</f>
        <v>#NAME?</v>
      </c>
      <c r="BM27" s="370" t="e">
        <f aca="false">xSPRDOPT(BW27,BV27,CG27,0,BY27,BX27,BZ27,AJ27,1,1)*CB27</f>
        <v>#NAME?</v>
      </c>
      <c r="BN27" s="370" t="e">
        <f aca="false">IF(AH27&lt;&gt;0,xSPRDOPT($BW27,$BV27,$CG27,2*LN(1+CA27/2),$BY27,$BX27,$BZ27,$AJ27,1,8)+(AJ27/365.25)*CH27/AH27,0)</f>
        <v>#VALUE!</v>
      </c>
      <c r="BO27" s="370" t="e">
        <f aca="false">xSPRDOPT($BW27,$BV27,$CG27,0,$BY27,$BX27,$BZ27,$AJ27,1,0)</f>
        <v>#NAME?</v>
      </c>
      <c r="BP27" s="370"/>
      <c r="BQ27" s="370"/>
      <c r="BR27" s="370"/>
      <c r="BS27" s="370"/>
      <c r="BV27" s="508" t="n">
        <v>3.04819277108434</v>
      </c>
      <c r="BW27" s="369" t="n">
        <v>3.081</v>
      </c>
      <c r="BX27" s="370" t="n">
        <v>0.39066962859815</v>
      </c>
      <c r="BY27" s="370" t="n">
        <v>0.39066962859815</v>
      </c>
      <c r="BZ27" s="370" t="n">
        <v>0.998839955575266</v>
      </c>
      <c r="CA27" s="370" t="n">
        <v>0.0279745964320606</v>
      </c>
      <c r="CB27" s="370" t="n">
        <v>0.963636615990319</v>
      </c>
      <c r="CC27" s="505" t="n">
        <v>-0.09</v>
      </c>
      <c r="CD27" s="505" t="n">
        <v>0</v>
      </c>
      <c r="CE27" s="505" t="n">
        <v>-0.045</v>
      </c>
      <c r="CF27" s="505" t="n">
        <v>0</v>
      </c>
      <c r="CG27" s="505" t="n">
        <v>0.0006</v>
      </c>
      <c r="CH27" s="505" t="n">
        <v>1.44545492398548</v>
      </c>
      <c r="CI27" s="505" t="n">
        <v>3.126</v>
      </c>
      <c r="CJ27" s="505"/>
      <c r="CK27" s="505"/>
      <c r="CL27" s="505"/>
      <c r="CM27" s="505"/>
    </row>
    <row r="28" customFormat="false" ht="12.75" hidden="false" customHeight="false" outlineLevel="0" collapsed="false">
      <c r="A28" s="500"/>
      <c r="B28" s="500"/>
      <c r="D28" s="361" t="e">
        <f aca="false">D27+AH27</f>
        <v>#VALUE!</v>
      </c>
      <c r="F28" s="362" t="e">
        <f aca="false">VLOOKUP(AG28,$AL$4:$AS$15,2)</f>
        <v>#VALUE!</v>
      </c>
      <c r="G28" s="362" t="e">
        <f aca="false">F28*$AU28</f>
        <v>#VALUE!</v>
      </c>
      <c r="H28" s="363" t="e">
        <f aca="false">(AL28+AM28+AN28)/(1-(AR28))</f>
        <v>#VALUE!</v>
      </c>
      <c r="I28" s="363" t="e">
        <f aca="false">(AL28+AO28+AP28)</f>
        <v>#VALUE!</v>
      </c>
      <c r="K28" s="363" t="e">
        <f aca="false">MAX(((I28-H28)-AQ28)*AU28*AH28,0)</f>
        <v>#VALUE!</v>
      </c>
      <c r="L28" s="501" t="e">
        <f aca="false">MAX(Q28-K28,0)</f>
        <v>#VALUE!</v>
      </c>
      <c r="N28" s="502" t="e">
        <f aca="false">SQRT(($AX28^2*($AH28/2)+$AW28^2*$AI28)/(($AH28/2)+$AI28))</f>
        <v>#VALUE!</v>
      </c>
      <c r="O28" s="502" t="e">
        <f aca="false">SQRT(($AY28^2*($AH28/2)+$AW28^2*$AI28)/(($AH28/2)+$AI28))</f>
        <v>#VALUE!</v>
      </c>
      <c r="P28" s="371" t="e">
        <f aca="false">(VLOOKUP(AI28,CorrelationTwo,2)*(AW28^2)*AI28+VLOOKUP(D28,CorrelationOne,$AK$9)*AX28*AY28*(AH28/2))/((AI28+(AH28/2))*O28*N28)*AF28</f>
        <v>#VALUE!</v>
      </c>
      <c r="Q28" s="501" t="e">
        <f aca="false">xSPRDOPT(I28,H28,AQ28,0,O28,N28,P28,D28-$G$5,1,0)*AH28*AU28</f>
        <v>#VALUE!</v>
      </c>
      <c r="R28" s="501"/>
      <c r="S28" s="365" t="e">
        <f aca="false">xSPRDOPT(I28,H28,AQ28,AT28,O28,N28,P28,D28-$G$5,1,2)*AF28*(F28/(1-AR28))*AH28</f>
        <v>#VALUE!</v>
      </c>
      <c r="T28" s="365" t="e">
        <f aca="false">xSPRDOPT(I28,H28,AQ28,AT28,O28,N28,P28,D28-$G$5,1,1)*AF28*F28*AH28</f>
        <v>#VALUE!</v>
      </c>
      <c r="U28" s="501"/>
      <c r="V28" s="503" t="e">
        <f aca="false">VLOOKUP($AG28,$AL$4:$AS$15,8)*AH28*AU28</f>
        <v>#VALUE!</v>
      </c>
      <c r="W28" s="503"/>
      <c r="X28" s="504" t="e">
        <f aca="false">((BM28*BC28)+(BL28*BB28))*AH28*F28</f>
        <v>#VALUE!</v>
      </c>
      <c r="Y28" s="504" t="e">
        <f aca="false">($F28*$AH28)*((($BG28/2)*($BC28)^2)+(($BF28/2)*($BB28)^2)+($BH28*$BC28*$BB28))</f>
        <v>#VALUE!</v>
      </c>
      <c r="Z28" s="504" t="e">
        <f aca="false">($BI28*$F28*$AH28*($G$5-$BV$5))/365.25</f>
        <v>#VALUE!</v>
      </c>
      <c r="AA28" s="504" t="e">
        <f aca="false">(($BK28*$BE28)+($BJ28*$BD28))*$F28*$AH28*$AF28</f>
        <v>#VALUE!</v>
      </c>
      <c r="AB28" s="504" t="e">
        <f aca="false">BN28*(AT28-CA28)*F28*AH28</f>
        <v>#VALUE!</v>
      </c>
      <c r="AC28" s="504" t="e">
        <f aca="false">BO28*CB28*F28*AH28*CA28*($G$5-$BV$5)/365.25</f>
        <v>#NAME?</v>
      </c>
      <c r="AF28" s="378" t="e">
        <f aca="false">IF(AND(D28&gt;=$G$7,D28&lt;=$G$8),1,0)</f>
        <v>#VALUE!</v>
      </c>
      <c r="AG28" s="378" t="e">
        <f aca="false">MONTH(D28)</f>
        <v>#VALUE!</v>
      </c>
      <c r="AH28" s="378" t="e">
        <f aca="false">(EOMONTH(D28,0)-EOMONTH(D28-DAY(D28),0))*AF28</f>
        <v>#VALUE!</v>
      </c>
      <c r="AI28" s="378" t="e">
        <f aca="false">AI27+AH27</f>
        <v>#VALUE!</v>
      </c>
      <c r="AJ28" s="378" t="e">
        <f aca="false">D28-$BV$5</f>
        <v>#VALUE!</v>
      </c>
      <c r="AL28" s="369" t="e">
        <f aca="false">VLOOKUP($D28,CurveTbl,$AK$4)</f>
        <v>#VALUE!</v>
      </c>
      <c r="AM28" s="505" t="e">
        <f aca="false">VLOOKUP($D28,CurveTbl,$AH$3)</f>
        <v>#VALUE!</v>
      </c>
      <c r="AN28" s="505" t="e">
        <f aca="false">VLOOKUP($D28,CurveTbl,$AH$4)+VLOOKUP($AG28,$AL$3:$AS$15,6)</f>
        <v>#VALUE!</v>
      </c>
      <c r="AO28" s="505" t="e">
        <f aca="false">VLOOKUP($D28,CurveTbl,$AH$5)</f>
        <v>#VALUE!</v>
      </c>
      <c r="AP28" s="505" t="e">
        <f aca="false">VLOOKUP($D28,CurveTbl,$AH$6)+VLOOKUP($AG28,$AL$3:$AS$15,7)</f>
        <v>#VALUE!</v>
      </c>
      <c r="AQ28" s="369" t="e">
        <f aca="false">VLOOKUP($AG28,$AL$4:$AS$15,3)+VLOOKUP($AG28,$AL$4:$AS$15,5)+($AH$10*VLOOKUP(D28,GRITable,2))</f>
        <v>#VALUE!</v>
      </c>
      <c r="AR28" s="370" t="e">
        <f aca="false">VLOOKUP($AG28,$AL$4:$AS$15,4)</f>
        <v>#VALUE!</v>
      </c>
      <c r="AS28" s="369" t="e">
        <f aca="false">(AL28+AM28+AN28)</f>
        <v>#VALUE!</v>
      </c>
      <c r="AT28" s="370" t="e">
        <f aca="false">VLOOKUP(D28,CurveTbl,$AK$6)</f>
        <v>#VALUE!</v>
      </c>
      <c r="AU28" s="370" t="e">
        <f aca="false">(1+$AT28/2)^(-2*($D28-$G$5)/365.25)*$AF28</f>
        <v>#VALUE!</v>
      </c>
      <c r="AV28" s="506" t="e">
        <f aca="false">ROUND((F28/(1-AR28))-F28,0)*AF28*AH28*AU28</f>
        <v>#VALUE!</v>
      </c>
      <c r="AW28" s="370" t="e">
        <f aca="false">VLOOKUP($D28,CurveTbl,$AK$8)</f>
        <v>#VALUE!</v>
      </c>
      <c r="AX28" s="370" t="e">
        <f aca="false">VLOOKUP($D28,CurveTbl,$AH$7)</f>
        <v>#VALUE!</v>
      </c>
      <c r="AY28" s="370" t="e">
        <f aca="false">VLOOKUP($D28,CurveTbl,$AH$8)</f>
        <v>#VALUE!</v>
      </c>
      <c r="AZ28" s="370"/>
      <c r="BA28" s="507"/>
      <c r="BB28" s="505" t="e">
        <f aca="false">$H28-$BV28</f>
        <v>#VALUE!</v>
      </c>
      <c r="BC28" s="505" t="e">
        <f aca="false">I28-BW28</f>
        <v>#VALUE!</v>
      </c>
      <c r="BD28" s="370" t="e">
        <f aca="false">N28-BX28</f>
        <v>#VALUE!</v>
      </c>
      <c r="BE28" s="370" t="e">
        <f aca="false">O28-BY28</f>
        <v>#VALUE!</v>
      </c>
      <c r="BF28" s="370" t="e">
        <f aca="false">xSPRDOPT($BW28,$BV28,$CG28,0,$BY28,$BX28,$BZ28,$AJ28,1,4)*$CB28</f>
        <v>#NAME?</v>
      </c>
      <c r="BG28" s="370" t="e">
        <f aca="false">xSPRDOPT($BW28,$BV28,$CG28,0,$BY28,$BX28,$BZ28,$AJ28,1,3)*$CB28</f>
        <v>#NAME?</v>
      </c>
      <c r="BH28" s="370" t="e">
        <f aca="false">IF(OR(BF28&lt;&gt;0,BG28&lt;&gt;0),xSPRDOPT($BW28,$BV28,$CG28,0,$BY28,$BX28,$BZ28,$AJ28,1,12)*$CB28,0)</f>
        <v>#NAME?</v>
      </c>
      <c r="BI28" s="370" t="e">
        <f aca="false">xSPRDOPT($BW28,$BV28,$CG28,2*LN(1+CA28/2),$BY28,$BX28,$BZ28,$AJ28,1,9)</f>
        <v>#NAME?</v>
      </c>
      <c r="BJ28" s="370" t="e">
        <f aca="false">xSPRDOPT($BW28,$BV28,$CG28,0,$BY28,$BX28,$BZ28,$AJ28,1,6)*$CB28</f>
        <v>#NAME?</v>
      </c>
      <c r="BK28" s="370" t="e">
        <f aca="false">xSPRDOPT($BW28,$BV28,$CG28,0,$BY28,$BX28,$BZ28,$AJ28,1,5)*$CB28</f>
        <v>#NAME?</v>
      </c>
      <c r="BL28" s="370" t="e">
        <f aca="false">xSPRDOPT(BW28,BV28,CG28,0,BY28,BX28,BZ28,AJ28,1,2)*CB28</f>
        <v>#NAME?</v>
      </c>
      <c r="BM28" s="370" t="e">
        <f aca="false">xSPRDOPT(BW28,BV28,CG28,0,BY28,BX28,BZ28,AJ28,1,1)*CB28</f>
        <v>#NAME?</v>
      </c>
      <c r="BN28" s="370" t="e">
        <f aca="false">IF(AH28&lt;&gt;0,xSPRDOPT($BW28,$BV28,$CG28,2*LN(1+CA28/2),$BY28,$BX28,$BZ28,$AJ28,1,8)+(AJ28/365.25)*CH28/AH28,0)</f>
        <v>#VALUE!</v>
      </c>
      <c r="BO28" s="370" t="e">
        <f aca="false">xSPRDOPT($BW28,$BV28,$CG28,0,$BY28,$BX28,$BZ28,$AJ28,1,0)</f>
        <v>#NAME?</v>
      </c>
      <c r="BP28" s="370"/>
      <c r="BQ28" s="370"/>
      <c r="BR28" s="370"/>
      <c r="BS28" s="370"/>
      <c r="BV28" s="508" t="n">
        <v>3.04919678714859</v>
      </c>
      <c r="BW28" s="369" t="n">
        <v>3.082</v>
      </c>
      <c r="BX28" s="370" t="n">
        <v>0.376159329765107</v>
      </c>
      <c r="BY28" s="370" t="n">
        <v>0.37816065973456</v>
      </c>
      <c r="BZ28" s="370" t="n">
        <v>0.998414817360774</v>
      </c>
      <c r="CA28" s="370" t="n">
        <v>0.0289631800763801</v>
      </c>
      <c r="CB28" s="370" t="n">
        <v>0.960114752892753</v>
      </c>
      <c r="CC28" s="505" t="n">
        <v>-0.09</v>
      </c>
      <c r="CD28" s="505" t="n">
        <v>0</v>
      </c>
      <c r="CE28" s="505" t="n">
        <v>-0.045</v>
      </c>
      <c r="CF28" s="505" t="n">
        <v>0</v>
      </c>
      <c r="CG28" s="505" t="n">
        <v>0.0006</v>
      </c>
      <c r="CH28" s="505" t="n">
        <v>1.48817786698377</v>
      </c>
      <c r="CI28" s="505" t="n">
        <v>3.127</v>
      </c>
      <c r="CJ28" s="505"/>
      <c r="CK28" s="505"/>
      <c r="CL28" s="505"/>
      <c r="CM28" s="505"/>
    </row>
    <row r="29" customFormat="false" ht="12.75" hidden="false" customHeight="false" outlineLevel="0" collapsed="false">
      <c r="A29" s="500"/>
      <c r="B29" s="500"/>
      <c r="D29" s="361" t="e">
        <f aca="false">D28+AH28</f>
        <v>#VALUE!</v>
      </c>
      <c r="F29" s="362" t="e">
        <f aca="false">VLOOKUP(AG29,$AL$4:$AS$15,2)</f>
        <v>#VALUE!</v>
      </c>
      <c r="G29" s="362" t="e">
        <f aca="false">F29*$AU29</f>
        <v>#VALUE!</v>
      </c>
      <c r="H29" s="363" t="e">
        <f aca="false">(AL29+AM29+AN29)/(1-(AR29))</f>
        <v>#VALUE!</v>
      </c>
      <c r="I29" s="363" t="e">
        <f aca="false">(AL29+AO29+AP29)</f>
        <v>#VALUE!</v>
      </c>
      <c r="K29" s="363" t="e">
        <f aca="false">MAX(((I29-H29)-AQ29)*AU29*AH29,0)</f>
        <v>#VALUE!</v>
      </c>
      <c r="L29" s="501" t="e">
        <f aca="false">MAX(Q29-K29,0)</f>
        <v>#VALUE!</v>
      </c>
      <c r="N29" s="502" t="e">
        <f aca="false">SQRT(($AX29^2*($AH29/2)+$AW29^2*$AI29)/(($AH29/2)+$AI29))</f>
        <v>#VALUE!</v>
      </c>
      <c r="O29" s="502" t="e">
        <f aca="false">SQRT(($AY29^2*($AH29/2)+$AW29^2*$AI29)/(($AH29/2)+$AI29))</f>
        <v>#VALUE!</v>
      </c>
      <c r="P29" s="371" t="e">
        <f aca="false">(VLOOKUP(AI29,CorrelationTwo,2)*(AW29^2)*AI29+VLOOKUP(D29,CorrelationOne,$AK$9)*AX29*AY29*(AH29/2))/((AI29+(AH29/2))*O29*N29)*AF29</f>
        <v>#VALUE!</v>
      </c>
      <c r="Q29" s="501" t="e">
        <f aca="false">xSPRDOPT(I29,H29,AQ29,0,O29,N29,P29,D29-$G$5,1,0)*AH29*AU29</f>
        <v>#VALUE!</v>
      </c>
      <c r="R29" s="501"/>
      <c r="S29" s="365" t="e">
        <f aca="false">xSPRDOPT(I29,H29,AQ29,AT29,O29,N29,P29,D29-$G$5,1,2)*AF29*(F29/(1-AR29))*AH29</f>
        <v>#VALUE!</v>
      </c>
      <c r="T29" s="365" t="e">
        <f aca="false">xSPRDOPT(I29,H29,AQ29,AT29,O29,N29,P29,D29-$G$5,1,1)*AF29*F29*AH29</f>
        <v>#VALUE!</v>
      </c>
      <c r="U29" s="501"/>
      <c r="V29" s="503" t="e">
        <f aca="false">VLOOKUP($AG29,$AL$4:$AS$15,8)*AH29*AU29</f>
        <v>#VALUE!</v>
      </c>
      <c r="W29" s="503"/>
      <c r="X29" s="504" t="e">
        <f aca="false">((BM29*BC29)+(BL29*BB29))*AH29*F29</f>
        <v>#VALUE!</v>
      </c>
      <c r="Y29" s="504" t="e">
        <f aca="false">($F29*$AH29)*((($BG29/2)*($BC29)^2)+(($BF29/2)*($BB29)^2)+($BH29*$BC29*$BB29))</f>
        <v>#VALUE!</v>
      </c>
      <c r="Z29" s="504" t="e">
        <f aca="false">($BI29*$F29*$AH29*($G$5-$BV$5))/365.25</f>
        <v>#VALUE!</v>
      </c>
      <c r="AA29" s="504" t="e">
        <f aca="false">(($BK29*$BE29)+($BJ29*$BD29))*$F29*$AH29*$AF29</f>
        <v>#VALUE!</v>
      </c>
      <c r="AB29" s="504" t="e">
        <f aca="false">BN29*(AT29-CA29)*F29*AH29</f>
        <v>#VALUE!</v>
      </c>
      <c r="AC29" s="504" t="e">
        <f aca="false">BO29*CB29*F29*AH29*CA29*($G$5-$BV$5)/365.25</f>
        <v>#NAME?</v>
      </c>
      <c r="AF29" s="378" t="e">
        <f aca="false">IF(AND(D29&gt;=$G$7,D29&lt;=$G$8),1,0)</f>
        <v>#VALUE!</v>
      </c>
      <c r="AG29" s="378" t="e">
        <f aca="false">MONTH(D29)</f>
        <v>#VALUE!</v>
      </c>
      <c r="AH29" s="378" t="e">
        <f aca="false">(EOMONTH(D29,0)-EOMONTH(D29-DAY(D29),0))*AF29</f>
        <v>#VALUE!</v>
      </c>
      <c r="AI29" s="378" t="e">
        <f aca="false">AI28+AH28</f>
        <v>#VALUE!</v>
      </c>
      <c r="AJ29" s="378" t="e">
        <f aca="false">D29-$BV$5</f>
        <v>#VALUE!</v>
      </c>
      <c r="AL29" s="369" t="e">
        <f aca="false">VLOOKUP($D29,CurveTbl,$AK$4)</f>
        <v>#VALUE!</v>
      </c>
      <c r="AM29" s="505" t="e">
        <f aca="false">VLOOKUP($D29,CurveTbl,$AH$3)</f>
        <v>#VALUE!</v>
      </c>
      <c r="AN29" s="505" t="e">
        <f aca="false">VLOOKUP($D29,CurveTbl,$AH$4)+VLOOKUP($AG29,$AL$3:$AS$15,6)</f>
        <v>#VALUE!</v>
      </c>
      <c r="AO29" s="505" t="e">
        <f aca="false">VLOOKUP($D29,CurveTbl,$AH$5)</f>
        <v>#VALUE!</v>
      </c>
      <c r="AP29" s="505" t="e">
        <f aca="false">VLOOKUP($D29,CurveTbl,$AH$6)+VLOOKUP($AG29,$AL$3:$AS$15,7)</f>
        <v>#VALUE!</v>
      </c>
      <c r="AQ29" s="369" t="e">
        <f aca="false">VLOOKUP($AG29,$AL$4:$AS$15,3)+VLOOKUP($AG29,$AL$4:$AS$15,5)+($AH$10*VLOOKUP(D29,GRITable,2))</f>
        <v>#VALUE!</v>
      </c>
      <c r="AR29" s="370" t="e">
        <f aca="false">VLOOKUP($AG29,$AL$4:$AS$15,4)</f>
        <v>#VALUE!</v>
      </c>
      <c r="AS29" s="369" t="e">
        <f aca="false">(AL29+AM29+AN29)</f>
        <v>#VALUE!</v>
      </c>
      <c r="AT29" s="370" t="e">
        <f aca="false">VLOOKUP(D29,CurveTbl,$AK$6)</f>
        <v>#VALUE!</v>
      </c>
      <c r="AU29" s="370" t="e">
        <f aca="false">(1+$AT29/2)^(-2*($D29-$G$5)/365.25)*$AF29</f>
        <v>#VALUE!</v>
      </c>
      <c r="AV29" s="506" t="e">
        <f aca="false">ROUND((F29/(1-AR29))-F29,0)*AF29*AH29*AU29</f>
        <v>#VALUE!</v>
      </c>
      <c r="AW29" s="370" t="e">
        <f aca="false">VLOOKUP($D29,CurveTbl,$AK$8)</f>
        <v>#VALUE!</v>
      </c>
      <c r="AX29" s="370" t="e">
        <f aca="false">VLOOKUP($D29,CurveTbl,$AH$7)</f>
        <v>#VALUE!</v>
      </c>
      <c r="AY29" s="370" t="e">
        <f aca="false">VLOOKUP($D29,CurveTbl,$AH$8)</f>
        <v>#VALUE!</v>
      </c>
      <c r="AZ29" s="370"/>
      <c r="BA29" s="507"/>
      <c r="BB29" s="505" t="e">
        <f aca="false">$H29-$BV29</f>
        <v>#VALUE!</v>
      </c>
      <c r="BC29" s="505" t="e">
        <f aca="false">I29-BW29</f>
        <v>#VALUE!</v>
      </c>
      <c r="BD29" s="370" t="e">
        <f aca="false">N29-BX29</f>
        <v>#VALUE!</v>
      </c>
      <c r="BE29" s="370" t="e">
        <f aca="false">O29-BY29</f>
        <v>#VALUE!</v>
      </c>
      <c r="BF29" s="370" t="e">
        <f aca="false">xSPRDOPT($BW29,$BV29,$CG29,0,$BY29,$BX29,$BZ29,$AJ29,1,4)*$CB29</f>
        <v>#NAME?</v>
      </c>
      <c r="BG29" s="370" t="e">
        <f aca="false">xSPRDOPT($BW29,$BV29,$CG29,0,$BY29,$BX29,$BZ29,$AJ29,1,3)*$CB29</f>
        <v>#NAME?</v>
      </c>
      <c r="BH29" s="370" t="e">
        <f aca="false">IF(OR(BF29&lt;&gt;0,BG29&lt;&gt;0),xSPRDOPT($BW29,$BV29,$CG29,0,$BY29,$BX29,$BZ29,$AJ29,1,12)*$CB29,0)</f>
        <v>#NAME?</v>
      </c>
      <c r="BI29" s="370" t="e">
        <f aca="false">xSPRDOPT($BW29,$BV29,$CG29,2*LN(1+CA29/2),$BY29,$BX29,$BZ29,$AJ29,1,9)</f>
        <v>#NAME?</v>
      </c>
      <c r="BJ29" s="370" t="e">
        <f aca="false">xSPRDOPT($BW29,$BV29,$CG29,0,$BY29,$BX29,$BZ29,$AJ29,1,6)*$CB29</f>
        <v>#NAME?</v>
      </c>
      <c r="BK29" s="370" t="e">
        <f aca="false">xSPRDOPT($BW29,$BV29,$CG29,0,$BY29,$BX29,$BZ29,$AJ29,1,5)*$CB29</f>
        <v>#NAME?</v>
      </c>
      <c r="BL29" s="370" t="e">
        <f aca="false">xSPRDOPT(BW29,BV29,CG29,0,BY29,BX29,BZ29,AJ29,1,2)*CB29</f>
        <v>#NAME?</v>
      </c>
      <c r="BM29" s="370" t="e">
        <f aca="false">xSPRDOPT(BW29,BV29,CG29,0,BY29,BX29,BZ29,AJ29,1,1)*CB29</f>
        <v>#NAME?</v>
      </c>
      <c r="BN29" s="370" t="e">
        <f aca="false">IF(AH29&lt;&gt;0,xSPRDOPT($BW29,$BV29,$CG29,2*LN(1+CA29/2),$BY29,$BX29,$BZ29,$AJ29,1,8)+(AJ29/365.25)*CH29/AH29,0)</f>
        <v>#VALUE!</v>
      </c>
      <c r="BO29" s="370" t="e">
        <f aca="false">xSPRDOPT($BW29,$BV29,$CG29,0,$BY29,$BX29,$BZ29,$AJ29,1,0)</f>
        <v>#NAME?</v>
      </c>
      <c r="BP29" s="370"/>
      <c r="BQ29" s="370"/>
      <c r="BR29" s="370"/>
      <c r="BS29" s="370"/>
      <c r="BV29" s="508" t="n">
        <v>3.08433734939759</v>
      </c>
      <c r="BW29" s="369" t="n">
        <v>3.117</v>
      </c>
      <c r="BX29" s="370" t="n">
        <v>0.375845949287242</v>
      </c>
      <c r="BY29" s="370" t="n">
        <v>0.377677056513092</v>
      </c>
      <c r="BZ29" s="370" t="n">
        <v>0.998547028129211</v>
      </c>
      <c r="CA29" s="370" t="n">
        <v>0.0299847168551968</v>
      </c>
      <c r="CB29" s="370" t="n">
        <v>0.956328852591432</v>
      </c>
      <c r="CC29" s="505" t="n">
        <v>-0.09</v>
      </c>
      <c r="CD29" s="505" t="n">
        <v>0</v>
      </c>
      <c r="CE29" s="505" t="n">
        <v>-0.045</v>
      </c>
      <c r="CF29" s="505" t="n">
        <v>0</v>
      </c>
      <c r="CG29" s="505" t="n">
        <v>0.0006</v>
      </c>
      <c r="CH29" s="505" t="n">
        <v>1.43449327888715</v>
      </c>
      <c r="CI29" s="505" t="n">
        <v>3.162</v>
      </c>
      <c r="CJ29" s="505"/>
      <c r="CK29" s="505"/>
      <c r="CL29" s="505"/>
      <c r="CM29" s="505"/>
    </row>
    <row r="30" customFormat="false" ht="12.75" hidden="false" customHeight="false" outlineLevel="0" collapsed="false">
      <c r="A30" s="500"/>
      <c r="B30" s="500"/>
      <c r="D30" s="361" t="e">
        <f aca="false">D29+AH29</f>
        <v>#VALUE!</v>
      </c>
      <c r="F30" s="362" t="e">
        <f aca="false">VLOOKUP(AG30,$AL$4:$AS$15,2)</f>
        <v>#VALUE!</v>
      </c>
      <c r="G30" s="362" t="e">
        <f aca="false">F30*$AU30</f>
        <v>#VALUE!</v>
      </c>
      <c r="H30" s="363" t="e">
        <f aca="false">(AL30+AM30+AN30)/(1-(AR30))</f>
        <v>#VALUE!</v>
      </c>
      <c r="I30" s="363" t="e">
        <f aca="false">(AL30+AO30+AP30)</f>
        <v>#VALUE!</v>
      </c>
      <c r="K30" s="363" t="e">
        <f aca="false">MAX(((I30-H30)-AQ30)*AU30*AH30,0)</f>
        <v>#VALUE!</v>
      </c>
      <c r="L30" s="501" t="e">
        <f aca="false">MAX(Q30-K30,0)</f>
        <v>#VALUE!</v>
      </c>
      <c r="N30" s="502" t="e">
        <f aca="false">SQRT(($AX30^2*($AH30/2)+$AW30^2*$AI30)/(($AH30/2)+$AI30))</f>
        <v>#VALUE!</v>
      </c>
      <c r="O30" s="502" t="e">
        <f aca="false">SQRT(($AY30^2*($AH30/2)+$AW30^2*$AI30)/(($AH30/2)+$AI30))</f>
        <v>#VALUE!</v>
      </c>
      <c r="P30" s="371" t="e">
        <f aca="false">(VLOOKUP(AI30,CorrelationTwo,2)*(AW30^2)*AI30+VLOOKUP(D30,CorrelationOne,$AK$9)*AX30*AY30*(AH30/2))/((AI30+(AH30/2))*O30*N30)*AF30</f>
        <v>#VALUE!</v>
      </c>
      <c r="Q30" s="501" t="e">
        <f aca="false">xSPRDOPT(I30,H30,AQ30,0,O30,N30,P30,D30-$G$5,1,0)*AH30*AU30</f>
        <v>#VALUE!</v>
      </c>
      <c r="R30" s="501"/>
      <c r="S30" s="365" t="e">
        <f aca="false">xSPRDOPT(I30,H30,AQ30,AT30,O30,N30,P30,D30-$G$5,1,2)*AF30*(F30/(1-AR30))*AH30</f>
        <v>#VALUE!</v>
      </c>
      <c r="T30" s="365" t="e">
        <f aca="false">xSPRDOPT(I30,H30,AQ30,AT30,O30,N30,P30,D30-$G$5,1,1)*AF30*F30*AH30</f>
        <v>#VALUE!</v>
      </c>
      <c r="U30" s="501"/>
      <c r="V30" s="503" t="e">
        <f aca="false">VLOOKUP($AG30,$AL$4:$AS$15,8)*AH30*AU30</f>
        <v>#VALUE!</v>
      </c>
      <c r="W30" s="503"/>
      <c r="X30" s="504" t="e">
        <f aca="false">((BM30*BC30)+(BL30*BB30))*AH30*F30</f>
        <v>#VALUE!</v>
      </c>
      <c r="Y30" s="504" t="e">
        <f aca="false">($F30*$AH30)*((($BG30/2)*($BC30)^2)+(($BF30/2)*($BB30)^2)+($BH30*$BC30*$BB30))</f>
        <v>#VALUE!</v>
      </c>
      <c r="Z30" s="504" t="e">
        <f aca="false">($BI30*$F30*$AH30*($G$5-$BV$5))/365.25</f>
        <v>#VALUE!</v>
      </c>
      <c r="AA30" s="504" t="e">
        <f aca="false">(($BK30*$BE30)+($BJ30*$BD30))*$F30*$AH30*$AF30</f>
        <v>#VALUE!</v>
      </c>
      <c r="AB30" s="504" t="e">
        <f aca="false">BN30*(AT30-CA30)*F30*AH30</f>
        <v>#VALUE!</v>
      </c>
      <c r="AC30" s="504" t="e">
        <f aca="false">BO30*CB30*F30*AH30*CA30*($G$5-$BV$5)/365.25</f>
        <v>#NAME?</v>
      </c>
      <c r="AF30" s="378" t="e">
        <f aca="false">IF(AND(D30&gt;=$G$7,D30&lt;=$G$8),1,0)</f>
        <v>#VALUE!</v>
      </c>
      <c r="AG30" s="378" t="e">
        <f aca="false">MONTH(D30)</f>
        <v>#VALUE!</v>
      </c>
      <c r="AH30" s="378" t="e">
        <f aca="false">(EOMONTH(D30,0)-EOMONTH(D30-DAY(D30),0))*AF30</f>
        <v>#VALUE!</v>
      </c>
      <c r="AI30" s="378" t="e">
        <f aca="false">AI29+AH29</f>
        <v>#VALUE!</v>
      </c>
      <c r="AJ30" s="378" t="e">
        <f aca="false">D30-$BV$5</f>
        <v>#VALUE!</v>
      </c>
      <c r="AL30" s="369" t="e">
        <f aca="false">VLOOKUP($D30,CurveTbl,$AK$4)</f>
        <v>#VALUE!</v>
      </c>
      <c r="AM30" s="505" t="e">
        <f aca="false">VLOOKUP($D30,CurveTbl,$AH$3)</f>
        <v>#VALUE!</v>
      </c>
      <c r="AN30" s="505" t="e">
        <f aca="false">VLOOKUP($D30,CurveTbl,$AH$4)+VLOOKUP($AG30,$AL$3:$AS$15,6)</f>
        <v>#VALUE!</v>
      </c>
      <c r="AO30" s="505" t="e">
        <f aca="false">VLOOKUP($D30,CurveTbl,$AH$5)</f>
        <v>#VALUE!</v>
      </c>
      <c r="AP30" s="505" t="e">
        <f aca="false">VLOOKUP($D30,CurveTbl,$AH$6)+VLOOKUP($AG30,$AL$3:$AS$15,7)</f>
        <v>#VALUE!</v>
      </c>
      <c r="AQ30" s="369" t="e">
        <f aca="false">VLOOKUP($AG30,$AL$4:$AS$15,3)+VLOOKUP($AG30,$AL$4:$AS$15,5)+($AH$10*VLOOKUP(D30,GRITable,2))</f>
        <v>#VALUE!</v>
      </c>
      <c r="AR30" s="370" t="e">
        <f aca="false">VLOOKUP($AG30,$AL$4:$AS$15,4)</f>
        <v>#VALUE!</v>
      </c>
      <c r="AS30" s="369" t="e">
        <f aca="false">(AL30+AM30+AN30)</f>
        <v>#VALUE!</v>
      </c>
      <c r="AT30" s="370" t="e">
        <f aca="false">VLOOKUP(D30,CurveTbl,$AK$6)</f>
        <v>#VALUE!</v>
      </c>
      <c r="AU30" s="370" t="e">
        <f aca="false">(1+$AT30/2)^(-2*($D30-$G$5)/365.25)*$AF30</f>
        <v>#VALUE!</v>
      </c>
      <c r="AV30" s="506" t="e">
        <f aca="false">ROUND((F30/(1-AR30))-F30,0)*AF30*AH30*AU30</f>
        <v>#VALUE!</v>
      </c>
      <c r="AW30" s="370" t="e">
        <f aca="false">VLOOKUP($D30,CurveTbl,$AK$8)</f>
        <v>#VALUE!</v>
      </c>
      <c r="AX30" s="370" t="e">
        <f aca="false">VLOOKUP($D30,CurveTbl,$AH$7)</f>
        <v>#VALUE!</v>
      </c>
      <c r="AY30" s="370" t="e">
        <f aca="false">VLOOKUP($D30,CurveTbl,$AH$8)</f>
        <v>#VALUE!</v>
      </c>
      <c r="AZ30" s="370"/>
      <c r="BA30" s="507"/>
      <c r="BB30" s="505" t="e">
        <f aca="false">$H30-$BV30</f>
        <v>#VALUE!</v>
      </c>
      <c r="BC30" s="505" t="e">
        <f aca="false">I30-BW30</f>
        <v>#VALUE!</v>
      </c>
      <c r="BD30" s="370" t="e">
        <f aca="false">N30-BX30</f>
        <v>#VALUE!</v>
      </c>
      <c r="BE30" s="370" t="e">
        <f aca="false">O30-BY30</f>
        <v>#VALUE!</v>
      </c>
      <c r="BF30" s="370" t="e">
        <f aca="false">xSPRDOPT($BW30,$BV30,$CG30,0,$BY30,$BX30,$BZ30,$AJ30,1,4)*$CB30</f>
        <v>#NAME?</v>
      </c>
      <c r="BG30" s="370" t="e">
        <f aca="false">xSPRDOPT($BW30,$BV30,$CG30,0,$BY30,$BX30,$BZ30,$AJ30,1,3)*$CB30</f>
        <v>#NAME?</v>
      </c>
      <c r="BH30" s="370" t="e">
        <f aca="false">IF(OR(BF30&lt;&gt;0,BG30&lt;&gt;0),xSPRDOPT($BW30,$BV30,$CG30,0,$BY30,$BX30,$BZ30,$AJ30,1,12)*$CB30,0)</f>
        <v>#NAME?</v>
      </c>
      <c r="BI30" s="370" t="e">
        <f aca="false">xSPRDOPT($BW30,$BV30,$CG30,2*LN(1+CA30/2),$BY30,$BX30,$BZ30,$AJ30,1,9)</f>
        <v>#NAME?</v>
      </c>
      <c r="BJ30" s="370" t="e">
        <f aca="false">xSPRDOPT($BW30,$BV30,$CG30,0,$BY30,$BX30,$BZ30,$AJ30,1,6)*$CB30</f>
        <v>#NAME?</v>
      </c>
      <c r="BK30" s="370" t="e">
        <f aca="false">xSPRDOPT($BW30,$BV30,$CG30,0,$BY30,$BX30,$BZ30,$AJ30,1,5)*$CB30</f>
        <v>#NAME?</v>
      </c>
      <c r="BL30" s="370" t="e">
        <f aca="false">xSPRDOPT(BW30,BV30,CG30,0,BY30,BX30,BZ30,AJ30,1,2)*CB30</f>
        <v>#NAME?</v>
      </c>
      <c r="BM30" s="370" t="e">
        <f aca="false">xSPRDOPT(BW30,BV30,CG30,0,BY30,BX30,BZ30,AJ30,1,1)*CB30</f>
        <v>#NAME?</v>
      </c>
      <c r="BN30" s="370" t="e">
        <f aca="false">IF(AH30&lt;&gt;0,xSPRDOPT($BW30,$BV30,$CG30,2*LN(1+CA30/2),$BY30,$BX30,$BZ30,$AJ30,1,8)+(AJ30/365.25)*CH30/AH30,0)</f>
        <v>#VALUE!</v>
      </c>
      <c r="BO30" s="370" t="e">
        <f aca="false">xSPRDOPT($BW30,$BV30,$CG30,0,$BY30,$BX30,$BZ30,$AJ30,1,0)</f>
        <v>#NAME?</v>
      </c>
      <c r="BP30" s="370"/>
      <c r="BQ30" s="370"/>
      <c r="BR30" s="370"/>
      <c r="BS30" s="370"/>
      <c r="BV30" s="508" t="n">
        <v>3.12650602409639</v>
      </c>
      <c r="BW30" s="369" t="n">
        <v>3.159</v>
      </c>
      <c r="BX30" s="370" t="n">
        <v>0.377568797335415</v>
      </c>
      <c r="BY30" s="370" t="n">
        <v>0.379529532568229</v>
      </c>
      <c r="BZ30" s="370" t="n">
        <v>0.998345663503058</v>
      </c>
      <c r="CA30" s="370" t="n">
        <v>0.0309652793004798</v>
      </c>
      <c r="CB30" s="370" t="n">
        <v>0.95253693379797</v>
      </c>
      <c r="CC30" s="505" t="n">
        <v>-0.09</v>
      </c>
      <c r="CD30" s="505" t="n">
        <v>0</v>
      </c>
      <c r="CE30" s="505" t="n">
        <v>-0.045</v>
      </c>
      <c r="CF30" s="505" t="n">
        <v>0</v>
      </c>
      <c r="CG30" s="505" t="n">
        <v>0.0006</v>
      </c>
      <c r="CH30" s="505" t="n">
        <v>1.47643224738685</v>
      </c>
      <c r="CI30" s="505" t="n">
        <v>3.204</v>
      </c>
      <c r="CJ30" s="505"/>
      <c r="CK30" s="505"/>
      <c r="CL30" s="505"/>
      <c r="CM30" s="505"/>
    </row>
    <row r="31" customFormat="false" ht="12.75" hidden="false" customHeight="false" outlineLevel="0" collapsed="false">
      <c r="A31" s="500"/>
      <c r="B31" s="500"/>
      <c r="D31" s="361" t="e">
        <f aca="false">D30+AH30</f>
        <v>#VALUE!</v>
      </c>
      <c r="F31" s="362" t="e">
        <f aca="false">VLOOKUP(AG31,$AL$4:$AS$15,2)</f>
        <v>#VALUE!</v>
      </c>
      <c r="G31" s="362" t="e">
        <f aca="false">F31*$AU31</f>
        <v>#VALUE!</v>
      </c>
      <c r="H31" s="363" t="e">
        <f aca="false">(AL31+AM31+AN31)/(1-(AR31))</f>
        <v>#VALUE!</v>
      </c>
      <c r="I31" s="363" t="e">
        <f aca="false">(AL31+AO31+AP31)</f>
        <v>#VALUE!</v>
      </c>
      <c r="K31" s="363" t="e">
        <f aca="false">MAX(((I31-H31)-AQ31)*AU31*AH31,0)</f>
        <v>#VALUE!</v>
      </c>
      <c r="L31" s="501" t="e">
        <f aca="false">MAX(Q31-K31,0)</f>
        <v>#VALUE!</v>
      </c>
      <c r="N31" s="502" t="e">
        <f aca="false">SQRT(($AX31^2*($AH31/2)+$AW31^2*$AI31)/(($AH31/2)+$AI31))</f>
        <v>#VALUE!</v>
      </c>
      <c r="O31" s="502" t="e">
        <f aca="false">SQRT(($AY31^2*($AH31/2)+$AW31^2*$AI31)/(($AH31/2)+$AI31))</f>
        <v>#VALUE!</v>
      </c>
      <c r="P31" s="371" t="e">
        <f aca="false">(VLOOKUP(AI31,CorrelationTwo,2)*(AW31^2)*AI31+VLOOKUP(D31,CorrelationOne,$AK$9)*AX31*AY31*(AH31/2))/((AI31+(AH31/2))*O31*N31)*AF31</f>
        <v>#VALUE!</v>
      </c>
      <c r="Q31" s="501" t="e">
        <f aca="false">xSPRDOPT(I31,H31,AQ31,0,O31,N31,P31,D31-$G$5,1,0)*AH31*AU31</f>
        <v>#VALUE!</v>
      </c>
      <c r="R31" s="501"/>
      <c r="S31" s="365" t="e">
        <f aca="false">xSPRDOPT(I31,H31,AQ31,AT31,O31,N31,P31,D31-$G$5,1,2)*AF31*(F31/(1-AR31))*AH31</f>
        <v>#VALUE!</v>
      </c>
      <c r="T31" s="365" t="e">
        <f aca="false">xSPRDOPT(I31,H31,AQ31,AT31,O31,N31,P31,D31-$G$5,1,1)*AF31*F31*AH31</f>
        <v>#VALUE!</v>
      </c>
      <c r="U31" s="501"/>
      <c r="V31" s="503" t="e">
        <f aca="false">VLOOKUP($AG31,$AL$4:$AS$15,8)*AH31*AU31</f>
        <v>#VALUE!</v>
      </c>
      <c r="W31" s="503"/>
      <c r="X31" s="504" t="e">
        <f aca="false">((BM31*BC31)+(BL31*BB31))*AH31*F31</f>
        <v>#VALUE!</v>
      </c>
      <c r="Y31" s="504" t="e">
        <f aca="false">($F31*$AH31)*((($BG31/2)*($BC31)^2)+(($BF31/2)*($BB31)^2)+($BH31*$BC31*$BB31))</f>
        <v>#VALUE!</v>
      </c>
      <c r="Z31" s="504" t="e">
        <f aca="false">($BI31*$F31*$AH31*($G$5-$BV$5))/365.25</f>
        <v>#VALUE!</v>
      </c>
      <c r="AA31" s="504" t="e">
        <f aca="false">(($BK31*$BE31)+($BJ31*$BD31))*$F31*$AH31*$AF31</f>
        <v>#VALUE!</v>
      </c>
      <c r="AB31" s="504" t="e">
        <f aca="false">BN31*(AT31-CA31)*F31*AH31</f>
        <v>#VALUE!</v>
      </c>
      <c r="AC31" s="504" t="e">
        <f aca="false">BO31*CB31*F31*AH31*CA31*($G$5-$BV$5)/365.25</f>
        <v>#NAME?</v>
      </c>
      <c r="AF31" s="378" t="e">
        <f aca="false">IF(AND(D31&gt;=$G$7,D31&lt;=$G$8),1,0)</f>
        <v>#VALUE!</v>
      </c>
      <c r="AG31" s="378" t="e">
        <f aca="false">MONTH(D31)</f>
        <v>#VALUE!</v>
      </c>
      <c r="AH31" s="378" t="e">
        <f aca="false">(EOMONTH(D31,0)-EOMONTH(D31-DAY(D31),0))*AF31</f>
        <v>#VALUE!</v>
      </c>
      <c r="AI31" s="378" t="e">
        <f aca="false">AI30+AH30</f>
        <v>#VALUE!</v>
      </c>
      <c r="AJ31" s="378" t="e">
        <f aca="false">D31-$BV$5</f>
        <v>#VALUE!</v>
      </c>
      <c r="AL31" s="369" t="e">
        <f aca="false">VLOOKUP($D31,CurveTbl,$AK$4)</f>
        <v>#VALUE!</v>
      </c>
      <c r="AM31" s="505" t="e">
        <f aca="false">VLOOKUP($D31,CurveTbl,$AH$3)</f>
        <v>#VALUE!</v>
      </c>
      <c r="AN31" s="505" t="e">
        <f aca="false">VLOOKUP($D31,CurveTbl,$AH$4)+VLOOKUP($AG31,$AL$3:$AS$15,6)</f>
        <v>#VALUE!</v>
      </c>
      <c r="AO31" s="505" t="e">
        <f aca="false">VLOOKUP($D31,CurveTbl,$AH$5)</f>
        <v>#VALUE!</v>
      </c>
      <c r="AP31" s="505" t="e">
        <f aca="false">VLOOKUP($D31,CurveTbl,$AH$6)+VLOOKUP($AG31,$AL$3:$AS$15,7)</f>
        <v>#VALUE!</v>
      </c>
      <c r="AQ31" s="369" t="e">
        <f aca="false">VLOOKUP($AG31,$AL$4:$AS$15,3)+VLOOKUP($AG31,$AL$4:$AS$15,5)+($AH$10*VLOOKUP(D31,GRITable,2))</f>
        <v>#VALUE!</v>
      </c>
      <c r="AR31" s="370" t="e">
        <f aca="false">VLOOKUP($AG31,$AL$4:$AS$15,4)</f>
        <v>#VALUE!</v>
      </c>
      <c r="AS31" s="369" t="e">
        <f aca="false">(AL31+AM31+AN31)</f>
        <v>#VALUE!</v>
      </c>
      <c r="AT31" s="370" t="e">
        <f aca="false">VLOOKUP(D31,CurveTbl,$AK$6)</f>
        <v>#VALUE!</v>
      </c>
      <c r="AU31" s="370" t="e">
        <f aca="false">(1+$AT31/2)^(-2*($D31-$G$5)/365.25)*$AF31</f>
        <v>#VALUE!</v>
      </c>
      <c r="AV31" s="506" t="e">
        <f aca="false">ROUND((F31/(1-AR31))-F31,0)*AF31*AH31*AU31</f>
        <v>#VALUE!</v>
      </c>
      <c r="AW31" s="370" t="e">
        <f aca="false">VLOOKUP($D31,CurveTbl,$AK$8)</f>
        <v>#VALUE!</v>
      </c>
      <c r="AX31" s="370" t="e">
        <f aca="false">VLOOKUP($D31,CurveTbl,$AH$7)</f>
        <v>#VALUE!</v>
      </c>
      <c r="AY31" s="370" t="e">
        <f aca="false">VLOOKUP($D31,CurveTbl,$AH$8)</f>
        <v>#VALUE!</v>
      </c>
      <c r="AZ31" s="370"/>
      <c r="BA31" s="507"/>
      <c r="BB31" s="505" t="e">
        <f aca="false">$H31-$BV31</f>
        <v>#VALUE!</v>
      </c>
      <c r="BC31" s="505" t="e">
        <f aca="false">I31-BW31</f>
        <v>#VALUE!</v>
      </c>
      <c r="BD31" s="370" t="e">
        <f aca="false">N31-BX31</f>
        <v>#VALUE!</v>
      </c>
      <c r="BE31" s="370" t="e">
        <f aca="false">O31-BY31</f>
        <v>#VALUE!</v>
      </c>
      <c r="BF31" s="370" t="e">
        <f aca="false">xSPRDOPT($BW31,$BV31,$CG31,0,$BY31,$BX31,$BZ31,$AJ31,1,4)*$CB31</f>
        <v>#NAME?</v>
      </c>
      <c r="BG31" s="370" t="e">
        <f aca="false">xSPRDOPT($BW31,$BV31,$CG31,0,$BY31,$BX31,$BZ31,$AJ31,1,3)*$CB31</f>
        <v>#NAME?</v>
      </c>
      <c r="BH31" s="370" t="e">
        <f aca="false">IF(OR(BF31&lt;&gt;0,BG31&lt;&gt;0),xSPRDOPT($BW31,$BV31,$CG31,0,$BY31,$BX31,$BZ31,$AJ31,1,12)*$CB31,0)</f>
        <v>#NAME?</v>
      </c>
      <c r="BI31" s="370" t="e">
        <f aca="false">xSPRDOPT($BW31,$BV31,$CG31,2*LN(1+CA31/2),$BY31,$BX31,$BZ31,$AJ31,1,9)</f>
        <v>#NAME?</v>
      </c>
      <c r="BJ31" s="370" t="e">
        <f aca="false">xSPRDOPT($BW31,$BV31,$CG31,0,$BY31,$BX31,$BZ31,$AJ31,1,6)*$CB31</f>
        <v>#NAME?</v>
      </c>
      <c r="BK31" s="370" t="e">
        <f aca="false">xSPRDOPT($BW31,$BV31,$CG31,0,$BY31,$BX31,$BZ31,$AJ31,1,5)*$CB31</f>
        <v>#NAME?</v>
      </c>
      <c r="BL31" s="370" t="e">
        <f aca="false">xSPRDOPT(BW31,BV31,CG31,0,BY31,BX31,BZ31,AJ31,1,2)*CB31</f>
        <v>#NAME?</v>
      </c>
      <c r="BM31" s="370" t="e">
        <f aca="false">xSPRDOPT(BW31,BV31,CG31,0,BY31,BX31,BZ31,AJ31,1,1)*CB31</f>
        <v>#NAME?</v>
      </c>
      <c r="BN31" s="370" t="e">
        <f aca="false">IF(AH31&lt;&gt;0,xSPRDOPT($BW31,$BV31,$CG31,2*LN(1+CA31/2),$BY31,$BX31,$BZ31,$AJ31,1,8)+(AJ31/365.25)*CH31/AH31,0)</f>
        <v>#VALUE!</v>
      </c>
      <c r="BO31" s="370" t="e">
        <f aca="false">xSPRDOPT($BW31,$BV31,$CG31,0,$BY31,$BX31,$BZ31,$AJ31,1,0)</f>
        <v>#NAME?</v>
      </c>
      <c r="BP31" s="370"/>
      <c r="BQ31" s="370"/>
      <c r="BR31" s="370"/>
      <c r="BS31" s="370"/>
      <c r="BV31" s="508" t="n">
        <v>3.16867469879518</v>
      </c>
      <c r="BW31" s="369" t="n">
        <v>3.201</v>
      </c>
      <c r="BX31" s="370" t="n">
        <v>0.37917572731747</v>
      </c>
      <c r="BY31" s="370" t="n">
        <v>0.381195839723846</v>
      </c>
      <c r="BZ31" s="370" t="n">
        <v>0.998189952802751</v>
      </c>
      <c r="CA31" s="370" t="n">
        <v>0.0319670833322725</v>
      </c>
      <c r="CB31" s="370" t="n">
        <v>0.948494893378275</v>
      </c>
      <c r="CC31" s="505" t="n">
        <v>-0.09</v>
      </c>
      <c r="CD31" s="505" t="n">
        <v>0</v>
      </c>
      <c r="CE31" s="505" t="n">
        <v>-0.045</v>
      </c>
      <c r="CF31" s="505" t="n">
        <v>0</v>
      </c>
      <c r="CG31" s="505" t="n">
        <v>0.0006</v>
      </c>
      <c r="CH31" s="505" t="n">
        <v>1.47016708473633</v>
      </c>
      <c r="CI31" s="505" t="n">
        <v>3.246</v>
      </c>
      <c r="CJ31" s="505"/>
      <c r="CK31" s="505"/>
      <c r="CL31" s="505"/>
      <c r="CM31" s="505"/>
    </row>
    <row r="32" customFormat="false" ht="12.75" hidden="false" customHeight="false" outlineLevel="0" collapsed="false">
      <c r="A32" s="500"/>
      <c r="B32" s="500"/>
      <c r="D32" s="361" t="e">
        <f aca="false">D31+AH31</f>
        <v>#VALUE!</v>
      </c>
      <c r="F32" s="362" t="e">
        <f aca="false">VLOOKUP(AG32,$AL$4:$AS$15,2)</f>
        <v>#VALUE!</v>
      </c>
      <c r="G32" s="362" t="e">
        <f aca="false">F32*$AU32</f>
        <v>#VALUE!</v>
      </c>
      <c r="H32" s="363" t="e">
        <f aca="false">(AL32+AM32+AN32)/(1-(AR32))</f>
        <v>#VALUE!</v>
      </c>
      <c r="I32" s="363" t="e">
        <f aca="false">(AL32+AO32+AP32)</f>
        <v>#VALUE!</v>
      </c>
      <c r="K32" s="363" t="e">
        <f aca="false">MAX(((I32-H32)-AQ32)*AU32*AH32,0)</f>
        <v>#VALUE!</v>
      </c>
      <c r="L32" s="501" t="e">
        <f aca="false">MAX(Q32-K32,0)</f>
        <v>#VALUE!</v>
      </c>
      <c r="N32" s="502" t="e">
        <f aca="false">SQRT(($AX32^2*($AH32/2)+$AW32^2*$AI32)/(($AH32/2)+$AI32))</f>
        <v>#VALUE!</v>
      </c>
      <c r="O32" s="502" t="e">
        <f aca="false">SQRT(($AY32^2*($AH32/2)+$AW32^2*$AI32)/(($AH32/2)+$AI32))</f>
        <v>#VALUE!</v>
      </c>
      <c r="P32" s="371" t="e">
        <f aca="false">(VLOOKUP(AI32,CorrelationTwo,2)*(AW32^2)*AI32+VLOOKUP(D32,CorrelationOne,$AK$9)*AX32*AY32*(AH32/2))/((AI32+(AH32/2))*O32*N32)*AF32</f>
        <v>#VALUE!</v>
      </c>
      <c r="Q32" s="501" t="e">
        <f aca="false">xSPRDOPT(I32,H32,AQ32,0,O32,N32,P32,D32-$G$5,1,0)*AH32*AU32</f>
        <v>#VALUE!</v>
      </c>
      <c r="R32" s="501"/>
      <c r="S32" s="365" t="e">
        <f aca="false">xSPRDOPT(I32,H32,AQ32,AT32,O32,N32,P32,D32-$G$5,1,2)*AF32*(F32/(1-AR32))*AH32</f>
        <v>#VALUE!</v>
      </c>
      <c r="T32" s="365" t="e">
        <f aca="false">xSPRDOPT(I32,H32,AQ32,AT32,O32,N32,P32,D32-$G$5,1,1)*AF32*F32*AH32</f>
        <v>#VALUE!</v>
      </c>
      <c r="U32" s="501"/>
      <c r="V32" s="503" t="e">
        <f aca="false">VLOOKUP($AG32,$AL$4:$AS$15,8)*AH32*AU32</f>
        <v>#VALUE!</v>
      </c>
      <c r="W32" s="503"/>
      <c r="X32" s="504" t="e">
        <f aca="false">((BM32*BC32)+(BL32*BB32))*AH32*F32</f>
        <v>#VALUE!</v>
      </c>
      <c r="Y32" s="504" t="e">
        <f aca="false">($F32*$AH32)*((($BG32/2)*($BC32)^2)+(($BF32/2)*($BB32)^2)+($BH32*$BC32*$BB32))</f>
        <v>#VALUE!</v>
      </c>
      <c r="Z32" s="504" t="e">
        <f aca="false">($BI32*$F32*$AH32*($G$5-$BV$5))/365.25</f>
        <v>#VALUE!</v>
      </c>
      <c r="AA32" s="504" t="e">
        <f aca="false">(($BK32*$BE32)+($BJ32*$BD32))*$F32*$AH32*$AF32</f>
        <v>#VALUE!</v>
      </c>
      <c r="AB32" s="504" t="e">
        <f aca="false">BN32*(AT32-CA32)*F32*AH32</f>
        <v>#VALUE!</v>
      </c>
      <c r="AC32" s="504" t="e">
        <f aca="false">BO32*CB32*F32*AH32*CA32*($G$5-$BV$5)/365.25</f>
        <v>#NAME?</v>
      </c>
      <c r="AF32" s="378" t="e">
        <f aca="false">IF(AND(D32&gt;=$G$7,D32&lt;=$G$8),1,0)</f>
        <v>#VALUE!</v>
      </c>
      <c r="AG32" s="378" t="e">
        <f aca="false">MONTH(D32)</f>
        <v>#VALUE!</v>
      </c>
      <c r="AH32" s="378" t="e">
        <f aca="false">(EOMONTH(D32,0)-EOMONTH(D32-DAY(D32),0))*AF32</f>
        <v>#VALUE!</v>
      </c>
      <c r="AI32" s="378" t="e">
        <f aca="false">AI31+AH31</f>
        <v>#VALUE!</v>
      </c>
      <c r="AJ32" s="378" t="e">
        <f aca="false">D32-$BV$5</f>
        <v>#VALUE!</v>
      </c>
      <c r="AL32" s="369" t="e">
        <f aca="false">VLOOKUP($D32,CurveTbl,$AK$4)</f>
        <v>#VALUE!</v>
      </c>
      <c r="AM32" s="505" t="e">
        <f aca="false">VLOOKUP($D32,CurveTbl,$AH$3)</f>
        <v>#VALUE!</v>
      </c>
      <c r="AN32" s="505" t="e">
        <f aca="false">VLOOKUP($D32,CurveTbl,$AH$4)+VLOOKUP($AG32,$AL$3:$AS$15,6)</f>
        <v>#VALUE!</v>
      </c>
      <c r="AO32" s="505" t="e">
        <f aca="false">VLOOKUP($D32,CurveTbl,$AH$5)</f>
        <v>#VALUE!</v>
      </c>
      <c r="AP32" s="505" t="e">
        <f aca="false">VLOOKUP($D32,CurveTbl,$AH$6)+VLOOKUP($AG32,$AL$3:$AS$15,7)</f>
        <v>#VALUE!</v>
      </c>
      <c r="AQ32" s="369" t="e">
        <f aca="false">VLOOKUP($AG32,$AL$4:$AS$15,3)+VLOOKUP($AG32,$AL$4:$AS$15,5)+($AH$10*VLOOKUP(D32,GRITable,2))</f>
        <v>#VALUE!</v>
      </c>
      <c r="AR32" s="370" t="e">
        <f aca="false">VLOOKUP($AG32,$AL$4:$AS$15,4)</f>
        <v>#VALUE!</v>
      </c>
      <c r="AS32" s="369" t="e">
        <f aca="false">(AL32+AM32+AN32)</f>
        <v>#VALUE!</v>
      </c>
      <c r="AT32" s="370" t="e">
        <f aca="false">VLOOKUP(D32,CurveTbl,$AK$6)</f>
        <v>#VALUE!</v>
      </c>
      <c r="AU32" s="370" t="e">
        <f aca="false">(1+$AT32/2)^(-2*($D32-$G$5)/365.25)*$AF32</f>
        <v>#VALUE!</v>
      </c>
      <c r="AV32" s="506" t="e">
        <f aca="false">ROUND((F32/(1-AR32))-F32,0)*AF32*AH32*AU32</f>
        <v>#VALUE!</v>
      </c>
      <c r="AW32" s="370" t="e">
        <f aca="false">VLOOKUP($D32,CurveTbl,$AK$8)</f>
        <v>#VALUE!</v>
      </c>
      <c r="AX32" s="370" t="e">
        <f aca="false">VLOOKUP($D32,CurveTbl,$AH$7)</f>
        <v>#VALUE!</v>
      </c>
      <c r="AY32" s="370" t="e">
        <f aca="false">VLOOKUP($D32,CurveTbl,$AH$8)</f>
        <v>#VALUE!</v>
      </c>
      <c r="AZ32" s="370"/>
      <c r="BA32" s="507"/>
      <c r="BB32" s="505" t="e">
        <f aca="false">$H32-$BV32</f>
        <v>#VALUE!</v>
      </c>
      <c r="BC32" s="505" t="e">
        <f aca="false">I32-BW32</f>
        <v>#VALUE!</v>
      </c>
      <c r="BD32" s="370" t="e">
        <f aca="false">N32-BX32</f>
        <v>#VALUE!</v>
      </c>
      <c r="BE32" s="370" t="e">
        <f aca="false">O32-BY32</f>
        <v>#VALUE!</v>
      </c>
      <c r="BF32" s="370" t="e">
        <f aca="false">xSPRDOPT($BW32,$BV32,$CG32,0,$BY32,$BX32,$BZ32,$AJ32,1,4)*$CB32</f>
        <v>#NAME?</v>
      </c>
      <c r="BG32" s="370" t="e">
        <f aca="false">xSPRDOPT($BW32,$BV32,$CG32,0,$BY32,$BX32,$BZ32,$AJ32,1,3)*$CB32</f>
        <v>#NAME?</v>
      </c>
      <c r="BH32" s="370" t="e">
        <f aca="false">IF(OR(BF32&lt;&gt;0,BG32&lt;&gt;0),xSPRDOPT($BW32,$BV32,$CG32,0,$BY32,$BX32,$BZ32,$AJ32,1,12)*$CB32,0)</f>
        <v>#NAME?</v>
      </c>
      <c r="BI32" s="370" t="e">
        <f aca="false">xSPRDOPT($BW32,$BV32,$CG32,2*LN(1+CA32/2),$BY32,$BX32,$BZ32,$AJ32,1,9)</f>
        <v>#NAME?</v>
      </c>
      <c r="BJ32" s="370" t="e">
        <f aca="false">xSPRDOPT($BW32,$BV32,$CG32,0,$BY32,$BX32,$BZ32,$AJ32,1,6)*$CB32</f>
        <v>#NAME?</v>
      </c>
      <c r="BK32" s="370" t="e">
        <f aca="false">xSPRDOPT($BW32,$BV32,$CG32,0,$BY32,$BX32,$BZ32,$AJ32,1,5)*$CB32</f>
        <v>#NAME?</v>
      </c>
      <c r="BL32" s="370" t="e">
        <f aca="false">xSPRDOPT(BW32,BV32,CG32,0,BY32,BX32,BZ32,AJ32,1,2)*CB32</f>
        <v>#NAME?</v>
      </c>
      <c r="BM32" s="370" t="e">
        <f aca="false">xSPRDOPT(BW32,BV32,CG32,0,BY32,BX32,BZ32,AJ32,1,1)*CB32</f>
        <v>#NAME?</v>
      </c>
      <c r="BN32" s="370" t="e">
        <f aca="false">IF(AH32&lt;&gt;0,xSPRDOPT($BW32,$BV32,$CG32,2*LN(1+CA32/2),$BY32,$BX32,$BZ32,$AJ32,1,8)+(AJ32/365.25)*CH32/AH32,0)</f>
        <v>#VALUE!</v>
      </c>
      <c r="BO32" s="370" t="e">
        <f aca="false">xSPRDOPT($BW32,$BV32,$CG32,0,$BY32,$BX32,$BZ32,$AJ32,1,0)</f>
        <v>#NAME?</v>
      </c>
      <c r="BP32" s="370"/>
      <c r="BQ32" s="370"/>
      <c r="BR32" s="370"/>
      <c r="BS32" s="370"/>
      <c r="BV32" s="508" t="n">
        <v>3.1636546184739</v>
      </c>
      <c r="BW32" s="369" t="n">
        <v>3.196</v>
      </c>
      <c r="BX32" s="370" t="n">
        <v>0.376255879342064</v>
      </c>
      <c r="BY32" s="370" t="n">
        <v>0.378132573801484</v>
      </c>
      <c r="BZ32" s="370" t="n">
        <v>0.998304281137946</v>
      </c>
      <c r="CA32" s="370" t="n">
        <v>0.032968887702129</v>
      </c>
      <c r="CB32" s="370" t="n">
        <v>0.944312700032904</v>
      </c>
      <c r="CC32" s="505" t="n">
        <v>-0.09</v>
      </c>
      <c r="CD32" s="505" t="n">
        <v>0</v>
      </c>
      <c r="CE32" s="505" t="n">
        <v>-0.045</v>
      </c>
      <c r="CF32" s="505" t="n">
        <v>0</v>
      </c>
      <c r="CG32" s="505" t="n">
        <v>0.0006</v>
      </c>
      <c r="CH32" s="505" t="n">
        <v>1.41646905004936</v>
      </c>
      <c r="CI32" s="505" t="n">
        <v>3.241</v>
      </c>
      <c r="CJ32" s="505"/>
      <c r="CK32" s="505"/>
      <c r="CL32" s="505"/>
      <c r="CM32" s="505"/>
    </row>
    <row r="33" customFormat="false" ht="12.75" hidden="false" customHeight="false" outlineLevel="0" collapsed="false">
      <c r="A33" s="500"/>
      <c r="B33" s="500"/>
      <c r="D33" s="361" t="e">
        <f aca="false">D32+AH32</f>
        <v>#VALUE!</v>
      </c>
      <c r="F33" s="362" t="e">
        <f aca="false">VLOOKUP(AG33,$AL$4:$AS$15,2)</f>
        <v>#VALUE!</v>
      </c>
      <c r="G33" s="362" t="e">
        <f aca="false">F33*$AU33</f>
        <v>#VALUE!</v>
      </c>
      <c r="H33" s="363" t="e">
        <f aca="false">(AL33+AM33+AN33)/(1-(AR33))</f>
        <v>#VALUE!</v>
      </c>
      <c r="I33" s="363" t="e">
        <f aca="false">(AL33+AO33+AP33)</f>
        <v>#VALUE!</v>
      </c>
      <c r="K33" s="363" t="e">
        <f aca="false">MAX(((I33-H33)-AQ33)*AU33*AH33,0)</f>
        <v>#VALUE!</v>
      </c>
      <c r="L33" s="501" t="e">
        <f aca="false">MAX(Q33-K33,0)</f>
        <v>#VALUE!</v>
      </c>
      <c r="N33" s="502" t="e">
        <f aca="false">SQRT(($AX33^2*($AH33/2)+$AW33^2*$AI33)/(($AH33/2)+$AI33))</f>
        <v>#VALUE!</v>
      </c>
      <c r="O33" s="502" t="e">
        <f aca="false">SQRT(($AY33^2*($AH33/2)+$AW33^2*$AI33)/(($AH33/2)+$AI33))</f>
        <v>#VALUE!</v>
      </c>
      <c r="P33" s="371" t="e">
        <f aca="false">(VLOOKUP(AI33,CorrelationTwo,2)*(AW33^2)*AI33+VLOOKUP(D33,CorrelationOne,$AK$9)*AX33*AY33*(AH33/2))/((AI33+(AH33/2))*O33*N33)*AF33</f>
        <v>#VALUE!</v>
      </c>
      <c r="Q33" s="501" t="e">
        <f aca="false">xSPRDOPT(I33,H33,AQ33,0,O33,N33,P33,D33-$G$5,1,0)*AH33*AU33</f>
        <v>#VALUE!</v>
      </c>
      <c r="R33" s="501"/>
      <c r="S33" s="365" t="e">
        <f aca="false">xSPRDOPT(I33,H33,AQ33,AT33,O33,N33,P33,D33-$G$5,1,2)*AF33*(F33/(1-AR33))*AH33</f>
        <v>#VALUE!</v>
      </c>
      <c r="T33" s="365" t="e">
        <f aca="false">xSPRDOPT(I33,H33,AQ33,AT33,O33,N33,P33,D33-$G$5,1,1)*AF33*F33*AH33</f>
        <v>#VALUE!</v>
      </c>
      <c r="U33" s="501"/>
      <c r="V33" s="503" t="e">
        <f aca="false">VLOOKUP($AG33,$AL$4:$AS$15,8)*AH33*AU33</f>
        <v>#VALUE!</v>
      </c>
      <c r="W33" s="503"/>
      <c r="X33" s="504" t="e">
        <f aca="false">((BM33*BC33)+(BL33*BB33))*AH33*F33</f>
        <v>#VALUE!</v>
      </c>
      <c r="Y33" s="504" t="e">
        <f aca="false">($F33*$AH33)*((($BG33/2)*($BC33)^2)+(($BF33/2)*($BB33)^2)+($BH33*$BC33*$BB33))</f>
        <v>#VALUE!</v>
      </c>
      <c r="Z33" s="504" t="e">
        <f aca="false">($BI33*$F33*$AH33*($G$5-$BV$5))/365.25</f>
        <v>#VALUE!</v>
      </c>
      <c r="AA33" s="504" t="e">
        <f aca="false">(($BK33*$BE33)+($BJ33*$BD33))*$F33*$AH33*$AF33</f>
        <v>#VALUE!</v>
      </c>
      <c r="AB33" s="504" t="e">
        <f aca="false">BN33*(AT33-CA33)*F33*AH33</f>
        <v>#VALUE!</v>
      </c>
      <c r="AC33" s="504" t="e">
        <f aca="false">BO33*CB33*F33*AH33*CA33*($G$5-$BV$5)/365.25</f>
        <v>#NAME?</v>
      </c>
      <c r="AF33" s="378" t="e">
        <f aca="false">IF(AND(D33&gt;=$G$7,D33&lt;=$G$8),1,0)</f>
        <v>#VALUE!</v>
      </c>
      <c r="AG33" s="378" t="e">
        <f aca="false">MONTH(D33)</f>
        <v>#VALUE!</v>
      </c>
      <c r="AH33" s="378" t="e">
        <f aca="false">(EOMONTH(D33,0)-EOMONTH(D33-DAY(D33),0))*AF33</f>
        <v>#VALUE!</v>
      </c>
      <c r="AI33" s="378" t="e">
        <f aca="false">AI32+AH32</f>
        <v>#VALUE!</v>
      </c>
      <c r="AJ33" s="378" t="e">
        <f aca="false">D33-$BV$5</f>
        <v>#VALUE!</v>
      </c>
      <c r="AL33" s="369" t="e">
        <f aca="false">VLOOKUP($D33,CurveTbl,$AK$4)</f>
        <v>#VALUE!</v>
      </c>
      <c r="AM33" s="505" t="e">
        <f aca="false">VLOOKUP($D33,CurveTbl,$AH$3)</f>
        <v>#VALUE!</v>
      </c>
      <c r="AN33" s="505" t="e">
        <f aca="false">VLOOKUP($D33,CurveTbl,$AH$4)+VLOOKUP($AG33,$AL$3:$AS$15,6)</f>
        <v>#VALUE!</v>
      </c>
      <c r="AO33" s="505" t="e">
        <f aca="false">VLOOKUP($D33,CurveTbl,$AH$5)</f>
        <v>#VALUE!</v>
      </c>
      <c r="AP33" s="505" t="e">
        <f aca="false">VLOOKUP($D33,CurveTbl,$AH$6)+VLOOKUP($AG33,$AL$3:$AS$15,7)</f>
        <v>#VALUE!</v>
      </c>
      <c r="AQ33" s="369" t="e">
        <f aca="false">VLOOKUP($AG33,$AL$4:$AS$15,3)+VLOOKUP($AG33,$AL$4:$AS$15,5)+($AH$10*VLOOKUP(D33,GRITable,2))</f>
        <v>#VALUE!</v>
      </c>
      <c r="AR33" s="370" t="e">
        <f aca="false">VLOOKUP($AG33,$AL$4:$AS$15,4)</f>
        <v>#VALUE!</v>
      </c>
      <c r="AS33" s="369" t="e">
        <f aca="false">(AL33+AM33+AN33)</f>
        <v>#VALUE!</v>
      </c>
      <c r="AT33" s="370" t="e">
        <f aca="false">VLOOKUP(D33,CurveTbl,$AK$6)</f>
        <v>#VALUE!</v>
      </c>
      <c r="AU33" s="370" t="e">
        <f aca="false">(1+$AT33/2)^(-2*($D33-$G$5)/365.25)*$AF33</f>
        <v>#VALUE!</v>
      </c>
      <c r="AV33" s="506" t="e">
        <f aca="false">ROUND((F33/(1-AR33))-F33,0)*AF33*AH33*AU33</f>
        <v>#VALUE!</v>
      </c>
      <c r="AW33" s="370" t="e">
        <f aca="false">VLOOKUP($D33,CurveTbl,$AK$8)</f>
        <v>#VALUE!</v>
      </c>
      <c r="AX33" s="370" t="e">
        <f aca="false">VLOOKUP($D33,CurveTbl,$AH$7)</f>
        <v>#VALUE!</v>
      </c>
      <c r="AY33" s="370" t="e">
        <f aca="false">VLOOKUP($D33,CurveTbl,$AH$8)</f>
        <v>#VALUE!</v>
      </c>
      <c r="AZ33" s="370"/>
      <c r="BA33" s="507"/>
      <c r="BB33" s="505" t="e">
        <f aca="false">$H33-$BV33</f>
        <v>#VALUE!</v>
      </c>
      <c r="BC33" s="505" t="e">
        <f aca="false">I33-BW33</f>
        <v>#VALUE!</v>
      </c>
      <c r="BD33" s="370" t="e">
        <f aca="false">N33-BX33</f>
        <v>#VALUE!</v>
      </c>
      <c r="BE33" s="370" t="e">
        <f aca="false">O33-BY33</f>
        <v>#VALUE!</v>
      </c>
      <c r="BF33" s="370" t="e">
        <f aca="false">xSPRDOPT($BW33,$BV33,$CG33,0,$BY33,$BX33,$BZ33,$AJ33,1,4)*$CB33</f>
        <v>#NAME?</v>
      </c>
      <c r="BG33" s="370" t="e">
        <f aca="false">xSPRDOPT($BW33,$BV33,$CG33,0,$BY33,$BX33,$BZ33,$AJ33,1,3)*$CB33</f>
        <v>#NAME?</v>
      </c>
      <c r="BH33" s="370" t="e">
        <f aca="false">IF(OR(BF33&lt;&gt;0,BG33&lt;&gt;0),xSPRDOPT($BW33,$BV33,$CG33,0,$BY33,$BX33,$BZ33,$AJ33,1,12)*$CB33,0)</f>
        <v>#NAME?</v>
      </c>
      <c r="BI33" s="370" t="e">
        <f aca="false">xSPRDOPT($BW33,$BV33,$CG33,2*LN(1+CA33/2),$BY33,$BX33,$BZ33,$AJ33,1,9)</f>
        <v>#NAME?</v>
      </c>
      <c r="BJ33" s="370" t="e">
        <f aca="false">xSPRDOPT($BW33,$BV33,$CG33,0,$BY33,$BX33,$BZ33,$AJ33,1,6)*$CB33</f>
        <v>#NAME?</v>
      </c>
      <c r="BK33" s="370" t="e">
        <f aca="false">xSPRDOPT($BW33,$BV33,$CG33,0,$BY33,$BX33,$BZ33,$AJ33,1,5)*$CB33</f>
        <v>#NAME?</v>
      </c>
      <c r="BL33" s="370" t="e">
        <f aca="false">xSPRDOPT(BW33,BV33,CG33,0,BY33,BX33,BZ33,AJ33,1,2)*CB33</f>
        <v>#NAME?</v>
      </c>
      <c r="BM33" s="370" t="e">
        <f aca="false">xSPRDOPT(BW33,BV33,CG33,0,BY33,BX33,BZ33,AJ33,1,1)*CB33</f>
        <v>#NAME?</v>
      </c>
      <c r="BN33" s="370" t="e">
        <f aca="false">IF(AH33&lt;&gt;0,xSPRDOPT($BW33,$BV33,$CG33,2*LN(1+CA33/2),$BY33,$BX33,$BZ33,$AJ33,1,8)+(AJ33/365.25)*CH33/AH33,0)</f>
        <v>#VALUE!</v>
      </c>
      <c r="BO33" s="370" t="e">
        <f aca="false">xSPRDOPT($BW33,$BV33,$CG33,0,$BY33,$BX33,$BZ33,$AJ33,1,0)</f>
        <v>#NAME?</v>
      </c>
      <c r="BP33" s="370"/>
      <c r="BQ33" s="370"/>
      <c r="BR33" s="370"/>
      <c r="BS33" s="370"/>
      <c r="BV33" s="508" t="n">
        <v>3.18975903614458</v>
      </c>
      <c r="BW33" s="369" t="n">
        <v>3.222</v>
      </c>
      <c r="BX33" s="370" t="n">
        <v>0.38041410598552</v>
      </c>
      <c r="BY33" s="370" t="n">
        <v>0.382396137086886</v>
      </c>
      <c r="BZ33" s="370" t="n">
        <v>0.998115718832799</v>
      </c>
      <c r="CA33" s="370" t="n">
        <v>0.0339067018220711</v>
      </c>
      <c r="CB33" s="370" t="n">
        <v>0.940187685777986</v>
      </c>
      <c r="CC33" s="505" t="n">
        <v>-0.09</v>
      </c>
      <c r="CD33" s="505" t="n">
        <v>0</v>
      </c>
      <c r="CE33" s="505" t="n">
        <v>-0.045</v>
      </c>
      <c r="CF33" s="505" t="n">
        <v>0</v>
      </c>
      <c r="CG33" s="505" t="n">
        <v>0.0006</v>
      </c>
      <c r="CH33" s="505" t="n">
        <v>1.45729091295588</v>
      </c>
      <c r="CI33" s="505" t="n">
        <v>3.267</v>
      </c>
      <c r="CJ33" s="505"/>
      <c r="CK33" s="505"/>
      <c r="CL33" s="505"/>
      <c r="CM33" s="505"/>
    </row>
    <row r="34" customFormat="false" ht="12.75" hidden="false" customHeight="false" outlineLevel="0" collapsed="false">
      <c r="A34" s="500"/>
      <c r="B34" s="500"/>
      <c r="D34" s="361" t="e">
        <f aca="false">D33+AH33</f>
        <v>#VALUE!</v>
      </c>
      <c r="F34" s="362" t="e">
        <f aca="false">VLOOKUP(AG34,$AL$4:$AS$15,2)</f>
        <v>#VALUE!</v>
      </c>
      <c r="G34" s="362" t="e">
        <f aca="false">F34*$AU34</f>
        <v>#VALUE!</v>
      </c>
      <c r="H34" s="363" t="e">
        <f aca="false">(AL34+AM34+AN34)/(1-(AR34))</f>
        <v>#VALUE!</v>
      </c>
      <c r="I34" s="363" t="e">
        <f aca="false">(AL34+AO34+AP34)</f>
        <v>#VALUE!</v>
      </c>
      <c r="K34" s="363" t="e">
        <f aca="false">MAX(((I34-H34)-AQ34)*AU34*AH34,0)</f>
        <v>#VALUE!</v>
      </c>
      <c r="L34" s="501" t="e">
        <f aca="false">MAX(Q34-K34,0)</f>
        <v>#VALUE!</v>
      </c>
      <c r="N34" s="502" t="e">
        <f aca="false">SQRT(($AX34^2*($AH34/2)+$AW34^2*$AI34)/(($AH34/2)+$AI34))</f>
        <v>#VALUE!</v>
      </c>
      <c r="O34" s="502" t="e">
        <f aca="false">SQRT(($AY34^2*($AH34/2)+$AW34^2*$AI34)/(($AH34/2)+$AI34))</f>
        <v>#VALUE!</v>
      </c>
      <c r="P34" s="371" t="e">
        <f aca="false">(VLOOKUP(AI34,CorrelationTwo,2)*(AW34^2)*AI34+VLOOKUP(D34,CorrelationOne,$AK$9)*AX34*AY34*(AH34/2))/((AI34+(AH34/2))*O34*N34)*AF34</f>
        <v>#VALUE!</v>
      </c>
      <c r="Q34" s="501" t="e">
        <f aca="false">xSPRDOPT(I34,H34,AQ34,0,O34,N34,P34,D34-$G$5,1,0)*AH34*AU34</f>
        <v>#VALUE!</v>
      </c>
      <c r="R34" s="501"/>
      <c r="S34" s="365" t="e">
        <f aca="false">xSPRDOPT(I34,H34,AQ34,AT34,O34,N34,P34,D34-$G$5,1,2)*AF34*(F34/(1-AR34))*AH34</f>
        <v>#VALUE!</v>
      </c>
      <c r="T34" s="365" t="e">
        <f aca="false">xSPRDOPT(I34,H34,AQ34,AT34,O34,N34,P34,D34-$G$5,1,1)*AF34*F34*AH34</f>
        <v>#VALUE!</v>
      </c>
      <c r="U34" s="501"/>
      <c r="V34" s="503" t="e">
        <f aca="false">VLOOKUP($AG34,$AL$4:$AS$15,8)*AH34*AU34</f>
        <v>#VALUE!</v>
      </c>
      <c r="W34" s="503"/>
      <c r="X34" s="504" t="e">
        <f aca="false">((BM34*BC34)+(BL34*BB34))*AH34*F34</f>
        <v>#VALUE!</v>
      </c>
      <c r="Y34" s="504" t="e">
        <f aca="false">($F34*$AH34)*((($BG34/2)*($BC34)^2)+(($BF34/2)*($BB34)^2)+($BH34*$BC34*$BB34))</f>
        <v>#VALUE!</v>
      </c>
      <c r="Z34" s="504" t="e">
        <f aca="false">($BI34*$F34*$AH34*($G$5-$BV$5))/365.25</f>
        <v>#VALUE!</v>
      </c>
      <c r="AA34" s="504" t="e">
        <f aca="false">(($BK34*$BE34)+($BJ34*$BD34))*$F34*$AH34*$AF34</f>
        <v>#VALUE!</v>
      </c>
      <c r="AB34" s="504" t="e">
        <f aca="false">BN34*(AT34-CA34)*F34*AH34</f>
        <v>#VALUE!</v>
      </c>
      <c r="AC34" s="504" t="e">
        <f aca="false">BO34*CB34*F34*AH34*CA34*($G$5-$BV$5)/365.25</f>
        <v>#NAME?</v>
      </c>
      <c r="AF34" s="378" t="e">
        <f aca="false">IF(AND(D34&gt;=$G$7,D34&lt;=$G$8),1,0)</f>
        <v>#VALUE!</v>
      </c>
      <c r="AG34" s="378" t="e">
        <f aca="false">MONTH(D34)</f>
        <v>#VALUE!</v>
      </c>
      <c r="AH34" s="378" t="e">
        <f aca="false">(EOMONTH(D34,0)-EOMONTH(D34-DAY(D34),0))*AF34</f>
        <v>#VALUE!</v>
      </c>
      <c r="AI34" s="378" t="e">
        <f aca="false">AI33+AH33</f>
        <v>#VALUE!</v>
      </c>
      <c r="AJ34" s="378" t="e">
        <f aca="false">D34-$BV$5</f>
        <v>#VALUE!</v>
      </c>
      <c r="AL34" s="369" t="e">
        <f aca="false">VLOOKUP($D34,CurveTbl,$AK$4)</f>
        <v>#VALUE!</v>
      </c>
      <c r="AM34" s="505" t="e">
        <f aca="false">VLOOKUP($D34,CurveTbl,$AH$3)</f>
        <v>#VALUE!</v>
      </c>
      <c r="AN34" s="505" t="e">
        <f aca="false">VLOOKUP($D34,CurveTbl,$AH$4)+VLOOKUP($AG34,$AL$3:$AS$15,6)</f>
        <v>#VALUE!</v>
      </c>
      <c r="AO34" s="505" t="e">
        <f aca="false">VLOOKUP($D34,CurveTbl,$AH$5)</f>
        <v>#VALUE!</v>
      </c>
      <c r="AP34" s="505" t="e">
        <f aca="false">VLOOKUP($D34,CurveTbl,$AH$6)+VLOOKUP($AG34,$AL$3:$AS$15,7)</f>
        <v>#VALUE!</v>
      </c>
      <c r="AQ34" s="369" t="e">
        <f aca="false">VLOOKUP($AG34,$AL$4:$AS$15,3)+VLOOKUP($AG34,$AL$4:$AS$15,5)+($AH$10*VLOOKUP(D34,GRITable,2))</f>
        <v>#VALUE!</v>
      </c>
      <c r="AR34" s="370" t="e">
        <f aca="false">VLOOKUP($AG34,$AL$4:$AS$15,4)</f>
        <v>#VALUE!</v>
      </c>
      <c r="AS34" s="369" t="e">
        <f aca="false">(AL34+AM34+AN34)</f>
        <v>#VALUE!</v>
      </c>
      <c r="AT34" s="370" t="e">
        <f aca="false">VLOOKUP(D34,CurveTbl,$AK$6)</f>
        <v>#VALUE!</v>
      </c>
      <c r="AU34" s="370" t="e">
        <f aca="false">(1+$AT34/2)^(-2*($D34-$G$5)/365.25)*$AF34</f>
        <v>#VALUE!</v>
      </c>
      <c r="AV34" s="506" t="e">
        <f aca="false">ROUND((F34/(1-AR34))-F34,0)*AF34*AH34*AU34</f>
        <v>#VALUE!</v>
      </c>
      <c r="AW34" s="370" t="e">
        <f aca="false">VLOOKUP($D34,CurveTbl,$AK$8)</f>
        <v>#VALUE!</v>
      </c>
      <c r="AX34" s="370" t="e">
        <f aca="false">VLOOKUP($D34,CurveTbl,$AH$7)</f>
        <v>#VALUE!</v>
      </c>
      <c r="AY34" s="370" t="e">
        <f aca="false">VLOOKUP($D34,CurveTbl,$AH$8)</f>
        <v>#VALUE!</v>
      </c>
      <c r="AZ34" s="370"/>
      <c r="BA34" s="507"/>
      <c r="BB34" s="505" t="e">
        <f aca="false">$H34-$BV34</f>
        <v>#VALUE!</v>
      </c>
      <c r="BC34" s="505" t="e">
        <f aca="false">I34-BW34</f>
        <v>#VALUE!</v>
      </c>
      <c r="BD34" s="370" t="e">
        <f aca="false">N34-BX34</f>
        <v>#VALUE!</v>
      </c>
      <c r="BE34" s="370" t="e">
        <f aca="false">O34-BY34</f>
        <v>#VALUE!</v>
      </c>
      <c r="BF34" s="370" t="e">
        <f aca="false">xSPRDOPT($BW34,$BV34,$CG34,0,$BY34,$BX34,$BZ34,$AJ34,1,4)*$CB34</f>
        <v>#NAME?</v>
      </c>
      <c r="BG34" s="370" t="e">
        <f aca="false">xSPRDOPT($BW34,$BV34,$CG34,0,$BY34,$BX34,$BZ34,$AJ34,1,3)*$CB34</f>
        <v>#NAME?</v>
      </c>
      <c r="BH34" s="370" t="e">
        <f aca="false">IF(OR(BF34&lt;&gt;0,BG34&lt;&gt;0),xSPRDOPT($BW34,$BV34,$CG34,0,$BY34,$BX34,$BZ34,$AJ34,1,12)*$CB34,0)</f>
        <v>#NAME?</v>
      </c>
      <c r="BI34" s="370" t="e">
        <f aca="false">xSPRDOPT($BW34,$BV34,$CG34,2*LN(1+CA34/2),$BY34,$BX34,$BZ34,$AJ34,1,9)</f>
        <v>#NAME?</v>
      </c>
      <c r="BJ34" s="370" t="e">
        <f aca="false">xSPRDOPT($BW34,$BV34,$CG34,0,$BY34,$BX34,$BZ34,$AJ34,1,6)*$CB34</f>
        <v>#NAME?</v>
      </c>
      <c r="BK34" s="370" t="e">
        <f aca="false">xSPRDOPT($BW34,$BV34,$CG34,0,$BY34,$BX34,$BZ34,$AJ34,1,5)*$CB34</f>
        <v>#NAME?</v>
      </c>
      <c r="BL34" s="370" t="e">
        <f aca="false">xSPRDOPT(BW34,BV34,CG34,0,BY34,BX34,BZ34,AJ34,1,2)*CB34</f>
        <v>#NAME?</v>
      </c>
      <c r="BM34" s="370" t="e">
        <f aca="false">xSPRDOPT(BW34,BV34,CG34,0,BY34,BX34,BZ34,AJ34,1,1)*CB34</f>
        <v>#NAME?</v>
      </c>
      <c r="BN34" s="370" t="e">
        <f aca="false">IF(AH34&lt;&gt;0,xSPRDOPT($BW34,$BV34,$CG34,2*LN(1+CA34/2),$BY34,$BX34,$BZ34,$AJ34,1,8)+(AJ34/365.25)*CH34/AH34,0)</f>
        <v>#VALUE!</v>
      </c>
      <c r="BO34" s="370" t="e">
        <f aca="false">xSPRDOPT($BW34,$BV34,$CG34,0,$BY34,$BX34,$BZ34,$AJ34,1,0)</f>
        <v>#NAME?</v>
      </c>
      <c r="BP34" s="370"/>
      <c r="BQ34" s="370"/>
      <c r="BR34" s="370"/>
      <c r="BS34" s="370"/>
      <c r="BV34" s="508" t="n">
        <v>3.44578313253012</v>
      </c>
      <c r="BW34" s="369" t="n">
        <v>3.467</v>
      </c>
      <c r="BX34" s="370" t="n">
        <v>0.37</v>
      </c>
      <c r="BY34" s="370" t="n">
        <v>0.37</v>
      </c>
      <c r="BZ34" s="370" t="n">
        <v>0</v>
      </c>
      <c r="CA34" s="370" t="n">
        <v>0.0348361539671314</v>
      </c>
      <c r="CB34" s="370" t="n">
        <v>0</v>
      </c>
      <c r="CC34" s="505" t="n">
        <v>0</v>
      </c>
      <c r="CD34" s="505" t="n">
        <v>0.03</v>
      </c>
      <c r="CE34" s="505" t="n">
        <v>0.065</v>
      </c>
      <c r="CF34" s="505" t="n">
        <v>0</v>
      </c>
      <c r="CG34" s="505" t="n">
        <v>0.0006</v>
      </c>
      <c r="CH34" s="505" t="n">
        <v>0</v>
      </c>
      <c r="CI34" s="505" t="n">
        <v>3.402</v>
      </c>
      <c r="CJ34" s="505"/>
      <c r="CK34" s="505"/>
      <c r="CL34" s="505"/>
      <c r="CM34" s="505"/>
    </row>
    <row r="35" customFormat="false" ht="12.75" hidden="false" customHeight="false" outlineLevel="0" collapsed="false">
      <c r="A35" s="500"/>
      <c r="B35" s="500"/>
      <c r="D35" s="361" t="e">
        <f aca="false">D34+AH34</f>
        <v>#VALUE!</v>
      </c>
      <c r="F35" s="362" t="e">
        <f aca="false">VLOOKUP(AG35,$AL$4:$AS$15,2)</f>
        <v>#VALUE!</v>
      </c>
      <c r="G35" s="362" t="e">
        <f aca="false">F35*$AU35</f>
        <v>#VALUE!</v>
      </c>
      <c r="H35" s="363" t="e">
        <f aca="false">(AL35+AM35+AN35)/(1-(AR35))</f>
        <v>#VALUE!</v>
      </c>
      <c r="I35" s="363" t="e">
        <f aca="false">(AL35+AO35+AP35)</f>
        <v>#VALUE!</v>
      </c>
      <c r="K35" s="363" t="e">
        <f aca="false">MAX(((I35-H35)-AQ35)*AU35*AH35,0)</f>
        <v>#VALUE!</v>
      </c>
      <c r="L35" s="501" t="e">
        <f aca="false">MAX(Q35-K35,0)</f>
        <v>#VALUE!</v>
      </c>
      <c r="N35" s="502" t="e">
        <f aca="false">SQRT(($AX35^2*($AH35/2)+$AW35^2*$AI35)/(($AH35/2)+$AI35))</f>
        <v>#VALUE!</v>
      </c>
      <c r="O35" s="502" t="e">
        <f aca="false">SQRT(($AY35^2*($AH35/2)+$AW35^2*$AI35)/(($AH35/2)+$AI35))</f>
        <v>#VALUE!</v>
      </c>
      <c r="P35" s="371" t="e">
        <f aca="false">(VLOOKUP(AI35,CorrelationTwo,2)*(AW35^2)*AI35+VLOOKUP(D35,CorrelationOne,$AK$9)*AX35*AY35*(AH35/2))/((AI35+(AH35/2))*O35*N35)*AF35</f>
        <v>#VALUE!</v>
      </c>
      <c r="Q35" s="501" t="e">
        <f aca="false">xSPRDOPT(I35,H35,AQ35,0,O35,N35,P35,D35-$G$5,1,0)*AH35*AU35</f>
        <v>#VALUE!</v>
      </c>
      <c r="R35" s="501"/>
      <c r="S35" s="365" t="e">
        <f aca="false">xSPRDOPT(I35,H35,AQ35,AT35,O35,N35,P35,D35-$G$5,1,2)*AF35*(F35/(1-AR35))*AH35</f>
        <v>#VALUE!</v>
      </c>
      <c r="T35" s="365" t="e">
        <f aca="false">xSPRDOPT(I35,H35,AQ35,AT35,O35,N35,P35,D35-$G$5,1,1)*AF35*F35*AH35</f>
        <v>#VALUE!</v>
      </c>
      <c r="U35" s="501"/>
      <c r="V35" s="503" t="e">
        <f aca="false">VLOOKUP($AG35,$AL$4:$AS$15,8)*AH35*AU35</f>
        <v>#VALUE!</v>
      </c>
      <c r="W35" s="503"/>
      <c r="X35" s="504" t="e">
        <f aca="false">((BM35*BC35)+(BL35*BB35))*AH35*F35</f>
        <v>#VALUE!</v>
      </c>
      <c r="Y35" s="504" t="e">
        <f aca="false">($F35*$AH35)*((($BG35/2)*($BC35)^2)+(($BF35/2)*($BB35)^2)+($BH35*$BC35*$BB35))</f>
        <v>#VALUE!</v>
      </c>
      <c r="Z35" s="504" t="e">
        <f aca="false">($BI35*$F35*$AH35*($G$5-$BV$5))/365.25</f>
        <v>#VALUE!</v>
      </c>
      <c r="AA35" s="504" t="e">
        <f aca="false">(($BK35*$BE35)+($BJ35*$BD35))*$F35*$AH35*$AF35</f>
        <v>#VALUE!</v>
      </c>
      <c r="AB35" s="504" t="e">
        <f aca="false">BN35*(AT35-CA35)*F35*AH35</f>
        <v>#VALUE!</v>
      </c>
      <c r="AC35" s="504" t="e">
        <f aca="false">BO35*CB35*F35*AH35*CA35*($G$5-$BV$5)/365.25</f>
        <v>#NAME?</v>
      </c>
      <c r="AF35" s="378" t="e">
        <f aca="false">IF(AND(D35&gt;=$G$7,D35&lt;=$G$8),1,0)</f>
        <v>#VALUE!</v>
      </c>
      <c r="AG35" s="378" t="e">
        <f aca="false">MONTH(D35)</f>
        <v>#VALUE!</v>
      </c>
      <c r="AH35" s="378" t="e">
        <f aca="false">(EOMONTH(D35,0)-EOMONTH(D35-DAY(D35),0))*AF35</f>
        <v>#VALUE!</v>
      </c>
      <c r="AI35" s="378" t="e">
        <f aca="false">AI34+AH34</f>
        <v>#VALUE!</v>
      </c>
      <c r="AJ35" s="378" t="e">
        <f aca="false">D35-$BV$5</f>
        <v>#VALUE!</v>
      </c>
      <c r="AL35" s="369" t="e">
        <f aca="false">VLOOKUP($D35,CurveTbl,$AK$4)</f>
        <v>#VALUE!</v>
      </c>
      <c r="AM35" s="505" t="e">
        <f aca="false">VLOOKUP($D35,CurveTbl,$AH$3)</f>
        <v>#VALUE!</v>
      </c>
      <c r="AN35" s="505" t="e">
        <f aca="false">VLOOKUP($D35,CurveTbl,$AH$4)+VLOOKUP($AG35,$AL$3:$AS$15,6)</f>
        <v>#VALUE!</v>
      </c>
      <c r="AO35" s="505" t="e">
        <f aca="false">VLOOKUP($D35,CurveTbl,$AH$5)</f>
        <v>#VALUE!</v>
      </c>
      <c r="AP35" s="505" t="e">
        <f aca="false">VLOOKUP($D35,CurveTbl,$AH$6)+VLOOKUP($AG35,$AL$3:$AS$15,7)</f>
        <v>#VALUE!</v>
      </c>
      <c r="AQ35" s="369" t="e">
        <f aca="false">VLOOKUP($AG35,$AL$4:$AS$15,3)+VLOOKUP($AG35,$AL$4:$AS$15,5)+($AH$10*VLOOKUP(D35,GRITable,2))</f>
        <v>#VALUE!</v>
      </c>
      <c r="AR35" s="370" t="e">
        <f aca="false">VLOOKUP($AG35,$AL$4:$AS$15,4)</f>
        <v>#VALUE!</v>
      </c>
      <c r="AS35" s="369" t="e">
        <f aca="false">(AL35+AM35+AN35)</f>
        <v>#VALUE!</v>
      </c>
      <c r="AT35" s="370" t="e">
        <f aca="false">VLOOKUP(D35,CurveTbl,$AK$6)</f>
        <v>#VALUE!</v>
      </c>
      <c r="AU35" s="370" t="e">
        <f aca="false">(1+$AT35/2)^(-2*($D35-$G$5)/365.25)*$AF35</f>
        <v>#VALUE!</v>
      </c>
      <c r="AV35" s="506" t="e">
        <f aca="false">ROUND((F35/(1-AR35))-F35,0)*AF35*AH35*AU35</f>
        <v>#VALUE!</v>
      </c>
      <c r="AW35" s="370" t="e">
        <f aca="false">VLOOKUP($D35,CurveTbl,$AK$8)</f>
        <v>#VALUE!</v>
      </c>
      <c r="AX35" s="370" t="e">
        <f aca="false">VLOOKUP($D35,CurveTbl,$AH$7)</f>
        <v>#VALUE!</v>
      </c>
      <c r="AY35" s="370" t="e">
        <f aca="false">VLOOKUP($D35,CurveTbl,$AH$8)</f>
        <v>#VALUE!</v>
      </c>
      <c r="AZ35" s="370"/>
      <c r="BA35" s="507"/>
      <c r="BB35" s="505" t="e">
        <f aca="false">$H35-$BV35</f>
        <v>#VALUE!</v>
      </c>
      <c r="BC35" s="505" t="e">
        <f aca="false">I35-BW35</f>
        <v>#VALUE!</v>
      </c>
      <c r="BD35" s="370" t="e">
        <f aca="false">N35-BX35</f>
        <v>#VALUE!</v>
      </c>
      <c r="BE35" s="370" t="e">
        <f aca="false">O35-BY35</f>
        <v>#VALUE!</v>
      </c>
      <c r="BF35" s="370" t="e">
        <f aca="false">xSPRDOPT($BW35,$BV35,$CG35,0,$BY35,$BX35,$BZ35,$AJ35,1,4)*$CB35</f>
        <v>#NAME?</v>
      </c>
      <c r="BG35" s="370" t="e">
        <f aca="false">xSPRDOPT($BW35,$BV35,$CG35,0,$BY35,$BX35,$BZ35,$AJ35,1,3)*$CB35</f>
        <v>#NAME?</v>
      </c>
      <c r="BH35" s="370" t="e">
        <f aca="false">IF(OR(BF35&lt;&gt;0,BG35&lt;&gt;0),xSPRDOPT($BW35,$BV35,$CG35,0,$BY35,$BX35,$BZ35,$AJ35,1,12)*$CB35,0)</f>
        <v>#NAME?</v>
      </c>
      <c r="BI35" s="370" t="e">
        <f aca="false">xSPRDOPT($BW35,$BV35,$CG35,2*LN(1+CA35/2),$BY35,$BX35,$BZ35,$AJ35,1,9)</f>
        <v>#NAME?</v>
      </c>
      <c r="BJ35" s="370" t="e">
        <f aca="false">xSPRDOPT($BW35,$BV35,$CG35,0,$BY35,$BX35,$BZ35,$AJ35,1,6)*$CB35</f>
        <v>#NAME?</v>
      </c>
      <c r="BK35" s="370" t="e">
        <f aca="false">xSPRDOPT($BW35,$BV35,$CG35,0,$BY35,$BX35,$BZ35,$AJ35,1,5)*$CB35</f>
        <v>#NAME?</v>
      </c>
      <c r="BL35" s="370" t="e">
        <f aca="false">xSPRDOPT(BW35,BV35,CG35,0,BY35,BX35,BZ35,AJ35,1,2)*CB35</f>
        <v>#NAME?</v>
      </c>
      <c r="BM35" s="370" t="e">
        <f aca="false">xSPRDOPT(BW35,BV35,CG35,0,BY35,BX35,BZ35,AJ35,1,1)*CB35</f>
        <v>#NAME?</v>
      </c>
      <c r="BN35" s="370" t="e">
        <f aca="false">IF(AH35&lt;&gt;0,xSPRDOPT($BW35,$BV35,$CG35,2*LN(1+CA35/2),$BY35,$BX35,$BZ35,$AJ35,1,8)+(AJ35/365.25)*CH35/AH35,0)</f>
        <v>#VALUE!</v>
      </c>
      <c r="BO35" s="370" t="e">
        <f aca="false">xSPRDOPT($BW35,$BV35,$CG35,0,$BY35,$BX35,$BZ35,$AJ35,1,0)</f>
        <v>#NAME?</v>
      </c>
      <c r="BP35" s="370"/>
      <c r="BQ35" s="370"/>
      <c r="BR35" s="370"/>
      <c r="BS35" s="370"/>
      <c r="BV35" s="508" t="n">
        <v>3.44578313253012</v>
      </c>
      <c r="BW35" s="369" t="n">
        <v>3.467</v>
      </c>
      <c r="BX35" s="370" t="n">
        <v>0.37</v>
      </c>
      <c r="BY35" s="370" t="n">
        <v>0.37</v>
      </c>
      <c r="BZ35" s="370" t="n">
        <v>0</v>
      </c>
      <c r="CA35" s="370" t="n">
        <v>0.0348361539671314</v>
      </c>
      <c r="CB35" s="370" t="n">
        <v>0</v>
      </c>
      <c r="CC35" s="505" t="n">
        <v>0</v>
      </c>
      <c r="CD35" s="505" t="n">
        <v>0.03</v>
      </c>
      <c r="CE35" s="505" t="n">
        <v>0.065</v>
      </c>
      <c r="CF35" s="505" t="n">
        <v>0</v>
      </c>
      <c r="CG35" s="505" t="n">
        <v>0.0006</v>
      </c>
      <c r="CH35" s="505" t="n">
        <v>0</v>
      </c>
      <c r="CI35" s="505" t="n">
        <v>3.402</v>
      </c>
      <c r="CJ35" s="505"/>
      <c r="CK35" s="505"/>
      <c r="CL35" s="505"/>
      <c r="CM35" s="505"/>
    </row>
    <row r="36" customFormat="false" ht="12.75" hidden="false" customHeight="false" outlineLevel="0" collapsed="false">
      <c r="A36" s="500"/>
      <c r="B36" s="500"/>
      <c r="D36" s="361" t="e">
        <f aca="false">D35+AH35</f>
        <v>#VALUE!</v>
      </c>
      <c r="F36" s="362" t="e">
        <f aca="false">VLOOKUP(AG36,$AL$4:$AS$15,2)</f>
        <v>#VALUE!</v>
      </c>
      <c r="G36" s="362" t="e">
        <f aca="false">F36*$AU36</f>
        <v>#VALUE!</v>
      </c>
      <c r="H36" s="363" t="e">
        <f aca="false">(AL36+AM36+AN36)/(1-(AR36))</f>
        <v>#VALUE!</v>
      </c>
      <c r="I36" s="363" t="e">
        <f aca="false">(AL36+AO36+AP36)</f>
        <v>#VALUE!</v>
      </c>
      <c r="K36" s="363" t="e">
        <f aca="false">MAX(((I36-H36)-AQ36)*AU36*AH36,0)</f>
        <v>#VALUE!</v>
      </c>
      <c r="L36" s="501" t="e">
        <f aca="false">MAX(Q36-K36,0)</f>
        <v>#VALUE!</v>
      </c>
      <c r="N36" s="502" t="e">
        <f aca="false">SQRT(($AX36^2*($AH36/2)+$AW36^2*$AI36)/(($AH36/2)+$AI36))</f>
        <v>#VALUE!</v>
      </c>
      <c r="O36" s="502" t="e">
        <f aca="false">SQRT(($AY36^2*($AH36/2)+$AW36^2*$AI36)/(($AH36/2)+$AI36))</f>
        <v>#VALUE!</v>
      </c>
      <c r="P36" s="371" t="e">
        <f aca="false">(VLOOKUP(AI36,CorrelationTwo,2)*(AW36^2)*AI36+VLOOKUP(D36,CorrelationOne,$AK$9)*AX36*AY36*(AH36/2))/((AI36+(AH36/2))*O36*N36)*AF36</f>
        <v>#VALUE!</v>
      </c>
      <c r="Q36" s="501" t="e">
        <f aca="false">xSPRDOPT(I36,H36,AQ36,0,O36,N36,P36,D36-$G$5,1,0)*AH36*AU36</f>
        <v>#VALUE!</v>
      </c>
      <c r="R36" s="501"/>
      <c r="S36" s="365" t="e">
        <f aca="false">xSPRDOPT(I36,H36,AQ36,AT36,O36,N36,P36,D36-$G$5,1,2)*AF36*(F36/(1-AR36))*AH36</f>
        <v>#VALUE!</v>
      </c>
      <c r="T36" s="365" t="e">
        <f aca="false">xSPRDOPT(I36,H36,AQ36,AT36,O36,N36,P36,D36-$G$5,1,1)*AF36*F36*AH36</f>
        <v>#VALUE!</v>
      </c>
      <c r="U36" s="501"/>
      <c r="V36" s="503" t="e">
        <f aca="false">VLOOKUP($AG36,$AL$4:$AS$15,8)*AH36*AU36</f>
        <v>#VALUE!</v>
      </c>
      <c r="W36" s="503"/>
      <c r="X36" s="504" t="e">
        <f aca="false">((BM36*BC36)+(BL36*BB36))*AH36*F36</f>
        <v>#VALUE!</v>
      </c>
      <c r="Y36" s="504" t="e">
        <f aca="false">($F36*$AH36)*((($BG36/2)*($BC36)^2)+(($BF36/2)*($BB36)^2)+($BH36*$BC36*$BB36))</f>
        <v>#VALUE!</v>
      </c>
      <c r="Z36" s="504" t="e">
        <f aca="false">($BI36*$F36*$AH36*($G$5-$BV$5))/365.25</f>
        <v>#VALUE!</v>
      </c>
      <c r="AA36" s="504" t="e">
        <f aca="false">(($BK36*$BE36)+($BJ36*$BD36))*$F36*$AH36*$AF36</f>
        <v>#VALUE!</v>
      </c>
      <c r="AB36" s="504" t="e">
        <f aca="false">BN36*(AT36-CA36)*F36*AH36</f>
        <v>#VALUE!</v>
      </c>
      <c r="AC36" s="504" t="e">
        <f aca="false">BO36*CB36*F36*AH36*CA36*($G$5-$BV$5)/365.25</f>
        <v>#NAME?</v>
      </c>
      <c r="AF36" s="378" t="e">
        <f aca="false">IF(AND(D36&gt;=$G$7,D36&lt;=$G$8),1,0)</f>
        <v>#VALUE!</v>
      </c>
      <c r="AG36" s="378" t="e">
        <f aca="false">MONTH(D36)</f>
        <v>#VALUE!</v>
      </c>
      <c r="AH36" s="378" t="e">
        <f aca="false">(EOMONTH(D36,0)-EOMONTH(D36-DAY(D36),0))*AF36</f>
        <v>#VALUE!</v>
      </c>
      <c r="AI36" s="378" t="e">
        <f aca="false">AI35+AH35</f>
        <v>#VALUE!</v>
      </c>
      <c r="AJ36" s="378" t="e">
        <f aca="false">D36-$BV$5</f>
        <v>#VALUE!</v>
      </c>
      <c r="AL36" s="369" t="e">
        <f aca="false">VLOOKUP($D36,CurveTbl,$AK$4)</f>
        <v>#VALUE!</v>
      </c>
      <c r="AM36" s="505" t="e">
        <f aca="false">VLOOKUP($D36,CurveTbl,$AH$3)</f>
        <v>#VALUE!</v>
      </c>
      <c r="AN36" s="505" t="e">
        <f aca="false">VLOOKUP($D36,CurveTbl,$AH$4)+VLOOKUP($AG36,$AL$3:$AS$15,6)</f>
        <v>#VALUE!</v>
      </c>
      <c r="AO36" s="505" t="e">
        <f aca="false">VLOOKUP($D36,CurveTbl,$AH$5)</f>
        <v>#VALUE!</v>
      </c>
      <c r="AP36" s="505" t="e">
        <f aca="false">VLOOKUP($D36,CurveTbl,$AH$6)+VLOOKUP($AG36,$AL$3:$AS$15,7)</f>
        <v>#VALUE!</v>
      </c>
      <c r="AQ36" s="369" t="e">
        <f aca="false">VLOOKUP($AG36,$AL$4:$AS$15,3)+VLOOKUP($AG36,$AL$4:$AS$15,5)+($AH$10*VLOOKUP(D36,GRITable,2))</f>
        <v>#VALUE!</v>
      </c>
      <c r="AR36" s="370" t="e">
        <f aca="false">VLOOKUP($AG36,$AL$4:$AS$15,4)</f>
        <v>#VALUE!</v>
      </c>
      <c r="AS36" s="369" t="e">
        <f aca="false">(AL36+AM36+AN36)</f>
        <v>#VALUE!</v>
      </c>
      <c r="AT36" s="370" t="e">
        <f aca="false">VLOOKUP(D36,CurveTbl,$AK$6)</f>
        <v>#VALUE!</v>
      </c>
      <c r="AU36" s="370" t="e">
        <f aca="false">(1+$AT36/2)^(-2*($D36-$G$5)/365.25)*$AF36</f>
        <v>#VALUE!</v>
      </c>
      <c r="AV36" s="506" t="e">
        <f aca="false">ROUND((F36/(1-AR36))-F36,0)*AF36*AH36*AU36</f>
        <v>#VALUE!</v>
      </c>
      <c r="AW36" s="370" t="e">
        <f aca="false">VLOOKUP($D36,CurveTbl,$AK$8)</f>
        <v>#VALUE!</v>
      </c>
      <c r="AX36" s="370" t="e">
        <f aca="false">VLOOKUP($D36,CurveTbl,$AH$7)</f>
        <v>#VALUE!</v>
      </c>
      <c r="AY36" s="370" t="e">
        <f aca="false">VLOOKUP($D36,CurveTbl,$AH$8)</f>
        <v>#VALUE!</v>
      </c>
      <c r="AZ36" s="370"/>
      <c r="BA36" s="507"/>
      <c r="BB36" s="505" t="e">
        <f aca="false">$H36-$BV36</f>
        <v>#VALUE!</v>
      </c>
      <c r="BC36" s="505" t="e">
        <f aca="false">I36-BW36</f>
        <v>#VALUE!</v>
      </c>
      <c r="BD36" s="370" t="e">
        <f aca="false">N36-BX36</f>
        <v>#VALUE!</v>
      </c>
      <c r="BE36" s="370" t="e">
        <f aca="false">O36-BY36</f>
        <v>#VALUE!</v>
      </c>
      <c r="BF36" s="370" t="e">
        <f aca="false">xSPRDOPT($BW36,$BV36,$CG36,0,$BY36,$BX36,$BZ36,$AJ36,1,4)*$CB36</f>
        <v>#NAME?</v>
      </c>
      <c r="BG36" s="370" t="e">
        <f aca="false">xSPRDOPT($BW36,$BV36,$CG36,0,$BY36,$BX36,$BZ36,$AJ36,1,3)*$CB36</f>
        <v>#NAME?</v>
      </c>
      <c r="BH36" s="370" t="e">
        <f aca="false">IF(OR(BF36&lt;&gt;0,BG36&lt;&gt;0),xSPRDOPT($BW36,$BV36,$CG36,0,$BY36,$BX36,$BZ36,$AJ36,1,12)*$CB36,0)</f>
        <v>#NAME?</v>
      </c>
      <c r="BI36" s="370" t="e">
        <f aca="false">xSPRDOPT($BW36,$BV36,$CG36,2*LN(1+CA36/2),$BY36,$BX36,$BZ36,$AJ36,1,9)</f>
        <v>#NAME?</v>
      </c>
      <c r="BJ36" s="370" t="e">
        <f aca="false">xSPRDOPT($BW36,$BV36,$CG36,0,$BY36,$BX36,$BZ36,$AJ36,1,6)*$CB36</f>
        <v>#NAME?</v>
      </c>
      <c r="BK36" s="370" t="e">
        <f aca="false">xSPRDOPT($BW36,$BV36,$CG36,0,$BY36,$BX36,$BZ36,$AJ36,1,5)*$CB36</f>
        <v>#NAME?</v>
      </c>
      <c r="BL36" s="370" t="e">
        <f aca="false">xSPRDOPT(BW36,BV36,CG36,0,BY36,BX36,BZ36,AJ36,1,2)*CB36</f>
        <v>#NAME?</v>
      </c>
      <c r="BM36" s="370" t="e">
        <f aca="false">xSPRDOPT(BW36,BV36,CG36,0,BY36,BX36,BZ36,AJ36,1,1)*CB36</f>
        <v>#NAME?</v>
      </c>
      <c r="BN36" s="370" t="e">
        <f aca="false">IF(AH36&lt;&gt;0,xSPRDOPT($BW36,$BV36,$CG36,2*LN(1+CA36/2),$BY36,$BX36,$BZ36,$AJ36,1,8)+(AJ36/365.25)*CH36/AH36,0)</f>
        <v>#VALUE!</v>
      </c>
      <c r="BO36" s="370" t="e">
        <f aca="false">xSPRDOPT($BW36,$BV36,$CG36,0,$BY36,$BX36,$BZ36,$AJ36,1,0)</f>
        <v>#NAME?</v>
      </c>
      <c r="BP36" s="370"/>
      <c r="BQ36" s="370"/>
      <c r="BR36" s="370"/>
      <c r="BS36" s="370"/>
      <c r="BV36" s="508" t="n">
        <v>3.44578313253012</v>
      </c>
      <c r="BW36" s="369" t="n">
        <v>3.467</v>
      </c>
      <c r="BX36" s="370" t="n">
        <v>0.37</v>
      </c>
      <c r="BY36" s="370" t="n">
        <v>0.37</v>
      </c>
      <c r="BZ36" s="370" t="n">
        <v>0</v>
      </c>
      <c r="CA36" s="370" t="n">
        <v>0.0348361539671314</v>
      </c>
      <c r="CB36" s="370" t="n">
        <v>0</v>
      </c>
      <c r="CC36" s="505" t="n">
        <v>0</v>
      </c>
      <c r="CD36" s="505" t="n">
        <v>0.03</v>
      </c>
      <c r="CE36" s="505" t="n">
        <v>0.065</v>
      </c>
      <c r="CF36" s="505" t="n">
        <v>0</v>
      </c>
      <c r="CG36" s="505" t="n">
        <v>0.0006</v>
      </c>
      <c r="CH36" s="505" t="n">
        <v>0</v>
      </c>
      <c r="CI36" s="505" t="n">
        <v>3.402</v>
      </c>
      <c r="CJ36" s="505"/>
      <c r="CK36" s="505"/>
      <c r="CL36" s="505"/>
      <c r="CM36" s="505"/>
    </row>
    <row r="37" customFormat="false" ht="12.75" hidden="false" customHeight="false" outlineLevel="0" collapsed="false">
      <c r="A37" s="509"/>
      <c r="B37" s="509"/>
      <c r="D37" s="361" t="e">
        <f aca="false">D36+AH36</f>
        <v>#VALUE!</v>
      </c>
      <c r="F37" s="362" t="e">
        <f aca="false">VLOOKUP(AG37,$AL$4:$AS$15,2)</f>
        <v>#VALUE!</v>
      </c>
      <c r="G37" s="362" t="e">
        <f aca="false">F37*$AU37</f>
        <v>#VALUE!</v>
      </c>
      <c r="H37" s="363" t="e">
        <f aca="false">(AL37+AM37+AN37)/(1-(AR37))</f>
        <v>#VALUE!</v>
      </c>
      <c r="I37" s="363" t="e">
        <f aca="false">(AL37+AO37+AP37)</f>
        <v>#VALUE!</v>
      </c>
      <c r="K37" s="363" t="e">
        <f aca="false">MAX(((I37-H37)-AQ37)*AU37*AH37,0)</f>
        <v>#VALUE!</v>
      </c>
      <c r="L37" s="501" t="e">
        <f aca="false">MAX(Q37-K37,0)</f>
        <v>#VALUE!</v>
      </c>
      <c r="N37" s="502" t="e">
        <f aca="false">SQRT(($AX37^2*($AH37/2)+$AW37^2*$AI37)/(($AH37/2)+$AI37))</f>
        <v>#VALUE!</v>
      </c>
      <c r="O37" s="502" t="e">
        <f aca="false">SQRT(($AY37^2*($AH37/2)+$AW37^2*$AI37)/(($AH37/2)+$AI37))</f>
        <v>#VALUE!</v>
      </c>
      <c r="P37" s="371" t="e">
        <f aca="false">(VLOOKUP(AI37,CorrelationTwo,2)*(AW37^2)*AI37+VLOOKUP(D37,CorrelationOne,$AK$9)*AX37*AY37*(AH37/2))/((AI37+(AH37/2))*O37*N37)*AF37</f>
        <v>#VALUE!</v>
      </c>
      <c r="Q37" s="501" t="e">
        <f aca="false">xSPRDOPT(I37,H37,AQ37,0,O37,N37,P37,D37-$G$5,1,0)*AH37*AU37</f>
        <v>#VALUE!</v>
      </c>
      <c r="R37" s="501"/>
      <c r="S37" s="365" t="e">
        <f aca="false">xSPRDOPT(I37,H37,AQ37,AT37,O37,N37,P37,D37-$G$5,1,2)*AF37*(F37/(1-AR37))*AH37</f>
        <v>#VALUE!</v>
      </c>
      <c r="T37" s="365" t="e">
        <f aca="false">xSPRDOPT(I37,H37,AQ37,AT37,O37,N37,P37,D37-$G$5,1,1)*AF37*F37*AH37</f>
        <v>#VALUE!</v>
      </c>
      <c r="U37" s="501"/>
      <c r="V37" s="503" t="e">
        <f aca="false">VLOOKUP($AG37,$AL$4:$AS$15,8)*AH37*AU37</f>
        <v>#VALUE!</v>
      </c>
      <c r="W37" s="503"/>
      <c r="X37" s="504" t="e">
        <f aca="false">((BM37*BC37)+(BL37*BB37))*AH37*F37</f>
        <v>#VALUE!</v>
      </c>
      <c r="Y37" s="504" t="e">
        <f aca="false">($F37*$AH37)*((($BG37/2)*($BC37)^2)+(($BF37/2)*($BB37)^2)+($BH37*$BC37*$BB37))</f>
        <v>#VALUE!</v>
      </c>
      <c r="Z37" s="504" t="e">
        <f aca="false">($BI37*$F37*$AH37*($G$5-$BV$5))/365.25</f>
        <v>#VALUE!</v>
      </c>
      <c r="AA37" s="504" t="e">
        <f aca="false">(($BK37*$BE37)+($BJ37*$BD37))*$F37*$AH37*$AF37</f>
        <v>#VALUE!</v>
      </c>
      <c r="AB37" s="504" t="e">
        <f aca="false">BN37*(AT37-CA37)*F37*AH37</f>
        <v>#VALUE!</v>
      </c>
      <c r="AC37" s="504" t="e">
        <f aca="false">BO37*CB37*F37*AH37*CA37*($G$5-$BV$5)/365.25</f>
        <v>#NAME?</v>
      </c>
      <c r="AF37" s="378" t="e">
        <f aca="false">IF(AND(D37&gt;=$G$7,D37&lt;=$G$8),1,0)</f>
        <v>#VALUE!</v>
      </c>
      <c r="AG37" s="378" t="e">
        <f aca="false">MONTH(D37)</f>
        <v>#VALUE!</v>
      </c>
      <c r="AH37" s="378" t="e">
        <f aca="false">(EOMONTH(D37,0)-EOMONTH(D37-DAY(D37),0))*AF37</f>
        <v>#VALUE!</v>
      </c>
      <c r="AI37" s="378" t="e">
        <f aca="false">AI36+AH36</f>
        <v>#VALUE!</v>
      </c>
      <c r="AJ37" s="378" t="e">
        <f aca="false">D37-$BV$5</f>
        <v>#VALUE!</v>
      </c>
      <c r="AL37" s="369" t="e">
        <f aca="false">VLOOKUP($D37,CurveTbl,$AK$4)</f>
        <v>#VALUE!</v>
      </c>
      <c r="AM37" s="505" t="e">
        <f aca="false">VLOOKUP($D37,CurveTbl,$AH$3)</f>
        <v>#VALUE!</v>
      </c>
      <c r="AN37" s="505" t="e">
        <f aca="false">VLOOKUP($D37,CurveTbl,$AH$4)+VLOOKUP($AG37,$AL$3:$AS$15,6)</f>
        <v>#VALUE!</v>
      </c>
      <c r="AO37" s="505" t="e">
        <f aca="false">VLOOKUP($D37,CurveTbl,$AH$5)</f>
        <v>#VALUE!</v>
      </c>
      <c r="AP37" s="505" t="e">
        <f aca="false">VLOOKUP($D37,CurveTbl,$AH$6)+VLOOKUP($AG37,$AL$3:$AS$15,7)</f>
        <v>#VALUE!</v>
      </c>
      <c r="AQ37" s="369" t="e">
        <f aca="false">VLOOKUP($AG37,$AL$4:$AS$15,3)+VLOOKUP($AG37,$AL$4:$AS$15,5)+($AH$10*VLOOKUP(D37,GRITable,2))</f>
        <v>#VALUE!</v>
      </c>
      <c r="AR37" s="370" t="e">
        <f aca="false">VLOOKUP($AG37,$AL$4:$AS$15,4)</f>
        <v>#VALUE!</v>
      </c>
      <c r="AS37" s="369" t="e">
        <f aca="false">(AL37+AM37+AN37)</f>
        <v>#VALUE!</v>
      </c>
      <c r="AT37" s="370" t="e">
        <f aca="false">VLOOKUP(D37,CurveTbl,$AK$6)</f>
        <v>#VALUE!</v>
      </c>
      <c r="AU37" s="370" t="e">
        <f aca="false">(1+$AT37/2)^(-2*($D37-$G$5)/365.25)*$AF37</f>
        <v>#VALUE!</v>
      </c>
      <c r="AV37" s="506" t="e">
        <f aca="false">ROUND((F37/(1-AR37))-F37,0)*AF37*AH37*AU37</f>
        <v>#VALUE!</v>
      </c>
      <c r="AW37" s="370" t="e">
        <f aca="false">VLOOKUP($D37,CurveTbl,$AK$8)</f>
        <v>#VALUE!</v>
      </c>
      <c r="AX37" s="370" t="e">
        <f aca="false">VLOOKUP($D37,CurveTbl,$AH$7)</f>
        <v>#VALUE!</v>
      </c>
      <c r="AY37" s="370" t="e">
        <f aca="false">VLOOKUP($D37,CurveTbl,$AH$8)</f>
        <v>#VALUE!</v>
      </c>
      <c r="AZ37" s="370"/>
      <c r="BA37" s="507"/>
      <c r="BB37" s="505" t="e">
        <f aca="false">$H37-$BV37</f>
        <v>#VALUE!</v>
      </c>
      <c r="BC37" s="505" t="e">
        <f aca="false">I37-BW37</f>
        <v>#VALUE!</v>
      </c>
      <c r="BD37" s="370" t="e">
        <f aca="false">N37-BX37</f>
        <v>#VALUE!</v>
      </c>
      <c r="BE37" s="370" t="e">
        <f aca="false">O37-BY37</f>
        <v>#VALUE!</v>
      </c>
      <c r="BF37" s="370" t="e">
        <f aca="false">xSPRDOPT($BW37,$BV37,$CG37,0,$BY37,$BX37,$BZ37,$AJ37,1,4)*$CB37</f>
        <v>#NAME?</v>
      </c>
      <c r="BG37" s="370" t="e">
        <f aca="false">xSPRDOPT($BW37,$BV37,$CG37,0,$BY37,$BX37,$BZ37,$AJ37,1,3)*$CB37</f>
        <v>#NAME?</v>
      </c>
      <c r="BH37" s="370" t="e">
        <f aca="false">IF(OR(BF37&lt;&gt;0,BG37&lt;&gt;0),xSPRDOPT($BW37,$BV37,$CG37,0,$BY37,$BX37,$BZ37,$AJ37,1,12)*$CB37,0)</f>
        <v>#NAME?</v>
      </c>
      <c r="BI37" s="370" t="e">
        <f aca="false">xSPRDOPT($BW37,$BV37,$CG37,2*LN(1+CA37/2),$BY37,$BX37,$BZ37,$AJ37,1,9)</f>
        <v>#NAME?</v>
      </c>
      <c r="BJ37" s="370" t="e">
        <f aca="false">xSPRDOPT($BW37,$BV37,$CG37,0,$BY37,$BX37,$BZ37,$AJ37,1,6)*$CB37</f>
        <v>#NAME?</v>
      </c>
      <c r="BK37" s="370" t="e">
        <f aca="false">xSPRDOPT($BW37,$BV37,$CG37,0,$BY37,$BX37,$BZ37,$AJ37,1,5)*$CB37</f>
        <v>#NAME?</v>
      </c>
      <c r="BL37" s="370" t="e">
        <f aca="false">xSPRDOPT(BW37,BV37,CG37,0,BY37,BX37,BZ37,AJ37,1,2)*CB37</f>
        <v>#NAME?</v>
      </c>
      <c r="BM37" s="370" t="e">
        <f aca="false">xSPRDOPT(BW37,BV37,CG37,0,BY37,BX37,BZ37,AJ37,1,1)*CB37</f>
        <v>#NAME?</v>
      </c>
      <c r="BN37" s="370" t="e">
        <f aca="false">IF(AH37&lt;&gt;0,xSPRDOPT($BW37,$BV37,$CG37,2*LN(1+CA37/2),$BY37,$BX37,$BZ37,$AJ37,1,8)+(AJ37/365.25)*CH37/AH37,0)</f>
        <v>#VALUE!</v>
      </c>
      <c r="BO37" s="370" t="e">
        <f aca="false">xSPRDOPT($BW37,$BV37,$CG37,0,$BY37,$BX37,$BZ37,$AJ37,1,0)</f>
        <v>#NAME?</v>
      </c>
      <c r="BP37" s="370"/>
      <c r="BQ37" s="370"/>
      <c r="BR37" s="370"/>
      <c r="BS37" s="370"/>
      <c r="BV37" s="508" t="n">
        <v>3.44578313253012</v>
      </c>
      <c r="BW37" s="369" t="n">
        <v>3.467</v>
      </c>
      <c r="BX37" s="370" t="n">
        <v>0.37</v>
      </c>
      <c r="BY37" s="370" t="n">
        <v>0.37</v>
      </c>
      <c r="BZ37" s="370" t="n">
        <v>0</v>
      </c>
      <c r="CA37" s="370" t="n">
        <v>0.0348361539671314</v>
      </c>
      <c r="CB37" s="370" t="n">
        <v>0</v>
      </c>
      <c r="CC37" s="505" t="n">
        <v>0</v>
      </c>
      <c r="CD37" s="505" t="n">
        <v>0.03</v>
      </c>
      <c r="CE37" s="505" t="n">
        <v>0.065</v>
      </c>
      <c r="CF37" s="505" t="n">
        <v>0</v>
      </c>
      <c r="CG37" s="505" t="n">
        <v>0.0006</v>
      </c>
      <c r="CH37" s="505" t="n">
        <v>0</v>
      </c>
      <c r="CI37" s="505" t="n">
        <v>3.402</v>
      </c>
      <c r="CJ37" s="505"/>
      <c r="CK37" s="505"/>
      <c r="CL37" s="505"/>
      <c r="CM37" s="505"/>
    </row>
    <row r="38" customFormat="false" ht="12.75" hidden="false" customHeight="false" outlineLevel="0" collapsed="false">
      <c r="A38" s="500"/>
      <c r="B38" s="500"/>
      <c r="D38" s="361" t="e">
        <f aca="false">D37+AH37</f>
        <v>#VALUE!</v>
      </c>
      <c r="F38" s="362" t="e">
        <f aca="false">VLOOKUP(AG38,$AL$4:$AS$15,2)</f>
        <v>#VALUE!</v>
      </c>
      <c r="G38" s="362" t="e">
        <f aca="false">F38*$AU38</f>
        <v>#VALUE!</v>
      </c>
      <c r="H38" s="363" t="e">
        <f aca="false">(AL38+AM38+AN38)/(1-(AR38))</f>
        <v>#VALUE!</v>
      </c>
      <c r="I38" s="363" t="e">
        <f aca="false">(AL38+AO38+AP38)</f>
        <v>#VALUE!</v>
      </c>
      <c r="K38" s="363" t="e">
        <f aca="false">MAX(((I38-H38)-AQ38)*AU38*AH38,0)</f>
        <v>#VALUE!</v>
      </c>
      <c r="L38" s="501" t="e">
        <f aca="false">MAX(Q38-K38,0)</f>
        <v>#VALUE!</v>
      </c>
      <c r="N38" s="502" t="e">
        <f aca="false">SQRT(($AX38^2*($AH38/2)+$AW38^2*$AI38)/(($AH38/2)+$AI38))</f>
        <v>#VALUE!</v>
      </c>
      <c r="O38" s="502" t="e">
        <f aca="false">SQRT(($AY38^2*($AH38/2)+$AW38^2*$AI38)/(($AH38/2)+$AI38))</f>
        <v>#VALUE!</v>
      </c>
      <c r="P38" s="371" t="e">
        <f aca="false">(VLOOKUP(AI38,CorrelationTwo,2)*(AW38^2)*AI38+VLOOKUP(D38,CorrelationOne,$AK$9)*AX38*AY38*(AH38/2))/((AI38+(AH38/2))*O38*N38)*AF38</f>
        <v>#VALUE!</v>
      </c>
      <c r="Q38" s="501" t="e">
        <f aca="false">xSPRDOPT(I38,H38,AQ38,0,O38,N38,P38,D38-$G$5,1,0)*AH38*AU38</f>
        <v>#VALUE!</v>
      </c>
      <c r="R38" s="501"/>
      <c r="S38" s="365" t="e">
        <f aca="false">xSPRDOPT(I38,H38,AQ38,AT38,O38,N38,P38,D38-$G$5,1,2)*AF38*(F38/(1-AR38))*AH38</f>
        <v>#VALUE!</v>
      </c>
      <c r="T38" s="365" t="e">
        <f aca="false">xSPRDOPT(I38,H38,AQ38,AT38,O38,N38,P38,D38-$G$5,1,1)*AF38*F38*AH38</f>
        <v>#VALUE!</v>
      </c>
      <c r="U38" s="501"/>
      <c r="V38" s="503" t="e">
        <f aca="false">VLOOKUP($AG38,$AL$4:$AS$15,8)*AH38*AU38</f>
        <v>#VALUE!</v>
      </c>
      <c r="W38" s="503"/>
      <c r="X38" s="504" t="e">
        <f aca="false">((BM38*BC38)+(BL38*BB38))*AH38*F38</f>
        <v>#VALUE!</v>
      </c>
      <c r="Y38" s="504" t="e">
        <f aca="false">($F38*$AH38)*((($BG38/2)*($BC38)^2)+(($BF38/2)*($BB38)^2)+($BH38*$BC38*$BB38))</f>
        <v>#VALUE!</v>
      </c>
      <c r="Z38" s="504" t="e">
        <f aca="false">($BI38*$F38*$AH38*($G$5-$BV$5))/365.25</f>
        <v>#VALUE!</v>
      </c>
      <c r="AA38" s="504" t="e">
        <f aca="false">(($BK38*$BE38)+($BJ38*$BD38))*$F38*$AH38*$AF38</f>
        <v>#VALUE!</v>
      </c>
      <c r="AB38" s="504" t="e">
        <f aca="false">BN38*(AT38-CA38)*F38*AH38</f>
        <v>#VALUE!</v>
      </c>
      <c r="AC38" s="504" t="e">
        <f aca="false">BO38*CB38*F38*AH38*CA38*($G$5-$BV$5)/365.25</f>
        <v>#NAME?</v>
      </c>
      <c r="AF38" s="378" t="e">
        <f aca="false">IF(AND(D38&gt;=$G$7,D38&lt;=$G$8),1,0)</f>
        <v>#VALUE!</v>
      </c>
      <c r="AG38" s="378" t="e">
        <f aca="false">MONTH(D38)</f>
        <v>#VALUE!</v>
      </c>
      <c r="AH38" s="378" t="e">
        <f aca="false">(EOMONTH(D38,0)-EOMONTH(D38-DAY(D38),0))*AF38</f>
        <v>#VALUE!</v>
      </c>
      <c r="AI38" s="378" t="e">
        <f aca="false">AI37+AH37</f>
        <v>#VALUE!</v>
      </c>
      <c r="AJ38" s="378" t="e">
        <f aca="false">D38-$BV$5</f>
        <v>#VALUE!</v>
      </c>
      <c r="AL38" s="369" t="e">
        <f aca="false">VLOOKUP($D38,CurveTbl,$AK$4)</f>
        <v>#VALUE!</v>
      </c>
      <c r="AM38" s="505" t="e">
        <f aca="false">VLOOKUP($D38,CurveTbl,$AH$3)</f>
        <v>#VALUE!</v>
      </c>
      <c r="AN38" s="505" t="e">
        <f aca="false">VLOOKUP($D38,CurveTbl,$AH$4)+VLOOKUP($AG38,$AL$3:$AS$15,6)</f>
        <v>#VALUE!</v>
      </c>
      <c r="AO38" s="505" t="e">
        <f aca="false">VLOOKUP($D38,CurveTbl,$AH$5)</f>
        <v>#VALUE!</v>
      </c>
      <c r="AP38" s="505" t="e">
        <f aca="false">VLOOKUP($D38,CurveTbl,$AH$6)+VLOOKUP($AG38,$AL$3:$AS$15,7)</f>
        <v>#VALUE!</v>
      </c>
      <c r="AQ38" s="369" t="e">
        <f aca="false">VLOOKUP($AG38,$AL$4:$AS$15,3)+VLOOKUP($AG38,$AL$4:$AS$15,5)+($AH$10*VLOOKUP(D38,GRITable,2))</f>
        <v>#VALUE!</v>
      </c>
      <c r="AR38" s="370" t="e">
        <f aca="false">VLOOKUP($AG38,$AL$4:$AS$15,4)</f>
        <v>#VALUE!</v>
      </c>
      <c r="AS38" s="369" t="e">
        <f aca="false">(AL38+AM38+AN38)</f>
        <v>#VALUE!</v>
      </c>
      <c r="AT38" s="370" t="e">
        <f aca="false">VLOOKUP(D38,CurveTbl,$AK$6)</f>
        <v>#VALUE!</v>
      </c>
      <c r="AU38" s="370" t="e">
        <f aca="false">(1+$AT38/2)^(-2*($D38-$G$5)/365.25)*$AF38</f>
        <v>#VALUE!</v>
      </c>
      <c r="AV38" s="506" t="e">
        <f aca="false">ROUND((F38/(1-AR38))-F38,0)*AF38*AH38*AU38</f>
        <v>#VALUE!</v>
      </c>
      <c r="AW38" s="370" t="e">
        <f aca="false">VLOOKUP($D38,CurveTbl,$AK$8)</f>
        <v>#VALUE!</v>
      </c>
      <c r="AX38" s="370" t="e">
        <f aca="false">VLOOKUP($D38,CurveTbl,$AH$7)</f>
        <v>#VALUE!</v>
      </c>
      <c r="AY38" s="370" t="e">
        <f aca="false">VLOOKUP($D38,CurveTbl,$AH$8)</f>
        <v>#VALUE!</v>
      </c>
      <c r="AZ38" s="370"/>
      <c r="BA38" s="507"/>
      <c r="BB38" s="505" t="e">
        <f aca="false">$H38-$BV38</f>
        <v>#VALUE!</v>
      </c>
      <c r="BC38" s="505" t="e">
        <f aca="false">I38-BW38</f>
        <v>#VALUE!</v>
      </c>
      <c r="BD38" s="370" t="e">
        <f aca="false">N38-BX38</f>
        <v>#VALUE!</v>
      </c>
      <c r="BE38" s="370" t="e">
        <f aca="false">O38-BY38</f>
        <v>#VALUE!</v>
      </c>
      <c r="BF38" s="370" t="e">
        <f aca="false">xSPRDOPT($BW38,$BV38,$CG38,0,$BY38,$BX38,$BZ38,$AJ38,1,4)*$CB38</f>
        <v>#NAME?</v>
      </c>
      <c r="BG38" s="370" t="e">
        <f aca="false">xSPRDOPT($BW38,$BV38,$CG38,0,$BY38,$BX38,$BZ38,$AJ38,1,3)*$CB38</f>
        <v>#NAME?</v>
      </c>
      <c r="BH38" s="370" t="e">
        <f aca="false">IF(OR(BF38&lt;&gt;0,BG38&lt;&gt;0),xSPRDOPT($BW38,$BV38,$CG38,0,$BY38,$BX38,$BZ38,$AJ38,1,12)*$CB38,0)</f>
        <v>#NAME?</v>
      </c>
      <c r="BI38" s="370" t="e">
        <f aca="false">xSPRDOPT($BW38,$BV38,$CG38,2*LN(1+CA38/2),$BY38,$BX38,$BZ38,$AJ38,1,9)</f>
        <v>#NAME?</v>
      </c>
      <c r="BJ38" s="370" t="e">
        <f aca="false">xSPRDOPT($BW38,$BV38,$CG38,0,$BY38,$BX38,$BZ38,$AJ38,1,6)*$CB38</f>
        <v>#NAME?</v>
      </c>
      <c r="BK38" s="370" t="e">
        <f aca="false">xSPRDOPT($BW38,$BV38,$CG38,0,$BY38,$BX38,$BZ38,$AJ38,1,5)*$CB38</f>
        <v>#NAME?</v>
      </c>
      <c r="BL38" s="370" t="e">
        <f aca="false">xSPRDOPT(BW38,BV38,CG38,0,BY38,BX38,BZ38,AJ38,1,2)*CB38</f>
        <v>#NAME?</v>
      </c>
      <c r="BM38" s="370" t="e">
        <f aca="false">xSPRDOPT(BW38,BV38,CG38,0,BY38,BX38,BZ38,AJ38,1,1)*CB38</f>
        <v>#NAME?</v>
      </c>
      <c r="BN38" s="370" t="e">
        <f aca="false">IF(AH38&lt;&gt;0,xSPRDOPT($BW38,$BV38,$CG38,2*LN(1+CA38/2),$BY38,$BX38,$BZ38,$AJ38,1,8)+(AJ38/365.25)*CH38/AH38,0)</f>
        <v>#VALUE!</v>
      </c>
      <c r="BO38" s="370" t="e">
        <f aca="false">xSPRDOPT($BW38,$BV38,$CG38,0,$BY38,$BX38,$BZ38,$AJ38,1,0)</f>
        <v>#NAME?</v>
      </c>
      <c r="BP38" s="370"/>
      <c r="BQ38" s="370"/>
      <c r="BR38" s="370"/>
      <c r="BS38" s="370"/>
      <c r="BV38" s="508" t="n">
        <v>3.44578313253012</v>
      </c>
      <c r="BW38" s="369" t="n">
        <v>3.467</v>
      </c>
      <c r="BX38" s="370" t="n">
        <v>0.37</v>
      </c>
      <c r="BY38" s="370" t="n">
        <v>0.37</v>
      </c>
      <c r="BZ38" s="370" t="n">
        <v>0</v>
      </c>
      <c r="CA38" s="370" t="n">
        <v>0.0348361539671314</v>
      </c>
      <c r="CB38" s="370" t="n">
        <v>0</v>
      </c>
      <c r="CC38" s="505" t="n">
        <v>0</v>
      </c>
      <c r="CD38" s="505" t="n">
        <v>0.03</v>
      </c>
      <c r="CE38" s="505" t="n">
        <v>0.065</v>
      </c>
      <c r="CF38" s="505" t="n">
        <v>0</v>
      </c>
      <c r="CG38" s="505" t="n">
        <v>0.0006</v>
      </c>
      <c r="CH38" s="505" t="n">
        <v>0</v>
      </c>
      <c r="CI38" s="505" t="n">
        <v>3.402</v>
      </c>
      <c r="CJ38" s="505"/>
      <c r="CK38" s="505"/>
      <c r="CL38" s="505"/>
      <c r="CM38" s="505"/>
    </row>
    <row r="39" customFormat="false" ht="12.75" hidden="false" customHeight="false" outlineLevel="0" collapsed="false">
      <c r="A39" s="500"/>
      <c r="B39" s="500"/>
      <c r="D39" s="361" t="e">
        <f aca="false">D38+AH38</f>
        <v>#VALUE!</v>
      </c>
      <c r="F39" s="362" t="e">
        <f aca="false">VLOOKUP(AG39,$AL$4:$AS$15,2)</f>
        <v>#VALUE!</v>
      </c>
      <c r="G39" s="362" t="e">
        <f aca="false">F39*$AU39</f>
        <v>#VALUE!</v>
      </c>
      <c r="H39" s="363" t="e">
        <f aca="false">(AL39+AM39+AN39)/(1-(AR39))</f>
        <v>#VALUE!</v>
      </c>
      <c r="I39" s="363" t="e">
        <f aca="false">(AL39+AO39+AP39)</f>
        <v>#VALUE!</v>
      </c>
      <c r="K39" s="363" t="e">
        <f aca="false">MAX(((I39-H39)-AQ39)*AU39*AH39,0)</f>
        <v>#VALUE!</v>
      </c>
      <c r="L39" s="501" t="e">
        <f aca="false">MAX(Q39-K39,0)</f>
        <v>#VALUE!</v>
      </c>
      <c r="N39" s="502" t="e">
        <f aca="false">SQRT(($AX39^2*($AH39/2)+$AW39^2*$AI39)/(($AH39/2)+$AI39))</f>
        <v>#VALUE!</v>
      </c>
      <c r="O39" s="502" t="e">
        <f aca="false">SQRT(($AY39^2*($AH39/2)+$AW39^2*$AI39)/(($AH39/2)+$AI39))</f>
        <v>#VALUE!</v>
      </c>
      <c r="P39" s="371" t="e">
        <f aca="false">(VLOOKUP(AI39,CorrelationTwo,2)*(AW39^2)*AI39+VLOOKUP(D39,CorrelationOne,$AK$9)*AX39*AY39*(AH39/2))/((AI39+(AH39/2))*O39*N39)*AF39</f>
        <v>#VALUE!</v>
      </c>
      <c r="Q39" s="501" t="e">
        <f aca="false">xSPRDOPT(I39,H39,AQ39,0,O39,N39,P39,D39-$G$5,1,0)*AH39*AU39</f>
        <v>#VALUE!</v>
      </c>
      <c r="R39" s="501"/>
      <c r="S39" s="365" t="e">
        <f aca="false">xSPRDOPT(I39,H39,AQ39,AT39,O39,N39,P39,D39-$G$5,1,2)*AF39*(F39/(1-AR39))*AH39</f>
        <v>#VALUE!</v>
      </c>
      <c r="T39" s="365" t="e">
        <f aca="false">xSPRDOPT(I39,H39,AQ39,AT39,O39,N39,P39,D39-$G$5,1,1)*AF39*F39*AH39</f>
        <v>#VALUE!</v>
      </c>
      <c r="U39" s="501"/>
      <c r="V39" s="503" t="e">
        <f aca="false">VLOOKUP($AG39,$AL$4:$AS$15,8)*AH39*AU39</f>
        <v>#VALUE!</v>
      </c>
      <c r="W39" s="503"/>
      <c r="X39" s="504" t="e">
        <f aca="false">((BM39*BC39)+(BL39*BB39))*AH39*F39</f>
        <v>#VALUE!</v>
      </c>
      <c r="Y39" s="504" t="e">
        <f aca="false">($F39*$AH39)*((($BG39/2)*($BC39)^2)+(($BF39/2)*($BB39)^2)+($BH39*$BC39*$BB39))</f>
        <v>#VALUE!</v>
      </c>
      <c r="Z39" s="504" t="e">
        <f aca="false">($BI39*$F39*$AH39*($G$5-$BV$5))/365.25</f>
        <v>#VALUE!</v>
      </c>
      <c r="AA39" s="504" t="e">
        <f aca="false">(($BK39*$BE39)+($BJ39*$BD39))*$F39*$AH39*$AF39</f>
        <v>#VALUE!</v>
      </c>
      <c r="AB39" s="504" t="e">
        <f aca="false">BN39*(AT39-CA39)*F39*AH39</f>
        <v>#VALUE!</v>
      </c>
      <c r="AC39" s="504" t="e">
        <f aca="false">BO39*CB39*F39*AH39*CA39*($G$5-$BV$5)/365.25</f>
        <v>#NAME?</v>
      </c>
      <c r="AF39" s="378" t="e">
        <f aca="false">IF(AND(D39&gt;=$G$7,D39&lt;=$G$8),1,0)</f>
        <v>#VALUE!</v>
      </c>
      <c r="AG39" s="378" t="e">
        <f aca="false">MONTH(D39)</f>
        <v>#VALUE!</v>
      </c>
      <c r="AH39" s="378" t="e">
        <f aca="false">(EOMONTH(D39,0)-EOMONTH(D39-DAY(D39),0))*AF39</f>
        <v>#VALUE!</v>
      </c>
      <c r="AI39" s="378" t="e">
        <f aca="false">AI38+AH38</f>
        <v>#VALUE!</v>
      </c>
      <c r="AJ39" s="378" t="e">
        <f aca="false">D39-$BV$5</f>
        <v>#VALUE!</v>
      </c>
      <c r="AL39" s="369" t="e">
        <f aca="false">VLOOKUP($D39,CurveTbl,$AK$4)</f>
        <v>#VALUE!</v>
      </c>
      <c r="AM39" s="505" t="e">
        <f aca="false">VLOOKUP($D39,CurveTbl,$AH$3)</f>
        <v>#VALUE!</v>
      </c>
      <c r="AN39" s="505" t="e">
        <f aca="false">VLOOKUP($D39,CurveTbl,$AH$4)+VLOOKUP($AG39,$AL$3:$AS$15,6)</f>
        <v>#VALUE!</v>
      </c>
      <c r="AO39" s="505" t="e">
        <f aca="false">VLOOKUP($D39,CurveTbl,$AH$5)</f>
        <v>#VALUE!</v>
      </c>
      <c r="AP39" s="505" t="e">
        <f aca="false">VLOOKUP($D39,CurveTbl,$AH$6)+VLOOKUP($AG39,$AL$3:$AS$15,7)</f>
        <v>#VALUE!</v>
      </c>
      <c r="AQ39" s="369" t="e">
        <f aca="false">VLOOKUP($AG39,$AL$4:$AS$15,3)+VLOOKUP($AG39,$AL$4:$AS$15,5)+($AH$10*VLOOKUP(D39,GRITable,2))</f>
        <v>#VALUE!</v>
      </c>
      <c r="AR39" s="370" t="e">
        <f aca="false">VLOOKUP($AG39,$AL$4:$AS$15,4)</f>
        <v>#VALUE!</v>
      </c>
      <c r="AS39" s="369" t="e">
        <f aca="false">(AL39+AM39+AN39)</f>
        <v>#VALUE!</v>
      </c>
      <c r="AT39" s="370" t="e">
        <f aca="false">VLOOKUP(D39,CurveTbl,$AK$6)</f>
        <v>#VALUE!</v>
      </c>
      <c r="AU39" s="370" t="e">
        <f aca="false">(1+$AT39/2)^(-2*($D39-$G$5)/365.25)*$AF39</f>
        <v>#VALUE!</v>
      </c>
      <c r="AV39" s="506" t="e">
        <f aca="false">ROUND((F39/(1-AR39))-F39,0)*AF39*AH39*AU39</f>
        <v>#VALUE!</v>
      </c>
      <c r="AW39" s="370" t="e">
        <f aca="false">VLOOKUP($D39,CurveTbl,$AK$8)</f>
        <v>#VALUE!</v>
      </c>
      <c r="AX39" s="370" t="e">
        <f aca="false">VLOOKUP($D39,CurveTbl,$AH$7)</f>
        <v>#VALUE!</v>
      </c>
      <c r="AY39" s="370" t="e">
        <f aca="false">VLOOKUP($D39,CurveTbl,$AH$8)</f>
        <v>#VALUE!</v>
      </c>
      <c r="AZ39" s="370"/>
      <c r="BA39" s="507"/>
      <c r="BB39" s="505" t="e">
        <f aca="false">$H39-$BV39</f>
        <v>#VALUE!</v>
      </c>
      <c r="BC39" s="505" t="e">
        <f aca="false">I39-BW39</f>
        <v>#VALUE!</v>
      </c>
      <c r="BD39" s="370" t="e">
        <f aca="false">N39-BX39</f>
        <v>#VALUE!</v>
      </c>
      <c r="BE39" s="370" t="e">
        <f aca="false">O39-BY39</f>
        <v>#VALUE!</v>
      </c>
      <c r="BF39" s="370" t="e">
        <f aca="false">xSPRDOPT($BW39,$BV39,$CG39,0,$BY39,$BX39,$BZ39,$AJ39,1,4)*$CB39</f>
        <v>#NAME?</v>
      </c>
      <c r="BG39" s="370" t="e">
        <f aca="false">xSPRDOPT($BW39,$BV39,$CG39,0,$BY39,$BX39,$BZ39,$AJ39,1,3)*$CB39</f>
        <v>#NAME?</v>
      </c>
      <c r="BH39" s="370" t="e">
        <f aca="false">IF(OR(BF39&lt;&gt;0,BG39&lt;&gt;0),xSPRDOPT($BW39,$BV39,$CG39,0,$BY39,$BX39,$BZ39,$AJ39,1,12)*$CB39,0)</f>
        <v>#NAME?</v>
      </c>
      <c r="BI39" s="370" t="e">
        <f aca="false">xSPRDOPT($BW39,$BV39,$CG39,2*LN(1+CA39/2),$BY39,$BX39,$BZ39,$AJ39,1,9)</f>
        <v>#NAME?</v>
      </c>
      <c r="BJ39" s="370" t="e">
        <f aca="false">xSPRDOPT($BW39,$BV39,$CG39,0,$BY39,$BX39,$BZ39,$AJ39,1,6)*$CB39</f>
        <v>#NAME?</v>
      </c>
      <c r="BK39" s="370" t="e">
        <f aca="false">xSPRDOPT($BW39,$BV39,$CG39,0,$BY39,$BX39,$BZ39,$AJ39,1,5)*$CB39</f>
        <v>#NAME?</v>
      </c>
      <c r="BL39" s="370" t="e">
        <f aca="false">xSPRDOPT(BW39,BV39,CG39,0,BY39,BX39,BZ39,AJ39,1,2)*CB39</f>
        <v>#NAME?</v>
      </c>
      <c r="BM39" s="370" t="e">
        <f aca="false">xSPRDOPT(BW39,BV39,CG39,0,BY39,BX39,BZ39,AJ39,1,1)*CB39</f>
        <v>#NAME?</v>
      </c>
      <c r="BN39" s="370" t="e">
        <f aca="false">IF(AH39&lt;&gt;0,xSPRDOPT($BW39,$BV39,$CG39,2*LN(1+CA39/2),$BY39,$BX39,$BZ39,$AJ39,1,8)+(AJ39/365.25)*CH39/AH39,0)</f>
        <v>#VALUE!</v>
      </c>
      <c r="BO39" s="370" t="e">
        <f aca="false">xSPRDOPT($BW39,$BV39,$CG39,0,$BY39,$BX39,$BZ39,$AJ39,1,0)</f>
        <v>#NAME?</v>
      </c>
      <c r="BP39" s="370"/>
      <c r="BQ39" s="370"/>
      <c r="BR39" s="370"/>
      <c r="BS39" s="370"/>
      <c r="BV39" s="508" t="n">
        <v>3.44578313253012</v>
      </c>
      <c r="BW39" s="369" t="n">
        <v>3.467</v>
      </c>
      <c r="BX39" s="370" t="n">
        <v>0.37</v>
      </c>
      <c r="BY39" s="370" t="n">
        <v>0.37</v>
      </c>
      <c r="BZ39" s="370" t="n">
        <v>0</v>
      </c>
      <c r="CA39" s="370" t="n">
        <v>0.0348361539671314</v>
      </c>
      <c r="CB39" s="370" t="n">
        <v>0</v>
      </c>
      <c r="CC39" s="505" t="n">
        <v>0</v>
      </c>
      <c r="CD39" s="505" t="n">
        <v>0.03</v>
      </c>
      <c r="CE39" s="505" t="n">
        <v>0.065</v>
      </c>
      <c r="CF39" s="505" t="n">
        <v>0</v>
      </c>
      <c r="CG39" s="505" t="n">
        <v>0.0006</v>
      </c>
      <c r="CH39" s="505" t="n">
        <v>0</v>
      </c>
      <c r="CI39" s="505" t="n">
        <v>3.402</v>
      </c>
      <c r="CJ39" s="505"/>
      <c r="CK39" s="505"/>
      <c r="CL39" s="505"/>
      <c r="CM39" s="505"/>
    </row>
    <row r="40" customFormat="false" ht="12.75" hidden="false" customHeight="false" outlineLevel="0" collapsed="false">
      <c r="A40" s="500"/>
      <c r="B40" s="500"/>
      <c r="D40" s="361" t="e">
        <f aca="false">D39+AH39</f>
        <v>#VALUE!</v>
      </c>
      <c r="F40" s="362" t="e">
        <f aca="false">VLOOKUP(AG40,$AL$4:$AS$15,2)</f>
        <v>#VALUE!</v>
      </c>
      <c r="G40" s="362" t="e">
        <f aca="false">F40*$AU40</f>
        <v>#VALUE!</v>
      </c>
      <c r="H40" s="363" t="e">
        <f aca="false">(AL40+AM40+AN40)/(1-(AR40))</f>
        <v>#VALUE!</v>
      </c>
      <c r="I40" s="363" t="e">
        <f aca="false">(AL40+AO40+AP40)</f>
        <v>#VALUE!</v>
      </c>
      <c r="K40" s="363" t="e">
        <f aca="false">MAX(((I40-H40)-AQ40)*AU40*AH40,0)</f>
        <v>#VALUE!</v>
      </c>
      <c r="L40" s="501" t="e">
        <f aca="false">MAX(Q40-K40,0)</f>
        <v>#VALUE!</v>
      </c>
      <c r="N40" s="502" t="e">
        <f aca="false">SQRT(($AX40^2*($AH40/2)+$AW40^2*$AI40)/(($AH40/2)+$AI40))</f>
        <v>#VALUE!</v>
      </c>
      <c r="O40" s="502" t="e">
        <f aca="false">SQRT(($AY40^2*($AH40/2)+$AW40^2*$AI40)/(($AH40/2)+$AI40))</f>
        <v>#VALUE!</v>
      </c>
      <c r="P40" s="371" t="e">
        <f aca="false">(VLOOKUP(AI40,CorrelationTwo,2)*(AW40^2)*AI40+VLOOKUP(D40,CorrelationOne,$AK$9)*AX40*AY40*(AH40/2))/((AI40+(AH40/2))*O40*N40)*AF40</f>
        <v>#VALUE!</v>
      </c>
      <c r="Q40" s="501" t="e">
        <f aca="false">xSPRDOPT(I40,H40,AQ40,0,O40,N40,P40,D40-$G$5,1,0)*AH40*AU40</f>
        <v>#VALUE!</v>
      </c>
      <c r="R40" s="501"/>
      <c r="S40" s="365" t="e">
        <f aca="false">xSPRDOPT(I40,H40,AQ40,AT40,O40,N40,P40,D40-$G$5,1,2)*AF40*(F40/(1-AR40))*AH40</f>
        <v>#VALUE!</v>
      </c>
      <c r="T40" s="365" t="e">
        <f aca="false">xSPRDOPT(I40,H40,AQ40,AT40,O40,N40,P40,D40-$G$5,1,1)*AF40*F40*AH40</f>
        <v>#VALUE!</v>
      </c>
      <c r="U40" s="501"/>
      <c r="V40" s="503" t="e">
        <f aca="false">VLOOKUP($AG40,$AL$4:$AS$15,8)*AH40*AU40</f>
        <v>#VALUE!</v>
      </c>
      <c r="W40" s="503"/>
      <c r="X40" s="504" t="e">
        <f aca="false">((BM40*BC40)+(BL40*BB40))*AH40*F40</f>
        <v>#VALUE!</v>
      </c>
      <c r="Y40" s="504" t="e">
        <f aca="false">($F40*$AH40)*((($BG40/2)*($BC40)^2)+(($BF40/2)*($BB40)^2)+($BH40*$BC40*$BB40))</f>
        <v>#VALUE!</v>
      </c>
      <c r="Z40" s="504" t="e">
        <f aca="false">($BI40*$F40*$AH40*($G$5-$BV$5))/365.25</f>
        <v>#VALUE!</v>
      </c>
      <c r="AA40" s="504" t="e">
        <f aca="false">(($BK40*$BE40)+($BJ40*$BD40))*$F40*$AH40*$AF40</f>
        <v>#VALUE!</v>
      </c>
      <c r="AB40" s="504" t="e">
        <f aca="false">BN40*(AT40-CA40)*F40*AH40</f>
        <v>#VALUE!</v>
      </c>
      <c r="AC40" s="504" t="e">
        <f aca="false">BO40*CB40*F40*AH40*CA40*($G$5-$BV$5)/365.25</f>
        <v>#NAME?</v>
      </c>
      <c r="AF40" s="378" t="e">
        <f aca="false">IF(AND(D40&gt;=$G$7,D40&lt;=$G$8),1,0)</f>
        <v>#VALUE!</v>
      </c>
      <c r="AG40" s="378" t="e">
        <f aca="false">MONTH(D40)</f>
        <v>#VALUE!</v>
      </c>
      <c r="AH40" s="378" t="e">
        <f aca="false">(EOMONTH(D40,0)-EOMONTH(D40-DAY(D40),0))*AF40</f>
        <v>#VALUE!</v>
      </c>
      <c r="AI40" s="378" t="e">
        <f aca="false">AI39+AH39</f>
        <v>#VALUE!</v>
      </c>
      <c r="AJ40" s="378" t="e">
        <f aca="false">D40-$BV$5</f>
        <v>#VALUE!</v>
      </c>
      <c r="AL40" s="369" t="e">
        <f aca="false">VLOOKUP($D40,CurveTbl,$AK$4)</f>
        <v>#VALUE!</v>
      </c>
      <c r="AM40" s="505" t="e">
        <f aca="false">VLOOKUP($D40,CurveTbl,$AH$3)</f>
        <v>#VALUE!</v>
      </c>
      <c r="AN40" s="505" t="e">
        <f aca="false">VLOOKUP($D40,CurveTbl,$AH$4)+VLOOKUP($AG40,$AL$3:$AS$15,6)</f>
        <v>#VALUE!</v>
      </c>
      <c r="AO40" s="505" t="e">
        <f aca="false">VLOOKUP($D40,CurveTbl,$AH$5)</f>
        <v>#VALUE!</v>
      </c>
      <c r="AP40" s="505" t="e">
        <f aca="false">VLOOKUP($D40,CurveTbl,$AH$6)+VLOOKUP($AG40,$AL$3:$AS$15,7)</f>
        <v>#VALUE!</v>
      </c>
      <c r="AQ40" s="369" t="e">
        <f aca="false">VLOOKUP($AG40,$AL$4:$AS$15,3)+VLOOKUP($AG40,$AL$4:$AS$15,5)+($AH$10*VLOOKUP(D40,GRITable,2))</f>
        <v>#VALUE!</v>
      </c>
      <c r="AR40" s="370" t="e">
        <f aca="false">VLOOKUP($AG40,$AL$4:$AS$15,4)</f>
        <v>#VALUE!</v>
      </c>
      <c r="AS40" s="369" t="e">
        <f aca="false">(AL40+AM40+AN40)</f>
        <v>#VALUE!</v>
      </c>
      <c r="AT40" s="370" t="e">
        <f aca="false">VLOOKUP(D40,CurveTbl,$AK$6)</f>
        <v>#VALUE!</v>
      </c>
      <c r="AU40" s="370" t="e">
        <f aca="false">(1+$AT40/2)^(-2*($D40-$G$5)/365.25)*$AF40</f>
        <v>#VALUE!</v>
      </c>
      <c r="AV40" s="506" t="e">
        <f aca="false">ROUND((F40/(1-AR40))-F40,0)*AF40*AH40*AU40</f>
        <v>#VALUE!</v>
      </c>
      <c r="AW40" s="370" t="e">
        <f aca="false">VLOOKUP($D40,CurveTbl,$AK$8)</f>
        <v>#VALUE!</v>
      </c>
      <c r="AX40" s="370" t="e">
        <f aca="false">VLOOKUP($D40,CurveTbl,$AH$7)</f>
        <v>#VALUE!</v>
      </c>
      <c r="AY40" s="370" t="e">
        <f aca="false">VLOOKUP($D40,CurveTbl,$AH$8)</f>
        <v>#VALUE!</v>
      </c>
      <c r="AZ40" s="370"/>
      <c r="BA40" s="507"/>
      <c r="BB40" s="505" t="e">
        <f aca="false">$H40-$BV40</f>
        <v>#VALUE!</v>
      </c>
      <c r="BC40" s="505" t="e">
        <f aca="false">I40-BW40</f>
        <v>#VALUE!</v>
      </c>
      <c r="BD40" s="370" t="e">
        <f aca="false">N40-BX40</f>
        <v>#VALUE!</v>
      </c>
      <c r="BE40" s="370" t="e">
        <f aca="false">O40-BY40</f>
        <v>#VALUE!</v>
      </c>
      <c r="BF40" s="370" t="e">
        <f aca="false">xSPRDOPT($BW40,$BV40,$CG40,0,$BY40,$BX40,$BZ40,$AJ40,1,4)*$CB40</f>
        <v>#NAME?</v>
      </c>
      <c r="BG40" s="370" t="e">
        <f aca="false">xSPRDOPT($BW40,$BV40,$CG40,0,$BY40,$BX40,$BZ40,$AJ40,1,3)*$CB40</f>
        <v>#NAME?</v>
      </c>
      <c r="BH40" s="370" t="e">
        <f aca="false">IF(OR(BF40&lt;&gt;0,BG40&lt;&gt;0),xSPRDOPT($BW40,$BV40,$CG40,0,$BY40,$BX40,$BZ40,$AJ40,1,12)*$CB40,0)</f>
        <v>#NAME?</v>
      </c>
      <c r="BI40" s="370" t="e">
        <f aca="false">xSPRDOPT($BW40,$BV40,$CG40,2*LN(1+CA40/2),$BY40,$BX40,$BZ40,$AJ40,1,9)</f>
        <v>#NAME?</v>
      </c>
      <c r="BJ40" s="370" t="e">
        <f aca="false">xSPRDOPT($BW40,$BV40,$CG40,0,$BY40,$BX40,$BZ40,$AJ40,1,6)*$CB40</f>
        <v>#NAME?</v>
      </c>
      <c r="BK40" s="370" t="e">
        <f aca="false">xSPRDOPT($BW40,$BV40,$CG40,0,$BY40,$BX40,$BZ40,$AJ40,1,5)*$CB40</f>
        <v>#NAME?</v>
      </c>
      <c r="BL40" s="370" t="e">
        <f aca="false">xSPRDOPT(BW40,BV40,CG40,0,BY40,BX40,BZ40,AJ40,1,2)*CB40</f>
        <v>#NAME?</v>
      </c>
      <c r="BM40" s="370" t="e">
        <f aca="false">xSPRDOPT(BW40,BV40,CG40,0,BY40,BX40,BZ40,AJ40,1,1)*CB40</f>
        <v>#NAME?</v>
      </c>
      <c r="BN40" s="370" t="e">
        <f aca="false">IF(AH40&lt;&gt;0,xSPRDOPT($BW40,$BV40,$CG40,2*LN(1+CA40/2),$BY40,$BX40,$BZ40,$AJ40,1,8)+(AJ40/365.25)*CH40/AH40,0)</f>
        <v>#VALUE!</v>
      </c>
      <c r="BO40" s="370" t="e">
        <f aca="false">xSPRDOPT($BW40,$BV40,$CG40,0,$BY40,$BX40,$BZ40,$AJ40,1,0)</f>
        <v>#NAME?</v>
      </c>
      <c r="BP40" s="370"/>
      <c r="BQ40" s="370"/>
      <c r="BR40" s="370"/>
      <c r="BS40" s="370"/>
      <c r="BV40" s="508" t="n">
        <v>3.44578313253012</v>
      </c>
      <c r="BW40" s="369" t="n">
        <v>3.467</v>
      </c>
      <c r="BX40" s="370" t="n">
        <v>0.37</v>
      </c>
      <c r="BY40" s="370" t="n">
        <v>0.37</v>
      </c>
      <c r="BZ40" s="370" t="n">
        <v>0</v>
      </c>
      <c r="CA40" s="370" t="n">
        <v>0.0348361539671314</v>
      </c>
      <c r="CB40" s="370" t="n">
        <v>0</v>
      </c>
      <c r="CC40" s="505" t="n">
        <v>0</v>
      </c>
      <c r="CD40" s="505" t="n">
        <v>0.03</v>
      </c>
      <c r="CE40" s="505" t="n">
        <v>0.065</v>
      </c>
      <c r="CF40" s="505" t="n">
        <v>0</v>
      </c>
      <c r="CG40" s="505" t="n">
        <v>0.0006</v>
      </c>
      <c r="CH40" s="505" t="n">
        <v>0</v>
      </c>
      <c r="CI40" s="505" t="n">
        <v>3.402</v>
      </c>
      <c r="CJ40" s="505"/>
      <c r="CK40" s="505"/>
      <c r="CL40" s="505"/>
      <c r="CM40" s="505"/>
    </row>
    <row r="41" customFormat="false" ht="12.75" hidden="false" customHeight="false" outlineLevel="0" collapsed="false">
      <c r="A41" s="500"/>
      <c r="B41" s="500"/>
      <c r="D41" s="361" t="e">
        <f aca="false">D40+AH40</f>
        <v>#VALUE!</v>
      </c>
      <c r="F41" s="362" t="e">
        <f aca="false">VLOOKUP(AG41,$AL$4:$AS$15,2)</f>
        <v>#VALUE!</v>
      </c>
      <c r="G41" s="362" t="e">
        <f aca="false">F41*$AU41</f>
        <v>#VALUE!</v>
      </c>
      <c r="H41" s="363" t="e">
        <f aca="false">(AL41+AM41+AN41)/(1-(AR41))</f>
        <v>#VALUE!</v>
      </c>
      <c r="I41" s="363" t="e">
        <f aca="false">(AL41+AO41+AP41)</f>
        <v>#VALUE!</v>
      </c>
      <c r="K41" s="363" t="e">
        <f aca="false">MAX(((I41-H41)-AQ41)*AU41*AH41,0)</f>
        <v>#VALUE!</v>
      </c>
      <c r="L41" s="501" t="e">
        <f aca="false">MAX(Q41-K41,0)</f>
        <v>#VALUE!</v>
      </c>
      <c r="N41" s="502" t="e">
        <f aca="false">SQRT(($AX41^2*($AH41/2)+$AW41^2*$AI41)/(($AH41/2)+$AI41))</f>
        <v>#VALUE!</v>
      </c>
      <c r="O41" s="502" t="e">
        <f aca="false">SQRT(($AY41^2*($AH41/2)+$AW41^2*$AI41)/(($AH41/2)+$AI41))</f>
        <v>#VALUE!</v>
      </c>
      <c r="P41" s="371" t="e">
        <f aca="false">(VLOOKUP(AI41,CorrelationTwo,2)*(AW41^2)*AI41+VLOOKUP(D41,CorrelationOne,$AK$9)*AX41*AY41*(AH41/2))/((AI41+(AH41/2))*O41*N41)*AF41</f>
        <v>#VALUE!</v>
      </c>
      <c r="Q41" s="501" t="e">
        <f aca="false">xSPRDOPT(I41,H41,AQ41,0,O41,N41,P41,D41-$G$5,1,0)*AH41*AU41</f>
        <v>#VALUE!</v>
      </c>
      <c r="R41" s="501"/>
      <c r="S41" s="365" t="e">
        <f aca="false">xSPRDOPT(I41,H41,AQ41,AT41,O41,N41,P41,D41-$G$5,1,2)*AF41*(F41/(1-AR41))*AH41</f>
        <v>#VALUE!</v>
      </c>
      <c r="T41" s="365" t="e">
        <f aca="false">xSPRDOPT(I41,H41,AQ41,AT41,O41,N41,P41,D41-$G$5,1,1)*AF41*F41*AH41</f>
        <v>#VALUE!</v>
      </c>
      <c r="U41" s="501"/>
      <c r="V41" s="503" t="e">
        <f aca="false">VLOOKUP($AG41,$AL$4:$AS$15,8)*AH41*AU41</f>
        <v>#VALUE!</v>
      </c>
      <c r="W41" s="503"/>
      <c r="X41" s="504" t="e">
        <f aca="false">((BM41*BC41)+(BL41*BB41))*AH41*F41</f>
        <v>#VALUE!</v>
      </c>
      <c r="Y41" s="504" t="e">
        <f aca="false">($F41*$AH41)*((($BG41/2)*($BC41)^2)+(($BF41/2)*($BB41)^2)+($BH41*$BC41*$BB41))</f>
        <v>#VALUE!</v>
      </c>
      <c r="Z41" s="504" t="e">
        <f aca="false">($BI41*$F41*$AH41*($G$5-$BV$5))/365.25</f>
        <v>#VALUE!</v>
      </c>
      <c r="AA41" s="504" t="e">
        <f aca="false">(($BK41*$BE41)+($BJ41*$BD41))*$F41*$AH41*$AF41</f>
        <v>#VALUE!</v>
      </c>
      <c r="AB41" s="504" t="e">
        <f aca="false">BN41*(AT41-CA41)*F41*AH41</f>
        <v>#VALUE!</v>
      </c>
      <c r="AC41" s="504" t="e">
        <f aca="false">BO41*CB41*F41*AH41*CA41*($G$5-$BV$5)/365.25</f>
        <v>#NAME?</v>
      </c>
      <c r="AF41" s="378" t="e">
        <f aca="false">IF(AND(D41&gt;=$G$7,D41&lt;=$G$8),1,0)</f>
        <v>#VALUE!</v>
      </c>
      <c r="AG41" s="378" t="e">
        <f aca="false">MONTH(D41)</f>
        <v>#VALUE!</v>
      </c>
      <c r="AH41" s="378" t="e">
        <f aca="false">(EOMONTH(D41,0)-EOMONTH(D41-DAY(D41),0))*AF41</f>
        <v>#VALUE!</v>
      </c>
      <c r="AI41" s="378" t="e">
        <f aca="false">AI40+AH40</f>
        <v>#VALUE!</v>
      </c>
      <c r="AJ41" s="378" t="e">
        <f aca="false">D41-$BV$5</f>
        <v>#VALUE!</v>
      </c>
      <c r="AL41" s="369" t="e">
        <f aca="false">VLOOKUP($D41,CurveTbl,$AK$4)</f>
        <v>#VALUE!</v>
      </c>
      <c r="AM41" s="505" t="e">
        <f aca="false">VLOOKUP($D41,CurveTbl,$AH$3)</f>
        <v>#VALUE!</v>
      </c>
      <c r="AN41" s="505" t="e">
        <f aca="false">VLOOKUP($D41,CurveTbl,$AH$4)+VLOOKUP($AG41,$AL$3:$AS$15,6)</f>
        <v>#VALUE!</v>
      </c>
      <c r="AO41" s="505" t="e">
        <f aca="false">VLOOKUP($D41,CurveTbl,$AH$5)</f>
        <v>#VALUE!</v>
      </c>
      <c r="AP41" s="505" t="e">
        <f aca="false">VLOOKUP($D41,CurveTbl,$AH$6)+VLOOKUP($AG41,$AL$3:$AS$15,7)</f>
        <v>#VALUE!</v>
      </c>
      <c r="AQ41" s="369" t="e">
        <f aca="false">VLOOKUP($AG41,$AL$4:$AS$15,3)+VLOOKUP($AG41,$AL$4:$AS$15,5)+($AH$10*VLOOKUP(D41,GRITable,2))</f>
        <v>#VALUE!</v>
      </c>
      <c r="AR41" s="370" t="e">
        <f aca="false">VLOOKUP($AG41,$AL$4:$AS$15,4)</f>
        <v>#VALUE!</v>
      </c>
      <c r="AS41" s="369" t="e">
        <f aca="false">(AL41+AM41+AN41)</f>
        <v>#VALUE!</v>
      </c>
      <c r="AT41" s="370" t="e">
        <f aca="false">VLOOKUP(D41,CurveTbl,$AK$6)</f>
        <v>#VALUE!</v>
      </c>
      <c r="AU41" s="370" t="e">
        <f aca="false">(1+$AT41/2)^(-2*($D41-$G$5)/365.25)*$AF41</f>
        <v>#VALUE!</v>
      </c>
      <c r="AV41" s="506" t="e">
        <f aca="false">ROUND((F41/(1-AR41))-F41,0)*AF41*AH41*AU41</f>
        <v>#VALUE!</v>
      </c>
      <c r="AW41" s="370" t="e">
        <f aca="false">VLOOKUP($D41,CurveTbl,$AK$8)</f>
        <v>#VALUE!</v>
      </c>
      <c r="AX41" s="370" t="e">
        <f aca="false">VLOOKUP($D41,CurveTbl,$AH$7)</f>
        <v>#VALUE!</v>
      </c>
      <c r="AY41" s="370" t="e">
        <f aca="false">VLOOKUP($D41,CurveTbl,$AH$8)</f>
        <v>#VALUE!</v>
      </c>
      <c r="AZ41" s="370"/>
      <c r="BA41" s="507"/>
      <c r="BB41" s="505" t="e">
        <f aca="false">$H41-$BV41</f>
        <v>#VALUE!</v>
      </c>
      <c r="BC41" s="505" t="e">
        <f aca="false">I41-BW41</f>
        <v>#VALUE!</v>
      </c>
      <c r="BD41" s="370" t="e">
        <f aca="false">N41-BX41</f>
        <v>#VALUE!</v>
      </c>
      <c r="BE41" s="370" t="e">
        <f aca="false">O41-BY41</f>
        <v>#VALUE!</v>
      </c>
      <c r="BF41" s="370" t="e">
        <f aca="false">xSPRDOPT($BW41,$BV41,$CG41,0,$BY41,$BX41,$BZ41,$AJ41,1,4)*$CB41</f>
        <v>#NAME?</v>
      </c>
      <c r="BG41" s="370" t="e">
        <f aca="false">xSPRDOPT($BW41,$BV41,$CG41,0,$BY41,$BX41,$BZ41,$AJ41,1,3)*$CB41</f>
        <v>#NAME?</v>
      </c>
      <c r="BH41" s="370" t="e">
        <f aca="false">IF(OR(BF41&lt;&gt;0,BG41&lt;&gt;0),xSPRDOPT($BW41,$BV41,$CG41,0,$BY41,$BX41,$BZ41,$AJ41,1,12)*$CB41,0)</f>
        <v>#NAME?</v>
      </c>
      <c r="BI41" s="370" t="e">
        <f aca="false">xSPRDOPT($BW41,$BV41,$CG41,2*LN(1+CA41/2),$BY41,$BX41,$BZ41,$AJ41,1,9)</f>
        <v>#NAME?</v>
      </c>
      <c r="BJ41" s="370" t="e">
        <f aca="false">xSPRDOPT($BW41,$BV41,$CG41,0,$BY41,$BX41,$BZ41,$AJ41,1,6)*$CB41</f>
        <v>#NAME?</v>
      </c>
      <c r="BK41" s="370" t="e">
        <f aca="false">xSPRDOPT($BW41,$BV41,$CG41,0,$BY41,$BX41,$BZ41,$AJ41,1,5)*$CB41</f>
        <v>#NAME?</v>
      </c>
      <c r="BL41" s="370" t="e">
        <f aca="false">xSPRDOPT(BW41,BV41,CG41,0,BY41,BX41,BZ41,AJ41,1,2)*CB41</f>
        <v>#NAME?</v>
      </c>
      <c r="BM41" s="370" t="e">
        <f aca="false">xSPRDOPT(BW41,BV41,CG41,0,BY41,BX41,BZ41,AJ41,1,1)*CB41</f>
        <v>#NAME?</v>
      </c>
      <c r="BN41" s="370" t="e">
        <f aca="false">IF(AH41&lt;&gt;0,xSPRDOPT($BW41,$BV41,$CG41,2*LN(1+CA41/2),$BY41,$BX41,$BZ41,$AJ41,1,8)+(AJ41/365.25)*CH41/AH41,0)</f>
        <v>#VALUE!</v>
      </c>
      <c r="BO41" s="370" t="e">
        <f aca="false">xSPRDOPT($BW41,$BV41,$CG41,0,$BY41,$BX41,$BZ41,$AJ41,1,0)</f>
        <v>#NAME?</v>
      </c>
      <c r="BP41" s="370"/>
      <c r="BQ41" s="370"/>
      <c r="BR41" s="370"/>
      <c r="BS41" s="370"/>
      <c r="BV41" s="508" t="n">
        <v>3.44578313253012</v>
      </c>
      <c r="BW41" s="369" t="n">
        <v>3.467</v>
      </c>
      <c r="BX41" s="370" t="n">
        <v>0.37</v>
      </c>
      <c r="BY41" s="370" t="n">
        <v>0.37</v>
      </c>
      <c r="BZ41" s="370" t="n">
        <v>0</v>
      </c>
      <c r="CA41" s="370" t="n">
        <v>0.0348361539671314</v>
      </c>
      <c r="CB41" s="370" t="n">
        <v>0</v>
      </c>
      <c r="CC41" s="505" t="n">
        <v>0</v>
      </c>
      <c r="CD41" s="505" t="n">
        <v>0.03</v>
      </c>
      <c r="CE41" s="505" t="n">
        <v>0.065</v>
      </c>
      <c r="CF41" s="505" t="n">
        <v>0</v>
      </c>
      <c r="CG41" s="505" t="n">
        <v>0.0006</v>
      </c>
      <c r="CH41" s="505" t="n">
        <v>0</v>
      </c>
      <c r="CI41" s="505" t="n">
        <v>3.402</v>
      </c>
      <c r="CJ41" s="505"/>
      <c r="CK41" s="505"/>
      <c r="CL41" s="505"/>
      <c r="CM41" s="505"/>
    </row>
    <row r="42" customFormat="false" ht="12.75" hidden="false" customHeight="false" outlineLevel="0" collapsed="false">
      <c r="A42" s="500"/>
      <c r="B42" s="500"/>
      <c r="D42" s="361" t="e">
        <f aca="false">D41+AH41</f>
        <v>#VALUE!</v>
      </c>
      <c r="F42" s="362" t="e">
        <f aca="false">VLOOKUP(AG42,$AL$4:$AS$15,2)</f>
        <v>#VALUE!</v>
      </c>
      <c r="G42" s="362" t="e">
        <f aca="false">F42*$AU42</f>
        <v>#VALUE!</v>
      </c>
      <c r="H42" s="363" t="e">
        <f aca="false">(AL42+AM42+AN42)/(1-(AR42))</f>
        <v>#VALUE!</v>
      </c>
      <c r="I42" s="363" t="e">
        <f aca="false">(AL42+AO42+AP42)</f>
        <v>#VALUE!</v>
      </c>
      <c r="K42" s="363" t="e">
        <f aca="false">MAX(((I42-H42)-AQ42)*AU42*AH42,0)</f>
        <v>#VALUE!</v>
      </c>
      <c r="L42" s="501" t="e">
        <f aca="false">MAX(Q42-K42,0)</f>
        <v>#VALUE!</v>
      </c>
      <c r="N42" s="502" t="e">
        <f aca="false">SQRT(($AX42^2*($AH42/2)+$AW42^2*$AI42)/(($AH42/2)+$AI42))</f>
        <v>#VALUE!</v>
      </c>
      <c r="O42" s="502" t="e">
        <f aca="false">SQRT(($AY42^2*($AH42/2)+$AW42^2*$AI42)/(($AH42/2)+$AI42))</f>
        <v>#VALUE!</v>
      </c>
      <c r="P42" s="371" t="e">
        <f aca="false">(VLOOKUP(AI42,CorrelationTwo,2)*(AW42^2)*AI42+VLOOKUP(D42,CorrelationOne,$AK$9)*AX42*AY42*(AH42/2))/((AI42+(AH42/2))*O42*N42)*AF42</f>
        <v>#VALUE!</v>
      </c>
      <c r="Q42" s="501" t="e">
        <f aca="false">xSPRDOPT(I42,H42,AQ42,0,O42,N42,P42,D42-$G$5,1,0)*AH42*AU42</f>
        <v>#VALUE!</v>
      </c>
      <c r="R42" s="501"/>
      <c r="S42" s="365" t="e">
        <f aca="false">xSPRDOPT(I42,H42,AQ42,AT42,O42,N42,P42,D42-$G$5,1,2)*AF42*(F42/(1-AR42))*AH42</f>
        <v>#VALUE!</v>
      </c>
      <c r="T42" s="365" t="e">
        <f aca="false">xSPRDOPT(I42,H42,AQ42,AT42,O42,N42,P42,D42-$G$5,1,1)*AF42*F42*AH42</f>
        <v>#VALUE!</v>
      </c>
      <c r="U42" s="501"/>
      <c r="V42" s="503" t="e">
        <f aca="false">VLOOKUP($AG42,$AL$4:$AS$15,8)*AH42*AU42</f>
        <v>#VALUE!</v>
      </c>
      <c r="W42" s="503"/>
      <c r="X42" s="504" t="e">
        <f aca="false">((BM42*BC42)+(BL42*BB42))*AH42*F42</f>
        <v>#VALUE!</v>
      </c>
      <c r="Y42" s="504" t="e">
        <f aca="false">($F42*$AH42)*((($BG42/2)*($BC42)^2)+(($BF42/2)*($BB42)^2)+($BH42*$BC42*$BB42))</f>
        <v>#VALUE!</v>
      </c>
      <c r="Z42" s="504" t="e">
        <f aca="false">($BI42*$F42*$AH42*($G$5-$BV$5))/365.25</f>
        <v>#VALUE!</v>
      </c>
      <c r="AA42" s="504" t="e">
        <f aca="false">(($BK42*$BE42)+($BJ42*$BD42))*$F42*$AH42*$AF42</f>
        <v>#VALUE!</v>
      </c>
      <c r="AB42" s="504" t="e">
        <f aca="false">BN42*(AT42-CA42)*F42*AH42</f>
        <v>#VALUE!</v>
      </c>
      <c r="AC42" s="504" t="e">
        <f aca="false">BO42*CB42*F42*AH42*CA42*($G$5-$BV$5)/365.25</f>
        <v>#NAME?</v>
      </c>
      <c r="AF42" s="378" t="e">
        <f aca="false">IF(AND(D42&gt;=$G$7,D42&lt;=$G$8),1,0)</f>
        <v>#VALUE!</v>
      </c>
      <c r="AG42" s="378" t="e">
        <f aca="false">MONTH(D42)</f>
        <v>#VALUE!</v>
      </c>
      <c r="AH42" s="378" t="e">
        <f aca="false">(EOMONTH(D42,0)-EOMONTH(D42-DAY(D42),0))*AF42</f>
        <v>#VALUE!</v>
      </c>
      <c r="AI42" s="378" t="e">
        <f aca="false">AI41+AH41</f>
        <v>#VALUE!</v>
      </c>
      <c r="AJ42" s="378" t="e">
        <f aca="false">D42-$BV$5</f>
        <v>#VALUE!</v>
      </c>
      <c r="AL42" s="369" t="e">
        <f aca="false">VLOOKUP($D42,CurveTbl,$AK$4)</f>
        <v>#VALUE!</v>
      </c>
      <c r="AM42" s="505" t="e">
        <f aca="false">VLOOKUP($D42,CurveTbl,$AH$3)</f>
        <v>#VALUE!</v>
      </c>
      <c r="AN42" s="505" t="e">
        <f aca="false">VLOOKUP($D42,CurveTbl,$AH$4)+VLOOKUP($AG42,$AL$3:$AS$15,6)</f>
        <v>#VALUE!</v>
      </c>
      <c r="AO42" s="505" t="e">
        <f aca="false">VLOOKUP($D42,CurveTbl,$AH$5)</f>
        <v>#VALUE!</v>
      </c>
      <c r="AP42" s="505" t="e">
        <f aca="false">VLOOKUP($D42,CurveTbl,$AH$6)+VLOOKUP($AG42,$AL$3:$AS$15,7)</f>
        <v>#VALUE!</v>
      </c>
      <c r="AQ42" s="369" t="e">
        <f aca="false">VLOOKUP($AG42,$AL$4:$AS$15,3)+VLOOKUP($AG42,$AL$4:$AS$15,5)+($AH$10*VLOOKUP(D42,GRITable,2))</f>
        <v>#VALUE!</v>
      </c>
      <c r="AR42" s="370" t="e">
        <f aca="false">VLOOKUP($AG42,$AL$4:$AS$15,4)</f>
        <v>#VALUE!</v>
      </c>
      <c r="AS42" s="369" t="e">
        <f aca="false">(AL42+AM42+AN42)</f>
        <v>#VALUE!</v>
      </c>
      <c r="AT42" s="370" t="e">
        <f aca="false">VLOOKUP(D42,CurveTbl,$AK$6)</f>
        <v>#VALUE!</v>
      </c>
      <c r="AU42" s="370" t="e">
        <f aca="false">(1+$AT42/2)^(-2*($D42-$G$5)/365.25)*$AF42</f>
        <v>#VALUE!</v>
      </c>
      <c r="AV42" s="506" t="e">
        <f aca="false">ROUND((F42/(1-AR42))-F42,0)*AF42*AH42*AU42</f>
        <v>#VALUE!</v>
      </c>
      <c r="AW42" s="370" t="e">
        <f aca="false">VLOOKUP($D42,CurveTbl,$AK$8)</f>
        <v>#VALUE!</v>
      </c>
      <c r="AX42" s="370" t="e">
        <f aca="false">VLOOKUP($D42,CurveTbl,$AH$7)</f>
        <v>#VALUE!</v>
      </c>
      <c r="AY42" s="370" t="e">
        <f aca="false">VLOOKUP($D42,CurveTbl,$AH$8)</f>
        <v>#VALUE!</v>
      </c>
      <c r="AZ42" s="370"/>
      <c r="BA42" s="507"/>
      <c r="BB42" s="505" t="e">
        <f aca="false">$H42-$BV42</f>
        <v>#VALUE!</v>
      </c>
      <c r="BC42" s="505" t="e">
        <f aca="false">I42-BW42</f>
        <v>#VALUE!</v>
      </c>
      <c r="BD42" s="370" t="e">
        <f aca="false">N42-BX42</f>
        <v>#VALUE!</v>
      </c>
      <c r="BE42" s="370" t="e">
        <f aca="false">O42-BY42</f>
        <v>#VALUE!</v>
      </c>
      <c r="BF42" s="370" t="e">
        <f aca="false">xSPRDOPT($BW42,$BV42,$CG42,0,$BY42,$BX42,$BZ42,$AJ42,1,4)*$CB42</f>
        <v>#NAME?</v>
      </c>
      <c r="BG42" s="370" t="e">
        <f aca="false">xSPRDOPT($BW42,$BV42,$CG42,0,$BY42,$BX42,$BZ42,$AJ42,1,3)*$CB42</f>
        <v>#NAME?</v>
      </c>
      <c r="BH42" s="370" t="e">
        <f aca="false">IF(OR(BF42&lt;&gt;0,BG42&lt;&gt;0),xSPRDOPT($BW42,$BV42,$CG42,0,$BY42,$BX42,$BZ42,$AJ42,1,12)*$CB42,0)</f>
        <v>#NAME?</v>
      </c>
      <c r="BI42" s="370" t="e">
        <f aca="false">xSPRDOPT($BW42,$BV42,$CG42,2*LN(1+CA42/2),$BY42,$BX42,$BZ42,$AJ42,1,9)</f>
        <v>#NAME?</v>
      </c>
      <c r="BJ42" s="370" t="e">
        <f aca="false">xSPRDOPT($BW42,$BV42,$CG42,0,$BY42,$BX42,$BZ42,$AJ42,1,6)*$CB42</f>
        <v>#NAME?</v>
      </c>
      <c r="BK42" s="370" t="e">
        <f aca="false">xSPRDOPT($BW42,$BV42,$CG42,0,$BY42,$BX42,$BZ42,$AJ42,1,5)*$CB42</f>
        <v>#NAME?</v>
      </c>
      <c r="BL42" s="370" t="e">
        <f aca="false">xSPRDOPT(BW42,BV42,CG42,0,BY42,BX42,BZ42,AJ42,1,2)*CB42</f>
        <v>#NAME?</v>
      </c>
      <c r="BM42" s="370" t="e">
        <f aca="false">xSPRDOPT(BW42,BV42,CG42,0,BY42,BX42,BZ42,AJ42,1,1)*CB42</f>
        <v>#NAME?</v>
      </c>
      <c r="BN42" s="370" t="e">
        <f aca="false">IF(AH42&lt;&gt;0,xSPRDOPT($BW42,$BV42,$CG42,2*LN(1+CA42/2),$BY42,$BX42,$BZ42,$AJ42,1,8)+(AJ42/365.25)*CH42/AH42,0)</f>
        <v>#VALUE!</v>
      </c>
      <c r="BO42" s="370" t="e">
        <f aca="false">xSPRDOPT($BW42,$BV42,$CG42,0,$BY42,$BX42,$BZ42,$AJ42,1,0)</f>
        <v>#NAME?</v>
      </c>
      <c r="BP42" s="370"/>
      <c r="BQ42" s="370"/>
      <c r="BR42" s="370"/>
      <c r="BS42" s="370"/>
      <c r="BV42" s="508" t="n">
        <v>3.44578313253012</v>
      </c>
      <c r="BW42" s="369" t="n">
        <v>3.467</v>
      </c>
      <c r="BX42" s="370" t="n">
        <v>0.37</v>
      </c>
      <c r="BY42" s="370" t="n">
        <v>0.37</v>
      </c>
      <c r="BZ42" s="370" t="n">
        <v>0</v>
      </c>
      <c r="CA42" s="370" t="n">
        <v>0.0348361539671314</v>
      </c>
      <c r="CB42" s="370" t="n">
        <v>0</v>
      </c>
      <c r="CC42" s="505" t="n">
        <v>0</v>
      </c>
      <c r="CD42" s="505" t="n">
        <v>0.03</v>
      </c>
      <c r="CE42" s="505" t="n">
        <v>0.065</v>
      </c>
      <c r="CF42" s="505" t="n">
        <v>0</v>
      </c>
      <c r="CG42" s="505" t="n">
        <v>0.0006</v>
      </c>
      <c r="CH42" s="505" t="n">
        <v>0</v>
      </c>
      <c r="CI42" s="505" t="n">
        <v>3.402</v>
      </c>
      <c r="CJ42" s="505"/>
      <c r="CK42" s="505"/>
      <c r="CL42" s="505"/>
      <c r="CM42" s="505"/>
    </row>
    <row r="43" customFormat="false" ht="12.75" hidden="false" customHeight="false" outlineLevel="0" collapsed="false">
      <c r="A43" s="500"/>
      <c r="B43" s="500"/>
      <c r="D43" s="361" t="e">
        <f aca="false">D42+AH42</f>
        <v>#VALUE!</v>
      </c>
      <c r="F43" s="362" t="e">
        <f aca="false">VLOOKUP(AG43,$AL$4:$AS$15,2)</f>
        <v>#VALUE!</v>
      </c>
      <c r="G43" s="362" t="e">
        <f aca="false">F43*$AU43</f>
        <v>#VALUE!</v>
      </c>
      <c r="H43" s="363" t="e">
        <f aca="false">(AL43+AM43+AN43)/(1-(AR43))</f>
        <v>#VALUE!</v>
      </c>
      <c r="I43" s="363" t="e">
        <f aca="false">(AL43+AO43+AP43)</f>
        <v>#VALUE!</v>
      </c>
      <c r="K43" s="363" t="e">
        <f aca="false">MAX(((I43-H43)-AQ43)*AU43*AH43,0)</f>
        <v>#VALUE!</v>
      </c>
      <c r="L43" s="501" t="e">
        <f aca="false">MAX(Q43-K43,0)</f>
        <v>#VALUE!</v>
      </c>
      <c r="N43" s="502" t="e">
        <f aca="false">SQRT(($AX43^2*($AH43/2)+$AW43^2*$AI43)/(($AH43/2)+$AI43))</f>
        <v>#VALUE!</v>
      </c>
      <c r="O43" s="502" t="e">
        <f aca="false">SQRT(($AY43^2*($AH43/2)+$AW43^2*$AI43)/(($AH43/2)+$AI43))</f>
        <v>#VALUE!</v>
      </c>
      <c r="P43" s="371" t="e">
        <f aca="false">(VLOOKUP(AI43,CorrelationTwo,2)*(AW43^2)*AI43+VLOOKUP(D43,CorrelationOne,$AK$9)*AX43*AY43*(AH43/2))/((AI43+(AH43/2))*O43*N43)*AF43</f>
        <v>#VALUE!</v>
      </c>
      <c r="Q43" s="501" t="e">
        <f aca="false">xSPRDOPT(I43,H43,AQ43,0,O43,N43,P43,D43-$G$5,1,0)*AH43*AU43</f>
        <v>#VALUE!</v>
      </c>
      <c r="R43" s="501"/>
      <c r="S43" s="365" t="e">
        <f aca="false">xSPRDOPT(I43,H43,AQ43,AT43,O43,N43,P43,D43-$G$5,1,2)*AF43*(F43/(1-AR43))*AH43</f>
        <v>#VALUE!</v>
      </c>
      <c r="T43" s="365" t="e">
        <f aca="false">xSPRDOPT(I43,H43,AQ43,AT43,O43,N43,P43,D43-$G$5,1,1)*AF43*F43*AH43</f>
        <v>#VALUE!</v>
      </c>
      <c r="U43" s="501"/>
      <c r="V43" s="503" t="e">
        <f aca="false">VLOOKUP($AG43,$AL$4:$AS$15,8)*AH43*AU43</f>
        <v>#VALUE!</v>
      </c>
      <c r="W43" s="503"/>
      <c r="X43" s="504" t="e">
        <f aca="false">((BM43*BC43)+(BL43*BB43))*AH43*F43</f>
        <v>#VALUE!</v>
      </c>
      <c r="Y43" s="504" t="e">
        <f aca="false">($F43*$AH43)*((($BG43/2)*($BC43)^2)+(($BF43/2)*($BB43)^2)+($BH43*$BC43*$BB43))</f>
        <v>#VALUE!</v>
      </c>
      <c r="Z43" s="504" t="e">
        <f aca="false">($BI43*$F43*$AH43*($G$5-$BV$5))/365.25</f>
        <v>#VALUE!</v>
      </c>
      <c r="AA43" s="504" t="e">
        <f aca="false">(($BK43*$BE43)+($BJ43*$BD43))*$F43*$AH43*$AF43</f>
        <v>#VALUE!</v>
      </c>
      <c r="AB43" s="504" t="e">
        <f aca="false">BN43*(AT43-CA43)*F43*AH43</f>
        <v>#VALUE!</v>
      </c>
      <c r="AC43" s="504" t="e">
        <f aca="false">BO43*CB43*F43*AH43*CA43*($G$5-$BV$5)/365.25</f>
        <v>#NAME?</v>
      </c>
      <c r="AF43" s="378" t="e">
        <f aca="false">IF(AND(D43&gt;=$G$7,D43&lt;=$G$8),1,0)</f>
        <v>#VALUE!</v>
      </c>
      <c r="AG43" s="378" t="e">
        <f aca="false">MONTH(D43)</f>
        <v>#VALUE!</v>
      </c>
      <c r="AH43" s="378" t="e">
        <f aca="false">(EOMONTH(D43,0)-EOMONTH(D43-DAY(D43),0))*AF43</f>
        <v>#VALUE!</v>
      </c>
      <c r="AI43" s="378" t="e">
        <f aca="false">AI42+AH42</f>
        <v>#VALUE!</v>
      </c>
      <c r="AJ43" s="378" t="e">
        <f aca="false">D43-$BV$5</f>
        <v>#VALUE!</v>
      </c>
      <c r="AL43" s="369" t="e">
        <f aca="false">VLOOKUP($D43,CurveTbl,$AK$4)</f>
        <v>#VALUE!</v>
      </c>
      <c r="AM43" s="505" t="e">
        <f aca="false">VLOOKUP($D43,CurveTbl,$AH$3)</f>
        <v>#VALUE!</v>
      </c>
      <c r="AN43" s="505" t="e">
        <f aca="false">VLOOKUP($D43,CurveTbl,$AH$4)+VLOOKUP($AG43,$AL$3:$AS$15,6)</f>
        <v>#VALUE!</v>
      </c>
      <c r="AO43" s="505" t="e">
        <f aca="false">VLOOKUP($D43,CurveTbl,$AH$5)</f>
        <v>#VALUE!</v>
      </c>
      <c r="AP43" s="505" t="e">
        <f aca="false">VLOOKUP($D43,CurveTbl,$AH$6)+VLOOKUP($AG43,$AL$3:$AS$15,7)</f>
        <v>#VALUE!</v>
      </c>
      <c r="AQ43" s="369" t="e">
        <f aca="false">VLOOKUP($AG43,$AL$4:$AS$15,3)+VLOOKUP($AG43,$AL$4:$AS$15,5)+($AH$10*VLOOKUP(D43,GRITable,2))</f>
        <v>#VALUE!</v>
      </c>
      <c r="AR43" s="370" t="e">
        <f aca="false">VLOOKUP($AG43,$AL$4:$AS$15,4)</f>
        <v>#VALUE!</v>
      </c>
      <c r="AS43" s="369" t="e">
        <f aca="false">(AL43+AM43+AN43)</f>
        <v>#VALUE!</v>
      </c>
      <c r="AT43" s="370" t="e">
        <f aca="false">VLOOKUP(D43,CurveTbl,$AK$6)</f>
        <v>#VALUE!</v>
      </c>
      <c r="AU43" s="370" t="e">
        <f aca="false">(1+$AT43/2)^(-2*($D43-$G$5)/365.25)*$AF43</f>
        <v>#VALUE!</v>
      </c>
      <c r="AV43" s="506" t="e">
        <f aca="false">ROUND((F43/(1-AR43))-F43,0)*AF43*AH43*AU43</f>
        <v>#VALUE!</v>
      </c>
      <c r="AW43" s="370" t="e">
        <f aca="false">VLOOKUP($D43,CurveTbl,$AK$8)</f>
        <v>#VALUE!</v>
      </c>
      <c r="AX43" s="370" t="e">
        <f aca="false">VLOOKUP($D43,CurveTbl,$AH$7)</f>
        <v>#VALUE!</v>
      </c>
      <c r="AY43" s="370" t="e">
        <f aca="false">VLOOKUP($D43,CurveTbl,$AH$8)</f>
        <v>#VALUE!</v>
      </c>
      <c r="AZ43" s="370"/>
      <c r="BA43" s="507"/>
      <c r="BB43" s="505" t="e">
        <f aca="false">$H43-$BV43</f>
        <v>#VALUE!</v>
      </c>
      <c r="BC43" s="505" t="e">
        <f aca="false">I43-BW43</f>
        <v>#VALUE!</v>
      </c>
      <c r="BD43" s="370" t="e">
        <f aca="false">N43-BX43</f>
        <v>#VALUE!</v>
      </c>
      <c r="BE43" s="370" t="e">
        <f aca="false">O43-BY43</f>
        <v>#VALUE!</v>
      </c>
      <c r="BF43" s="370" t="e">
        <f aca="false">xSPRDOPT($BW43,$BV43,$CG43,0,$BY43,$BX43,$BZ43,$AJ43,1,4)*$CB43</f>
        <v>#NAME?</v>
      </c>
      <c r="BG43" s="370" t="e">
        <f aca="false">xSPRDOPT($BW43,$BV43,$CG43,0,$BY43,$BX43,$BZ43,$AJ43,1,3)*$CB43</f>
        <v>#NAME?</v>
      </c>
      <c r="BH43" s="370" t="e">
        <f aca="false">IF(OR(BF43&lt;&gt;0,BG43&lt;&gt;0),xSPRDOPT($BW43,$BV43,$CG43,0,$BY43,$BX43,$BZ43,$AJ43,1,12)*$CB43,0)</f>
        <v>#NAME?</v>
      </c>
      <c r="BI43" s="370" t="e">
        <f aca="false">xSPRDOPT($BW43,$BV43,$CG43,2*LN(1+CA43/2),$BY43,$BX43,$BZ43,$AJ43,1,9)</f>
        <v>#NAME?</v>
      </c>
      <c r="BJ43" s="370" t="e">
        <f aca="false">xSPRDOPT($BW43,$BV43,$CG43,0,$BY43,$BX43,$BZ43,$AJ43,1,6)*$CB43</f>
        <v>#NAME?</v>
      </c>
      <c r="BK43" s="370" t="e">
        <f aca="false">xSPRDOPT($BW43,$BV43,$CG43,0,$BY43,$BX43,$BZ43,$AJ43,1,5)*$CB43</f>
        <v>#NAME?</v>
      </c>
      <c r="BL43" s="370" t="e">
        <f aca="false">xSPRDOPT(BW43,BV43,CG43,0,BY43,BX43,BZ43,AJ43,1,2)*CB43</f>
        <v>#NAME?</v>
      </c>
      <c r="BM43" s="370" t="e">
        <f aca="false">xSPRDOPT(BW43,BV43,CG43,0,BY43,BX43,BZ43,AJ43,1,1)*CB43</f>
        <v>#NAME?</v>
      </c>
      <c r="BN43" s="370" t="e">
        <f aca="false">IF(AH43&lt;&gt;0,xSPRDOPT($BW43,$BV43,$CG43,2*LN(1+CA43/2),$BY43,$BX43,$BZ43,$AJ43,1,8)+(AJ43/365.25)*CH43/AH43,0)</f>
        <v>#VALUE!</v>
      </c>
      <c r="BO43" s="370" t="e">
        <f aca="false">xSPRDOPT($BW43,$BV43,$CG43,0,$BY43,$BX43,$BZ43,$AJ43,1,0)</f>
        <v>#NAME?</v>
      </c>
      <c r="BP43" s="370"/>
      <c r="BQ43" s="370"/>
      <c r="BR43" s="370"/>
      <c r="BS43" s="370"/>
      <c r="BV43" s="508" t="n">
        <v>3.44578313253012</v>
      </c>
      <c r="BW43" s="369" t="n">
        <v>3.467</v>
      </c>
      <c r="BX43" s="370" t="n">
        <v>0.37</v>
      </c>
      <c r="BY43" s="370" t="n">
        <v>0.37</v>
      </c>
      <c r="BZ43" s="370" t="n">
        <v>0</v>
      </c>
      <c r="CA43" s="370" t="n">
        <v>0.0348361539671314</v>
      </c>
      <c r="CB43" s="370" t="n">
        <v>0</v>
      </c>
      <c r="CC43" s="505" t="n">
        <v>0</v>
      </c>
      <c r="CD43" s="505" t="n">
        <v>0.03</v>
      </c>
      <c r="CE43" s="505" t="n">
        <v>0.065</v>
      </c>
      <c r="CF43" s="505" t="n">
        <v>0</v>
      </c>
      <c r="CG43" s="505" t="n">
        <v>0.0006</v>
      </c>
      <c r="CH43" s="505" t="n">
        <v>0</v>
      </c>
      <c r="CI43" s="505" t="n">
        <v>3.402</v>
      </c>
      <c r="CJ43" s="505"/>
      <c r="CK43" s="505"/>
      <c r="CL43" s="505"/>
      <c r="CM43" s="505"/>
    </row>
    <row r="44" customFormat="false" ht="12.75" hidden="false" customHeight="false" outlineLevel="0" collapsed="false">
      <c r="A44" s="500"/>
      <c r="B44" s="500"/>
      <c r="D44" s="361" t="e">
        <f aca="false">D43+AH43</f>
        <v>#VALUE!</v>
      </c>
      <c r="F44" s="362" t="e">
        <f aca="false">VLOOKUP(AG44,$AL$4:$AS$15,2)</f>
        <v>#VALUE!</v>
      </c>
      <c r="G44" s="362" t="e">
        <f aca="false">F44*$AU44</f>
        <v>#VALUE!</v>
      </c>
      <c r="H44" s="363" t="e">
        <f aca="false">(AL44+AM44+AN44)/(1-(AR44))</f>
        <v>#VALUE!</v>
      </c>
      <c r="I44" s="363" t="e">
        <f aca="false">(AL44+AO44+AP44)</f>
        <v>#VALUE!</v>
      </c>
      <c r="K44" s="363" t="e">
        <f aca="false">MAX(((I44-H44)-AQ44)*AU44*AH44,0)</f>
        <v>#VALUE!</v>
      </c>
      <c r="L44" s="501" t="e">
        <f aca="false">MAX(Q44-K44,0)</f>
        <v>#VALUE!</v>
      </c>
      <c r="N44" s="502" t="e">
        <f aca="false">SQRT(($AX44^2*($AH44/2)+$AW44^2*$AI44)/(($AH44/2)+$AI44))</f>
        <v>#VALUE!</v>
      </c>
      <c r="O44" s="502" t="e">
        <f aca="false">SQRT(($AY44^2*($AH44/2)+$AW44^2*$AI44)/(($AH44/2)+$AI44))</f>
        <v>#VALUE!</v>
      </c>
      <c r="P44" s="371" t="e">
        <f aca="false">(VLOOKUP(AI44,CorrelationTwo,2)*(AW44^2)*AI44+VLOOKUP(D44,CorrelationOne,$AK$9)*AX44*AY44*(AH44/2))/((AI44+(AH44/2))*O44*N44)*AF44</f>
        <v>#VALUE!</v>
      </c>
      <c r="Q44" s="501" t="e">
        <f aca="false">xSPRDOPT(I44,H44,AQ44,0,O44,N44,P44,D44-$G$5,1,0)*AH44*AU44</f>
        <v>#VALUE!</v>
      </c>
      <c r="R44" s="501"/>
      <c r="S44" s="365" t="e">
        <f aca="false">xSPRDOPT(I44,H44,AQ44,AT44,O44,N44,P44,D44-$G$5,1,2)*AF44*(F44/(1-AR44))*AH44</f>
        <v>#VALUE!</v>
      </c>
      <c r="T44" s="365" t="e">
        <f aca="false">xSPRDOPT(I44,H44,AQ44,AT44,O44,N44,P44,D44-$G$5,1,1)*AF44*F44*AH44</f>
        <v>#VALUE!</v>
      </c>
      <c r="U44" s="501"/>
      <c r="V44" s="503" t="e">
        <f aca="false">VLOOKUP($AG44,$AL$4:$AS$15,8)*AH44*AU44</f>
        <v>#VALUE!</v>
      </c>
      <c r="W44" s="503"/>
      <c r="X44" s="504" t="e">
        <f aca="false">((BM44*BC44)+(BL44*BB44))*AH44*F44</f>
        <v>#VALUE!</v>
      </c>
      <c r="Y44" s="504" t="e">
        <f aca="false">($F44*$AH44)*((($BG44/2)*($BC44)^2)+(($BF44/2)*($BB44)^2)+($BH44*$BC44*$BB44))</f>
        <v>#VALUE!</v>
      </c>
      <c r="Z44" s="504" t="e">
        <f aca="false">($BI44*$F44*$AH44*($G$5-$BV$5))/365.25</f>
        <v>#VALUE!</v>
      </c>
      <c r="AA44" s="504" t="e">
        <f aca="false">(($BK44*$BE44)+($BJ44*$BD44))*$F44*$AH44*$AF44</f>
        <v>#VALUE!</v>
      </c>
      <c r="AB44" s="504" t="e">
        <f aca="false">BN44*(AT44-CA44)*F44*AH44</f>
        <v>#VALUE!</v>
      </c>
      <c r="AC44" s="504" t="e">
        <f aca="false">BO44*CB44*F44*AH44*CA44*($G$5-$BV$5)/365.25</f>
        <v>#NAME?</v>
      </c>
      <c r="AF44" s="378" t="e">
        <f aca="false">IF(AND(D44&gt;=$G$7,D44&lt;=$G$8),1,0)</f>
        <v>#VALUE!</v>
      </c>
      <c r="AG44" s="378" t="e">
        <f aca="false">MONTH(D44)</f>
        <v>#VALUE!</v>
      </c>
      <c r="AH44" s="378" t="e">
        <f aca="false">(EOMONTH(D44,0)-EOMONTH(D44-DAY(D44),0))*AF44</f>
        <v>#VALUE!</v>
      </c>
      <c r="AI44" s="378" t="e">
        <f aca="false">AI43+AH43</f>
        <v>#VALUE!</v>
      </c>
      <c r="AJ44" s="378" t="e">
        <f aca="false">D44-$BV$5</f>
        <v>#VALUE!</v>
      </c>
      <c r="AL44" s="369" t="e">
        <f aca="false">VLOOKUP($D44,CurveTbl,$AK$4)</f>
        <v>#VALUE!</v>
      </c>
      <c r="AM44" s="505" t="e">
        <f aca="false">VLOOKUP($D44,CurveTbl,$AH$3)</f>
        <v>#VALUE!</v>
      </c>
      <c r="AN44" s="505" t="e">
        <f aca="false">VLOOKUP($D44,CurveTbl,$AH$4)+VLOOKUP($AG44,$AL$3:$AS$15,6)</f>
        <v>#VALUE!</v>
      </c>
      <c r="AO44" s="505" t="e">
        <f aca="false">VLOOKUP($D44,CurveTbl,$AH$5)</f>
        <v>#VALUE!</v>
      </c>
      <c r="AP44" s="505" t="e">
        <f aca="false">VLOOKUP($D44,CurveTbl,$AH$6)+VLOOKUP($AG44,$AL$3:$AS$15,7)</f>
        <v>#VALUE!</v>
      </c>
      <c r="AQ44" s="369" t="e">
        <f aca="false">VLOOKUP($AG44,$AL$4:$AS$15,3)+VLOOKUP($AG44,$AL$4:$AS$15,5)+($AH$10*VLOOKUP(D44,GRITable,2))</f>
        <v>#VALUE!</v>
      </c>
      <c r="AR44" s="370" t="e">
        <f aca="false">VLOOKUP($AG44,$AL$4:$AS$15,4)</f>
        <v>#VALUE!</v>
      </c>
      <c r="AS44" s="369" t="e">
        <f aca="false">(AL44+AM44+AN44)</f>
        <v>#VALUE!</v>
      </c>
      <c r="AT44" s="370" t="e">
        <f aca="false">VLOOKUP(D44,CurveTbl,$AK$6)</f>
        <v>#VALUE!</v>
      </c>
      <c r="AU44" s="370" t="e">
        <f aca="false">(1+$AT44/2)^(-2*($D44-$G$5)/365.25)*$AF44</f>
        <v>#VALUE!</v>
      </c>
      <c r="AV44" s="506" t="e">
        <f aca="false">ROUND((F44/(1-AR44))-F44,0)*AF44*AH44*AU44</f>
        <v>#VALUE!</v>
      </c>
      <c r="AW44" s="370" t="e">
        <f aca="false">VLOOKUP($D44,CurveTbl,$AK$8)</f>
        <v>#VALUE!</v>
      </c>
      <c r="AX44" s="370" t="e">
        <f aca="false">VLOOKUP($D44,CurveTbl,$AH$7)</f>
        <v>#VALUE!</v>
      </c>
      <c r="AY44" s="370" t="e">
        <f aca="false">VLOOKUP($D44,CurveTbl,$AH$8)</f>
        <v>#VALUE!</v>
      </c>
      <c r="AZ44" s="370"/>
      <c r="BA44" s="507"/>
      <c r="BB44" s="505" t="e">
        <f aca="false">$H44-$BV44</f>
        <v>#VALUE!</v>
      </c>
      <c r="BC44" s="505" t="e">
        <f aca="false">I44-BW44</f>
        <v>#VALUE!</v>
      </c>
      <c r="BD44" s="370" t="e">
        <f aca="false">N44-BX44</f>
        <v>#VALUE!</v>
      </c>
      <c r="BE44" s="370" t="e">
        <f aca="false">O44-BY44</f>
        <v>#VALUE!</v>
      </c>
      <c r="BF44" s="370" t="e">
        <f aca="false">xSPRDOPT($BW44,$BV44,$CG44,0,$BY44,$BX44,$BZ44,$AJ44,1,4)*$CB44</f>
        <v>#NAME?</v>
      </c>
      <c r="BG44" s="370" t="e">
        <f aca="false">xSPRDOPT($BW44,$BV44,$CG44,0,$BY44,$BX44,$BZ44,$AJ44,1,3)*$CB44</f>
        <v>#NAME?</v>
      </c>
      <c r="BH44" s="370" t="e">
        <f aca="false">IF(OR(BF44&lt;&gt;0,BG44&lt;&gt;0),xSPRDOPT($BW44,$BV44,$CG44,0,$BY44,$BX44,$BZ44,$AJ44,1,12)*$CB44,0)</f>
        <v>#NAME?</v>
      </c>
      <c r="BI44" s="370" t="e">
        <f aca="false">xSPRDOPT($BW44,$BV44,$CG44,2*LN(1+CA44/2),$BY44,$BX44,$BZ44,$AJ44,1,9)</f>
        <v>#NAME?</v>
      </c>
      <c r="BJ44" s="370" t="e">
        <f aca="false">xSPRDOPT($BW44,$BV44,$CG44,0,$BY44,$BX44,$BZ44,$AJ44,1,6)*$CB44</f>
        <v>#NAME?</v>
      </c>
      <c r="BK44" s="370" t="e">
        <f aca="false">xSPRDOPT($BW44,$BV44,$CG44,0,$BY44,$BX44,$BZ44,$AJ44,1,5)*$CB44</f>
        <v>#NAME?</v>
      </c>
      <c r="BL44" s="370" t="e">
        <f aca="false">xSPRDOPT(BW44,BV44,CG44,0,BY44,BX44,BZ44,AJ44,1,2)*CB44</f>
        <v>#NAME?</v>
      </c>
      <c r="BM44" s="370" t="e">
        <f aca="false">xSPRDOPT(BW44,BV44,CG44,0,BY44,BX44,BZ44,AJ44,1,1)*CB44</f>
        <v>#NAME?</v>
      </c>
      <c r="BN44" s="370" t="e">
        <f aca="false">IF(AH44&lt;&gt;0,xSPRDOPT($BW44,$BV44,$CG44,2*LN(1+CA44/2),$BY44,$BX44,$BZ44,$AJ44,1,8)+(AJ44/365.25)*CH44/AH44,0)</f>
        <v>#VALUE!</v>
      </c>
      <c r="BO44" s="370" t="e">
        <f aca="false">xSPRDOPT($BW44,$BV44,$CG44,0,$BY44,$BX44,$BZ44,$AJ44,1,0)</f>
        <v>#NAME?</v>
      </c>
      <c r="BP44" s="370"/>
      <c r="BQ44" s="370"/>
      <c r="BR44" s="370"/>
      <c r="BS44" s="370"/>
      <c r="BV44" s="508" t="n">
        <v>3.44578313253012</v>
      </c>
      <c r="BW44" s="369" t="n">
        <v>3.467</v>
      </c>
      <c r="BX44" s="370" t="n">
        <v>0.37</v>
      </c>
      <c r="BY44" s="370" t="n">
        <v>0.37</v>
      </c>
      <c r="BZ44" s="370" t="n">
        <v>0</v>
      </c>
      <c r="CA44" s="370" t="n">
        <v>0.0348361539671314</v>
      </c>
      <c r="CB44" s="370" t="n">
        <v>0</v>
      </c>
      <c r="CC44" s="505" t="n">
        <v>0</v>
      </c>
      <c r="CD44" s="505" t="n">
        <v>0.03</v>
      </c>
      <c r="CE44" s="505" t="n">
        <v>0.065</v>
      </c>
      <c r="CF44" s="505" t="n">
        <v>0</v>
      </c>
      <c r="CG44" s="505" t="n">
        <v>0.0006</v>
      </c>
      <c r="CH44" s="505" t="n">
        <v>0</v>
      </c>
      <c r="CI44" s="505" t="n">
        <v>3.402</v>
      </c>
      <c r="CJ44" s="505"/>
      <c r="CK44" s="505"/>
      <c r="CL44" s="505"/>
      <c r="CM44" s="505"/>
    </row>
    <row r="45" customFormat="false" ht="12.75" hidden="false" customHeight="false" outlineLevel="0" collapsed="false">
      <c r="A45" s="500"/>
      <c r="B45" s="500"/>
      <c r="D45" s="361" t="e">
        <f aca="false">D44+AH44</f>
        <v>#VALUE!</v>
      </c>
      <c r="F45" s="362" t="e">
        <f aca="false">VLOOKUP(AG45,$AL$4:$AS$15,2)</f>
        <v>#VALUE!</v>
      </c>
      <c r="G45" s="362" t="e">
        <f aca="false">F45*$AU45</f>
        <v>#VALUE!</v>
      </c>
      <c r="H45" s="363" t="e">
        <f aca="false">(AL45+AM45+AN45)/(1-(AR45))</f>
        <v>#VALUE!</v>
      </c>
      <c r="I45" s="363" t="e">
        <f aca="false">(AL45+AO45+AP45)</f>
        <v>#VALUE!</v>
      </c>
      <c r="K45" s="363" t="e">
        <f aca="false">MAX(((I45-H45)-AQ45)*AU45*AH45,0)</f>
        <v>#VALUE!</v>
      </c>
      <c r="L45" s="501" t="e">
        <f aca="false">MAX(Q45-K45,0)</f>
        <v>#VALUE!</v>
      </c>
      <c r="N45" s="502" t="e">
        <f aca="false">SQRT(($AX45^2*($AH45/2)+$AW45^2*$AI45)/(($AH45/2)+$AI45))</f>
        <v>#VALUE!</v>
      </c>
      <c r="O45" s="502" t="e">
        <f aca="false">SQRT(($AY45^2*($AH45/2)+$AW45^2*$AI45)/(($AH45/2)+$AI45))</f>
        <v>#VALUE!</v>
      </c>
      <c r="P45" s="371" t="e">
        <f aca="false">(VLOOKUP(AI45,CorrelationTwo,2)*(AW45^2)*AI45+VLOOKUP(D45,CorrelationOne,$AK$9)*AX45*AY45*(AH45/2))/((AI45+(AH45/2))*O45*N45)*AF45</f>
        <v>#VALUE!</v>
      </c>
      <c r="Q45" s="501" t="e">
        <f aca="false">xSPRDOPT(I45,H45,AQ45,0,O45,N45,P45,D45-$G$5,1,0)*AH45*AU45</f>
        <v>#VALUE!</v>
      </c>
      <c r="R45" s="501"/>
      <c r="S45" s="365" t="e">
        <f aca="false">xSPRDOPT(I45,H45,AQ45,AT45,O45,N45,P45,D45-$G$5,1,2)*AF45*(F45/(1-AR45))*AH45</f>
        <v>#VALUE!</v>
      </c>
      <c r="T45" s="365" t="e">
        <f aca="false">xSPRDOPT(I45,H45,AQ45,AT45,O45,N45,P45,D45-$G$5,1,1)*AF45*F45*AH45</f>
        <v>#VALUE!</v>
      </c>
      <c r="U45" s="501"/>
      <c r="V45" s="503" t="e">
        <f aca="false">VLOOKUP($AG45,$AL$4:$AS$15,8)*AH45*AU45</f>
        <v>#VALUE!</v>
      </c>
      <c r="W45" s="503"/>
      <c r="X45" s="504" t="e">
        <f aca="false">((BM45*BC45)+(BL45*BB45))*AH45*F45</f>
        <v>#VALUE!</v>
      </c>
      <c r="Y45" s="504" t="e">
        <f aca="false">($F45*$AH45)*((($BG45/2)*($BC45)^2)+(($BF45/2)*($BB45)^2)+($BH45*$BC45*$BB45))</f>
        <v>#VALUE!</v>
      </c>
      <c r="Z45" s="504" t="e">
        <f aca="false">($BI45*$F45*$AH45*($G$5-$BV$5))/365.25</f>
        <v>#VALUE!</v>
      </c>
      <c r="AA45" s="504" t="e">
        <f aca="false">(($BK45*$BE45)+($BJ45*$BD45))*$F45*$AH45*$AF45</f>
        <v>#VALUE!</v>
      </c>
      <c r="AB45" s="504" t="e">
        <f aca="false">BN45*(AT45-CA45)*F45*AH45</f>
        <v>#VALUE!</v>
      </c>
      <c r="AC45" s="504" t="e">
        <f aca="false">BO45*CB45*F45*AH45*CA45*($G$5-$BV$5)/365.25</f>
        <v>#NAME?</v>
      </c>
      <c r="AF45" s="378" t="e">
        <f aca="false">IF(AND(D45&gt;=$G$7,D45&lt;=$G$8),1,0)</f>
        <v>#VALUE!</v>
      </c>
      <c r="AG45" s="378" t="e">
        <f aca="false">MONTH(D45)</f>
        <v>#VALUE!</v>
      </c>
      <c r="AH45" s="378" t="e">
        <f aca="false">(EOMONTH(D45,0)-EOMONTH(D45-DAY(D45),0))*AF45</f>
        <v>#VALUE!</v>
      </c>
      <c r="AI45" s="378" t="e">
        <f aca="false">AI44+AH44</f>
        <v>#VALUE!</v>
      </c>
      <c r="AJ45" s="378" t="e">
        <f aca="false">D45-$BV$5</f>
        <v>#VALUE!</v>
      </c>
      <c r="AL45" s="369" t="e">
        <f aca="false">VLOOKUP($D45,CurveTbl,$AK$4)</f>
        <v>#VALUE!</v>
      </c>
      <c r="AM45" s="505" t="e">
        <f aca="false">VLOOKUP($D45,CurveTbl,$AH$3)</f>
        <v>#VALUE!</v>
      </c>
      <c r="AN45" s="505" t="e">
        <f aca="false">VLOOKUP($D45,CurveTbl,$AH$4)+VLOOKUP($AG45,$AL$3:$AS$15,6)</f>
        <v>#VALUE!</v>
      </c>
      <c r="AO45" s="505" t="e">
        <f aca="false">VLOOKUP($D45,CurveTbl,$AH$5)</f>
        <v>#VALUE!</v>
      </c>
      <c r="AP45" s="505" t="e">
        <f aca="false">VLOOKUP($D45,CurveTbl,$AH$6)+VLOOKUP($AG45,$AL$3:$AS$15,7)</f>
        <v>#VALUE!</v>
      </c>
      <c r="AQ45" s="369" t="e">
        <f aca="false">VLOOKUP($AG45,$AL$4:$AS$15,3)+VLOOKUP($AG45,$AL$4:$AS$15,5)+($AH$10*VLOOKUP(D45,GRITable,2))</f>
        <v>#VALUE!</v>
      </c>
      <c r="AR45" s="370" t="e">
        <f aca="false">VLOOKUP($AG45,$AL$4:$AS$15,4)</f>
        <v>#VALUE!</v>
      </c>
      <c r="AS45" s="369" t="e">
        <f aca="false">(AL45+AM45+AN45)</f>
        <v>#VALUE!</v>
      </c>
      <c r="AT45" s="370" t="e">
        <f aca="false">VLOOKUP(D45,CurveTbl,$AK$6)</f>
        <v>#VALUE!</v>
      </c>
      <c r="AU45" s="370" t="e">
        <f aca="false">(1+$AT45/2)^(-2*($D45-$G$5)/365.25)*$AF45</f>
        <v>#VALUE!</v>
      </c>
      <c r="AV45" s="506" t="e">
        <f aca="false">ROUND((F45/(1-AR45))-F45,0)*AF45*AH45*AU45</f>
        <v>#VALUE!</v>
      </c>
      <c r="AW45" s="370" t="e">
        <f aca="false">VLOOKUP($D45,CurveTbl,$AK$8)</f>
        <v>#VALUE!</v>
      </c>
      <c r="AX45" s="370" t="e">
        <f aca="false">VLOOKUP($D45,CurveTbl,$AH$7)</f>
        <v>#VALUE!</v>
      </c>
      <c r="AY45" s="370" t="e">
        <f aca="false">VLOOKUP($D45,CurveTbl,$AH$8)</f>
        <v>#VALUE!</v>
      </c>
      <c r="AZ45" s="370"/>
      <c r="BA45" s="507"/>
      <c r="BB45" s="505" t="e">
        <f aca="false">$H45-$BV45</f>
        <v>#VALUE!</v>
      </c>
      <c r="BC45" s="505" t="e">
        <f aca="false">I45-BW45</f>
        <v>#VALUE!</v>
      </c>
      <c r="BD45" s="370" t="e">
        <f aca="false">N45-BX45</f>
        <v>#VALUE!</v>
      </c>
      <c r="BE45" s="370" t="e">
        <f aca="false">O45-BY45</f>
        <v>#VALUE!</v>
      </c>
      <c r="BF45" s="370" t="e">
        <f aca="false">xSPRDOPT($BW45,$BV45,$CG45,0,$BY45,$BX45,$BZ45,$AJ45,1,4)*$CB45</f>
        <v>#NAME?</v>
      </c>
      <c r="BG45" s="370" t="e">
        <f aca="false">xSPRDOPT($BW45,$BV45,$CG45,0,$BY45,$BX45,$BZ45,$AJ45,1,3)*$CB45</f>
        <v>#NAME?</v>
      </c>
      <c r="BH45" s="370" t="e">
        <f aca="false">IF(OR(BF45&lt;&gt;0,BG45&lt;&gt;0),xSPRDOPT($BW45,$BV45,$CG45,0,$BY45,$BX45,$BZ45,$AJ45,1,12)*$CB45,0)</f>
        <v>#NAME?</v>
      </c>
      <c r="BI45" s="370" t="e">
        <f aca="false">xSPRDOPT($BW45,$BV45,$CG45,2*LN(1+CA45/2),$BY45,$BX45,$BZ45,$AJ45,1,9)</f>
        <v>#NAME?</v>
      </c>
      <c r="BJ45" s="370" t="e">
        <f aca="false">xSPRDOPT($BW45,$BV45,$CG45,0,$BY45,$BX45,$BZ45,$AJ45,1,6)*$CB45</f>
        <v>#NAME?</v>
      </c>
      <c r="BK45" s="370" t="e">
        <f aca="false">xSPRDOPT($BW45,$BV45,$CG45,0,$BY45,$BX45,$BZ45,$AJ45,1,5)*$CB45</f>
        <v>#NAME?</v>
      </c>
      <c r="BL45" s="370" t="e">
        <f aca="false">xSPRDOPT(BW45,BV45,CG45,0,BY45,BX45,BZ45,AJ45,1,2)*CB45</f>
        <v>#NAME?</v>
      </c>
      <c r="BM45" s="370" t="e">
        <f aca="false">xSPRDOPT(BW45,BV45,CG45,0,BY45,BX45,BZ45,AJ45,1,1)*CB45</f>
        <v>#NAME?</v>
      </c>
      <c r="BN45" s="370" t="e">
        <f aca="false">IF(AH45&lt;&gt;0,xSPRDOPT($BW45,$BV45,$CG45,2*LN(1+CA45/2),$BY45,$BX45,$BZ45,$AJ45,1,8)+(AJ45/365.25)*CH45/AH45,0)</f>
        <v>#VALUE!</v>
      </c>
      <c r="BO45" s="370" t="e">
        <f aca="false">xSPRDOPT($BW45,$BV45,$CG45,0,$BY45,$BX45,$BZ45,$AJ45,1,0)</f>
        <v>#NAME?</v>
      </c>
      <c r="BP45" s="370"/>
      <c r="BQ45" s="370"/>
      <c r="BR45" s="370"/>
      <c r="BS45" s="370"/>
      <c r="BV45" s="508" t="n">
        <v>3.44578313253012</v>
      </c>
      <c r="BW45" s="369" t="n">
        <v>3.467</v>
      </c>
      <c r="BX45" s="370" t="n">
        <v>0.37</v>
      </c>
      <c r="BY45" s="370" t="n">
        <v>0.37</v>
      </c>
      <c r="BZ45" s="370" t="n">
        <v>0</v>
      </c>
      <c r="CA45" s="370" t="n">
        <v>0.0348361539671314</v>
      </c>
      <c r="CB45" s="370" t="n">
        <v>0</v>
      </c>
      <c r="CC45" s="505" t="n">
        <v>0</v>
      </c>
      <c r="CD45" s="505" t="n">
        <v>0.03</v>
      </c>
      <c r="CE45" s="505" t="n">
        <v>0.065</v>
      </c>
      <c r="CF45" s="505" t="n">
        <v>0</v>
      </c>
      <c r="CG45" s="505" t="n">
        <v>0.0006</v>
      </c>
      <c r="CH45" s="505" t="n">
        <v>0</v>
      </c>
      <c r="CI45" s="505" t="n">
        <v>3.402</v>
      </c>
      <c r="CJ45" s="505"/>
      <c r="CK45" s="505"/>
      <c r="CL45" s="505"/>
      <c r="CM45" s="505"/>
    </row>
    <row r="46" customFormat="false" ht="12.75" hidden="false" customHeight="false" outlineLevel="0" collapsed="false">
      <c r="A46" s="500"/>
      <c r="B46" s="500"/>
      <c r="D46" s="361" t="e">
        <f aca="false">D45+AH45</f>
        <v>#VALUE!</v>
      </c>
      <c r="F46" s="362" t="e">
        <f aca="false">VLOOKUP(AG46,$AL$4:$AS$15,2)</f>
        <v>#VALUE!</v>
      </c>
      <c r="G46" s="362" t="e">
        <f aca="false">F46*$AU46</f>
        <v>#VALUE!</v>
      </c>
      <c r="H46" s="363" t="e">
        <f aca="false">(AL46+AM46+AN46)/(1-(AR46))</f>
        <v>#VALUE!</v>
      </c>
      <c r="I46" s="363" t="e">
        <f aca="false">(AL46+AO46+AP46)</f>
        <v>#VALUE!</v>
      </c>
      <c r="K46" s="363" t="e">
        <f aca="false">MAX(((I46-H46)-AQ46)*AU46*AH46,0)</f>
        <v>#VALUE!</v>
      </c>
      <c r="L46" s="501" t="e">
        <f aca="false">MAX(Q46-K46,0)</f>
        <v>#VALUE!</v>
      </c>
      <c r="N46" s="502" t="e">
        <f aca="false">SQRT(($AX46^2*($AH46/2)+$AW46^2*$AI46)/(($AH46/2)+$AI46))</f>
        <v>#VALUE!</v>
      </c>
      <c r="O46" s="502" t="e">
        <f aca="false">SQRT(($AY46^2*($AH46/2)+$AW46^2*$AI46)/(($AH46/2)+$AI46))</f>
        <v>#VALUE!</v>
      </c>
      <c r="P46" s="371" t="e">
        <f aca="false">(VLOOKUP(AI46,CorrelationTwo,2)*(AW46^2)*AI46+VLOOKUP(D46,CorrelationOne,$AK$9)*AX46*AY46*(AH46/2))/((AI46+(AH46/2))*O46*N46)*AF46</f>
        <v>#VALUE!</v>
      </c>
      <c r="Q46" s="501" t="e">
        <f aca="false">xSPRDOPT(I46,H46,AQ46,0,O46,N46,P46,D46-$G$5,1,0)*AH46*AU46</f>
        <v>#VALUE!</v>
      </c>
      <c r="R46" s="501"/>
      <c r="S46" s="365" t="e">
        <f aca="false">xSPRDOPT(I46,H46,AQ46,AT46,O46,N46,P46,D46-$G$5,1,2)*AF46*(F46/(1-AR46))*AH46</f>
        <v>#VALUE!</v>
      </c>
      <c r="T46" s="365" t="e">
        <f aca="false">xSPRDOPT(I46,H46,AQ46,AT46,O46,N46,P46,D46-$G$5,1,1)*AF46*F46*AH46</f>
        <v>#VALUE!</v>
      </c>
      <c r="U46" s="501"/>
      <c r="V46" s="503" t="e">
        <f aca="false">VLOOKUP($AG46,$AL$4:$AS$15,8)*AH46*AU46</f>
        <v>#VALUE!</v>
      </c>
      <c r="W46" s="503"/>
      <c r="X46" s="504" t="e">
        <f aca="false">((BM46*BC46)+(BL46*BB46))*AH46*F46</f>
        <v>#VALUE!</v>
      </c>
      <c r="Y46" s="504" t="e">
        <f aca="false">($F46*$AH46)*((($BG46/2)*($BC46)^2)+(($BF46/2)*($BB46)^2)+($BH46*$BC46*$BB46))</f>
        <v>#VALUE!</v>
      </c>
      <c r="Z46" s="504" t="e">
        <f aca="false">($BI46*$F46*$AH46*($G$5-$BV$5))/365.25</f>
        <v>#VALUE!</v>
      </c>
      <c r="AA46" s="504" t="e">
        <f aca="false">(($BK46*$BE46)+($BJ46*$BD46))*$F46*$AH46*$AF46</f>
        <v>#VALUE!</v>
      </c>
      <c r="AB46" s="504" t="e">
        <f aca="false">BN46*(AT46-CA46)*F46*AH46</f>
        <v>#VALUE!</v>
      </c>
      <c r="AC46" s="504" t="e">
        <f aca="false">BO46*CB46*F46*AH46*CA46*($G$5-$BV$5)/365.25</f>
        <v>#NAME?</v>
      </c>
      <c r="AF46" s="378" t="e">
        <f aca="false">IF(AND(D46&gt;=$G$7,D46&lt;=$G$8),1,0)</f>
        <v>#VALUE!</v>
      </c>
      <c r="AG46" s="378" t="e">
        <f aca="false">MONTH(D46)</f>
        <v>#VALUE!</v>
      </c>
      <c r="AH46" s="378" t="e">
        <f aca="false">(EOMONTH(D46,0)-EOMONTH(D46-DAY(D46),0))*AF46</f>
        <v>#VALUE!</v>
      </c>
      <c r="AI46" s="378" t="e">
        <f aca="false">AI45+AH45</f>
        <v>#VALUE!</v>
      </c>
      <c r="AJ46" s="378" t="e">
        <f aca="false">D46-$BV$5</f>
        <v>#VALUE!</v>
      </c>
      <c r="AL46" s="369" t="e">
        <f aca="false">VLOOKUP($D46,CurveTbl,$AK$4)</f>
        <v>#VALUE!</v>
      </c>
      <c r="AM46" s="505" t="e">
        <f aca="false">VLOOKUP($D46,CurveTbl,$AH$3)</f>
        <v>#VALUE!</v>
      </c>
      <c r="AN46" s="505" t="e">
        <f aca="false">VLOOKUP($D46,CurveTbl,$AH$4)+VLOOKUP($AG46,$AL$3:$AS$15,6)</f>
        <v>#VALUE!</v>
      </c>
      <c r="AO46" s="505" t="e">
        <f aca="false">VLOOKUP($D46,CurveTbl,$AH$5)</f>
        <v>#VALUE!</v>
      </c>
      <c r="AP46" s="505" t="e">
        <f aca="false">VLOOKUP($D46,CurveTbl,$AH$6)+VLOOKUP($AG46,$AL$3:$AS$15,7)</f>
        <v>#VALUE!</v>
      </c>
      <c r="AQ46" s="369" t="e">
        <f aca="false">VLOOKUP($AG46,$AL$4:$AS$15,3)+VLOOKUP($AG46,$AL$4:$AS$15,5)+($AH$10*VLOOKUP(D46,GRITable,2))</f>
        <v>#VALUE!</v>
      </c>
      <c r="AR46" s="370" t="e">
        <f aca="false">VLOOKUP($AG46,$AL$4:$AS$15,4)</f>
        <v>#VALUE!</v>
      </c>
      <c r="AS46" s="369" t="e">
        <f aca="false">(AL46+AM46+AN46)</f>
        <v>#VALUE!</v>
      </c>
      <c r="AT46" s="370" t="e">
        <f aca="false">VLOOKUP(D46,CurveTbl,$AK$6)</f>
        <v>#VALUE!</v>
      </c>
      <c r="AU46" s="370" t="e">
        <f aca="false">(1+$AT46/2)^(-2*($D46-$G$5)/365.25)*$AF46</f>
        <v>#VALUE!</v>
      </c>
      <c r="AV46" s="506" t="e">
        <f aca="false">ROUND((F46/(1-AR46))-F46,0)*AF46*AH46*AU46</f>
        <v>#VALUE!</v>
      </c>
      <c r="AW46" s="370" t="e">
        <f aca="false">VLOOKUP($D46,CurveTbl,$AK$8)</f>
        <v>#VALUE!</v>
      </c>
      <c r="AX46" s="370" t="e">
        <f aca="false">VLOOKUP($D46,CurveTbl,$AH$7)</f>
        <v>#VALUE!</v>
      </c>
      <c r="AY46" s="370" t="e">
        <f aca="false">VLOOKUP($D46,CurveTbl,$AH$8)</f>
        <v>#VALUE!</v>
      </c>
      <c r="AZ46" s="370"/>
      <c r="BA46" s="507"/>
      <c r="BB46" s="505" t="e">
        <f aca="false">$H46-$BV46</f>
        <v>#VALUE!</v>
      </c>
      <c r="BC46" s="505" t="e">
        <f aca="false">I46-BW46</f>
        <v>#VALUE!</v>
      </c>
      <c r="BD46" s="370" t="e">
        <f aca="false">N46-BX46</f>
        <v>#VALUE!</v>
      </c>
      <c r="BE46" s="370" t="e">
        <f aca="false">O46-BY46</f>
        <v>#VALUE!</v>
      </c>
      <c r="BF46" s="370" t="e">
        <f aca="false">xSPRDOPT($BW46,$BV46,$CG46,0,$BY46,$BX46,$BZ46,$AJ46,1,4)*$CB46</f>
        <v>#NAME?</v>
      </c>
      <c r="BG46" s="370" t="e">
        <f aca="false">xSPRDOPT($BW46,$BV46,$CG46,0,$BY46,$BX46,$BZ46,$AJ46,1,3)*$CB46</f>
        <v>#NAME?</v>
      </c>
      <c r="BH46" s="370" t="e">
        <f aca="false">IF(OR(BF46&lt;&gt;0,BG46&lt;&gt;0),xSPRDOPT($BW46,$BV46,$CG46,0,$BY46,$BX46,$BZ46,$AJ46,1,12)*$CB46,0)</f>
        <v>#NAME?</v>
      </c>
      <c r="BI46" s="370" t="e">
        <f aca="false">xSPRDOPT($BW46,$BV46,$CG46,2*LN(1+CA46/2),$BY46,$BX46,$BZ46,$AJ46,1,9)</f>
        <v>#NAME?</v>
      </c>
      <c r="BJ46" s="370" t="e">
        <f aca="false">xSPRDOPT($BW46,$BV46,$CG46,0,$BY46,$BX46,$BZ46,$AJ46,1,6)*$CB46</f>
        <v>#NAME?</v>
      </c>
      <c r="BK46" s="370" t="e">
        <f aca="false">xSPRDOPT($BW46,$BV46,$CG46,0,$BY46,$BX46,$BZ46,$AJ46,1,5)*$CB46</f>
        <v>#NAME?</v>
      </c>
      <c r="BL46" s="370" t="e">
        <f aca="false">xSPRDOPT(BW46,BV46,CG46,0,BY46,BX46,BZ46,AJ46,1,2)*CB46</f>
        <v>#NAME?</v>
      </c>
      <c r="BM46" s="370" t="e">
        <f aca="false">xSPRDOPT(BW46,BV46,CG46,0,BY46,BX46,BZ46,AJ46,1,1)*CB46</f>
        <v>#NAME?</v>
      </c>
      <c r="BN46" s="370" t="e">
        <f aca="false">IF(AH46&lt;&gt;0,xSPRDOPT($BW46,$BV46,$CG46,2*LN(1+CA46/2),$BY46,$BX46,$BZ46,$AJ46,1,8)+(AJ46/365.25)*CH46/AH46,0)</f>
        <v>#VALUE!</v>
      </c>
      <c r="BO46" s="370" t="e">
        <f aca="false">xSPRDOPT($BW46,$BV46,$CG46,0,$BY46,$BX46,$BZ46,$AJ46,1,0)</f>
        <v>#NAME?</v>
      </c>
      <c r="BP46" s="370"/>
      <c r="BQ46" s="370"/>
      <c r="BR46" s="370"/>
      <c r="BS46" s="370"/>
      <c r="BV46" s="508" t="n">
        <v>3.44578313253012</v>
      </c>
      <c r="BW46" s="369" t="n">
        <v>3.467</v>
      </c>
      <c r="BX46" s="370" t="n">
        <v>0.37</v>
      </c>
      <c r="BY46" s="370" t="n">
        <v>0.37</v>
      </c>
      <c r="BZ46" s="370" t="n">
        <v>0</v>
      </c>
      <c r="CA46" s="370" t="n">
        <v>0.0348361539671314</v>
      </c>
      <c r="CB46" s="370" t="n">
        <v>0</v>
      </c>
      <c r="CC46" s="505" t="n">
        <v>0</v>
      </c>
      <c r="CD46" s="505" t="n">
        <v>0.03</v>
      </c>
      <c r="CE46" s="505" t="n">
        <v>0.065</v>
      </c>
      <c r="CF46" s="505" t="n">
        <v>0</v>
      </c>
      <c r="CG46" s="505" t="n">
        <v>0.0006</v>
      </c>
      <c r="CH46" s="505" t="n">
        <v>0</v>
      </c>
      <c r="CI46" s="505" t="n">
        <v>3.402</v>
      </c>
      <c r="CJ46" s="505"/>
      <c r="CK46" s="505"/>
      <c r="CL46" s="505"/>
      <c r="CM46" s="505"/>
    </row>
    <row r="47" customFormat="false" ht="12.75" hidden="false" customHeight="false" outlineLevel="0" collapsed="false">
      <c r="A47" s="500"/>
      <c r="B47" s="500"/>
      <c r="D47" s="361" t="e">
        <f aca="false">D46+AH46</f>
        <v>#VALUE!</v>
      </c>
      <c r="F47" s="362" t="e">
        <f aca="false">VLOOKUP(AG47,$AL$4:$AS$15,2)</f>
        <v>#VALUE!</v>
      </c>
      <c r="G47" s="362" t="e">
        <f aca="false">F47*$AU47</f>
        <v>#VALUE!</v>
      </c>
      <c r="H47" s="363" t="e">
        <f aca="false">(AL47+AM47+AN47)/(1-(AR47))</f>
        <v>#VALUE!</v>
      </c>
      <c r="I47" s="363" t="e">
        <f aca="false">(AL47+AO47+AP47)</f>
        <v>#VALUE!</v>
      </c>
      <c r="K47" s="363" t="e">
        <f aca="false">MAX(((I47-H47)-AQ47)*AU47*AH47,0)</f>
        <v>#VALUE!</v>
      </c>
      <c r="L47" s="501" t="e">
        <f aca="false">MAX(Q47-K47,0)</f>
        <v>#VALUE!</v>
      </c>
      <c r="N47" s="502" t="e">
        <f aca="false">SQRT(($AX47^2*($AH47/2)+$AW47^2*$AI47)/(($AH47/2)+$AI47))</f>
        <v>#VALUE!</v>
      </c>
      <c r="O47" s="502" t="e">
        <f aca="false">SQRT(($AY47^2*($AH47/2)+$AW47^2*$AI47)/(($AH47/2)+$AI47))</f>
        <v>#VALUE!</v>
      </c>
      <c r="P47" s="371" t="e">
        <f aca="false">(VLOOKUP(AI47,CorrelationTwo,2)*(AW47^2)*AI47+VLOOKUP(D47,CorrelationOne,$AK$9)*AX47*AY47*(AH47/2))/((AI47+(AH47/2))*O47*N47)*AF47</f>
        <v>#VALUE!</v>
      </c>
      <c r="Q47" s="501" t="e">
        <f aca="false">xSPRDOPT(I47,H47,AQ47,0,O47,N47,P47,D47-$G$5,1,0)*AH47*AU47</f>
        <v>#VALUE!</v>
      </c>
      <c r="R47" s="501"/>
      <c r="S47" s="365" t="e">
        <f aca="false">xSPRDOPT(I47,H47,AQ47,AT47,O47,N47,P47,D47-$G$5,1,2)*AF47*(F47/(1-AR47))*AH47</f>
        <v>#VALUE!</v>
      </c>
      <c r="T47" s="365" t="e">
        <f aca="false">xSPRDOPT(I47,H47,AQ47,AT47,O47,N47,P47,D47-$G$5,1,1)*AF47*F47*AH47</f>
        <v>#VALUE!</v>
      </c>
      <c r="U47" s="501"/>
      <c r="V47" s="503" t="e">
        <f aca="false">VLOOKUP($AG47,$AL$4:$AS$15,8)*AH47*AU47</f>
        <v>#VALUE!</v>
      </c>
      <c r="W47" s="503"/>
      <c r="X47" s="504" t="e">
        <f aca="false">((BM47*BC47)+(BL47*BB47))*AH47*F47</f>
        <v>#VALUE!</v>
      </c>
      <c r="Y47" s="504" t="e">
        <f aca="false">($F47*$AH47)*((($BG47/2)*($BC47)^2)+(($BF47/2)*($BB47)^2)+($BH47*$BC47*$BB47))</f>
        <v>#VALUE!</v>
      </c>
      <c r="Z47" s="504" t="e">
        <f aca="false">($BI47*$F47*$AH47*($G$5-$BV$5))/365.25</f>
        <v>#VALUE!</v>
      </c>
      <c r="AA47" s="504" t="e">
        <f aca="false">(($BK47*$BE47)+($BJ47*$BD47))*$F47*$AH47*$AF47</f>
        <v>#VALUE!</v>
      </c>
      <c r="AB47" s="504" t="e">
        <f aca="false">BN47*(AT47-CA47)*F47*AH47</f>
        <v>#VALUE!</v>
      </c>
      <c r="AC47" s="504" t="e">
        <f aca="false">BO47*CB47*F47*AH47*CA47*($G$5-$BV$5)/365.25</f>
        <v>#NAME?</v>
      </c>
      <c r="AF47" s="378" t="e">
        <f aca="false">IF(AND(D47&gt;=$G$7,D47&lt;=$G$8),1,0)</f>
        <v>#VALUE!</v>
      </c>
      <c r="AG47" s="378" t="e">
        <f aca="false">MONTH(D47)</f>
        <v>#VALUE!</v>
      </c>
      <c r="AH47" s="378" t="e">
        <f aca="false">(EOMONTH(D47,0)-EOMONTH(D47-DAY(D47),0))*AF47</f>
        <v>#VALUE!</v>
      </c>
      <c r="AI47" s="378" t="e">
        <f aca="false">AI46+AH46</f>
        <v>#VALUE!</v>
      </c>
      <c r="AJ47" s="378" t="e">
        <f aca="false">D47-$BV$5</f>
        <v>#VALUE!</v>
      </c>
      <c r="AL47" s="369" t="e">
        <f aca="false">VLOOKUP($D47,CurveTbl,$AK$4)</f>
        <v>#VALUE!</v>
      </c>
      <c r="AM47" s="505" t="e">
        <f aca="false">VLOOKUP($D47,CurveTbl,$AH$3)</f>
        <v>#VALUE!</v>
      </c>
      <c r="AN47" s="505" t="e">
        <f aca="false">VLOOKUP($D47,CurveTbl,$AH$4)+VLOOKUP($AG47,$AL$3:$AS$15,6)</f>
        <v>#VALUE!</v>
      </c>
      <c r="AO47" s="505" t="e">
        <f aca="false">VLOOKUP($D47,CurveTbl,$AH$5)</f>
        <v>#VALUE!</v>
      </c>
      <c r="AP47" s="505" t="e">
        <f aca="false">VLOOKUP($D47,CurveTbl,$AH$6)+VLOOKUP($AG47,$AL$3:$AS$15,7)</f>
        <v>#VALUE!</v>
      </c>
      <c r="AQ47" s="369" t="e">
        <f aca="false">VLOOKUP($AG47,$AL$4:$AS$15,3)+VLOOKUP($AG47,$AL$4:$AS$15,5)+($AH$10*VLOOKUP(D47,GRITable,2))</f>
        <v>#VALUE!</v>
      </c>
      <c r="AR47" s="370" t="e">
        <f aca="false">VLOOKUP($AG47,$AL$4:$AS$15,4)</f>
        <v>#VALUE!</v>
      </c>
      <c r="AS47" s="369" t="e">
        <f aca="false">(AL47+AM47+AN47)</f>
        <v>#VALUE!</v>
      </c>
      <c r="AT47" s="370" t="e">
        <f aca="false">VLOOKUP(D47,CurveTbl,$AK$6)</f>
        <v>#VALUE!</v>
      </c>
      <c r="AU47" s="370" t="e">
        <f aca="false">(1+$AT47/2)^(-2*($D47-$G$5)/365.25)*$AF47</f>
        <v>#VALUE!</v>
      </c>
      <c r="AV47" s="506" t="e">
        <f aca="false">ROUND((F47/(1-AR47))-F47,0)*AF47*AH47*AU47</f>
        <v>#VALUE!</v>
      </c>
      <c r="AW47" s="370" t="e">
        <f aca="false">VLOOKUP($D47,CurveTbl,$AK$8)</f>
        <v>#VALUE!</v>
      </c>
      <c r="AX47" s="370" t="e">
        <f aca="false">VLOOKUP($D47,CurveTbl,$AH$7)</f>
        <v>#VALUE!</v>
      </c>
      <c r="AY47" s="370" t="e">
        <f aca="false">VLOOKUP($D47,CurveTbl,$AH$8)</f>
        <v>#VALUE!</v>
      </c>
      <c r="AZ47" s="370"/>
      <c r="BA47" s="507"/>
      <c r="BB47" s="505" t="e">
        <f aca="false">$H47-$BV47</f>
        <v>#VALUE!</v>
      </c>
      <c r="BC47" s="505" t="e">
        <f aca="false">I47-BW47</f>
        <v>#VALUE!</v>
      </c>
      <c r="BD47" s="370" t="e">
        <f aca="false">N47-BX47</f>
        <v>#VALUE!</v>
      </c>
      <c r="BE47" s="370" t="e">
        <f aca="false">O47-BY47</f>
        <v>#VALUE!</v>
      </c>
      <c r="BF47" s="370" t="e">
        <f aca="false">xSPRDOPT($BW47,$BV47,$CG47,0,$BY47,$BX47,$BZ47,$AJ47,1,4)*$CB47</f>
        <v>#NAME?</v>
      </c>
      <c r="BG47" s="370" t="e">
        <f aca="false">xSPRDOPT($BW47,$BV47,$CG47,0,$BY47,$BX47,$BZ47,$AJ47,1,3)*$CB47</f>
        <v>#NAME?</v>
      </c>
      <c r="BH47" s="370" t="e">
        <f aca="false">IF(OR(BF47&lt;&gt;0,BG47&lt;&gt;0),xSPRDOPT($BW47,$BV47,$CG47,0,$BY47,$BX47,$BZ47,$AJ47,1,12)*$CB47,0)</f>
        <v>#NAME?</v>
      </c>
      <c r="BI47" s="370" t="e">
        <f aca="false">xSPRDOPT($BW47,$BV47,$CG47,2*LN(1+CA47/2),$BY47,$BX47,$BZ47,$AJ47,1,9)</f>
        <v>#NAME?</v>
      </c>
      <c r="BJ47" s="370" t="e">
        <f aca="false">xSPRDOPT($BW47,$BV47,$CG47,0,$BY47,$BX47,$BZ47,$AJ47,1,6)*$CB47</f>
        <v>#NAME?</v>
      </c>
      <c r="BK47" s="370" t="e">
        <f aca="false">xSPRDOPT($BW47,$BV47,$CG47,0,$BY47,$BX47,$BZ47,$AJ47,1,5)*$CB47</f>
        <v>#NAME?</v>
      </c>
      <c r="BL47" s="370" t="e">
        <f aca="false">xSPRDOPT(BW47,BV47,CG47,0,BY47,BX47,BZ47,AJ47,1,2)*CB47</f>
        <v>#NAME?</v>
      </c>
      <c r="BM47" s="370" t="e">
        <f aca="false">xSPRDOPT(BW47,BV47,CG47,0,BY47,BX47,BZ47,AJ47,1,1)*CB47</f>
        <v>#NAME?</v>
      </c>
      <c r="BN47" s="370" t="e">
        <f aca="false">IF(AH47&lt;&gt;0,xSPRDOPT($BW47,$BV47,$CG47,2*LN(1+CA47/2),$BY47,$BX47,$BZ47,$AJ47,1,8)+(AJ47/365.25)*CH47/AH47,0)</f>
        <v>#VALUE!</v>
      </c>
      <c r="BO47" s="370" t="e">
        <f aca="false">xSPRDOPT($BW47,$BV47,$CG47,0,$BY47,$BX47,$BZ47,$AJ47,1,0)</f>
        <v>#NAME?</v>
      </c>
      <c r="BP47" s="370"/>
      <c r="BQ47" s="370"/>
      <c r="BR47" s="370"/>
      <c r="BS47" s="370"/>
      <c r="BV47" s="508" t="n">
        <v>3.44578313253012</v>
      </c>
      <c r="BW47" s="369" t="n">
        <v>3.467</v>
      </c>
      <c r="BX47" s="370" t="n">
        <v>0.37</v>
      </c>
      <c r="BY47" s="370" t="n">
        <v>0.37</v>
      </c>
      <c r="BZ47" s="370" t="n">
        <v>0</v>
      </c>
      <c r="CA47" s="370" t="n">
        <v>0.0348361539671314</v>
      </c>
      <c r="CB47" s="370" t="n">
        <v>0</v>
      </c>
      <c r="CC47" s="505" t="n">
        <v>0</v>
      </c>
      <c r="CD47" s="505" t="n">
        <v>0.03</v>
      </c>
      <c r="CE47" s="505" t="n">
        <v>0.065</v>
      </c>
      <c r="CF47" s="505" t="n">
        <v>0</v>
      </c>
      <c r="CG47" s="505" t="n">
        <v>0.0006</v>
      </c>
      <c r="CH47" s="505" t="n">
        <v>0</v>
      </c>
      <c r="CI47" s="505" t="n">
        <v>3.402</v>
      </c>
      <c r="CJ47" s="505"/>
      <c r="CK47" s="505"/>
      <c r="CL47" s="505"/>
      <c r="CM47" s="505"/>
    </row>
    <row r="48" customFormat="false" ht="12.75" hidden="false" customHeight="false" outlineLevel="0" collapsed="false">
      <c r="A48" s="500"/>
      <c r="B48" s="500"/>
      <c r="D48" s="361" t="e">
        <f aca="false">D47+AH47</f>
        <v>#VALUE!</v>
      </c>
      <c r="F48" s="362" t="e">
        <f aca="false">VLOOKUP(AG48,$AL$4:$AS$15,2)</f>
        <v>#VALUE!</v>
      </c>
      <c r="G48" s="362" t="e">
        <f aca="false">F48*$AU48</f>
        <v>#VALUE!</v>
      </c>
      <c r="H48" s="363" t="e">
        <f aca="false">(AL48+AM48+AN48)/(1-(AR48))</f>
        <v>#VALUE!</v>
      </c>
      <c r="I48" s="363" t="e">
        <f aca="false">(AL48+AO48+AP48)</f>
        <v>#VALUE!</v>
      </c>
      <c r="K48" s="363" t="e">
        <f aca="false">MAX(((I48-H48)-AQ48)*AU48*AH48,0)</f>
        <v>#VALUE!</v>
      </c>
      <c r="L48" s="501" t="e">
        <f aca="false">MAX(Q48-K48,0)</f>
        <v>#VALUE!</v>
      </c>
      <c r="N48" s="502" t="e">
        <f aca="false">SQRT(($AX48^2*($AH48/2)+$AW48^2*$AI48)/(($AH48/2)+$AI48))</f>
        <v>#VALUE!</v>
      </c>
      <c r="O48" s="502" t="e">
        <f aca="false">SQRT(($AY48^2*($AH48/2)+$AW48^2*$AI48)/(($AH48/2)+$AI48))</f>
        <v>#VALUE!</v>
      </c>
      <c r="P48" s="371" t="e">
        <f aca="false">(VLOOKUP(AI48,CorrelationTwo,2)*(AW48^2)*AI48+VLOOKUP(D48,CorrelationOne,$AK$9)*AX48*AY48*(AH48/2))/((AI48+(AH48/2))*O48*N48)*AF48</f>
        <v>#VALUE!</v>
      </c>
      <c r="Q48" s="501" t="e">
        <f aca="false">xSPRDOPT(I48,H48,AQ48,0,O48,N48,P48,D48-$G$5,1,0)*AH48*AU48</f>
        <v>#VALUE!</v>
      </c>
      <c r="R48" s="501"/>
      <c r="S48" s="365" t="e">
        <f aca="false">xSPRDOPT(I48,H48,AQ48,AT48,O48,N48,P48,D48-$G$5,1,2)*AF48*(F48/(1-AR48))*AH48</f>
        <v>#VALUE!</v>
      </c>
      <c r="T48" s="365" t="e">
        <f aca="false">xSPRDOPT(I48,H48,AQ48,AT48,O48,N48,P48,D48-$G$5,1,1)*AF48*F48*AH48</f>
        <v>#VALUE!</v>
      </c>
      <c r="U48" s="501"/>
      <c r="V48" s="503" t="e">
        <f aca="false">VLOOKUP($AG48,$AL$4:$AS$15,8)*AH48*AU48</f>
        <v>#VALUE!</v>
      </c>
      <c r="W48" s="503"/>
      <c r="X48" s="504" t="e">
        <f aca="false">((BM48*BC48)+(BL48*BB48))*AH48*F48</f>
        <v>#VALUE!</v>
      </c>
      <c r="Y48" s="504" t="e">
        <f aca="false">($F48*$AH48)*((($BG48/2)*($BC48)^2)+(($BF48/2)*($BB48)^2)+($BH48*$BC48*$BB48))</f>
        <v>#VALUE!</v>
      </c>
      <c r="Z48" s="504" t="e">
        <f aca="false">($BI48*$F48*$AH48*($G$5-$BV$5))/365.25</f>
        <v>#VALUE!</v>
      </c>
      <c r="AA48" s="504" t="e">
        <f aca="false">(($BK48*$BE48)+($BJ48*$BD48))*$F48*$AH48*$AF48</f>
        <v>#VALUE!</v>
      </c>
      <c r="AB48" s="504" t="e">
        <f aca="false">BN48*(AT48-CA48)*F48*AH48</f>
        <v>#VALUE!</v>
      </c>
      <c r="AC48" s="504" t="e">
        <f aca="false">BO48*CB48*F48*AH48*CA48*($G$5-$BV$5)/365.25</f>
        <v>#NAME?</v>
      </c>
      <c r="AF48" s="378" t="e">
        <f aca="false">IF(AND(D48&gt;=$G$7,D48&lt;=$G$8),1,0)</f>
        <v>#VALUE!</v>
      </c>
      <c r="AG48" s="378" t="e">
        <f aca="false">MONTH(D48)</f>
        <v>#VALUE!</v>
      </c>
      <c r="AH48" s="378" t="e">
        <f aca="false">(EOMONTH(D48,0)-EOMONTH(D48-DAY(D48),0))*AF48</f>
        <v>#VALUE!</v>
      </c>
      <c r="AI48" s="378" t="e">
        <f aca="false">AI47+AH47</f>
        <v>#VALUE!</v>
      </c>
      <c r="AJ48" s="378" t="e">
        <f aca="false">D48-$BV$5</f>
        <v>#VALUE!</v>
      </c>
      <c r="AL48" s="369" t="e">
        <f aca="false">VLOOKUP($D48,CurveTbl,$AK$4)</f>
        <v>#VALUE!</v>
      </c>
      <c r="AM48" s="505" t="e">
        <f aca="false">VLOOKUP($D48,CurveTbl,$AH$3)</f>
        <v>#VALUE!</v>
      </c>
      <c r="AN48" s="505" t="e">
        <f aca="false">VLOOKUP($D48,CurveTbl,$AH$4)+VLOOKUP($AG48,$AL$3:$AS$15,6)</f>
        <v>#VALUE!</v>
      </c>
      <c r="AO48" s="505" t="e">
        <f aca="false">VLOOKUP($D48,CurveTbl,$AH$5)</f>
        <v>#VALUE!</v>
      </c>
      <c r="AP48" s="505" t="e">
        <f aca="false">VLOOKUP($D48,CurveTbl,$AH$6)+VLOOKUP($AG48,$AL$3:$AS$15,7)</f>
        <v>#VALUE!</v>
      </c>
      <c r="AQ48" s="369" t="e">
        <f aca="false">VLOOKUP($AG48,$AL$4:$AS$15,3)+VLOOKUP($AG48,$AL$4:$AS$15,5)+($AH$10*VLOOKUP(D48,GRITable,2))</f>
        <v>#VALUE!</v>
      </c>
      <c r="AR48" s="370" t="e">
        <f aca="false">VLOOKUP($AG48,$AL$4:$AS$15,4)</f>
        <v>#VALUE!</v>
      </c>
      <c r="AS48" s="369" t="e">
        <f aca="false">(AL48+AM48+AN48)</f>
        <v>#VALUE!</v>
      </c>
      <c r="AT48" s="370" t="e">
        <f aca="false">VLOOKUP(D48,CurveTbl,$AK$6)</f>
        <v>#VALUE!</v>
      </c>
      <c r="AU48" s="370" t="e">
        <f aca="false">(1+$AT48/2)^(-2*($D48-$G$5)/365.25)*$AF48</f>
        <v>#VALUE!</v>
      </c>
      <c r="AV48" s="506" t="e">
        <f aca="false">ROUND((F48/(1-AR48))-F48,0)*AF48*AH48*AU48</f>
        <v>#VALUE!</v>
      </c>
      <c r="AW48" s="370" t="e">
        <f aca="false">VLOOKUP($D48,CurveTbl,$AK$8)</f>
        <v>#VALUE!</v>
      </c>
      <c r="AX48" s="370" t="e">
        <f aca="false">VLOOKUP($D48,CurveTbl,$AH$7)</f>
        <v>#VALUE!</v>
      </c>
      <c r="AY48" s="370" t="e">
        <f aca="false">VLOOKUP($D48,CurveTbl,$AH$8)</f>
        <v>#VALUE!</v>
      </c>
      <c r="AZ48" s="370"/>
      <c r="BA48" s="507"/>
      <c r="BB48" s="505" t="e">
        <f aca="false">$H48-$BV48</f>
        <v>#VALUE!</v>
      </c>
      <c r="BC48" s="505" t="e">
        <f aca="false">I48-BW48</f>
        <v>#VALUE!</v>
      </c>
      <c r="BD48" s="370" t="e">
        <f aca="false">N48-BX48</f>
        <v>#VALUE!</v>
      </c>
      <c r="BE48" s="370" t="e">
        <f aca="false">O48-BY48</f>
        <v>#VALUE!</v>
      </c>
      <c r="BF48" s="370" t="e">
        <f aca="false">xSPRDOPT($BW48,$BV48,$CG48,0,$BY48,$BX48,$BZ48,$AJ48,1,4)*$CB48</f>
        <v>#NAME?</v>
      </c>
      <c r="BG48" s="370" t="e">
        <f aca="false">xSPRDOPT($BW48,$BV48,$CG48,0,$BY48,$BX48,$BZ48,$AJ48,1,3)*$CB48</f>
        <v>#NAME?</v>
      </c>
      <c r="BH48" s="370" t="e">
        <f aca="false">IF(OR(BF48&lt;&gt;0,BG48&lt;&gt;0),xSPRDOPT($BW48,$BV48,$CG48,0,$BY48,$BX48,$BZ48,$AJ48,1,12)*$CB48,0)</f>
        <v>#NAME?</v>
      </c>
      <c r="BI48" s="370" t="e">
        <f aca="false">xSPRDOPT($BW48,$BV48,$CG48,2*LN(1+CA48/2),$BY48,$BX48,$BZ48,$AJ48,1,9)</f>
        <v>#NAME?</v>
      </c>
      <c r="BJ48" s="370" t="e">
        <f aca="false">xSPRDOPT($BW48,$BV48,$CG48,0,$BY48,$BX48,$BZ48,$AJ48,1,6)*$CB48</f>
        <v>#NAME?</v>
      </c>
      <c r="BK48" s="370" t="e">
        <f aca="false">xSPRDOPT($BW48,$BV48,$CG48,0,$BY48,$BX48,$BZ48,$AJ48,1,5)*$CB48</f>
        <v>#NAME?</v>
      </c>
      <c r="BL48" s="370" t="e">
        <f aca="false">xSPRDOPT(BW48,BV48,CG48,0,BY48,BX48,BZ48,AJ48,1,2)*CB48</f>
        <v>#NAME?</v>
      </c>
      <c r="BM48" s="370" t="e">
        <f aca="false">xSPRDOPT(BW48,BV48,CG48,0,BY48,BX48,BZ48,AJ48,1,1)*CB48</f>
        <v>#NAME?</v>
      </c>
      <c r="BN48" s="370" t="e">
        <f aca="false">IF(AH48&lt;&gt;0,xSPRDOPT($BW48,$BV48,$CG48,2*LN(1+CA48/2),$BY48,$BX48,$BZ48,$AJ48,1,8)+(AJ48/365.25)*CH48/AH48,0)</f>
        <v>#VALUE!</v>
      </c>
      <c r="BO48" s="370" t="e">
        <f aca="false">xSPRDOPT($BW48,$BV48,$CG48,0,$BY48,$BX48,$BZ48,$AJ48,1,0)</f>
        <v>#NAME?</v>
      </c>
      <c r="BP48" s="370"/>
      <c r="BQ48" s="370"/>
      <c r="BR48" s="370"/>
      <c r="BS48" s="370"/>
      <c r="BV48" s="508" t="n">
        <v>3.44578313253012</v>
      </c>
      <c r="BW48" s="369" t="n">
        <v>3.467</v>
      </c>
      <c r="BX48" s="370" t="n">
        <v>0.37</v>
      </c>
      <c r="BY48" s="370" t="n">
        <v>0.37</v>
      </c>
      <c r="BZ48" s="370" t="n">
        <v>0</v>
      </c>
      <c r="CA48" s="370" t="n">
        <v>0.0348361539671314</v>
      </c>
      <c r="CB48" s="370" t="n">
        <v>0</v>
      </c>
      <c r="CC48" s="505" t="n">
        <v>0</v>
      </c>
      <c r="CD48" s="505" t="n">
        <v>0.03</v>
      </c>
      <c r="CE48" s="505" t="n">
        <v>0.065</v>
      </c>
      <c r="CF48" s="505" t="n">
        <v>0</v>
      </c>
      <c r="CG48" s="505" t="n">
        <v>0.0006</v>
      </c>
      <c r="CH48" s="505" t="n">
        <v>0</v>
      </c>
      <c r="CI48" s="505" t="n">
        <v>3.402</v>
      </c>
      <c r="CJ48" s="505"/>
      <c r="CK48" s="505"/>
      <c r="CL48" s="505"/>
      <c r="CM48" s="505"/>
    </row>
    <row r="49" customFormat="false" ht="12.75" hidden="false" customHeight="false" outlineLevel="0" collapsed="false">
      <c r="A49" s="500"/>
      <c r="B49" s="500"/>
      <c r="D49" s="361" t="e">
        <f aca="false">D48+AH48</f>
        <v>#VALUE!</v>
      </c>
      <c r="F49" s="362" t="e">
        <f aca="false">VLOOKUP(AG49,$AL$4:$AS$15,2)</f>
        <v>#VALUE!</v>
      </c>
      <c r="G49" s="362" t="e">
        <f aca="false">F49*$AU49</f>
        <v>#VALUE!</v>
      </c>
      <c r="H49" s="363" t="e">
        <f aca="false">(AL49+AM49+AN49)/(1-(AR49))</f>
        <v>#VALUE!</v>
      </c>
      <c r="I49" s="363" t="e">
        <f aca="false">(AL49+AO49+AP49)</f>
        <v>#VALUE!</v>
      </c>
      <c r="K49" s="363" t="e">
        <f aca="false">MAX(((I49-H49)-AQ49)*AU49*AH49,0)</f>
        <v>#VALUE!</v>
      </c>
      <c r="L49" s="501" t="e">
        <f aca="false">MAX(Q49-K49,0)</f>
        <v>#VALUE!</v>
      </c>
      <c r="N49" s="502" t="e">
        <f aca="false">SQRT(($AX49^2*($AH49/2)+$AW49^2*$AI49)/(($AH49/2)+$AI49))</f>
        <v>#VALUE!</v>
      </c>
      <c r="O49" s="502" t="e">
        <f aca="false">SQRT(($AY49^2*($AH49/2)+$AW49^2*$AI49)/(($AH49/2)+$AI49))</f>
        <v>#VALUE!</v>
      </c>
      <c r="P49" s="371" t="e">
        <f aca="false">(VLOOKUP(AI49,CorrelationTwo,2)*(AW49^2)*AI49+VLOOKUP(D49,CorrelationOne,$AK$9)*AX49*AY49*(AH49/2))/((AI49+(AH49/2))*O49*N49)*AF49</f>
        <v>#VALUE!</v>
      </c>
      <c r="Q49" s="501" t="e">
        <f aca="false">xSPRDOPT(I49,H49,AQ49,0,O49,N49,P49,D49-$G$5,1,0)*AH49*AU49</f>
        <v>#VALUE!</v>
      </c>
      <c r="R49" s="501"/>
      <c r="S49" s="365" t="e">
        <f aca="false">xSPRDOPT(I49,H49,AQ49,AT49,O49,N49,P49,D49-$G$5,1,2)*AF49*(F49/(1-AR49))*AH49</f>
        <v>#VALUE!</v>
      </c>
      <c r="T49" s="365" t="e">
        <f aca="false">xSPRDOPT(I49,H49,AQ49,AT49,O49,N49,P49,D49-$G$5,1,1)*AF49*F49*AH49</f>
        <v>#VALUE!</v>
      </c>
      <c r="U49" s="501"/>
      <c r="V49" s="503" t="e">
        <f aca="false">VLOOKUP($AG49,$AL$4:$AS$15,8)*AH49*AU49</f>
        <v>#VALUE!</v>
      </c>
      <c r="W49" s="503"/>
      <c r="X49" s="504" t="e">
        <f aca="false">((BM49*BC49)+(BL49*BB49))*AH49*F49</f>
        <v>#VALUE!</v>
      </c>
      <c r="Y49" s="504" t="e">
        <f aca="false">($F49*$AH49)*((($BG49/2)*($BC49)^2)+(($BF49/2)*($BB49)^2)+($BH49*$BC49*$BB49))</f>
        <v>#VALUE!</v>
      </c>
      <c r="Z49" s="504" t="e">
        <f aca="false">($BI49*$F49*$AH49*($G$5-$BV$5))/365.25</f>
        <v>#VALUE!</v>
      </c>
      <c r="AA49" s="504" t="e">
        <f aca="false">(($BK49*$BE49)+($BJ49*$BD49))*$F49*$AH49*$AF49</f>
        <v>#VALUE!</v>
      </c>
      <c r="AB49" s="504" t="e">
        <f aca="false">BN49*(AT49-CA49)*F49*AH49</f>
        <v>#VALUE!</v>
      </c>
      <c r="AC49" s="504" t="e">
        <f aca="false">BO49*CB49*F49*AH49*CA49*($G$5-$BV$5)/365.25</f>
        <v>#NAME?</v>
      </c>
      <c r="AF49" s="378" t="e">
        <f aca="false">IF(AND(D49&gt;=$G$7,D49&lt;=$G$8),1,0)</f>
        <v>#VALUE!</v>
      </c>
      <c r="AG49" s="378" t="e">
        <f aca="false">MONTH(D49)</f>
        <v>#VALUE!</v>
      </c>
      <c r="AH49" s="378" t="e">
        <f aca="false">(EOMONTH(D49,0)-EOMONTH(D49-DAY(D49),0))*AF49</f>
        <v>#VALUE!</v>
      </c>
      <c r="AI49" s="378" t="e">
        <f aca="false">AI48+AH48</f>
        <v>#VALUE!</v>
      </c>
      <c r="AJ49" s="378" t="e">
        <f aca="false">D49-$BV$5</f>
        <v>#VALUE!</v>
      </c>
      <c r="AL49" s="369" t="e">
        <f aca="false">VLOOKUP($D49,CurveTbl,$AK$4)</f>
        <v>#VALUE!</v>
      </c>
      <c r="AM49" s="505" t="e">
        <f aca="false">VLOOKUP($D49,CurveTbl,$AH$3)</f>
        <v>#VALUE!</v>
      </c>
      <c r="AN49" s="505" t="e">
        <f aca="false">VLOOKUP($D49,CurveTbl,$AH$4)+VLOOKUP($AG49,$AL$3:$AS$15,6)</f>
        <v>#VALUE!</v>
      </c>
      <c r="AO49" s="505" t="e">
        <f aca="false">VLOOKUP($D49,CurveTbl,$AH$5)</f>
        <v>#VALUE!</v>
      </c>
      <c r="AP49" s="505" t="e">
        <f aca="false">VLOOKUP($D49,CurveTbl,$AH$6)+VLOOKUP($AG49,$AL$3:$AS$15,7)</f>
        <v>#VALUE!</v>
      </c>
      <c r="AQ49" s="369" t="e">
        <f aca="false">VLOOKUP($AG49,$AL$4:$AS$15,3)+VLOOKUP($AG49,$AL$4:$AS$15,5)+($AH$10*VLOOKUP(D49,GRITable,2))</f>
        <v>#VALUE!</v>
      </c>
      <c r="AR49" s="370" t="e">
        <f aca="false">VLOOKUP($AG49,$AL$4:$AS$15,4)</f>
        <v>#VALUE!</v>
      </c>
      <c r="AS49" s="369" t="e">
        <f aca="false">(AL49+AM49+AN49)</f>
        <v>#VALUE!</v>
      </c>
      <c r="AT49" s="370" t="e">
        <f aca="false">VLOOKUP(D49,CurveTbl,$AK$6)</f>
        <v>#VALUE!</v>
      </c>
      <c r="AU49" s="370" t="e">
        <f aca="false">(1+$AT49/2)^(-2*($D49-$G$5)/365.25)*$AF49</f>
        <v>#VALUE!</v>
      </c>
      <c r="AV49" s="506" t="e">
        <f aca="false">ROUND((F49/(1-AR49))-F49,0)*AF49*AH49*AU49</f>
        <v>#VALUE!</v>
      </c>
      <c r="AW49" s="370" t="e">
        <f aca="false">VLOOKUP($D49,CurveTbl,$AK$8)</f>
        <v>#VALUE!</v>
      </c>
      <c r="AX49" s="370" t="e">
        <f aca="false">VLOOKUP($D49,CurveTbl,$AH$7)</f>
        <v>#VALUE!</v>
      </c>
      <c r="AY49" s="370" t="e">
        <f aca="false">VLOOKUP($D49,CurveTbl,$AH$8)</f>
        <v>#VALUE!</v>
      </c>
      <c r="AZ49" s="370"/>
      <c r="BA49" s="507"/>
      <c r="BB49" s="505" t="e">
        <f aca="false">$H49-$BV49</f>
        <v>#VALUE!</v>
      </c>
      <c r="BC49" s="505" t="e">
        <f aca="false">I49-BW49</f>
        <v>#VALUE!</v>
      </c>
      <c r="BD49" s="370" t="e">
        <f aca="false">N49-BX49</f>
        <v>#VALUE!</v>
      </c>
      <c r="BE49" s="370" t="e">
        <f aca="false">O49-BY49</f>
        <v>#VALUE!</v>
      </c>
      <c r="BF49" s="370" t="e">
        <f aca="false">xSPRDOPT($BW49,$BV49,$CG49,0,$BY49,$BX49,$BZ49,$AJ49,1,4)*$CB49</f>
        <v>#NAME?</v>
      </c>
      <c r="BG49" s="370" t="e">
        <f aca="false">xSPRDOPT($BW49,$BV49,$CG49,0,$BY49,$BX49,$BZ49,$AJ49,1,3)*$CB49</f>
        <v>#NAME?</v>
      </c>
      <c r="BH49" s="370" t="e">
        <f aca="false">IF(OR(BF49&lt;&gt;0,BG49&lt;&gt;0),xSPRDOPT($BW49,$BV49,$CG49,0,$BY49,$BX49,$BZ49,$AJ49,1,12)*$CB49,0)</f>
        <v>#NAME?</v>
      </c>
      <c r="BI49" s="370" t="e">
        <f aca="false">xSPRDOPT($BW49,$BV49,$CG49,2*LN(1+CA49/2),$BY49,$BX49,$BZ49,$AJ49,1,9)</f>
        <v>#NAME?</v>
      </c>
      <c r="BJ49" s="370" t="e">
        <f aca="false">xSPRDOPT($BW49,$BV49,$CG49,0,$BY49,$BX49,$BZ49,$AJ49,1,6)*$CB49</f>
        <v>#NAME?</v>
      </c>
      <c r="BK49" s="370" t="e">
        <f aca="false">xSPRDOPT($BW49,$BV49,$CG49,0,$BY49,$BX49,$BZ49,$AJ49,1,5)*$CB49</f>
        <v>#NAME?</v>
      </c>
      <c r="BL49" s="370" t="e">
        <f aca="false">xSPRDOPT(BW49,BV49,CG49,0,BY49,BX49,BZ49,AJ49,1,2)*CB49</f>
        <v>#NAME?</v>
      </c>
      <c r="BM49" s="370" t="e">
        <f aca="false">xSPRDOPT(BW49,BV49,CG49,0,BY49,BX49,BZ49,AJ49,1,1)*CB49</f>
        <v>#NAME?</v>
      </c>
      <c r="BN49" s="370" t="e">
        <f aca="false">IF(AH49&lt;&gt;0,xSPRDOPT($BW49,$BV49,$CG49,2*LN(1+CA49/2),$BY49,$BX49,$BZ49,$AJ49,1,8)+(AJ49/365.25)*CH49/AH49,0)</f>
        <v>#VALUE!</v>
      </c>
      <c r="BO49" s="370" t="e">
        <f aca="false">xSPRDOPT($BW49,$BV49,$CG49,0,$BY49,$BX49,$BZ49,$AJ49,1,0)</f>
        <v>#NAME?</v>
      </c>
      <c r="BP49" s="370"/>
      <c r="BQ49" s="370"/>
      <c r="BR49" s="370"/>
      <c r="BS49" s="370"/>
      <c r="BV49" s="508" t="n">
        <v>3.44578313253012</v>
      </c>
      <c r="BW49" s="369" t="n">
        <v>3.467</v>
      </c>
      <c r="BX49" s="370" t="n">
        <v>0.37</v>
      </c>
      <c r="BY49" s="370" t="n">
        <v>0.37</v>
      </c>
      <c r="BZ49" s="370" t="n">
        <v>0</v>
      </c>
      <c r="CA49" s="370" t="n">
        <v>0.0348361539671314</v>
      </c>
      <c r="CB49" s="370" t="n">
        <v>0</v>
      </c>
      <c r="CC49" s="505" t="n">
        <v>0</v>
      </c>
      <c r="CD49" s="505" t="n">
        <v>0.03</v>
      </c>
      <c r="CE49" s="505" t="n">
        <v>0.065</v>
      </c>
      <c r="CF49" s="505" t="n">
        <v>0</v>
      </c>
      <c r="CG49" s="505" t="n">
        <v>0.0006</v>
      </c>
      <c r="CH49" s="505" t="n">
        <v>0</v>
      </c>
      <c r="CI49" s="505" t="n">
        <v>3.402</v>
      </c>
      <c r="CJ49" s="505"/>
      <c r="CK49" s="505"/>
      <c r="CL49" s="505"/>
      <c r="CM49" s="505"/>
    </row>
    <row r="50" customFormat="false" ht="12.75" hidden="false" customHeight="false" outlineLevel="0" collapsed="false">
      <c r="A50" s="500"/>
      <c r="B50" s="500"/>
      <c r="D50" s="361" t="e">
        <f aca="false">D49+AH49</f>
        <v>#VALUE!</v>
      </c>
      <c r="F50" s="362" t="e">
        <f aca="false">VLOOKUP(AG50,$AL$4:$AS$15,2)</f>
        <v>#VALUE!</v>
      </c>
      <c r="G50" s="362" t="e">
        <f aca="false">F50*$AU50</f>
        <v>#VALUE!</v>
      </c>
      <c r="H50" s="363" t="e">
        <f aca="false">(AL50+AM50+AN50)/(1-(AR50))</f>
        <v>#VALUE!</v>
      </c>
      <c r="I50" s="363" t="e">
        <f aca="false">(AL50+AO50+AP50)</f>
        <v>#VALUE!</v>
      </c>
      <c r="K50" s="363" t="e">
        <f aca="false">MAX(((I50-H50)-AQ50)*AU50*AH50,0)</f>
        <v>#VALUE!</v>
      </c>
      <c r="L50" s="501" t="e">
        <f aca="false">MAX(Q50-K50,0)</f>
        <v>#VALUE!</v>
      </c>
      <c r="N50" s="502" t="e">
        <f aca="false">SQRT(($AX50^2*($AH50/2)+$AW50^2*$AI50)/(($AH50/2)+$AI50))</f>
        <v>#VALUE!</v>
      </c>
      <c r="O50" s="502" t="e">
        <f aca="false">SQRT(($AY50^2*($AH50/2)+$AW50^2*$AI50)/(($AH50/2)+$AI50))</f>
        <v>#VALUE!</v>
      </c>
      <c r="P50" s="371" t="e">
        <f aca="false">(VLOOKUP(AI50,CorrelationTwo,2)*(AW50^2)*AI50+VLOOKUP(D50,CorrelationOne,$AK$9)*AX50*AY50*(AH50/2))/((AI50+(AH50/2))*O50*N50)*AF50</f>
        <v>#VALUE!</v>
      </c>
      <c r="Q50" s="501" t="e">
        <f aca="false">xSPRDOPT(I50,H50,AQ50,0,O50,N50,P50,D50-$G$5,1,0)*AH50*AU50</f>
        <v>#VALUE!</v>
      </c>
      <c r="R50" s="501"/>
      <c r="S50" s="365" t="e">
        <f aca="false">xSPRDOPT(I50,H50,AQ50,AT50,O50,N50,P50,D50-$G$5,1,2)*AF50*(F50/(1-AR50))*AH50</f>
        <v>#VALUE!</v>
      </c>
      <c r="T50" s="365" t="e">
        <f aca="false">xSPRDOPT(I50,H50,AQ50,AT50,O50,N50,P50,D50-$G$5,1,1)*AF50*F50*AH50</f>
        <v>#VALUE!</v>
      </c>
      <c r="U50" s="501"/>
      <c r="V50" s="503" t="e">
        <f aca="false">VLOOKUP($AG50,$AL$4:$AS$15,8)*AH50*AU50</f>
        <v>#VALUE!</v>
      </c>
      <c r="W50" s="503"/>
      <c r="X50" s="504" t="e">
        <f aca="false">((BM50*BC50)+(BL50*BB50))*AH50*F50</f>
        <v>#VALUE!</v>
      </c>
      <c r="Y50" s="504" t="e">
        <f aca="false">($F50*$AH50)*((($BG50/2)*($BC50)^2)+(($BF50/2)*($BB50)^2)+($BH50*$BC50*$BB50))</f>
        <v>#VALUE!</v>
      </c>
      <c r="Z50" s="504" t="e">
        <f aca="false">($BI50*$F50*$AH50*($G$5-$BV$5))/365.25</f>
        <v>#VALUE!</v>
      </c>
      <c r="AA50" s="504" t="e">
        <f aca="false">(($BK50*$BE50)+($BJ50*$BD50))*$F50*$AH50*$AF50</f>
        <v>#VALUE!</v>
      </c>
      <c r="AB50" s="504" t="e">
        <f aca="false">BN50*(AT50-CA50)*F50*AH50</f>
        <v>#VALUE!</v>
      </c>
      <c r="AC50" s="504" t="e">
        <f aca="false">BO50*CB50*F50*AH50*CA50*($G$5-$BV$5)/365.25</f>
        <v>#NAME?</v>
      </c>
      <c r="AF50" s="378" t="e">
        <f aca="false">IF(AND(D50&gt;=$G$7,D50&lt;=$G$8),1,0)</f>
        <v>#VALUE!</v>
      </c>
      <c r="AG50" s="378" t="e">
        <f aca="false">MONTH(D50)</f>
        <v>#VALUE!</v>
      </c>
      <c r="AH50" s="378" t="e">
        <f aca="false">(EOMONTH(D50,0)-EOMONTH(D50-DAY(D50),0))*AF50</f>
        <v>#VALUE!</v>
      </c>
      <c r="AI50" s="378" t="e">
        <f aca="false">AI49+AH49</f>
        <v>#VALUE!</v>
      </c>
      <c r="AJ50" s="378" t="e">
        <f aca="false">D50-$BV$5</f>
        <v>#VALUE!</v>
      </c>
      <c r="AL50" s="369" t="e">
        <f aca="false">VLOOKUP($D50,CurveTbl,$AK$4)</f>
        <v>#VALUE!</v>
      </c>
      <c r="AM50" s="505" t="e">
        <f aca="false">VLOOKUP($D50,CurveTbl,$AH$3)</f>
        <v>#VALUE!</v>
      </c>
      <c r="AN50" s="505" t="e">
        <f aca="false">VLOOKUP($D50,CurveTbl,$AH$4)+VLOOKUP($AG50,$AL$3:$AS$15,6)</f>
        <v>#VALUE!</v>
      </c>
      <c r="AO50" s="505" t="e">
        <f aca="false">VLOOKUP($D50,CurveTbl,$AH$5)</f>
        <v>#VALUE!</v>
      </c>
      <c r="AP50" s="505" t="e">
        <f aca="false">VLOOKUP($D50,CurveTbl,$AH$6)+VLOOKUP($AG50,$AL$3:$AS$15,7)</f>
        <v>#VALUE!</v>
      </c>
      <c r="AQ50" s="369" t="e">
        <f aca="false">VLOOKUP($AG50,$AL$4:$AS$15,3)+VLOOKUP($AG50,$AL$4:$AS$15,5)+($AH$10*VLOOKUP(D50,GRITable,2))</f>
        <v>#VALUE!</v>
      </c>
      <c r="AR50" s="370" t="e">
        <f aca="false">VLOOKUP($AG50,$AL$4:$AS$15,4)</f>
        <v>#VALUE!</v>
      </c>
      <c r="AS50" s="369" t="e">
        <f aca="false">(AL50+AM50+AN50)</f>
        <v>#VALUE!</v>
      </c>
      <c r="AT50" s="370" t="e">
        <f aca="false">VLOOKUP(D50,CurveTbl,$AK$6)</f>
        <v>#VALUE!</v>
      </c>
      <c r="AU50" s="370" t="e">
        <f aca="false">(1+$AT50/2)^(-2*($D50-$G$5)/365.25)*$AF50</f>
        <v>#VALUE!</v>
      </c>
      <c r="AV50" s="506" t="e">
        <f aca="false">ROUND((F50/(1-AR50))-F50,0)*AF50*AH50*AU50</f>
        <v>#VALUE!</v>
      </c>
      <c r="AW50" s="370" t="e">
        <f aca="false">VLOOKUP($D50,CurveTbl,$AK$8)</f>
        <v>#VALUE!</v>
      </c>
      <c r="AX50" s="370" t="e">
        <f aca="false">VLOOKUP($D50,CurveTbl,$AH$7)</f>
        <v>#VALUE!</v>
      </c>
      <c r="AY50" s="370" t="e">
        <f aca="false">VLOOKUP($D50,CurveTbl,$AH$8)</f>
        <v>#VALUE!</v>
      </c>
      <c r="AZ50" s="370"/>
      <c r="BA50" s="507"/>
      <c r="BB50" s="505" t="e">
        <f aca="false">$H50-$BV50</f>
        <v>#VALUE!</v>
      </c>
      <c r="BC50" s="505" t="e">
        <f aca="false">I50-BW50</f>
        <v>#VALUE!</v>
      </c>
      <c r="BD50" s="370" t="e">
        <f aca="false">N50-BX50</f>
        <v>#VALUE!</v>
      </c>
      <c r="BE50" s="370" t="e">
        <f aca="false">O50-BY50</f>
        <v>#VALUE!</v>
      </c>
      <c r="BF50" s="370" t="e">
        <f aca="false">xSPRDOPT($BW50,$BV50,$CG50,0,$BY50,$BX50,$BZ50,$AJ50,1,4)*$CB50</f>
        <v>#NAME?</v>
      </c>
      <c r="BG50" s="370" t="e">
        <f aca="false">xSPRDOPT($BW50,$BV50,$CG50,0,$BY50,$BX50,$BZ50,$AJ50,1,3)*$CB50</f>
        <v>#NAME?</v>
      </c>
      <c r="BH50" s="370" t="e">
        <f aca="false">IF(OR(BF50&lt;&gt;0,BG50&lt;&gt;0),xSPRDOPT($BW50,$BV50,$CG50,0,$BY50,$BX50,$BZ50,$AJ50,1,12)*$CB50,0)</f>
        <v>#NAME?</v>
      </c>
      <c r="BI50" s="370" t="e">
        <f aca="false">xSPRDOPT($BW50,$BV50,$CG50,2*LN(1+CA50/2),$BY50,$BX50,$BZ50,$AJ50,1,9)</f>
        <v>#NAME?</v>
      </c>
      <c r="BJ50" s="370" t="e">
        <f aca="false">xSPRDOPT($BW50,$BV50,$CG50,0,$BY50,$BX50,$BZ50,$AJ50,1,6)*$CB50</f>
        <v>#NAME?</v>
      </c>
      <c r="BK50" s="370" t="e">
        <f aca="false">xSPRDOPT($BW50,$BV50,$CG50,0,$BY50,$BX50,$BZ50,$AJ50,1,5)*$CB50</f>
        <v>#NAME?</v>
      </c>
      <c r="BL50" s="370" t="e">
        <f aca="false">xSPRDOPT(BW50,BV50,CG50,0,BY50,BX50,BZ50,AJ50,1,2)*CB50</f>
        <v>#NAME?</v>
      </c>
      <c r="BM50" s="370" t="e">
        <f aca="false">xSPRDOPT(BW50,BV50,CG50,0,BY50,BX50,BZ50,AJ50,1,1)*CB50</f>
        <v>#NAME?</v>
      </c>
      <c r="BN50" s="370" t="e">
        <f aca="false">IF(AH50&lt;&gt;0,xSPRDOPT($BW50,$BV50,$CG50,2*LN(1+CA50/2),$BY50,$BX50,$BZ50,$AJ50,1,8)+(AJ50/365.25)*CH50/AH50,0)</f>
        <v>#VALUE!</v>
      </c>
      <c r="BO50" s="370" t="e">
        <f aca="false">xSPRDOPT($BW50,$BV50,$CG50,0,$BY50,$BX50,$BZ50,$AJ50,1,0)</f>
        <v>#NAME?</v>
      </c>
      <c r="BP50" s="370"/>
      <c r="BQ50" s="370"/>
      <c r="BR50" s="370"/>
      <c r="BS50" s="370"/>
      <c r="BV50" s="508" t="n">
        <v>3.44578313253012</v>
      </c>
      <c r="BW50" s="369" t="n">
        <v>3.467</v>
      </c>
      <c r="BX50" s="370" t="n">
        <v>0.37</v>
      </c>
      <c r="BY50" s="370" t="n">
        <v>0.37</v>
      </c>
      <c r="BZ50" s="370" t="n">
        <v>0</v>
      </c>
      <c r="CA50" s="370" t="n">
        <v>0.0348361539671314</v>
      </c>
      <c r="CB50" s="370" t="n">
        <v>0</v>
      </c>
      <c r="CC50" s="505" t="n">
        <v>0</v>
      </c>
      <c r="CD50" s="505" t="n">
        <v>0.03</v>
      </c>
      <c r="CE50" s="505" t="n">
        <v>0.065</v>
      </c>
      <c r="CF50" s="505" t="n">
        <v>0</v>
      </c>
      <c r="CG50" s="505" t="n">
        <v>0.0006</v>
      </c>
      <c r="CH50" s="505" t="n">
        <v>0</v>
      </c>
      <c r="CI50" s="505" t="n">
        <v>3.402</v>
      </c>
      <c r="CJ50" s="505"/>
      <c r="CK50" s="505"/>
      <c r="CL50" s="505"/>
      <c r="CM50" s="505"/>
    </row>
    <row r="51" customFormat="false" ht="12.75" hidden="false" customHeight="false" outlineLevel="0" collapsed="false">
      <c r="A51" s="500"/>
      <c r="B51" s="500"/>
      <c r="D51" s="361" t="e">
        <f aca="false">D50+AH50</f>
        <v>#VALUE!</v>
      </c>
      <c r="F51" s="362" t="e">
        <f aca="false">VLOOKUP(AG51,$AL$4:$AS$15,2)</f>
        <v>#VALUE!</v>
      </c>
      <c r="G51" s="362" t="e">
        <f aca="false">F51*$AU51</f>
        <v>#VALUE!</v>
      </c>
      <c r="H51" s="363" t="e">
        <f aca="false">(AL51+AM51+AN51)/(1-(AR51))</f>
        <v>#VALUE!</v>
      </c>
      <c r="I51" s="363" t="e">
        <f aca="false">(AL51+AO51+AP51)</f>
        <v>#VALUE!</v>
      </c>
      <c r="K51" s="363" t="e">
        <f aca="false">MAX(((I51-H51)-AQ51)*AU51*AH51,0)</f>
        <v>#VALUE!</v>
      </c>
      <c r="L51" s="501" t="e">
        <f aca="false">MAX(Q51-K51,0)</f>
        <v>#VALUE!</v>
      </c>
      <c r="N51" s="502" t="e">
        <f aca="false">SQRT(($AX51^2*($AH51/2)+$AW51^2*$AI51)/(($AH51/2)+$AI51))</f>
        <v>#VALUE!</v>
      </c>
      <c r="O51" s="502" t="e">
        <f aca="false">SQRT(($AY51^2*($AH51/2)+$AW51^2*$AI51)/(($AH51/2)+$AI51))</f>
        <v>#VALUE!</v>
      </c>
      <c r="P51" s="371" t="e">
        <f aca="false">(VLOOKUP(AI51,CorrelationTwo,2)*(AW51^2)*AI51+VLOOKUP(D51,CorrelationOne,$AK$9)*AX51*AY51*(AH51/2))/((AI51+(AH51/2))*O51*N51)*AF51</f>
        <v>#VALUE!</v>
      </c>
      <c r="Q51" s="501" t="e">
        <f aca="false">xSPRDOPT(I51,H51,AQ51,0,O51,N51,P51,D51-$G$5,1,0)*AH51*AU51</f>
        <v>#VALUE!</v>
      </c>
      <c r="R51" s="501"/>
      <c r="S51" s="365" t="e">
        <f aca="false">xSPRDOPT(I51,H51,AQ51,AT51,O51,N51,P51,D51-$G$5,1,2)*AF51*(F51/(1-AR51))*AH51</f>
        <v>#VALUE!</v>
      </c>
      <c r="T51" s="365" t="e">
        <f aca="false">xSPRDOPT(I51,H51,AQ51,AT51,O51,N51,P51,D51-$G$5,1,1)*AF51*F51*AH51</f>
        <v>#VALUE!</v>
      </c>
      <c r="U51" s="501"/>
      <c r="V51" s="503" t="e">
        <f aca="false">VLOOKUP($AG51,$AL$4:$AS$15,8)*AH51*AU51</f>
        <v>#VALUE!</v>
      </c>
      <c r="W51" s="503"/>
      <c r="X51" s="504" t="e">
        <f aca="false">((BM51*BC51)+(BL51*BB51))*AH51*F51</f>
        <v>#VALUE!</v>
      </c>
      <c r="Y51" s="504" t="e">
        <f aca="false">($F51*$AH51)*((($BG51/2)*($BC51)^2)+(($BF51/2)*($BB51)^2)+($BH51*$BC51*$BB51))</f>
        <v>#VALUE!</v>
      </c>
      <c r="Z51" s="504" t="e">
        <f aca="false">($BI51*$F51*$AH51*($G$5-$BV$5))/365.25</f>
        <v>#VALUE!</v>
      </c>
      <c r="AA51" s="504" t="e">
        <f aca="false">(($BK51*$BE51)+($BJ51*$BD51))*$F51*$AH51*$AF51</f>
        <v>#VALUE!</v>
      </c>
      <c r="AB51" s="504" t="e">
        <f aca="false">BN51*(AT51-CA51)*F51*AH51</f>
        <v>#VALUE!</v>
      </c>
      <c r="AC51" s="504" t="e">
        <f aca="false">BO51*CB51*F51*AH51*CA51*($G$5-$BV$5)/365.25</f>
        <v>#NAME?</v>
      </c>
      <c r="AF51" s="378" t="e">
        <f aca="false">IF(AND(D51&gt;=$G$7,D51&lt;=$G$8),1,0)</f>
        <v>#VALUE!</v>
      </c>
      <c r="AG51" s="378" t="e">
        <f aca="false">MONTH(D51)</f>
        <v>#VALUE!</v>
      </c>
      <c r="AH51" s="378" t="e">
        <f aca="false">(EOMONTH(D51,0)-EOMONTH(D51-DAY(D51),0))*AF51</f>
        <v>#VALUE!</v>
      </c>
      <c r="AI51" s="378" t="e">
        <f aca="false">AI50+AH50</f>
        <v>#VALUE!</v>
      </c>
      <c r="AJ51" s="378" t="e">
        <f aca="false">D51-$BV$5</f>
        <v>#VALUE!</v>
      </c>
      <c r="AL51" s="369" t="e">
        <f aca="false">VLOOKUP($D51,CurveTbl,$AK$4)</f>
        <v>#VALUE!</v>
      </c>
      <c r="AM51" s="505" t="e">
        <f aca="false">VLOOKUP($D51,CurveTbl,$AH$3)</f>
        <v>#VALUE!</v>
      </c>
      <c r="AN51" s="505" t="e">
        <f aca="false">VLOOKUP($D51,CurveTbl,$AH$4)+VLOOKUP($AG51,$AL$3:$AS$15,6)</f>
        <v>#VALUE!</v>
      </c>
      <c r="AO51" s="505" t="e">
        <f aca="false">VLOOKUP($D51,CurveTbl,$AH$5)</f>
        <v>#VALUE!</v>
      </c>
      <c r="AP51" s="505" t="e">
        <f aca="false">VLOOKUP($D51,CurveTbl,$AH$6)+VLOOKUP($AG51,$AL$3:$AS$15,7)</f>
        <v>#VALUE!</v>
      </c>
      <c r="AQ51" s="369" t="e">
        <f aca="false">VLOOKUP($AG51,$AL$4:$AS$15,3)+VLOOKUP($AG51,$AL$4:$AS$15,5)+($AH$10*VLOOKUP(D51,GRITable,2))</f>
        <v>#VALUE!</v>
      </c>
      <c r="AR51" s="370" t="e">
        <f aca="false">VLOOKUP($AG51,$AL$4:$AS$15,4)</f>
        <v>#VALUE!</v>
      </c>
      <c r="AS51" s="369" t="e">
        <f aca="false">(AL51+AM51+AN51)</f>
        <v>#VALUE!</v>
      </c>
      <c r="AT51" s="370" t="e">
        <f aca="false">VLOOKUP(D51,CurveTbl,$AK$6)</f>
        <v>#VALUE!</v>
      </c>
      <c r="AU51" s="370" t="e">
        <f aca="false">(1+$AT51/2)^(-2*($D51-$G$5)/365.25)*$AF51</f>
        <v>#VALUE!</v>
      </c>
      <c r="AV51" s="506" t="e">
        <f aca="false">ROUND((F51/(1-AR51))-F51,0)*AF51*AH51*AU51</f>
        <v>#VALUE!</v>
      </c>
      <c r="AW51" s="370" t="e">
        <f aca="false">VLOOKUP($D51,CurveTbl,$AK$8)</f>
        <v>#VALUE!</v>
      </c>
      <c r="AX51" s="370" t="e">
        <f aca="false">VLOOKUP($D51,CurveTbl,$AH$7)</f>
        <v>#VALUE!</v>
      </c>
      <c r="AY51" s="370" t="e">
        <f aca="false">VLOOKUP($D51,CurveTbl,$AH$8)</f>
        <v>#VALUE!</v>
      </c>
      <c r="AZ51" s="370"/>
      <c r="BA51" s="507"/>
      <c r="BB51" s="505" t="e">
        <f aca="false">$H51-$BV51</f>
        <v>#VALUE!</v>
      </c>
      <c r="BC51" s="505" t="e">
        <f aca="false">I51-BW51</f>
        <v>#VALUE!</v>
      </c>
      <c r="BD51" s="370" t="e">
        <f aca="false">N51-BX51</f>
        <v>#VALUE!</v>
      </c>
      <c r="BE51" s="370" t="e">
        <f aca="false">O51-BY51</f>
        <v>#VALUE!</v>
      </c>
      <c r="BF51" s="370" t="e">
        <f aca="false">xSPRDOPT($BW51,$BV51,$CG51,0,$BY51,$BX51,$BZ51,$AJ51,1,4)*$CB51</f>
        <v>#NAME?</v>
      </c>
      <c r="BG51" s="370" t="e">
        <f aca="false">xSPRDOPT($BW51,$BV51,$CG51,0,$BY51,$BX51,$BZ51,$AJ51,1,3)*$CB51</f>
        <v>#NAME?</v>
      </c>
      <c r="BH51" s="370" t="e">
        <f aca="false">IF(OR(BF51&lt;&gt;0,BG51&lt;&gt;0),xSPRDOPT($BW51,$BV51,$CG51,0,$BY51,$BX51,$BZ51,$AJ51,1,12)*$CB51,0)</f>
        <v>#NAME?</v>
      </c>
      <c r="BI51" s="370" t="e">
        <f aca="false">xSPRDOPT($BW51,$BV51,$CG51,2*LN(1+CA51/2),$BY51,$BX51,$BZ51,$AJ51,1,9)</f>
        <v>#NAME?</v>
      </c>
      <c r="BJ51" s="370" t="e">
        <f aca="false">xSPRDOPT($BW51,$BV51,$CG51,0,$BY51,$BX51,$BZ51,$AJ51,1,6)*$CB51</f>
        <v>#NAME?</v>
      </c>
      <c r="BK51" s="370" t="e">
        <f aca="false">xSPRDOPT($BW51,$BV51,$CG51,0,$BY51,$BX51,$BZ51,$AJ51,1,5)*$CB51</f>
        <v>#NAME?</v>
      </c>
      <c r="BL51" s="370" t="e">
        <f aca="false">xSPRDOPT(BW51,BV51,CG51,0,BY51,BX51,BZ51,AJ51,1,2)*CB51</f>
        <v>#NAME?</v>
      </c>
      <c r="BM51" s="370" t="e">
        <f aca="false">xSPRDOPT(BW51,BV51,CG51,0,BY51,BX51,BZ51,AJ51,1,1)*CB51</f>
        <v>#NAME?</v>
      </c>
      <c r="BN51" s="370" t="e">
        <f aca="false">IF(AH51&lt;&gt;0,xSPRDOPT($BW51,$BV51,$CG51,2*LN(1+CA51/2),$BY51,$BX51,$BZ51,$AJ51,1,8)+(AJ51/365.25)*CH51/AH51,0)</f>
        <v>#VALUE!</v>
      </c>
      <c r="BO51" s="370" t="e">
        <f aca="false">xSPRDOPT($BW51,$BV51,$CG51,0,$BY51,$BX51,$BZ51,$AJ51,1,0)</f>
        <v>#NAME?</v>
      </c>
      <c r="BP51" s="370"/>
      <c r="BQ51" s="370"/>
      <c r="BR51" s="370"/>
      <c r="BS51" s="370"/>
      <c r="BV51" s="508" t="n">
        <v>3.44578313253012</v>
      </c>
      <c r="BW51" s="369" t="n">
        <v>3.467</v>
      </c>
      <c r="BX51" s="370" t="n">
        <v>0.37</v>
      </c>
      <c r="BY51" s="370" t="n">
        <v>0.37</v>
      </c>
      <c r="BZ51" s="370" t="n">
        <v>0</v>
      </c>
      <c r="CA51" s="370" t="n">
        <v>0.0348361539671314</v>
      </c>
      <c r="CB51" s="370" t="n">
        <v>0</v>
      </c>
      <c r="CC51" s="505" t="n">
        <v>0</v>
      </c>
      <c r="CD51" s="505" t="n">
        <v>0.03</v>
      </c>
      <c r="CE51" s="505" t="n">
        <v>0.065</v>
      </c>
      <c r="CF51" s="505" t="n">
        <v>0</v>
      </c>
      <c r="CG51" s="505" t="n">
        <v>0.0006</v>
      </c>
      <c r="CH51" s="505" t="n">
        <v>0</v>
      </c>
      <c r="CI51" s="505" t="n">
        <v>3.402</v>
      </c>
      <c r="CJ51" s="505"/>
      <c r="CK51" s="505"/>
      <c r="CL51" s="505"/>
      <c r="CM51" s="505"/>
    </row>
    <row r="52" customFormat="false" ht="12.75" hidden="false" customHeight="false" outlineLevel="0" collapsed="false">
      <c r="A52" s="500"/>
      <c r="B52" s="500"/>
      <c r="D52" s="361" t="e">
        <f aca="false">D51+AH51</f>
        <v>#VALUE!</v>
      </c>
      <c r="F52" s="362" t="e">
        <f aca="false">VLOOKUP(AG52,$AL$4:$AS$15,2)</f>
        <v>#VALUE!</v>
      </c>
      <c r="G52" s="362" t="e">
        <f aca="false">F52*$AU52</f>
        <v>#VALUE!</v>
      </c>
      <c r="H52" s="363" t="e">
        <f aca="false">(AL52+AM52+AN52)/(1-(AR52))</f>
        <v>#VALUE!</v>
      </c>
      <c r="I52" s="363" t="e">
        <f aca="false">(AL52+AO52+AP52)</f>
        <v>#VALUE!</v>
      </c>
      <c r="K52" s="363" t="e">
        <f aca="false">MAX(((I52-H52)-AQ52)*AU52*AH52,0)</f>
        <v>#VALUE!</v>
      </c>
      <c r="L52" s="501" t="e">
        <f aca="false">MAX(Q52-K52,0)</f>
        <v>#VALUE!</v>
      </c>
      <c r="N52" s="502" t="e">
        <f aca="false">SQRT(($AX52^2*($AH52/2)+$AW52^2*$AI52)/(($AH52/2)+$AI52))</f>
        <v>#VALUE!</v>
      </c>
      <c r="O52" s="502" t="e">
        <f aca="false">SQRT(($AY52^2*($AH52/2)+$AW52^2*$AI52)/(($AH52/2)+$AI52))</f>
        <v>#VALUE!</v>
      </c>
      <c r="P52" s="371" t="e">
        <f aca="false">(VLOOKUP(AI52,CorrelationTwo,2)*(AW52^2)*AI52+VLOOKUP(D52,CorrelationOne,$AK$9)*AX52*AY52*(AH52/2))/((AI52+(AH52/2))*O52*N52)*AF52</f>
        <v>#VALUE!</v>
      </c>
      <c r="Q52" s="501" t="e">
        <f aca="false">xSPRDOPT(I52,H52,AQ52,0,O52,N52,P52,D52-$G$5,1,0)*AH52*AU52</f>
        <v>#VALUE!</v>
      </c>
      <c r="R52" s="501"/>
      <c r="S52" s="365" t="e">
        <f aca="false">xSPRDOPT(I52,H52,AQ52,AT52,O52,N52,P52,D52-$G$5,1,2)*AF52*(F52/(1-AR52))*AH52</f>
        <v>#VALUE!</v>
      </c>
      <c r="T52" s="365" t="e">
        <f aca="false">xSPRDOPT(I52,H52,AQ52,AT52,O52,N52,P52,D52-$G$5,1,1)*AF52*F52*AH52</f>
        <v>#VALUE!</v>
      </c>
      <c r="U52" s="501"/>
      <c r="V52" s="503" t="e">
        <f aca="false">VLOOKUP($AG52,$AL$4:$AS$15,8)*AH52*AU52</f>
        <v>#VALUE!</v>
      </c>
      <c r="W52" s="503"/>
      <c r="X52" s="504" t="e">
        <f aca="false">((BM52*BC52)+(BL52*BB52))*AH52*F52</f>
        <v>#VALUE!</v>
      </c>
      <c r="Y52" s="504" t="e">
        <f aca="false">($F52*$AH52)*((($BG52/2)*($BC52)^2)+(($BF52/2)*($BB52)^2)+($BH52*$BC52*$BB52))</f>
        <v>#VALUE!</v>
      </c>
      <c r="Z52" s="504" t="e">
        <f aca="false">($BI52*$F52*$AH52*($G$5-$BV$5))/365.25</f>
        <v>#VALUE!</v>
      </c>
      <c r="AA52" s="504" t="e">
        <f aca="false">(($BK52*$BE52)+($BJ52*$BD52))*$F52*$AH52*$AF52</f>
        <v>#VALUE!</v>
      </c>
      <c r="AB52" s="504" t="e">
        <f aca="false">BN52*(AT52-CA52)*F52*AH52</f>
        <v>#VALUE!</v>
      </c>
      <c r="AC52" s="504" t="e">
        <f aca="false">BO52*CB52*F52*AH52*CA52*($G$5-$BV$5)/365.25</f>
        <v>#NAME?</v>
      </c>
      <c r="AF52" s="378" t="e">
        <f aca="false">IF(AND(D52&gt;=$G$7,D52&lt;=$G$8),1,0)</f>
        <v>#VALUE!</v>
      </c>
      <c r="AG52" s="378" t="e">
        <f aca="false">MONTH(D52)</f>
        <v>#VALUE!</v>
      </c>
      <c r="AH52" s="378" t="e">
        <f aca="false">(EOMONTH(D52,0)-EOMONTH(D52-DAY(D52),0))*AF52</f>
        <v>#VALUE!</v>
      </c>
      <c r="AI52" s="378" t="e">
        <f aca="false">AI51+AH51</f>
        <v>#VALUE!</v>
      </c>
      <c r="AJ52" s="378" t="e">
        <f aca="false">D52-$BV$5</f>
        <v>#VALUE!</v>
      </c>
      <c r="AL52" s="369" t="e">
        <f aca="false">VLOOKUP($D52,CurveTbl,$AK$4)</f>
        <v>#VALUE!</v>
      </c>
      <c r="AM52" s="505" t="e">
        <f aca="false">VLOOKUP($D52,CurveTbl,$AH$3)</f>
        <v>#VALUE!</v>
      </c>
      <c r="AN52" s="505" t="e">
        <f aca="false">VLOOKUP($D52,CurveTbl,$AH$4)+VLOOKUP($AG52,$AL$3:$AS$15,6)</f>
        <v>#VALUE!</v>
      </c>
      <c r="AO52" s="505" t="e">
        <f aca="false">VLOOKUP($D52,CurveTbl,$AH$5)</f>
        <v>#VALUE!</v>
      </c>
      <c r="AP52" s="505" t="e">
        <f aca="false">VLOOKUP($D52,CurveTbl,$AH$6)+VLOOKUP($AG52,$AL$3:$AS$15,7)</f>
        <v>#VALUE!</v>
      </c>
      <c r="AQ52" s="369" t="e">
        <f aca="false">VLOOKUP($AG52,$AL$4:$AS$15,3)+VLOOKUP($AG52,$AL$4:$AS$15,5)+($AH$10*VLOOKUP(D52,GRITable,2))</f>
        <v>#VALUE!</v>
      </c>
      <c r="AR52" s="370" t="e">
        <f aca="false">VLOOKUP($AG52,$AL$4:$AS$15,4)</f>
        <v>#VALUE!</v>
      </c>
      <c r="AS52" s="369" t="e">
        <f aca="false">(AL52+AM52+AN52)</f>
        <v>#VALUE!</v>
      </c>
      <c r="AT52" s="370" t="e">
        <f aca="false">VLOOKUP(D52,CurveTbl,$AK$6)</f>
        <v>#VALUE!</v>
      </c>
      <c r="AU52" s="370" t="e">
        <f aca="false">(1+$AT52/2)^(-2*($D52-$G$5)/365.25)*$AF52</f>
        <v>#VALUE!</v>
      </c>
      <c r="AV52" s="506" t="e">
        <f aca="false">ROUND((F52/(1-AR52))-F52,0)*AF52*AH52*AU52</f>
        <v>#VALUE!</v>
      </c>
      <c r="AW52" s="370" t="e">
        <f aca="false">VLOOKUP($D52,CurveTbl,$AK$8)</f>
        <v>#VALUE!</v>
      </c>
      <c r="AX52" s="370" t="e">
        <f aca="false">VLOOKUP($D52,CurveTbl,$AH$7)</f>
        <v>#VALUE!</v>
      </c>
      <c r="AY52" s="370" t="e">
        <f aca="false">VLOOKUP($D52,CurveTbl,$AH$8)</f>
        <v>#VALUE!</v>
      </c>
      <c r="AZ52" s="370"/>
      <c r="BA52" s="507"/>
      <c r="BB52" s="505" t="e">
        <f aca="false">$H52-$BV52</f>
        <v>#VALUE!</v>
      </c>
      <c r="BC52" s="505" t="e">
        <f aca="false">I52-BW52</f>
        <v>#VALUE!</v>
      </c>
      <c r="BD52" s="370" t="e">
        <f aca="false">N52-BX52</f>
        <v>#VALUE!</v>
      </c>
      <c r="BE52" s="370" t="e">
        <f aca="false">O52-BY52</f>
        <v>#VALUE!</v>
      </c>
      <c r="BF52" s="370" t="e">
        <f aca="false">xSPRDOPT($BW52,$BV52,$CG52,0,$BY52,$BX52,$BZ52,$AJ52,1,4)*$CB52</f>
        <v>#NAME?</v>
      </c>
      <c r="BG52" s="370" t="e">
        <f aca="false">xSPRDOPT($BW52,$BV52,$CG52,0,$BY52,$BX52,$BZ52,$AJ52,1,3)*$CB52</f>
        <v>#NAME?</v>
      </c>
      <c r="BH52" s="370" t="e">
        <f aca="false">IF(OR(BF52&lt;&gt;0,BG52&lt;&gt;0),xSPRDOPT($BW52,$BV52,$CG52,0,$BY52,$BX52,$BZ52,$AJ52,1,12)*$CB52,0)</f>
        <v>#NAME?</v>
      </c>
      <c r="BI52" s="370" t="e">
        <f aca="false">xSPRDOPT($BW52,$BV52,$CG52,2*LN(1+CA52/2),$BY52,$BX52,$BZ52,$AJ52,1,9)</f>
        <v>#NAME?</v>
      </c>
      <c r="BJ52" s="370" t="e">
        <f aca="false">xSPRDOPT($BW52,$BV52,$CG52,0,$BY52,$BX52,$BZ52,$AJ52,1,6)*$CB52</f>
        <v>#NAME?</v>
      </c>
      <c r="BK52" s="370" t="e">
        <f aca="false">xSPRDOPT($BW52,$BV52,$CG52,0,$BY52,$BX52,$BZ52,$AJ52,1,5)*$CB52</f>
        <v>#NAME?</v>
      </c>
      <c r="BL52" s="370" t="e">
        <f aca="false">xSPRDOPT(BW52,BV52,CG52,0,BY52,BX52,BZ52,AJ52,1,2)*CB52</f>
        <v>#NAME?</v>
      </c>
      <c r="BM52" s="370" t="e">
        <f aca="false">xSPRDOPT(BW52,BV52,CG52,0,BY52,BX52,BZ52,AJ52,1,1)*CB52</f>
        <v>#NAME?</v>
      </c>
      <c r="BN52" s="370" t="e">
        <f aca="false">IF(AH52&lt;&gt;0,xSPRDOPT($BW52,$BV52,$CG52,2*LN(1+CA52/2),$BY52,$BX52,$BZ52,$AJ52,1,8)+(AJ52/365.25)*CH52/AH52,0)</f>
        <v>#VALUE!</v>
      </c>
      <c r="BO52" s="370" t="e">
        <f aca="false">xSPRDOPT($BW52,$BV52,$CG52,0,$BY52,$BX52,$BZ52,$AJ52,1,0)</f>
        <v>#NAME?</v>
      </c>
      <c r="BP52" s="370"/>
      <c r="BQ52" s="370"/>
      <c r="BR52" s="370"/>
      <c r="BS52" s="370"/>
      <c r="BV52" s="508" t="n">
        <v>3.44578313253012</v>
      </c>
      <c r="BW52" s="369" t="n">
        <v>3.467</v>
      </c>
      <c r="BX52" s="370" t="n">
        <v>0.37</v>
      </c>
      <c r="BY52" s="370" t="n">
        <v>0.37</v>
      </c>
      <c r="BZ52" s="370" t="n">
        <v>0</v>
      </c>
      <c r="CA52" s="370" t="n">
        <v>0.0348361539671314</v>
      </c>
      <c r="CB52" s="370" t="n">
        <v>0</v>
      </c>
      <c r="CC52" s="505" t="n">
        <v>0</v>
      </c>
      <c r="CD52" s="505" t="n">
        <v>0.03</v>
      </c>
      <c r="CE52" s="505" t="n">
        <v>0.065</v>
      </c>
      <c r="CF52" s="505" t="n">
        <v>0</v>
      </c>
      <c r="CG52" s="505" t="n">
        <v>0.0006</v>
      </c>
      <c r="CH52" s="505" t="n">
        <v>0</v>
      </c>
      <c r="CI52" s="505" t="n">
        <v>3.402</v>
      </c>
      <c r="CJ52" s="505"/>
      <c r="CK52" s="505"/>
      <c r="CL52" s="505"/>
      <c r="CM52" s="505"/>
    </row>
    <row r="53" customFormat="false" ht="12.75" hidden="false" customHeight="false" outlineLevel="0" collapsed="false">
      <c r="A53" s="500"/>
      <c r="B53" s="500"/>
      <c r="D53" s="361" t="e">
        <f aca="false">D52+AH52</f>
        <v>#VALUE!</v>
      </c>
      <c r="F53" s="362" t="e">
        <f aca="false">VLOOKUP(AG53,$AL$4:$AS$15,2)</f>
        <v>#VALUE!</v>
      </c>
      <c r="G53" s="362" t="e">
        <f aca="false">F53*$AU53</f>
        <v>#VALUE!</v>
      </c>
      <c r="H53" s="363" t="e">
        <f aca="false">(AL53+AM53+AN53)/(1-(AR53))</f>
        <v>#VALUE!</v>
      </c>
      <c r="I53" s="363" t="e">
        <f aca="false">(AL53+AO53+AP53)</f>
        <v>#VALUE!</v>
      </c>
      <c r="K53" s="363" t="e">
        <f aca="false">MAX(((I53-H53)-AQ53)*AU53*AH53,0)</f>
        <v>#VALUE!</v>
      </c>
      <c r="L53" s="501" t="e">
        <f aca="false">MAX(Q53-K53,0)</f>
        <v>#VALUE!</v>
      </c>
      <c r="N53" s="502" t="e">
        <f aca="false">SQRT(($AX53^2*($AH53/2)+$AW53^2*$AI53)/(($AH53/2)+$AI53))</f>
        <v>#VALUE!</v>
      </c>
      <c r="O53" s="502" t="e">
        <f aca="false">SQRT(($AY53^2*($AH53/2)+$AW53^2*$AI53)/(($AH53/2)+$AI53))</f>
        <v>#VALUE!</v>
      </c>
      <c r="P53" s="371" t="e">
        <f aca="false">(VLOOKUP(AI53,CorrelationTwo,2)*(AW53^2)*AI53+VLOOKUP(D53,CorrelationOne,$AK$9)*AX53*AY53*(AH53/2))/((AI53+(AH53/2))*O53*N53)*AF53</f>
        <v>#VALUE!</v>
      </c>
      <c r="Q53" s="501" t="e">
        <f aca="false">xSPRDOPT(I53,H53,AQ53,0,O53,N53,P53,D53-$G$5,1,0)*AH53*AU53</f>
        <v>#VALUE!</v>
      </c>
      <c r="R53" s="501"/>
      <c r="S53" s="365" t="e">
        <f aca="false">xSPRDOPT(I53,H53,AQ53,AT53,O53,N53,P53,D53-$G$5,1,2)*AF53*(F53/(1-AR53))*AH53</f>
        <v>#VALUE!</v>
      </c>
      <c r="T53" s="365" t="e">
        <f aca="false">xSPRDOPT(I53,H53,AQ53,AT53,O53,N53,P53,D53-$G$5,1,1)*AF53*F53*AH53</f>
        <v>#VALUE!</v>
      </c>
      <c r="U53" s="501"/>
      <c r="V53" s="503" t="e">
        <f aca="false">VLOOKUP($AG53,$AL$4:$AS$15,8)*AH53*AU53</f>
        <v>#VALUE!</v>
      </c>
      <c r="W53" s="503"/>
      <c r="X53" s="504" t="e">
        <f aca="false">((BM53*BC53)+(BL53*BB53))*AH53*F53</f>
        <v>#VALUE!</v>
      </c>
      <c r="Y53" s="504" t="e">
        <f aca="false">($F53*$AH53)*((($BG53/2)*($BC53)^2)+(($BF53/2)*($BB53)^2)+($BH53*$BC53*$BB53))</f>
        <v>#VALUE!</v>
      </c>
      <c r="Z53" s="504" t="e">
        <f aca="false">($BI53*$F53*$AH53*($G$5-$BV$5))/365.25</f>
        <v>#VALUE!</v>
      </c>
      <c r="AA53" s="504" t="e">
        <f aca="false">(($BK53*$BE53)+($BJ53*$BD53))*$F53*$AH53*$AF53</f>
        <v>#VALUE!</v>
      </c>
      <c r="AB53" s="504" t="e">
        <f aca="false">BN53*(AT53-CA53)*F53*AH53</f>
        <v>#VALUE!</v>
      </c>
      <c r="AC53" s="504" t="e">
        <f aca="false">BO53*CB53*F53*AH53*CA53*($G$5-$BV$5)/365.25</f>
        <v>#NAME?</v>
      </c>
      <c r="AF53" s="378" t="e">
        <f aca="false">IF(AND(D53&gt;=$G$7,D53&lt;=$G$8),1,0)</f>
        <v>#VALUE!</v>
      </c>
      <c r="AG53" s="378" t="e">
        <f aca="false">MONTH(D53)</f>
        <v>#VALUE!</v>
      </c>
      <c r="AH53" s="378" t="e">
        <f aca="false">(EOMONTH(D53,0)-EOMONTH(D53-DAY(D53),0))*AF53</f>
        <v>#VALUE!</v>
      </c>
      <c r="AI53" s="378" t="e">
        <f aca="false">AI52+AH52</f>
        <v>#VALUE!</v>
      </c>
      <c r="AJ53" s="378" t="e">
        <f aca="false">D53-$BV$5</f>
        <v>#VALUE!</v>
      </c>
      <c r="AL53" s="369" t="e">
        <f aca="false">VLOOKUP($D53,CurveTbl,$AK$4)</f>
        <v>#VALUE!</v>
      </c>
      <c r="AM53" s="505" t="e">
        <f aca="false">VLOOKUP($D53,CurveTbl,$AH$3)</f>
        <v>#VALUE!</v>
      </c>
      <c r="AN53" s="505" t="e">
        <f aca="false">VLOOKUP($D53,CurveTbl,$AH$4)+VLOOKUP($AG53,$AL$3:$AS$15,6)</f>
        <v>#VALUE!</v>
      </c>
      <c r="AO53" s="505" t="e">
        <f aca="false">VLOOKUP($D53,CurveTbl,$AH$5)</f>
        <v>#VALUE!</v>
      </c>
      <c r="AP53" s="505" t="e">
        <f aca="false">VLOOKUP($D53,CurveTbl,$AH$6)+VLOOKUP($AG53,$AL$3:$AS$15,7)</f>
        <v>#VALUE!</v>
      </c>
      <c r="AQ53" s="369" t="e">
        <f aca="false">VLOOKUP($AG53,$AL$4:$AS$15,3)+VLOOKUP($AG53,$AL$4:$AS$15,5)+($AH$10*VLOOKUP(D53,GRITable,2))</f>
        <v>#VALUE!</v>
      </c>
      <c r="AR53" s="370" t="e">
        <f aca="false">VLOOKUP($AG53,$AL$4:$AS$15,4)</f>
        <v>#VALUE!</v>
      </c>
      <c r="AS53" s="369" t="e">
        <f aca="false">(AL53+AM53+AN53)</f>
        <v>#VALUE!</v>
      </c>
      <c r="AT53" s="370" t="e">
        <f aca="false">VLOOKUP(D53,CurveTbl,$AK$6)</f>
        <v>#VALUE!</v>
      </c>
      <c r="AU53" s="370" t="e">
        <f aca="false">(1+$AT53/2)^(-2*($D53-$G$5)/365.25)*$AF53</f>
        <v>#VALUE!</v>
      </c>
      <c r="AV53" s="506" t="e">
        <f aca="false">ROUND((F53/(1-AR53))-F53,0)*AF53*AH53*AU53</f>
        <v>#VALUE!</v>
      </c>
      <c r="AW53" s="370" t="e">
        <f aca="false">VLOOKUP($D53,CurveTbl,$AK$8)</f>
        <v>#VALUE!</v>
      </c>
      <c r="AX53" s="370" t="e">
        <f aca="false">VLOOKUP($D53,CurveTbl,$AH$7)</f>
        <v>#VALUE!</v>
      </c>
      <c r="AY53" s="370" t="e">
        <f aca="false">VLOOKUP($D53,CurveTbl,$AH$8)</f>
        <v>#VALUE!</v>
      </c>
      <c r="AZ53" s="370"/>
      <c r="BA53" s="507"/>
      <c r="BB53" s="505" t="e">
        <f aca="false">$H53-$BV53</f>
        <v>#VALUE!</v>
      </c>
      <c r="BC53" s="505" t="e">
        <f aca="false">I53-BW53</f>
        <v>#VALUE!</v>
      </c>
      <c r="BD53" s="370" t="e">
        <f aca="false">N53-BX53</f>
        <v>#VALUE!</v>
      </c>
      <c r="BE53" s="370" t="e">
        <f aca="false">O53-BY53</f>
        <v>#VALUE!</v>
      </c>
      <c r="BF53" s="370" t="e">
        <f aca="false">xSPRDOPT($BW53,$BV53,$CG53,0,$BY53,$BX53,$BZ53,$AJ53,1,4)*$CB53</f>
        <v>#NAME?</v>
      </c>
      <c r="BG53" s="370" t="e">
        <f aca="false">xSPRDOPT($BW53,$BV53,$CG53,0,$BY53,$BX53,$BZ53,$AJ53,1,3)*$CB53</f>
        <v>#NAME?</v>
      </c>
      <c r="BH53" s="370" t="e">
        <f aca="false">IF(OR(BF53&lt;&gt;0,BG53&lt;&gt;0),xSPRDOPT($BW53,$BV53,$CG53,0,$BY53,$BX53,$BZ53,$AJ53,1,12)*$CB53,0)</f>
        <v>#NAME?</v>
      </c>
      <c r="BI53" s="370" t="e">
        <f aca="false">xSPRDOPT($BW53,$BV53,$CG53,2*LN(1+CA53/2),$BY53,$BX53,$BZ53,$AJ53,1,9)</f>
        <v>#NAME?</v>
      </c>
      <c r="BJ53" s="370" t="e">
        <f aca="false">xSPRDOPT($BW53,$BV53,$CG53,0,$BY53,$BX53,$BZ53,$AJ53,1,6)*$CB53</f>
        <v>#NAME?</v>
      </c>
      <c r="BK53" s="370" t="e">
        <f aca="false">xSPRDOPT($BW53,$BV53,$CG53,0,$BY53,$BX53,$BZ53,$AJ53,1,5)*$CB53</f>
        <v>#NAME?</v>
      </c>
      <c r="BL53" s="370" t="e">
        <f aca="false">xSPRDOPT(BW53,BV53,CG53,0,BY53,BX53,BZ53,AJ53,1,2)*CB53</f>
        <v>#NAME?</v>
      </c>
      <c r="BM53" s="370" t="e">
        <f aca="false">xSPRDOPT(BW53,BV53,CG53,0,BY53,BX53,BZ53,AJ53,1,1)*CB53</f>
        <v>#NAME?</v>
      </c>
      <c r="BN53" s="370" t="e">
        <f aca="false">IF(AH53&lt;&gt;0,xSPRDOPT($BW53,$BV53,$CG53,2*LN(1+CA53/2),$BY53,$BX53,$BZ53,$AJ53,1,8)+(AJ53/365.25)*CH53/AH53,0)</f>
        <v>#VALUE!</v>
      </c>
      <c r="BO53" s="370" t="e">
        <f aca="false">xSPRDOPT($BW53,$BV53,$CG53,0,$BY53,$BX53,$BZ53,$AJ53,1,0)</f>
        <v>#NAME?</v>
      </c>
      <c r="BP53" s="370"/>
      <c r="BQ53" s="370"/>
      <c r="BR53" s="370"/>
      <c r="BS53" s="370"/>
      <c r="BV53" s="508" t="n">
        <v>3.44578313253012</v>
      </c>
      <c r="BW53" s="369" t="n">
        <v>3.467</v>
      </c>
      <c r="BX53" s="370" t="n">
        <v>0.37</v>
      </c>
      <c r="BY53" s="370" t="n">
        <v>0.37</v>
      </c>
      <c r="BZ53" s="370" t="n">
        <v>0</v>
      </c>
      <c r="CA53" s="370" t="n">
        <v>0.0348361539671314</v>
      </c>
      <c r="CB53" s="370" t="n">
        <v>0</v>
      </c>
      <c r="CC53" s="505" t="n">
        <v>0</v>
      </c>
      <c r="CD53" s="505" t="n">
        <v>0.03</v>
      </c>
      <c r="CE53" s="505" t="n">
        <v>0.065</v>
      </c>
      <c r="CF53" s="505" t="n">
        <v>0</v>
      </c>
      <c r="CG53" s="505" t="n">
        <v>0.0006</v>
      </c>
      <c r="CH53" s="505" t="n">
        <v>0</v>
      </c>
      <c r="CI53" s="505" t="n">
        <v>3.402</v>
      </c>
      <c r="CJ53" s="505"/>
      <c r="CK53" s="505"/>
      <c r="CL53" s="505"/>
      <c r="CM53" s="505"/>
    </row>
    <row r="54" customFormat="false" ht="12.75" hidden="false" customHeight="false" outlineLevel="0" collapsed="false">
      <c r="A54" s="500"/>
      <c r="B54" s="500"/>
      <c r="D54" s="361" t="e">
        <f aca="false">D53+AH53</f>
        <v>#VALUE!</v>
      </c>
      <c r="F54" s="362" t="e">
        <f aca="false">VLOOKUP(AG54,$AL$4:$AS$15,2)</f>
        <v>#VALUE!</v>
      </c>
      <c r="G54" s="362" t="e">
        <f aca="false">F54*$AU54</f>
        <v>#VALUE!</v>
      </c>
      <c r="H54" s="363" t="e">
        <f aca="false">(AL54+AM54+AN54)/(1-(AR54))</f>
        <v>#VALUE!</v>
      </c>
      <c r="I54" s="363" t="e">
        <f aca="false">(AL54+AO54+AP54)</f>
        <v>#VALUE!</v>
      </c>
      <c r="K54" s="363" t="e">
        <f aca="false">MAX(((I54-H54)-AQ54)*AU54*AH54,0)</f>
        <v>#VALUE!</v>
      </c>
      <c r="L54" s="501" t="e">
        <f aca="false">MAX(Q54-K54,0)</f>
        <v>#VALUE!</v>
      </c>
      <c r="N54" s="502" t="e">
        <f aca="false">SQRT(($AX54^2*($AH54/2)+$AW54^2*$AI54)/(($AH54/2)+$AI54))</f>
        <v>#VALUE!</v>
      </c>
      <c r="O54" s="502" t="e">
        <f aca="false">SQRT(($AY54^2*($AH54/2)+$AW54^2*$AI54)/(($AH54/2)+$AI54))</f>
        <v>#VALUE!</v>
      </c>
      <c r="P54" s="371" t="e">
        <f aca="false">(VLOOKUP(AI54,CorrelationTwo,2)*(AW54^2)*AI54+VLOOKUP(D54,CorrelationOne,$AK$9)*AX54*AY54*(AH54/2))/((AI54+(AH54/2))*O54*N54)*AF54</f>
        <v>#VALUE!</v>
      </c>
      <c r="Q54" s="501" t="e">
        <f aca="false">xSPRDOPT(I54,H54,AQ54,0,O54,N54,P54,D54-$G$5,1,0)*AH54*AU54</f>
        <v>#VALUE!</v>
      </c>
      <c r="R54" s="501"/>
      <c r="S54" s="365" t="e">
        <f aca="false">xSPRDOPT(I54,H54,AQ54,AT54,O54,N54,P54,D54-$G$5,1,2)*AF54*(F54/(1-AR54))*AH54</f>
        <v>#VALUE!</v>
      </c>
      <c r="T54" s="365" t="e">
        <f aca="false">xSPRDOPT(I54,H54,AQ54,AT54,O54,N54,P54,D54-$G$5,1,1)*AF54*F54*AH54</f>
        <v>#VALUE!</v>
      </c>
      <c r="U54" s="501"/>
      <c r="V54" s="503" t="e">
        <f aca="false">VLOOKUP($AG54,$AL$4:$AS$15,8)*AH54*AU54</f>
        <v>#VALUE!</v>
      </c>
      <c r="W54" s="503"/>
      <c r="X54" s="504" t="e">
        <f aca="false">((BM54*BC54)+(BL54*BB54))*AH54*F54</f>
        <v>#VALUE!</v>
      </c>
      <c r="Y54" s="504" t="e">
        <f aca="false">($F54*$AH54)*((($BG54/2)*($BC54)^2)+(($BF54/2)*($BB54)^2)+($BH54*$BC54*$BB54))</f>
        <v>#VALUE!</v>
      </c>
      <c r="Z54" s="504" t="e">
        <f aca="false">($BI54*$F54*$AH54*($G$5-$BV$5))/365.25</f>
        <v>#VALUE!</v>
      </c>
      <c r="AA54" s="504" t="e">
        <f aca="false">(($BK54*$BE54)+($BJ54*$BD54))*$F54*$AH54*$AF54</f>
        <v>#VALUE!</v>
      </c>
      <c r="AB54" s="504" t="e">
        <f aca="false">BN54*(AT54-CA54)*F54*AH54</f>
        <v>#VALUE!</v>
      </c>
      <c r="AC54" s="504" t="e">
        <f aca="false">BO54*CB54*F54*AH54*CA54*($G$5-$BV$5)/365.25</f>
        <v>#NAME?</v>
      </c>
      <c r="AF54" s="378" t="e">
        <f aca="false">IF(AND(D54&gt;=$G$7,D54&lt;=$G$8),1,0)</f>
        <v>#VALUE!</v>
      </c>
      <c r="AG54" s="378" t="e">
        <f aca="false">MONTH(D54)</f>
        <v>#VALUE!</v>
      </c>
      <c r="AH54" s="378" t="e">
        <f aca="false">(EOMONTH(D54,0)-EOMONTH(D54-DAY(D54),0))*AF54</f>
        <v>#VALUE!</v>
      </c>
      <c r="AI54" s="378" t="e">
        <f aca="false">AI53+AH53</f>
        <v>#VALUE!</v>
      </c>
      <c r="AJ54" s="378" t="e">
        <f aca="false">D54-$BV$5</f>
        <v>#VALUE!</v>
      </c>
      <c r="AL54" s="369" t="e">
        <f aca="false">VLOOKUP($D54,CurveTbl,$AK$4)</f>
        <v>#VALUE!</v>
      </c>
      <c r="AM54" s="505" t="e">
        <f aca="false">VLOOKUP($D54,CurveTbl,$AH$3)</f>
        <v>#VALUE!</v>
      </c>
      <c r="AN54" s="505" t="e">
        <f aca="false">VLOOKUP($D54,CurveTbl,$AH$4)+VLOOKUP($AG54,$AL$3:$AS$15,6)</f>
        <v>#VALUE!</v>
      </c>
      <c r="AO54" s="505" t="e">
        <f aca="false">VLOOKUP($D54,CurveTbl,$AH$5)</f>
        <v>#VALUE!</v>
      </c>
      <c r="AP54" s="505" t="e">
        <f aca="false">VLOOKUP($D54,CurveTbl,$AH$6)+VLOOKUP($AG54,$AL$3:$AS$15,7)</f>
        <v>#VALUE!</v>
      </c>
      <c r="AQ54" s="369" t="e">
        <f aca="false">VLOOKUP($AG54,$AL$4:$AS$15,3)+VLOOKUP($AG54,$AL$4:$AS$15,5)+($AH$10*VLOOKUP(D54,GRITable,2))</f>
        <v>#VALUE!</v>
      </c>
      <c r="AR54" s="370" t="e">
        <f aca="false">VLOOKUP($AG54,$AL$4:$AS$15,4)</f>
        <v>#VALUE!</v>
      </c>
      <c r="AS54" s="369" t="e">
        <f aca="false">(AL54+AM54+AN54)</f>
        <v>#VALUE!</v>
      </c>
      <c r="AT54" s="370" t="e">
        <f aca="false">VLOOKUP(D54,CurveTbl,$AK$6)</f>
        <v>#VALUE!</v>
      </c>
      <c r="AU54" s="370" t="e">
        <f aca="false">(1+$AT54/2)^(-2*($D54-$G$5)/365.25)*$AF54</f>
        <v>#VALUE!</v>
      </c>
      <c r="AV54" s="506" t="e">
        <f aca="false">ROUND((F54/(1-AR54))-F54,0)*AF54*AH54*AU54</f>
        <v>#VALUE!</v>
      </c>
      <c r="AW54" s="370" t="e">
        <f aca="false">VLOOKUP($D54,CurveTbl,$AK$8)</f>
        <v>#VALUE!</v>
      </c>
      <c r="AX54" s="370" t="e">
        <f aca="false">VLOOKUP($D54,CurveTbl,$AH$7)</f>
        <v>#VALUE!</v>
      </c>
      <c r="AY54" s="370" t="e">
        <f aca="false">VLOOKUP($D54,CurveTbl,$AH$8)</f>
        <v>#VALUE!</v>
      </c>
      <c r="AZ54" s="370"/>
      <c r="BA54" s="507"/>
      <c r="BB54" s="505" t="e">
        <f aca="false">$H54-$BV54</f>
        <v>#VALUE!</v>
      </c>
      <c r="BC54" s="505" t="e">
        <f aca="false">I54-BW54</f>
        <v>#VALUE!</v>
      </c>
      <c r="BD54" s="370" t="e">
        <f aca="false">N54-BX54</f>
        <v>#VALUE!</v>
      </c>
      <c r="BE54" s="370" t="e">
        <f aca="false">O54-BY54</f>
        <v>#VALUE!</v>
      </c>
      <c r="BF54" s="370" t="e">
        <f aca="false">xSPRDOPT($BW54,$BV54,$CG54,0,$BY54,$BX54,$BZ54,$AJ54,1,4)*$CB54</f>
        <v>#NAME?</v>
      </c>
      <c r="BG54" s="370" t="e">
        <f aca="false">xSPRDOPT($BW54,$BV54,$CG54,0,$BY54,$BX54,$BZ54,$AJ54,1,3)*$CB54</f>
        <v>#NAME?</v>
      </c>
      <c r="BH54" s="370" t="e">
        <f aca="false">IF(OR(BF54&lt;&gt;0,BG54&lt;&gt;0),xSPRDOPT($BW54,$BV54,$CG54,0,$BY54,$BX54,$BZ54,$AJ54,1,12)*$CB54,0)</f>
        <v>#NAME?</v>
      </c>
      <c r="BI54" s="370" t="e">
        <f aca="false">xSPRDOPT($BW54,$BV54,$CG54,2*LN(1+CA54/2),$BY54,$BX54,$BZ54,$AJ54,1,9)</f>
        <v>#NAME?</v>
      </c>
      <c r="BJ54" s="370" t="e">
        <f aca="false">xSPRDOPT($BW54,$BV54,$CG54,0,$BY54,$BX54,$BZ54,$AJ54,1,6)*$CB54</f>
        <v>#NAME?</v>
      </c>
      <c r="BK54" s="370" t="e">
        <f aca="false">xSPRDOPT($BW54,$BV54,$CG54,0,$BY54,$BX54,$BZ54,$AJ54,1,5)*$CB54</f>
        <v>#NAME?</v>
      </c>
      <c r="BL54" s="370" t="e">
        <f aca="false">xSPRDOPT(BW54,BV54,CG54,0,BY54,BX54,BZ54,AJ54,1,2)*CB54</f>
        <v>#NAME?</v>
      </c>
      <c r="BM54" s="370" t="e">
        <f aca="false">xSPRDOPT(BW54,BV54,CG54,0,BY54,BX54,BZ54,AJ54,1,1)*CB54</f>
        <v>#NAME?</v>
      </c>
      <c r="BN54" s="370" t="e">
        <f aca="false">IF(AH54&lt;&gt;0,xSPRDOPT($BW54,$BV54,$CG54,2*LN(1+CA54/2),$BY54,$BX54,$BZ54,$AJ54,1,8)+(AJ54/365.25)*CH54/AH54,0)</f>
        <v>#VALUE!</v>
      </c>
      <c r="BO54" s="370" t="e">
        <f aca="false">xSPRDOPT($BW54,$BV54,$CG54,0,$BY54,$BX54,$BZ54,$AJ54,1,0)</f>
        <v>#NAME?</v>
      </c>
      <c r="BP54" s="370"/>
      <c r="BQ54" s="370"/>
      <c r="BR54" s="370"/>
      <c r="BS54" s="370"/>
      <c r="BV54" s="508" t="n">
        <v>3.44578313253012</v>
      </c>
      <c r="BW54" s="369" t="n">
        <v>3.467</v>
      </c>
      <c r="BX54" s="370" t="n">
        <v>0.37</v>
      </c>
      <c r="BY54" s="370" t="n">
        <v>0.37</v>
      </c>
      <c r="BZ54" s="370" t="n">
        <v>0</v>
      </c>
      <c r="CA54" s="370" t="n">
        <v>0.0348361539671314</v>
      </c>
      <c r="CB54" s="370" t="n">
        <v>0</v>
      </c>
      <c r="CC54" s="505" t="n">
        <v>0</v>
      </c>
      <c r="CD54" s="505" t="n">
        <v>0.03</v>
      </c>
      <c r="CE54" s="505" t="n">
        <v>0.065</v>
      </c>
      <c r="CF54" s="505" t="n">
        <v>0</v>
      </c>
      <c r="CG54" s="505" t="n">
        <v>0.0006</v>
      </c>
      <c r="CH54" s="505" t="n">
        <v>0</v>
      </c>
      <c r="CI54" s="505" t="n">
        <v>3.402</v>
      </c>
      <c r="CJ54" s="505"/>
      <c r="CK54" s="505"/>
      <c r="CL54" s="505"/>
      <c r="CM54" s="505"/>
    </row>
    <row r="55" customFormat="false" ht="12.75" hidden="false" customHeight="false" outlineLevel="0" collapsed="false">
      <c r="A55" s="500"/>
      <c r="B55" s="500"/>
      <c r="D55" s="361" t="e">
        <f aca="false">D54+AH54</f>
        <v>#VALUE!</v>
      </c>
      <c r="F55" s="362" t="e">
        <f aca="false">VLOOKUP(AG55,$AL$4:$AS$15,2)</f>
        <v>#VALUE!</v>
      </c>
      <c r="G55" s="362" t="e">
        <f aca="false">F55*$AU55</f>
        <v>#VALUE!</v>
      </c>
      <c r="H55" s="363" t="e">
        <f aca="false">(AL55+AM55+AN55)/(1-(AR55))</f>
        <v>#VALUE!</v>
      </c>
      <c r="I55" s="363" t="e">
        <f aca="false">(AL55+AO55+AP55)</f>
        <v>#VALUE!</v>
      </c>
      <c r="K55" s="363" t="e">
        <f aca="false">MAX(((I55-H55)-AQ55)*AU55*AH55,0)</f>
        <v>#VALUE!</v>
      </c>
      <c r="L55" s="501" t="e">
        <f aca="false">MAX(Q55-K55,0)</f>
        <v>#VALUE!</v>
      </c>
      <c r="N55" s="502" t="e">
        <f aca="false">SQRT(($AX55^2*($AH55/2)+$AW55^2*$AI55)/(($AH55/2)+$AI55))</f>
        <v>#VALUE!</v>
      </c>
      <c r="O55" s="502" t="e">
        <f aca="false">SQRT(($AY55^2*($AH55/2)+$AW55^2*$AI55)/(($AH55/2)+$AI55))</f>
        <v>#VALUE!</v>
      </c>
      <c r="P55" s="371" t="e">
        <f aca="false">(VLOOKUP(AI55,CorrelationTwo,2)*(AW55^2)*AI55+VLOOKUP(D55,CorrelationOne,$AK$9)*AX55*AY55*(AH55/2))/((AI55+(AH55/2))*O55*N55)*AF55</f>
        <v>#VALUE!</v>
      </c>
      <c r="Q55" s="501" t="e">
        <f aca="false">xSPRDOPT(I55,H55,AQ55,0,O55,N55,P55,D55-$G$5,1,0)*AH55*AU55</f>
        <v>#VALUE!</v>
      </c>
      <c r="R55" s="501"/>
      <c r="S55" s="365" t="e">
        <f aca="false">xSPRDOPT(I55,H55,AQ55,AT55,O55,N55,P55,D55-$G$5,1,2)*AF55*(F55/(1-AR55))*AH55</f>
        <v>#VALUE!</v>
      </c>
      <c r="T55" s="365" t="e">
        <f aca="false">xSPRDOPT(I55,H55,AQ55,AT55,O55,N55,P55,D55-$G$5,1,1)*AF55*F55*AH55</f>
        <v>#VALUE!</v>
      </c>
      <c r="U55" s="501"/>
      <c r="V55" s="503" t="e">
        <f aca="false">VLOOKUP($AG55,$AL$4:$AS$15,8)*AH55*AU55</f>
        <v>#VALUE!</v>
      </c>
      <c r="W55" s="503"/>
      <c r="X55" s="504" t="e">
        <f aca="false">((BM55*BC55)+(BL55*BB55))*AH55*F55</f>
        <v>#VALUE!</v>
      </c>
      <c r="Y55" s="504" t="e">
        <f aca="false">($F55*$AH55)*((($BG55/2)*($BC55)^2)+(($BF55/2)*($BB55)^2)+($BH55*$BC55*$BB55))</f>
        <v>#VALUE!</v>
      </c>
      <c r="Z55" s="504" t="e">
        <f aca="false">($BI55*$F55*$AH55*($G$5-$BV$5))/365.25</f>
        <v>#VALUE!</v>
      </c>
      <c r="AA55" s="504" t="e">
        <f aca="false">(($BK55*$BE55)+($BJ55*$BD55))*$F55*$AH55*$AF55</f>
        <v>#VALUE!</v>
      </c>
      <c r="AB55" s="504" t="e">
        <f aca="false">BN55*(AT55-CA55)*F55*AH55</f>
        <v>#VALUE!</v>
      </c>
      <c r="AC55" s="504" t="e">
        <f aca="false">BO55*CB55*F55*AH55*CA55*($G$5-$BV$5)/365.25</f>
        <v>#NAME?</v>
      </c>
      <c r="AF55" s="378" t="e">
        <f aca="false">IF(AND(D55&gt;=$G$7,D55&lt;=$G$8),1,0)</f>
        <v>#VALUE!</v>
      </c>
      <c r="AG55" s="378" t="e">
        <f aca="false">MONTH(D55)</f>
        <v>#VALUE!</v>
      </c>
      <c r="AH55" s="378" t="e">
        <f aca="false">(EOMONTH(D55,0)-EOMONTH(D55-DAY(D55),0))*AF55</f>
        <v>#VALUE!</v>
      </c>
      <c r="AI55" s="378" t="e">
        <f aca="false">AI54+AH54</f>
        <v>#VALUE!</v>
      </c>
      <c r="AJ55" s="378" t="e">
        <f aca="false">D55-$BV$5</f>
        <v>#VALUE!</v>
      </c>
      <c r="AL55" s="369" t="e">
        <f aca="false">VLOOKUP($D55,CurveTbl,$AK$4)</f>
        <v>#VALUE!</v>
      </c>
      <c r="AM55" s="505" t="e">
        <f aca="false">VLOOKUP($D55,CurveTbl,$AH$3)</f>
        <v>#VALUE!</v>
      </c>
      <c r="AN55" s="505" t="e">
        <f aca="false">VLOOKUP($D55,CurveTbl,$AH$4)+VLOOKUP($AG55,$AL$3:$AS$15,6)</f>
        <v>#VALUE!</v>
      </c>
      <c r="AO55" s="505" t="e">
        <f aca="false">VLOOKUP($D55,CurveTbl,$AH$5)</f>
        <v>#VALUE!</v>
      </c>
      <c r="AP55" s="505" t="e">
        <f aca="false">VLOOKUP($D55,CurveTbl,$AH$6)+VLOOKUP($AG55,$AL$3:$AS$15,7)</f>
        <v>#VALUE!</v>
      </c>
      <c r="AQ55" s="369" t="e">
        <f aca="false">VLOOKUP($AG55,$AL$4:$AS$15,3)+VLOOKUP($AG55,$AL$4:$AS$15,5)+($AH$10*VLOOKUP(D55,GRITable,2))</f>
        <v>#VALUE!</v>
      </c>
      <c r="AR55" s="370" t="e">
        <f aca="false">VLOOKUP($AG55,$AL$4:$AS$15,4)</f>
        <v>#VALUE!</v>
      </c>
      <c r="AS55" s="369" t="e">
        <f aca="false">(AL55+AM55+AN55)</f>
        <v>#VALUE!</v>
      </c>
      <c r="AT55" s="370" t="e">
        <f aca="false">VLOOKUP(D55,CurveTbl,$AK$6)</f>
        <v>#VALUE!</v>
      </c>
      <c r="AU55" s="370" t="e">
        <f aca="false">(1+$AT55/2)^(-2*($D55-$G$5)/365.25)*$AF55</f>
        <v>#VALUE!</v>
      </c>
      <c r="AV55" s="506" t="e">
        <f aca="false">ROUND((F55/(1-AR55))-F55,0)*AF55*AH55*AU55</f>
        <v>#VALUE!</v>
      </c>
      <c r="AW55" s="370" t="e">
        <f aca="false">VLOOKUP($D55,CurveTbl,$AK$8)</f>
        <v>#VALUE!</v>
      </c>
      <c r="AX55" s="370" t="e">
        <f aca="false">VLOOKUP($D55,CurveTbl,$AH$7)</f>
        <v>#VALUE!</v>
      </c>
      <c r="AY55" s="370" t="e">
        <f aca="false">VLOOKUP($D55,CurveTbl,$AH$8)</f>
        <v>#VALUE!</v>
      </c>
      <c r="AZ55" s="370"/>
      <c r="BA55" s="507"/>
      <c r="BB55" s="505" t="e">
        <f aca="false">$H55-$BV55</f>
        <v>#VALUE!</v>
      </c>
      <c r="BC55" s="505" t="e">
        <f aca="false">I55-BW55</f>
        <v>#VALUE!</v>
      </c>
      <c r="BD55" s="370" t="e">
        <f aca="false">N55-BX55</f>
        <v>#VALUE!</v>
      </c>
      <c r="BE55" s="370" t="e">
        <f aca="false">O55-BY55</f>
        <v>#VALUE!</v>
      </c>
      <c r="BF55" s="370" t="e">
        <f aca="false">xSPRDOPT($BW55,$BV55,$CG55,0,$BY55,$BX55,$BZ55,$AJ55,1,4)*$CB55</f>
        <v>#NAME?</v>
      </c>
      <c r="BG55" s="370" t="e">
        <f aca="false">xSPRDOPT($BW55,$BV55,$CG55,0,$BY55,$BX55,$BZ55,$AJ55,1,3)*$CB55</f>
        <v>#NAME?</v>
      </c>
      <c r="BH55" s="370" t="e">
        <f aca="false">IF(OR(BF55&lt;&gt;0,BG55&lt;&gt;0),xSPRDOPT($BW55,$BV55,$CG55,0,$BY55,$BX55,$BZ55,$AJ55,1,12)*$CB55,0)</f>
        <v>#NAME?</v>
      </c>
      <c r="BI55" s="370" t="e">
        <f aca="false">xSPRDOPT($BW55,$BV55,$CG55,2*LN(1+CA55/2),$BY55,$BX55,$BZ55,$AJ55,1,9)</f>
        <v>#NAME?</v>
      </c>
      <c r="BJ55" s="370" t="e">
        <f aca="false">xSPRDOPT($BW55,$BV55,$CG55,0,$BY55,$BX55,$BZ55,$AJ55,1,6)*$CB55</f>
        <v>#NAME?</v>
      </c>
      <c r="BK55" s="370" t="e">
        <f aca="false">xSPRDOPT($BW55,$BV55,$CG55,0,$BY55,$BX55,$BZ55,$AJ55,1,5)*$CB55</f>
        <v>#NAME?</v>
      </c>
      <c r="BL55" s="370" t="e">
        <f aca="false">xSPRDOPT(BW55,BV55,CG55,0,BY55,BX55,BZ55,AJ55,1,2)*CB55</f>
        <v>#NAME?</v>
      </c>
      <c r="BM55" s="370" t="e">
        <f aca="false">xSPRDOPT(BW55,BV55,CG55,0,BY55,BX55,BZ55,AJ55,1,1)*CB55</f>
        <v>#NAME?</v>
      </c>
      <c r="BN55" s="370" t="e">
        <f aca="false">IF(AH55&lt;&gt;0,xSPRDOPT($BW55,$BV55,$CG55,2*LN(1+CA55/2),$BY55,$BX55,$BZ55,$AJ55,1,8)+(AJ55/365.25)*CH55/AH55,0)</f>
        <v>#VALUE!</v>
      </c>
      <c r="BO55" s="370" t="e">
        <f aca="false">xSPRDOPT($BW55,$BV55,$CG55,0,$BY55,$BX55,$BZ55,$AJ55,1,0)</f>
        <v>#NAME?</v>
      </c>
      <c r="BP55" s="370"/>
      <c r="BQ55" s="370"/>
      <c r="BR55" s="370"/>
      <c r="BS55" s="370"/>
      <c r="BV55" s="508" t="n">
        <v>3.44578313253012</v>
      </c>
      <c r="BW55" s="369" t="n">
        <v>3.467</v>
      </c>
      <c r="BX55" s="370" t="n">
        <v>0.37</v>
      </c>
      <c r="BY55" s="370" t="n">
        <v>0.37</v>
      </c>
      <c r="BZ55" s="370" t="n">
        <v>0</v>
      </c>
      <c r="CA55" s="370" t="n">
        <v>0.0348361539671314</v>
      </c>
      <c r="CB55" s="370" t="n">
        <v>0</v>
      </c>
      <c r="CC55" s="505" t="n">
        <v>0</v>
      </c>
      <c r="CD55" s="505" t="n">
        <v>0.03</v>
      </c>
      <c r="CE55" s="505" t="n">
        <v>0.065</v>
      </c>
      <c r="CF55" s="505" t="n">
        <v>0</v>
      </c>
      <c r="CG55" s="505" t="n">
        <v>0.0006</v>
      </c>
      <c r="CH55" s="505" t="n">
        <v>0</v>
      </c>
      <c r="CI55" s="505" t="n">
        <v>3.402</v>
      </c>
      <c r="CJ55" s="505"/>
      <c r="CK55" s="505"/>
      <c r="CL55" s="505"/>
      <c r="CM55" s="505"/>
    </row>
    <row r="56" customFormat="false" ht="12.75" hidden="false" customHeight="false" outlineLevel="0" collapsed="false">
      <c r="A56" s="500"/>
      <c r="B56" s="500"/>
      <c r="D56" s="361" t="e">
        <f aca="false">D55+AH55</f>
        <v>#VALUE!</v>
      </c>
      <c r="F56" s="362" t="e">
        <f aca="false">VLOOKUP(AG56,$AL$4:$AS$15,2)</f>
        <v>#VALUE!</v>
      </c>
      <c r="G56" s="362" t="e">
        <f aca="false">F56*$AU56</f>
        <v>#VALUE!</v>
      </c>
      <c r="H56" s="363" t="e">
        <f aca="false">(AL56+AM56+AN56)/(1-(AR56))</f>
        <v>#VALUE!</v>
      </c>
      <c r="I56" s="363" t="e">
        <f aca="false">(AL56+AO56+AP56)</f>
        <v>#VALUE!</v>
      </c>
      <c r="K56" s="363" t="e">
        <f aca="false">MAX(((I56-H56)-AQ56)*AU56*AH56,0)</f>
        <v>#VALUE!</v>
      </c>
      <c r="L56" s="501" t="e">
        <f aca="false">MAX(Q56-K56,0)</f>
        <v>#VALUE!</v>
      </c>
      <c r="N56" s="502" t="e">
        <f aca="false">SQRT(($AX56^2*($AH56/2)+$AW56^2*$AI56)/(($AH56/2)+$AI56))</f>
        <v>#VALUE!</v>
      </c>
      <c r="O56" s="502" t="e">
        <f aca="false">SQRT(($AY56^2*($AH56/2)+$AW56^2*$AI56)/(($AH56/2)+$AI56))</f>
        <v>#VALUE!</v>
      </c>
      <c r="P56" s="371" t="e">
        <f aca="false">(VLOOKUP(AI56,CorrelationTwo,2)*(AW56^2)*AI56+VLOOKUP(D56,CorrelationOne,$AK$9)*AX56*AY56*(AH56/2))/((AI56+(AH56/2))*O56*N56)*AF56</f>
        <v>#VALUE!</v>
      </c>
      <c r="Q56" s="501" t="e">
        <f aca="false">xSPRDOPT(I56,H56,AQ56,0,O56,N56,P56,D56-$G$5,1,0)*AH56*AU56</f>
        <v>#VALUE!</v>
      </c>
      <c r="R56" s="501"/>
      <c r="S56" s="365" t="e">
        <f aca="false">xSPRDOPT(I56,H56,AQ56,AT56,O56,N56,P56,D56-$G$5,1,2)*AF56*(F56/(1-AR56))*AH56</f>
        <v>#VALUE!</v>
      </c>
      <c r="T56" s="365" t="e">
        <f aca="false">xSPRDOPT(I56,H56,AQ56,AT56,O56,N56,P56,D56-$G$5,1,1)*AF56*F56*AH56</f>
        <v>#VALUE!</v>
      </c>
      <c r="U56" s="501"/>
      <c r="V56" s="503" t="e">
        <f aca="false">VLOOKUP($AG56,$AL$4:$AS$15,8)*AH56*AU56</f>
        <v>#VALUE!</v>
      </c>
      <c r="W56" s="503"/>
      <c r="X56" s="504" t="e">
        <f aca="false">((BM56*BC56)+(BL56*BB56))*AH56*F56</f>
        <v>#VALUE!</v>
      </c>
      <c r="Y56" s="504" t="e">
        <f aca="false">($F56*$AH56)*((($BG56/2)*($BC56)^2)+(($BF56/2)*($BB56)^2)+($BH56*$BC56*$BB56))</f>
        <v>#VALUE!</v>
      </c>
      <c r="Z56" s="504" t="e">
        <f aca="false">($BI56*$F56*$AH56*($G$5-$BV$5))/365.25</f>
        <v>#VALUE!</v>
      </c>
      <c r="AA56" s="504" t="e">
        <f aca="false">(($BK56*$BE56)+($BJ56*$BD56))*$F56*$AH56*$AF56</f>
        <v>#VALUE!</v>
      </c>
      <c r="AB56" s="504" t="e">
        <f aca="false">BN56*(AT56-CA56)*F56*AH56</f>
        <v>#VALUE!</v>
      </c>
      <c r="AC56" s="504" t="e">
        <f aca="false">BO56*CB56*F56*AH56*CA56*($G$5-$BV$5)/365.25</f>
        <v>#NAME?</v>
      </c>
      <c r="AF56" s="378" t="e">
        <f aca="false">IF(AND(D56&gt;=$G$7,D56&lt;=$G$8),1,0)</f>
        <v>#VALUE!</v>
      </c>
      <c r="AG56" s="378" t="e">
        <f aca="false">MONTH(D56)</f>
        <v>#VALUE!</v>
      </c>
      <c r="AH56" s="378" t="e">
        <f aca="false">(EOMONTH(D56,0)-EOMONTH(D56-DAY(D56),0))*AF56</f>
        <v>#VALUE!</v>
      </c>
      <c r="AI56" s="378" t="e">
        <f aca="false">AI55+AH55</f>
        <v>#VALUE!</v>
      </c>
      <c r="AJ56" s="378" t="e">
        <f aca="false">D56-$BV$5</f>
        <v>#VALUE!</v>
      </c>
      <c r="AL56" s="369" t="e">
        <f aca="false">VLOOKUP($D56,CurveTbl,$AK$4)</f>
        <v>#VALUE!</v>
      </c>
      <c r="AM56" s="505" t="e">
        <f aca="false">VLOOKUP($D56,CurveTbl,$AH$3)</f>
        <v>#VALUE!</v>
      </c>
      <c r="AN56" s="505" t="e">
        <f aca="false">VLOOKUP($D56,CurveTbl,$AH$4)+VLOOKUP($AG56,$AL$3:$AS$15,6)</f>
        <v>#VALUE!</v>
      </c>
      <c r="AO56" s="505" t="e">
        <f aca="false">VLOOKUP($D56,CurveTbl,$AH$5)</f>
        <v>#VALUE!</v>
      </c>
      <c r="AP56" s="505" t="e">
        <f aca="false">VLOOKUP($D56,CurveTbl,$AH$6)+VLOOKUP($AG56,$AL$3:$AS$15,7)</f>
        <v>#VALUE!</v>
      </c>
      <c r="AQ56" s="369" t="e">
        <f aca="false">VLOOKUP($AG56,$AL$4:$AS$15,3)+VLOOKUP($AG56,$AL$4:$AS$15,5)+($AH$10*VLOOKUP(D56,GRITable,2))</f>
        <v>#VALUE!</v>
      </c>
      <c r="AR56" s="370" t="e">
        <f aca="false">VLOOKUP($AG56,$AL$4:$AS$15,4)</f>
        <v>#VALUE!</v>
      </c>
      <c r="AS56" s="369" t="e">
        <f aca="false">(AL56+AM56+AN56)</f>
        <v>#VALUE!</v>
      </c>
      <c r="AT56" s="370" t="e">
        <f aca="false">VLOOKUP(D56,CurveTbl,$AK$6)</f>
        <v>#VALUE!</v>
      </c>
      <c r="AU56" s="370" t="e">
        <f aca="false">(1+$AT56/2)^(-2*($D56-$G$5)/365.25)*$AF56</f>
        <v>#VALUE!</v>
      </c>
      <c r="AV56" s="506" t="e">
        <f aca="false">ROUND((F56/(1-AR56))-F56,0)*AF56*AH56*AU56</f>
        <v>#VALUE!</v>
      </c>
      <c r="AW56" s="370" t="e">
        <f aca="false">VLOOKUP($D56,CurveTbl,$AK$8)</f>
        <v>#VALUE!</v>
      </c>
      <c r="AX56" s="370" t="e">
        <f aca="false">VLOOKUP($D56,CurveTbl,$AH$7)</f>
        <v>#VALUE!</v>
      </c>
      <c r="AY56" s="370" t="e">
        <f aca="false">VLOOKUP($D56,CurveTbl,$AH$8)</f>
        <v>#VALUE!</v>
      </c>
      <c r="AZ56" s="370"/>
      <c r="BA56" s="507"/>
      <c r="BB56" s="505" t="e">
        <f aca="false">$H56-$BV56</f>
        <v>#VALUE!</v>
      </c>
      <c r="BC56" s="505" t="e">
        <f aca="false">I56-BW56</f>
        <v>#VALUE!</v>
      </c>
      <c r="BD56" s="370" t="e">
        <f aca="false">N56-BX56</f>
        <v>#VALUE!</v>
      </c>
      <c r="BE56" s="370" t="e">
        <f aca="false">O56-BY56</f>
        <v>#VALUE!</v>
      </c>
      <c r="BF56" s="370" t="e">
        <f aca="false">xSPRDOPT($BW56,$BV56,$CG56,0,$BY56,$BX56,$BZ56,$AJ56,1,4)*$CB56</f>
        <v>#NAME?</v>
      </c>
      <c r="BG56" s="370" t="e">
        <f aca="false">xSPRDOPT($BW56,$BV56,$CG56,0,$BY56,$BX56,$BZ56,$AJ56,1,3)*$CB56</f>
        <v>#NAME?</v>
      </c>
      <c r="BH56" s="370" t="e">
        <f aca="false">IF(OR(BF56&lt;&gt;0,BG56&lt;&gt;0),xSPRDOPT($BW56,$BV56,$CG56,0,$BY56,$BX56,$BZ56,$AJ56,1,12)*$CB56,0)</f>
        <v>#NAME?</v>
      </c>
      <c r="BI56" s="370" t="e">
        <f aca="false">xSPRDOPT($BW56,$BV56,$CG56,2*LN(1+CA56/2),$BY56,$BX56,$BZ56,$AJ56,1,9)</f>
        <v>#NAME?</v>
      </c>
      <c r="BJ56" s="370" t="e">
        <f aca="false">xSPRDOPT($BW56,$BV56,$CG56,0,$BY56,$BX56,$BZ56,$AJ56,1,6)*$CB56</f>
        <v>#NAME?</v>
      </c>
      <c r="BK56" s="370" t="e">
        <f aca="false">xSPRDOPT($BW56,$BV56,$CG56,0,$BY56,$BX56,$BZ56,$AJ56,1,5)*$CB56</f>
        <v>#NAME?</v>
      </c>
      <c r="BL56" s="370" t="e">
        <f aca="false">xSPRDOPT(BW56,BV56,CG56,0,BY56,BX56,BZ56,AJ56,1,2)*CB56</f>
        <v>#NAME?</v>
      </c>
      <c r="BM56" s="370" t="e">
        <f aca="false">xSPRDOPT(BW56,BV56,CG56,0,BY56,BX56,BZ56,AJ56,1,1)*CB56</f>
        <v>#NAME?</v>
      </c>
      <c r="BN56" s="370" t="e">
        <f aca="false">IF(AH56&lt;&gt;0,xSPRDOPT($BW56,$BV56,$CG56,2*LN(1+CA56/2),$BY56,$BX56,$BZ56,$AJ56,1,8)+(AJ56/365.25)*CH56/AH56,0)</f>
        <v>#VALUE!</v>
      </c>
      <c r="BO56" s="370" t="e">
        <f aca="false">xSPRDOPT($BW56,$BV56,$CG56,0,$BY56,$BX56,$BZ56,$AJ56,1,0)</f>
        <v>#NAME?</v>
      </c>
      <c r="BP56" s="370"/>
      <c r="BQ56" s="370"/>
      <c r="BR56" s="370"/>
      <c r="BS56" s="370"/>
      <c r="BV56" s="508" t="n">
        <v>3.44578313253012</v>
      </c>
      <c r="BW56" s="369" t="n">
        <v>3.467</v>
      </c>
      <c r="BX56" s="370" t="n">
        <v>0.37</v>
      </c>
      <c r="BY56" s="370" t="n">
        <v>0.37</v>
      </c>
      <c r="BZ56" s="370" t="n">
        <v>0</v>
      </c>
      <c r="CA56" s="370" t="n">
        <v>0.0348361539671314</v>
      </c>
      <c r="CB56" s="370" t="n">
        <v>0</v>
      </c>
      <c r="CC56" s="505" t="n">
        <v>0</v>
      </c>
      <c r="CD56" s="505" t="n">
        <v>0.03</v>
      </c>
      <c r="CE56" s="505" t="n">
        <v>0.065</v>
      </c>
      <c r="CF56" s="505" t="n">
        <v>0</v>
      </c>
      <c r="CG56" s="505" t="n">
        <v>0.0006</v>
      </c>
      <c r="CH56" s="505" t="n">
        <v>0</v>
      </c>
      <c r="CI56" s="505" t="n">
        <v>3.402</v>
      </c>
      <c r="CJ56" s="505"/>
      <c r="CK56" s="505"/>
      <c r="CL56" s="505"/>
      <c r="CM56" s="505"/>
    </row>
    <row r="57" customFormat="false" ht="12.75" hidden="false" customHeight="false" outlineLevel="0" collapsed="false">
      <c r="A57" s="500"/>
      <c r="B57" s="500"/>
      <c r="D57" s="361" t="e">
        <f aca="false">D56+AH56</f>
        <v>#VALUE!</v>
      </c>
      <c r="F57" s="362" t="e">
        <f aca="false">VLOOKUP(AG57,$AL$4:$AS$15,2)</f>
        <v>#VALUE!</v>
      </c>
      <c r="G57" s="362" t="e">
        <f aca="false">F57*$AU57</f>
        <v>#VALUE!</v>
      </c>
      <c r="H57" s="363" t="e">
        <f aca="false">(AL57+AM57+AN57)/(1-(AR57))</f>
        <v>#VALUE!</v>
      </c>
      <c r="I57" s="363" t="e">
        <f aca="false">(AL57+AO57+AP57)</f>
        <v>#VALUE!</v>
      </c>
      <c r="K57" s="363" t="e">
        <f aca="false">MAX(((I57-H57)-AQ57)*AU57*AH57,0)</f>
        <v>#VALUE!</v>
      </c>
      <c r="L57" s="501" t="e">
        <f aca="false">MAX(Q57-K57,0)</f>
        <v>#VALUE!</v>
      </c>
      <c r="N57" s="502" t="e">
        <f aca="false">SQRT(($AX57^2*($AH57/2)+$AW57^2*$AI57)/(($AH57/2)+$AI57))</f>
        <v>#VALUE!</v>
      </c>
      <c r="O57" s="502" t="e">
        <f aca="false">SQRT(($AY57^2*($AH57/2)+$AW57^2*$AI57)/(($AH57/2)+$AI57))</f>
        <v>#VALUE!</v>
      </c>
      <c r="P57" s="371" t="e">
        <f aca="false">(VLOOKUP(AI57,CorrelationTwo,2)*(AW57^2)*AI57+VLOOKUP(D57,CorrelationOne,$AK$9)*AX57*AY57*(AH57/2))/((AI57+(AH57/2))*O57*N57)*AF57</f>
        <v>#VALUE!</v>
      </c>
      <c r="Q57" s="501" t="e">
        <f aca="false">xSPRDOPT(I57,H57,AQ57,0,O57,N57,P57,D57-$G$5,1,0)*AH57*AU57</f>
        <v>#VALUE!</v>
      </c>
      <c r="R57" s="501"/>
      <c r="S57" s="365" t="e">
        <f aca="false">xSPRDOPT(I57,H57,AQ57,AT57,O57,N57,P57,D57-$G$5,1,2)*AF57*(F57/(1-AR57))*AH57</f>
        <v>#VALUE!</v>
      </c>
      <c r="T57" s="365" t="e">
        <f aca="false">xSPRDOPT(I57,H57,AQ57,AT57,O57,N57,P57,D57-$G$5,1,1)*AF57*F57*AH57</f>
        <v>#VALUE!</v>
      </c>
      <c r="U57" s="501"/>
      <c r="V57" s="503" t="e">
        <f aca="false">VLOOKUP($AG57,$AL$4:$AS$15,8)*AH57*AU57</f>
        <v>#VALUE!</v>
      </c>
      <c r="W57" s="503"/>
      <c r="X57" s="504" t="e">
        <f aca="false">((BM57*BC57)+(BL57*BB57))*AH57*F57</f>
        <v>#VALUE!</v>
      </c>
      <c r="Y57" s="504" t="e">
        <f aca="false">($F57*$AH57)*((($BG57/2)*($BC57)^2)+(($BF57/2)*($BB57)^2)+($BH57*$BC57*$BB57))</f>
        <v>#VALUE!</v>
      </c>
      <c r="Z57" s="504" t="e">
        <f aca="false">($BI57*$F57*$AH57*($G$5-$BV$5))/365.25</f>
        <v>#VALUE!</v>
      </c>
      <c r="AA57" s="504" t="e">
        <f aca="false">(($BK57*$BE57)+($BJ57*$BD57))*$F57*$AH57*$AF57</f>
        <v>#VALUE!</v>
      </c>
      <c r="AB57" s="504" t="e">
        <f aca="false">BN57*(AT57-CA57)*F57*AH57</f>
        <v>#VALUE!</v>
      </c>
      <c r="AC57" s="504" t="e">
        <f aca="false">BO57*CB57*F57*AH57*CA57*($G$5-$BV$5)/365.25</f>
        <v>#NAME?</v>
      </c>
      <c r="AF57" s="378" t="e">
        <f aca="false">IF(AND(D57&gt;=$G$7,D57&lt;=$G$8),1,0)</f>
        <v>#VALUE!</v>
      </c>
      <c r="AG57" s="378" t="e">
        <f aca="false">MONTH(D57)</f>
        <v>#VALUE!</v>
      </c>
      <c r="AH57" s="378" t="e">
        <f aca="false">(EOMONTH(D57,0)-EOMONTH(D57-DAY(D57),0))*AF57</f>
        <v>#VALUE!</v>
      </c>
      <c r="AI57" s="378" t="e">
        <f aca="false">AI56+AH56</f>
        <v>#VALUE!</v>
      </c>
      <c r="AJ57" s="378" t="e">
        <f aca="false">D57-$BV$5</f>
        <v>#VALUE!</v>
      </c>
      <c r="AL57" s="369" t="e">
        <f aca="false">VLOOKUP($D57,CurveTbl,$AK$4)</f>
        <v>#VALUE!</v>
      </c>
      <c r="AM57" s="505" t="e">
        <f aca="false">VLOOKUP($D57,CurveTbl,$AH$3)</f>
        <v>#VALUE!</v>
      </c>
      <c r="AN57" s="505" t="e">
        <f aca="false">VLOOKUP($D57,CurveTbl,$AH$4)+VLOOKUP($AG57,$AL$3:$AS$15,6)</f>
        <v>#VALUE!</v>
      </c>
      <c r="AO57" s="505" t="e">
        <f aca="false">VLOOKUP($D57,CurveTbl,$AH$5)</f>
        <v>#VALUE!</v>
      </c>
      <c r="AP57" s="505" t="e">
        <f aca="false">VLOOKUP($D57,CurveTbl,$AH$6)+VLOOKUP($AG57,$AL$3:$AS$15,7)</f>
        <v>#VALUE!</v>
      </c>
      <c r="AQ57" s="369" t="e">
        <f aca="false">VLOOKUP($AG57,$AL$4:$AS$15,3)+VLOOKUP($AG57,$AL$4:$AS$15,5)+($AH$10*VLOOKUP(D57,GRITable,2))</f>
        <v>#VALUE!</v>
      </c>
      <c r="AR57" s="370" t="e">
        <f aca="false">VLOOKUP($AG57,$AL$4:$AS$15,4)</f>
        <v>#VALUE!</v>
      </c>
      <c r="AS57" s="369" t="e">
        <f aca="false">(AL57+AM57+AN57)</f>
        <v>#VALUE!</v>
      </c>
      <c r="AT57" s="370" t="e">
        <f aca="false">VLOOKUP(D57,CurveTbl,$AK$6)</f>
        <v>#VALUE!</v>
      </c>
      <c r="AU57" s="370" t="e">
        <f aca="false">(1+$AT57/2)^(-2*($D57-$G$5)/365.25)*$AF57</f>
        <v>#VALUE!</v>
      </c>
      <c r="AV57" s="506" t="e">
        <f aca="false">ROUND((F57/(1-AR57))-F57,0)*AF57*AH57*AU57</f>
        <v>#VALUE!</v>
      </c>
      <c r="AW57" s="370" t="e">
        <f aca="false">VLOOKUP($D57,CurveTbl,$AK$8)</f>
        <v>#VALUE!</v>
      </c>
      <c r="AX57" s="370" t="e">
        <f aca="false">VLOOKUP($D57,CurveTbl,$AH$7)</f>
        <v>#VALUE!</v>
      </c>
      <c r="AY57" s="370" t="e">
        <f aca="false">VLOOKUP($D57,CurveTbl,$AH$8)</f>
        <v>#VALUE!</v>
      </c>
      <c r="AZ57" s="370"/>
      <c r="BA57" s="507"/>
      <c r="BB57" s="505" t="e">
        <f aca="false">$H57-$BV57</f>
        <v>#VALUE!</v>
      </c>
      <c r="BC57" s="505" t="e">
        <f aca="false">I57-BW57</f>
        <v>#VALUE!</v>
      </c>
      <c r="BD57" s="370" t="e">
        <f aca="false">N57-BX57</f>
        <v>#VALUE!</v>
      </c>
      <c r="BE57" s="370" t="e">
        <f aca="false">O57-BY57</f>
        <v>#VALUE!</v>
      </c>
      <c r="BF57" s="370" t="e">
        <f aca="false">xSPRDOPT($BW57,$BV57,$CG57,0,$BY57,$BX57,$BZ57,$AJ57,1,4)*$CB57</f>
        <v>#NAME?</v>
      </c>
      <c r="BG57" s="370" t="e">
        <f aca="false">xSPRDOPT($BW57,$BV57,$CG57,0,$BY57,$BX57,$BZ57,$AJ57,1,3)*$CB57</f>
        <v>#NAME?</v>
      </c>
      <c r="BH57" s="370" t="e">
        <f aca="false">IF(OR(BF57&lt;&gt;0,BG57&lt;&gt;0),xSPRDOPT($BW57,$BV57,$CG57,0,$BY57,$BX57,$BZ57,$AJ57,1,12)*$CB57,0)</f>
        <v>#NAME?</v>
      </c>
      <c r="BI57" s="370" t="e">
        <f aca="false">xSPRDOPT($BW57,$BV57,$CG57,2*LN(1+CA57/2),$BY57,$BX57,$BZ57,$AJ57,1,9)</f>
        <v>#NAME?</v>
      </c>
      <c r="BJ57" s="370" t="e">
        <f aca="false">xSPRDOPT($BW57,$BV57,$CG57,0,$BY57,$BX57,$BZ57,$AJ57,1,6)*$CB57</f>
        <v>#NAME?</v>
      </c>
      <c r="BK57" s="370" t="e">
        <f aca="false">xSPRDOPT($BW57,$BV57,$CG57,0,$BY57,$BX57,$BZ57,$AJ57,1,5)*$CB57</f>
        <v>#NAME?</v>
      </c>
      <c r="BL57" s="370" t="e">
        <f aca="false">xSPRDOPT(BW57,BV57,CG57,0,BY57,BX57,BZ57,AJ57,1,2)*CB57</f>
        <v>#NAME?</v>
      </c>
      <c r="BM57" s="370" t="e">
        <f aca="false">xSPRDOPT(BW57,BV57,CG57,0,BY57,BX57,BZ57,AJ57,1,1)*CB57</f>
        <v>#NAME?</v>
      </c>
      <c r="BN57" s="370" t="e">
        <f aca="false">IF(AH57&lt;&gt;0,xSPRDOPT($BW57,$BV57,$CG57,2*LN(1+CA57/2),$BY57,$BX57,$BZ57,$AJ57,1,8)+(AJ57/365.25)*CH57/AH57,0)</f>
        <v>#VALUE!</v>
      </c>
      <c r="BO57" s="370" t="e">
        <f aca="false">xSPRDOPT($BW57,$BV57,$CG57,0,$BY57,$BX57,$BZ57,$AJ57,1,0)</f>
        <v>#NAME?</v>
      </c>
      <c r="BP57" s="370"/>
      <c r="BQ57" s="370"/>
      <c r="BR57" s="370"/>
      <c r="BS57" s="370"/>
      <c r="BV57" s="508" t="n">
        <v>3.44578313253012</v>
      </c>
      <c r="BW57" s="369" t="n">
        <v>3.467</v>
      </c>
      <c r="BX57" s="370" t="n">
        <v>0.37</v>
      </c>
      <c r="BY57" s="370" t="n">
        <v>0.37</v>
      </c>
      <c r="BZ57" s="370" t="n">
        <v>0</v>
      </c>
      <c r="CA57" s="370" t="n">
        <v>0.0348361539671314</v>
      </c>
      <c r="CB57" s="370" t="n">
        <v>0</v>
      </c>
      <c r="CC57" s="505" t="n">
        <v>0</v>
      </c>
      <c r="CD57" s="505" t="n">
        <v>0.03</v>
      </c>
      <c r="CE57" s="505" t="n">
        <v>0.065</v>
      </c>
      <c r="CF57" s="505" t="n">
        <v>0</v>
      </c>
      <c r="CG57" s="505" t="n">
        <v>0.0006</v>
      </c>
      <c r="CH57" s="505" t="n">
        <v>0</v>
      </c>
      <c r="CI57" s="505" t="n">
        <v>3.402</v>
      </c>
      <c r="CJ57" s="505"/>
      <c r="CK57" s="505"/>
      <c r="CL57" s="505"/>
      <c r="CM57" s="505"/>
    </row>
    <row r="58" customFormat="false" ht="12.75" hidden="false" customHeight="false" outlineLevel="0" collapsed="false">
      <c r="A58" s="500"/>
      <c r="B58" s="500"/>
      <c r="D58" s="361" t="e">
        <f aca="false">D57+AH57</f>
        <v>#VALUE!</v>
      </c>
      <c r="F58" s="362" t="e">
        <f aca="false">VLOOKUP(AG58,$AL$4:$AS$15,2)</f>
        <v>#VALUE!</v>
      </c>
      <c r="G58" s="362" t="e">
        <f aca="false">F58*$AU58</f>
        <v>#VALUE!</v>
      </c>
      <c r="H58" s="363" t="e">
        <f aca="false">(AL58+AM58+AN58)/(1-(AR58))</f>
        <v>#VALUE!</v>
      </c>
      <c r="I58" s="363" t="e">
        <f aca="false">(AL58+AO58+AP58)</f>
        <v>#VALUE!</v>
      </c>
      <c r="K58" s="363" t="e">
        <f aca="false">MAX(((I58-H58)-AQ58)*AU58*AH58,0)</f>
        <v>#VALUE!</v>
      </c>
      <c r="L58" s="501" t="e">
        <f aca="false">MAX(Q58-K58,0)</f>
        <v>#VALUE!</v>
      </c>
      <c r="N58" s="502" t="e">
        <f aca="false">SQRT(($AX58^2*($AH58/2)+$AW58^2*$AI58)/(($AH58/2)+$AI58))</f>
        <v>#VALUE!</v>
      </c>
      <c r="O58" s="502" t="e">
        <f aca="false">SQRT(($AY58^2*($AH58/2)+$AW58^2*$AI58)/(($AH58/2)+$AI58))</f>
        <v>#VALUE!</v>
      </c>
      <c r="P58" s="371" t="e">
        <f aca="false">(VLOOKUP(AI58,CorrelationTwo,2)*(AW58^2)*AI58+VLOOKUP(D58,CorrelationOne,$AK$9)*AX58*AY58*(AH58/2))/((AI58+(AH58/2))*O58*N58)*AF58</f>
        <v>#VALUE!</v>
      </c>
      <c r="Q58" s="501" t="e">
        <f aca="false">xSPRDOPT(I58,H58,AQ58,0,O58,N58,P58,D58-$G$5,1,0)*AH58*AU58</f>
        <v>#VALUE!</v>
      </c>
      <c r="R58" s="501"/>
      <c r="S58" s="365" t="e">
        <f aca="false">xSPRDOPT(I58,H58,AQ58,AT58,O58,N58,P58,D58-$G$5,1,2)*AF58*(F58/(1-AR58))*AH58</f>
        <v>#VALUE!</v>
      </c>
      <c r="T58" s="365" t="e">
        <f aca="false">xSPRDOPT(I58,H58,AQ58,AT58,O58,N58,P58,D58-$G$5,1,1)*AF58*F58*AH58</f>
        <v>#VALUE!</v>
      </c>
      <c r="U58" s="501"/>
      <c r="V58" s="503" t="e">
        <f aca="false">VLOOKUP($AG58,$AL$4:$AS$15,8)*AH58*AU58</f>
        <v>#VALUE!</v>
      </c>
      <c r="W58" s="503"/>
      <c r="X58" s="504" t="e">
        <f aca="false">((BM58*BC58)+(BL58*BB58))*AH58*F58</f>
        <v>#VALUE!</v>
      </c>
      <c r="Y58" s="504" t="e">
        <f aca="false">($F58*$AH58)*((($BG58/2)*($BC58)^2)+(($BF58/2)*($BB58)^2)+($BH58*$BC58*$BB58))</f>
        <v>#VALUE!</v>
      </c>
      <c r="Z58" s="504" t="e">
        <f aca="false">($BI58*$F58*$AH58*($G$5-$BV$5))/365.25</f>
        <v>#VALUE!</v>
      </c>
      <c r="AA58" s="504" t="e">
        <f aca="false">(($BK58*$BE58)+($BJ58*$BD58))*$F58*$AH58*$AF58</f>
        <v>#VALUE!</v>
      </c>
      <c r="AB58" s="504" t="e">
        <f aca="false">BN58*(AT58-CA58)*F58*AH58</f>
        <v>#VALUE!</v>
      </c>
      <c r="AC58" s="504" t="e">
        <f aca="false">BO58*CB58*F58*AH58*CA58*($G$5-$BV$5)/365.25</f>
        <v>#NAME?</v>
      </c>
      <c r="AF58" s="378" t="e">
        <f aca="false">IF(AND(D58&gt;=$G$7,D58&lt;=$G$8),1,0)</f>
        <v>#VALUE!</v>
      </c>
      <c r="AG58" s="378" t="e">
        <f aca="false">MONTH(D58)</f>
        <v>#VALUE!</v>
      </c>
      <c r="AH58" s="378" t="e">
        <f aca="false">(EOMONTH(D58,0)-EOMONTH(D58-DAY(D58),0))*AF58</f>
        <v>#VALUE!</v>
      </c>
      <c r="AI58" s="378" t="e">
        <f aca="false">AI57+AH57</f>
        <v>#VALUE!</v>
      </c>
      <c r="AJ58" s="378" t="e">
        <f aca="false">D58-$BV$5</f>
        <v>#VALUE!</v>
      </c>
      <c r="AL58" s="369" t="e">
        <f aca="false">VLOOKUP($D58,CurveTbl,$AK$4)</f>
        <v>#VALUE!</v>
      </c>
      <c r="AM58" s="505" t="e">
        <f aca="false">VLOOKUP($D58,CurveTbl,$AH$3)</f>
        <v>#VALUE!</v>
      </c>
      <c r="AN58" s="505" t="e">
        <f aca="false">VLOOKUP($D58,CurveTbl,$AH$4)+VLOOKUP($AG58,$AL$3:$AS$15,6)</f>
        <v>#VALUE!</v>
      </c>
      <c r="AO58" s="505" t="e">
        <f aca="false">VLOOKUP($D58,CurveTbl,$AH$5)</f>
        <v>#VALUE!</v>
      </c>
      <c r="AP58" s="505" t="e">
        <f aca="false">VLOOKUP($D58,CurveTbl,$AH$6)+VLOOKUP($AG58,$AL$3:$AS$15,7)</f>
        <v>#VALUE!</v>
      </c>
      <c r="AQ58" s="369" t="e">
        <f aca="false">VLOOKUP($AG58,$AL$4:$AS$15,3)+VLOOKUP($AG58,$AL$4:$AS$15,5)+($AH$10*VLOOKUP(D58,GRITable,2))</f>
        <v>#VALUE!</v>
      </c>
      <c r="AR58" s="370" t="e">
        <f aca="false">VLOOKUP($AG58,$AL$4:$AS$15,4)</f>
        <v>#VALUE!</v>
      </c>
      <c r="AS58" s="369" t="e">
        <f aca="false">(AL58+AM58+AN58)</f>
        <v>#VALUE!</v>
      </c>
      <c r="AT58" s="370" t="e">
        <f aca="false">VLOOKUP(D58,CurveTbl,$AK$6)</f>
        <v>#VALUE!</v>
      </c>
      <c r="AU58" s="370" t="e">
        <f aca="false">(1+$AT58/2)^(-2*($D58-$G$5)/365.25)*$AF58</f>
        <v>#VALUE!</v>
      </c>
      <c r="AV58" s="506" t="e">
        <f aca="false">ROUND((F58/(1-AR58))-F58,0)*AF58*AH58*AU58</f>
        <v>#VALUE!</v>
      </c>
      <c r="AW58" s="370" t="e">
        <f aca="false">VLOOKUP($D58,CurveTbl,$AK$8)</f>
        <v>#VALUE!</v>
      </c>
      <c r="AX58" s="370" t="e">
        <f aca="false">VLOOKUP($D58,CurveTbl,$AH$7)</f>
        <v>#VALUE!</v>
      </c>
      <c r="AY58" s="370" t="e">
        <f aca="false">VLOOKUP($D58,CurveTbl,$AH$8)</f>
        <v>#VALUE!</v>
      </c>
      <c r="AZ58" s="370"/>
      <c r="BA58" s="507"/>
      <c r="BB58" s="505" t="e">
        <f aca="false">$H58-$BV58</f>
        <v>#VALUE!</v>
      </c>
      <c r="BC58" s="505" t="e">
        <f aca="false">I58-BW58</f>
        <v>#VALUE!</v>
      </c>
      <c r="BD58" s="370" t="e">
        <f aca="false">N58-BX58</f>
        <v>#VALUE!</v>
      </c>
      <c r="BE58" s="370" t="e">
        <f aca="false">O58-BY58</f>
        <v>#VALUE!</v>
      </c>
      <c r="BF58" s="370" t="e">
        <f aca="false">xSPRDOPT($BW58,$BV58,$CG58,0,$BY58,$BX58,$BZ58,$AJ58,1,4)*$CB58</f>
        <v>#NAME?</v>
      </c>
      <c r="BG58" s="370" t="e">
        <f aca="false">xSPRDOPT($BW58,$BV58,$CG58,0,$BY58,$BX58,$BZ58,$AJ58,1,3)*$CB58</f>
        <v>#NAME?</v>
      </c>
      <c r="BH58" s="370" t="e">
        <f aca="false">IF(OR(BF58&lt;&gt;0,BG58&lt;&gt;0),xSPRDOPT($BW58,$BV58,$CG58,0,$BY58,$BX58,$BZ58,$AJ58,1,12)*$CB58,0)</f>
        <v>#NAME?</v>
      </c>
      <c r="BI58" s="370" t="e">
        <f aca="false">xSPRDOPT($BW58,$BV58,$CG58,2*LN(1+CA58/2),$BY58,$BX58,$BZ58,$AJ58,1,9)</f>
        <v>#NAME?</v>
      </c>
      <c r="BJ58" s="370" t="e">
        <f aca="false">xSPRDOPT($BW58,$BV58,$CG58,0,$BY58,$BX58,$BZ58,$AJ58,1,6)*$CB58</f>
        <v>#NAME?</v>
      </c>
      <c r="BK58" s="370" t="e">
        <f aca="false">xSPRDOPT($BW58,$BV58,$CG58,0,$BY58,$BX58,$BZ58,$AJ58,1,5)*$CB58</f>
        <v>#NAME?</v>
      </c>
      <c r="BL58" s="370" t="e">
        <f aca="false">xSPRDOPT(BW58,BV58,CG58,0,BY58,BX58,BZ58,AJ58,1,2)*CB58</f>
        <v>#NAME?</v>
      </c>
      <c r="BM58" s="370" t="e">
        <f aca="false">xSPRDOPT(BW58,BV58,CG58,0,BY58,BX58,BZ58,AJ58,1,1)*CB58</f>
        <v>#NAME?</v>
      </c>
      <c r="BN58" s="370" t="e">
        <f aca="false">IF(AH58&lt;&gt;0,xSPRDOPT($BW58,$BV58,$CG58,2*LN(1+CA58/2),$BY58,$BX58,$BZ58,$AJ58,1,8)+(AJ58/365.25)*CH58/AH58,0)</f>
        <v>#VALUE!</v>
      </c>
      <c r="BO58" s="370" t="e">
        <f aca="false">xSPRDOPT($BW58,$BV58,$CG58,0,$BY58,$BX58,$BZ58,$AJ58,1,0)</f>
        <v>#NAME?</v>
      </c>
      <c r="BP58" s="370"/>
      <c r="BQ58" s="370"/>
      <c r="BR58" s="370"/>
      <c r="BS58" s="370"/>
      <c r="BV58" s="508" t="n">
        <v>3.44578313253012</v>
      </c>
      <c r="BW58" s="369" t="n">
        <v>3.467</v>
      </c>
      <c r="BX58" s="370" t="n">
        <v>0.37</v>
      </c>
      <c r="BY58" s="370" t="n">
        <v>0.37</v>
      </c>
      <c r="BZ58" s="370" t="n">
        <v>0</v>
      </c>
      <c r="CA58" s="370" t="n">
        <v>0.0348361539671314</v>
      </c>
      <c r="CB58" s="370" t="n">
        <v>0</v>
      </c>
      <c r="CC58" s="505" t="n">
        <v>0</v>
      </c>
      <c r="CD58" s="505" t="n">
        <v>0.03</v>
      </c>
      <c r="CE58" s="505" t="n">
        <v>0.065</v>
      </c>
      <c r="CF58" s="505" t="n">
        <v>0</v>
      </c>
      <c r="CG58" s="505" t="n">
        <v>0.0006</v>
      </c>
      <c r="CH58" s="505" t="n">
        <v>0</v>
      </c>
      <c r="CI58" s="505" t="n">
        <v>3.402</v>
      </c>
      <c r="CJ58" s="505"/>
      <c r="CK58" s="505"/>
      <c r="CL58" s="505"/>
      <c r="CM58" s="505"/>
    </row>
    <row r="59" customFormat="false" ht="12.75" hidden="false" customHeight="false" outlineLevel="0" collapsed="false">
      <c r="A59" s="500"/>
      <c r="B59" s="500"/>
      <c r="D59" s="361" t="e">
        <f aca="false">D58+AH58</f>
        <v>#VALUE!</v>
      </c>
      <c r="F59" s="362" t="e">
        <f aca="false">VLOOKUP(AG59,$AL$4:$AS$15,2)</f>
        <v>#VALUE!</v>
      </c>
      <c r="G59" s="362" t="e">
        <f aca="false">F59*$AU59</f>
        <v>#VALUE!</v>
      </c>
      <c r="H59" s="363" t="e">
        <f aca="false">(AL59+AM59+AN59)/(1-(AR59))</f>
        <v>#VALUE!</v>
      </c>
      <c r="I59" s="363" t="e">
        <f aca="false">(AL59+AO59+AP59)</f>
        <v>#VALUE!</v>
      </c>
      <c r="K59" s="363" t="e">
        <f aca="false">MAX(((I59-H59)-AQ59)*AU59*AH59,0)</f>
        <v>#VALUE!</v>
      </c>
      <c r="L59" s="501" t="e">
        <f aca="false">MAX(Q59-K59,0)</f>
        <v>#VALUE!</v>
      </c>
      <c r="N59" s="502" t="e">
        <f aca="false">SQRT(($AX59^2*($AH59/2)+$AW59^2*$AI59)/(($AH59/2)+$AI59))</f>
        <v>#VALUE!</v>
      </c>
      <c r="O59" s="502" t="e">
        <f aca="false">SQRT(($AY59^2*($AH59/2)+$AW59^2*$AI59)/(($AH59/2)+$AI59))</f>
        <v>#VALUE!</v>
      </c>
      <c r="P59" s="371" t="e">
        <f aca="false">(VLOOKUP(AI59,CorrelationTwo,2)*(AW59^2)*AI59+VLOOKUP(D59,CorrelationOne,$AK$9)*AX59*AY59*(AH59/2))/((AI59+(AH59/2))*O59*N59)*AF59</f>
        <v>#VALUE!</v>
      </c>
      <c r="Q59" s="501" t="e">
        <f aca="false">xSPRDOPT(I59,H59,AQ59,0,O59,N59,P59,D59-$G$5,1,0)*AH59*AU59</f>
        <v>#VALUE!</v>
      </c>
      <c r="R59" s="501"/>
      <c r="S59" s="365" t="e">
        <f aca="false">xSPRDOPT(I59,H59,AQ59,AT59,O59,N59,P59,D59-$G$5,1,2)*AF59*(F59/(1-AR59))*AH59</f>
        <v>#VALUE!</v>
      </c>
      <c r="T59" s="365" t="e">
        <f aca="false">xSPRDOPT(I59,H59,AQ59,AT59,O59,N59,P59,D59-$G$5,1,1)*AF59*F59*AH59</f>
        <v>#VALUE!</v>
      </c>
      <c r="U59" s="501"/>
      <c r="V59" s="503" t="e">
        <f aca="false">VLOOKUP($AG59,$AL$4:$AS$15,8)*AH59*AU59</f>
        <v>#VALUE!</v>
      </c>
      <c r="W59" s="503"/>
      <c r="X59" s="504" t="e">
        <f aca="false">((BM59*BC59)+(BL59*BB59))*AH59*F59</f>
        <v>#VALUE!</v>
      </c>
      <c r="Y59" s="504" t="e">
        <f aca="false">($F59*$AH59)*((($BG59/2)*($BC59)^2)+(($BF59/2)*($BB59)^2)+($BH59*$BC59*$BB59))</f>
        <v>#VALUE!</v>
      </c>
      <c r="Z59" s="504" t="e">
        <f aca="false">($BI59*$F59*$AH59*($G$5-$BV$5))/365.25</f>
        <v>#VALUE!</v>
      </c>
      <c r="AA59" s="504" t="e">
        <f aca="false">(($BK59*$BE59)+($BJ59*$BD59))*$F59*$AH59*$AF59</f>
        <v>#VALUE!</v>
      </c>
      <c r="AB59" s="504" t="e">
        <f aca="false">BN59*(AT59-CA59)*F59*AH59</f>
        <v>#VALUE!</v>
      </c>
      <c r="AC59" s="504" t="e">
        <f aca="false">BO59*CB59*F59*AH59*CA59*($G$5-$BV$5)/365.25</f>
        <v>#NAME?</v>
      </c>
      <c r="AF59" s="378" t="e">
        <f aca="false">IF(AND(D59&gt;=$G$7,D59&lt;=$G$8),1,0)</f>
        <v>#VALUE!</v>
      </c>
      <c r="AG59" s="378" t="e">
        <f aca="false">MONTH(D59)</f>
        <v>#VALUE!</v>
      </c>
      <c r="AH59" s="378" t="e">
        <f aca="false">(EOMONTH(D59,0)-EOMONTH(D59-DAY(D59),0))*AF59</f>
        <v>#VALUE!</v>
      </c>
      <c r="AI59" s="378" t="e">
        <f aca="false">AI58+AH58</f>
        <v>#VALUE!</v>
      </c>
      <c r="AJ59" s="378" t="e">
        <f aca="false">D59-$BV$5</f>
        <v>#VALUE!</v>
      </c>
      <c r="AL59" s="369" t="e">
        <f aca="false">VLOOKUP($D59,CurveTbl,$AK$4)</f>
        <v>#VALUE!</v>
      </c>
      <c r="AM59" s="505" t="e">
        <f aca="false">VLOOKUP($D59,CurveTbl,$AH$3)</f>
        <v>#VALUE!</v>
      </c>
      <c r="AN59" s="505" t="e">
        <f aca="false">VLOOKUP($D59,CurveTbl,$AH$4)+VLOOKUP($AG59,$AL$3:$AS$15,6)</f>
        <v>#VALUE!</v>
      </c>
      <c r="AO59" s="505" t="e">
        <f aca="false">VLOOKUP($D59,CurveTbl,$AH$5)</f>
        <v>#VALUE!</v>
      </c>
      <c r="AP59" s="505" t="e">
        <f aca="false">VLOOKUP($D59,CurveTbl,$AH$6)+VLOOKUP($AG59,$AL$3:$AS$15,7)</f>
        <v>#VALUE!</v>
      </c>
      <c r="AQ59" s="369" t="e">
        <f aca="false">VLOOKUP($AG59,$AL$4:$AS$15,3)+VLOOKUP($AG59,$AL$4:$AS$15,5)+($AH$10*VLOOKUP(D59,GRITable,2))</f>
        <v>#VALUE!</v>
      </c>
      <c r="AR59" s="370" t="e">
        <f aca="false">VLOOKUP($AG59,$AL$4:$AS$15,4)</f>
        <v>#VALUE!</v>
      </c>
      <c r="AS59" s="369" t="e">
        <f aca="false">(AL59+AM59+AN59)</f>
        <v>#VALUE!</v>
      </c>
      <c r="AT59" s="370" t="e">
        <f aca="false">VLOOKUP(D59,CurveTbl,$AK$6)</f>
        <v>#VALUE!</v>
      </c>
      <c r="AU59" s="370" t="e">
        <f aca="false">(1+$AT59/2)^(-2*($D59-$G$5)/365.25)*$AF59</f>
        <v>#VALUE!</v>
      </c>
      <c r="AV59" s="506" t="e">
        <f aca="false">ROUND((F59/(1-AR59))-F59,0)*AF59*AH59*AU59</f>
        <v>#VALUE!</v>
      </c>
      <c r="AW59" s="370" t="e">
        <f aca="false">VLOOKUP($D59,CurveTbl,$AK$8)</f>
        <v>#VALUE!</v>
      </c>
      <c r="AX59" s="370" t="e">
        <f aca="false">VLOOKUP($D59,CurveTbl,$AH$7)</f>
        <v>#VALUE!</v>
      </c>
      <c r="AY59" s="370" t="e">
        <f aca="false">VLOOKUP($D59,CurveTbl,$AH$8)</f>
        <v>#VALUE!</v>
      </c>
      <c r="AZ59" s="370"/>
      <c r="BA59" s="507"/>
      <c r="BB59" s="505" t="e">
        <f aca="false">$H59-$BV59</f>
        <v>#VALUE!</v>
      </c>
      <c r="BC59" s="505" t="e">
        <f aca="false">I59-BW59</f>
        <v>#VALUE!</v>
      </c>
      <c r="BD59" s="370" t="e">
        <f aca="false">N59-BX59</f>
        <v>#VALUE!</v>
      </c>
      <c r="BE59" s="370" t="e">
        <f aca="false">O59-BY59</f>
        <v>#VALUE!</v>
      </c>
      <c r="BF59" s="370" t="e">
        <f aca="false">xSPRDOPT($BW59,$BV59,$CG59,0,$BY59,$BX59,$BZ59,$AJ59,1,4)*$CB59</f>
        <v>#NAME?</v>
      </c>
      <c r="BG59" s="370" t="e">
        <f aca="false">xSPRDOPT($BW59,$BV59,$CG59,0,$BY59,$BX59,$BZ59,$AJ59,1,3)*$CB59</f>
        <v>#NAME?</v>
      </c>
      <c r="BH59" s="370" t="e">
        <f aca="false">IF(OR(BF59&lt;&gt;0,BG59&lt;&gt;0),xSPRDOPT($BW59,$BV59,$CG59,0,$BY59,$BX59,$BZ59,$AJ59,1,12)*$CB59,0)</f>
        <v>#NAME?</v>
      </c>
      <c r="BI59" s="370" t="e">
        <f aca="false">xSPRDOPT($BW59,$BV59,$CG59,2*LN(1+CA59/2),$BY59,$BX59,$BZ59,$AJ59,1,9)</f>
        <v>#NAME?</v>
      </c>
      <c r="BJ59" s="370" t="e">
        <f aca="false">xSPRDOPT($BW59,$BV59,$CG59,0,$BY59,$BX59,$BZ59,$AJ59,1,6)*$CB59</f>
        <v>#NAME?</v>
      </c>
      <c r="BK59" s="370" t="e">
        <f aca="false">xSPRDOPT($BW59,$BV59,$CG59,0,$BY59,$BX59,$BZ59,$AJ59,1,5)*$CB59</f>
        <v>#NAME?</v>
      </c>
      <c r="BL59" s="370" t="e">
        <f aca="false">xSPRDOPT(BW59,BV59,CG59,0,BY59,BX59,BZ59,AJ59,1,2)*CB59</f>
        <v>#NAME?</v>
      </c>
      <c r="BM59" s="370" t="e">
        <f aca="false">xSPRDOPT(BW59,BV59,CG59,0,BY59,BX59,BZ59,AJ59,1,1)*CB59</f>
        <v>#NAME?</v>
      </c>
      <c r="BN59" s="370" t="e">
        <f aca="false">IF(AH59&lt;&gt;0,xSPRDOPT($BW59,$BV59,$CG59,2*LN(1+CA59/2),$BY59,$BX59,$BZ59,$AJ59,1,8)+(AJ59/365.25)*CH59/AH59,0)</f>
        <v>#VALUE!</v>
      </c>
      <c r="BO59" s="370" t="e">
        <f aca="false">xSPRDOPT($BW59,$BV59,$CG59,0,$BY59,$BX59,$BZ59,$AJ59,1,0)</f>
        <v>#NAME?</v>
      </c>
      <c r="BP59" s="370"/>
      <c r="BQ59" s="370"/>
      <c r="BR59" s="370"/>
      <c r="BS59" s="370"/>
      <c r="BV59" s="508" t="n">
        <v>3.44578313253012</v>
      </c>
      <c r="BW59" s="369" t="n">
        <v>3.467</v>
      </c>
      <c r="BX59" s="370" t="n">
        <v>0.37</v>
      </c>
      <c r="BY59" s="370" t="n">
        <v>0.37</v>
      </c>
      <c r="BZ59" s="370" t="n">
        <v>0</v>
      </c>
      <c r="CA59" s="370" t="n">
        <v>0.0348361539671314</v>
      </c>
      <c r="CB59" s="370" t="n">
        <v>0</v>
      </c>
      <c r="CC59" s="505" t="n">
        <v>0</v>
      </c>
      <c r="CD59" s="505" t="n">
        <v>0.03</v>
      </c>
      <c r="CE59" s="505" t="n">
        <v>0.065</v>
      </c>
      <c r="CF59" s="505" t="n">
        <v>0</v>
      </c>
      <c r="CG59" s="505" t="n">
        <v>0.0006</v>
      </c>
      <c r="CH59" s="505" t="n">
        <v>0</v>
      </c>
      <c r="CI59" s="505" t="n">
        <v>3.402</v>
      </c>
      <c r="CJ59" s="505"/>
      <c r="CK59" s="505"/>
      <c r="CL59" s="505"/>
      <c r="CM59" s="505"/>
    </row>
    <row r="60" customFormat="false" ht="12.75" hidden="false" customHeight="false" outlineLevel="0" collapsed="false">
      <c r="A60" s="500"/>
      <c r="B60" s="500"/>
      <c r="D60" s="361" t="e">
        <f aca="false">D59+AH59</f>
        <v>#VALUE!</v>
      </c>
      <c r="F60" s="362" t="e">
        <f aca="false">VLOOKUP(AG60,$AL$4:$AS$15,2)</f>
        <v>#VALUE!</v>
      </c>
      <c r="G60" s="362" t="e">
        <f aca="false">F60*$AU60</f>
        <v>#VALUE!</v>
      </c>
      <c r="H60" s="363" t="e">
        <f aca="false">(AL60+AM60+AN60)/(1-(AR60))</f>
        <v>#VALUE!</v>
      </c>
      <c r="I60" s="363" t="e">
        <f aca="false">(AL60+AO60+AP60)</f>
        <v>#VALUE!</v>
      </c>
      <c r="K60" s="363" t="e">
        <f aca="false">MAX(((I60-H60)-AQ60)*AU60*AH60,0)</f>
        <v>#VALUE!</v>
      </c>
      <c r="L60" s="501" t="e">
        <f aca="false">MAX(Q60-K60,0)</f>
        <v>#VALUE!</v>
      </c>
      <c r="N60" s="502" t="e">
        <f aca="false">SQRT(($AX60^2*($AH60/2)+$AW60^2*$AI60)/(($AH60/2)+$AI60))</f>
        <v>#VALUE!</v>
      </c>
      <c r="O60" s="502" t="e">
        <f aca="false">SQRT(($AY60^2*($AH60/2)+$AW60^2*$AI60)/(($AH60/2)+$AI60))</f>
        <v>#VALUE!</v>
      </c>
      <c r="P60" s="371" t="e">
        <f aca="false">(VLOOKUP(AI60,CorrelationTwo,2)*(AW60^2)*AI60+VLOOKUP(D60,CorrelationOne,$AK$9)*AX60*AY60*(AH60/2))/((AI60+(AH60/2))*O60*N60)*AF60</f>
        <v>#VALUE!</v>
      </c>
      <c r="Q60" s="501" t="e">
        <f aca="false">xSPRDOPT(I60,H60,AQ60,0,O60,N60,P60,D60-$G$5,1,0)*AH60*AU60</f>
        <v>#VALUE!</v>
      </c>
      <c r="R60" s="501"/>
      <c r="S60" s="365" t="e">
        <f aca="false">xSPRDOPT(I60,H60,AQ60,AT60,O60,N60,P60,D60-$G$5,1,2)*AF60*(F60/(1-AR60))*AH60</f>
        <v>#VALUE!</v>
      </c>
      <c r="T60" s="365" t="e">
        <f aca="false">xSPRDOPT(I60,H60,AQ60,AT60,O60,N60,P60,D60-$G$5,1,1)*AF60*F60*AH60</f>
        <v>#VALUE!</v>
      </c>
      <c r="U60" s="501"/>
      <c r="V60" s="503" t="e">
        <f aca="false">VLOOKUP($AG60,$AL$4:$AS$15,8)*AH60*AU60</f>
        <v>#VALUE!</v>
      </c>
      <c r="W60" s="503"/>
      <c r="X60" s="504" t="e">
        <f aca="false">((BM60*BC60)+(BL60*BB60))*AH60*F60</f>
        <v>#VALUE!</v>
      </c>
      <c r="Y60" s="504" t="e">
        <f aca="false">($F60*$AH60)*((($BG60/2)*($BC60)^2)+(($BF60/2)*($BB60)^2)+($BH60*$BC60*$BB60))</f>
        <v>#VALUE!</v>
      </c>
      <c r="Z60" s="504" t="e">
        <f aca="false">($BI60*$F60*$AH60*($G$5-$BV$5))/365.25</f>
        <v>#VALUE!</v>
      </c>
      <c r="AA60" s="504" t="e">
        <f aca="false">(($BK60*$BE60)+($BJ60*$BD60))*$F60*$AH60*$AF60</f>
        <v>#VALUE!</v>
      </c>
      <c r="AB60" s="504" t="e">
        <f aca="false">BN60*(AT60-CA60)*F60*AH60</f>
        <v>#VALUE!</v>
      </c>
      <c r="AC60" s="504" t="e">
        <f aca="false">BO60*CB60*F60*AH60*CA60*($G$5-$BV$5)/365.25</f>
        <v>#NAME?</v>
      </c>
      <c r="AF60" s="378" t="e">
        <f aca="false">IF(AND(D60&gt;=$G$7,D60&lt;=$G$8),1,0)</f>
        <v>#VALUE!</v>
      </c>
      <c r="AG60" s="378" t="e">
        <f aca="false">MONTH(D60)</f>
        <v>#VALUE!</v>
      </c>
      <c r="AH60" s="378" t="e">
        <f aca="false">(EOMONTH(D60,0)-EOMONTH(D60-DAY(D60),0))*AF60</f>
        <v>#VALUE!</v>
      </c>
      <c r="AI60" s="378" t="e">
        <f aca="false">AI59+AH59</f>
        <v>#VALUE!</v>
      </c>
      <c r="AJ60" s="378" t="e">
        <f aca="false">D60-$BV$5</f>
        <v>#VALUE!</v>
      </c>
      <c r="AL60" s="369" t="e">
        <f aca="false">VLOOKUP($D60,CurveTbl,$AK$4)</f>
        <v>#VALUE!</v>
      </c>
      <c r="AM60" s="505" t="e">
        <f aca="false">VLOOKUP($D60,CurveTbl,$AH$3)</f>
        <v>#VALUE!</v>
      </c>
      <c r="AN60" s="505" t="e">
        <f aca="false">VLOOKUP($D60,CurveTbl,$AH$4)+VLOOKUP($AG60,$AL$3:$AS$15,6)</f>
        <v>#VALUE!</v>
      </c>
      <c r="AO60" s="505" t="e">
        <f aca="false">VLOOKUP($D60,CurveTbl,$AH$5)</f>
        <v>#VALUE!</v>
      </c>
      <c r="AP60" s="505" t="e">
        <f aca="false">VLOOKUP($D60,CurveTbl,$AH$6)+VLOOKUP($AG60,$AL$3:$AS$15,7)</f>
        <v>#VALUE!</v>
      </c>
      <c r="AQ60" s="369" t="e">
        <f aca="false">VLOOKUP($AG60,$AL$4:$AS$15,3)+VLOOKUP($AG60,$AL$4:$AS$15,5)+($AH$10*VLOOKUP(D60,GRITable,2))</f>
        <v>#VALUE!</v>
      </c>
      <c r="AR60" s="370" t="e">
        <f aca="false">VLOOKUP($AG60,$AL$4:$AS$15,4)</f>
        <v>#VALUE!</v>
      </c>
      <c r="AS60" s="369" t="e">
        <f aca="false">(AL60+AM60+AN60)</f>
        <v>#VALUE!</v>
      </c>
      <c r="AT60" s="370" t="e">
        <f aca="false">VLOOKUP(D60,CurveTbl,$AK$6)</f>
        <v>#VALUE!</v>
      </c>
      <c r="AU60" s="370" t="e">
        <f aca="false">(1+$AT60/2)^(-2*($D60-$G$5)/365.25)*$AF60</f>
        <v>#VALUE!</v>
      </c>
      <c r="AV60" s="506" t="e">
        <f aca="false">ROUND((F60/(1-AR60))-F60,0)*AF60*AH60*AU60</f>
        <v>#VALUE!</v>
      </c>
      <c r="AW60" s="370" t="e">
        <f aca="false">VLOOKUP($D60,CurveTbl,$AK$8)</f>
        <v>#VALUE!</v>
      </c>
      <c r="AX60" s="370" t="e">
        <f aca="false">VLOOKUP($D60,CurveTbl,$AH$7)</f>
        <v>#VALUE!</v>
      </c>
      <c r="AY60" s="370" t="e">
        <f aca="false">VLOOKUP($D60,CurveTbl,$AH$8)</f>
        <v>#VALUE!</v>
      </c>
      <c r="AZ60" s="370"/>
      <c r="BA60" s="507"/>
      <c r="BB60" s="505" t="e">
        <f aca="false">$H60-$BV60</f>
        <v>#VALUE!</v>
      </c>
      <c r="BC60" s="505" t="e">
        <f aca="false">I60-BW60</f>
        <v>#VALUE!</v>
      </c>
      <c r="BD60" s="370" t="e">
        <f aca="false">N60-BX60</f>
        <v>#VALUE!</v>
      </c>
      <c r="BE60" s="370" t="e">
        <f aca="false">O60-BY60</f>
        <v>#VALUE!</v>
      </c>
      <c r="BF60" s="370" t="e">
        <f aca="false">xSPRDOPT($BW60,$BV60,$CG60,0,$BY60,$BX60,$BZ60,$AJ60,1,4)*$CB60</f>
        <v>#NAME?</v>
      </c>
      <c r="BG60" s="370" t="e">
        <f aca="false">xSPRDOPT($BW60,$BV60,$CG60,0,$BY60,$BX60,$BZ60,$AJ60,1,3)*$CB60</f>
        <v>#NAME?</v>
      </c>
      <c r="BH60" s="370" t="e">
        <f aca="false">IF(OR(BF60&lt;&gt;0,BG60&lt;&gt;0),xSPRDOPT($BW60,$BV60,$CG60,0,$BY60,$BX60,$BZ60,$AJ60,1,12)*$CB60,0)</f>
        <v>#NAME?</v>
      </c>
      <c r="BI60" s="370" t="e">
        <f aca="false">xSPRDOPT($BW60,$BV60,$CG60,2*LN(1+CA60/2),$BY60,$BX60,$BZ60,$AJ60,1,9)</f>
        <v>#NAME?</v>
      </c>
      <c r="BJ60" s="370" t="e">
        <f aca="false">xSPRDOPT($BW60,$BV60,$CG60,0,$BY60,$BX60,$BZ60,$AJ60,1,6)*$CB60</f>
        <v>#NAME?</v>
      </c>
      <c r="BK60" s="370" t="e">
        <f aca="false">xSPRDOPT($BW60,$BV60,$CG60,0,$BY60,$BX60,$BZ60,$AJ60,1,5)*$CB60</f>
        <v>#NAME?</v>
      </c>
      <c r="BL60" s="370" t="e">
        <f aca="false">xSPRDOPT(BW60,BV60,CG60,0,BY60,BX60,BZ60,AJ60,1,2)*CB60</f>
        <v>#NAME?</v>
      </c>
      <c r="BM60" s="370" t="e">
        <f aca="false">xSPRDOPT(BW60,BV60,CG60,0,BY60,BX60,BZ60,AJ60,1,1)*CB60</f>
        <v>#NAME?</v>
      </c>
      <c r="BN60" s="370" t="e">
        <f aca="false">IF(AH60&lt;&gt;0,xSPRDOPT($BW60,$BV60,$CG60,2*LN(1+CA60/2),$BY60,$BX60,$BZ60,$AJ60,1,8)+(AJ60/365.25)*CH60/AH60,0)</f>
        <v>#VALUE!</v>
      </c>
      <c r="BO60" s="370" t="e">
        <f aca="false">xSPRDOPT($BW60,$BV60,$CG60,0,$BY60,$BX60,$BZ60,$AJ60,1,0)</f>
        <v>#NAME?</v>
      </c>
      <c r="BP60" s="370"/>
      <c r="BQ60" s="370"/>
      <c r="BR60" s="370"/>
      <c r="BS60" s="370"/>
      <c r="BV60" s="508" t="n">
        <v>3.44578313253012</v>
      </c>
      <c r="BW60" s="369" t="n">
        <v>3.467</v>
      </c>
      <c r="BX60" s="370" t="n">
        <v>0.37</v>
      </c>
      <c r="BY60" s="370" t="n">
        <v>0.37</v>
      </c>
      <c r="BZ60" s="370" t="n">
        <v>0</v>
      </c>
      <c r="CA60" s="370" t="n">
        <v>0.0348361539671314</v>
      </c>
      <c r="CB60" s="370" t="n">
        <v>0</v>
      </c>
      <c r="CC60" s="505" t="n">
        <v>0</v>
      </c>
      <c r="CD60" s="505" t="n">
        <v>0.03</v>
      </c>
      <c r="CE60" s="505" t="n">
        <v>0.065</v>
      </c>
      <c r="CF60" s="505" t="n">
        <v>0</v>
      </c>
      <c r="CG60" s="505" t="n">
        <v>0.0006</v>
      </c>
      <c r="CH60" s="505" t="n">
        <v>0</v>
      </c>
      <c r="CI60" s="505" t="n">
        <v>3.402</v>
      </c>
      <c r="CJ60" s="505"/>
      <c r="CK60" s="505"/>
      <c r="CL60" s="505"/>
      <c r="CM60" s="505"/>
    </row>
    <row r="61" customFormat="false" ht="12.75" hidden="false" customHeight="false" outlineLevel="0" collapsed="false">
      <c r="A61" s="500"/>
      <c r="B61" s="500"/>
      <c r="D61" s="361" t="e">
        <f aca="false">D60+AH60</f>
        <v>#VALUE!</v>
      </c>
      <c r="F61" s="362" t="e">
        <f aca="false">VLOOKUP(AG61,$AL$4:$AS$15,2)</f>
        <v>#VALUE!</v>
      </c>
      <c r="G61" s="362" t="e">
        <f aca="false">F61*$AU61</f>
        <v>#VALUE!</v>
      </c>
      <c r="H61" s="363" t="e">
        <f aca="false">(AL61+AM61+AN61)/(1-(AR61))</f>
        <v>#VALUE!</v>
      </c>
      <c r="I61" s="363" t="e">
        <f aca="false">(AL61+AO61+AP61)</f>
        <v>#VALUE!</v>
      </c>
      <c r="K61" s="363" t="e">
        <f aca="false">MAX(((I61-H61)-AQ61)*AU61*AH61,0)</f>
        <v>#VALUE!</v>
      </c>
      <c r="L61" s="501" t="e">
        <f aca="false">MAX(Q61-K61,0)</f>
        <v>#VALUE!</v>
      </c>
      <c r="N61" s="502" t="e">
        <f aca="false">SQRT(($AX61^2*($AH61/2)+$AW61^2*$AI61)/(($AH61/2)+$AI61))</f>
        <v>#VALUE!</v>
      </c>
      <c r="O61" s="502" t="e">
        <f aca="false">SQRT(($AY61^2*($AH61/2)+$AW61^2*$AI61)/(($AH61/2)+$AI61))</f>
        <v>#VALUE!</v>
      </c>
      <c r="P61" s="371" t="e">
        <f aca="false">(VLOOKUP(AI61,CorrelationTwo,2)*(AW61^2)*AI61+VLOOKUP(D61,CorrelationOne,$AK$9)*AX61*AY61*(AH61/2))/((AI61+(AH61/2))*O61*N61)*AF61</f>
        <v>#VALUE!</v>
      </c>
      <c r="Q61" s="501" t="e">
        <f aca="false">xSPRDOPT(I61,H61,AQ61,0,O61,N61,P61,D61-$G$5,1,0)*AH61*AU61</f>
        <v>#VALUE!</v>
      </c>
      <c r="R61" s="501"/>
      <c r="S61" s="365" t="e">
        <f aca="false">xSPRDOPT(I61,H61,AQ61,AT61,O61,N61,P61,D61-$G$5,1,2)*AF61*(F61/(1-AR61))*AH61</f>
        <v>#VALUE!</v>
      </c>
      <c r="T61" s="365" t="e">
        <f aca="false">xSPRDOPT(I61,H61,AQ61,AT61,O61,N61,P61,D61-$G$5,1,1)*AF61*F61*AH61</f>
        <v>#VALUE!</v>
      </c>
      <c r="U61" s="501"/>
      <c r="V61" s="503" t="e">
        <f aca="false">VLOOKUP($AG61,$AL$4:$AS$15,8)*AH61*AU61</f>
        <v>#VALUE!</v>
      </c>
      <c r="W61" s="503"/>
      <c r="X61" s="504" t="e">
        <f aca="false">((BM61*BC61)+(BL61*BB61))*AH61*F61</f>
        <v>#VALUE!</v>
      </c>
      <c r="Y61" s="504" t="e">
        <f aca="false">($F61*$AH61)*((($BG61/2)*($BC61)^2)+(($BF61/2)*($BB61)^2)+($BH61*$BC61*$BB61))</f>
        <v>#VALUE!</v>
      </c>
      <c r="Z61" s="504" t="e">
        <f aca="false">($BI61*$F61*$AH61*($G$5-$BV$5))/365.25</f>
        <v>#VALUE!</v>
      </c>
      <c r="AA61" s="504" t="e">
        <f aca="false">(($BK61*$BE61)+($BJ61*$BD61))*$F61*$AH61*$AF61</f>
        <v>#VALUE!</v>
      </c>
      <c r="AB61" s="504" t="e">
        <f aca="false">BN61*(AT61-CA61)*F61*AH61</f>
        <v>#VALUE!</v>
      </c>
      <c r="AC61" s="504" t="e">
        <f aca="false">BO61*CB61*F61*AH61*CA61*($G$5-$BV$5)/365.25</f>
        <v>#NAME?</v>
      </c>
      <c r="AF61" s="378" t="e">
        <f aca="false">IF(AND(D61&gt;=$G$7,D61&lt;=$G$8),1,0)</f>
        <v>#VALUE!</v>
      </c>
      <c r="AG61" s="378" t="e">
        <f aca="false">MONTH(D61)</f>
        <v>#VALUE!</v>
      </c>
      <c r="AH61" s="378" t="e">
        <f aca="false">(EOMONTH(D61,0)-EOMONTH(D61-DAY(D61),0))*AF61</f>
        <v>#VALUE!</v>
      </c>
      <c r="AI61" s="378" t="e">
        <f aca="false">AI60+AH60</f>
        <v>#VALUE!</v>
      </c>
      <c r="AJ61" s="378" t="e">
        <f aca="false">D61-$BV$5</f>
        <v>#VALUE!</v>
      </c>
      <c r="AL61" s="369" t="e">
        <f aca="false">VLOOKUP($D61,CurveTbl,$AK$4)</f>
        <v>#VALUE!</v>
      </c>
      <c r="AM61" s="505" t="e">
        <f aca="false">VLOOKUP($D61,CurveTbl,$AH$3)</f>
        <v>#VALUE!</v>
      </c>
      <c r="AN61" s="505" t="e">
        <f aca="false">VLOOKUP($D61,CurveTbl,$AH$4)+VLOOKUP($AG61,$AL$3:$AS$15,6)</f>
        <v>#VALUE!</v>
      </c>
      <c r="AO61" s="505" t="e">
        <f aca="false">VLOOKUP($D61,CurveTbl,$AH$5)</f>
        <v>#VALUE!</v>
      </c>
      <c r="AP61" s="505" t="e">
        <f aca="false">VLOOKUP($D61,CurveTbl,$AH$6)+VLOOKUP($AG61,$AL$3:$AS$15,7)</f>
        <v>#VALUE!</v>
      </c>
      <c r="AQ61" s="369" t="e">
        <f aca="false">VLOOKUP($AG61,$AL$4:$AS$15,3)+VLOOKUP($AG61,$AL$4:$AS$15,5)+($AH$10*VLOOKUP(D61,GRITable,2))</f>
        <v>#VALUE!</v>
      </c>
      <c r="AR61" s="370" t="e">
        <f aca="false">VLOOKUP($AG61,$AL$4:$AS$15,4)</f>
        <v>#VALUE!</v>
      </c>
      <c r="AS61" s="369" t="e">
        <f aca="false">(AL61+AM61+AN61)</f>
        <v>#VALUE!</v>
      </c>
      <c r="AT61" s="370" t="e">
        <f aca="false">VLOOKUP(D61,CurveTbl,$AK$6)</f>
        <v>#VALUE!</v>
      </c>
      <c r="AU61" s="370" t="e">
        <f aca="false">(1+$AT61/2)^(-2*($D61-$G$5)/365.25)*$AF61</f>
        <v>#VALUE!</v>
      </c>
      <c r="AV61" s="506" t="e">
        <f aca="false">ROUND((F61/(1-AR61))-F61,0)*AF61*AH61*AU61</f>
        <v>#VALUE!</v>
      </c>
      <c r="AW61" s="370" t="e">
        <f aca="false">VLOOKUP($D61,CurveTbl,$AK$8)</f>
        <v>#VALUE!</v>
      </c>
      <c r="AX61" s="370" t="e">
        <f aca="false">VLOOKUP($D61,CurveTbl,$AH$7)</f>
        <v>#VALUE!</v>
      </c>
      <c r="AY61" s="370" t="e">
        <f aca="false">VLOOKUP($D61,CurveTbl,$AH$8)</f>
        <v>#VALUE!</v>
      </c>
      <c r="AZ61" s="370"/>
      <c r="BA61" s="507"/>
      <c r="BB61" s="505" t="e">
        <f aca="false">$H61-$BV61</f>
        <v>#VALUE!</v>
      </c>
      <c r="BC61" s="505" t="e">
        <f aca="false">I61-BW61</f>
        <v>#VALUE!</v>
      </c>
      <c r="BD61" s="370" t="e">
        <f aca="false">N61-BX61</f>
        <v>#VALUE!</v>
      </c>
      <c r="BE61" s="370" t="e">
        <f aca="false">O61-BY61</f>
        <v>#VALUE!</v>
      </c>
      <c r="BF61" s="370" t="e">
        <f aca="false">xSPRDOPT($BW61,$BV61,$CG61,0,$BY61,$BX61,$BZ61,$AJ61,1,4)*$CB61</f>
        <v>#NAME?</v>
      </c>
      <c r="BG61" s="370" t="e">
        <f aca="false">xSPRDOPT($BW61,$BV61,$CG61,0,$BY61,$BX61,$BZ61,$AJ61,1,3)*$CB61</f>
        <v>#NAME?</v>
      </c>
      <c r="BH61" s="370" t="e">
        <f aca="false">IF(OR(BF61&lt;&gt;0,BG61&lt;&gt;0),xSPRDOPT($BW61,$BV61,$CG61,0,$BY61,$BX61,$BZ61,$AJ61,1,12)*$CB61,0)</f>
        <v>#NAME?</v>
      </c>
      <c r="BI61" s="370" t="e">
        <f aca="false">xSPRDOPT($BW61,$BV61,$CG61,2*LN(1+CA61/2),$BY61,$BX61,$BZ61,$AJ61,1,9)</f>
        <v>#NAME?</v>
      </c>
      <c r="BJ61" s="370" t="e">
        <f aca="false">xSPRDOPT($BW61,$BV61,$CG61,0,$BY61,$BX61,$BZ61,$AJ61,1,6)*$CB61</f>
        <v>#NAME?</v>
      </c>
      <c r="BK61" s="370" t="e">
        <f aca="false">xSPRDOPT($BW61,$BV61,$CG61,0,$BY61,$BX61,$BZ61,$AJ61,1,5)*$CB61</f>
        <v>#NAME?</v>
      </c>
      <c r="BL61" s="370" t="e">
        <f aca="false">xSPRDOPT(BW61,BV61,CG61,0,BY61,BX61,BZ61,AJ61,1,2)*CB61</f>
        <v>#NAME?</v>
      </c>
      <c r="BM61" s="370" t="e">
        <f aca="false">xSPRDOPT(BW61,BV61,CG61,0,BY61,BX61,BZ61,AJ61,1,1)*CB61</f>
        <v>#NAME?</v>
      </c>
      <c r="BN61" s="370" t="e">
        <f aca="false">IF(AH61&lt;&gt;0,xSPRDOPT($BW61,$BV61,$CG61,2*LN(1+CA61/2),$BY61,$BX61,$BZ61,$AJ61,1,8)+(AJ61/365.25)*CH61/AH61,0)</f>
        <v>#VALUE!</v>
      </c>
      <c r="BO61" s="370" t="e">
        <f aca="false">xSPRDOPT($BW61,$BV61,$CG61,0,$BY61,$BX61,$BZ61,$AJ61,1,0)</f>
        <v>#NAME?</v>
      </c>
      <c r="BP61" s="370"/>
      <c r="BQ61" s="370"/>
      <c r="BR61" s="370"/>
      <c r="BS61" s="370"/>
      <c r="BV61" s="508" t="n">
        <v>3.44578313253012</v>
      </c>
      <c r="BW61" s="369" t="n">
        <v>3.467</v>
      </c>
      <c r="BX61" s="370" t="n">
        <v>0.37</v>
      </c>
      <c r="BY61" s="370" t="n">
        <v>0.37</v>
      </c>
      <c r="BZ61" s="370" t="n">
        <v>0</v>
      </c>
      <c r="CA61" s="370" t="n">
        <v>0.0348361539671314</v>
      </c>
      <c r="CB61" s="370" t="n">
        <v>0</v>
      </c>
      <c r="CC61" s="505" t="n">
        <v>0</v>
      </c>
      <c r="CD61" s="505" t="n">
        <v>0.03</v>
      </c>
      <c r="CE61" s="505" t="n">
        <v>0.065</v>
      </c>
      <c r="CF61" s="505" t="n">
        <v>0</v>
      </c>
      <c r="CG61" s="505" t="n">
        <v>0.0006</v>
      </c>
      <c r="CH61" s="505" t="n">
        <v>0</v>
      </c>
      <c r="CI61" s="505" t="n">
        <v>3.402</v>
      </c>
      <c r="CJ61" s="505"/>
      <c r="CK61" s="505"/>
      <c r="CL61" s="505"/>
      <c r="CM61" s="505"/>
    </row>
    <row r="62" customFormat="false" ht="12.75" hidden="false" customHeight="false" outlineLevel="0" collapsed="false">
      <c r="A62" s="500"/>
      <c r="B62" s="500"/>
      <c r="D62" s="361" t="e">
        <f aca="false">D61+AH61</f>
        <v>#VALUE!</v>
      </c>
      <c r="F62" s="362" t="e">
        <f aca="false">VLOOKUP(AG62,$AL$4:$AS$15,2)</f>
        <v>#VALUE!</v>
      </c>
      <c r="G62" s="362" t="e">
        <f aca="false">F62*$AU62</f>
        <v>#VALUE!</v>
      </c>
      <c r="H62" s="363" t="e">
        <f aca="false">(AL62+AM62+AN62)/(1-(AR62))</f>
        <v>#VALUE!</v>
      </c>
      <c r="I62" s="363" t="e">
        <f aca="false">(AL62+AO62+AP62)</f>
        <v>#VALUE!</v>
      </c>
      <c r="K62" s="363" t="e">
        <f aca="false">MAX(((I62-H62)-AQ62)*AU62*AH62,0)</f>
        <v>#VALUE!</v>
      </c>
      <c r="L62" s="501" t="e">
        <f aca="false">MAX(Q62-K62,0)</f>
        <v>#VALUE!</v>
      </c>
      <c r="N62" s="502" t="e">
        <f aca="false">SQRT(($AX62^2*($AH62/2)+$AW62^2*$AI62)/(($AH62/2)+$AI62))</f>
        <v>#VALUE!</v>
      </c>
      <c r="O62" s="502" t="e">
        <f aca="false">SQRT(($AY62^2*($AH62/2)+$AW62^2*$AI62)/(($AH62/2)+$AI62))</f>
        <v>#VALUE!</v>
      </c>
      <c r="P62" s="371" t="e">
        <f aca="false">(VLOOKUP(AI62,CorrelationTwo,2)*(AW62^2)*AI62+VLOOKUP(D62,CorrelationOne,$AK$9)*AX62*AY62*(AH62/2))/((AI62+(AH62/2))*O62*N62)*AF62</f>
        <v>#VALUE!</v>
      </c>
      <c r="Q62" s="501" t="e">
        <f aca="false">xSPRDOPT(I62,H62,AQ62,0,O62,N62,P62,D62-$G$5,1,0)*AH62*AU62</f>
        <v>#VALUE!</v>
      </c>
      <c r="R62" s="501"/>
      <c r="S62" s="365" t="e">
        <f aca="false">xSPRDOPT(I62,H62,AQ62,AT62,O62,N62,P62,D62-$G$5,1,2)*AF62*(F62/(1-AR62))*AH62</f>
        <v>#VALUE!</v>
      </c>
      <c r="T62" s="365" t="e">
        <f aca="false">xSPRDOPT(I62,H62,AQ62,AT62,O62,N62,P62,D62-$G$5,1,1)*AF62*F62*AH62</f>
        <v>#VALUE!</v>
      </c>
      <c r="U62" s="501"/>
      <c r="V62" s="503" t="e">
        <f aca="false">VLOOKUP($AG62,$AL$4:$AS$15,8)*AH62*AU62</f>
        <v>#VALUE!</v>
      </c>
      <c r="W62" s="503"/>
      <c r="X62" s="504" t="e">
        <f aca="false">((BM62*BC62)+(BL62*BB62))*AH62*F62</f>
        <v>#VALUE!</v>
      </c>
      <c r="Y62" s="504" t="e">
        <f aca="false">($F62*$AH62)*((($BG62/2)*($BC62)^2)+(($BF62/2)*($BB62)^2)+($BH62*$BC62*$BB62))</f>
        <v>#VALUE!</v>
      </c>
      <c r="Z62" s="504" t="e">
        <f aca="false">($BI62*$F62*$AH62*($G$5-$BV$5))/365.25</f>
        <v>#VALUE!</v>
      </c>
      <c r="AA62" s="504" t="e">
        <f aca="false">(($BK62*$BE62)+($BJ62*$BD62))*$F62*$AH62*$AF62</f>
        <v>#VALUE!</v>
      </c>
      <c r="AB62" s="504" t="e">
        <f aca="false">BN62*(AT62-CA62)*F62*AH62</f>
        <v>#VALUE!</v>
      </c>
      <c r="AC62" s="504" t="e">
        <f aca="false">BO62*CB62*F62*AH62*CA62*($G$5-$BV$5)/365.25</f>
        <v>#NAME?</v>
      </c>
      <c r="AF62" s="378" t="e">
        <f aca="false">IF(AND(D62&gt;=$G$7,D62&lt;=$G$8),1,0)</f>
        <v>#VALUE!</v>
      </c>
      <c r="AG62" s="378" t="e">
        <f aca="false">MONTH(D62)</f>
        <v>#VALUE!</v>
      </c>
      <c r="AH62" s="378" t="e">
        <f aca="false">(EOMONTH(D62,0)-EOMONTH(D62-DAY(D62),0))*AF62</f>
        <v>#VALUE!</v>
      </c>
      <c r="AI62" s="378" t="e">
        <f aca="false">AI61+AH61</f>
        <v>#VALUE!</v>
      </c>
      <c r="AJ62" s="378" t="e">
        <f aca="false">D62-$BV$5</f>
        <v>#VALUE!</v>
      </c>
      <c r="AL62" s="369" t="e">
        <f aca="false">VLOOKUP($D62,CurveTbl,$AK$4)</f>
        <v>#VALUE!</v>
      </c>
      <c r="AM62" s="505" t="e">
        <f aca="false">VLOOKUP($D62,CurveTbl,$AH$3)</f>
        <v>#VALUE!</v>
      </c>
      <c r="AN62" s="505" t="e">
        <f aca="false">VLOOKUP($D62,CurveTbl,$AH$4)+VLOOKUP($AG62,$AL$3:$AS$15,6)</f>
        <v>#VALUE!</v>
      </c>
      <c r="AO62" s="505" t="e">
        <f aca="false">VLOOKUP($D62,CurveTbl,$AH$5)</f>
        <v>#VALUE!</v>
      </c>
      <c r="AP62" s="505" t="e">
        <f aca="false">VLOOKUP($D62,CurveTbl,$AH$6)+VLOOKUP($AG62,$AL$3:$AS$15,7)</f>
        <v>#VALUE!</v>
      </c>
      <c r="AQ62" s="369" t="e">
        <f aca="false">VLOOKUP($AG62,$AL$4:$AS$15,3)+VLOOKUP($AG62,$AL$4:$AS$15,5)+($AH$10*VLOOKUP(D62,GRITable,2))</f>
        <v>#VALUE!</v>
      </c>
      <c r="AR62" s="370" t="e">
        <f aca="false">VLOOKUP($AG62,$AL$4:$AS$15,4)</f>
        <v>#VALUE!</v>
      </c>
      <c r="AS62" s="369" t="e">
        <f aca="false">(AL62+AM62+AN62)</f>
        <v>#VALUE!</v>
      </c>
      <c r="AT62" s="370" t="e">
        <f aca="false">VLOOKUP(D62,CurveTbl,$AK$6)</f>
        <v>#VALUE!</v>
      </c>
      <c r="AU62" s="370" t="e">
        <f aca="false">(1+$AT62/2)^(-2*($D62-$G$5)/365.25)*$AF62</f>
        <v>#VALUE!</v>
      </c>
      <c r="AV62" s="506" t="e">
        <f aca="false">ROUND((F62/(1-AR62))-F62,0)*AF62*AH62*AU62</f>
        <v>#VALUE!</v>
      </c>
      <c r="AW62" s="370" t="e">
        <f aca="false">VLOOKUP($D62,CurveTbl,$AK$8)</f>
        <v>#VALUE!</v>
      </c>
      <c r="AX62" s="370" t="e">
        <f aca="false">VLOOKUP($D62,CurveTbl,$AH$7)</f>
        <v>#VALUE!</v>
      </c>
      <c r="AY62" s="370" t="e">
        <f aca="false">VLOOKUP($D62,CurveTbl,$AH$8)</f>
        <v>#VALUE!</v>
      </c>
      <c r="AZ62" s="370"/>
      <c r="BA62" s="507"/>
      <c r="BB62" s="505" t="e">
        <f aca="false">$H62-$BV62</f>
        <v>#VALUE!</v>
      </c>
      <c r="BC62" s="505" t="e">
        <f aca="false">I62-BW62</f>
        <v>#VALUE!</v>
      </c>
      <c r="BD62" s="370" t="e">
        <f aca="false">N62-BX62</f>
        <v>#VALUE!</v>
      </c>
      <c r="BE62" s="370" t="e">
        <f aca="false">O62-BY62</f>
        <v>#VALUE!</v>
      </c>
      <c r="BF62" s="370" t="e">
        <f aca="false">xSPRDOPT($BW62,$BV62,$CG62,0,$BY62,$BX62,$BZ62,$AJ62,1,4)*$CB62</f>
        <v>#NAME?</v>
      </c>
      <c r="BG62" s="370" t="e">
        <f aca="false">xSPRDOPT($BW62,$BV62,$CG62,0,$BY62,$BX62,$BZ62,$AJ62,1,3)*$CB62</f>
        <v>#NAME?</v>
      </c>
      <c r="BH62" s="370" t="e">
        <f aca="false">IF(OR(BF62&lt;&gt;0,BG62&lt;&gt;0),xSPRDOPT($BW62,$BV62,$CG62,0,$BY62,$BX62,$BZ62,$AJ62,1,12)*$CB62,0)</f>
        <v>#NAME?</v>
      </c>
      <c r="BI62" s="370" t="e">
        <f aca="false">xSPRDOPT($BW62,$BV62,$CG62,2*LN(1+CA62/2),$BY62,$BX62,$BZ62,$AJ62,1,9)</f>
        <v>#NAME?</v>
      </c>
      <c r="BJ62" s="370" t="e">
        <f aca="false">xSPRDOPT($BW62,$BV62,$CG62,0,$BY62,$BX62,$BZ62,$AJ62,1,6)*$CB62</f>
        <v>#NAME?</v>
      </c>
      <c r="BK62" s="370" t="e">
        <f aca="false">xSPRDOPT($BW62,$BV62,$CG62,0,$BY62,$BX62,$BZ62,$AJ62,1,5)*$CB62</f>
        <v>#NAME?</v>
      </c>
      <c r="BL62" s="370" t="e">
        <f aca="false">xSPRDOPT(BW62,BV62,CG62,0,BY62,BX62,BZ62,AJ62,1,2)*CB62</f>
        <v>#NAME?</v>
      </c>
      <c r="BM62" s="370" t="e">
        <f aca="false">xSPRDOPT(BW62,BV62,CG62,0,BY62,BX62,BZ62,AJ62,1,1)*CB62</f>
        <v>#NAME?</v>
      </c>
      <c r="BN62" s="370" t="e">
        <f aca="false">IF(AH62&lt;&gt;0,xSPRDOPT($BW62,$BV62,$CG62,2*LN(1+CA62/2),$BY62,$BX62,$BZ62,$AJ62,1,8)+(AJ62/365.25)*CH62/AH62,0)</f>
        <v>#VALUE!</v>
      </c>
      <c r="BO62" s="370" t="e">
        <f aca="false">xSPRDOPT($BW62,$BV62,$CG62,0,$BY62,$BX62,$BZ62,$AJ62,1,0)</f>
        <v>#NAME?</v>
      </c>
      <c r="BP62" s="370"/>
      <c r="BQ62" s="370"/>
      <c r="BR62" s="370"/>
      <c r="BS62" s="370"/>
      <c r="BV62" s="508" t="n">
        <v>3.44578313253012</v>
      </c>
      <c r="BW62" s="369" t="n">
        <v>3.467</v>
      </c>
      <c r="BX62" s="370" t="n">
        <v>0.37</v>
      </c>
      <c r="BY62" s="370" t="n">
        <v>0.37</v>
      </c>
      <c r="BZ62" s="370" t="n">
        <v>0</v>
      </c>
      <c r="CA62" s="370" t="n">
        <v>0.0348361539671314</v>
      </c>
      <c r="CB62" s="370" t="n">
        <v>0</v>
      </c>
      <c r="CC62" s="505" t="n">
        <v>0</v>
      </c>
      <c r="CD62" s="505" t="n">
        <v>0.03</v>
      </c>
      <c r="CE62" s="505" t="n">
        <v>0.065</v>
      </c>
      <c r="CF62" s="505" t="n">
        <v>0</v>
      </c>
      <c r="CG62" s="505" t="n">
        <v>0.0006</v>
      </c>
      <c r="CH62" s="505" t="n">
        <v>0</v>
      </c>
      <c r="CI62" s="505" t="n">
        <v>3.402</v>
      </c>
      <c r="CJ62" s="505"/>
      <c r="CK62" s="505"/>
      <c r="CL62" s="505"/>
      <c r="CM62" s="505"/>
    </row>
    <row r="63" customFormat="false" ht="12.75" hidden="false" customHeight="false" outlineLevel="0" collapsed="false">
      <c r="A63" s="500"/>
      <c r="B63" s="500"/>
      <c r="D63" s="361" t="e">
        <f aca="false">D62+AH62</f>
        <v>#VALUE!</v>
      </c>
      <c r="F63" s="362" t="e">
        <f aca="false">VLOOKUP(AG63,$AL$4:$AS$15,2)</f>
        <v>#VALUE!</v>
      </c>
      <c r="G63" s="362" t="e">
        <f aca="false">F63*$AU63</f>
        <v>#VALUE!</v>
      </c>
      <c r="H63" s="363" t="e">
        <f aca="false">(AL63+AM63+AN63)/(1-(AR63))</f>
        <v>#VALUE!</v>
      </c>
      <c r="I63" s="363" t="e">
        <f aca="false">(AL63+AO63+AP63)</f>
        <v>#VALUE!</v>
      </c>
      <c r="K63" s="363" t="e">
        <f aca="false">MAX(((I63-H63)-AQ63)*AU63*AH63,0)</f>
        <v>#VALUE!</v>
      </c>
      <c r="L63" s="501" t="e">
        <f aca="false">MAX(Q63-K63,0)</f>
        <v>#VALUE!</v>
      </c>
      <c r="N63" s="502" t="e">
        <f aca="false">SQRT(($AX63^2*($AH63/2)+$AW63^2*$AI63)/(($AH63/2)+$AI63))</f>
        <v>#VALUE!</v>
      </c>
      <c r="O63" s="502" t="e">
        <f aca="false">SQRT(($AY63^2*($AH63/2)+$AW63^2*$AI63)/(($AH63/2)+$AI63))</f>
        <v>#VALUE!</v>
      </c>
      <c r="P63" s="371" t="e">
        <f aca="false">(VLOOKUP(AI63,CorrelationTwo,2)*(AW63^2)*AI63+VLOOKUP(D63,CorrelationOne,$AK$9)*AX63*AY63*(AH63/2))/((AI63+(AH63/2))*O63*N63)*AF63</f>
        <v>#VALUE!</v>
      </c>
      <c r="Q63" s="501" t="e">
        <f aca="false">xSPRDOPT(I63,H63,AQ63,0,O63,N63,P63,D63-$G$5,1,0)*AH63*AU63</f>
        <v>#VALUE!</v>
      </c>
      <c r="R63" s="501"/>
      <c r="S63" s="365" t="e">
        <f aca="false">xSPRDOPT(I63,H63,AQ63,AT63,O63,N63,P63,D63-$G$5,1,2)*AF63*(F63/(1-AR63))*AH63</f>
        <v>#VALUE!</v>
      </c>
      <c r="T63" s="365" t="e">
        <f aca="false">xSPRDOPT(I63,H63,AQ63,AT63,O63,N63,P63,D63-$G$5,1,1)*AF63*F63*AH63</f>
        <v>#VALUE!</v>
      </c>
      <c r="U63" s="501"/>
      <c r="V63" s="503" t="e">
        <f aca="false">VLOOKUP($AG63,$AL$4:$AS$15,8)*AH63*AU63</f>
        <v>#VALUE!</v>
      </c>
      <c r="W63" s="503"/>
      <c r="X63" s="504" t="e">
        <f aca="false">((BM63*BC63)+(BL63*BB63))*AH63*F63</f>
        <v>#VALUE!</v>
      </c>
      <c r="Y63" s="504" t="e">
        <f aca="false">($F63*$AH63)*((($BG63/2)*($BC63)^2)+(($BF63/2)*($BB63)^2)+($BH63*$BC63*$BB63))</f>
        <v>#VALUE!</v>
      </c>
      <c r="Z63" s="504" t="e">
        <f aca="false">($BI63*$F63*$AH63*($G$5-$BV$5))/365.25</f>
        <v>#VALUE!</v>
      </c>
      <c r="AA63" s="504" t="e">
        <f aca="false">(($BK63*$BE63)+($BJ63*$BD63))*$F63*$AH63*$AF63</f>
        <v>#VALUE!</v>
      </c>
      <c r="AB63" s="504" t="e">
        <f aca="false">BN63*(AT63-CA63)*F63*AH63</f>
        <v>#VALUE!</v>
      </c>
      <c r="AC63" s="504" t="e">
        <f aca="false">BO63*CB63*F63*AH63*CA63*($G$5-$BV$5)/365.25</f>
        <v>#NAME?</v>
      </c>
      <c r="AF63" s="378" t="e">
        <f aca="false">IF(AND(D63&gt;=$G$7,D63&lt;=$G$8),1,0)</f>
        <v>#VALUE!</v>
      </c>
      <c r="AG63" s="378" t="e">
        <f aca="false">MONTH(D63)</f>
        <v>#VALUE!</v>
      </c>
      <c r="AH63" s="378" t="e">
        <f aca="false">(EOMONTH(D63,0)-EOMONTH(D63-DAY(D63),0))*AF63</f>
        <v>#VALUE!</v>
      </c>
      <c r="AI63" s="378" t="e">
        <f aca="false">AI62+AH62</f>
        <v>#VALUE!</v>
      </c>
      <c r="AJ63" s="378" t="e">
        <f aca="false">D63-$BV$5</f>
        <v>#VALUE!</v>
      </c>
      <c r="AL63" s="369" t="e">
        <f aca="false">VLOOKUP($D63,CurveTbl,$AK$4)</f>
        <v>#VALUE!</v>
      </c>
      <c r="AM63" s="505" t="e">
        <f aca="false">VLOOKUP($D63,CurveTbl,$AH$3)</f>
        <v>#VALUE!</v>
      </c>
      <c r="AN63" s="505" t="e">
        <f aca="false">VLOOKUP($D63,CurveTbl,$AH$4)+VLOOKUP($AG63,$AL$3:$AS$15,6)</f>
        <v>#VALUE!</v>
      </c>
      <c r="AO63" s="505" t="e">
        <f aca="false">VLOOKUP($D63,CurveTbl,$AH$5)</f>
        <v>#VALUE!</v>
      </c>
      <c r="AP63" s="505" t="e">
        <f aca="false">VLOOKUP($D63,CurveTbl,$AH$6)+VLOOKUP($AG63,$AL$3:$AS$15,7)</f>
        <v>#VALUE!</v>
      </c>
      <c r="AQ63" s="369" t="e">
        <f aca="false">VLOOKUP($AG63,$AL$4:$AS$15,3)+VLOOKUP($AG63,$AL$4:$AS$15,5)+($AH$10*VLOOKUP(D63,GRITable,2))</f>
        <v>#VALUE!</v>
      </c>
      <c r="AR63" s="370" t="e">
        <f aca="false">VLOOKUP($AG63,$AL$4:$AS$15,4)</f>
        <v>#VALUE!</v>
      </c>
      <c r="AS63" s="369" t="e">
        <f aca="false">(AL63+AM63+AN63)</f>
        <v>#VALUE!</v>
      </c>
      <c r="AT63" s="370" t="e">
        <f aca="false">VLOOKUP(D63,CurveTbl,$AK$6)</f>
        <v>#VALUE!</v>
      </c>
      <c r="AU63" s="370" t="e">
        <f aca="false">(1+$AT63/2)^(-2*($D63-$G$5)/365.25)*$AF63</f>
        <v>#VALUE!</v>
      </c>
      <c r="AV63" s="506" t="e">
        <f aca="false">ROUND((F63/(1-AR63))-F63,0)*AF63*AH63*AU63</f>
        <v>#VALUE!</v>
      </c>
      <c r="AW63" s="370" t="e">
        <f aca="false">VLOOKUP($D63,CurveTbl,$AK$8)</f>
        <v>#VALUE!</v>
      </c>
      <c r="AX63" s="370" t="e">
        <f aca="false">VLOOKUP($D63,CurveTbl,$AH$7)</f>
        <v>#VALUE!</v>
      </c>
      <c r="AY63" s="370" t="e">
        <f aca="false">VLOOKUP($D63,CurveTbl,$AH$8)</f>
        <v>#VALUE!</v>
      </c>
      <c r="AZ63" s="370"/>
      <c r="BA63" s="507"/>
      <c r="BB63" s="505" t="e">
        <f aca="false">$H63-$BV63</f>
        <v>#VALUE!</v>
      </c>
      <c r="BC63" s="505" t="e">
        <f aca="false">I63-BW63</f>
        <v>#VALUE!</v>
      </c>
      <c r="BD63" s="370" t="e">
        <f aca="false">N63-BX63</f>
        <v>#VALUE!</v>
      </c>
      <c r="BE63" s="370" t="e">
        <f aca="false">O63-BY63</f>
        <v>#VALUE!</v>
      </c>
      <c r="BF63" s="370" t="e">
        <f aca="false">xSPRDOPT($BW63,$BV63,$CG63,0,$BY63,$BX63,$BZ63,$AJ63,1,4)*$CB63</f>
        <v>#NAME?</v>
      </c>
      <c r="BG63" s="370" t="e">
        <f aca="false">xSPRDOPT($BW63,$BV63,$CG63,0,$BY63,$BX63,$BZ63,$AJ63,1,3)*$CB63</f>
        <v>#NAME?</v>
      </c>
      <c r="BH63" s="370" t="e">
        <f aca="false">IF(OR(BF63&lt;&gt;0,BG63&lt;&gt;0),xSPRDOPT($BW63,$BV63,$CG63,0,$BY63,$BX63,$BZ63,$AJ63,1,12)*$CB63,0)</f>
        <v>#NAME?</v>
      </c>
      <c r="BI63" s="370" t="e">
        <f aca="false">xSPRDOPT($BW63,$BV63,$CG63,2*LN(1+CA63/2),$BY63,$BX63,$BZ63,$AJ63,1,9)</f>
        <v>#NAME?</v>
      </c>
      <c r="BJ63" s="370" t="e">
        <f aca="false">xSPRDOPT($BW63,$BV63,$CG63,0,$BY63,$BX63,$BZ63,$AJ63,1,6)*$CB63</f>
        <v>#NAME?</v>
      </c>
      <c r="BK63" s="370" t="e">
        <f aca="false">xSPRDOPT($BW63,$BV63,$CG63,0,$BY63,$BX63,$BZ63,$AJ63,1,5)*$CB63</f>
        <v>#NAME?</v>
      </c>
      <c r="BL63" s="370" t="e">
        <f aca="false">xSPRDOPT(BW63,BV63,CG63,0,BY63,BX63,BZ63,AJ63,1,2)*CB63</f>
        <v>#NAME?</v>
      </c>
      <c r="BM63" s="370" t="e">
        <f aca="false">xSPRDOPT(BW63,BV63,CG63,0,BY63,BX63,BZ63,AJ63,1,1)*CB63</f>
        <v>#NAME?</v>
      </c>
      <c r="BN63" s="370" t="e">
        <f aca="false">IF(AH63&lt;&gt;0,xSPRDOPT($BW63,$BV63,$CG63,2*LN(1+CA63/2),$BY63,$BX63,$BZ63,$AJ63,1,8)+(AJ63/365.25)*CH63/AH63,0)</f>
        <v>#VALUE!</v>
      </c>
      <c r="BO63" s="370" t="e">
        <f aca="false">xSPRDOPT($BW63,$BV63,$CG63,0,$BY63,$BX63,$BZ63,$AJ63,1,0)</f>
        <v>#NAME?</v>
      </c>
      <c r="BP63" s="370"/>
      <c r="BQ63" s="370"/>
      <c r="BR63" s="370"/>
      <c r="BS63" s="370"/>
      <c r="BV63" s="508" t="n">
        <v>3.44578313253012</v>
      </c>
      <c r="BW63" s="369" t="n">
        <v>3.467</v>
      </c>
      <c r="BX63" s="370" t="n">
        <v>0.37</v>
      </c>
      <c r="BY63" s="370" t="n">
        <v>0.37</v>
      </c>
      <c r="BZ63" s="370" t="n">
        <v>0</v>
      </c>
      <c r="CA63" s="370" t="n">
        <v>0.0348361539671314</v>
      </c>
      <c r="CB63" s="370" t="n">
        <v>0</v>
      </c>
      <c r="CC63" s="505" t="n">
        <v>0</v>
      </c>
      <c r="CD63" s="505" t="n">
        <v>0.03</v>
      </c>
      <c r="CE63" s="505" t="n">
        <v>0.065</v>
      </c>
      <c r="CF63" s="505" t="n">
        <v>0</v>
      </c>
      <c r="CG63" s="505" t="n">
        <v>0.0006</v>
      </c>
      <c r="CH63" s="505" t="n">
        <v>0</v>
      </c>
      <c r="CI63" s="505" t="n">
        <v>3.402</v>
      </c>
      <c r="CJ63" s="505"/>
      <c r="CK63" s="505"/>
      <c r="CL63" s="505"/>
      <c r="CM63" s="505"/>
    </row>
    <row r="64" customFormat="false" ht="12.75" hidden="false" customHeight="false" outlineLevel="0" collapsed="false">
      <c r="A64" s="500"/>
      <c r="B64" s="500"/>
      <c r="D64" s="361" t="e">
        <f aca="false">D63+AH63</f>
        <v>#VALUE!</v>
      </c>
      <c r="F64" s="362" t="e">
        <f aca="false">VLOOKUP(AG64,$AL$4:$AS$15,2)</f>
        <v>#VALUE!</v>
      </c>
      <c r="G64" s="362" t="e">
        <f aca="false">F64*$AU64</f>
        <v>#VALUE!</v>
      </c>
      <c r="H64" s="363" t="e">
        <f aca="false">(AL64+AM64+AN64)/(1-(AR64))</f>
        <v>#VALUE!</v>
      </c>
      <c r="I64" s="363" t="e">
        <f aca="false">(AL64+AO64+AP64)</f>
        <v>#VALUE!</v>
      </c>
      <c r="K64" s="363" t="e">
        <f aca="false">MAX(((I64-H64)-AQ64)*AU64*AH64,0)</f>
        <v>#VALUE!</v>
      </c>
      <c r="L64" s="501" t="e">
        <f aca="false">MAX(Q64-K64,0)</f>
        <v>#VALUE!</v>
      </c>
      <c r="N64" s="502" t="e">
        <f aca="false">SQRT(($AX64^2*($AH64/2)+$AW64^2*$AI64)/(($AH64/2)+$AI64))</f>
        <v>#VALUE!</v>
      </c>
      <c r="O64" s="502" t="e">
        <f aca="false">SQRT(($AY64^2*($AH64/2)+$AW64^2*$AI64)/(($AH64/2)+$AI64))</f>
        <v>#VALUE!</v>
      </c>
      <c r="P64" s="371" t="e">
        <f aca="false">(VLOOKUP(AI64,CorrelationTwo,2)*(AW64^2)*AI64+VLOOKUP(D64,CorrelationOne,$AK$9)*AX64*AY64*(AH64/2))/((AI64+(AH64/2))*O64*N64)*AF64</f>
        <v>#VALUE!</v>
      </c>
      <c r="Q64" s="501" t="e">
        <f aca="false">xSPRDOPT(I64,H64,AQ64,0,O64,N64,P64,D64-$G$5,1,0)*AH64*AU64</f>
        <v>#VALUE!</v>
      </c>
      <c r="R64" s="501"/>
      <c r="S64" s="365" t="e">
        <f aca="false">xSPRDOPT(I64,H64,AQ64,AT64,O64,N64,P64,D64-$G$5,1,2)*AF64*(F64/(1-AR64))*AH64</f>
        <v>#VALUE!</v>
      </c>
      <c r="T64" s="365" t="e">
        <f aca="false">xSPRDOPT(I64,H64,AQ64,AT64,O64,N64,P64,D64-$G$5,1,1)*AF64*F64*AH64</f>
        <v>#VALUE!</v>
      </c>
      <c r="U64" s="501"/>
      <c r="V64" s="503" t="e">
        <f aca="false">VLOOKUP($AG64,$AL$4:$AS$15,8)*AH64*AU64</f>
        <v>#VALUE!</v>
      </c>
      <c r="W64" s="503"/>
      <c r="X64" s="504" t="e">
        <f aca="false">((BM64*BC64)+(BL64*BB64))*AH64*F64</f>
        <v>#VALUE!</v>
      </c>
      <c r="Y64" s="504" t="e">
        <f aca="false">($F64*$AH64)*((($BG64/2)*($BC64)^2)+(($BF64/2)*($BB64)^2)+($BH64*$BC64*$BB64))</f>
        <v>#VALUE!</v>
      </c>
      <c r="Z64" s="504" t="e">
        <f aca="false">($BI64*$F64*$AH64*($G$5-$BV$5))/365.25</f>
        <v>#VALUE!</v>
      </c>
      <c r="AA64" s="504" t="e">
        <f aca="false">(($BK64*$BE64)+($BJ64*$BD64))*$F64*$AH64*$AF64</f>
        <v>#VALUE!</v>
      </c>
      <c r="AB64" s="504" t="e">
        <f aca="false">BN64*(AT64-CA64)*F64*AH64</f>
        <v>#VALUE!</v>
      </c>
      <c r="AC64" s="504" t="e">
        <f aca="false">BO64*CB64*F64*AH64*CA64*($G$5-$BV$5)/365.25</f>
        <v>#NAME?</v>
      </c>
      <c r="AF64" s="378" t="e">
        <f aca="false">IF(AND(D64&gt;=$G$7,D64&lt;=$G$8),1,0)</f>
        <v>#VALUE!</v>
      </c>
      <c r="AG64" s="378" t="e">
        <f aca="false">MONTH(D64)</f>
        <v>#VALUE!</v>
      </c>
      <c r="AH64" s="378" t="e">
        <f aca="false">(EOMONTH(D64,0)-EOMONTH(D64-DAY(D64),0))*AF64</f>
        <v>#VALUE!</v>
      </c>
      <c r="AI64" s="378" t="e">
        <f aca="false">AI63+AH63</f>
        <v>#VALUE!</v>
      </c>
      <c r="AJ64" s="378" t="e">
        <f aca="false">D64-$BV$5</f>
        <v>#VALUE!</v>
      </c>
      <c r="AL64" s="369" t="e">
        <f aca="false">VLOOKUP($D64,CurveTbl,$AK$4)</f>
        <v>#VALUE!</v>
      </c>
      <c r="AM64" s="505" t="e">
        <f aca="false">VLOOKUP($D64,CurveTbl,$AH$3)</f>
        <v>#VALUE!</v>
      </c>
      <c r="AN64" s="505" t="e">
        <f aca="false">VLOOKUP($D64,CurveTbl,$AH$4)+VLOOKUP($AG64,$AL$3:$AS$15,6)</f>
        <v>#VALUE!</v>
      </c>
      <c r="AO64" s="505" t="e">
        <f aca="false">VLOOKUP($D64,CurveTbl,$AH$5)</f>
        <v>#VALUE!</v>
      </c>
      <c r="AP64" s="505" t="e">
        <f aca="false">VLOOKUP($D64,CurveTbl,$AH$6)+VLOOKUP($AG64,$AL$3:$AS$15,7)</f>
        <v>#VALUE!</v>
      </c>
      <c r="AQ64" s="369" t="e">
        <f aca="false">VLOOKUP($AG64,$AL$4:$AS$15,3)+VLOOKUP($AG64,$AL$4:$AS$15,5)+($AH$10*VLOOKUP(D64,GRITable,2))</f>
        <v>#VALUE!</v>
      </c>
      <c r="AR64" s="370" t="e">
        <f aca="false">VLOOKUP($AG64,$AL$4:$AS$15,4)</f>
        <v>#VALUE!</v>
      </c>
      <c r="AS64" s="369" t="e">
        <f aca="false">(AL64+AM64+AN64)</f>
        <v>#VALUE!</v>
      </c>
      <c r="AT64" s="370" t="e">
        <f aca="false">VLOOKUP(D64,CurveTbl,$AK$6)</f>
        <v>#VALUE!</v>
      </c>
      <c r="AU64" s="370" t="e">
        <f aca="false">(1+$AT64/2)^(-2*($D64-$G$5)/365.25)*$AF64</f>
        <v>#VALUE!</v>
      </c>
      <c r="AV64" s="506" t="e">
        <f aca="false">ROUND((F64/(1-AR64))-F64,0)*AF64*AH64*AU64</f>
        <v>#VALUE!</v>
      </c>
      <c r="AW64" s="370" t="e">
        <f aca="false">VLOOKUP($D64,CurveTbl,$AK$8)</f>
        <v>#VALUE!</v>
      </c>
      <c r="AX64" s="370" t="e">
        <f aca="false">VLOOKUP($D64,CurveTbl,$AH$7)</f>
        <v>#VALUE!</v>
      </c>
      <c r="AY64" s="370" t="e">
        <f aca="false">VLOOKUP($D64,CurveTbl,$AH$8)</f>
        <v>#VALUE!</v>
      </c>
      <c r="AZ64" s="370"/>
      <c r="BA64" s="507"/>
      <c r="BB64" s="505" t="e">
        <f aca="false">$H64-$BV64</f>
        <v>#VALUE!</v>
      </c>
      <c r="BC64" s="505" t="e">
        <f aca="false">I64-BW64</f>
        <v>#VALUE!</v>
      </c>
      <c r="BD64" s="370" t="e">
        <f aca="false">N64-BX64</f>
        <v>#VALUE!</v>
      </c>
      <c r="BE64" s="370" t="e">
        <f aca="false">O64-BY64</f>
        <v>#VALUE!</v>
      </c>
      <c r="BF64" s="370" t="e">
        <f aca="false">xSPRDOPT($BW64,$BV64,$CG64,0,$BY64,$BX64,$BZ64,$AJ64,1,4)*$CB64</f>
        <v>#NAME?</v>
      </c>
      <c r="BG64" s="370" t="e">
        <f aca="false">xSPRDOPT($BW64,$BV64,$CG64,0,$BY64,$BX64,$BZ64,$AJ64,1,3)*$CB64</f>
        <v>#NAME?</v>
      </c>
      <c r="BH64" s="370" t="e">
        <f aca="false">IF(OR(BF64&lt;&gt;0,BG64&lt;&gt;0),xSPRDOPT($BW64,$BV64,$CG64,0,$BY64,$BX64,$BZ64,$AJ64,1,12)*$CB64,0)</f>
        <v>#NAME?</v>
      </c>
      <c r="BI64" s="370" t="e">
        <f aca="false">xSPRDOPT($BW64,$BV64,$CG64,2*LN(1+CA64/2),$BY64,$BX64,$BZ64,$AJ64,1,9)</f>
        <v>#NAME?</v>
      </c>
      <c r="BJ64" s="370" t="e">
        <f aca="false">xSPRDOPT($BW64,$BV64,$CG64,0,$BY64,$BX64,$BZ64,$AJ64,1,6)*$CB64</f>
        <v>#NAME?</v>
      </c>
      <c r="BK64" s="370" t="e">
        <f aca="false">xSPRDOPT($BW64,$BV64,$CG64,0,$BY64,$BX64,$BZ64,$AJ64,1,5)*$CB64</f>
        <v>#NAME?</v>
      </c>
      <c r="BL64" s="370" t="e">
        <f aca="false">xSPRDOPT(BW64,BV64,CG64,0,BY64,BX64,BZ64,AJ64,1,2)*CB64</f>
        <v>#NAME?</v>
      </c>
      <c r="BM64" s="370" t="e">
        <f aca="false">xSPRDOPT(BW64,BV64,CG64,0,BY64,BX64,BZ64,AJ64,1,1)*CB64</f>
        <v>#NAME?</v>
      </c>
      <c r="BN64" s="370" t="e">
        <f aca="false">IF(AH64&lt;&gt;0,xSPRDOPT($BW64,$BV64,$CG64,2*LN(1+CA64/2),$BY64,$BX64,$BZ64,$AJ64,1,8)+(AJ64/365.25)*CH64/AH64,0)</f>
        <v>#VALUE!</v>
      </c>
      <c r="BO64" s="370" t="e">
        <f aca="false">xSPRDOPT($BW64,$BV64,$CG64,0,$BY64,$BX64,$BZ64,$AJ64,1,0)</f>
        <v>#NAME?</v>
      </c>
      <c r="BP64" s="370"/>
      <c r="BQ64" s="370"/>
      <c r="BR64" s="370"/>
      <c r="BS64" s="370"/>
      <c r="BV64" s="508" t="n">
        <v>3.44578313253012</v>
      </c>
      <c r="BW64" s="369" t="n">
        <v>3.467</v>
      </c>
      <c r="BX64" s="370" t="n">
        <v>0.37</v>
      </c>
      <c r="BY64" s="370" t="n">
        <v>0.37</v>
      </c>
      <c r="BZ64" s="370" t="n">
        <v>0</v>
      </c>
      <c r="CA64" s="370" t="n">
        <v>0.0348361539671314</v>
      </c>
      <c r="CB64" s="370" t="n">
        <v>0</v>
      </c>
      <c r="CC64" s="505" t="n">
        <v>0</v>
      </c>
      <c r="CD64" s="505" t="n">
        <v>0.03</v>
      </c>
      <c r="CE64" s="505" t="n">
        <v>0.065</v>
      </c>
      <c r="CF64" s="505" t="n">
        <v>0</v>
      </c>
      <c r="CG64" s="505" t="n">
        <v>0.0006</v>
      </c>
      <c r="CH64" s="505" t="n">
        <v>0</v>
      </c>
      <c r="CI64" s="505" t="n">
        <v>3.402</v>
      </c>
      <c r="CJ64" s="505"/>
      <c r="CK64" s="505"/>
      <c r="CL64" s="505"/>
      <c r="CM64" s="505"/>
    </row>
    <row r="65" customFormat="false" ht="12.75" hidden="false" customHeight="false" outlineLevel="0" collapsed="false">
      <c r="A65" s="500"/>
      <c r="B65" s="500"/>
      <c r="D65" s="361" t="e">
        <f aca="false">D64+AH64</f>
        <v>#VALUE!</v>
      </c>
      <c r="F65" s="362" t="e">
        <f aca="false">VLOOKUP(AG65,$AL$4:$AS$15,2)</f>
        <v>#VALUE!</v>
      </c>
      <c r="G65" s="362" t="e">
        <f aca="false">F65*$AU65</f>
        <v>#VALUE!</v>
      </c>
      <c r="H65" s="363" t="e">
        <f aca="false">(AL65+AM65+AN65)/(1-(AR65))</f>
        <v>#VALUE!</v>
      </c>
      <c r="I65" s="363" t="e">
        <f aca="false">(AL65+AO65+AP65)</f>
        <v>#VALUE!</v>
      </c>
      <c r="K65" s="363" t="e">
        <f aca="false">MAX(((I65-H65)-AQ65)*AU65*AH65,0)</f>
        <v>#VALUE!</v>
      </c>
      <c r="L65" s="501" t="e">
        <f aca="false">MAX(Q65-K65,0)</f>
        <v>#VALUE!</v>
      </c>
      <c r="N65" s="502" t="e">
        <f aca="false">SQRT(($AX65^2*($AH65/2)+$AW65^2*$AI65)/(($AH65/2)+$AI65))</f>
        <v>#VALUE!</v>
      </c>
      <c r="O65" s="502" t="e">
        <f aca="false">SQRT(($AY65^2*($AH65/2)+$AW65^2*$AI65)/(($AH65/2)+$AI65))</f>
        <v>#VALUE!</v>
      </c>
      <c r="P65" s="371" t="e">
        <f aca="false">(VLOOKUP(AI65,CorrelationTwo,2)*(AW65^2)*AI65+VLOOKUP(D65,CorrelationOne,$AK$9)*AX65*AY65*(AH65/2))/((AI65+(AH65/2))*O65*N65)*AF65</f>
        <v>#VALUE!</v>
      </c>
      <c r="Q65" s="501" t="e">
        <f aca="false">xSPRDOPT(I65,H65,AQ65,0,O65,N65,P65,D65-$G$5,1,0)*AH65*AU65</f>
        <v>#VALUE!</v>
      </c>
      <c r="R65" s="501"/>
      <c r="S65" s="365" t="e">
        <f aca="false">xSPRDOPT(I65,H65,AQ65,AT65,O65,N65,P65,D65-$G$5,1,2)*AF65*(F65/(1-AR65))*AH65</f>
        <v>#VALUE!</v>
      </c>
      <c r="T65" s="365" t="e">
        <f aca="false">xSPRDOPT(I65,H65,AQ65,AT65,O65,N65,P65,D65-$G$5,1,1)*AF65*F65*AH65</f>
        <v>#VALUE!</v>
      </c>
      <c r="U65" s="501"/>
      <c r="V65" s="503" t="e">
        <f aca="false">VLOOKUP($AG65,$AL$4:$AS$15,8)*AH65*AU65</f>
        <v>#VALUE!</v>
      </c>
      <c r="W65" s="503"/>
      <c r="X65" s="504" t="e">
        <f aca="false">((BM65*BC65)+(BL65*BB65))*AH65*F65</f>
        <v>#VALUE!</v>
      </c>
      <c r="Y65" s="504" t="e">
        <f aca="false">($F65*$AH65)*((($BG65/2)*($BC65)^2)+(($BF65/2)*($BB65)^2)+($BH65*$BC65*$BB65))</f>
        <v>#VALUE!</v>
      </c>
      <c r="Z65" s="504" t="e">
        <f aca="false">($BI65*$F65*$AH65*($G$5-$BV$5))/365.25</f>
        <v>#VALUE!</v>
      </c>
      <c r="AA65" s="504" t="e">
        <f aca="false">(($BK65*$BE65)+($BJ65*$BD65))*$F65*$AH65*$AF65</f>
        <v>#VALUE!</v>
      </c>
      <c r="AB65" s="504" t="e">
        <f aca="false">BN65*(AT65-CA65)*F65*AH65</f>
        <v>#VALUE!</v>
      </c>
      <c r="AC65" s="504" t="e">
        <f aca="false">BO65*CB65*F65*AH65*CA65*($G$5-$BV$5)/365.25</f>
        <v>#NAME?</v>
      </c>
      <c r="AF65" s="378" t="e">
        <f aca="false">IF(AND(D65&gt;=$G$7,D65&lt;=$G$8),1,0)</f>
        <v>#VALUE!</v>
      </c>
      <c r="AG65" s="378" t="e">
        <f aca="false">MONTH(D65)</f>
        <v>#VALUE!</v>
      </c>
      <c r="AH65" s="378" t="e">
        <f aca="false">(EOMONTH(D65,0)-EOMONTH(D65-DAY(D65),0))*AF65</f>
        <v>#VALUE!</v>
      </c>
      <c r="AI65" s="378" t="e">
        <f aca="false">AI64+AH64</f>
        <v>#VALUE!</v>
      </c>
      <c r="AJ65" s="378" t="e">
        <f aca="false">D65-$BV$5</f>
        <v>#VALUE!</v>
      </c>
      <c r="AL65" s="369" t="e">
        <f aca="false">VLOOKUP($D65,CurveTbl,$AK$4)</f>
        <v>#VALUE!</v>
      </c>
      <c r="AM65" s="505" t="e">
        <f aca="false">VLOOKUP($D65,CurveTbl,$AH$3)</f>
        <v>#VALUE!</v>
      </c>
      <c r="AN65" s="505" t="e">
        <f aca="false">VLOOKUP($D65,CurveTbl,$AH$4)+VLOOKUP($AG65,$AL$3:$AS$15,6)</f>
        <v>#VALUE!</v>
      </c>
      <c r="AO65" s="505" t="e">
        <f aca="false">VLOOKUP($D65,CurveTbl,$AH$5)</f>
        <v>#VALUE!</v>
      </c>
      <c r="AP65" s="505" t="e">
        <f aca="false">VLOOKUP($D65,CurveTbl,$AH$6)+VLOOKUP($AG65,$AL$3:$AS$15,7)</f>
        <v>#VALUE!</v>
      </c>
      <c r="AQ65" s="369" t="e">
        <f aca="false">VLOOKUP($AG65,$AL$4:$AS$15,3)+VLOOKUP($AG65,$AL$4:$AS$15,5)+($AH$10*VLOOKUP(D65,GRITable,2))</f>
        <v>#VALUE!</v>
      </c>
      <c r="AR65" s="370" t="e">
        <f aca="false">VLOOKUP($AG65,$AL$4:$AS$15,4)</f>
        <v>#VALUE!</v>
      </c>
      <c r="AS65" s="369" t="e">
        <f aca="false">(AL65+AM65+AN65)</f>
        <v>#VALUE!</v>
      </c>
      <c r="AT65" s="370" t="e">
        <f aca="false">VLOOKUP(D65,CurveTbl,$AK$6)</f>
        <v>#VALUE!</v>
      </c>
      <c r="AU65" s="370" t="e">
        <f aca="false">(1+$AT65/2)^(-2*($D65-$G$5)/365.25)*$AF65</f>
        <v>#VALUE!</v>
      </c>
      <c r="AV65" s="506" t="e">
        <f aca="false">ROUND((F65/(1-AR65))-F65,0)*AF65*AH65*AU65</f>
        <v>#VALUE!</v>
      </c>
      <c r="AW65" s="370" t="e">
        <f aca="false">VLOOKUP($D65,CurveTbl,$AK$8)</f>
        <v>#VALUE!</v>
      </c>
      <c r="AX65" s="370" t="e">
        <f aca="false">VLOOKUP($D65,CurveTbl,$AH$7)</f>
        <v>#VALUE!</v>
      </c>
      <c r="AY65" s="370" t="e">
        <f aca="false">VLOOKUP($D65,CurveTbl,$AH$8)</f>
        <v>#VALUE!</v>
      </c>
      <c r="AZ65" s="370"/>
      <c r="BA65" s="507"/>
      <c r="BB65" s="505" t="e">
        <f aca="false">$H65-$BV65</f>
        <v>#VALUE!</v>
      </c>
      <c r="BC65" s="505" t="e">
        <f aca="false">I65-BW65</f>
        <v>#VALUE!</v>
      </c>
      <c r="BD65" s="370" t="e">
        <f aca="false">N65-BX65</f>
        <v>#VALUE!</v>
      </c>
      <c r="BE65" s="370" t="e">
        <f aca="false">O65-BY65</f>
        <v>#VALUE!</v>
      </c>
      <c r="BF65" s="370" t="e">
        <f aca="false">xSPRDOPT($BW65,$BV65,$CG65,0,$BY65,$BX65,$BZ65,$AJ65,1,4)*$CB65</f>
        <v>#NAME?</v>
      </c>
      <c r="BG65" s="370" t="e">
        <f aca="false">xSPRDOPT($BW65,$BV65,$CG65,0,$BY65,$BX65,$BZ65,$AJ65,1,3)*$CB65</f>
        <v>#NAME?</v>
      </c>
      <c r="BH65" s="370" t="e">
        <f aca="false">IF(OR(BF65&lt;&gt;0,BG65&lt;&gt;0),xSPRDOPT($BW65,$BV65,$CG65,0,$BY65,$BX65,$BZ65,$AJ65,1,12)*$CB65,0)</f>
        <v>#NAME?</v>
      </c>
      <c r="BI65" s="370" t="e">
        <f aca="false">xSPRDOPT($BW65,$BV65,$CG65,2*LN(1+CA65/2),$BY65,$BX65,$BZ65,$AJ65,1,9)</f>
        <v>#NAME?</v>
      </c>
      <c r="BJ65" s="370" t="e">
        <f aca="false">xSPRDOPT($BW65,$BV65,$CG65,0,$BY65,$BX65,$BZ65,$AJ65,1,6)*$CB65</f>
        <v>#NAME?</v>
      </c>
      <c r="BK65" s="370" t="e">
        <f aca="false">xSPRDOPT($BW65,$BV65,$CG65,0,$BY65,$BX65,$BZ65,$AJ65,1,5)*$CB65</f>
        <v>#NAME?</v>
      </c>
      <c r="BL65" s="370" t="e">
        <f aca="false">xSPRDOPT(BW65,BV65,CG65,0,BY65,BX65,BZ65,AJ65,1,2)*CB65</f>
        <v>#NAME?</v>
      </c>
      <c r="BM65" s="370" t="e">
        <f aca="false">xSPRDOPT(BW65,BV65,CG65,0,BY65,BX65,BZ65,AJ65,1,1)*CB65</f>
        <v>#NAME?</v>
      </c>
      <c r="BN65" s="370" t="e">
        <f aca="false">IF(AH65&lt;&gt;0,xSPRDOPT($BW65,$BV65,$CG65,2*LN(1+CA65/2),$BY65,$BX65,$BZ65,$AJ65,1,8)+(AJ65/365.25)*CH65/AH65,0)</f>
        <v>#VALUE!</v>
      </c>
      <c r="BO65" s="370" t="e">
        <f aca="false">xSPRDOPT($BW65,$BV65,$CG65,0,$BY65,$BX65,$BZ65,$AJ65,1,0)</f>
        <v>#NAME?</v>
      </c>
      <c r="BP65" s="370"/>
      <c r="BQ65" s="370"/>
      <c r="BR65" s="370"/>
      <c r="BS65" s="370"/>
      <c r="BV65" s="508" t="n">
        <v>3.44578313253012</v>
      </c>
      <c r="BW65" s="369" t="n">
        <v>3.467</v>
      </c>
      <c r="BX65" s="370" t="n">
        <v>0.37</v>
      </c>
      <c r="BY65" s="370" t="n">
        <v>0.37</v>
      </c>
      <c r="BZ65" s="370" t="n">
        <v>0</v>
      </c>
      <c r="CA65" s="370" t="n">
        <v>0.0348361539671314</v>
      </c>
      <c r="CB65" s="370" t="n">
        <v>0</v>
      </c>
      <c r="CC65" s="505" t="n">
        <v>0</v>
      </c>
      <c r="CD65" s="505" t="n">
        <v>0.03</v>
      </c>
      <c r="CE65" s="505" t="n">
        <v>0.065</v>
      </c>
      <c r="CF65" s="505" t="n">
        <v>0</v>
      </c>
      <c r="CG65" s="505" t="n">
        <v>0.0006</v>
      </c>
      <c r="CH65" s="505" t="n">
        <v>0</v>
      </c>
      <c r="CI65" s="505" t="n">
        <v>3.402</v>
      </c>
      <c r="CJ65" s="505"/>
      <c r="CK65" s="505"/>
      <c r="CL65" s="505"/>
      <c r="CM65" s="505"/>
    </row>
    <row r="66" customFormat="false" ht="12.75" hidden="false" customHeight="false" outlineLevel="0" collapsed="false">
      <c r="A66" s="500"/>
      <c r="B66" s="500"/>
      <c r="D66" s="361" t="e">
        <f aca="false">D65+AH65</f>
        <v>#VALUE!</v>
      </c>
      <c r="F66" s="362" t="e">
        <f aca="false">VLOOKUP(AG66,$AL$4:$AS$15,2)</f>
        <v>#VALUE!</v>
      </c>
      <c r="G66" s="362" t="e">
        <f aca="false">F66*$AU66</f>
        <v>#VALUE!</v>
      </c>
      <c r="H66" s="363" t="e">
        <f aca="false">(AL66+AM66+AN66)/(1-(AR66))</f>
        <v>#VALUE!</v>
      </c>
      <c r="I66" s="363" t="e">
        <f aca="false">(AL66+AO66+AP66)</f>
        <v>#VALUE!</v>
      </c>
      <c r="K66" s="363" t="e">
        <f aca="false">MAX(((I66-H66)-AQ66)*AU66*AH66,0)</f>
        <v>#VALUE!</v>
      </c>
      <c r="L66" s="501" t="e">
        <f aca="false">MAX(Q66-K66,0)</f>
        <v>#VALUE!</v>
      </c>
      <c r="N66" s="502" t="e">
        <f aca="false">SQRT(($AX66^2*($AH66/2)+$AW66^2*$AI66)/(($AH66/2)+$AI66))</f>
        <v>#VALUE!</v>
      </c>
      <c r="O66" s="502" t="e">
        <f aca="false">SQRT(($AY66^2*($AH66/2)+$AW66^2*$AI66)/(($AH66/2)+$AI66))</f>
        <v>#VALUE!</v>
      </c>
      <c r="P66" s="371" t="e">
        <f aca="false">(VLOOKUP(AI66,CorrelationTwo,2)*(AW66^2)*AI66+VLOOKUP(D66,CorrelationOne,$AK$9)*AX66*AY66*(AH66/2))/((AI66+(AH66/2))*O66*N66)*AF66</f>
        <v>#VALUE!</v>
      </c>
      <c r="Q66" s="501" t="e">
        <f aca="false">xSPRDOPT(I66,H66,AQ66,0,O66,N66,P66,D66-$G$5,1,0)*AH66*AU66</f>
        <v>#VALUE!</v>
      </c>
      <c r="R66" s="501"/>
      <c r="S66" s="365" t="e">
        <f aca="false">xSPRDOPT(I66,H66,AQ66,AT66,O66,N66,P66,D66-$G$5,1,2)*AF66*(F66/(1-AR66))*AH66</f>
        <v>#VALUE!</v>
      </c>
      <c r="T66" s="365" t="e">
        <f aca="false">xSPRDOPT(I66,H66,AQ66,AT66,O66,N66,P66,D66-$G$5,1,1)*AF66*F66*AH66</f>
        <v>#VALUE!</v>
      </c>
      <c r="U66" s="501"/>
      <c r="V66" s="503" t="e">
        <f aca="false">VLOOKUP($AG66,$AL$4:$AS$15,8)*AH66*AU66</f>
        <v>#VALUE!</v>
      </c>
      <c r="W66" s="503"/>
      <c r="X66" s="504" t="e">
        <f aca="false">((BM66*BC66)+(BL66*BB66))*AH66*F66</f>
        <v>#VALUE!</v>
      </c>
      <c r="Y66" s="504" t="e">
        <f aca="false">($F66*$AH66)*((($BG66/2)*($BC66)^2)+(($BF66/2)*($BB66)^2)+($BH66*$BC66*$BB66))</f>
        <v>#VALUE!</v>
      </c>
      <c r="Z66" s="504" t="e">
        <f aca="false">($BI66*$F66*$AH66*($G$5-$BV$5))/365.25</f>
        <v>#VALUE!</v>
      </c>
      <c r="AA66" s="504" t="e">
        <f aca="false">(($BK66*$BE66)+($BJ66*$BD66))*$F66*$AH66*$AF66</f>
        <v>#VALUE!</v>
      </c>
      <c r="AB66" s="504" t="e">
        <f aca="false">BN66*(AT66-CA66)*F66*AH66</f>
        <v>#VALUE!</v>
      </c>
      <c r="AC66" s="504" t="e">
        <f aca="false">BO66*CB66*F66*AH66*CA66*($G$5-$BV$5)/365.25</f>
        <v>#NAME?</v>
      </c>
      <c r="AF66" s="378" t="e">
        <f aca="false">IF(AND(D66&gt;=$G$7,D66&lt;=$G$8),1,0)</f>
        <v>#VALUE!</v>
      </c>
      <c r="AG66" s="378" t="e">
        <f aca="false">MONTH(D66)</f>
        <v>#VALUE!</v>
      </c>
      <c r="AH66" s="378" t="e">
        <f aca="false">(EOMONTH(D66,0)-EOMONTH(D66-DAY(D66),0))*AF66</f>
        <v>#VALUE!</v>
      </c>
      <c r="AI66" s="378" t="e">
        <f aca="false">AI65+AH65</f>
        <v>#VALUE!</v>
      </c>
      <c r="AJ66" s="378" t="e">
        <f aca="false">D66-$BV$5</f>
        <v>#VALUE!</v>
      </c>
      <c r="AL66" s="369" t="e">
        <f aca="false">VLOOKUP($D66,CurveTbl,$AK$4)</f>
        <v>#VALUE!</v>
      </c>
      <c r="AM66" s="505" t="e">
        <f aca="false">VLOOKUP($D66,CurveTbl,$AH$3)</f>
        <v>#VALUE!</v>
      </c>
      <c r="AN66" s="505" t="e">
        <f aca="false">VLOOKUP($D66,CurveTbl,$AH$4)+VLOOKUP($AG66,$AL$3:$AS$15,6)</f>
        <v>#VALUE!</v>
      </c>
      <c r="AO66" s="505" t="e">
        <f aca="false">VLOOKUP($D66,CurveTbl,$AH$5)</f>
        <v>#VALUE!</v>
      </c>
      <c r="AP66" s="505" t="e">
        <f aca="false">VLOOKUP($D66,CurveTbl,$AH$6)+VLOOKUP($AG66,$AL$3:$AS$15,7)</f>
        <v>#VALUE!</v>
      </c>
      <c r="AQ66" s="369" t="e">
        <f aca="false">VLOOKUP($AG66,$AL$4:$AS$15,3)+VLOOKUP($AG66,$AL$4:$AS$15,5)+($AH$10*VLOOKUP(D66,GRITable,2))</f>
        <v>#VALUE!</v>
      </c>
      <c r="AR66" s="370" t="e">
        <f aca="false">VLOOKUP($AG66,$AL$4:$AS$15,4)</f>
        <v>#VALUE!</v>
      </c>
      <c r="AS66" s="369" t="e">
        <f aca="false">(AL66+AM66+AN66)</f>
        <v>#VALUE!</v>
      </c>
      <c r="AT66" s="370" t="e">
        <f aca="false">VLOOKUP(D66,CurveTbl,$AK$6)</f>
        <v>#VALUE!</v>
      </c>
      <c r="AU66" s="370" t="e">
        <f aca="false">(1+$AT66/2)^(-2*($D66-$G$5)/365.25)*$AF66</f>
        <v>#VALUE!</v>
      </c>
      <c r="AV66" s="506" t="e">
        <f aca="false">ROUND((F66/(1-AR66))-F66,0)*AF66*AH66*AU66</f>
        <v>#VALUE!</v>
      </c>
      <c r="AW66" s="370" t="e">
        <f aca="false">VLOOKUP($D66,CurveTbl,$AK$8)</f>
        <v>#VALUE!</v>
      </c>
      <c r="AX66" s="370" t="e">
        <f aca="false">VLOOKUP($D66,CurveTbl,$AH$7)</f>
        <v>#VALUE!</v>
      </c>
      <c r="AY66" s="370" t="e">
        <f aca="false">VLOOKUP($D66,CurveTbl,$AH$8)</f>
        <v>#VALUE!</v>
      </c>
      <c r="AZ66" s="370"/>
      <c r="BA66" s="507"/>
      <c r="BB66" s="505" t="e">
        <f aca="false">$H66-$BV66</f>
        <v>#VALUE!</v>
      </c>
      <c r="BC66" s="505" t="e">
        <f aca="false">I66-BW66</f>
        <v>#VALUE!</v>
      </c>
      <c r="BD66" s="370" t="e">
        <f aca="false">N66-BX66</f>
        <v>#VALUE!</v>
      </c>
      <c r="BE66" s="370" t="e">
        <f aca="false">O66-BY66</f>
        <v>#VALUE!</v>
      </c>
      <c r="BF66" s="370" t="e">
        <f aca="false">xSPRDOPT($BW66,$BV66,$CG66,0,$BY66,$BX66,$BZ66,$AJ66,1,4)*$CB66</f>
        <v>#NAME?</v>
      </c>
      <c r="BG66" s="370" t="e">
        <f aca="false">xSPRDOPT($BW66,$BV66,$CG66,0,$BY66,$BX66,$BZ66,$AJ66,1,3)*$CB66</f>
        <v>#NAME?</v>
      </c>
      <c r="BH66" s="370" t="e">
        <f aca="false">IF(OR(BF66&lt;&gt;0,BG66&lt;&gt;0),xSPRDOPT($BW66,$BV66,$CG66,0,$BY66,$BX66,$BZ66,$AJ66,1,12)*$CB66,0)</f>
        <v>#NAME?</v>
      </c>
      <c r="BI66" s="370" t="e">
        <f aca="false">xSPRDOPT($BW66,$BV66,$CG66,2*LN(1+CA66/2),$BY66,$BX66,$BZ66,$AJ66,1,9)</f>
        <v>#NAME?</v>
      </c>
      <c r="BJ66" s="370" t="e">
        <f aca="false">xSPRDOPT($BW66,$BV66,$CG66,0,$BY66,$BX66,$BZ66,$AJ66,1,6)*$CB66</f>
        <v>#NAME?</v>
      </c>
      <c r="BK66" s="370" t="e">
        <f aca="false">xSPRDOPT($BW66,$BV66,$CG66,0,$BY66,$BX66,$BZ66,$AJ66,1,5)*$CB66</f>
        <v>#NAME?</v>
      </c>
      <c r="BL66" s="370" t="e">
        <f aca="false">xSPRDOPT(BW66,BV66,CG66,0,BY66,BX66,BZ66,AJ66,1,2)*CB66</f>
        <v>#NAME?</v>
      </c>
      <c r="BM66" s="370" t="e">
        <f aca="false">xSPRDOPT(BW66,BV66,CG66,0,BY66,BX66,BZ66,AJ66,1,1)*CB66</f>
        <v>#NAME?</v>
      </c>
      <c r="BN66" s="370" t="e">
        <f aca="false">IF(AH66&lt;&gt;0,xSPRDOPT($BW66,$BV66,$CG66,2*LN(1+CA66/2),$BY66,$BX66,$BZ66,$AJ66,1,8)+(AJ66/365.25)*CH66/AH66,0)</f>
        <v>#VALUE!</v>
      </c>
      <c r="BO66" s="370" t="e">
        <f aca="false">xSPRDOPT($BW66,$BV66,$CG66,0,$BY66,$BX66,$BZ66,$AJ66,1,0)</f>
        <v>#NAME?</v>
      </c>
      <c r="BP66" s="370"/>
      <c r="BQ66" s="370"/>
      <c r="BR66" s="370"/>
      <c r="BS66" s="370"/>
      <c r="BV66" s="508" t="n">
        <v>3.44578313253012</v>
      </c>
      <c r="BW66" s="369" t="n">
        <v>3.467</v>
      </c>
      <c r="BX66" s="370" t="n">
        <v>0.37</v>
      </c>
      <c r="BY66" s="370" t="n">
        <v>0.37</v>
      </c>
      <c r="BZ66" s="370" t="n">
        <v>0</v>
      </c>
      <c r="CA66" s="370" t="n">
        <v>0.0348361539671314</v>
      </c>
      <c r="CB66" s="370" t="n">
        <v>0</v>
      </c>
      <c r="CC66" s="505" t="n">
        <v>0</v>
      </c>
      <c r="CD66" s="505" t="n">
        <v>0.03</v>
      </c>
      <c r="CE66" s="505" t="n">
        <v>0.065</v>
      </c>
      <c r="CF66" s="505" t="n">
        <v>0</v>
      </c>
      <c r="CG66" s="505" t="n">
        <v>0.0006</v>
      </c>
      <c r="CH66" s="505" t="n">
        <v>0</v>
      </c>
      <c r="CI66" s="505" t="n">
        <v>3.402</v>
      </c>
      <c r="CJ66" s="505"/>
      <c r="CK66" s="505"/>
      <c r="CL66" s="505"/>
      <c r="CM66" s="505"/>
    </row>
    <row r="67" customFormat="false" ht="12.75" hidden="false" customHeight="false" outlineLevel="0" collapsed="false">
      <c r="A67" s="500"/>
      <c r="B67" s="500"/>
      <c r="D67" s="361" t="e">
        <f aca="false">D66+AH66</f>
        <v>#VALUE!</v>
      </c>
      <c r="F67" s="362" t="e">
        <f aca="false">VLOOKUP(AG67,$AL$4:$AS$15,2)</f>
        <v>#VALUE!</v>
      </c>
      <c r="G67" s="362" t="e">
        <f aca="false">F67*$AU67</f>
        <v>#VALUE!</v>
      </c>
      <c r="H67" s="363" t="e">
        <f aca="false">(AL67+AM67+AN67)/(1-(AR67))</f>
        <v>#VALUE!</v>
      </c>
      <c r="I67" s="363" t="e">
        <f aca="false">(AL67+AO67+AP67)</f>
        <v>#VALUE!</v>
      </c>
      <c r="K67" s="363" t="e">
        <f aca="false">MAX(((I67-H67)-AQ67)*AU67*AH67,0)</f>
        <v>#VALUE!</v>
      </c>
      <c r="L67" s="501" t="e">
        <f aca="false">MAX(Q67-K67,0)</f>
        <v>#VALUE!</v>
      </c>
      <c r="N67" s="502" t="e">
        <f aca="false">SQRT(($AX67^2*($AH67/2)+$AW67^2*$AI67)/(($AH67/2)+$AI67))</f>
        <v>#VALUE!</v>
      </c>
      <c r="O67" s="502" t="e">
        <f aca="false">SQRT(($AY67^2*($AH67/2)+$AW67^2*$AI67)/(($AH67/2)+$AI67))</f>
        <v>#VALUE!</v>
      </c>
      <c r="P67" s="371" t="e">
        <f aca="false">(VLOOKUP(AI67,CorrelationTwo,2)*(AW67^2)*AI67+VLOOKUP(D67,CorrelationOne,$AK$9)*AX67*AY67*(AH67/2))/((AI67+(AH67/2))*O67*N67)*AF67</f>
        <v>#VALUE!</v>
      </c>
      <c r="Q67" s="501" t="e">
        <f aca="false">xSPRDOPT(I67,H67,AQ67,0,O67,N67,P67,D67-$G$5,1,0)*AH67*AU67</f>
        <v>#VALUE!</v>
      </c>
      <c r="R67" s="501"/>
      <c r="S67" s="365" t="e">
        <f aca="false">xSPRDOPT(I67,H67,AQ67,AT67,O67,N67,P67,D67-$G$5,1,2)*AF67*(F67/(1-AR67))*AH67</f>
        <v>#VALUE!</v>
      </c>
      <c r="T67" s="365" t="e">
        <f aca="false">xSPRDOPT(I67,H67,AQ67,AT67,O67,N67,P67,D67-$G$5,1,1)*AF67*F67*AH67</f>
        <v>#VALUE!</v>
      </c>
      <c r="U67" s="501"/>
      <c r="V67" s="503" t="e">
        <f aca="false">VLOOKUP($AG67,$AL$4:$AS$15,8)*AH67*AU67</f>
        <v>#VALUE!</v>
      </c>
      <c r="W67" s="503"/>
      <c r="X67" s="504" t="e">
        <f aca="false">((BM67*BC67)+(BL67*BB67))*AH67*F67</f>
        <v>#VALUE!</v>
      </c>
      <c r="Y67" s="504" t="e">
        <f aca="false">($F67*$AH67)*((($BG67/2)*($BC67)^2)+(($BF67/2)*($BB67)^2)+($BH67*$BC67*$BB67))</f>
        <v>#VALUE!</v>
      </c>
      <c r="Z67" s="504" t="e">
        <f aca="false">($BI67*$F67*$AH67*($G$5-$BV$5))/365.25</f>
        <v>#VALUE!</v>
      </c>
      <c r="AA67" s="504" t="e">
        <f aca="false">(($BK67*$BE67)+($BJ67*$BD67))*$F67*$AH67*$AF67</f>
        <v>#VALUE!</v>
      </c>
      <c r="AB67" s="504" t="e">
        <f aca="false">BN67*(AT67-CA67)*F67*AH67</f>
        <v>#VALUE!</v>
      </c>
      <c r="AC67" s="504" t="e">
        <f aca="false">BO67*CB67*F67*AH67*CA67*($G$5-$BV$5)/365.25</f>
        <v>#NAME?</v>
      </c>
      <c r="AF67" s="378" t="e">
        <f aca="false">IF(AND(D67&gt;=$G$7,D67&lt;=$G$8),1,0)</f>
        <v>#VALUE!</v>
      </c>
      <c r="AG67" s="378" t="e">
        <f aca="false">MONTH(D67)</f>
        <v>#VALUE!</v>
      </c>
      <c r="AH67" s="378" t="e">
        <f aca="false">(EOMONTH(D67,0)-EOMONTH(D67-DAY(D67),0))*AF67</f>
        <v>#VALUE!</v>
      </c>
      <c r="AI67" s="378" t="e">
        <f aca="false">AI66+AH66</f>
        <v>#VALUE!</v>
      </c>
      <c r="AJ67" s="378" t="e">
        <f aca="false">D67-$BV$5</f>
        <v>#VALUE!</v>
      </c>
      <c r="AL67" s="369" t="e">
        <f aca="false">VLOOKUP($D67,CurveTbl,$AK$4)</f>
        <v>#VALUE!</v>
      </c>
      <c r="AM67" s="505" t="e">
        <f aca="false">VLOOKUP($D67,CurveTbl,$AH$3)</f>
        <v>#VALUE!</v>
      </c>
      <c r="AN67" s="505" t="e">
        <f aca="false">VLOOKUP($D67,CurveTbl,$AH$4)+VLOOKUP($AG67,$AL$3:$AS$15,6)</f>
        <v>#VALUE!</v>
      </c>
      <c r="AO67" s="505" t="e">
        <f aca="false">VLOOKUP($D67,CurveTbl,$AH$5)</f>
        <v>#VALUE!</v>
      </c>
      <c r="AP67" s="505" t="e">
        <f aca="false">VLOOKUP($D67,CurveTbl,$AH$6)+VLOOKUP($AG67,$AL$3:$AS$15,7)</f>
        <v>#VALUE!</v>
      </c>
      <c r="AQ67" s="369" t="e">
        <f aca="false">VLOOKUP($AG67,$AL$4:$AS$15,3)+VLOOKUP($AG67,$AL$4:$AS$15,5)+($AH$10*VLOOKUP(D67,GRITable,2))</f>
        <v>#VALUE!</v>
      </c>
      <c r="AR67" s="370" t="e">
        <f aca="false">VLOOKUP($AG67,$AL$4:$AS$15,4)</f>
        <v>#VALUE!</v>
      </c>
      <c r="AS67" s="369" t="e">
        <f aca="false">(AL67+AM67+AN67)</f>
        <v>#VALUE!</v>
      </c>
      <c r="AT67" s="370" t="e">
        <f aca="false">VLOOKUP(D67,CurveTbl,$AK$6)</f>
        <v>#VALUE!</v>
      </c>
      <c r="AU67" s="370" t="e">
        <f aca="false">(1+$AT67/2)^(-2*($D67-$G$5)/365.25)*$AF67</f>
        <v>#VALUE!</v>
      </c>
      <c r="AV67" s="506" t="e">
        <f aca="false">ROUND((F67/(1-AR67))-F67,0)*AF67*AH67*AU67</f>
        <v>#VALUE!</v>
      </c>
      <c r="AW67" s="370" t="e">
        <f aca="false">VLOOKUP($D67,CurveTbl,$AK$8)</f>
        <v>#VALUE!</v>
      </c>
      <c r="AX67" s="370" t="e">
        <f aca="false">VLOOKUP($D67,CurveTbl,$AH$7)</f>
        <v>#VALUE!</v>
      </c>
      <c r="AY67" s="370" t="e">
        <f aca="false">VLOOKUP($D67,CurveTbl,$AH$8)</f>
        <v>#VALUE!</v>
      </c>
      <c r="AZ67" s="370"/>
      <c r="BA67" s="507"/>
      <c r="BB67" s="505" t="e">
        <f aca="false">$H67-$BV67</f>
        <v>#VALUE!</v>
      </c>
      <c r="BC67" s="505" t="e">
        <f aca="false">I67-BW67</f>
        <v>#VALUE!</v>
      </c>
      <c r="BD67" s="370" t="e">
        <f aca="false">N67-BX67</f>
        <v>#VALUE!</v>
      </c>
      <c r="BE67" s="370" t="e">
        <f aca="false">O67-BY67</f>
        <v>#VALUE!</v>
      </c>
      <c r="BF67" s="370" t="e">
        <f aca="false">xSPRDOPT($BW67,$BV67,$CG67,0,$BY67,$BX67,$BZ67,$AJ67,1,4)*$CB67</f>
        <v>#NAME?</v>
      </c>
      <c r="BG67" s="370" t="e">
        <f aca="false">xSPRDOPT($BW67,$BV67,$CG67,0,$BY67,$BX67,$BZ67,$AJ67,1,3)*$CB67</f>
        <v>#NAME?</v>
      </c>
      <c r="BH67" s="370" t="e">
        <f aca="false">IF(OR(BF67&lt;&gt;0,BG67&lt;&gt;0),xSPRDOPT($BW67,$BV67,$CG67,0,$BY67,$BX67,$BZ67,$AJ67,1,12)*$CB67,0)</f>
        <v>#NAME?</v>
      </c>
      <c r="BI67" s="370" t="e">
        <f aca="false">xSPRDOPT($BW67,$BV67,$CG67,2*LN(1+CA67/2),$BY67,$BX67,$BZ67,$AJ67,1,9)</f>
        <v>#NAME?</v>
      </c>
      <c r="BJ67" s="370" t="e">
        <f aca="false">xSPRDOPT($BW67,$BV67,$CG67,0,$BY67,$BX67,$BZ67,$AJ67,1,6)*$CB67</f>
        <v>#NAME?</v>
      </c>
      <c r="BK67" s="370" t="e">
        <f aca="false">xSPRDOPT($BW67,$BV67,$CG67,0,$BY67,$BX67,$BZ67,$AJ67,1,5)*$CB67</f>
        <v>#NAME?</v>
      </c>
      <c r="BL67" s="370" t="e">
        <f aca="false">xSPRDOPT(BW67,BV67,CG67,0,BY67,BX67,BZ67,AJ67,1,2)*CB67</f>
        <v>#NAME?</v>
      </c>
      <c r="BM67" s="370" t="e">
        <f aca="false">xSPRDOPT(BW67,BV67,CG67,0,BY67,BX67,BZ67,AJ67,1,1)*CB67</f>
        <v>#NAME?</v>
      </c>
      <c r="BN67" s="370" t="e">
        <f aca="false">IF(AH67&lt;&gt;0,xSPRDOPT($BW67,$BV67,$CG67,2*LN(1+CA67/2),$BY67,$BX67,$BZ67,$AJ67,1,8)+(AJ67/365.25)*CH67/AH67,0)</f>
        <v>#VALUE!</v>
      </c>
      <c r="BO67" s="370" t="e">
        <f aca="false">xSPRDOPT($BW67,$BV67,$CG67,0,$BY67,$BX67,$BZ67,$AJ67,1,0)</f>
        <v>#NAME?</v>
      </c>
      <c r="BP67" s="370"/>
      <c r="BQ67" s="370"/>
      <c r="BR67" s="370"/>
      <c r="BS67" s="370"/>
      <c r="BV67" s="508" t="n">
        <v>3.44578313253012</v>
      </c>
      <c r="BW67" s="369" t="n">
        <v>3.467</v>
      </c>
      <c r="BX67" s="370" t="n">
        <v>0.37</v>
      </c>
      <c r="BY67" s="370" t="n">
        <v>0.37</v>
      </c>
      <c r="BZ67" s="370" t="n">
        <v>0</v>
      </c>
      <c r="CA67" s="370" t="n">
        <v>0.0348361539671314</v>
      </c>
      <c r="CB67" s="370" t="n">
        <v>0</v>
      </c>
      <c r="CC67" s="505" t="n">
        <v>0</v>
      </c>
      <c r="CD67" s="505" t="n">
        <v>0.03</v>
      </c>
      <c r="CE67" s="505" t="n">
        <v>0.065</v>
      </c>
      <c r="CF67" s="505" t="n">
        <v>0</v>
      </c>
      <c r="CG67" s="505" t="n">
        <v>0.0006</v>
      </c>
      <c r="CH67" s="505" t="n">
        <v>0</v>
      </c>
      <c r="CI67" s="505" t="n">
        <v>3.402</v>
      </c>
      <c r="CJ67" s="505"/>
      <c r="CK67" s="505"/>
      <c r="CL67" s="505"/>
      <c r="CM67" s="505"/>
    </row>
    <row r="68" customFormat="false" ht="12.75" hidden="false" customHeight="false" outlineLevel="0" collapsed="false">
      <c r="A68" s="500"/>
      <c r="B68" s="500"/>
      <c r="D68" s="361" t="e">
        <f aca="false">D67+AH67</f>
        <v>#VALUE!</v>
      </c>
      <c r="F68" s="362" t="e">
        <f aca="false">VLOOKUP(AG68,$AL$4:$AS$15,2)</f>
        <v>#VALUE!</v>
      </c>
      <c r="G68" s="362" t="e">
        <f aca="false">F68*$AU68</f>
        <v>#VALUE!</v>
      </c>
      <c r="H68" s="363" t="e">
        <f aca="false">(AL68+AM68+AN68)/(1-(AR68))</f>
        <v>#VALUE!</v>
      </c>
      <c r="I68" s="363" t="e">
        <f aca="false">(AL68+AO68+AP68)</f>
        <v>#VALUE!</v>
      </c>
      <c r="K68" s="363" t="e">
        <f aca="false">MAX(((I68-H68)-AQ68)*AU68*AH68,0)</f>
        <v>#VALUE!</v>
      </c>
      <c r="L68" s="501" t="e">
        <f aca="false">MAX(Q68-K68,0)</f>
        <v>#VALUE!</v>
      </c>
      <c r="N68" s="502" t="e">
        <f aca="false">SQRT(($AX68^2*($AH68/2)+$AW68^2*$AI68)/(($AH68/2)+$AI68))</f>
        <v>#VALUE!</v>
      </c>
      <c r="O68" s="502" t="e">
        <f aca="false">SQRT(($AY68^2*($AH68/2)+$AW68^2*$AI68)/(($AH68/2)+$AI68))</f>
        <v>#VALUE!</v>
      </c>
      <c r="P68" s="371" t="e">
        <f aca="false">(VLOOKUP(AI68,CorrelationTwo,2)*(AW68^2)*AI68+VLOOKUP(D68,CorrelationOne,$AK$9)*AX68*AY68*(AH68/2))/((AI68+(AH68/2))*O68*N68)*AF68</f>
        <v>#VALUE!</v>
      </c>
      <c r="Q68" s="501" t="e">
        <f aca="false">xSPRDOPT(I68,H68,AQ68,0,O68,N68,P68,D68-$G$5,1,0)*AH68*AU68</f>
        <v>#VALUE!</v>
      </c>
      <c r="R68" s="501"/>
      <c r="S68" s="365" t="e">
        <f aca="false">xSPRDOPT(I68,H68,AQ68,AT68,O68,N68,P68,D68-$G$5,1,2)*AF68*(F68/(1-AR68))*AH68</f>
        <v>#VALUE!</v>
      </c>
      <c r="T68" s="365" t="e">
        <f aca="false">xSPRDOPT(I68,H68,AQ68,AT68,O68,N68,P68,D68-$G$5,1,1)*AF68*F68*AH68</f>
        <v>#VALUE!</v>
      </c>
      <c r="U68" s="501"/>
      <c r="V68" s="503" t="e">
        <f aca="false">VLOOKUP($AG68,$AL$4:$AS$15,8)*AH68*AU68</f>
        <v>#VALUE!</v>
      </c>
      <c r="W68" s="503"/>
      <c r="X68" s="504" t="e">
        <f aca="false">((BM68*BC68)+(BL68*BB68))*AH68*F68</f>
        <v>#VALUE!</v>
      </c>
      <c r="Y68" s="504" t="e">
        <f aca="false">($F68*$AH68)*((($BG68/2)*($BC68)^2)+(($BF68/2)*($BB68)^2)+($BH68*$BC68*$BB68))</f>
        <v>#VALUE!</v>
      </c>
      <c r="Z68" s="504" t="e">
        <f aca="false">($BI68*$F68*$AH68*($G$5-$BV$5))/365.25</f>
        <v>#VALUE!</v>
      </c>
      <c r="AA68" s="504" t="e">
        <f aca="false">(($BK68*$BE68)+($BJ68*$BD68))*$F68*$AH68*$AF68</f>
        <v>#VALUE!</v>
      </c>
      <c r="AB68" s="504" t="e">
        <f aca="false">BN68*(AT68-CA68)*F68*AH68</f>
        <v>#VALUE!</v>
      </c>
      <c r="AC68" s="504" t="e">
        <f aca="false">BO68*CB68*F68*AH68*CA68*($G$5-$BV$5)/365.25</f>
        <v>#NAME?</v>
      </c>
      <c r="AF68" s="378" t="e">
        <f aca="false">IF(AND(D68&gt;=$G$7,D68&lt;=$G$8),1,0)</f>
        <v>#VALUE!</v>
      </c>
      <c r="AG68" s="378" t="e">
        <f aca="false">MONTH(D68)</f>
        <v>#VALUE!</v>
      </c>
      <c r="AH68" s="378" t="e">
        <f aca="false">(EOMONTH(D68,0)-EOMONTH(D68-DAY(D68),0))*AF68</f>
        <v>#VALUE!</v>
      </c>
      <c r="AI68" s="378" t="e">
        <f aca="false">AI67+AH67</f>
        <v>#VALUE!</v>
      </c>
      <c r="AJ68" s="378" t="e">
        <f aca="false">D68-$BV$5</f>
        <v>#VALUE!</v>
      </c>
      <c r="AL68" s="369" t="e">
        <f aca="false">VLOOKUP($D68,CurveTbl,$AK$4)</f>
        <v>#VALUE!</v>
      </c>
      <c r="AM68" s="505" t="e">
        <f aca="false">VLOOKUP($D68,CurveTbl,$AH$3)</f>
        <v>#VALUE!</v>
      </c>
      <c r="AN68" s="505" t="e">
        <f aca="false">VLOOKUP($D68,CurveTbl,$AH$4)+VLOOKUP($AG68,$AL$3:$AS$15,6)</f>
        <v>#VALUE!</v>
      </c>
      <c r="AO68" s="505" t="e">
        <f aca="false">VLOOKUP($D68,CurveTbl,$AH$5)</f>
        <v>#VALUE!</v>
      </c>
      <c r="AP68" s="505" t="e">
        <f aca="false">VLOOKUP($D68,CurveTbl,$AH$6)+VLOOKUP($AG68,$AL$3:$AS$15,7)</f>
        <v>#VALUE!</v>
      </c>
      <c r="AQ68" s="369" t="e">
        <f aca="false">VLOOKUP($AG68,$AL$4:$AS$15,3)+VLOOKUP($AG68,$AL$4:$AS$15,5)+($AH$10*VLOOKUP(D68,GRITable,2))</f>
        <v>#VALUE!</v>
      </c>
      <c r="AR68" s="370" t="e">
        <f aca="false">VLOOKUP($AG68,$AL$4:$AS$15,4)</f>
        <v>#VALUE!</v>
      </c>
      <c r="AS68" s="369" t="e">
        <f aca="false">(AL68+AM68+AN68)</f>
        <v>#VALUE!</v>
      </c>
      <c r="AT68" s="370" t="e">
        <f aca="false">VLOOKUP(D68,CurveTbl,$AK$6)</f>
        <v>#VALUE!</v>
      </c>
      <c r="AU68" s="370" t="e">
        <f aca="false">(1+$AT68/2)^(-2*($D68-$G$5)/365.25)*$AF68</f>
        <v>#VALUE!</v>
      </c>
      <c r="AV68" s="506" t="e">
        <f aca="false">ROUND((F68/(1-AR68))-F68,0)*AF68*AH68*AU68</f>
        <v>#VALUE!</v>
      </c>
      <c r="AW68" s="370" t="e">
        <f aca="false">VLOOKUP($D68,CurveTbl,$AK$8)</f>
        <v>#VALUE!</v>
      </c>
      <c r="AX68" s="370" t="e">
        <f aca="false">VLOOKUP($D68,CurveTbl,$AH$7)</f>
        <v>#VALUE!</v>
      </c>
      <c r="AY68" s="370" t="e">
        <f aca="false">VLOOKUP($D68,CurveTbl,$AH$8)</f>
        <v>#VALUE!</v>
      </c>
      <c r="AZ68" s="370"/>
      <c r="BA68" s="507"/>
      <c r="BB68" s="505" t="e">
        <f aca="false">$H68-$BV68</f>
        <v>#VALUE!</v>
      </c>
      <c r="BC68" s="505" t="e">
        <f aca="false">I68-BW68</f>
        <v>#VALUE!</v>
      </c>
      <c r="BD68" s="370" t="e">
        <f aca="false">N68-BX68</f>
        <v>#VALUE!</v>
      </c>
      <c r="BE68" s="370" t="e">
        <f aca="false">O68-BY68</f>
        <v>#VALUE!</v>
      </c>
      <c r="BF68" s="370" t="e">
        <f aca="false">xSPRDOPT($BW68,$BV68,$CG68,0,$BY68,$BX68,$BZ68,$AJ68,1,4)*$CB68</f>
        <v>#NAME?</v>
      </c>
      <c r="BG68" s="370" t="e">
        <f aca="false">xSPRDOPT($BW68,$BV68,$CG68,0,$BY68,$BX68,$BZ68,$AJ68,1,3)*$CB68</f>
        <v>#NAME?</v>
      </c>
      <c r="BH68" s="370" t="e">
        <f aca="false">IF(OR(BF68&lt;&gt;0,BG68&lt;&gt;0),xSPRDOPT($BW68,$BV68,$CG68,0,$BY68,$BX68,$BZ68,$AJ68,1,12)*$CB68,0)</f>
        <v>#NAME?</v>
      </c>
      <c r="BI68" s="370" t="e">
        <f aca="false">xSPRDOPT($BW68,$BV68,$CG68,2*LN(1+CA68/2),$BY68,$BX68,$BZ68,$AJ68,1,9)</f>
        <v>#NAME?</v>
      </c>
      <c r="BJ68" s="370" t="e">
        <f aca="false">xSPRDOPT($BW68,$BV68,$CG68,0,$BY68,$BX68,$BZ68,$AJ68,1,6)*$CB68</f>
        <v>#NAME?</v>
      </c>
      <c r="BK68" s="370" t="e">
        <f aca="false">xSPRDOPT($BW68,$BV68,$CG68,0,$BY68,$BX68,$BZ68,$AJ68,1,5)*$CB68</f>
        <v>#NAME?</v>
      </c>
      <c r="BL68" s="370" t="e">
        <f aca="false">xSPRDOPT(BW68,BV68,CG68,0,BY68,BX68,BZ68,AJ68,1,2)*CB68</f>
        <v>#NAME?</v>
      </c>
      <c r="BM68" s="370" t="e">
        <f aca="false">xSPRDOPT(BW68,BV68,CG68,0,BY68,BX68,BZ68,AJ68,1,1)*CB68</f>
        <v>#NAME?</v>
      </c>
      <c r="BN68" s="370" t="e">
        <f aca="false">IF(AH68&lt;&gt;0,xSPRDOPT($BW68,$BV68,$CG68,2*LN(1+CA68/2),$BY68,$BX68,$BZ68,$AJ68,1,8)+(AJ68/365.25)*CH68/AH68,0)</f>
        <v>#VALUE!</v>
      </c>
      <c r="BO68" s="370" t="e">
        <f aca="false">xSPRDOPT($BW68,$BV68,$CG68,0,$BY68,$BX68,$BZ68,$AJ68,1,0)</f>
        <v>#NAME?</v>
      </c>
      <c r="BP68" s="370"/>
      <c r="BQ68" s="370"/>
      <c r="BR68" s="370"/>
      <c r="BS68" s="370"/>
      <c r="BV68" s="508" t="n">
        <v>3.44578313253012</v>
      </c>
      <c r="BW68" s="369" t="n">
        <v>3.467</v>
      </c>
      <c r="BX68" s="370" t="n">
        <v>0.37</v>
      </c>
      <c r="BY68" s="370" t="n">
        <v>0.37</v>
      </c>
      <c r="BZ68" s="370" t="n">
        <v>0</v>
      </c>
      <c r="CA68" s="370" t="n">
        <v>0.0348361539671314</v>
      </c>
      <c r="CB68" s="370" t="n">
        <v>0</v>
      </c>
      <c r="CC68" s="505" t="n">
        <v>0</v>
      </c>
      <c r="CD68" s="505" t="n">
        <v>0.03</v>
      </c>
      <c r="CE68" s="505" t="n">
        <v>0.065</v>
      </c>
      <c r="CF68" s="505" t="n">
        <v>0</v>
      </c>
      <c r="CG68" s="505" t="n">
        <v>0.0006</v>
      </c>
      <c r="CH68" s="505" t="n">
        <v>0</v>
      </c>
      <c r="CI68" s="505" t="n">
        <v>3.402</v>
      </c>
      <c r="CJ68" s="505"/>
      <c r="CK68" s="505"/>
      <c r="CL68" s="505"/>
      <c r="CM68" s="505"/>
    </row>
    <row r="69" customFormat="false" ht="12.75" hidden="false" customHeight="false" outlineLevel="0" collapsed="false">
      <c r="A69" s="500"/>
      <c r="B69" s="500"/>
      <c r="D69" s="361" t="e">
        <f aca="false">D68+AH68</f>
        <v>#VALUE!</v>
      </c>
      <c r="F69" s="362" t="e">
        <f aca="false">VLOOKUP(AG69,$AL$4:$AS$15,2)</f>
        <v>#VALUE!</v>
      </c>
      <c r="G69" s="362" t="e">
        <f aca="false">F69*$AU69</f>
        <v>#VALUE!</v>
      </c>
      <c r="H69" s="363" t="e">
        <f aca="false">(AL69+AM69+AN69)/(1-(AR69))</f>
        <v>#VALUE!</v>
      </c>
      <c r="I69" s="363" t="e">
        <f aca="false">(AL69+AO69+AP69)</f>
        <v>#VALUE!</v>
      </c>
      <c r="K69" s="363" t="e">
        <f aca="false">MAX(((I69-H69)-AQ69)*AU69*AH69,0)</f>
        <v>#VALUE!</v>
      </c>
      <c r="L69" s="501" t="e">
        <f aca="false">MAX(Q69-K69,0)</f>
        <v>#VALUE!</v>
      </c>
      <c r="N69" s="502" t="e">
        <f aca="false">SQRT(($AX69^2*($AH69/2)+$AW69^2*$AI69)/(($AH69/2)+$AI69))</f>
        <v>#VALUE!</v>
      </c>
      <c r="O69" s="502" t="e">
        <f aca="false">SQRT(($AY69^2*($AH69/2)+$AW69^2*$AI69)/(($AH69/2)+$AI69))</f>
        <v>#VALUE!</v>
      </c>
      <c r="P69" s="371" t="e">
        <f aca="false">(VLOOKUP(AI69,CorrelationTwo,2)*(AW69^2)*AI69+VLOOKUP(D69,CorrelationOne,$AK$9)*AX69*AY69*(AH69/2))/((AI69+(AH69/2))*O69*N69)*AF69</f>
        <v>#VALUE!</v>
      </c>
      <c r="Q69" s="501" t="e">
        <f aca="false">xSPRDOPT(I69,H69,AQ69,0,O69,N69,P69,D69-$G$5,1,0)*AH69*AU69</f>
        <v>#VALUE!</v>
      </c>
      <c r="R69" s="501"/>
      <c r="S69" s="365" t="e">
        <f aca="false">xSPRDOPT(I69,H69,AQ69,AT69,O69,N69,P69,D69-$G$5,1,2)*AF69*(F69/(1-AR69))*AH69</f>
        <v>#VALUE!</v>
      </c>
      <c r="T69" s="365" t="e">
        <f aca="false">xSPRDOPT(I69,H69,AQ69,AT69,O69,N69,P69,D69-$G$5,1,1)*AF69*F69*AH69</f>
        <v>#VALUE!</v>
      </c>
      <c r="U69" s="501"/>
      <c r="V69" s="503" t="e">
        <f aca="false">VLOOKUP($AG69,$AL$4:$AS$15,8)*AH69*AU69</f>
        <v>#VALUE!</v>
      </c>
      <c r="W69" s="503"/>
      <c r="X69" s="504" t="e">
        <f aca="false">((BM69*BC69)+(BL69*BB69))*AH69*F69</f>
        <v>#VALUE!</v>
      </c>
      <c r="Y69" s="504" t="e">
        <f aca="false">($F69*$AH69)*((($BG69/2)*($BC69)^2)+(($BF69/2)*($BB69)^2)+($BH69*$BC69*$BB69))</f>
        <v>#VALUE!</v>
      </c>
      <c r="Z69" s="504" t="e">
        <f aca="false">($BI69*$F69*$AH69*($G$5-$BV$5))/365.25</f>
        <v>#VALUE!</v>
      </c>
      <c r="AA69" s="504" t="e">
        <f aca="false">(($BK69*$BE69)+($BJ69*$BD69))*$F69*$AH69*$AF69</f>
        <v>#VALUE!</v>
      </c>
      <c r="AB69" s="504" t="e">
        <f aca="false">BN69*(AT69-CA69)*F69*AH69</f>
        <v>#VALUE!</v>
      </c>
      <c r="AC69" s="504" t="e">
        <f aca="false">BO69*CB69*F69*AH69*CA69*($G$5-$BV$5)/365.25</f>
        <v>#NAME?</v>
      </c>
      <c r="AF69" s="378" t="e">
        <f aca="false">IF(AND(D69&gt;=$G$7,D69&lt;=$G$8),1,0)</f>
        <v>#VALUE!</v>
      </c>
      <c r="AG69" s="378" t="e">
        <f aca="false">MONTH(D69)</f>
        <v>#VALUE!</v>
      </c>
      <c r="AH69" s="378" t="e">
        <f aca="false">(EOMONTH(D69,0)-EOMONTH(D69-DAY(D69),0))*AF69</f>
        <v>#VALUE!</v>
      </c>
      <c r="AI69" s="378" t="e">
        <f aca="false">AI68+AH68</f>
        <v>#VALUE!</v>
      </c>
      <c r="AJ69" s="378" t="e">
        <f aca="false">D69-$BV$5</f>
        <v>#VALUE!</v>
      </c>
      <c r="AL69" s="369" t="e">
        <f aca="false">VLOOKUP($D69,CurveTbl,$AK$4)</f>
        <v>#VALUE!</v>
      </c>
      <c r="AM69" s="505" t="e">
        <f aca="false">VLOOKUP($D69,CurveTbl,$AH$3)</f>
        <v>#VALUE!</v>
      </c>
      <c r="AN69" s="505" t="e">
        <f aca="false">VLOOKUP($D69,CurveTbl,$AH$4)+VLOOKUP($AG69,$AL$3:$AS$15,6)</f>
        <v>#VALUE!</v>
      </c>
      <c r="AO69" s="505" t="e">
        <f aca="false">VLOOKUP($D69,CurveTbl,$AH$5)</f>
        <v>#VALUE!</v>
      </c>
      <c r="AP69" s="505" t="e">
        <f aca="false">VLOOKUP($D69,CurveTbl,$AH$6)+VLOOKUP($AG69,$AL$3:$AS$15,7)</f>
        <v>#VALUE!</v>
      </c>
      <c r="AQ69" s="369" t="e">
        <f aca="false">VLOOKUP($AG69,$AL$4:$AS$15,3)+VLOOKUP($AG69,$AL$4:$AS$15,5)+($AH$10*VLOOKUP(D69,GRITable,2))</f>
        <v>#VALUE!</v>
      </c>
      <c r="AR69" s="370" t="e">
        <f aca="false">VLOOKUP($AG69,$AL$4:$AS$15,4)</f>
        <v>#VALUE!</v>
      </c>
      <c r="AS69" s="369" t="e">
        <f aca="false">(AL69+AM69+AN69)</f>
        <v>#VALUE!</v>
      </c>
      <c r="AT69" s="370" t="e">
        <f aca="false">VLOOKUP(D69,CurveTbl,$AK$6)</f>
        <v>#VALUE!</v>
      </c>
      <c r="AU69" s="370" t="e">
        <f aca="false">(1+$AT69/2)^(-2*($D69-$G$5)/365.25)*$AF69</f>
        <v>#VALUE!</v>
      </c>
      <c r="AV69" s="506" t="e">
        <f aca="false">ROUND((F69/(1-AR69))-F69,0)*AF69*AH69*AU69</f>
        <v>#VALUE!</v>
      </c>
      <c r="AW69" s="370" t="e">
        <f aca="false">VLOOKUP($D69,CurveTbl,$AK$8)</f>
        <v>#VALUE!</v>
      </c>
      <c r="AX69" s="370" t="e">
        <f aca="false">VLOOKUP($D69,CurveTbl,$AH$7)</f>
        <v>#VALUE!</v>
      </c>
      <c r="AY69" s="370" t="e">
        <f aca="false">VLOOKUP($D69,CurveTbl,$AH$8)</f>
        <v>#VALUE!</v>
      </c>
      <c r="AZ69" s="370"/>
      <c r="BA69" s="507"/>
      <c r="BB69" s="505" t="e">
        <f aca="false">$H69-$BV69</f>
        <v>#VALUE!</v>
      </c>
      <c r="BC69" s="505" t="e">
        <f aca="false">I69-BW69</f>
        <v>#VALUE!</v>
      </c>
      <c r="BD69" s="370" t="e">
        <f aca="false">N69-BX69</f>
        <v>#VALUE!</v>
      </c>
      <c r="BE69" s="370" t="e">
        <f aca="false">O69-BY69</f>
        <v>#VALUE!</v>
      </c>
      <c r="BF69" s="370" t="e">
        <f aca="false">xSPRDOPT($BW69,$BV69,$CG69,0,$BY69,$BX69,$BZ69,$AJ69,1,4)*$CB69</f>
        <v>#NAME?</v>
      </c>
      <c r="BG69" s="370" t="e">
        <f aca="false">xSPRDOPT($BW69,$BV69,$CG69,0,$BY69,$BX69,$BZ69,$AJ69,1,3)*$CB69</f>
        <v>#NAME?</v>
      </c>
      <c r="BH69" s="370" t="e">
        <f aca="false">IF(OR(BF69&lt;&gt;0,BG69&lt;&gt;0),xSPRDOPT($BW69,$BV69,$CG69,0,$BY69,$BX69,$BZ69,$AJ69,1,12)*$CB69,0)</f>
        <v>#NAME?</v>
      </c>
      <c r="BI69" s="370" t="e">
        <f aca="false">xSPRDOPT($BW69,$BV69,$CG69,2*LN(1+CA69/2),$BY69,$BX69,$BZ69,$AJ69,1,9)</f>
        <v>#NAME?</v>
      </c>
      <c r="BJ69" s="370" t="e">
        <f aca="false">xSPRDOPT($BW69,$BV69,$CG69,0,$BY69,$BX69,$BZ69,$AJ69,1,6)*$CB69</f>
        <v>#NAME?</v>
      </c>
      <c r="BK69" s="370" t="e">
        <f aca="false">xSPRDOPT($BW69,$BV69,$CG69,0,$BY69,$BX69,$BZ69,$AJ69,1,5)*$CB69</f>
        <v>#NAME?</v>
      </c>
      <c r="BL69" s="370" t="e">
        <f aca="false">xSPRDOPT(BW69,BV69,CG69,0,BY69,BX69,BZ69,AJ69,1,2)*CB69</f>
        <v>#NAME?</v>
      </c>
      <c r="BM69" s="370" t="e">
        <f aca="false">xSPRDOPT(BW69,BV69,CG69,0,BY69,BX69,BZ69,AJ69,1,1)*CB69</f>
        <v>#NAME?</v>
      </c>
      <c r="BN69" s="370" t="e">
        <f aca="false">IF(AH69&lt;&gt;0,xSPRDOPT($BW69,$BV69,$CG69,2*LN(1+CA69/2),$BY69,$BX69,$BZ69,$AJ69,1,8)+(AJ69/365.25)*CH69/AH69,0)</f>
        <v>#VALUE!</v>
      </c>
      <c r="BO69" s="370" t="e">
        <f aca="false">xSPRDOPT($BW69,$BV69,$CG69,0,$BY69,$BX69,$BZ69,$AJ69,1,0)</f>
        <v>#NAME?</v>
      </c>
      <c r="BP69" s="370"/>
      <c r="BQ69" s="370"/>
      <c r="BR69" s="370"/>
      <c r="BS69" s="370"/>
      <c r="BV69" s="508" t="n">
        <v>3.44578313253012</v>
      </c>
      <c r="BW69" s="369" t="n">
        <v>3.467</v>
      </c>
      <c r="BX69" s="370" t="n">
        <v>0.37</v>
      </c>
      <c r="BY69" s="370" t="n">
        <v>0.37</v>
      </c>
      <c r="BZ69" s="370" t="n">
        <v>0</v>
      </c>
      <c r="CA69" s="370" t="n">
        <v>0.0348361539671314</v>
      </c>
      <c r="CB69" s="370" t="n">
        <v>0</v>
      </c>
      <c r="CC69" s="505" t="n">
        <v>0</v>
      </c>
      <c r="CD69" s="505" t="n">
        <v>0.03</v>
      </c>
      <c r="CE69" s="505" t="n">
        <v>0.065</v>
      </c>
      <c r="CF69" s="505" t="n">
        <v>0</v>
      </c>
      <c r="CG69" s="505" t="n">
        <v>0.0006</v>
      </c>
      <c r="CH69" s="505" t="n">
        <v>0</v>
      </c>
      <c r="CI69" s="505" t="n">
        <v>3.402</v>
      </c>
      <c r="CJ69" s="505"/>
      <c r="CK69" s="505"/>
      <c r="CL69" s="505"/>
      <c r="CM69" s="505"/>
    </row>
    <row r="70" customFormat="false" ht="12.75" hidden="false" customHeight="false" outlineLevel="0" collapsed="false">
      <c r="A70" s="500"/>
      <c r="B70" s="500"/>
      <c r="D70" s="361" t="e">
        <f aca="false">D69+AH69</f>
        <v>#VALUE!</v>
      </c>
      <c r="F70" s="362" t="e">
        <f aca="false">VLOOKUP(AG70,$AL$4:$AS$15,2)</f>
        <v>#VALUE!</v>
      </c>
      <c r="G70" s="362" t="e">
        <f aca="false">F70*$AU70</f>
        <v>#VALUE!</v>
      </c>
      <c r="H70" s="363" t="e">
        <f aca="false">(AL70+AM70+AN70)/(1-(AR70))</f>
        <v>#VALUE!</v>
      </c>
      <c r="I70" s="363" t="e">
        <f aca="false">(AL70+AO70+AP70)</f>
        <v>#VALUE!</v>
      </c>
      <c r="K70" s="363" t="e">
        <f aca="false">MAX(((I70-H70)-AQ70)*AU70*AH70,0)</f>
        <v>#VALUE!</v>
      </c>
      <c r="L70" s="501" t="e">
        <f aca="false">MAX(Q70-K70,0)</f>
        <v>#VALUE!</v>
      </c>
      <c r="N70" s="502" t="e">
        <f aca="false">SQRT(($AX70^2*($AH70/2)+$AW70^2*$AI70)/(($AH70/2)+$AI70))</f>
        <v>#VALUE!</v>
      </c>
      <c r="O70" s="502" t="e">
        <f aca="false">SQRT(($AY70^2*($AH70/2)+$AW70^2*$AI70)/(($AH70/2)+$AI70))</f>
        <v>#VALUE!</v>
      </c>
      <c r="P70" s="371" t="e">
        <f aca="false">(VLOOKUP(AI70,CorrelationTwo,2)*(AW70^2)*AI70+VLOOKUP(D70,CorrelationOne,$AK$9)*AX70*AY70*(AH70/2))/((AI70+(AH70/2))*O70*N70)*AF70</f>
        <v>#VALUE!</v>
      </c>
      <c r="Q70" s="501" t="e">
        <f aca="false">xSPRDOPT(I70,H70,AQ70,0,O70,N70,P70,D70-$G$5,1,0)*AH70*AU70</f>
        <v>#VALUE!</v>
      </c>
      <c r="R70" s="501"/>
      <c r="S70" s="365" t="e">
        <f aca="false">xSPRDOPT(I70,H70,AQ70,AT70,O70,N70,P70,D70-$G$5,1,2)*AF70*(F70/(1-AR70))*AH70</f>
        <v>#VALUE!</v>
      </c>
      <c r="T70" s="365" t="e">
        <f aca="false">xSPRDOPT(I70,H70,AQ70,AT70,O70,N70,P70,D70-$G$5,1,1)*AF70*F70*AH70</f>
        <v>#VALUE!</v>
      </c>
      <c r="U70" s="501"/>
      <c r="V70" s="503" t="e">
        <f aca="false">VLOOKUP($AG70,$AL$4:$AS$15,8)*AH70*AU70</f>
        <v>#VALUE!</v>
      </c>
      <c r="W70" s="503"/>
      <c r="X70" s="504" t="e">
        <f aca="false">((BM70*BC70)+(BL70*BB70))*AH70*F70</f>
        <v>#VALUE!</v>
      </c>
      <c r="Y70" s="504" t="e">
        <f aca="false">($F70*$AH70)*((($BG70/2)*($BC70)^2)+(($BF70/2)*($BB70)^2)+($BH70*$BC70*$BB70))</f>
        <v>#VALUE!</v>
      </c>
      <c r="Z70" s="504" t="e">
        <f aca="false">($BI70*$F70*$AH70*($G$5-$BV$5))/365.25</f>
        <v>#VALUE!</v>
      </c>
      <c r="AA70" s="504" t="e">
        <f aca="false">(($BK70*$BE70)+($BJ70*$BD70))*$F70*$AH70*$AF70</f>
        <v>#VALUE!</v>
      </c>
      <c r="AB70" s="504" t="e">
        <f aca="false">BN70*(AT70-CA70)*F70*AH70</f>
        <v>#VALUE!</v>
      </c>
      <c r="AC70" s="504" t="e">
        <f aca="false">BO70*CB70*F70*AH70*CA70*($G$5-$BV$5)/365.25</f>
        <v>#NAME?</v>
      </c>
      <c r="AF70" s="378" t="e">
        <f aca="false">IF(AND(D70&gt;=$G$7,D70&lt;=$G$8),1,0)</f>
        <v>#VALUE!</v>
      </c>
      <c r="AG70" s="378" t="e">
        <f aca="false">MONTH(D70)</f>
        <v>#VALUE!</v>
      </c>
      <c r="AH70" s="378" t="e">
        <f aca="false">(EOMONTH(D70,0)-EOMONTH(D70-DAY(D70),0))*AF70</f>
        <v>#VALUE!</v>
      </c>
      <c r="AI70" s="378" t="e">
        <f aca="false">AI69+AH69</f>
        <v>#VALUE!</v>
      </c>
      <c r="AJ70" s="378" t="e">
        <f aca="false">D70-$BV$5</f>
        <v>#VALUE!</v>
      </c>
      <c r="AL70" s="369" t="e">
        <f aca="false">VLOOKUP($D70,CurveTbl,$AK$4)</f>
        <v>#VALUE!</v>
      </c>
      <c r="AM70" s="505" t="e">
        <f aca="false">VLOOKUP($D70,CurveTbl,$AH$3)</f>
        <v>#VALUE!</v>
      </c>
      <c r="AN70" s="505" t="e">
        <f aca="false">VLOOKUP($D70,CurveTbl,$AH$4)+VLOOKUP($AG70,$AL$3:$AS$15,6)</f>
        <v>#VALUE!</v>
      </c>
      <c r="AO70" s="505" t="e">
        <f aca="false">VLOOKUP($D70,CurveTbl,$AH$5)</f>
        <v>#VALUE!</v>
      </c>
      <c r="AP70" s="505" t="e">
        <f aca="false">VLOOKUP($D70,CurveTbl,$AH$6)+VLOOKUP($AG70,$AL$3:$AS$15,7)</f>
        <v>#VALUE!</v>
      </c>
      <c r="AQ70" s="369" t="e">
        <f aca="false">VLOOKUP($AG70,$AL$4:$AS$15,3)+VLOOKUP($AG70,$AL$4:$AS$15,5)+($AH$10*VLOOKUP(D70,GRITable,2))</f>
        <v>#VALUE!</v>
      </c>
      <c r="AR70" s="370" t="e">
        <f aca="false">VLOOKUP($AG70,$AL$4:$AS$15,4)</f>
        <v>#VALUE!</v>
      </c>
      <c r="AS70" s="369" t="e">
        <f aca="false">(AL70+AM70+AN70)</f>
        <v>#VALUE!</v>
      </c>
      <c r="AT70" s="370" t="e">
        <f aca="false">VLOOKUP(D70,CurveTbl,$AK$6)</f>
        <v>#VALUE!</v>
      </c>
      <c r="AU70" s="370" t="e">
        <f aca="false">(1+$AT70/2)^(-2*($D70-$G$5)/365.25)*$AF70</f>
        <v>#VALUE!</v>
      </c>
      <c r="AV70" s="506" t="e">
        <f aca="false">ROUND((F70/(1-AR70))-F70,0)*AF70*AH70*AU70</f>
        <v>#VALUE!</v>
      </c>
      <c r="AW70" s="370" t="e">
        <f aca="false">VLOOKUP($D70,CurveTbl,$AK$8)</f>
        <v>#VALUE!</v>
      </c>
      <c r="AX70" s="370" t="e">
        <f aca="false">VLOOKUP($D70,CurveTbl,$AH$7)</f>
        <v>#VALUE!</v>
      </c>
      <c r="AY70" s="370" t="e">
        <f aca="false">VLOOKUP($D70,CurveTbl,$AH$8)</f>
        <v>#VALUE!</v>
      </c>
      <c r="AZ70" s="370"/>
      <c r="BA70" s="507"/>
      <c r="BB70" s="505" t="e">
        <f aca="false">$H70-$BV70</f>
        <v>#VALUE!</v>
      </c>
      <c r="BC70" s="505" t="e">
        <f aca="false">I70-BW70</f>
        <v>#VALUE!</v>
      </c>
      <c r="BD70" s="370" t="e">
        <f aca="false">N70-BX70</f>
        <v>#VALUE!</v>
      </c>
      <c r="BE70" s="370" t="e">
        <f aca="false">O70-BY70</f>
        <v>#VALUE!</v>
      </c>
      <c r="BF70" s="370" t="e">
        <f aca="false">xSPRDOPT($BW70,$BV70,$CG70,0,$BY70,$BX70,$BZ70,$AJ70,1,4)*$CB70</f>
        <v>#NAME?</v>
      </c>
      <c r="BG70" s="370" t="e">
        <f aca="false">xSPRDOPT($BW70,$BV70,$CG70,0,$BY70,$BX70,$BZ70,$AJ70,1,3)*$CB70</f>
        <v>#NAME?</v>
      </c>
      <c r="BH70" s="370" t="e">
        <f aca="false">IF(OR(BF70&lt;&gt;0,BG70&lt;&gt;0),xSPRDOPT($BW70,$BV70,$CG70,0,$BY70,$BX70,$BZ70,$AJ70,1,12)*$CB70,0)</f>
        <v>#NAME?</v>
      </c>
      <c r="BI70" s="370" t="e">
        <f aca="false">xSPRDOPT($BW70,$BV70,$CG70,2*LN(1+CA70/2),$BY70,$BX70,$BZ70,$AJ70,1,9)</f>
        <v>#NAME?</v>
      </c>
      <c r="BJ70" s="370" t="e">
        <f aca="false">xSPRDOPT($BW70,$BV70,$CG70,0,$BY70,$BX70,$BZ70,$AJ70,1,6)*$CB70</f>
        <v>#NAME?</v>
      </c>
      <c r="BK70" s="370" t="e">
        <f aca="false">xSPRDOPT($BW70,$BV70,$CG70,0,$BY70,$BX70,$BZ70,$AJ70,1,5)*$CB70</f>
        <v>#NAME?</v>
      </c>
      <c r="BL70" s="370" t="e">
        <f aca="false">xSPRDOPT(BW70,BV70,CG70,0,BY70,BX70,BZ70,AJ70,1,2)*CB70</f>
        <v>#NAME?</v>
      </c>
      <c r="BM70" s="370" t="e">
        <f aca="false">xSPRDOPT(BW70,BV70,CG70,0,BY70,BX70,BZ70,AJ70,1,1)*CB70</f>
        <v>#NAME?</v>
      </c>
      <c r="BN70" s="370" t="e">
        <f aca="false">IF(AH70&lt;&gt;0,xSPRDOPT($BW70,$BV70,$CG70,2*LN(1+CA70/2),$BY70,$BX70,$BZ70,$AJ70,1,8)+(AJ70/365.25)*CH70/AH70,0)</f>
        <v>#VALUE!</v>
      </c>
      <c r="BO70" s="370" t="e">
        <f aca="false">xSPRDOPT($BW70,$BV70,$CG70,0,$BY70,$BX70,$BZ70,$AJ70,1,0)</f>
        <v>#NAME?</v>
      </c>
      <c r="BP70" s="370"/>
      <c r="BQ70" s="370"/>
      <c r="BR70" s="370"/>
      <c r="BS70" s="370"/>
      <c r="BV70" s="508" t="n">
        <v>3.44578313253012</v>
      </c>
      <c r="BW70" s="369" t="n">
        <v>3.467</v>
      </c>
      <c r="BX70" s="370" t="n">
        <v>0.37</v>
      </c>
      <c r="BY70" s="370" t="n">
        <v>0.37</v>
      </c>
      <c r="BZ70" s="370" t="n">
        <v>0</v>
      </c>
      <c r="CA70" s="370" t="n">
        <v>0.0348361539671314</v>
      </c>
      <c r="CB70" s="370" t="n">
        <v>0</v>
      </c>
      <c r="CC70" s="505" t="n">
        <v>0</v>
      </c>
      <c r="CD70" s="505" t="n">
        <v>0.03</v>
      </c>
      <c r="CE70" s="505" t="n">
        <v>0.065</v>
      </c>
      <c r="CF70" s="505" t="n">
        <v>0</v>
      </c>
      <c r="CG70" s="505" t="n">
        <v>0.0006</v>
      </c>
      <c r="CH70" s="505" t="n">
        <v>0</v>
      </c>
      <c r="CI70" s="505" t="n">
        <v>3.402</v>
      </c>
      <c r="CJ70" s="505"/>
      <c r="CK70" s="505"/>
      <c r="CL70" s="505"/>
      <c r="CM70" s="505"/>
    </row>
    <row r="71" customFormat="false" ht="12.75" hidden="false" customHeight="false" outlineLevel="0" collapsed="false">
      <c r="A71" s="500"/>
      <c r="B71" s="500"/>
      <c r="D71" s="361" t="e">
        <f aca="false">D70+AH70</f>
        <v>#VALUE!</v>
      </c>
      <c r="F71" s="362" t="e">
        <f aca="false">VLOOKUP(AG71,$AL$4:$AS$15,2)</f>
        <v>#VALUE!</v>
      </c>
      <c r="G71" s="362" t="e">
        <f aca="false">F71*$AU71</f>
        <v>#VALUE!</v>
      </c>
      <c r="H71" s="363" t="e">
        <f aca="false">(AL71+AM71+AN71)/(1-(AR71))</f>
        <v>#VALUE!</v>
      </c>
      <c r="I71" s="363" t="e">
        <f aca="false">(AL71+AO71+AP71)</f>
        <v>#VALUE!</v>
      </c>
      <c r="K71" s="363" t="e">
        <f aca="false">MAX(((I71-H71)-AQ71)*AU71*AH71,0)</f>
        <v>#VALUE!</v>
      </c>
      <c r="L71" s="501" t="e">
        <f aca="false">MAX(Q71-K71,0)</f>
        <v>#VALUE!</v>
      </c>
      <c r="N71" s="502" t="e">
        <f aca="false">SQRT(($AX71^2*($AH71/2)+$AW71^2*$AI71)/(($AH71/2)+$AI71))</f>
        <v>#VALUE!</v>
      </c>
      <c r="O71" s="502" t="e">
        <f aca="false">SQRT(($AY71^2*($AH71/2)+$AW71^2*$AI71)/(($AH71/2)+$AI71))</f>
        <v>#VALUE!</v>
      </c>
      <c r="P71" s="371" t="e">
        <f aca="false">(VLOOKUP(AI71,CorrelationTwo,2)*(AW71^2)*AI71+VLOOKUP(D71,CorrelationOne,$AK$9)*AX71*AY71*(AH71/2))/((AI71+(AH71/2))*O71*N71)*AF71</f>
        <v>#VALUE!</v>
      </c>
      <c r="Q71" s="501" t="e">
        <f aca="false">xSPRDOPT(I71,H71,AQ71,0,O71,N71,P71,D71-$G$5,1,0)*AH71*AU71</f>
        <v>#VALUE!</v>
      </c>
      <c r="R71" s="501"/>
      <c r="S71" s="365" t="e">
        <f aca="false">xSPRDOPT(I71,H71,AQ71,AT71,O71,N71,P71,D71-$G$5,1,2)*AF71*(F71/(1-AR71))*AH71</f>
        <v>#VALUE!</v>
      </c>
      <c r="T71" s="365" t="e">
        <f aca="false">xSPRDOPT(I71,H71,AQ71,AT71,O71,N71,P71,D71-$G$5,1,1)*AF71*F71*AH71</f>
        <v>#VALUE!</v>
      </c>
      <c r="U71" s="501"/>
      <c r="V71" s="503" t="e">
        <f aca="false">VLOOKUP($AG71,$AL$4:$AS$15,8)*AH71*AU71</f>
        <v>#VALUE!</v>
      </c>
      <c r="W71" s="503"/>
      <c r="X71" s="504" t="e">
        <f aca="false">((BM71*BC71)+(BL71*BB71))*AH71*F71</f>
        <v>#VALUE!</v>
      </c>
      <c r="Y71" s="504" t="e">
        <f aca="false">($F71*$AH71)*((($BG71/2)*($BC71)^2)+(($BF71/2)*($BB71)^2)+($BH71*$BC71*$BB71))</f>
        <v>#VALUE!</v>
      </c>
      <c r="Z71" s="504" t="e">
        <f aca="false">($BI71*$F71*$AH71*($G$5-$BV$5))/365.25</f>
        <v>#VALUE!</v>
      </c>
      <c r="AA71" s="504" t="e">
        <f aca="false">(($BK71*$BE71)+($BJ71*$BD71))*$F71*$AH71*$AF71</f>
        <v>#VALUE!</v>
      </c>
      <c r="AB71" s="504" t="e">
        <f aca="false">BN71*(AT71-CA71)*F71*AH71</f>
        <v>#VALUE!</v>
      </c>
      <c r="AC71" s="504" t="e">
        <f aca="false">BO71*CB71*F71*AH71*CA71*($G$5-$BV$5)/365.25</f>
        <v>#NAME?</v>
      </c>
      <c r="AF71" s="378" t="e">
        <f aca="false">IF(AND(D71&gt;=$G$7,D71&lt;=$G$8),1,0)</f>
        <v>#VALUE!</v>
      </c>
      <c r="AG71" s="378" t="e">
        <f aca="false">MONTH(D71)</f>
        <v>#VALUE!</v>
      </c>
      <c r="AH71" s="378" t="e">
        <f aca="false">(EOMONTH(D71,0)-EOMONTH(D71-DAY(D71),0))*AF71</f>
        <v>#VALUE!</v>
      </c>
      <c r="AI71" s="378" t="e">
        <f aca="false">AI70+AH70</f>
        <v>#VALUE!</v>
      </c>
      <c r="AJ71" s="378" t="e">
        <f aca="false">D71-$BV$5</f>
        <v>#VALUE!</v>
      </c>
      <c r="AL71" s="369" t="e">
        <f aca="false">VLOOKUP($D71,CurveTbl,$AK$4)</f>
        <v>#VALUE!</v>
      </c>
      <c r="AM71" s="505" t="e">
        <f aca="false">VLOOKUP($D71,CurveTbl,$AH$3)</f>
        <v>#VALUE!</v>
      </c>
      <c r="AN71" s="505" t="e">
        <f aca="false">VLOOKUP($D71,CurveTbl,$AH$4)+VLOOKUP($AG71,$AL$3:$AS$15,6)</f>
        <v>#VALUE!</v>
      </c>
      <c r="AO71" s="505" t="e">
        <f aca="false">VLOOKUP($D71,CurveTbl,$AH$5)</f>
        <v>#VALUE!</v>
      </c>
      <c r="AP71" s="505" t="e">
        <f aca="false">VLOOKUP($D71,CurveTbl,$AH$6)+VLOOKUP($AG71,$AL$3:$AS$15,7)</f>
        <v>#VALUE!</v>
      </c>
      <c r="AQ71" s="369" t="e">
        <f aca="false">VLOOKUP($AG71,$AL$4:$AS$15,3)+VLOOKUP($AG71,$AL$4:$AS$15,5)+($AH$10*VLOOKUP(D71,GRITable,2))</f>
        <v>#VALUE!</v>
      </c>
      <c r="AR71" s="370" t="e">
        <f aca="false">VLOOKUP($AG71,$AL$4:$AS$15,4)</f>
        <v>#VALUE!</v>
      </c>
      <c r="AS71" s="369" t="e">
        <f aca="false">(AL71+AM71+AN71)</f>
        <v>#VALUE!</v>
      </c>
      <c r="AT71" s="370" t="e">
        <f aca="false">VLOOKUP(D71,CurveTbl,$AK$6)</f>
        <v>#VALUE!</v>
      </c>
      <c r="AU71" s="370" t="e">
        <f aca="false">(1+$AT71/2)^(-2*($D71-$G$5)/365.25)*$AF71</f>
        <v>#VALUE!</v>
      </c>
      <c r="AV71" s="506" t="e">
        <f aca="false">ROUND((F71/(1-AR71))-F71,0)*AF71*AH71*AU71</f>
        <v>#VALUE!</v>
      </c>
      <c r="AW71" s="370" t="e">
        <f aca="false">VLOOKUP($D71,CurveTbl,$AK$8)</f>
        <v>#VALUE!</v>
      </c>
      <c r="AX71" s="370" t="e">
        <f aca="false">VLOOKUP($D71,CurveTbl,$AH$7)</f>
        <v>#VALUE!</v>
      </c>
      <c r="AY71" s="370" t="e">
        <f aca="false">VLOOKUP($D71,CurveTbl,$AH$8)</f>
        <v>#VALUE!</v>
      </c>
      <c r="AZ71" s="370"/>
      <c r="BA71" s="507"/>
      <c r="BB71" s="505" t="e">
        <f aca="false">$H71-$BV71</f>
        <v>#VALUE!</v>
      </c>
      <c r="BC71" s="505" t="e">
        <f aca="false">I71-BW71</f>
        <v>#VALUE!</v>
      </c>
      <c r="BD71" s="370" t="e">
        <f aca="false">N71-BX71</f>
        <v>#VALUE!</v>
      </c>
      <c r="BE71" s="370" t="e">
        <f aca="false">O71-BY71</f>
        <v>#VALUE!</v>
      </c>
      <c r="BF71" s="370" t="e">
        <f aca="false">xSPRDOPT($BW71,$BV71,$CG71,0,$BY71,$BX71,$BZ71,$AJ71,1,4)*$CB71</f>
        <v>#NAME?</v>
      </c>
      <c r="BG71" s="370" t="e">
        <f aca="false">xSPRDOPT($BW71,$BV71,$CG71,0,$BY71,$BX71,$BZ71,$AJ71,1,3)*$CB71</f>
        <v>#NAME?</v>
      </c>
      <c r="BH71" s="370" t="e">
        <f aca="false">IF(OR(BF71&lt;&gt;0,BG71&lt;&gt;0),xSPRDOPT($BW71,$BV71,$CG71,0,$BY71,$BX71,$BZ71,$AJ71,1,12)*$CB71,0)</f>
        <v>#NAME?</v>
      </c>
      <c r="BI71" s="370" t="e">
        <f aca="false">xSPRDOPT($BW71,$BV71,$CG71,2*LN(1+CA71/2),$BY71,$BX71,$BZ71,$AJ71,1,9)</f>
        <v>#NAME?</v>
      </c>
      <c r="BJ71" s="370" t="e">
        <f aca="false">xSPRDOPT($BW71,$BV71,$CG71,0,$BY71,$BX71,$BZ71,$AJ71,1,6)*$CB71</f>
        <v>#NAME?</v>
      </c>
      <c r="BK71" s="370" t="e">
        <f aca="false">xSPRDOPT($BW71,$BV71,$CG71,0,$BY71,$BX71,$BZ71,$AJ71,1,5)*$CB71</f>
        <v>#NAME?</v>
      </c>
      <c r="BL71" s="370" t="e">
        <f aca="false">xSPRDOPT(BW71,BV71,CG71,0,BY71,BX71,BZ71,AJ71,1,2)*CB71</f>
        <v>#NAME?</v>
      </c>
      <c r="BM71" s="370" t="e">
        <f aca="false">xSPRDOPT(BW71,BV71,CG71,0,BY71,BX71,BZ71,AJ71,1,1)*CB71</f>
        <v>#NAME?</v>
      </c>
      <c r="BN71" s="370" t="e">
        <f aca="false">IF(AH71&lt;&gt;0,xSPRDOPT($BW71,$BV71,$CG71,2*LN(1+CA71/2),$BY71,$BX71,$BZ71,$AJ71,1,8)+(AJ71/365.25)*CH71/AH71,0)</f>
        <v>#VALUE!</v>
      </c>
      <c r="BO71" s="370" t="e">
        <f aca="false">xSPRDOPT($BW71,$BV71,$CG71,0,$BY71,$BX71,$BZ71,$AJ71,1,0)</f>
        <v>#NAME?</v>
      </c>
      <c r="BP71" s="370"/>
      <c r="BQ71" s="370"/>
      <c r="BR71" s="370"/>
      <c r="BS71" s="370"/>
      <c r="BV71" s="508" t="n">
        <v>3.44578313253012</v>
      </c>
      <c r="BW71" s="369" t="n">
        <v>3.467</v>
      </c>
      <c r="BX71" s="370" t="n">
        <v>0.37</v>
      </c>
      <c r="BY71" s="370" t="n">
        <v>0.37</v>
      </c>
      <c r="BZ71" s="370" t="n">
        <v>0</v>
      </c>
      <c r="CA71" s="370" t="n">
        <v>0.0348361539671314</v>
      </c>
      <c r="CB71" s="370" t="n">
        <v>0</v>
      </c>
      <c r="CC71" s="505" t="n">
        <v>0</v>
      </c>
      <c r="CD71" s="505" t="n">
        <v>0.03</v>
      </c>
      <c r="CE71" s="505" t="n">
        <v>0.065</v>
      </c>
      <c r="CF71" s="505" t="n">
        <v>0</v>
      </c>
      <c r="CG71" s="505" t="n">
        <v>0.0006</v>
      </c>
      <c r="CH71" s="505" t="n">
        <v>0</v>
      </c>
      <c r="CI71" s="505" t="n">
        <v>3.402</v>
      </c>
      <c r="CJ71" s="505"/>
      <c r="CK71" s="505"/>
      <c r="CL71" s="505"/>
      <c r="CM71" s="505"/>
    </row>
    <row r="72" customFormat="false" ht="12.75" hidden="false" customHeight="false" outlineLevel="0" collapsed="false">
      <c r="A72" s="500"/>
      <c r="B72" s="500"/>
      <c r="D72" s="361" t="e">
        <f aca="false">D71+AH71</f>
        <v>#VALUE!</v>
      </c>
      <c r="F72" s="362" t="e">
        <f aca="false">VLOOKUP(AG72,$AL$4:$AS$15,2)</f>
        <v>#VALUE!</v>
      </c>
      <c r="G72" s="362" t="e">
        <f aca="false">F72*$AU72</f>
        <v>#VALUE!</v>
      </c>
      <c r="H72" s="363" t="e">
        <f aca="false">(AL72+AM72+AN72)/(1-(AR72))</f>
        <v>#VALUE!</v>
      </c>
      <c r="I72" s="363" t="e">
        <f aca="false">(AL72+AO72+AP72)</f>
        <v>#VALUE!</v>
      </c>
      <c r="K72" s="363" t="e">
        <f aca="false">MAX(((I72-H72)-AQ72)*AU72*AH72,0)</f>
        <v>#VALUE!</v>
      </c>
      <c r="L72" s="501" t="e">
        <f aca="false">MAX(Q72-K72,0)</f>
        <v>#VALUE!</v>
      </c>
      <c r="N72" s="502" t="e">
        <f aca="false">SQRT(($AX72^2*($AH72/2)+$AW72^2*$AI72)/(($AH72/2)+$AI72))</f>
        <v>#VALUE!</v>
      </c>
      <c r="O72" s="502" t="e">
        <f aca="false">SQRT(($AY72^2*($AH72/2)+$AW72^2*$AI72)/(($AH72/2)+$AI72))</f>
        <v>#VALUE!</v>
      </c>
      <c r="P72" s="371" t="e">
        <f aca="false">(VLOOKUP(AI72,CorrelationTwo,2)*(AW72^2)*AI72+VLOOKUP(D72,CorrelationOne,$AK$9)*AX72*AY72*(AH72/2))/((AI72+(AH72/2))*O72*N72)*AF72</f>
        <v>#VALUE!</v>
      </c>
      <c r="Q72" s="501" t="e">
        <f aca="false">xSPRDOPT(I72,H72,AQ72,0,O72,N72,P72,D72-$G$5,1,0)*AH72*AU72</f>
        <v>#VALUE!</v>
      </c>
      <c r="R72" s="501"/>
      <c r="S72" s="365" t="e">
        <f aca="false">xSPRDOPT(I72,H72,AQ72,AT72,O72,N72,P72,D72-$G$5,1,2)*AF72*(F72/(1-AR72))*AH72</f>
        <v>#VALUE!</v>
      </c>
      <c r="T72" s="365" t="e">
        <f aca="false">xSPRDOPT(I72,H72,AQ72,AT72,O72,N72,P72,D72-$G$5,1,1)*AF72*F72*AH72</f>
        <v>#VALUE!</v>
      </c>
      <c r="U72" s="501"/>
      <c r="V72" s="503" t="e">
        <f aca="false">VLOOKUP($AG72,$AL$4:$AS$15,8)*AH72*AU72</f>
        <v>#VALUE!</v>
      </c>
      <c r="W72" s="503"/>
      <c r="X72" s="504" t="e">
        <f aca="false">((BM72*BC72)+(BL72*BB72))*AH72*F72</f>
        <v>#VALUE!</v>
      </c>
      <c r="Y72" s="504" t="e">
        <f aca="false">($F72*$AH72)*((($BG72/2)*($BC72)^2)+(($BF72/2)*($BB72)^2)+($BH72*$BC72*$BB72))</f>
        <v>#VALUE!</v>
      </c>
      <c r="Z72" s="504" t="e">
        <f aca="false">($BI72*$F72*$AH72*($G$5-$BV$5))/365.25</f>
        <v>#VALUE!</v>
      </c>
      <c r="AA72" s="504" t="e">
        <f aca="false">(($BK72*$BE72)+($BJ72*$BD72))*$F72*$AH72*$AF72</f>
        <v>#VALUE!</v>
      </c>
      <c r="AB72" s="504" t="e">
        <f aca="false">BN72*(AT72-CA72)*F72*AH72</f>
        <v>#VALUE!</v>
      </c>
      <c r="AC72" s="504" t="e">
        <f aca="false">BO72*CB72*F72*AH72*CA72*($G$5-$BV$5)/365.25</f>
        <v>#NAME?</v>
      </c>
      <c r="AF72" s="378" t="e">
        <f aca="false">IF(AND(D72&gt;=$G$7,D72&lt;=$G$8),1,0)</f>
        <v>#VALUE!</v>
      </c>
      <c r="AG72" s="378" t="e">
        <f aca="false">MONTH(D72)</f>
        <v>#VALUE!</v>
      </c>
      <c r="AH72" s="378" t="e">
        <f aca="false">(EOMONTH(D72,0)-EOMONTH(D72-DAY(D72),0))*AF72</f>
        <v>#VALUE!</v>
      </c>
      <c r="AI72" s="378" t="e">
        <f aca="false">AI71+AH71</f>
        <v>#VALUE!</v>
      </c>
      <c r="AJ72" s="378" t="e">
        <f aca="false">D72-$BV$5</f>
        <v>#VALUE!</v>
      </c>
      <c r="AL72" s="369" t="e">
        <f aca="false">VLOOKUP($D72,CurveTbl,$AK$4)</f>
        <v>#VALUE!</v>
      </c>
      <c r="AM72" s="505" t="e">
        <f aca="false">VLOOKUP($D72,CurveTbl,$AH$3)</f>
        <v>#VALUE!</v>
      </c>
      <c r="AN72" s="505" t="e">
        <f aca="false">VLOOKUP($D72,CurveTbl,$AH$4)+VLOOKUP($AG72,$AL$3:$AS$15,6)</f>
        <v>#VALUE!</v>
      </c>
      <c r="AO72" s="505" t="e">
        <f aca="false">VLOOKUP($D72,CurveTbl,$AH$5)</f>
        <v>#VALUE!</v>
      </c>
      <c r="AP72" s="505" t="e">
        <f aca="false">VLOOKUP($D72,CurveTbl,$AH$6)+VLOOKUP($AG72,$AL$3:$AS$15,7)</f>
        <v>#VALUE!</v>
      </c>
      <c r="AQ72" s="369" t="e">
        <f aca="false">VLOOKUP($AG72,$AL$4:$AS$15,3)+VLOOKUP($AG72,$AL$4:$AS$15,5)+($AH$10*VLOOKUP(D72,GRITable,2))</f>
        <v>#VALUE!</v>
      </c>
      <c r="AR72" s="370" t="e">
        <f aca="false">VLOOKUP($AG72,$AL$4:$AS$15,4)</f>
        <v>#VALUE!</v>
      </c>
      <c r="AS72" s="369" t="e">
        <f aca="false">(AL72+AM72+AN72)</f>
        <v>#VALUE!</v>
      </c>
      <c r="AT72" s="370" t="e">
        <f aca="false">VLOOKUP(D72,CurveTbl,$AK$6)</f>
        <v>#VALUE!</v>
      </c>
      <c r="AU72" s="370" t="e">
        <f aca="false">(1+$AT72/2)^(-2*($D72-$G$5)/365.25)*$AF72</f>
        <v>#VALUE!</v>
      </c>
      <c r="AV72" s="506" t="e">
        <f aca="false">ROUND((F72/(1-AR72))-F72,0)*AF72*AH72*AU72</f>
        <v>#VALUE!</v>
      </c>
      <c r="AW72" s="370" t="e">
        <f aca="false">VLOOKUP($D72,CurveTbl,$AK$8)</f>
        <v>#VALUE!</v>
      </c>
      <c r="AX72" s="370" t="e">
        <f aca="false">VLOOKUP($D72,CurveTbl,$AH$7)</f>
        <v>#VALUE!</v>
      </c>
      <c r="AY72" s="370" t="e">
        <f aca="false">VLOOKUP($D72,CurveTbl,$AH$8)</f>
        <v>#VALUE!</v>
      </c>
      <c r="AZ72" s="370"/>
      <c r="BA72" s="507"/>
      <c r="BB72" s="505" t="e">
        <f aca="false">$H72-$BV72</f>
        <v>#VALUE!</v>
      </c>
      <c r="BC72" s="505" t="e">
        <f aca="false">I72-BW72</f>
        <v>#VALUE!</v>
      </c>
      <c r="BD72" s="370" t="e">
        <f aca="false">N72-BX72</f>
        <v>#VALUE!</v>
      </c>
      <c r="BE72" s="370" t="e">
        <f aca="false">O72-BY72</f>
        <v>#VALUE!</v>
      </c>
      <c r="BF72" s="370" t="e">
        <f aca="false">xSPRDOPT($BW72,$BV72,$CG72,0,$BY72,$BX72,$BZ72,$AJ72,1,4)*$CB72</f>
        <v>#NAME?</v>
      </c>
      <c r="BG72" s="370" t="e">
        <f aca="false">xSPRDOPT($BW72,$BV72,$CG72,0,$BY72,$BX72,$BZ72,$AJ72,1,3)*$CB72</f>
        <v>#NAME?</v>
      </c>
      <c r="BH72" s="370" t="e">
        <f aca="false">IF(OR(BF72&lt;&gt;0,BG72&lt;&gt;0),xSPRDOPT($BW72,$BV72,$CG72,0,$BY72,$BX72,$BZ72,$AJ72,1,12)*$CB72,0)</f>
        <v>#NAME?</v>
      </c>
      <c r="BI72" s="370" t="e">
        <f aca="false">xSPRDOPT($BW72,$BV72,$CG72,2*LN(1+CA72/2),$BY72,$BX72,$BZ72,$AJ72,1,9)</f>
        <v>#NAME?</v>
      </c>
      <c r="BJ72" s="370" t="e">
        <f aca="false">xSPRDOPT($BW72,$BV72,$CG72,0,$BY72,$BX72,$BZ72,$AJ72,1,6)*$CB72</f>
        <v>#NAME?</v>
      </c>
      <c r="BK72" s="370" t="e">
        <f aca="false">xSPRDOPT($BW72,$BV72,$CG72,0,$BY72,$BX72,$BZ72,$AJ72,1,5)*$CB72</f>
        <v>#NAME?</v>
      </c>
      <c r="BL72" s="370" t="e">
        <f aca="false">xSPRDOPT(BW72,BV72,CG72,0,BY72,BX72,BZ72,AJ72,1,2)*CB72</f>
        <v>#NAME?</v>
      </c>
      <c r="BM72" s="370" t="e">
        <f aca="false">xSPRDOPT(BW72,BV72,CG72,0,BY72,BX72,BZ72,AJ72,1,1)*CB72</f>
        <v>#NAME?</v>
      </c>
      <c r="BN72" s="370" t="e">
        <f aca="false">IF(AH72&lt;&gt;0,xSPRDOPT($BW72,$BV72,$CG72,2*LN(1+CA72/2),$BY72,$BX72,$BZ72,$AJ72,1,8)+(AJ72/365.25)*CH72/AH72,0)</f>
        <v>#VALUE!</v>
      </c>
      <c r="BO72" s="370" t="e">
        <f aca="false">xSPRDOPT($BW72,$BV72,$CG72,0,$BY72,$BX72,$BZ72,$AJ72,1,0)</f>
        <v>#NAME?</v>
      </c>
      <c r="BP72" s="370"/>
      <c r="BQ72" s="370"/>
      <c r="BR72" s="370"/>
      <c r="BS72" s="370"/>
      <c r="BV72" s="508" t="n">
        <v>3.44578313253012</v>
      </c>
      <c r="BW72" s="369" t="n">
        <v>3.467</v>
      </c>
      <c r="BX72" s="370" t="n">
        <v>0.37</v>
      </c>
      <c r="BY72" s="370" t="n">
        <v>0.37</v>
      </c>
      <c r="BZ72" s="370" t="n">
        <v>0</v>
      </c>
      <c r="CA72" s="370" t="n">
        <v>0.0348361539671314</v>
      </c>
      <c r="CB72" s="370" t="n">
        <v>0</v>
      </c>
      <c r="CC72" s="505" t="n">
        <v>0</v>
      </c>
      <c r="CD72" s="505" t="n">
        <v>0.03</v>
      </c>
      <c r="CE72" s="505" t="n">
        <v>0.065</v>
      </c>
      <c r="CF72" s="505" t="n">
        <v>0</v>
      </c>
      <c r="CG72" s="505" t="n">
        <v>0.0006</v>
      </c>
      <c r="CH72" s="505" t="n">
        <v>0</v>
      </c>
      <c r="CI72" s="505" t="n">
        <v>3.402</v>
      </c>
      <c r="CJ72" s="505"/>
      <c r="CK72" s="505"/>
      <c r="CL72" s="505"/>
      <c r="CM72" s="505"/>
    </row>
    <row r="73" customFormat="false" ht="12.75" hidden="false" customHeight="false" outlineLevel="0" collapsed="false">
      <c r="A73" s="500"/>
      <c r="B73" s="500"/>
      <c r="D73" s="361" t="e">
        <f aca="false">D72+AH72</f>
        <v>#VALUE!</v>
      </c>
      <c r="F73" s="362" t="e">
        <f aca="false">VLOOKUP(AG73,$AL$4:$AS$15,2)</f>
        <v>#VALUE!</v>
      </c>
      <c r="G73" s="362" t="e">
        <f aca="false">F73*$AU73</f>
        <v>#VALUE!</v>
      </c>
      <c r="H73" s="363" t="e">
        <f aca="false">(AL73+AM73+AN73)/(1-(AR73))</f>
        <v>#VALUE!</v>
      </c>
      <c r="I73" s="363" t="e">
        <f aca="false">(AL73+AO73+AP73)</f>
        <v>#VALUE!</v>
      </c>
      <c r="K73" s="363" t="e">
        <f aca="false">MAX(((I73-H73)-AQ73)*AU73*AH73,0)</f>
        <v>#VALUE!</v>
      </c>
      <c r="L73" s="501" t="e">
        <f aca="false">MAX(Q73-K73,0)</f>
        <v>#VALUE!</v>
      </c>
      <c r="N73" s="502" t="e">
        <f aca="false">SQRT(($AX73^2*($AH73/2)+$AW73^2*$AI73)/(($AH73/2)+$AI73))</f>
        <v>#VALUE!</v>
      </c>
      <c r="O73" s="502" t="e">
        <f aca="false">SQRT(($AY73^2*($AH73/2)+$AW73^2*$AI73)/(($AH73/2)+$AI73))</f>
        <v>#VALUE!</v>
      </c>
      <c r="P73" s="371" t="e">
        <f aca="false">(VLOOKUP(AI73,CorrelationTwo,2)*(AW73^2)*AI73+VLOOKUP(D73,CorrelationOne,$AK$9)*AX73*AY73*(AH73/2))/((AI73+(AH73/2))*O73*N73)*AF73</f>
        <v>#VALUE!</v>
      </c>
      <c r="Q73" s="501" t="e">
        <f aca="false">xSPRDOPT(I73,H73,AQ73,0,O73,N73,P73,D73-$G$5,1,0)*AH73*AU73</f>
        <v>#VALUE!</v>
      </c>
      <c r="R73" s="501"/>
      <c r="S73" s="365" t="e">
        <f aca="false">xSPRDOPT(I73,H73,AQ73,AT73,O73,N73,P73,D73-$G$5,1,2)*AF73*(F73/(1-AR73))*AH73</f>
        <v>#VALUE!</v>
      </c>
      <c r="T73" s="365" t="e">
        <f aca="false">xSPRDOPT(I73,H73,AQ73,AT73,O73,N73,P73,D73-$G$5,1,1)*AF73*F73*AH73</f>
        <v>#VALUE!</v>
      </c>
      <c r="U73" s="501"/>
      <c r="V73" s="503" t="e">
        <f aca="false">VLOOKUP($AG73,$AL$4:$AS$15,8)*AH73*AU73</f>
        <v>#VALUE!</v>
      </c>
      <c r="W73" s="503"/>
      <c r="X73" s="504" t="e">
        <f aca="false">((BM73*BC73)+(BL73*BB73))*AH73*F73</f>
        <v>#VALUE!</v>
      </c>
      <c r="Y73" s="504" t="e">
        <f aca="false">($F73*$AH73)*((($BG73/2)*($BC73)^2)+(($BF73/2)*($BB73)^2)+($BH73*$BC73*$BB73))</f>
        <v>#VALUE!</v>
      </c>
      <c r="Z73" s="504" t="e">
        <f aca="false">($BI73*$F73*$AH73*($G$5-$BV$5))/365.25</f>
        <v>#VALUE!</v>
      </c>
      <c r="AA73" s="504" t="e">
        <f aca="false">(($BK73*$BE73)+($BJ73*$BD73))*$F73*$AH73*$AF73</f>
        <v>#VALUE!</v>
      </c>
      <c r="AB73" s="504" t="e">
        <f aca="false">BN73*(AT73-CA73)*F73*AH73</f>
        <v>#VALUE!</v>
      </c>
      <c r="AC73" s="504" t="e">
        <f aca="false">BO73*CB73*F73*AH73*CA73*($G$5-$BV$5)/365.25</f>
        <v>#NAME?</v>
      </c>
      <c r="AF73" s="378" t="e">
        <f aca="false">IF(AND(D73&gt;=$G$7,D73&lt;=$G$8),1,0)</f>
        <v>#VALUE!</v>
      </c>
      <c r="AG73" s="378" t="e">
        <f aca="false">MONTH(D73)</f>
        <v>#VALUE!</v>
      </c>
      <c r="AH73" s="378" t="e">
        <f aca="false">(EOMONTH(D73,0)-EOMONTH(D73-DAY(D73),0))*AF73</f>
        <v>#VALUE!</v>
      </c>
      <c r="AI73" s="378" t="e">
        <f aca="false">AI72+AH72</f>
        <v>#VALUE!</v>
      </c>
      <c r="AJ73" s="378" t="e">
        <f aca="false">D73-$BV$5</f>
        <v>#VALUE!</v>
      </c>
      <c r="AL73" s="369" t="e">
        <f aca="false">VLOOKUP($D73,CurveTbl,$AK$4)</f>
        <v>#VALUE!</v>
      </c>
      <c r="AM73" s="505" t="e">
        <f aca="false">VLOOKUP($D73,CurveTbl,$AH$3)</f>
        <v>#VALUE!</v>
      </c>
      <c r="AN73" s="505" t="e">
        <f aca="false">VLOOKUP($D73,CurveTbl,$AH$4)+VLOOKUP($AG73,$AL$3:$AS$15,6)</f>
        <v>#VALUE!</v>
      </c>
      <c r="AO73" s="505" t="e">
        <f aca="false">VLOOKUP($D73,CurveTbl,$AH$5)</f>
        <v>#VALUE!</v>
      </c>
      <c r="AP73" s="505" t="e">
        <f aca="false">VLOOKUP($D73,CurveTbl,$AH$6)+VLOOKUP($AG73,$AL$3:$AS$15,7)</f>
        <v>#VALUE!</v>
      </c>
      <c r="AQ73" s="369" t="e">
        <f aca="false">VLOOKUP($AG73,$AL$4:$AS$15,3)+VLOOKUP($AG73,$AL$4:$AS$15,5)+($AH$10*VLOOKUP(D73,GRITable,2))</f>
        <v>#VALUE!</v>
      </c>
      <c r="AR73" s="370" t="e">
        <f aca="false">VLOOKUP($AG73,$AL$4:$AS$15,4)</f>
        <v>#VALUE!</v>
      </c>
      <c r="AS73" s="369" t="e">
        <f aca="false">(AL73+AM73+AN73)</f>
        <v>#VALUE!</v>
      </c>
      <c r="AT73" s="370" t="e">
        <f aca="false">VLOOKUP(D73,CurveTbl,$AK$6)</f>
        <v>#VALUE!</v>
      </c>
      <c r="AU73" s="370" t="e">
        <f aca="false">(1+$AT73/2)^(-2*($D73-$G$5)/365.25)*$AF73</f>
        <v>#VALUE!</v>
      </c>
      <c r="AV73" s="506" t="e">
        <f aca="false">ROUND((F73/(1-AR73))-F73,0)*AF73*AH73*AU73</f>
        <v>#VALUE!</v>
      </c>
      <c r="AW73" s="370" t="e">
        <f aca="false">VLOOKUP($D73,CurveTbl,$AK$8)</f>
        <v>#VALUE!</v>
      </c>
      <c r="AX73" s="370" t="e">
        <f aca="false">VLOOKUP($D73,CurveTbl,$AH$7)</f>
        <v>#VALUE!</v>
      </c>
      <c r="AY73" s="370" t="e">
        <f aca="false">VLOOKUP($D73,CurveTbl,$AH$8)</f>
        <v>#VALUE!</v>
      </c>
      <c r="AZ73" s="370"/>
      <c r="BA73" s="507"/>
      <c r="BB73" s="505" t="e">
        <f aca="false">$H73-$BV73</f>
        <v>#VALUE!</v>
      </c>
      <c r="BC73" s="505" t="e">
        <f aca="false">I73-BW73</f>
        <v>#VALUE!</v>
      </c>
      <c r="BD73" s="370" t="e">
        <f aca="false">N73-BX73</f>
        <v>#VALUE!</v>
      </c>
      <c r="BE73" s="370" t="e">
        <f aca="false">O73-BY73</f>
        <v>#VALUE!</v>
      </c>
      <c r="BF73" s="370" t="e">
        <f aca="false">xSPRDOPT($BW73,$BV73,$CG73,0,$BY73,$BX73,$BZ73,$AJ73,1,4)*$CB73</f>
        <v>#NAME?</v>
      </c>
      <c r="BG73" s="370" t="e">
        <f aca="false">xSPRDOPT($BW73,$BV73,$CG73,0,$BY73,$BX73,$BZ73,$AJ73,1,3)*$CB73</f>
        <v>#NAME?</v>
      </c>
      <c r="BH73" s="370" t="e">
        <f aca="false">IF(OR(BF73&lt;&gt;0,BG73&lt;&gt;0),xSPRDOPT($BW73,$BV73,$CG73,0,$BY73,$BX73,$BZ73,$AJ73,1,12)*$CB73,0)</f>
        <v>#NAME?</v>
      </c>
      <c r="BI73" s="370" t="e">
        <f aca="false">xSPRDOPT($BW73,$BV73,$CG73,2*LN(1+CA73/2),$BY73,$BX73,$BZ73,$AJ73,1,9)</f>
        <v>#NAME?</v>
      </c>
      <c r="BJ73" s="370" t="e">
        <f aca="false">xSPRDOPT($BW73,$BV73,$CG73,0,$BY73,$BX73,$BZ73,$AJ73,1,6)*$CB73</f>
        <v>#NAME?</v>
      </c>
      <c r="BK73" s="370" t="e">
        <f aca="false">xSPRDOPT($BW73,$BV73,$CG73,0,$BY73,$BX73,$BZ73,$AJ73,1,5)*$CB73</f>
        <v>#NAME?</v>
      </c>
      <c r="BL73" s="370" t="e">
        <f aca="false">xSPRDOPT(BW73,BV73,CG73,0,BY73,BX73,BZ73,AJ73,1,2)*CB73</f>
        <v>#NAME?</v>
      </c>
      <c r="BM73" s="370" t="e">
        <f aca="false">xSPRDOPT(BW73,BV73,CG73,0,BY73,BX73,BZ73,AJ73,1,1)*CB73</f>
        <v>#NAME?</v>
      </c>
      <c r="BN73" s="370" t="e">
        <f aca="false">IF(AH73&lt;&gt;0,xSPRDOPT($BW73,$BV73,$CG73,2*LN(1+CA73/2),$BY73,$BX73,$BZ73,$AJ73,1,8)+(AJ73/365.25)*CH73/AH73,0)</f>
        <v>#VALUE!</v>
      </c>
      <c r="BO73" s="370" t="e">
        <f aca="false">xSPRDOPT($BW73,$BV73,$CG73,0,$BY73,$BX73,$BZ73,$AJ73,1,0)</f>
        <v>#NAME?</v>
      </c>
      <c r="BP73" s="370"/>
      <c r="BQ73" s="370"/>
      <c r="BR73" s="370"/>
      <c r="BS73" s="370"/>
      <c r="BV73" s="508" t="n">
        <v>3.44578313253012</v>
      </c>
      <c r="BW73" s="369" t="n">
        <v>3.467</v>
      </c>
      <c r="BX73" s="370" t="n">
        <v>0.37</v>
      </c>
      <c r="BY73" s="370" t="n">
        <v>0.37</v>
      </c>
      <c r="BZ73" s="370" t="n">
        <v>0</v>
      </c>
      <c r="CA73" s="370" t="n">
        <v>0.0348361539671314</v>
      </c>
      <c r="CB73" s="370" t="n">
        <v>0</v>
      </c>
      <c r="CC73" s="505" t="n">
        <v>0</v>
      </c>
      <c r="CD73" s="505" t="n">
        <v>0.03</v>
      </c>
      <c r="CE73" s="505" t="n">
        <v>0.065</v>
      </c>
      <c r="CF73" s="505" t="n">
        <v>0</v>
      </c>
      <c r="CG73" s="505" t="n">
        <v>0.0006</v>
      </c>
      <c r="CH73" s="505" t="n">
        <v>0</v>
      </c>
      <c r="CI73" s="505" t="n">
        <v>3.402</v>
      </c>
      <c r="CJ73" s="505"/>
      <c r="CK73" s="505"/>
      <c r="CL73" s="505"/>
      <c r="CM73" s="505"/>
    </row>
    <row r="74" customFormat="false" ht="12.75" hidden="false" customHeight="false" outlineLevel="0" collapsed="false">
      <c r="A74" s="500"/>
      <c r="B74" s="500"/>
      <c r="D74" s="361" t="e">
        <f aca="false">D73+AH73</f>
        <v>#VALUE!</v>
      </c>
      <c r="F74" s="362" t="e">
        <f aca="false">VLOOKUP(AG74,$AL$4:$AS$15,2)</f>
        <v>#VALUE!</v>
      </c>
      <c r="G74" s="362" t="e">
        <f aca="false">F74*$AU74</f>
        <v>#VALUE!</v>
      </c>
      <c r="H74" s="363" t="e">
        <f aca="false">(AL74+AM74+AN74)/(1-(AR74))</f>
        <v>#VALUE!</v>
      </c>
      <c r="I74" s="363" t="e">
        <f aca="false">(AL74+AO74+AP74)</f>
        <v>#VALUE!</v>
      </c>
      <c r="K74" s="363" t="e">
        <f aca="false">MAX(((I74-H74)-AQ74)*AU74*AH74,0)</f>
        <v>#VALUE!</v>
      </c>
      <c r="L74" s="501" t="e">
        <f aca="false">MAX(Q74-K74,0)</f>
        <v>#VALUE!</v>
      </c>
      <c r="N74" s="502" t="e">
        <f aca="false">SQRT(($AX74^2*($AH74/2)+$AW74^2*$AI74)/(($AH74/2)+$AI74))</f>
        <v>#VALUE!</v>
      </c>
      <c r="O74" s="502" t="e">
        <f aca="false">SQRT(($AY74^2*($AH74/2)+$AW74^2*$AI74)/(($AH74/2)+$AI74))</f>
        <v>#VALUE!</v>
      </c>
      <c r="P74" s="371" t="e">
        <f aca="false">(VLOOKUP(AI74,CorrelationTwo,2)*(AW74^2)*AI74+VLOOKUP(D74,CorrelationOne,$AK$9)*AX74*AY74*(AH74/2))/((AI74+(AH74/2))*O74*N74)*AF74</f>
        <v>#VALUE!</v>
      </c>
      <c r="Q74" s="501" t="e">
        <f aca="false">xSPRDOPT(I74,H74,AQ74,0,O74,N74,P74,D74-$G$5,1,0)*AH74*AU74</f>
        <v>#VALUE!</v>
      </c>
      <c r="R74" s="501"/>
      <c r="S74" s="365" t="e">
        <f aca="false">xSPRDOPT(I74,H74,AQ74,AT74,O74,N74,P74,D74-$G$5,1,2)*AF74*(F74/(1-AR74))*AH74</f>
        <v>#VALUE!</v>
      </c>
      <c r="T74" s="365" t="e">
        <f aca="false">xSPRDOPT(I74,H74,AQ74,AT74,O74,N74,P74,D74-$G$5,1,1)*AF74*F74*AH74</f>
        <v>#VALUE!</v>
      </c>
      <c r="U74" s="501"/>
      <c r="V74" s="503" t="e">
        <f aca="false">VLOOKUP($AG74,$AL$4:$AS$15,8)*AH74*AU74</f>
        <v>#VALUE!</v>
      </c>
      <c r="W74" s="503"/>
      <c r="X74" s="504" t="e">
        <f aca="false">((BM74*BC74)+(BL74*BB74))*AH74*F74</f>
        <v>#VALUE!</v>
      </c>
      <c r="Y74" s="504" t="e">
        <f aca="false">($F74*$AH74)*((($BG74/2)*($BC74)^2)+(($BF74/2)*($BB74)^2)+($BH74*$BC74*$BB74))</f>
        <v>#VALUE!</v>
      </c>
      <c r="Z74" s="504" t="e">
        <f aca="false">($BI74*$F74*$AH74*($G$5-$BV$5))/365.25</f>
        <v>#VALUE!</v>
      </c>
      <c r="AA74" s="504" t="e">
        <f aca="false">(($BK74*$BE74)+($BJ74*$BD74))*$F74*$AH74*$AF74</f>
        <v>#VALUE!</v>
      </c>
      <c r="AB74" s="504" t="e">
        <f aca="false">BN74*(AT74-CA74)*F74*AH74</f>
        <v>#VALUE!</v>
      </c>
      <c r="AC74" s="504" t="e">
        <f aca="false">BO74*CB74*F74*AH74*CA74*($G$5-$BV$5)/365.25</f>
        <v>#NAME?</v>
      </c>
      <c r="AF74" s="378" t="e">
        <f aca="false">IF(AND(D74&gt;=$G$7,D74&lt;=$G$8),1,0)</f>
        <v>#VALUE!</v>
      </c>
      <c r="AG74" s="378" t="e">
        <f aca="false">MONTH(D74)</f>
        <v>#VALUE!</v>
      </c>
      <c r="AH74" s="378" t="e">
        <f aca="false">(EOMONTH(D74,0)-EOMONTH(D74-DAY(D74),0))*AF74</f>
        <v>#VALUE!</v>
      </c>
      <c r="AI74" s="378" t="e">
        <f aca="false">AI73+AH73</f>
        <v>#VALUE!</v>
      </c>
      <c r="AJ74" s="378" t="e">
        <f aca="false">D74-$BV$5</f>
        <v>#VALUE!</v>
      </c>
      <c r="AL74" s="369" t="e">
        <f aca="false">VLOOKUP($D74,CurveTbl,$AK$4)</f>
        <v>#VALUE!</v>
      </c>
      <c r="AM74" s="505" t="e">
        <f aca="false">VLOOKUP($D74,CurveTbl,$AH$3)</f>
        <v>#VALUE!</v>
      </c>
      <c r="AN74" s="505" t="e">
        <f aca="false">VLOOKUP($D74,CurveTbl,$AH$4)+VLOOKUP($AG74,$AL$3:$AS$15,6)</f>
        <v>#VALUE!</v>
      </c>
      <c r="AO74" s="505" t="e">
        <f aca="false">VLOOKUP($D74,CurveTbl,$AH$5)</f>
        <v>#VALUE!</v>
      </c>
      <c r="AP74" s="505" t="e">
        <f aca="false">VLOOKUP($D74,CurveTbl,$AH$6)+VLOOKUP($AG74,$AL$3:$AS$15,7)</f>
        <v>#VALUE!</v>
      </c>
      <c r="AQ74" s="369" t="e">
        <f aca="false">VLOOKUP($AG74,$AL$4:$AS$15,3)+VLOOKUP($AG74,$AL$4:$AS$15,5)+($AH$10*VLOOKUP(D74,GRITable,2))</f>
        <v>#VALUE!</v>
      </c>
      <c r="AR74" s="370" t="e">
        <f aca="false">VLOOKUP($AG74,$AL$4:$AS$15,4)</f>
        <v>#VALUE!</v>
      </c>
      <c r="AS74" s="369" t="e">
        <f aca="false">(AL74+AM74+AN74)</f>
        <v>#VALUE!</v>
      </c>
      <c r="AT74" s="370" t="e">
        <f aca="false">VLOOKUP(D74,CurveTbl,$AK$6)</f>
        <v>#VALUE!</v>
      </c>
      <c r="AU74" s="370" t="e">
        <f aca="false">(1+$AT74/2)^(-2*($D74-$G$5)/365.25)*$AF74</f>
        <v>#VALUE!</v>
      </c>
      <c r="AV74" s="506" t="e">
        <f aca="false">ROUND((F74/(1-AR74))-F74,0)*AF74*AH74*AU74</f>
        <v>#VALUE!</v>
      </c>
      <c r="AW74" s="370" t="e">
        <f aca="false">VLOOKUP($D74,CurveTbl,$AK$8)</f>
        <v>#VALUE!</v>
      </c>
      <c r="AX74" s="370" t="e">
        <f aca="false">VLOOKUP($D74,CurveTbl,$AH$7)</f>
        <v>#VALUE!</v>
      </c>
      <c r="AY74" s="370" t="e">
        <f aca="false">VLOOKUP($D74,CurveTbl,$AH$8)</f>
        <v>#VALUE!</v>
      </c>
      <c r="AZ74" s="370"/>
      <c r="BA74" s="507"/>
      <c r="BB74" s="505" t="e">
        <f aca="false">$H74-$BV74</f>
        <v>#VALUE!</v>
      </c>
      <c r="BC74" s="505" t="e">
        <f aca="false">I74-BW74</f>
        <v>#VALUE!</v>
      </c>
      <c r="BD74" s="370" t="e">
        <f aca="false">N74-BX74</f>
        <v>#VALUE!</v>
      </c>
      <c r="BE74" s="370" t="e">
        <f aca="false">O74-BY74</f>
        <v>#VALUE!</v>
      </c>
      <c r="BF74" s="370" t="e">
        <f aca="false">xSPRDOPT($BW74,$BV74,$CG74,0,$BY74,$BX74,$BZ74,$AJ74,1,4)*$CB74</f>
        <v>#NAME?</v>
      </c>
      <c r="BG74" s="370" t="e">
        <f aca="false">xSPRDOPT($BW74,$BV74,$CG74,0,$BY74,$BX74,$BZ74,$AJ74,1,3)*$CB74</f>
        <v>#NAME?</v>
      </c>
      <c r="BH74" s="370" t="e">
        <f aca="false">IF(OR(BF74&lt;&gt;0,BG74&lt;&gt;0),xSPRDOPT($BW74,$BV74,$CG74,0,$BY74,$BX74,$BZ74,$AJ74,1,12)*$CB74,0)</f>
        <v>#NAME?</v>
      </c>
      <c r="BI74" s="370" t="e">
        <f aca="false">xSPRDOPT($BW74,$BV74,$CG74,2*LN(1+CA74/2),$BY74,$BX74,$BZ74,$AJ74,1,9)</f>
        <v>#NAME?</v>
      </c>
      <c r="BJ74" s="370" t="e">
        <f aca="false">xSPRDOPT($BW74,$BV74,$CG74,0,$BY74,$BX74,$BZ74,$AJ74,1,6)*$CB74</f>
        <v>#NAME?</v>
      </c>
      <c r="BK74" s="370" t="e">
        <f aca="false">xSPRDOPT($BW74,$BV74,$CG74,0,$BY74,$BX74,$BZ74,$AJ74,1,5)*$CB74</f>
        <v>#NAME?</v>
      </c>
      <c r="BL74" s="370" t="e">
        <f aca="false">xSPRDOPT(BW74,BV74,CG74,0,BY74,BX74,BZ74,AJ74,1,2)*CB74</f>
        <v>#NAME?</v>
      </c>
      <c r="BM74" s="370" t="e">
        <f aca="false">xSPRDOPT(BW74,BV74,CG74,0,BY74,BX74,BZ74,AJ74,1,1)*CB74</f>
        <v>#NAME?</v>
      </c>
      <c r="BN74" s="370" t="e">
        <f aca="false">IF(AH74&lt;&gt;0,xSPRDOPT($BW74,$BV74,$CG74,2*LN(1+CA74/2),$BY74,$BX74,$BZ74,$AJ74,1,8)+(AJ74/365.25)*CH74/AH74,0)</f>
        <v>#VALUE!</v>
      </c>
      <c r="BO74" s="370" t="e">
        <f aca="false">xSPRDOPT($BW74,$BV74,$CG74,0,$BY74,$BX74,$BZ74,$AJ74,1,0)</f>
        <v>#NAME?</v>
      </c>
      <c r="BP74" s="370"/>
      <c r="BQ74" s="370"/>
      <c r="BR74" s="370"/>
      <c r="BS74" s="370"/>
      <c r="BV74" s="508" t="n">
        <v>3.44578313253012</v>
      </c>
      <c r="BW74" s="369" t="n">
        <v>3.467</v>
      </c>
      <c r="BX74" s="370" t="n">
        <v>0.37</v>
      </c>
      <c r="BY74" s="370" t="n">
        <v>0.37</v>
      </c>
      <c r="BZ74" s="370" t="n">
        <v>0</v>
      </c>
      <c r="CA74" s="370" t="n">
        <v>0.0348361539671314</v>
      </c>
      <c r="CB74" s="370" t="n">
        <v>0</v>
      </c>
      <c r="CC74" s="505" t="n">
        <v>0</v>
      </c>
      <c r="CD74" s="505" t="n">
        <v>0.03</v>
      </c>
      <c r="CE74" s="505" t="n">
        <v>0.065</v>
      </c>
      <c r="CF74" s="505" t="n">
        <v>0</v>
      </c>
      <c r="CG74" s="505" t="n">
        <v>0.0006</v>
      </c>
      <c r="CH74" s="505" t="n">
        <v>0</v>
      </c>
      <c r="CI74" s="505" t="n">
        <v>3.402</v>
      </c>
      <c r="CJ74" s="505"/>
      <c r="CK74" s="505"/>
      <c r="CL74" s="505"/>
      <c r="CM74" s="505"/>
    </row>
    <row r="75" customFormat="false" ht="12.75" hidden="false" customHeight="false" outlineLevel="0" collapsed="false">
      <c r="A75" s="500"/>
      <c r="B75" s="500"/>
      <c r="D75" s="361" t="e">
        <f aca="false">D74+AH74</f>
        <v>#VALUE!</v>
      </c>
      <c r="F75" s="362" t="e">
        <f aca="false">VLOOKUP(AG75,$AL$4:$AS$15,2)</f>
        <v>#VALUE!</v>
      </c>
      <c r="G75" s="362" t="e">
        <f aca="false">F75*$AU75</f>
        <v>#VALUE!</v>
      </c>
      <c r="H75" s="363" t="e">
        <f aca="false">(AL75+AM75+AN75)/(1-(AR75))</f>
        <v>#VALUE!</v>
      </c>
      <c r="I75" s="363" t="e">
        <f aca="false">(AL75+AO75+AP75)</f>
        <v>#VALUE!</v>
      </c>
      <c r="K75" s="363" t="e">
        <f aca="false">MAX(((I75-H75)-AQ75)*AU75*AH75,0)</f>
        <v>#VALUE!</v>
      </c>
      <c r="L75" s="501" t="e">
        <f aca="false">MAX(Q75-K75,0)</f>
        <v>#VALUE!</v>
      </c>
      <c r="N75" s="502" t="e">
        <f aca="false">SQRT(($AX75^2*($AH75/2)+$AW75^2*$AI75)/(($AH75/2)+$AI75))</f>
        <v>#VALUE!</v>
      </c>
      <c r="O75" s="502" t="e">
        <f aca="false">SQRT(($AY75^2*($AH75/2)+$AW75^2*$AI75)/(($AH75/2)+$AI75))</f>
        <v>#VALUE!</v>
      </c>
      <c r="P75" s="371" t="e">
        <f aca="false">(VLOOKUP(AI75,CorrelationTwo,2)*(AW75^2)*AI75+VLOOKUP(D75,CorrelationOne,$AK$9)*AX75*AY75*(AH75/2))/((AI75+(AH75/2))*O75*N75)*AF75</f>
        <v>#VALUE!</v>
      </c>
      <c r="Q75" s="501" t="e">
        <f aca="false">xSPRDOPT(I75,H75,AQ75,0,O75,N75,P75,D75-$G$5,1,0)*AH75*AU75</f>
        <v>#VALUE!</v>
      </c>
      <c r="R75" s="501"/>
      <c r="S75" s="365" t="e">
        <f aca="false">xSPRDOPT(I75,H75,AQ75,AT75,O75,N75,P75,D75-$G$5,1,2)*AF75*(F75/(1-AR75))*AH75</f>
        <v>#VALUE!</v>
      </c>
      <c r="T75" s="365" t="e">
        <f aca="false">xSPRDOPT(I75,H75,AQ75,AT75,O75,N75,P75,D75-$G$5,1,1)*AF75*F75*AH75</f>
        <v>#VALUE!</v>
      </c>
      <c r="U75" s="501"/>
      <c r="V75" s="503" t="e">
        <f aca="false">VLOOKUP($AG75,$AL$4:$AS$15,8)*AH75*AU75</f>
        <v>#VALUE!</v>
      </c>
      <c r="W75" s="503"/>
      <c r="X75" s="504" t="e">
        <f aca="false">((BM75*BC75)+(BL75*BB75))*AH75*F75</f>
        <v>#VALUE!</v>
      </c>
      <c r="Y75" s="504" t="e">
        <f aca="false">($F75*$AH75)*((($BG75/2)*($BC75)^2)+(($BF75/2)*($BB75)^2)+($BH75*$BC75*$BB75))</f>
        <v>#VALUE!</v>
      </c>
      <c r="Z75" s="504" t="e">
        <f aca="false">($BI75*$F75*$AH75*($G$5-$BV$5))/365.25</f>
        <v>#VALUE!</v>
      </c>
      <c r="AA75" s="504" t="e">
        <f aca="false">(($BK75*$BE75)+($BJ75*$BD75))*$F75*$AH75*$AF75</f>
        <v>#VALUE!</v>
      </c>
      <c r="AB75" s="504" t="e">
        <f aca="false">BN75*(AT75-CA75)*F75*AH75</f>
        <v>#VALUE!</v>
      </c>
      <c r="AC75" s="504" t="e">
        <f aca="false">BO75*CB75*F75*AH75*CA75*($G$5-$BV$5)/365.25</f>
        <v>#NAME?</v>
      </c>
      <c r="AF75" s="378" t="e">
        <f aca="false">IF(AND(D75&gt;=$G$7,D75&lt;=$G$8),1,0)</f>
        <v>#VALUE!</v>
      </c>
      <c r="AG75" s="378" t="e">
        <f aca="false">MONTH(D75)</f>
        <v>#VALUE!</v>
      </c>
      <c r="AH75" s="378" t="e">
        <f aca="false">(EOMONTH(D75,0)-EOMONTH(D75-DAY(D75),0))*AF75</f>
        <v>#VALUE!</v>
      </c>
      <c r="AI75" s="378" t="e">
        <f aca="false">AI74+AH74</f>
        <v>#VALUE!</v>
      </c>
      <c r="AJ75" s="378" t="e">
        <f aca="false">D75-$BV$5</f>
        <v>#VALUE!</v>
      </c>
      <c r="AL75" s="369" t="e">
        <f aca="false">VLOOKUP($D75,CurveTbl,$AK$4)</f>
        <v>#VALUE!</v>
      </c>
      <c r="AM75" s="505" t="e">
        <f aca="false">VLOOKUP($D75,CurveTbl,$AH$3)</f>
        <v>#VALUE!</v>
      </c>
      <c r="AN75" s="505" t="e">
        <f aca="false">VLOOKUP($D75,CurveTbl,$AH$4)+VLOOKUP($AG75,$AL$3:$AS$15,6)</f>
        <v>#VALUE!</v>
      </c>
      <c r="AO75" s="505" t="e">
        <f aca="false">VLOOKUP($D75,CurveTbl,$AH$5)</f>
        <v>#VALUE!</v>
      </c>
      <c r="AP75" s="505" t="e">
        <f aca="false">VLOOKUP($D75,CurveTbl,$AH$6)+VLOOKUP($AG75,$AL$3:$AS$15,7)</f>
        <v>#VALUE!</v>
      </c>
      <c r="AQ75" s="369" t="e">
        <f aca="false">VLOOKUP($AG75,$AL$4:$AS$15,3)+VLOOKUP($AG75,$AL$4:$AS$15,5)+($AH$10*VLOOKUP(D75,GRITable,2))</f>
        <v>#VALUE!</v>
      </c>
      <c r="AR75" s="370" t="e">
        <f aca="false">VLOOKUP($AG75,$AL$4:$AS$15,4)</f>
        <v>#VALUE!</v>
      </c>
      <c r="AS75" s="369" t="e">
        <f aca="false">(AL75+AM75+AN75)</f>
        <v>#VALUE!</v>
      </c>
      <c r="AT75" s="370" t="e">
        <f aca="false">VLOOKUP(D75,CurveTbl,$AK$6)</f>
        <v>#VALUE!</v>
      </c>
      <c r="AU75" s="370" t="e">
        <f aca="false">(1+$AT75/2)^(-2*($D75-$G$5)/365.25)*$AF75</f>
        <v>#VALUE!</v>
      </c>
      <c r="AV75" s="506" t="e">
        <f aca="false">ROUND((F75/(1-AR75))-F75,0)*AF75*AH75*AU75</f>
        <v>#VALUE!</v>
      </c>
      <c r="AW75" s="370" t="e">
        <f aca="false">VLOOKUP($D75,CurveTbl,$AK$8)</f>
        <v>#VALUE!</v>
      </c>
      <c r="AX75" s="370" t="e">
        <f aca="false">VLOOKUP($D75,CurveTbl,$AH$7)</f>
        <v>#VALUE!</v>
      </c>
      <c r="AY75" s="370" t="e">
        <f aca="false">VLOOKUP($D75,CurveTbl,$AH$8)</f>
        <v>#VALUE!</v>
      </c>
      <c r="AZ75" s="370"/>
      <c r="BA75" s="507"/>
      <c r="BB75" s="505" t="e">
        <f aca="false">$H75-$BV75</f>
        <v>#VALUE!</v>
      </c>
      <c r="BC75" s="505" t="e">
        <f aca="false">I75-BW75</f>
        <v>#VALUE!</v>
      </c>
      <c r="BD75" s="370" t="e">
        <f aca="false">N75-BX75</f>
        <v>#VALUE!</v>
      </c>
      <c r="BE75" s="370" t="e">
        <f aca="false">O75-BY75</f>
        <v>#VALUE!</v>
      </c>
      <c r="BF75" s="370" t="e">
        <f aca="false">xSPRDOPT($BW75,$BV75,$CG75,0,$BY75,$BX75,$BZ75,$AJ75,1,4)*$CB75</f>
        <v>#NAME?</v>
      </c>
      <c r="BG75" s="370" t="e">
        <f aca="false">xSPRDOPT($BW75,$BV75,$CG75,0,$BY75,$BX75,$BZ75,$AJ75,1,3)*$CB75</f>
        <v>#NAME?</v>
      </c>
      <c r="BH75" s="370" t="e">
        <f aca="false">IF(OR(BF75&lt;&gt;0,BG75&lt;&gt;0),xSPRDOPT($BW75,$BV75,$CG75,0,$BY75,$BX75,$BZ75,$AJ75,1,12)*$CB75,0)</f>
        <v>#NAME?</v>
      </c>
      <c r="BI75" s="370" t="e">
        <f aca="false">xSPRDOPT($BW75,$BV75,$CG75,2*LN(1+CA75/2),$BY75,$BX75,$BZ75,$AJ75,1,9)</f>
        <v>#NAME?</v>
      </c>
      <c r="BJ75" s="370" t="e">
        <f aca="false">xSPRDOPT($BW75,$BV75,$CG75,0,$BY75,$BX75,$BZ75,$AJ75,1,6)*$CB75</f>
        <v>#NAME?</v>
      </c>
      <c r="BK75" s="370" t="e">
        <f aca="false">xSPRDOPT($BW75,$BV75,$CG75,0,$BY75,$BX75,$BZ75,$AJ75,1,5)*$CB75</f>
        <v>#NAME?</v>
      </c>
      <c r="BL75" s="370" t="e">
        <f aca="false">xSPRDOPT(BW75,BV75,CG75,0,BY75,BX75,BZ75,AJ75,1,2)*CB75</f>
        <v>#NAME?</v>
      </c>
      <c r="BM75" s="370" t="e">
        <f aca="false">xSPRDOPT(BW75,BV75,CG75,0,BY75,BX75,BZ75,AJ75,1,1)*CB75</f>
        <v>#NAME?</v>
      </c>
      <c r="BN75" s="370" t="e">
        <f aca="false">IF(AH75&lt;&gt;0,xSPRDOPT($BW75,$BV75,$CG75,2*LN(1+CA75/2),$BY75,$BX75,$BZ75,$AJ75,1,8)+(AJ75/365.25)*CH75/AH75,0)</f>
        <v>#VALUE!</v>
      </c>
      <c r="BO75" s="370" t="e">
        <f aca="false">xSPRDOPT($BW75,$BV75,$CG75,0,$BY75,$BX75,$BZ75,$AJ75,1,0)</f>
        <v>#NAME?</v>
      </c>
      <c r="BP75" s="370"/>
      <c r="BQ75" s="370"/>
      <c r="BR75" s="370"/>
      <c r="BS75" s="370"/>
      <c r="BV75" s="508" t="n">
        <v>3.44578313253012</v>
      </c>
      <c r="BW75" s="369" t="n">
        <v>3.467</v>
      </c>
      <c r="BX75" s="370" t="n">
        <v>0.37</v>
      </c>
      <c r="BY75" s="370" t="n">
        <v>0.37</v>
      </c>
      <c r="BZ75" s="370" t="n">
        <v>0</v>
      </c>
      <c r="CA75" s="370" t="n">
        <v>0.0348361539671314</v>
      </c>
      <c r="CB75" s="370" t="n">
        <v>0</v>
      </c>
      <c r="CC75" s="505" t="n">
        <v>0</v>
      </c>
      <c r="CD75" s="505" t="n">
        <v>0.03</v>
      </c>
      <c r="CE75" s="505" t="n">
        <v>0.065</v>
      </c>
      <c r="CF75" s="505" t="n">
        <v>0</v>
      </c>
      <c r="CG75" s="505" t="n">
        <v>0.0006</v>
      </c>
      <c r="CH75" s="505" t="n">
        <v>0</v>
      </c>
      <c r="CI75" s="505" t="n">
        <v>3.402</v>
      </c>
      <c r="CJ75" s="505"/>
      <c r="CK75" s="505"/>
      <c r="CL75" s="505"/>
      <c r="CM75" s="505"/>
    </row>
    <row r="76" customFormat="false" ht="12.75" hidden="false" customHeight="false" outlineLevel="0" collapsed="false">
      <c r="A76" s="500"/>
      <c r="B76" s="500"/>
      <c r="D76" s="361" t="e">
        <f aca="false">D75+AH75</f>
        <v>#VALUE!</v>
      </c>
      <c r="F76" s="362" t="e">
        <f aca="false">VLOOKUP(AG76,$AL$4:$AS$15,2)</f>
        <v>#VALUE!</v>
      </c>
      <c r="G76" s="362" t="e">
        <f aca="false">F76*$AU76</f>
        <v>#VALUE!</v>
      </c>
      <c r="H76" s="363" t="e">
        <f aca="false">(AL76+AM76+AN76)/(1-(AR76))</f>
        <v>#VALUE!</v>
      </c>
      <c r="I76" s="363" t="e">
        <f aca="false">(AL76+AO76+AP76)</f>
        <v>#VALUE!</v>
      </c>
      <c r="K76" s="363" t="e">
        <f aca="false">MAX(((I76-H76)-AQ76)*AU76*AH76,0)</f>
        <v>#VALUE!</v>
      </c>
      <c r="L76" s="501" t="e">
        <f aca="false">MAX(Q76-K76,0)</f>
        <v>#VALUE!</v>
      </c>
      <c r="N76" s="502" t="e">
        <f aca="false">SQRT(($AX76^2*($AH76/2)+$AW76^2*$AI76)/(($AH76/2)+$AI76))</f>
        <v>#VALUE!</v>
      </c>
      <c r="O76" s="502" t="e">
        <f aca="false">SQRT(($AY76^2*($AH76/2)+$AW76^2*$AI76)/(($AH76/2)+$AI76))</f>
        <v>#VALUE!</v>
      </c>
      <c r="P76" s="371" t="e">
        <f aca="false">(VLOOKUP(AI76,CorrelationTwo,2)*(AW76^2)*AI76+VLOOKUP(D76,CorrelationOne,$AK$9)*AX76*AY76*(AH76/2))/((AI76+(AH76/2))*O76*N76)*AF76</f>
        <v>#VALUE!</v>
      </c>
      <c r="Q76" s="501" t="e">
        <f aca="false">xSPRDOPT(I76,H76,AQ76,0,O76,N76,P76,D76-$G$5,1,0)*AH76*AU76</f>
        <v>#VALUE!</v>
      </c>
      <c r="R76" s="501"/>
      <c r="S76" s="365" t="e">
        <f aca="false">xSPRDOPT(I76,H76,AQ76,AT76,O76,N76,P76,D76-$G$5,1,2)*AF76*(F76/(1-AR76))*AH76</f>
        <v>#VALUE!</v>
      </c>
      <c r="T76" s="365" t="e">
        <f aca="false">xSPRDOPT(I76,H76,AQ76,AT76,O76,N76,P76,D76-$G$5,1,1)*AF76*F76*AH76</f>
        <v>#VALUE!</v>
      </c>
      <c r="U76" s="501"/>
      <c r="V76" s="503" t="e">
        <f aca="false">VLOOKUP($AG76,$AL$4:$AS$15,8)*AH76*AU76</f>
        <v>#VALUE!</v>
      </c>
      <c r="W76" s="503"/>
      <c r="X76" s="504" t="e">
        <f aca="false">((BM76*BC76)+(BL76*BB76))*AH76*F76</f>
        <v>#VALUE!</v>
      </c>
      <c r="Y76" s="504" t="e">
        <f aca="false">($F76*$AH76)*((($BG76/2)*($BC76)^2)+(($BF76/2)*($BB76)^2)+($BH76*$BC76*$BB76))</f>
        <v>#VALUE!</v>
      </c>
      <c r="Z76" s="504" t="e">
        <f aca="false">($BI76*$F76*$AH76*($G$5-$BV$5))/365.25</f>
        <v>#VALUE!</v>
      </c>
      <c r="AA76" s="504" t="e">
        <f aca="false">(($BK76*$BE76)+($BJ76*$BD76))*$F76*$AH76*$AF76</f>
        <v>#VALUE!</v>
      </c>
      <c r="AB76" s="504" t="e">
        <f aca="false">BN76*(AT76-CA76)*F76*AH76</f>
        <v>#VALUE!</v>
      </c>
      <c r="AC76" s="504" t="e">
        <f aca="false">BO76*CB76*F76*AH76*CA76*($G$5-$BV$5)/365.25</f>
        <v>#NAME?</v>
      </c>
      <c r="AF76" s="378" t="e">
        <f aca="false">IF(AND(D76&gt;=$G$7,D76&lt;=$G$8),1,0)</f>
        <v>#VALUE!</v>
      </c>
      <c r="AG76" s="378" t="e">
        <f aca="false">MONTH(D76)</f>
        <v>#VALUE!</v>
      </c>
      <c r="AH76" s="378" t="e">
        <f aca="false">(EOMONTH(D76,0)-EOMONTH(D76-DAY(D76),0))*AF76</f>
        <v>#VALUE!</v>
      </c>
      <c r="AI76" s="378" t="e">
        <f aca="false">AI75+AH75</f>
        <v>#VALUE!</v>
      </c>
      <c r="AJ76" s="378" t="e">
        <f aca="false">D76-$BV$5</f>
        <v>#VALUE!</v>
      </c>
      <c r="AL76" s="369" t="e">
        <f aca="false">VLOOKUP($D76,CurveTbl,$AK$4)</f>
        <v>#VALUE!</v>
      </c>
      <c r="AM76" s="505" t="e">
        <f aca="false">VLOOKUP($D76,CurveTbl,$AH$3)</f>
        <v>#VALUE!</v>
      </c>
      <c r="AN76" s="505" t="e">
        <f aca="false">VLOOKUP($D76,CurveTbl,$AH$4)+VLOOKUP($AG76,$AL$3:$AS$15,6)</f>
        <v>#VALUE!</v>
      </c>
      <c r="AO76" s="505" t="e">
        <f aca="false">VLOOKUP($D76,CurveTbl,$AH$5)</f>
        <v>#VALUE!</v>
      </c>
      <c r="AP76" s="505" t="e">
        <f aca="false">VLOOKUP($D76,CurveTbl,$AH$6)+VLOOKUP($AG76,$AL$3:$AS$15,7)</f>
        <v>#VALUE!</v>
      </c>
      <c r="AQ76" s="369" t="e">
        <f aca="false">VLOOKUP($AG76,$AL$4:$AS$15,3)+VLOOKUP($AG76,$AL$4:$AS$15,5)+($AH$10*VLOOKUP(D76,GRITable,2))</f>
        <v>#VALUE!</v>
      </c>
      <c r="AR76" s="370" t="e">
        <f aca="false">VLOOKUP($AG76,$AL$4:$AS$15,4)</f>
        <v>#VALUE!</v>
      </c>
      <c r="AS76" s="369" t="e">
        <f aca="false">(AL76+AM76+AN76)</f>
        <v>#VALUE!</v>
      </c>
      <c r="AT76" s="370" t="e">
        <f aca="false">VLOOKUP(D76,CurveTbl,$AK$6)</f>
        <v>#VALUE!</v>
      </c>
      <c r="AU76" s="370" t="e">
        <f aca="false">(1+$AT76/2)^(-2*($D76-$G$5)/365.25)*$AF76</f>
        <v>#VALUE!</v>
      </c>
      <c r="AV76" s="506" t="e">
        <f aca="false">ROUND((F76/(1-AR76))-F76,0)*AF76*AH76*AU76</f>
        <v>#VALUE!</v>
      </c>
      <c r="AW76" s="370" t="e">
        <f aca="false">VLOOKUP($D76,CurveTbl,$AK$8)</f>
        <v>#VALUE!</v>
      </c>
      <c r="AX76" s="370" t="e">
        <f aca="false">VLOOKUP($D76,CurveTbl,$AH$7)</f>
        <v>#VALUE!</v>
      </c>
      <c r="AY76" s="370" t="e">
        <f aca="false">VLOOKUP($D76,CurveTbl,$AH$8)</f>
        <v>#VALUE!</v>
      </c>
      <c r="AZ76" s="370"/>
      <c r="BA76" s="507"/>
      <c r="BB76" s="505" t="e">
        <f aca="false">$H76-$BV76</f>
        <v>#VALUE!</v>
      </c>
      <c r="BC76" s="505" t="e">
        <f aca="false">I76-BW76</f>
        <v>#VALUE!</v>
      </c>
      <c r="BD76" s="370" t="e">
        <f aca="false">N76-BX76</f>
        <v>#VALUE!</v>
      </c>
      <c r="BE76" s="370" t="e">
        <f aca="false">O76-BY76</f>
        <v>#VALUE!</v>
      </c>
      <c r="BF76" s="370" t="e">
        <f aca="false">xSPRDOPT($BW76,$BV76,$CG76,0,$BY76,$BX76,$BZ76,$AJ76,1,4)*$CB76</f>
        <v>#NAME?</v>
      </c>
      <c r="BG76" s="370" t="e">
        <f aca="false">xSPRDOPT($BW76,$BV76,$CG76,0,$BY76,$BX76,$BZ76,$AJ76,1,3)*$CB76</f>
        <v>#NAME?</v>
      </c>
      <c r="BH76" s="370" t="e">
        <f aca="false">IF(OR(BF76&lt;&gt;0,BG76&lt;&gt;0),xSPRDOPT($BW76,$BV76,$CG76,0,$BY76,$BX76,$BZ76,$AJ76,1,12)*$CB76,0)</f>
        <v>#NAME?</v>
      </c>
      <c r="BI76" s="370" t="e">
        <f aca="false">xSPRDOPT($BW76,$BV76,$CG76,2*LN(1+CA76/2),$BY76,$BX76,$BZ76,$AJ76,1,9)</f>
        <v>#NAME?</v>
      </c>
      <c r="BJ76" s="370" t="e">
        <f aca="false">xSPRDOPT($BW76,$BV76,$CG76,0,$BY76,$BX76,$BZ76,$AJ76,1,6)*$CB76</f>
        <v>#NAME?</v>
      </c>
      <c r="BK76" s="370" t="e">
        <f aca="false">xSPRDOPT($BW76,$BV76,$CG76,0,$BY76,$BX76,$BZ76,$AJ76,1,5)*$CB76</f>
        <v>#NAME?</v>
      </c>
      <c r="BL76" s="370" t="e">
        <f aca="false">xSPRDOPT(BW76,BV76,CG76,0,BY76,BX76,BZ76,AJ76,1,2)*CB76</f>
        <v>#NAME?</v>
      </c>
      <c r="BM76" s="370" t="e">
        <f aca="false">xSPRDOPT(BW76,BV76,CG76,0,BY76,BX76,BZ76,AJ76,1,1)*CB76</f>
        <v>#NAME?</v>
      </c>
      <c r="BN76" s="370" t="e">
        <f aca="false">IF(AH76&lt;&gt;0,xSPRDOPT($BW76,$BV76,$CG76,2*LN(1+CA76/2),$BY76,$BX76,$BZ76,$AJ76,1,8)+(AJ76/365.25)*CH76/AH76,0)</f>
        <v>#VALUE!</v>
      </c>
      <c r="BO76" s="370" t="e">
        <f aca="false">xSPRDOPT($BW76,$BV76,$CG76,0,$BY76,$BX76,$BZ76,$AJ76,1,0)</f>
        <v>#NAME?</v>
      </c>
      <c r="BP76" s="370"/>
      <c r="BQ76" s="370"/>
      <c r="BR76" s="370"/>
      <c r="BS76" s="370"/>
      <c r="BV76" s="508" t="n">
        <v>3.44578313253012</v>
      </c>
      <c r="BW76" s="369" t="n">
        <v>3.467</v>
      </c>
      <c r="BX76" s="370" t="n">
        <v>0.37</v>
      </c>
      <c r="BY76" s="370" t="n">
        <v>0.37</v>
      </c>
      <c r="BZ76" s="370" t="n">
        <v>0</v>
      </c>
      <c r="CA76" s="370" t="n">
        <v>0.0348361539671314</v>
      </c>
      <c r="CB76" s="370" t="n">
        <v>0</v>
      </c>
      <c r="CC76" s="505" t="n">
        <v>0</v>
      </c>
      <c r="CD76" s="505" t="n">
        <v>0.03</v>
      </c>
      <c r="CE76" s="505" t="n">
        <v>0.065</v>
      </c>
      <c r="CF76" s="505" t="n">
        <v>0</v>
      </c>
      <c r="CG76" s="505" t="n">
        <v>0.0006</v>
      </c>
      <c r="CH76" s="505" t="n">
        <v>0</v>
      </c>
      <c r="CI76" s="505" t="n">
        <v>3.402</v>
      </c>
      <c r="CJ76" s="505"/>
      <c r="CK76" s="505"/>
      <c r="CL76" s="505"/>
      <c r="CM76" s="505"/>
    </row>
    <row r="77" customFormat="false" ht="12.75" hidden="false" customHeight="false" outlineLevel="0" collapsed="false">
      <c r="A77" s="500"/>
      <c r="B77" s="500"/>
      <c r="D77" s="361" t="e">
        <f aca="false">D76+AH76</f>
        <v>#VALUE!</v>
      </c>
      <c r="F77" s="362" t="e">
        <f aca="false">VLOOKUP(AG77,$AL$4:$AS$15,2)</f>
        <v>#VALUE!</v>
      </c>
      <c r="G77" s="362" t="e">
        <f aca="false">F77*$AU77</f>
        <v>#VALUE!</v>
      </c>
      <c r="H77" s="363" t="e">
        <f aca="false">(AL77+AM77+AN77)/(1-(AR77))</f>
        <v>#VALUE!</v>
      </c>
      <c r="I77" s="363" t="e">
        <f aca="false">(AL77+AO77+AP77)</f>
        <v>#VALUE!</v>
      </c>
      <c r="K77" s="363" t="e">
        <f aca="false">MAX(((I77-H77)-AQ77)*AU77*AH77,0)</f>
        <v>#VALUE!</v>
      </c>
      <c r="L77" s="501" t="e">
        <f aca="false">MAX(Q77-K77,0)</f>
        <v>#VALUE!</v>
      </c>
      <c r="N77" s="502" t="e">
        <f aca="false">SQRT(($AX77^2*($AH77/2)+$AW77^2*$AI77)/(($AH77/2)+$AI77))</f>
        <v>#VALUE!</v>
      </c>
      <c r="O77" s="502" t="e">
        <f aca="false">SQRT(($AY77^2*($AH77/2)+$AW77^2*$AI77)/(($AH77/2)+$AI77))</f>
        <v>#VALUE!</v>
      </c>
      <c r="P77" s="371" t="e">
        <f aca="false">(VLOOKUP(AI77,CorrelationTwo,2)*(AW77^2)*AI77+VLOOKUP(D77,CorrelationOne,$AK$9)*AX77*AY77*(AH77/2))/((AI77+(AH77/2))*O77*N77)*AF77</f>
        <v>#VALUE!</v>
      </c>
      <c r="Q77" s="501" t="e">
        <f aca="false">xSPRDOPT(I77,H77,AQ77,0,O77,N77,P77,D77-$G$5,1,0)*AH77*AU77</f>
        <v>#VALUE!</v>
      </c>
      <c r="R77" s="501"/>
      <c r="S77" s="365" t="e">
        <f aca="false">xSPRDOPT(I77,H77,AQ77,AT77,O77,N77,P77,D77-$G$5,1,2)*AF77*(F77/(1-AR77))*AH77</f>
        <v>#VALUE!</v>
      </c>
      <c r="T77" s="365" t="e">
        <f aca="false">xSPRDOPT(I77,H77,AQ77,AT77,O77,N77,P77,D77-$G$5,1,1)*AF77*F77*AH77</f>
        <v>#VALUE!</v>
      </c>
      <c r="U77" s="501"/>
      <c r="V77" s="503" t="e">
        <f aca="false">VLOOKUP($AG77,$AL$4:$AS$15,8)*AH77*AU77</f>
        <v>#VALUE!</v>
      </c>
      <c r="W77" s="503"/>
      <c r="X77" s="504" t="e">
        <f aca="false">((BM77*BC77)+(BL77*BB77))*AH77*F77</f>
        <v>#VALUE!</v>
      </c>
      <c r="Y77" s="504" t="e">
        <f aca="false">($F77*$AH77)*((($BG77/2)*($BC77)^2)+(($BF77/2)*($BB77)^2)+($BH77*$BC77*$BB77))</f>
        <v>#VALUE!</v>
      </c>
      <c r="Z77" s="504" t="e">
        <f aca="false">($BI77*$F77*$AH77*($G$5-$BV$5))/365.25</f>
        <v>#VALUE!</v>
      </c>
      <c r="AA77" s="504" t="e">
        <f aca="false">(($BK77*$BE77)+($BJ77*$BD77))*$F77*$AH77*$AF77</f>
        <v>#VALUE!</v>
      </c>
      <c r="AB77" s="504" t="e">
        <f aca="false">BN77*(AT77-CA77)*F77*AH77</f>
        <v>#VALUE!</v>
      </c>
      <c r="AC77" s="504" t="e">
        <f aca="false">BO77*CB77*F77*AH77*CA77*($G$5-$BV$5)/365.25</f>
        <v>#NAME?</v>
      </c>
      <c r="AF77" s="378" t="e">
        <f aca="false">IF(AND(D77&gt;=$G$7,D77&lt;=$G$8),1,0)</f>
        <v>#VALUE!</v>
      </c>
      <c r="AG77" s="378" t="e">
        <f aca="false">MONTH(D77)</f>
        <v>#VALUE!</v>
      </c>
      <c r="AH77" s="378" t="e">
        <f aca="false">(EOMONTH(D77,0)-EOMONTH(D77-DAY(D77),0))*AF77</f>
        <v>#VALUE!</v>
      </c>
      <c r="AI77" s="378" t="e">
        <f aca="false">AI76+AH76</f>
        <v>#VALUE!</v>
      </c>
      <c r="AJ77" s="378" t="e">
        <f aca="false">D77-$BV$5</f>
        <v>#VALUE!</v>
      </c>
      <c r="AL77" s="369" t="e">
        <f aca="false">VLOOKUP($D77,CurveTbl,$AK$4)</f>
        <v>#VALUE!</v>
      </c>
      <c r="AM77" s="505" t="e">
        <f aca="false">VLOOKUP($D77,CurveTbl,$AH$3)</f>
        <v>#VALUE!</v>
      </c>
      <c r="AN77" s="505" t="e">
        <f aca="false">VLOOKUP($D77,CurveTbl,$AH$4)+VLOOKUP($AG77,$AL$3:$AS$15,6)</f>
        <v>#VALUE!</v>
      </c>
      <c r="AO77" s="505" t="e">
        <f aca="false">VLOOKUP($D77,CurveTbl,$AH$5)</f>
        <v>#VALUE!</v>
      </c>
      <c r="AP77" s="505" t="e">
        <f aca="false">VLOOKUP($D77,CurveTbl,$AH$6)+VLOOKUP($AG77,$AL$3:$AS$15,7)</f>
        <v>#VALUE!</v>
      </c>
      <c r="AQ77" s="369" t="e">
        <f aca="false">VLOOKUP($AG77,$AL$4:$AS$15,3)+VLOOKUP($AG77,$AL$4:$AS$15,5)+($AH$10*VLOOKUP(D77,GRITable,2))</f>
        <v>#VALUE!</v>
      </c>
      <c r="AR77" s="370" t="e">
        <f aca="false">VLOOKUP($AG77,$AL$4:$AS$15,4)</f>
        <v>#VALUE!</v>
      </c>
      <c r="AS77" s="369" t="e">
        <f aca="false">(AL77+AM77+AN77)</f>
        <v>#VALUE!</v>
      </c>
      <c r="AT77" s="370" t="e">
        <f aca="false">VLOOKUP(D77,CurveTbl,$AK$6)</f>
        <v>#VALUE!</v>
      </c>
      <c r="AU77" s="370" t="e">
        <f aca="false">(1+$AT77/2)^(-2*($D77-$G$5)/365.25)*$AF77</f>
        <v>#VALUE!</v>
      </c>
      <c r="AV77" s="506" t="e">
        <f aca="false">ROUND((F77/(1-AR77))-F77,0)*AF77*AH77*AU77</f>
        <v>#VALUE!</v>
      </c>
      <c r="AW77" s="370" t="e">
        <f aca="false">VLOOKUP($D77,CurveTbl,$AK$8)</f>
        <v>#VALUE!</v>
      </c>
      <c r="AX77" s="370" t="e">
        <f aca="false">VLOOKUP($D77,CurveTbl,$AH$7)</f>
        <v>#VALUE!</v>
      </c>
      <c r="AY77" s="370" t="e">
        <f aca="false">VLOOKUP($D77,CurveTbl,$AH$8)</f>
        <v>#VALUE!</v>
      </c>
      <c r="AZ77" s="370"/>
      <c r="BA77" s="507"/>
      <c r="BB77" s="505" t="e">
        <f aca="false">$H77-$BV77</f>
        <v>#VALUE!</v>
      </c>
      <c r="BC77" s="505" t="e">
        <f aca="false">I77-BW77</f>
        <v>#VALUE!</v>
      </c>
      <c r="BD77" s="370" t="e">
        <f aca="false">N77-BX77</f>
        <v>#VALUE!</v>
      </c>
      <c r="BE77" s="370" t="e">
        <f aca="false">O77-BY77</f>
        <v>#VALUE!</v>
      </c>
      <c r="BF77" s="370" t="e">
        <f aca="false">xSPRDOPT($BW77,$BV77,$CG77,0,$BY77,$BX77,$BZ77,$AJ77,1,4)*$CB77</f>
        <v>#NAME?</v>
      </c>
      <c r="BG77" s="370" t="e">
        <f aca="false">xSPRDOPT($BW77,$BV77,$CG77,0,$BY77,$BX77,$BZ77,$AJ77,1,3)*$CB77</f>
        <v>#NAME?</v>
      </c>
      <c r="BH77" s="370" t="e">
        <f aca="false">IF(OR(BF77&lt;&gt;0,BG77&lt;&gt;0),xSPRDOPT($BW77,$BV77,$CG77,0,$BY77,$BX77,$BZ77,$AJ77,1,12)*$CB77,0)</f>
        <v>#NAME?</v>
      </c>
      <c r="BI77" s="370" t="e">
        <f aca="false">xSPRDOPT($BW77,$BV77,$CG77,2*LN(1+CA77/2),$BY77,$BX77,$BZ77,$AJ77,1,9)</f>
        <v>#NAME?</v>
      </c>
      <c r="BJ77" s="370" t="e">
        <f aca="false">xSPRDOPT($BW77,$BV77,$CG77,0,$BY77,$BX77,$BZ77,$AJ77,1,6)*$CB77</f>
        <v>#NAME?</v>
      </c>
      <c r="BK77" s="370" t="e">
        <f aca="false">xSPRDOPT($BW77,$BV77,$CG77,0,$BY77,$BX77,$BZ77,$AJ77,1,5)*$CB77</f>
        <v>#NAME?</v>
      </c>
      <c r="BL77" s="370" t="e">
        <f aca="false">xSPRDOPT(BW77,BV77,CG77,0,BY77,BX77,BZ77,AJ77,1,2)*CB77</f>
        <v>#NAME?</v>
      </c>
      <c r="BM77" s="370" t="e">
        <f aca="false">xSPRDOPT(BW77,BV77,CG77,0,BY77,BX77,BZ77,AJ77,1,1)*CB77</f>
        <v>#NAME?</v>
      </c>
      <c r="BN77" s="370" t="e">
        <f aca="false">IF(AH77&lt;&gt;0,xSPRDOPT($BW77,$BV77,$CG77,2*LN(1+CA77/2),$BY77,$BX77,$BZ77,$AJ77,1,8)+(AJ77/365.25)*CH77/AH77,0)</f>
        <v>#VALUE!</v>
      </c>
      <c r="BO77" s="370" t="e">
        <f aca="false">xSPRDOPT($BW77,$BV77,$CG77,0,$BY77,$BX77,$BZ77,$AJ77,1,0)</f>
        <v>#NAME?</v>
      </c>
      <c r="BP77" s="370"/>
      <c r="BQ77" s="370"/>
      <c r="BR77" s="370"/>
      <c r="BS77" s="370"/>
      <c r="BV77" s="508" t="n">
        <v>3.44578313253012</v>
      </c>
      <c r="BW77" s="369" t="n">
        <v>3.467</v>
      </c>
      <c r="BX77" s="370" t="n">
        <v>0.37</v>
      </c>
      <c r="BY77" s="370" t="n">
        <v>0.37</v>
      </c>
      <c r="BZ77" s="370" t="n">
        <v>0</v>
      </c>
      <c r="CA77" s="370" t="n">
        <v>0.0348361539671314</v>
      </c>
      <c r="CB77" s="370" t="n">
        <v>0</v>
      </c>
      <c r="CC77" s="505" t="n">
        <v>0</v>
      </c>
      <c r="CD77" s="505" t="n">
        <v>0.03</v>
      </c>
      <c r="CE77" s="505" t="n">
        <v>0.065</v>
      </c>
      <c r="CF77" s="505" t="n">
        <v>0</v>
      </c>
      <c r="CG77" s="505" t="n">
        <v>0.0006</v>
      </c>
      <c r="CH77" s="505" t="n">
        <v>0</v>
      </c>
      <c r="CI77" s="505" t="n">
        <v>3.402</v>
      </c>
      <c r="CJ77" s="505"/>
      <c r="CK77" s="505"/>
      <c r="CL77" s="505"/>
      <c r="CM77" s="505"/>
    </row>
    <row r="78" customFormat="false" ht="12.75" hidden="false" customHeight="false" outlineLevel="0" collapsed="false">
      <c r="A78" s="500"/>
      <c r="B78" s="500"/>
      <c r="D78" s="361" t="e">
        <f aca="false">D77+AH77</f>
        <v>#VALUE!</v>
      </c>
      <c r="F78" s="362" t="e">
        <f aca="false">VLOOKUP(AG78,$AL$4:$AS$15,2)</f>
        <v>#VALUE!</v>
      </c>
      <c r="G78" s="362" t="e">
        <f aca="false">F78*$AU78</f>
        <v>#VALUE!</v>
      </c>
      <c r="H78" s="363" t="e">
        <f aca="false">(AL78+AM78+AN78)/(1-(AR78))</f>
        <v>#VALUE!</v>
      </c>
      <c r="I78" s="363" t="e">
        <f aca="false">(AL78+AO78+AP78)</f>
        <v>#VALUE!</v>
      </c>
      <c r="K78" s="363" t="e">
        <f aca="false">MAX(((I78-H78)-AQ78)*AU78*AH78,0)</f>
        <v>#VALUE!</v>
      </c>
      <c r="L78" s="501" t="e">
        <f aca="false">MAX(Q78-K78,0)</f>
        <v>#VALUE!</v>
      </c>
      <c r="N78" s="502" t="e">
        <f aca="false">SQRT(($AX78^2*($AH78/2)+$AW78^2*$AI78)/(($AH78/2)+$AI78))</f>
        <v>#VALUE!</v>
      </c>
      <c r="O78" s="502" t="e">
        <f aca="false">SQRT(($AY78^2*($AH78/2)+$AW78^2*$AI78)/(($AH78/2)+$AI78))</f>
        <v>#VALUE!</v>
      </c>
      <c r="P78" s="371" t="e">
        <f aca="false">(VLOOKUP(AI78,CorrelationTwo,2)*(AW78^2)*AI78+VLOOKUP(D78,CorrelationOne,$AK$9)*AX78*AY78*(AH78/2))/((AI78+(AH78/2))*O78*N78)*AF78</f>
        <v>#VALUE!</v>
      </c>
      <c r="Q78" s="501" t="e">
        <f aca="false">xSPRDOPT(I78,H78,AQ78,0,O78,N78,P78,D78-$G$5,1,0)*AH78*AU78</f>
        <v>#VALUE!</v>
      </c>
      <c r="R78" s="501"/>
      <c r="S78" s="365" t="e">
        <f aca="false">xSPRDOPT(I78,H78,AQ78,AT78,O78,N78,P78,D78-$G$5,1,2)*AF78*(F78/(1-AR78))*AH78</f>
        <v>#VALUE!</v>
      </c>
      <c r="T78" s="365" t="e">
        <f aca="false">xSPRDOPT(I78,H78,AQ78,AT78,O78,N78,P78,D78-$G$5,1,1)*AF78*F78*AH78</f>
        <v>#VALUE!</v>
      </c>
      <c r="U78" s="501"/>
      <c r="V78" s="503" t="e">
        <f aca="false">VLOOKUP($AG78,$AL$4:$AS$15,8)*AH78*AU78</f>
        <v>#VALUE!</v>
      </c>
      <c r="W78" s="503"/>
      <c r="X78" s="504" t="e">
        <f aca="false">((BM78*BC78)+(BL78*BB78))*AH78*F78</f>
        <v>#VALUE!</v>
      </c>
      <c r="Y78" s="504" t="e">
        <f aca="false">($F78*$AH78)*((($BG78/2)*($BC78)^2)+(($BF78/2)*($BB78)^2)+($BH78*$BC78*$BB78))</f>
        <v>#VALUE!</v>
      </c>
      <c r="Z78" s="504" t="e">
        <f aca="false">($BI78*$F78*$AH78*($G$5-$BV$5))/365.25</f>
        <v>#VALUE!</v>
      </c>
      <c r="AA78" s="504" t="e">
        <f aca="false">(($BK78*$BE78)+($BJ78*$BD78))*$F78*$AH78*$AF78</f>
        <v>#VALUE!</v>
      </c>
      <c r="AB78" s="504" t="e">
        <f aca="false">BN78*(AT78-CA78)*F78*AH78</f>
        <v>#VALUE!</v>
      </c>
      <c r="AC78" s="504" t="e">
        <f aca="false">BO78*CB78*F78*AH78*CA78*($G$5-$BV$5)/365.25</f>
        <v>#NAME?</v>
      </c>
      <c r="AF78" s="378" t="e">
        <f aca="false">IF(AND(D78&gt;=$G$7,D78&lt;=$G$8),1,0)</f>
        <v>#VALUE!</v>
      </c>
      <c r="AG78" s="378" t="e">
        <f aca="false">MONTH(D78)</f>
        <v>#VALUE!</v>
      </c>
      <c r="AH78" s="378" t="e">
        <f aca="false">(EOMONTH(D78,0)-EOMONTH(D78-DAY(D78),0))*AF78</f>
        <v>#VALUE!</v>
      </c>
      <c r="AI78" s="378" t="e">
        <f aca="false">AI77+AH77</f>
        <v>#VALUE!</v>
      </c>
      <c r="AJ78" s="378" t="e">
        <f aca="false">D78-$BV$5</f>
        <v>#VALUE!</v>
      </c>
      <c r="AL78" s="369" t="e">
        <f aca="false">VLOOKUP($D78,CurveTbl,$AK$4)</f>
        <v>#VALUE!</v>
      </c>
      <c r="AM78" s="505" t="e">
        <f aca="false">VLOOKUP($D78,CurveTbl,$AH$3)</f>
        <v>#VALUE!</v>
      </c>
      <c r="AN78" s="505" t="e">
        <f aca="false">VLOOKUP($D78,CurveTbl,$AH$4)+VLOOKUP($AG78,$AL$3:$AS$15,6)</f>
        <v>#VALUE!</v>
      </c>
      <c r="AO78" s="505" t="e">
        <f aca="false">VLOOKUP($D78,CurveTbl,$AH$5)</f>
        <v>#VALUE!</v>
      </c>
      <c r="AP78" s="505" t="e">
        <f aca="false">VLOOKUP($D78,CurveTbl,$AH$6)+VLOOKUP($AG78,$AL$3:$AS$15,7)</f>
        <v>#VALUE!</v>
      </c>
      <c r="AQ78" s="369" t="e">
        <f aca="false">VLOOKUP($AG78,$AL$4:$AS$15,3)+VLOOKUP($AG78,$AL$4:$AS$15,5)+($AH$10*VLOOKUP(D78,GRITable,2))</f>
        <v>#VALUE!</v>
      </c>
      <c r="AR78" s="370" t="e">
        <f aca="false">VLOOKUP($AG78,$AL$4:$AS$15,4)</f>
        <v>#VALUE!</v>
      </c>
      <c r="AS78" s="369" t="e">
        <f aca="false">(AL78+AM78+AN78)</f>
        <v>#VALUE!</v>
      </c>
      <c r="AT78" s="370" t="e">
        <f aca="false">VLOOKUP(D78,CurveTbl,$AK$6)</f>
        <v>#VALUE!</v>
      </c>
      <c r="AU78" s="370" t="e">
        <f aca="false">(1+$AT78/2)^(-2*($D78-$G$5)/365.25)*$AF78</f>
        <v>#VALUE!</v>
      </c>
      <c r="AV78" s="506" t="e">
        <f aca="false">ROUND((F78/(1-AR78))-F78,0)*AF78*AH78*AU78</f>
        <v>#VALUE!</v>
      </c>
      <c r="AW78" s="370" t="e">
        <f aca="false">VLOOKUP($D78,CurveTbl,$AK$8)</f>
        <v>#VALUE!</v>
      </c>
      <c r="AX78" s="370" t="e">
        <f aca="false">VLOOKUP($D78,CurveTbl,$AH$7)</f>
        <v>#VALUE!</v>
      </c>
      <c r="AY78" s="370" t="e">
        <f aca="false">VLOOKUP($D78,CurveTbl,$AH$8)</f>
        <v>#VALUE!</v>
      </c>
      <c r="AZ78" s="370"/>
      <c r="BA78" s="507"/>
      <c r="BB78" s="505" t="e">
        <f aca="false">$H78-$BV78</f>
        <v>#VALUE!</v>
      </c>
      <c r="BC78" s="505" t="e">
        <f aca="false">I78-BW78</f>
        <v>#VALUE!</v>
      </c>
      <c r="BD78" s="370" t="e">
        <f aca="false">N78-BX78</f>
        <v>#VALUE!</v>
      </c>
      <c r="BE78" s="370" t="e">
        <f aca="false">O78-BY78</f>
        <v>#VALUE!</v>
      </c>
      <c r="BF78" s="370" t="e">
        <f aca="false">xSPRDOPT($BW78,$BV78,$CG78,0,$BY78,$BX78,$BZ78,$AJ78,1,4)*$CB78</f>
        <v>#NAME?</v>
      </c>
      <c r="BG78" s="370" t="e">
        <f aca="false">xSPRDOPT($BW78,$BV78,$CG78,0,$BY78,$BX78,$BZ78,$AJ78,1,3)*$CB78</f>
        <v>#NAME?</v>
      </c>
      <c r="BH78" s="370" t="e">
        <f aca="false">IF(OR(BF78&lt;&gt;0,BG78&lt;&gt;0),xSPRDOPT($BW78,$BV78,$CG78,0,$BY78,$BX78,$BZ78,$AJ78,1,12)*$CB78,0)</f>
        <v>#NAME?</v>
      </c>
      <c r="BI78" s="370" t="e">
        <f aca="false">xSPRDOPT($BW78,$BV78,$CG78,2*LN(1+CA78/2),$BY78,$BX78,$BZ78,$AJ78,1,9)</f>
        <v>#NAME?</v>
      </c>
      <c r="BJ78" s="370" t="e">
        <f aca="false">xSPRDOPT($BW78,$BV78,$CG78,0,$BY78,$BX78,$BZ78,$AJ78,1,6)*$CB78</f>
        <v>#NAME?</v>
      </c>
      <c r="BK78" s="370" t="e">
        <f aca="false">xSPRDOPT($BW78,$BV78,$CG78,0,$BY78,$BX78,$BZ78,$AJ78,1,5)*$CB78</f>
        <v>#NAME?</v>
      </c>
      <c r="BL78" s="370" t="e">
        <f aca="false">xSPRDOPT(BW78,BV78,CG78,0,BY78,BX78,BZ78,AJ78,1,2)*CB78</f>
        <v>#NAME?</v>
      </c>
      <c r="BM78" s="370" t="e">
        <f aca="false">xSPRDOPT(BW78,BV78,CG78,0,BY78,BX78,BZ78,AJ78,1,1)*CB78</f>
        <v>#NAME?</v>
      </c>
      <c r="BN78" s="370" t="e">
        <f aca="false">IF(AH78&lt;&gt;0,xSPRDOPT($BW78,$BV78,$CG78,2*LN(1+CA78/2),$BY78,$BX78,$BZ78,$AJ78,1,8)+(AJ78/365.25)*CH78/AH78,0)</f>
        <v>#VALUE!</v>
      </c>
      <c r="BO78" s="370" t="e">
        <f aca="false">xSPRDOPT($BW78,$BV78,$CG78,0,$BY78,$BX78,$BZ78,$AJ78,1,0)</f>
        <v>#NAME?</v>
      </c>
      <c r="BP78" s="370"/>
      <c r="BQ78" s="370"/>
      <c r="BR78" s="370"/>
      <c r="BS78" s="370"/>
      <c r="BV78" s="508" t="n">
        <v>3.44578313253012</v>
      </c>
      <c r="BW78" s="369" t="n">
        <v>3.467</v>
      </c>
      <c r="BX78" s="370" t="n">
        <v>0.37</v>
      </c>
      <c r="BY78" s="370" t="n">
        <v>0.37</v>
      </c>
      <c r="BZ78" s="370" t="n">
        <v>0</v>
      </c>
      <c r="CA78" s="370" t="n">
        <v>0.0348361539671314</v>
      </c>
      <c r="CB78" s="370" t="n">
        <v>0</v>
      </c>
      <c r="CC78" s="505" t="n">
        <v>0</v>
      </c>
      <c r="CD78" s="505" t="n">
        <v>0.03</v>
      </c>
      <c r="CE78" s="505" t="n">
        <v>0.065</v>
      </c>
      <c r="CF78" s="505" t="n">
        <v>0</v>
      </c>
      <c r="CG78" s="505" t="n">
        <v>0.0006</v>
      </c>
      <c r="CH78" s="505" t="n">
        <v>0</v>
      </c>
      <c r="CI78" s="505" t="n">
        <v>3.402</v>
      </c>
      <c r="CJ78" s="505"/>
      <c r="CK78" s="505"/>
      <c r="CL78" s="505"/>
      <c r="CM78" s="505"/>
    </row>
    <row r="79" customFormat="false" ht="12.75" hidden="false" customHeight="false" outlineLevel="0" collapsed="false">
      <c r="A79" s="500"/>
      <c r="B79" s="500"/>
      <c r="D79" s="361" t="e">
        <f aca="false">D78+AH78</f>
        <v>#VALUE!</v>
      </c>
      <c r="F79" s="362" t="e">
        <f aca="false">VLOOKUP(AG79,$AL$4:$AS$15,2)</f>
        <v>#VALUE!</v>
      </c>
      <c r="G79" s="362" t="e">
        <f aca="false">F79*$AU79</f>
        <v>#VALUE!</v>
      </c>
      <c r="H79" s="363" t="e">
        <f aca="false">(AL79+AM79+AN79)/(1-(AR79))</f>
        <v>#VALUE!</v>
      </c>
      <c r="I79" s="363" t="e">
        <f aca="false">(AL79+AO79+AP79)</f>
        <v>#VALUE!</v>
      </c>
      <c r="K79" s="363" t="e">
        <f aca="false">MAX(((I79-H79)-AQ79)*AU79*AH79,0)</f>
        <v>#VALUE!</v>
      </c>
      <c r="L79" s="501" t="e">
        <f aca="false">MAX(Q79-K79,0)</f>
        <v>#VALUE!</v>
      </c>
      <c r="N79" s="502" t="e">
        <f aca="false">SQRT(($AX79^2*($AH79/2)+$AW79^2*$AI79)/(($AH79/2)+$AI79))</f>
        <v>#VALUE!</v>
      </c>
      <c r="O79" s="502" t="e">
        <f aca="false">SQRT(($AY79^2*($AH79/2)+$AW79^2*$AI79)/(($AH79/2)+$AI79))</f>
        <v>#VALUE!</v>
      </c>
      <c r="P79" s="371" t="e">
        <f aca="false">(VLOOKUP(AI79,CorrelationTwo,2)*(AW79^2)*AI79+VLOOKUP(D79,CorrelationOne,$AK$9)*AX79*AY79*(AH79/2))/((AI79+(AH79/2))*O79*N79)*AF79</f>
        <v>#VALUE!</v>
      </c>
      <c r="Q79" s="501" t="e">
        <f aca="false">xSPRDOPT(I79,H79,AQ79,0,O79,N79,P79,D79-$G$5,1,0)*AH79*AU79</f>
        <v>#VALUE!</v>
      </c>
      <c r="R79" s="501"/>
      <c r="S79" s="365" t="e">
        <f aca="false">xSPRDOPT(I79,H79,AQ79,AT79,O79,N79,P79,D79-$G$5,1,2)*AF79*(F79/(1-AR79))*AH79</f>
        <v>#VALUE!</v>
      </c>
      <c r="T79" s="365" t="e">
        <f aca="false">xSPRDOPT(I79,H79,AQ79,AT79,O79,N79,P79,D79-$G$5,1,1)*AF79*F79*AH79</f>
        <v>#VALUE!</v>
      </c>
      <c r="U79" s="501"/>
      <c r="V79" s="503" t="e">
        <f aca="false">VLOOKUP($AG79,$AL$4:$AS$15,8)*AH79*AU79</f>
        <v>#VALUE!</v>
      </c>
      <c r="W79" s="503"/>
      <c r="X79" s="504" t="e">
        <f aca="false">((BM79*BC79)+(BL79*BB79))*AH79*F79</f>
        <v>#VALUE!</v>
      </c>
      <c r="Y79" s="504" t="e">
        <f aca="false">($F79*$AH79)*((($BG79/2)*($BC79)^2)+(($BF79/2)*($BB79)^2)+($BH79*$BC79*$BB79))</f>
        <v>#VALUE!</v>
      </c>
      <c r="Z79" s="504" t="e">
        <f aca="false">($BI79*$F79*$AH79*($G$5-$BV$5))/365.25</f>
        <v>#VALUE!</v>
      </c>
      <c r="AA79" s="504" t="e">
        <f aca="false">(($BK79*$BE79)+($BJ79*$BD79))*$F79*$AH79*$AF79</f>
        <v>#VALUE!</v>
      </c>
      <c r="AB79" s="504" t="e">
        <f aca="false">BN79*(AT79-CA79)*F79*AH79</f>
        <v>#VALUE!</v>
      </c>
      <c r="AC79" s="504" t="e">
        <f aca="false">BO79*CB79*F79*AH79*CA79*($G$5-$BV$5)/365.25</f>
        <v>#NAME?</v>
      </c>
      <c r="AF79" s="378" t="e">
        <f aca="false">IF(AND(D79&gt;=$G$7,D79&lt;=$G$8),1,0)</f>
        <v>#VALUE!</v>
      </c>
      <c r="AG79" s="378" t="e">
        <f aca="false">MONTH(D79)</f>
        <v>#VALUE!</v>
      </c>
      <c r="AH79" s="378" t="e">
        <f aca="false">(EOMONTH(D79,0)-EOMONTH(D79-DAY(D79),0))*AF79</f>
        <v>#VALUE!</v>
      </c>
      <c r="AI79" s="378" t="e">
        <f aca="false">AI78+AH78</f>
        <v>#VALUE!</v>
      </c>
      <c r="AJ79" s="378" t="e">
        <f aca="false">D79-$BV$5</f>
        <v>#VALUE!</v>
      </c>
      <c r="AL79" s="369" t="e">
        <f aca="false">VLOOKUP($D79,CurveTbl,$AK$4)</f>
        <v>#VALUE!</v>
      </c>
      <c r="AM79" s="505" t="e">
        <f aca="false">VLOOKUP($D79,CurveTbl,$AH$3)</f>
        <v>#VALUE!</v>
      </c>
      <c r="AN79" s="505" t="e">
        <f aca="false">VLOOKUP($D79,CurveTbl,$AH$4)+VLOOKUP($AG79,$AL$3:$AS$15,6)</f>
        <v>#VALUE!</v>
      </c>
      <c r="AO79" s="505" t="e">
        <f aca="false">VLOOKUP($D79,CurveTbl,$AH$5)</f>
        <v>#VALUE!</v>
      </c>
      <c r="AP79" s="505" t="e">
        <f aca="false">VLOOKUP($D79,CurveTbl,$AH$6)+VLOOKUP($AG79,$AL$3:$AS$15,7)</f>
        <v>#VALUE!</v>
      </c>
      <c r="AQ79" s="369" t="e">
        <f aca="false">VLOOKUP($AG79,$AL$4:$AS$15,3)+VLOOKUP($AG79,$AL$4:$AS$15,5)+($AH$10*VLOOKUP(D79,GRITable,2))</f>
        <v>#VALUE!</v>
      </c>
      <c r="AR79" s="370" t="e">
        <f aca="false">VLOOKUP($AG79,$AL$4:$AS$15,4)</f>
        <v>#VALUE!</v>
      </c>
      <c r="AS79" s="369" t="e">
        <f aca="false">(AL79+AM79+AN79)</f>
        <v>#VALUE!</v>
      </c>
      <c r="AT79" s="370" t="e">
        <f aca="false">VLOOKUP(D79,CurveTbl,$AK$6)</f>
        <v>#VALUE!</v>
      </c>
      <c r="AU79" s="370" t="e">
        <f aca="false">(1+$AT79/2)^(-2*($D79-$G$5)/365.25)*$AF79</f>
        <v>#VALUE!</v>
      </c>
      <c r="AV79" s="506" t="e">
        <f aca="false">ROUND((F79/(1-AR79))-F79,0)*AF79*AH79*AU79</f>
        <v>#VALUE!</v>
      </c>
      <c r="AW79" s="370" t="e">
        <f aca="false">VLOOKUP($D79,CurveTbl,$AK$8)</f>
        <v>#VALUE!</v>
      </c>
      <c r="AX79" s="370" t="e">
        <f aca="false">VLOOKUP($D79,CurveTbl,$AH$7)</f>
        <v>#VALUE!</v>
      </c>
      <c r="AY79" s="370" t="e">
        <f aca="false">VLOOKUP($D79,CurveTbl,$AH$8)</f>
        <v>#VALUE!</v>
      </c>
      <c r="AZ79" s="370"/>
      <c r="BA79" s="507"/>
      <c r="BB79" s="505" t="e">
        <f aca="false">$H79-$BV79</f>
        <v>#VALUE!</v>
      </c>
      <c r="BC79" s="505" t="e">
        <f aca="false">I79-BW79</f>
        <v>#VALUE!</v>
      </c>
      <c r="BD79" s="370" t="e">
        <f aca="false">N79-BX79</f>
        <v>#VALUE!</v>
      </c>
      <c r="BE79" s="370" t="e">
        <f aca="false">O79-BY79</f>
        <v>#VALUE!</v>
      </c>
      <c r="BF79" s="370" t="e">
        <f aca="false">xSPRDOPT($BW79,$BV79,$CG79,0,$BY79,$BX79,$BZ79,$AJ79,1,4)*$CB79</f>
        <v>#NAME?</v>
      </c>
      <c r="BG79" s="370" t="e">
        <f aca="false">xSPRDOPT($BW79,$BV79,$CG79,0,$BY79,$BX79,$BZ79,$AJ79,1,3)*$CB79</f>
        <v>#NAME?</v>
      </c>
      <c r="BH79" s="370" t="e">
        <f aca="false">IF(OR(BF79&lt;&gt;0,BG79&lt;&gt;0),xSPRDOPT($BW79,$BV79,$CG79,0,$BY79,$BX79,$BZ79,$AJ79,1,12)*$CB79,0)</f>
        <v>#NAME?</v>
      </c>
      <c r="BI79" s="370" t="e">
        <f aca="false">xSPRDOPT($BW79,$BV79,$CG79,2*LN(1+CA79/2),$BY79,$BX79,$BZ79,$AJ79,1,9)</f>
        <v>#NAME?</v>
      </c>
      <c r="BJ79" s="370" t="e">
        <f aca="false">xSPRDOPT($BW79,$BV79,$CG79,0,$BY79,$BX79,$BZ79,$AJ79,1,6)*$CB79</f>
        <v>#NAME?</v>
      </c>
      <c r="BK79" s="370" t="e">
        <f aca="false">xSPRDOPT($BW79,$BV79,$CG79,0,$BY79,$BX79,$BZ79,$AJ79,1,5)*$CB79</f>
        <v>#NAME?</v>
      </c>
      <c r="BL79" s="370" t="e">
        <f aca="false">xSPRDOPT(BW79,BV79,CG79,0,BY79,BX79,BZ79,AJ79,1,2)*CB79</f>
        <v>#NAME?</v>
      </c>
      <c r="BM79" s="370" t="e">
        <f aca="false">xSPRDOPT(BW79,BV79,CG79,0,BY79,BX79,BZ79,AJ79,1,1)*CB79</f>
        <v>#NAME?</v>
      </c>
      <c r="BN79" s="370" t="e">
        <f aca="false">IF(AH79&lt;&gt;0,xSPRDOPT($BW79,$BV79,$CG79,2*LN(1+CA79/2),$BY79,$BX79,$BZ79,$AJ79,1,8)+(AJ79/365.25)*CH79/AH79,0)</f>
        <v>#VALUE!</v>
      </c>
      <c r="BO79" s="370" t="e">
        <f aca="false">xSPRDOPT($BW79,$BV79,$CG79,0,$BY79,$BX79,$BZ79,$AJ79,1,0)</f>
        <v>#NAME?</v>
      </c>
      <c r="BP79" s="370"/>
      <c r="BQ79" s="370"/>
      <c r="BR79" s="370"/>
      <c r="BS79" s="370"/>
      <c r="BV79" s="508" t="n">
        <v>3.44578313253012</v>
      </c>
      <c r="BW79" s="369" t="n">
        <v>3.467</v>
      </c>
      <c r="BX79" s="370" t="n">
        <v>0.37</v>
      </c>
      <c r="BY79" s="370" t="n">
        <v>0.37</v>
      </c>
      <c r="BZ79" s="370" t="n">
        <v>0</v>
      </c>
      <c r="CA79" s="370" t="n">
        <v>0.0348361539671314</v>
      </c>
      <c r="CB79" s="370" t="n">
        <v>0</v>
      </c>
      <c r="CC79" s="505" t="n">
        <v>0</v>
      </c>
      <c r="CD79" s="505" t="n">
        <v>0.03</v>
      </c>
      <c r="CE79" s="505" t="n">
        <v>0.065</v>
      </c>
      <c r="CF79" s="505" t="n">
        <v>0</v>
      </c>
      <c r="CG79" s="505" t="n">
        <v>0.0006</v>
      </c>
      <c r="CH79" s="505" t="n">
        <v>0</v>
      </c>
      <c r="CI79" s="505" t="n">
        <v>3.402</v>
      </c>
      <c r="CJ79" s="505"/>
      <c r="CK79" s="505"/>
      <c r="CL79" s="505"/>
      <c r="CM79" s="505"/>
    </row>
    <row r="80" customFormat="false" ht="12.75" hidden="false" customHeight="false" outlineLevel="0" collapsed="false">
      <c r="A80" s="500"/>
      <c r="B80" s="500"/>
      <c r="D80" s="361" t="e">
        <f aca="false">D79+AH79</f>
        <v>#VALUE!</v>
      </c>
      <c r="F80" s="362" t="e">
        <f aca="false">VLOOKUP(AG80,$AL$4:$AS$15,2)</f>
        <v>#VALUE!</v>
      </c>
      <c r="G80" s="362" t="e">
        <f aca="false">F80*$AU80</f>
        <v>#VALUE!</v>
      </c>
      <c r="H80" s="363" t="e">
        <f aca="false">(AL80+AM80+AN80)/(1-(AR80))</f>
        <v>#VALUE!</v>
      </c>
      <c r="I80" s="363" t="e">
        <f aca="false">(AL80+AO80+AP80)</f>
        <v>#VALUE!</v>
      </c>
      <c r="K80" s="363" t="e">
        <f aca="false">MAX(((I80-H80)-AQ80)*AU80*AH80,0)</f>
        <v>#VALUE!</v>
      </c>
      <c r="L80" s="501" t="e">
        <f aca="false">MAX(Q80-K80,0)</f>
        <v>#VALUE!</v>
      </c>
      <c r="N80" s="502" t="e">
        <f aca="false">SQRT(($AX80^2*($AH80/2)+$AW80^2*$AI80)/(($AH80/2)+$AI80))</f>
        <v>#VALUE!</v>
      </c>
      <c r="O80" s="502" t="e">
        <f aca="false">SQRT(($AY80^2*($AH80/2)+$AW80^2*$AI80)/(($AH80/2)+$AI80))</f>
        <v>#VALUE!</v>
      </c>
      <c r="P80" s="371" t="e">
        <f aca="false">(VLOOKUP(AI80,CorrelationTwo,2)*(AW80^2)*AI80+VLOOKUP(D80,CorrelationOne,$AK$9)*AX80*AY80*(AH80/2))/((AI80+(AH80/2))*O80*N80)*AF80</f>
        <v>#VALUE!</v>
      </c>
      <c r="Q80" s="501" t="e">
        <f aca="false">xSPRDOPT(I80,H80,AQ80,0,O80,N80,P80,D80-$G$5,1,0)*AH80*AU80</f>
        <v>#VALUE!</v>
      </c>
      <c r="R80" s="501"/>
      <c r="S80" s="365" t="e">
        <f aca="false">xSPRDOPT(I80,H80,AQ80,AT80,O80,N80,P80,D80-$G$5,1,2)*AF80*(F80/(1-AR80))*AH80</f>
        <v>#VALUE!</v>
      </c>
      <c r="T80" s="365" t="e">
        <f aca="false">xSPRDOPT(I80,H80,AQ80,AT80,O80,N80,P80,D80-$G$5,1,1)*AF80*F80*AH80</f>
        <v>#VALUE!</v>
      </c>
      <c r="U80" s="501"/>
      <c r="V80" s="503" t="e">
        <f aca="false">VLOOKUP($AG80,$AL$4:$AS$15,8)*AH80*AU80</f>
        <v>#VALUE!</v>
      </c>
      <c r="W80" s="503"/>
      <c r="X80" s="504" t="e">
        <f aca="false">((BM80*BC80)+(BL80*BB80))*AH80*F80</f>
        <v>#VALUE!</v>
      </c>
      <c r="Y80" s="504" t="e">
        <f aca="false">($F80*$AH80)*((($BG80/2)*($BC80)^2)+(($BF80/2)*($BB80)^2)+($BH80*$BC80*$BB80))</f>
        <v>#VALUE!</v>
      </c>
      <c r="Z80" s="504" t="e">
        <f aca="false">($BI80*$F80*$AH80*($G$5-$BV$5))/365.25</f>
        <v>#VALUE!</v>
      </c>
      <c r="AA80" s="504" t="e">
        <f aca="false">(($BK80*$BE80)+($BJ80*$BD80))*$F80*$AH80*$AF80</f>
        <v>#VALUE!</v>
      </c>
      <c r="AB80" s="504" t="e">
        <f aca="false">BN80*(AT80-CA80)*F80*AH80</f>
        <v>#VALUE!</v>
      </c>
      <c r="AC80" s="504" t="e">
        <f aca="false">BO80*CB80*F80*AH80*CA80*($G$5-$BV$5)/365.25</f>
        <v>#NAME?</v>
      </c>
      <c r="AF80" s="378" t="e">
        <f aca="false">IF(AND(D80&gt;=$G$7,D80&lt;=$G$8),1,0)</f>
        <v>#VALUE!</v>
      </c>
      <c r="AG80" s="378" t="e">
        <f aca="false">MONTH(D80)</f>
        <v>#VALUE!</v>
      </c>
      <c r="AH80" s="378" t="e">
        <f aca="false">(EOMONTH(D80,0)-EOMONTH(D80-DAY(D80),0))*AF80</f>
        <v>#VALUE!</v>
      </c>
      <c r="AI80" s="378" t="e">
        <f aca="false">AI79+AH79</f>
        <v>#VALUE!</v>
      </c>
      <c r="AJ80" s="378" t="e">
        <f aca="false">D80-$BV$5</f>
        <v>#VALUE!</v>
      </c>
      <c r="AL80" s="369" t="e">
        <f aca="false">VLOOKUP($D80,CurveTbl,$AK$4)</f>
        <v>#VALUE!</v>
      </c>
      <c r="AM80" s="505" t="e">
        <f aca="false">VLOOKUP($D80,CurveTbl,$AH$3)</f>
        <v>#VALUE!</v>
      </c>
      <c r="AN80" s="505" t="e">
        <f aca="false">VLOOKUP($D80,CurveTbl,$AH$4)+VLOOKUP($AG80,$AL$3:$AS$15,6)</f>
        <v>#VALUE!</v>
      </c>
      <c r="AO80" s="505" t="e">
        <f aca="false">VLOOKUP($D80,CurveTbl,$AH$5)</f>
        <v>#VALUE!</v>
      </c>
      <c r="AP80" s="505" t="e">
        <f aca="false">VLOOKUP($D80,CurveTbl,$AH$6)+VLOOKUP($AG80,$AL$3:$AS$15,7)</f>
        <v>#VALUE!</v>
      </c>
      <c r="AQ80" s="369" t="e">
        <f aca="false">VLOOKUP($AG80,$AL$4:$AS$15,3)+VLOOKUP($AG80,$AL$4:$AS$15,5)+($AH$10*VLOOKUP(D80,GRITable,2))</f>
        <v>#VALUE!</v>
      </c>
      <c r="AR80" s="370" t="e">
        <f aca="false">VLOOKUP($AG80,$AL$4:$AS$15,4)</f>
        <v>#VALUE!</v>
      </c>
      <c r="AS80" s="369" t="e">
        <f aca="false">(AL80+AM80+AN80)</f>
        <v>#VALUE!</v>
      </c>
      <c r="AT80" s="370" t="e">
        <f aca="false">VLOOKUP(D80,CurveTbl,$AK$6)</f>
        <v>#VALUE!</v>
      </c>
      <c r="AU80" s="370" t="e">
        <f aca="false">(1+$AT80/2)^(-2*($D80-$G$5)/365.25)*$AF80</f>
        <v>#VALUE!</v>
      </c>
      <c r="AV80" s="506" t="e">
        <f aca="false">ROUND((F80/(1-AR80))-F80,0)*AF80*AH80*AU80</f>
        <v>#VALUE!</v>
      </c>
      <c r="AW80" s="370" t="e">
        <f aca="false">VLOOKUP($D80,CurveTbl,$AK$8)</f>
        <v>#VALUE!</v>
      </c>
      <c r="AX80" s="370" t="e">
        <f aca="false">VLOOKUP($D80,CurveTbl,$AH$7)</f>
        <v>#VALUE!</v>
      </c>
      <c r="AY80" s="370" t="e">
        <f aca="false">VLOOKUP($D80,CurveTbl,$AH$8)</f>
        <v>#VALUE!</v>
      </c>
      <c r="AZ80" s="370"/>
      <c r="BA80" s="507"/>
      <c r="BB80" s="505" t="e">
        <f aca="false">$H80-$BV80</f>
        <v>#VALUE!</v>
      </c>
      <c r="BC80" s="505" t="e">
        <f aca="false">I80-BW80</f>
        <v>#VALUE!</v>
      </c>
      <c r="BD80" s="370" t="e">
        <f aca="false">N80-BX80</f>
        <v>#VALUE!</v>
      </c>
      <c r="BE80" s="370" t="e">
        <f aca="false">O80-BY80</f>
        <v>#VALUE!</v>
      </c>
      <c r="BF80" s="370" t="e">
        <f aca="false">xSPRDOPT($BW80,$BV80,$CG80,0,$BY80,$BX80,$BZ80,$AJ80,1,4)*$CB80</f>
        <v>#NAME?</v>
      </c>
      <c r="BG80" s="370" t="e">
        <f aca="false">xSPRDOPT($BW80,$BV80,$CG80,0,$BY80,$BX80,$BZ80,$AJ80,1,3)*$CB80</f>
        <v>#NAME?</v>
      </c>
      <c r="BH80" s="370" t="e">
        <f aca="false">IF(OR(BF80&lt;&gt;0,BG80&lt;&gt;0),xSPRDOPT($BW80,$BV80,$CG80,0,$BY80,$BX80,$BZ80,$AJ80,1,12)*$CB80,0)</f>
        <v>#NAME?</v>
      </c>
      <c r="BI80" s="370" t="e">
        <f aca="false">xSPRDOPT($BW80,$BV80,$CG80,2*LN(1+CA80/2),$BY80,$BX80,$BZ80,$AJ80,1,9)</f>
        <v>#NAME?</v>
      </c>
      <c r="BJ80" s="370" t="e">
        <f aca="false">xSPRDOPT($BW80,$BV80,$CG80,0,$BY80,$BX80,$BZ80,$AJ80,1,6)*$CB80</f>
        <v>#NAME?</v>
      </c>
      <c r="BK80" s="370" t="e">
        <f aca="false">xSPRDOPT($BW80,$BV80,$CG80,0,$BY80,$BX80,$BZ80,$AJ80,1,5)*$CB80</f>
        <v>#NAME?</v>
      </c>
      <c r="BL80" s="370" t="e">
        <f aca="false">xSPRDOPT(BW80,BV80,CG80,0,BY80,BX80,BZ80,AJ80,1,2)*CB80</f>
        <v>#NAME?</v>
      </c>
      <c r="BM80" s="370" t="e">
        <f aca="false">xSPRDOPT(BW80,BV80,CG80,0,BY80,BX80,BZ80,AJ80,1,1)*CB80</f>
        <v>#NAME?</v>
      </c>
      <c r="BN80" s="370" t="e">
        <f aca="false">IF(AH80&lt;&gt;0,xSPRDOPT($BW80,$BV80,$CG80,2*LN(1+CA80/2),$BY80,$BX80,$BZ80,$AJ80,1,8)+(AJ80/365.25)*CH80/AH80,0)</f>
        <v>#VALUE!</v>
      </c>
      <c r="BO80" s="370" t="e">
        <f aca="false">xSPRDOPT($BW80,$BV80,$CG80,0,$BY80,$BX80,$BZ80,$AJ80,1,0)</f>
        <v>#NAME?</v>
      </c>
      <c r="BP80" s="370"/>
      <c r="BQ80" s="370"/>
      <c r="BR80" s="370"/>
      <c r="BS80" s="370"/>
      <c r="BV80" s="508" t="n">
        <v>3.44578313253012</v>
      </c>
      <c r="BW80" s="369" t="n">
        <v>3.467</v>
      </c>
      <c r="BX80" s="370" t="n">
        <v>0.37</v>
      </c>
      <c r="BY80" s="370" t="n">
        <v>0.37</v>
      </c>
      <c r="BZ80" s="370" t="n">
        <v>0</v>
      </c>
      <c r="CA80" s="370" t="n">
        <v>0.0348361539671314</v>
      </c>
      <c r="CB80" s="370" t="n">
        <v>0</v>
      </c>
      <c r="CC80" s="505" t="n">
        <v>0</v>
      </c>
      <c r="CD80" s="505" t="n">
        <v>0.03</v>
      </c>
      <c r="CE80" s="505" t="n">
        <v>0.065</v>
      </c>
      <c r="CF80" s="505" t="n">
        <v>0</v>
      </c>
      <c r="CG80" s="505" t="n">
        <v>0.0006</v>
      </c>
      <c r="CH80" s="505" t="n">
        <v>0</v>
      </c>
      <c r="CI80" s="505" t="n">
        <v>3.402</v>
      </c>
      <c r="CJ80" s="505"/>
      <c r="CK80" s="505"/>
      <c r="CL80" s="505"/>
      <c r="CM80" s="505"/>
    </row>
    <row r="81" customFormat="false" ht="12.75" hidden="false" customHeight="false" outlineLevel="0" collapsed="false">
      <c r="A81" s="500"/>
      <c r="B81" s="500"/>
      <c r="D81" s="361" t="e">
        <f aca="false">D80+AH80</f>
        <v>#VALUE!</v>
      </c>
      <c r="F81" s="362" t="e">
        <f aca="false">VLOOKUP(AG81,$AL$4:$AS$15,2)</f>
        <v>#VALUE!</v>
      </c>
      <c r="G81" s="362" t="e">
        <f aca="false">F81*$AU81</f>
        <v>#VALUE!</v>
      </c>
      <c r="H81" s="363" t="e">
        <f aca="false">(AL81+AM81+AN81)/(1-(AR81))</f>
        <v>#VALUE!</v>
      </c>
      <c r="I81" s="363" t="e">
        <f aca="false">(AL81+AO81+AP81)</f>
        <v>#VALUE!</v>
      </c>
      <c r="K81" s="363" t="e">
        <f aca="false">MAX(((I81-H81)-AQ81)*AU81*AH81,0)</f>
        <v>#VALUE!</v>
      </c>
      <c r="L81" s="501" t="e">
        <f aca="false">MAX(Q81-K81,0)</f>
        <v>#VALUE!</v>
      </c>
      <c r="N81" s="502" t="e">
        <f aca="false">SQRT(($AX81^2*($AH81/2)+$AW81^2*$AI81)/(($AH81/2)+$AI81))</f>
        <v>#VALUE!</v>
      </c>
      <c r="O81" s="502" t="e">
        <f aca="false">SQRT(($AY81^2*($AH81/2)+$AW81^2*$AI81)/(($AH81/2)+$AI81))</f>
        <v>#VALUE!</v>
      </c>
      <c r="P81" s="371" t="e">
        <f aca="false">(VLOOKUP(AI81,CorrelationTwo,2)*(AW81^2)*AI81+VLOOKUP(D81,CorrelationOne,$AK$9)*AX81*AY81*(AH81/2))/((AI81+(AH81/2))*O81*N81)*AF81</f>
        <v>#VALUE!</v>
      </c>
      <c r="Q81" s="501" t="e">
        <f aca="false">xSPRDOPT(I81,H81,AQ81,0,O81,N81,P81,D81-$G$5,1,0)*AH81*AU81</f>
        <v>#VALUE!</v>
      </c>
      <c r="R81" s="501"/>
      <c r="S81" s="365" t="e">
        <f aca="false">xSPRDOPT(I81,H81,AQ81,AT81,O81,N81,P81,D81-$G$5,1,2)*AF81*(F81/(1-AR81))*AH81</f>
        <v>#VALUE!</v>
      </c>
      <c r="T81" s="365" t="e">
        <f aca="false">xSPRDOPT(I81,H81,AQ81,AT81,O81,N81,P81,D81-$G$5,1,1)*AF81*F81*AH81</f>
        <v>#VALUE!</v>
      </c>
      <c r="U81" s="501"/>
      <c r="V81" s="503" t="e">
        <f aca="false">VLOOKUP($AG81,$AL$4:$AS$15,8)*AH81*AU81</f>
        <v>#VALUE!</v>
      </c>
      <c r="W81" s="503"/>
      <c r="X81" s="504" t="e">
        <f aca="false">((BM81*BC81)+(BL81*BB81))*AH81*F81</f>
        <v>#VALUE!</v>
      </c>
      <c r="Y81" s="504" t="e">
        <f aca="false">($F81*$AH81)*((($BG81/2)*($BC81)^2)+(($BF81/2)*($BB81)^2)+($BH81*$BC81*$BB81))</f>
        <v>#VALUE!</v>
      </c>
      <c r="Z81" s="504" t="e">
        <f aca="false">($BI81*$F81*$AH81*($G$5-$BV$5))/365.25</f>
        <v>#VALUE!</v>
      </c>
      <c r="AA81" s="504" t="e">
        <f aca="false">(($BK81*$BE81)+($BJ81*$BD81))*$F81*$AH81*$AF81</f>
        <v>#VALUE!</v>
      </c>
      <c r="AB81" s="504" t="e">
        <f aca="false">BN81*(AT81-CA81)*F81*AH81</f>
        <v>#VALUE!</v>
      </c>
      <c r="AC81" s="504" t="e">
        <f aca="false">BO81*CB81*F81*AH81*CA81*($G$5-$BV$5)/365.25</f>
        <v>#NAME?</v>
      </c>
      <c r="AF81" s="378" t="e">
        <f aca="false">IF(AND(D81&gt;=$G$7,D81&lt;=$G$8),1,0)</f>
        <v>#VALUE!</v>
      </c>
      <c r="AG81" s="378" t="e">
        <f aca="false">MONTH(D81)</f>
        <v>#VALUE!</v>
      </c>
      <c r="AH81" s="378" t="e">
        <f aca="false">(EOMONTH(D81,0)-EOMONTH(D81-DAY(D81),0))*AF81</f>
        <v>#VALUE!</v>
      </c>
      <c r="AI81" s="378" t="e">
        <f aca="false">AI80+AH80</f>
        <v>#VALUE!</v>
      </c>
      <c r="AJ81" s="378" t="e">
        <f aca="false">D81-$BV$5</f>
        <v>#VALUE!</v>
      </c>
      <c r="AL81" s="369" t="e">
        <f aca="false">VLOOKUP($D81,CurveTbl,$AK$4)</f>
        <v>#VALUE!</v>
      </c>
      <c r="AM81" s="505" t="e">
        <f aca="false">VLOOKUP($D81,CurveTbl,$AH$3)</f>
        <v>#VALUE!</v>
      </c>
      <c r="AN81" s="505" t="e">
        <f aca="false">VLOOKUP($D81,CurveTbl,$AH$4)+VLOOKUP($AG81,$AL$3:$AS$15,6)</f>
        <v>#VALUE!</v>
      </c>
      <c r="AO81" s="505" t="e">
        <f aca="false">VLOOKUP($D81,CurveTbl,$AH$5)</f>
        <v>#VALUE!</v>
      </c>
      <c r="AP81" s="505" t="e">
        <f aca="false">VLOOKUP($D81,CurveTbl,$AH$6)+VLOOKUP($AG81,$AL$3:$AS$15,7)</f>
        <v>#VALUE!</v>
      </c>
      <c r="AQ81" s="369" t="e">
        <f aca="false">VLOOKUP($AG81,$AL$4:$AS$15,3)+VLOOKUP($AG81,$AL$4:$AS$15,5)+($AH$10*VLOOKUP(D81,GRITable,2))</f>
        <v>#VALUE!</v>
      </c>
      <c r="AR81" s="370" t="e">
        <f aca="false">VLOOKUP($AG81,$AL$4:$AS$15,4)</f>
        <v>#VALUE!</v>
      </c>
      <c r="AS81" s="369" t="e">
        <f aca="false">(AL81+AM81+AN81)</f>
        <v>#VALUE!</v>
      </c>
      <c r="AT81" s="370" t="e">
        <f aca="false">VLOOKUP(D81,CurveTbl,$AK$6)</f>
        <v>#VALUE!</v>
      </c>
      <c r="AU81" s="370" t="e">
        <f aca="false">(1+$AT81/2)^(-2*($D81-$G$5)/365.25)*$AF81</f>
        <v>#VALUE!</v>
      </c>
      <c r="AV81" s="506" t="e">
        <f aca="false">ROUND((F81/(1-AR81))-F81,0)*AF81*AH81*AU81</f>
        <v>#VALUE!</v>
      </c>
      <c r="AW81" s="370" t="e">
        <f aca="false">VLOOKUP($D81,CurveTbl,$AK$8)</f>
        <v>#VALUE!</v>
      </c>
      <c r="AX81" s="370" t="e">
        <f aca="false">VLOOKUP($D81,CurveTbl,$AH$7)</f>
        <v>#VALUE!</v>
      </c>
      <c r="AY81" s="370" t="e">
        <f aca="false">VLOOKUP($D81,CurveTbl,$AH$8)</f>
        <v>#VALUE!</v>
      </c>
      <c r="AZ81" s="370"/>
      <c r="BA81" s="507"/>
      <c r="BB81" s="505" t="e">
        <f aca="false">$H81-$BV81</f>
        <v>#VALUE!</v>
      </c>
      <c r="BC81" s="505" t="e">
        <f aca="false">I81-BW81</f>
        <v>#VALUE!</v>
      </c>
      <c r="BD81" s="370" t="e">
        <f aca="false">N81-BX81</f>
        <v>#VALUE!</v>
      </c>
      <c r="BE81" s="370" t="e">
        <f aca="false">O81-BY81</f>
        <v>#VALUE!</v>
      </c>
      <c r="BF81" s="370" t="e">
        <f aca="false">xSPRDOPT($BW81,$BV81,$CG81,0,$BY81,$BX81,$BZ81,$AJ81,1,4)*$CB81</f>
        <v>#NAME?</v>
      </c>
      <c r="BG81" s="370" t="e">
        <f aca="false">xSPRDOPT($BW81,$BV81,$CG81,0,$BY81,$BX81,$BZ81,$AJ81,1,3)*$CB81</f>
        <v>#NAME?</v>
      </c>
      <c r="BH81" s="370" t="e">
        <f aca="false">IF(OR(BF81&lt;&gt;0,BG81&lt;&gt;0),xSPRDOPT($BW81,$BV81,$CG81,0,$BY81,$BX81,$BZ81,$AJ81,1,12)*$CB81,0)</f>
        <v>#NAME?</v>
      </c>
      <c r="BI81" s="370" t="e">
        <f aca="false">xSPRDOPT($BW81,$BV81,$CG81,2*LN(1+CA81/2),$BY81,$BX81,$BZ81,$AJ81,1,9)</f>
        <v>#NAME?</v>
      </c>
      <c r="BJ81" s="370" t="e">
        <f aca="false">xSPRDOPT($BW81,$BV81,$CG81,0,$BY81,$BX81,$BZ81,$AJ81,1,6)*$CB81</f>
        <v>#NAME?</v>
      </c>
      <c r="BK81" s="370" t="e">
        <f aca="false">xSPRDOPT($BW81,$BV81,$CG81,0,$BY81,$BX81,$BZ81,$AJ81,1,5)*$CB81</f>
        <v>#NAME?</v>
      </c>
      <c r="BL81" s="370" t="e">
        <f aca="false">xSPRDOPT(BW81,BV81,CG81,0,BY81,BX81,BZ81,AJ81,1,2)*CB81</f>
        <v>#NAME?</v>
      </c>
      <c r="BM81" s="370" t="e">
        <f aca="false">xSPRDOPT(BW81,BV81,CG81,0,BY81,BX81,BZ81,AJ81,1,1)*CB81</f>
        <v>#NAME?</v>
      </c>
      <c r="BN81" s="370" t="e">
        <f aca="false">IF(AH81&lt;&gt;0,xSPRDOPT($BW81,$BV81,$CG81,2*LN(1+CA81/2),$BY81,$BX81,$BZ81,$AJ81,1,8)+(AJ81/365.25)*CH81/AH81,0)</f>
        <v>#VALUE!</v>
      </c>
      <c r="BO81" s="370" t="e">
        <f aca="false">xSPRDOPT($BW81,$BV81,$CG81,0,$BY81,$BX81,$BZ81,$AJ81,1,0)</f>
        <v>#NAME?</v>
      </c>
      <c r="BP81" s="370"/>
      <c r="BQ81" s="370"/>
      <c r="BR81" s="370"/>
      <c r="BS81" s="370"/>
      <c r="BV81" s="508" t="n">
        <v>3.44578313253012</v>
      </c>
      <c r="BW81" s="369" t="n">
        <v>3.467</v>
      </c>
      <c r="BX81" s="370" t="n">
        <v>0.37</v>
      </c>
      <c r="BY81" s="370" t="n">
        <v>0.37</v>
      </c>
      <c r="BZ81" s="370" t="n">
        <v>0</v>
      </c>
      <c r="CA81" s="370" t="n">
        <v>0.0348361539671314</v>
      </c>
      <c r="CB81" s="370" t="n">
        <v>0</v>
      </c>
      <c r="CC81" s="505" t="n">
        <v>0</v>
      </c>
      <c r="CD81" s="505" t="n">
        <v>0.03</v>
      </c>
      <c r="CE81" s="505" t="n">
        <v>0.065</v>
      </c>
      <c r="CF81" s="505" t="n">
        <v>0</v>
      </c>
      <c r="CG81" s="505" t="n">
        <v>0.0006</v>
      </c>
      <c r="CH81" s="505" t="n">
        <v>0</v>
      </c>
      <c r="CI81" s="505" t="n">
        <v>3.402</v>
      </c>
      <c r="CJ81" s="505"/>
      <c r="CK81" s="505"/>
      <c r="CL81" s="505"/>
      <c r="CM81" s="505"/>
    </row>
    <row r="82" customFormat="false" ht="12.75" hidden="false" customHeight="false" outlineLevel="0" collapsed="false">
      <c r="A82" s="500"/>
      <c r="B82" s="500"/>
      <c r="D82" s="361" t="e">
        <f aca="false">D81+AH81</f>
        <v>#VALUE!</v>
      </c>
      <c r="F82" s="362" t="e">
        <f aca="false">VLOOKUP(AG82,$AL$4:$AS$15,2)</f>
        <v>#VALUE!</v>
      </c>
      <c r="G82" s="362" t="e">
        <f aca="false">F82*$AU82</f>
        <v>#VALUE!</v>
      </c>
      <c r="H82" s="363" t="e">
        <f aca="false">(AL82+AM82+AN82)/(1-(AR82))</f>
        <v>#VALUE!</v>
      </c>
      <c r="I82" s="363" t="e">
        <f aca="false">(AL82+AO82+AP82)</f>
        <v>#VALUE!</v>
      </c>
      <c r="K82" s="363" t="e">
        <f aca="false">MAX(((I82-H82)-AQ82)*AU82*AH82,0)</f>
        <v>#VALUE!</v>
      </c>
      <c r="L82" s="501" t="e">
        <f aca="false">MAX(Q82-K82,0)</f>
        <v>#VALUE!</v>
      </c>
      <c r="N82" s="502" t="e">
        <f aca="false">SQRT(($AX82^2*($AH82/2)+$AW82^2*$AI82)/(($AH82/2)+$AI82))</f>
        <v>#VALUE!</v>
      </c>
      <c r="O82" s="502" t="e">
        <f aca="false">SQRT(($AY82^2*($AH82/2)+$AW82^2*$AI82)/(($AH82/2)+$AI82))</f>
        <v>#VALUE!</v>
      </c>
      <c r="P82" s="371" t="e">
        <f aca="false">(VLOOKUP(AI82,CorrelationTwo,2)*(AW82^2)*AI82+VLOOKUP(D82,CorrelationOne,$AK$9)*AX82*AY82*(AH82/2))/((AI82+(AH82/2))*O82*N82)*AF82</f>
        <v>#VALUE!</v>
      </c>
      <c r="Q82" s="501" t="e">
        <f aca="false">xSPRDOPT(I82,H82,AQ82,0,O82,N82,P82,D82-$G$5,1,0)*AH82*AU82</f>
        <v>#VALUE!</v>
      </c>
      <c r="R82" s="501"/>
      <c r="S82" s="365" t="e">
        <f aca="false">xSPRDOPT(I82,H82,AQ82,AT82,O82,N82,P82,D82-$G$5,1,2)*AF82*(F82/(1-AR82))*AH82</f>
        <v>#VALUE!</v>
      </c>
      <c r="T82" s="365" t="e">
        <f aca="false">xSPRDOPT(I82,H82,AQ82,AT82,O82,N82,P82,D82-$G$5,1,1)*AF82*F82*AH82</f>
        <v>#VALUE!</v>
      </c>
      <c r="U82" s="501"/>
      <c r="V82" s="503" t="e">
        <f aca="false">VLOOKUP($AG82,$AL$4:$AS$15,8)*AH82*AU82</f>
        <v>#VALUE!</v>
      </c>
      <c r="W82" s="503"/>
      <c r="X82" s="504" t="e">
        <f aca="false">((BM82*BC82)+(BL82*BB82))*AH82*F82</f>
        <v>#VALUE!</v>
      </c>
      <c r="Y82" s="504" t="e">
        <f aca="false">($F82*$AH82)*((($BG82/2)*($BC82)^2)+(($BF82/2)*($BB82)^2)+($BH82*$BC82*$BB82))</f>
        <v>#VALUE!</v>
      </c>
      <c r="Z82" s="504" t="e">
        <f aca="false">($BI82*$F82*$AH82*($G$5-$BV$5))/365.25</f>
        <v>#VALUE!</v>
      </c>
      <c r="AA82" s="504" t="e">
        <f aca="false">(($BK82*$BE82)+($BJ82*$BD82))*$F82*$AH82*$AF82</f>
        <v>#VALUE!</v>
      </c>
      <c r="AB82" s="504" t="e">
        <f aca="false">BN82*(AT82-CA82)*F82*AH82</f>
        <v>#VALUE!</v>
      </c>
      <c r="AC82" s="504" t="e">
        <f aca="false">BO82*CB82*F82*AH82*CA82*($G$5-$BV$5)/365.25</f>
        <v>#NAME?</v>
      </c>
      <c r="AF82" s="378" t="e">
        <f aca="false">IF(AND(D82&gt;=$G$7,D82&lt;=$G$8),1,0)</f>
        <v>#VALUE!</v>
      </c>
      <c r="AG82" s="378" t="e">
        <f aca="false">MONTH(D82)</f>
        <v>#VALUE!</v>
      </c>
      <c r="AH82" s="378" t="e">
        <f aca="false">(EOMONTH(D82,0)-EOMONTH(D82-DAY(D82),0))*AF82</f>
        <v>#VALUE!</v>
      </c>
      <c r="AI82" s="378" t="e">
        <f aca="false">AI81+AH81</f>
        <v>#VALUE!</v>
      </c>
      <c r="AJ82" s="378" t="e">
        <f aca="false">D82-$BV$5</f>
        <v>#VALUE!</v>
      </c>
      <c r="AL82" s="369" t="e">
        <f aca="false">VLOOKUP($D82,CurveTbl,$AK$4)</f>
        <v>#VALUE!</v>
      </c>
      <c r="AM82" s="505" t="e">
        <f aca="false">VLOOKUP($D82,CurveTbl,$AH$3)</f>
        <v>#VALUE!</v>
      </c>
      <c r="AN82" s="505" t="e">
        <f aca="false">VLOOKUP($D82,CurveTbl,$AH$4)+VLOOKUP($AG82,$AL$3:$AS$15,6)</f>
        <v>#VALUE!</v>
      </c>
      <c r="AO82" s="505" t="e">
        <f aca="false">VLOOKUP($D82,CurveTbl,$AH$5)</f>
        <v>#VALUE!</v>
      </c>
      <c r="AP82" s="505" t="e">
        <f aca="false">VLOOKUP($D82,CurveTbl,$AH$6)+VLOOKUP($AG82,$AL$3:$AS$15,7)</f>
        <v>#VALUE!</v>
      </c>
      <c r="AQ82" s="369" t="e">
        <f aca="false">VLOOKUP($AG82,$AL$4:$AS$15,3)+VLOOKUP($AG82,$AL$4:$AS$15,5)+($AH$10*VLOOKUP(D82,GRITable,2))</f>
        <v>#VALUE!</v>
      </c>
      <c r="AR82" s="370" t="e">
        <f aca="false">VLOOKUP($AG82,$AL$4:$AS$15,4)</f>
        <v>#VALUE!</v>
      </c>
      <c r="AS82" s="369" t="e">
        <f aca="false">(AL82+AM82+AN82)</f>
        <v>#VALUE!</v>
      </c>
      <c r="AT82" s="370" t="e">
        <f aca="false">VLOOKUP(D82,CurveTbl,$AK$6)</f>
        <v>#VALUE!</v>
      </c>
      <c r="AU82" s="370" t="e">
        <f aca="false">(1+$AT82/2)^(-2*($D82-$G$5)/365.25)*$AF82</f>
        <v>#VALUE!</v>
      </c>
      <c r="AV82" s="506" t="e">
        <f aca="false">ROUND((F82/(1-AR82))-F82,0)*AF82*AH82*AU82</f>
        <v>#VALUE!</v>
      </c>
      <c r="AW82" s="370" t="e">
        <f aca="false">VLOOKUP($D82,CurveTbl,$AK$8)</f>
        <v>#VALUE!</v>
      </c>
      <c r="AX82" s="370" t="e">
        <f aca="false">VLOOKUP($D82,CurveTbl,$AH$7)</f>
        <v>#VALUE!</v>
      </c>
      <c r="AY82" s="370" t="e">
        <f aca="false">VLOOKUP($D82,CurveTbl,$AH$8)</f>
        <v>#VALUE!</v>
      </c>
      <c r="AZ82" s="370"/>
      <c r="BA82" s="507"/>
      <c r="BB82" s="505" t="e">
        <f aca="false">$H82-$BV82</f>
        <v>#VALUE!</v>
      </c>
      <c r="BC82" s="505" t="e">
        <f aca="false">I82-BW82</f>
        <v>#VALUE!</v>
      </c>
      <c r="BD82" s="370" t="e">
        <f aca="false">N82-BX82</f>
        <v>#VALUE!</v>
      </c>
      <c r="BE82" s="370" t="e">
        <f aca="false">O82-BY82</f>
        <v>#VALUE!</v>
      </c>
      <c r="BF82" s="370" t="e">
        <f aca="false">xSPRDOPT($BW82,$BV82,$CG82,0,$BY82,$BX82,$BZ82,$AJ82,1,4)*$CB82</f>
        <v>#NAME?</v>
      </c>
      <c r="BG82" s="370" t="e">
        <f aca="false">xSPRDOPT($BW82,$BV82,$CG82,0,$BY82,$BX82,$BZ82,$AJ82,1,3)*$CB82</f>
        <v>#NAME?</v>
      </c>
      <c r="BH82" s="370" t="e">
        <f aca="false">IF(OR(BF82&lt;&gt;0,BG82&lt;&gt;0),xSPRDOPT($BW82,$BV82,$CG82,0,$BY82,$BX82,$BZ82,$AJ82,1,12)*$CB82,0)</f>
        <v>#NAME?</v>
      </c>
      <c r="BI82" s="370" t="e">
        <f aca="false">xSPRDOPT($BW82,$BV82,$CG82,2*LN(1+CA82/2),$BY82,$BX82,$BZ82,$AJ82,1,9)</f>
        <v>#NAME?</v>
      </c>
      <c r="BJ82" s="370" t="e">
        <f aca="false">xSPRDOPT($BW82,$BV82,$CG82,0,$BY82,$BX82,$BZ82,$AJ82,1,6)*$CB82</f>
        <v>#NAME?</v>
      </c>
      <c r="BK82" s="370" t="e">
        <f aca="false">xSPRDOPT($BW82,$BV82,$CG82,0,$BY82,$BX82,$BZ82,$AJ82,1,5)*$CB82</f>
        <v>#NAME?</v>
      </c>
      <c r="BL82" s="370" t="e">
        <f aca="false">xSPRDOPT(BW82,BV82,CG82,0,BY82,BX82,BZ82,AJ82,1,2)*CB82</f>
        <v>#NAME?</v>
      </c>
      <c r="BM82" s="370" t="e">
        <f aca="false">xSPRDOPT(BW82,BV82,CG82,0,BY82,BX82,BZ82,AJ82,1,1)*CB82</f>
        <v>#NAME?</v>
      </c>
      <c r="BN82" s="370" t="e">
        <f aca="false">IF(AH82&lt;&gt;0,xSPRDOPT($BW82,$BV82,$CG82,2*LN(1+CA82/2),$BY82,$BX82,$BZ82,$AJ82,1,8)+(AJ82/365.25)*CH82/AH82,0)</f>
        <v>#VALUE!</v>
      </c>
      <c r="BO82" s="370" t="e">
        <f aca="false">xSPRDOPT($BW82,$BV82,$CG82,0,$BY82,$BX82,$BZ82,$AJ82,1,0)</f>
        <v>#NAME?</v>
      </c>
      <c r="BP82" s="370"/>
      <c r="BQ82" s="370"/>
      <c r="BR82" s="370"/>
      <c r="BS82" s="370"/>
      <c r="BV82" s="508" t="n">
        <v>3.44578313253012</v>
      </c>
      <c r="BW82" s="369" t="n">
        <v>3.467</v>
      </c>
      <c r="BX82" s="370" t="n">
        <v>0.37</v>
      </c>
      <c r="BY82" s="370" t="n">
        <v>0.37</v>
      </c>
      <c r="BZ82" s="370" t="n">
        <v>0</v>
      </c>
      <c r="CA82" s="370" t="n">
        <v>0.0348361539671314</v>
      </c>
      <c r="CB82" s="370" t="n">
        <v>0</v>
      </c>
      <c r="CC82" s="505" t="n">
        <v>0</v>
      </c>
      <c r="CD82" s="505" t="n">
        <v>0.03</v>
      </c>
      <c r="CE82" s="505" t="n">
        <v>0.065</v>
      </c>
      <c r="CF82" s="505" t="n">
        <v>0</v>
      </c>
      <c r="CG82" s="505" t="n">
        <v>0.0006</v>
      </c>
      <c r="CH82" s="505" t="n">
        <v>0</v>
      </c>
      <c r="CI82" s="505" t="n">
        <v>3.402</v>
      </c>
      <c r="CJ82" s="505"/>
      <c r="CK82" s="505"/>
      <c r="CL82" s="505"/>
      <c r="CM82" s="505"/>
    </row>
    <row r="83" customFormat="false" ht="12.75" hidden="false" customHeight="false" outlineLevel="0" collapsed="false">
      <c r="A83" s="500"/>
      <c r="B83" s="500"/>
      <c r="D83" s="361" t="e">
        <f aca="false">D82+AH82</f>
        <v>#VALUE!</v>
      </c>
      <c r="F83" s="362" t="e">
        <f aca="false">VLOOKUP(AG83,$AL$4:$AS$15,2)</f>
        <v>#VALUE!</v>
      </c>
      <c r="G83" s="362" t="e">
        <f aca="false">F83*$AU83</f>
        <v>#VALUE!</v>
      </c>
      <c r="H83" s="363" t="e">
        <f aca="false">(AL83+AM83+AN83)/(1-(AR83))</f>
        <v>#VALUE!</v>
      </c>
      <c r="I83" s="363" t="e">
        <f aca="false">(AL83+AO83+AP83)</f>
        <v>#VALUE!</v>
      </c>
      <c r="K83" s="363" t="e">
        <f aca="false">MAX(((I83-H83)-AQ83)*AU83*AH83,0)</f>
        <v>#VALUE!</v>
      </c>
      <c r="L83" s="501" t="e">
        <f aca="false">MAX(Q83-K83,0)</f>
        <v>#VALUE!</v>
      </c>
      <c r="N83" s="502" t="e">
        <f aca="false">SQRT(($AX83^2*($AH83/2)+$AW83^2*$AI83)/(($AH83/2)+$AI83))</f>
        <v>#VALUE!</v>
      </c>
      <c r="O83" s="502" t="e">
        <f aca="false">SQRT(($AY83^2*($AH83/2)+$AW83^2*$AI83)/(($AH83/2)+$AI83))</f>
        <v>#VALUE!</v>
      </c>
      <c r="P83" s="371" t="e">
        <f aca="false">(VLOOKUP(AI83,CorrelationTwo,2)*(AW83^2)*AI83+VLOOKUP(D83,CorrelationOne,$AK$9)*AX83*AY83*(AH83/2))/((AI83+(AH83/2))*O83*N83)*AF83</f>
        <v>#VALUE!</v>
      </c>
      <c r="Q83" s="501" t="e">
        <f aca="false">xSPRDOPT(I83,H83,AQ83,0,O83,N83,P83,D83-$G$5,1,0)*AH83*AU83</f>
        <v>#VALUE!</v>
      </c>
      <c r="R83" s="501"/>
      <c r="S83" s="365" t="e">
        <f aca="false">xSPRDOPT(I83,H83,AQ83,AT83,O83,N83,P83,D83-$G$5,1,2)*AF83*(F83/(1-AR83))*AH83</f>
        <v>#VALUE!</v>
      </c>
      <c r="T83" s="365" t="e">
        <f aca="false">xSPRDOPT(I83,H83,AQ83,AT83,O83,N83,P83,D83-$G$5,1,1)*AF83*F83*AH83</f>
        <v>#VALUE!</v>
      </c>
      <c r="U83" s="501"/>
      <c r="V83" s="503" t="e">
        <f aca="false">VLOOKUP($AG83,$AL$4:$AS$15,8)*AH83*AU83</f>
        <v>#VALUE!</v>
      </c>
      <c r="W83" s="503"/>
      <c r="X83" s="504" t="e">
        <f aca="false">((BM83*BC83)+(BL83*BB83))*AH83*F83</f>
        <v>#VALUE!</v>
      </c>
      <c r="Y83" s="504" t="e">
        <f aca="false">($F83*$AH83)*((($BG83/2)*($BC83)^2)+(($BF83/2)*($BB83)^2)+($BH83*$BC83*$BB83))</f>
        <v>#VALUE!</v>
      </c>
      <c r="Z83" s="504" t="e">
        <f aca="false">($BI83*$F83*$AH83*($G$5-$BV$5))/365.25</f>
        <v>#VALUE!</v>
      </c>
      <c r="AA83" s="504" t="e">
        <f aca="false">(($BK83*$BE83)+($BJ83*$BD83))*$F83*$AH83*$AF83</f>
        <v>#VALUE!</v>
      </c>
      <c r="AB83" s="504" t="e">
        <f aca="false">BN83*(AT83-CA83)*F83*AH83</f>
        <v>#VALUE!</v>
      </c>
      <c r="AC83" s="504" t="e">
        <f aca="false">BO83*CB83*F83*AH83*CA83*($G$5-$BV$5)/365.25</f>
        <v>#NAME?</v>
      </c>
      <c r="AF83" s="378" t="e">
        <f aca="false">IF(AND(D83&gt;=$G$7,D83&lt;=$G$8),1,0)</f>
        <v>#VALUE!</v>
      </c>
      <c r="AG83" s="378" t="e">
        <f aca="false">MONTH(D83)</f>
        <v>#VALUE!</v>
      </c>
      <c r="AH83" s="378" t="e">
        <f aca="false">(EOMONTH(D83,0)-EOMONTH(D83-DAY(D83),0))*AF83</f>
        <v>#VALUE!</v>
      </c>
      <c r="AI83" s="378" t="e">
        <f aca="false">AI82+AH82</f>
        <v>#VALUE!</v>
      </c>
      <c r="AJ83" s="378" t="e">
        <f aca="false">D83-$BV$5</f>
        <v>#VALUE!</v>
      </c>
      <c r="AL83" s="369" t="e">
        <f aca="false">VLOOKUP($D83,CurveTbl,$AK$4)</f>
        <v>#VALUE!</v>
      </c>
      <c r="AM83" s="505" t="e">
        <f aca="false">VLOOKUP($D83,CurveTbl,$AH$3)</f>
        <v>#VALUE!</v>
      </c>
      <c r="AN83" s="505" t="e">
        <f aca="false">VLOOKUP($D83,CurveTbl,$AH$4)+VLOOKUP($AG83,$AL$3:$AS$15,6)</f>
        <v>#VALUE!</v>
      </c>
      <c r="AO83" s="505" t="e">
        <f aca="false">VLOOKUP($D83,CurveTbl,$AH$5)</f>
        <v>#VALUE!</v>
      </c>
      <c r="AP83" s="505" t="e">
        <f aca="false">VLOOKUP($D83,CurveTbl,$AH$6)+VLOOKUP($AG83,$AL$3:$AS$15,7)</f>
        <v>#VALUE!</v>
      </c>
      <c r="AQ83" s="369" t="e">
        <f aca="false">VLOOKUP($AG83,$AL$4:$AS$15,3)+VLOOKUP($AG83,$AL$4:$AS$15,5)+($AH$10*VLOOKUP(D83,GRITable,2))</f>
        <v>#VALUE!</v>
      </c>
      <c r="AR83" s="370" t="e">
        <f aca="false">VLOOKUP($AG83,$AL$4:$AS$15,4)</f>
        <v>#VALUE!</v>
      </c>
      <c r="AS83" s="369" t="e">
        <f aca="false">(AL83+AM83+AN83)</f>
        <v>#VALUE!</v>
      </c>
      <c r="AT83" s="370" t="e">
        <f aca="false">VLOOKUP(D83,CurveTbl,$AK$6)</f>
        <v>#VALUE!</v>
      </c>
      <c r="AU83" s="370" t="e">
        <f aca="false">(1+$AT83/2)^(-2*($D83-$G$5)/365.25)*$AF83</f>
        <v>#VALUE!</v>
      </c>
      <c r="AV83" s="506" t="e">
        <f aca="false">ROUND((F83/(1-AR83))-F83,0)*AF83*AH83*AU83</f>
        <v>#VALUE!</v>
      </c>
      <c r="AW83" s="370" t="e">
        <f aca="false">VLOOKUP($D83,CurveTbl,$AK$8)</f>
        <v>#VALUE!</v>
      </c>
      <c r="AX83" s="370" t="e">
        <f aca="false">VLOOKUP($D83,CurveTbl,$AH$7)</f>
        <v>#VALUE!</v>
      </c>
      <c r="AY83" s="370" t="e">
        <f aca="false">VLOOKUP($D83,CurveTbl,$AH$8)</f>
        <v>#VALUE!</v>
      </c>
      <c r="AZ83" s="370"/>
      <c r="BA83" s="507"/>
      <c r="BB83" s="505" t="e">
        <f aca="false">$H83-$BV83</f>
        <v>#VALUE!</v>
      </c>
      <c r="BC83" s="505" t="e">
        <f aca="false">I83-BW83</f>
        <v>#VALUE!</v>
      </c>
      <c r="BD83" s="370" t="e">
        <f aca="false">N83-BX83</f>
        <v>#VALUE!</v>
      </c>
      <c r="BE83" s="370" t="e">
        <f aca="false">O83-BY83</f>
        <v>#VALUE!</v>
      </c>
      <c r="BF83" s="370" t="e">
        <f aca="false">xSPRDOPT($BW83,$BV83,$CG83,0,$BY83,$BX83,$BZ83,$AJ83,1,4)*$CB83</f>
        <v>#NAME?</v>
      </c>
      <c r="BG83" s="370" t="e">
        <f aca="false">xSPRDOPT($BW83,$BV83,$CG83,0,$BY83,$BX83,$BZ83,$AJ83,1,3)*$CB83</f>
        <v>#NAME?</v>
      </c>
      <c r="BH83" s="370" t="e">
        <f aca="false">IF(OR(BF83&lt;&gt;0,BG83&lt;&gt;0),xSPRDOPT($BW83,$BV83,$CG83,0,$BY83,$BX83,$BZ83,$AJ83,1,12)*$CB83,0)</f>
        <v>#NAME?</v>
      </c>
      <c r="BI83" s="370" t="e">
        <f aca="false">xSPRDOPT($BW83,$BV83,$CG83,2*LN(1+CA83/2),$BY83,$BX83,$BZ83,$AJ83,1,9)</f>
        <v>#NAME?</v>
      </c>
      <c r="BJ83" s="370" t="e">
        <f aca="false">xSPRDOPT($BW83,$BV83,$CG83,0,$BY83,$BX83,$BZ83,$AJ83,1,6)*$CB83</f>
        <v>#NAME?</v>
      </c>
      <c r="BK83" s="370" t="e">
        <f aca="false">xSPRDOPT($BW83,$BV83,$CG83,0,$BY83,$BX83,$BZ83,$AJ83,1,5)*$CB83</f>
        <v>#NAME?</v>
      </c>
      <c r="BL83" s="370" t="e">
        <f aca="false">xSPRDOPT(BW83,BV83,CG83,0,BY83,BX83,BZ83,AJ83,1,2)*CB83</f>
        <v>#NAME?</v>
      </c>
      <c r="BM83" s="370" t="e">
        <f aca="false">xSPRDOPT(BW83,BV83,CG83,0,BY83,BX83,BZ83,AJ83,1,1)*CB83</f>
        <v>#NAME?</v>
      </c>
      <c r="BN83" s="370" t="e">
        <f aca="false">IF(AH83&lt;&gt;0,xSPRDOPT($BW83,$BV83,$CG83,2*LN(1+CA83/2),$BY83,$BX83,$BZ83,$AJ83,1,8)+(AJ83/365.25)*CH83/AH83,0)</f>
        <v>#VALUE!</v>
      </c>
      <c r="BO83" s="370" t="e">
        <f aca="false">xSPRDOPT($BW83,$BV83,$CG83,0,$BY83,$BX83,$BZ83,$AJ83,1,0)</f>
        <v>#NAME?</v>
      </c>
      <c r="BP83" s="370"/>
      <c r="BQ83" s="370"/>
      <c r="BR83" s="370"/>
      <c r="BS83" s="370"/>
      <c r="BV83" s="508" t="n">
        <v>3.44578313253012</v>
      </c>
      <c r="BW83" s="369" t="n">
        <v>3.467</v>
      </c>
      <c r="BX83" s="370" t="n">
        <v>0.37</v>
      </c>
      <c r="BY83" s="370" t="n">
        <v>0.37</v>
      </c>
      <c r="BZ83" s="370" t="n">
        <v>0</v>
      </c>
      <c r="CA83" s="370" t="n">
        <v>0.0348361539671314</v>
      </c>
      <c r="CB83" s="370" t="n">
        <v>0</v>
      </c>
      <c r="CC83" s="505" t="n">
        <v>0</v>
      </c>
      <c r="CD83" s="505" t="n">
        <v>0.03</v>
      </c>
      <c r="CE83" s="505" t="n">
        <v>0.065</v>
      </c>
      <c r="CF83" s="505" t="n">
        <v>0</v>
      </c>
      <c r="CG83" s="505" t="n">
        <v>0.0006</v>
      </c>
      <c r="CH83" s="505" t="n">
        <v>0</v>
      </c>
      <c r="CI83" s="505" t="n">
        <v>3.402</v>
      </c>
      <c r="CJ83" s="505"/>
      <c r="CK83" s="505"/>
      <c r="CL83" s="505"/>
      <c r="CM83" s="505"/>
    </row>
    <row r="84" customFormat="false" ht="12.75" hidden="false" customHeight="false" outlineLevel="0" collapsed="false">
      <c r="A84" s="500"/>
      <c r="B84" s="500"/>
      <c r="D84" s="361" t="e">
        <f aca="false">D83+AH83</f>
        <v>#VALUE!</v>
      </c>
      <c r="F84" s="362" t="e">
        <f aca="false">VLOOKUP(AG84,$AL$4:$AS$15,2)</f>
        <v>#VALUE!</v>
      </c>
      <c r="G84" s="362" t="e">
        <f aca="false">F84*$AU84</f>
        <v>#VALUE!</v>
      </c>
      <c r="H84" s="363" t="e">
        <f aca="false">(AL84+AM84+AN84)/(1-(AR84))</f>
        <v>#VALUE!</v>
      </c>
      <c r="I84" s="363" t="e">
        <f aca="false">(AL84+AO84+AP84)</f>
        <v>#VALUE!</v>
      </c>
      <c r="K84" s="363" t="e">
        <f aca="false">MAX(((I84-H84)-AQ84)*AU84*AH84,0)</f>
        <v>#VALUE!</v>
      </c>
      <c r="L84" s="501" t="e">
        <f aca="false">MAX(Q84-K84,0)</f>
        <v>#VALUE!</v>
      </c>
      <c r="N84" s="502" t="e">
        <f aca="false">SQRT(($AX84^2*($AH84/2)+$AW84^2*$AI84)/(($AH84/2)+$AI84))</f>
        <v>#VALUE!</v>
      </c>
      <c r="O84" s="502" t="e">
        <f aca="false">SQRT(($AY84^2*($AH84/2)+$AW84^2*$AI84)/(($AH84/2)+$AI84))</f>
        <v>#VALUE!</v>
      </c>
      <c r="P84" s="371" t="e">
        <f aca="false">(VLOOKUP(AI84,CorrelationTwo,2)*(AW84^2)*AI84+VLOOKUP(D84,CorrelationOne,$AK$9)*AX84*AY84*(AH84/2))/((AI84+(AH84/2))*O84*N84)*AF84</f>
        <v>#VALUE!</v>
      </c>
      <c r="Q84" s="501" t="e">
        <f aca="false">xSPRDOPT(I84,H84,AQ84,0,O84,N84,P84,D84-$G$5,1,0)*AH84*AU84</f>
        <v>#VALUE!</v>
      </c>
      <c r="R84" s="501"/>
      <c r="S84" s="365" t="e">
        <f aca="false">xSPRDOPT(I84,H84,AQ84,AT84,O84,N84,P84,D84-$G$5,1,2)*AF84*(F84/(1-AR84))*AH84</f>
        <v>#VALUE!</v>
      </c>
      <c r="T84" s="365" t="e">
        <f aca="false">xSPRDOPT(I84,H84,AQ84,AT84,O84,N84,P84,D84-$G$5,1,1)*AF84*F84*AH84</f>
        <v>#VALUE!</v>
      </c>
      <c r="U84" s="501"/>
      <c r="V84" s="503" t="e">
        <f aca="false">VLOOKUP($AG84,$AL$4:$AS$15,8)*AH84*AU84</f>
        <v>#VALUE!</v>
      </c>
      <c r="W84" s="503"/>
      <c r="X84" s="504" t="e">
        <f aca="false">((BM84*BC84)+(BL84*BB84))*AH84*F84</f>
        <v>#VALUE!</v>
      </c>
      <c r="Y84" s="504" t="e">
        <f aca="false">($F84*$AH84)*((($BG84/2)*($BC84)^2)+(($BF84/2)*($BB84)^2)+($BH84*$BC84*$BB84))</f>
        <v>#VALUE!</v>
      </c>
      <c r="Z84" s="504" t="e">
        <f aca="false">($BI84*$F84*$AH84*($G$5-$BV$5))/365.25</f>
        <v>#VALUE!</v>
      </c>
      <c r="AA84" s="504" t="e">
        <f aca="false">(($BK84*$BE84)+($BJ84*$BD84))*$F84*$AH84*$AF84</f>
        <v>#VALUE!</v>
      </c>
      <c r="AB84" s="504" t="e">
        <f aca="false">BN84*(AT84-CA84)*F84*AH84</f>
        <v>#VALUE!</v>
      </c>
      <c r="AC84" s="504" t="e">
        <f aca="false">BO84*CB84*F84*AH84*CA84*($G$5-$BV$5)/365.25</f>
        <v>#NAME?</v>
      </c>
      <c r="AF84" s="378" t="e">
        <f aca="false">IF(AND(D84&gt;=$G$7,D84&lt;=$G$8),1,0)</f>
        <v>#VALUE!</v>
      </c>
      <c r="AG84" s="378" t="e">
        <f aca="false">MONTH(D84)</f>
        <v>#VALUE!</v>
      </c>
      <c r="AH84" s="378" t="e">
        <f aca="false">(EOMONTH(D84,0)-EOMONTH(D84-DAY(D84),0))*AF84</f>
        <v>#VALUE!</v>
      </c>
      <c r="AI84" s="378" t="e">
        <f aca="false">AI83+AH83</f>
        <v>#VALUE!</v>
      </c>
      <c r="AJ84" s="378" t="e">
        <f aca="false">D84-$BV$5</f>
        <v>#VALUE!</v>
      </c>
      <c r="AL84" s="369" t="e">
        <f aca="false">VLOOKUP($D84,CurveTbl,$AK$4)</f>
        <v>#VALUE!</v>
      </c>
      <c r="AM84" s="505" t="e">
        <f aca="false">VLOOKUP($D84,CurveTbl,$AH$3)</f>
        <v>#VALUE!</v>
      </c>
      <c r="AN84" s="505" t="e">
        <f aca="false">VLOOKUP($D84,CurveTbl,$AH$4)+VLOOKUP($AG84,$AL$3:$AS$15,6)</f>
        <v>#VALUE!</v>
      </c>
      <c r="AO84" s="505" t="e">
        <f aca="false">VLOOKUP($D84,CurveTbl,$AH$5)</f>
        <v>#VALUE!</v>
      </c>
      <c r="AP84" s="505" t="e">
        <f aca="false">VLOOKUP($D84,CurveTbl,$AH$6)+VLOOKUP($AG84,$AL$3:$AS$15,7)</f>
        <v>#VALUE!</v>
      </c>
      <c r="AQ84" s="369" t="e">
        <f aca="false">VLOOKUP($AG84,$AL$4:$AS$15,3)+VLOOKUP($AG84,$AL$4:$AS$15,5)+($AH$10*VLOOKUP(D84,GRITable,2))</f>
        <v>#VALUE!</v>
      </c>
      <c r="AR84" s="370" t="e">
        <f aca="false">VLOOKUP($AG84,$AL$4:$AS$15,4)</f>
        <v>#VALUE!</v>
      </c>
      <c r="AS84" s="369" t="e">
        <f aca="false">(AL84+AM84+AN84)</f>
        <v>#VALUE!</v>
      </c>
      <c r="AT84" s="370" t="e">
        <f aca="false">VLOOKUP(D84,CurveTbl,$AK$6)</f>
        <v>#VALUE!</v>
      </c>
      <c r="AU84" s="370" t="e">
        <f aca="false">(1+$AT84/2)^(-2*($D84-$G$5)/365.25)*$AF84</f>
        <v>#VALUE!</v>
      </c>
      <c r="AV84" s="506" t="e">
        <f aca="false">ROUND((F84/(1-AR84))-F84,0)*AF84*AH84*AU84</f>
        <v>#VALUE!</v>
      </c>
      <c r="AW84" s="370" t="e">
        <f aca="false">VLOOKUP($D84,CurveTbl,$AK$8)</f>
        <v>#VALUE!</v>
      </c>
      <c r="AX84" s="370" t="e">
        <f aca="false">VLOOKUP($D84,CurveTbl,$AH$7)</f>
        <v>#VALUE!</v>
      </c>
      <c r="AY84" s="370" t="e">
        <f aca="false">VLOOKUP($D84,CurveTbl,$AH$8)</f>
        <v>#VALUE!</v>
      </c>
      <c r="AZ84" s="370"/>
      <c r="BA84" s="507"/>
      <c r="BB84" s="505" t="e">
        <f aca="false">$H84-$BV84</f>
        <v>#VALUE!</v>
      </c>
      <c r="BC84" s="505" t="e">
        <f aca="false">I84-BW84</f>
        <v>#VALUE!</v>
      </c>
      <c r="BD84" s="370" t="e">
        <f aca="false">N84-BX84</f>
        <v>#VALUE!</v>
      </c>
      <c r="BE84" s="370" t="e">
        <f aca="false">O84-BY84</f>
        <v>#VALUE!</v>
      </c>
      <c r="BF84" s="370" t="e">
        <f aca="false">xSPRDOPT($BW84,$BV84,$CG84,0,$BY84,$BX84,$BZ84,$AJ84,1,4)*$CB84</f>
        <v>#NAME?</v>
      </c>
      <c r="BG84" s="370" t="e">
        <f aca="false">xSPRDOPT($BW84,$BV84,$CG84,0,$BY84,$BX84,$BZ84,$AJ84,1,3)*$CB84</f>
        <v>#NAME?</v>
      </c>
      <c r="BH84" s="370" t="e">
        <f aca="false">IF(OR(BF84&lt;&gt;0,BG84&lt;&gt;0),xSPRDOPT($BW84,$BV84,$CG84,0,$BY84,$BX84,$BZ84,$AJ84,1,12)*$CB84,0)</f>
        <v>#NAME?</v>
      </c>
      <c r="BI84" s="370" t="e">
        <f aca="false">xSPRDOPT($BW84,$BV84,$CG84,2*LN(1+CA84/2),$BY84,$BX84,$BZ84,$AJ84,1,9)</f>
        <v>#NAME?</v>
      </c>
      <c r="BJ84" s="370" t="e">
        <f aca="false">xSPRDOPT($BW84,$BV84,$CG84,0,$BY84,$BX84,$BZ84,$AJ84,1,6)*$CB84</f>
        <v>#NAME?</v>
      </c>
      <c r="BK84" s="370" t="e">
        <f aca="false">xSPRDOPT($BW84,$BV84,$CG84,0,$BY84,$BX84,$BZ84,$AJ84,1,5)*$CB84</f>
        <v>#NAME?</v>
      </c>
      <c r="BL84" s="370" t="e">
        <f aca="false">xSPRDOPT(BW84,BV84,CG84,0,BY84,BX84,BZ84,AJ84,1,2)*CB84</f>
        <v>#NAME?</v>
      </c>
      <c r="BM84" s="370" t="e">
        <f aca="false">xSPRDOPT(BW84,BV84,CG84,0,BY84,BX84,BZ84,AJ84,1,1)*CB84</f>
        <v>#NAME?</v>
      </c>
      <c r="BN84" s="370" t="e">
        <f aca="false">IF(AH84&lt;&gt;0,xSPRDOPT($BW84,$BV84,$CG84,2*LN(1+CA84/2),$BY84,$BX84,$BZ84,$AJ84,1,8)+(AJ84/365.25)*CH84/AH84,0)</f>
        <v>#VALUE!</v>
      </c>
      <c r="BO84" s="370" t="e">
        <f aca="false">xSPRDOPT($BW84,$BV84,$CG84,0,$BY84,$BX84,$BZ84,$AJ84,1,0)</f>
        <v>#NAME?</v>
      </c>
      <c r="BP84" s="370"/>
      <c r="BQ84" s="370"/>
      <c r="BR84" s="370"/>
      <c r="BS84" s="370"/>
      <c r="BV84" s="508" t="n">
        <v>3.44578313253012</v>
      </c>
      <c r="BW84" s="369" t="n">
        <v>3.467</v>
      </c>
      <c r="BX84" s="370" t="n">
        <v>0.37</v>
      </c>
      <c r="BY84" s="370" t="n">
        <v>0.37</v>
      </c>
      <c r="BZ84" s="370" t="n">
        <v>0</v>
      </c>
      <c r="CA84" s="370" t="n">
        <v>0.0348361539671314</v>
      </c>
      <c r="CB84" s="370" t="n">
        <v>0</v>
      </c>
      <c r="CC84" s="505" t="n">
        <v>0</v>
      </c>
      <c r="CD84" s="505" t="n">
        <v>0.03</v>
      </c>
      <c r="CE84" s="505" t="n">
        <v>0.065</v>
      </c>
      <c r="CF84" s="505" t="n">
        <v>0</v>
      </c>
      <c r="CG84" s="505" t="n">
        <v>0.0006</v>
      </c>
      <c r="CH84" s="505" t="n">
        <v>0</v>
      </c>
      <c r="CI84" s="505" t="n">
        <v>3.402</v>
      </c>
      <c r="CJ84" s="505"/>
      <c r="CK84" s="505"/>
      <c r="CL84" s="505"/>
      <c r="CM84" s="505"/>
    </row>
    <row r="85" customFormat="false" ht="12.75" hidden="false" customHeight="false" outlineLevel="0" collapsed="false">
      <c r="A85" s="500"/>
      <c r="B85" s="500"/>
      <c r="D85" s="361" t="e">
        <f aca="false">D84+AH84</f>
        <v>#VALUE!</v>
      </c>
      <c r="F85" s="362" t="e">
        <f aca="false">VLOOKUP(AG85,$AL$4:$AS$15,2)</f>
        <v>#VALUE!</v>
      </c>
      <c r="G85" s="362" t="e">
        <f aca="false">F85*$AU85</f>
        <v>#VALUE!</v>
      </c>
      <c r="H85" s="363" t="e">
        <f aca="false">(AL85+AM85+AN85)/(1-(AR85))</f>
        <v>#VALUE!</v>
      </c>
      <c r="I85" s="363" t="e">
        <f aca="false">(AL85+AO85+AP85)</f>
        <v>#VALUE!</v>
      </c>
      <c r="K85" s="363" t="e">
        <f aca="false">MAX(((I85-H85)-AQ85)*AU85*AH85,0)</f>
        <v>#VALUE!</v>
      </c>
      <c r="L85" s="501" t="e">
        <f aca="false">MAX(Q85-K85,0)</f>
        <v>#VALUE!</v>
      </c>
      <c r="N85" s="502" t="e">
        <f aca="false">SQRT(($AX85^2*($AH85/2)+$AW85^2*$AI85)/(($AH85/2)+$AI85))</f>
        <v>#VALUE!</v>
      </c>
      <c r="O85" s="502" t="e">
        <f aca="false">SQRT(($AY85^2*($AH85/2)+$AW85^2*$AI85)/(($AH85/2)+$AI85))</f>
        <v>#VALUE!</v>
      </c>
      <c r="P85" s="371" t="e">
        <f aca="false">(VLOOKUP(AI85,CorrelationTwo,2)*(AW85^2)*AI85+VLOOKUP(D85,CorrelationOne,$AK$9)*AX85*AY85*(AH85/2))/((AI85+(AH85/2))*O85*N85)*AF85</f>
        <v>#VALUE!</v>
      </c>
      <c r="Q85" s="501" t="e">
        <f aca="false">xSPRDOPT(I85,H85,AQ85,0,O85,N85,P85,D85-$G$5,1,0)*AH85*AU85</f>
        <v>#VALUE!</v>
      </c>
      <c r="R85" s="501"/>
      <c r="S85" s="365" t="e">
        <f aca="false">xSPRDOPT(I85,H85,AQ85,AT85,O85,N85,P85,D85-$G$5,1,2)*AF85*(F85/(1-AR85))*AH85</f>
        <v>#VALUE!</v>
      </c>
      <c r="T85" s="365" t="e">
        <f aca="false">xSPRDOPT(I85,H85,AQ85,AT85,O85,N85,P85,D85-$G$5,1,1)*AF85*F85*AH85</f>
        <v>#VALUE!</v>
      </c>
      <c r="U85" s="501"/>
      <c r="V85" s="503" t="e">
        <f aca="false">VLOOKUP($AG85,$AL$4:$AS$15,8)*AH85*AU85</f>
        <v>#VALUE!</v>
      </c>
      <c r="W85" s="503"/>
      <c r="X85" s="504" t="e">
        <f aca="false">((BM85*BC85)+(BL85*BB85))*AH85*F85</f>
        <v>#VALUE!</v>
      </c>
      <c r="Y85" s="504" t="e">
        <f aca="false">($F85*$AH85)*((($BG85/2)*($BC85)^2)+(($BF85/2)*($BB85)^2)+($BH85*$BC85*$BB85))</f>
        <v>#VALUE!</v>
      </c>
      <c r="Z85" s="504" t="e">
        <f aca="false">($BI85*$F85*$AH85*($G$5-$BV$5))/365.25</f>
        <v>#VALUE!</v>
      </c>
      <c r="AA85" s="504" t="e">
        <f aca="false">(($BK85*$BE85)+($BJ85*$BD85))*$F85*$AH85*$AF85</f>
        <v>#VALUE!</v>
      </c>
      <c r="AB85" s="504" t="e">
        <f aca="false">BN85*(AT85-CA85)*F85*AH85</f>
        <v>#VALUE!</v>
      </c>
      <c r="AC85" s="504" t="e">
        <f aca="false">BO85*CB85*F85*AH85*CA85*($G$5-$BV$5)/365.25</f>
        <v>#NAME?</v>
      </c>
      <c r="AF85" s="378" t="e">
        <f aca="false">IF(AND(D85&gt;=$G$7,D85&lt;=$G$8),1,0)</f>
        <v>#VALUE!</v>
      </c>
      <c r="AG85" s="378" t="e">
        <f aca="false">MONTH(D85)</f>
        <v>#VALUE!</v>
      </c>
      <c r="AH85" s="378" t="e">
        <f aca="false">(EOMONTH(D85,0)-EOMONTH(D85-DAY(D85),0))*AF85</f>
        <v>#VALUE!</v>
      </c>
      <c r="AI85" s="378" t="e">
        <f aca="false">AI84+AH84</f>
        <v>#VALUE!</v>
      </c>
      <c r="AJ85" s="378" t="e">
        <f aca="false">D85-$BV$5</f>
        <v>#VALUE!</v>
      </c>
      <c r="AL85" s="369" t="e">
        <f aca="false">VLOOKUP($D85,CurveTbl,$AK$4)</f>
        <v>#VALUE!</v>
      </c>
      <c r="AM85" s="505" t="e">
        <f aca="false">VLOOKUP($D85,CurveTbl,$AH$3)</f>
        <v>#VALUE!</v>
      </c>
      <c r="AN85" s="505" t="e">
        <f aca="false">VLOOKUP($D85,CurveTbl,$AH$4)+VLOOKUP($AG85,$AL$3:$AS$15,6)</f>
        <v>#VALUE!</v>
      </c>
      <c r="AO85" s="505" t="e">
        <f aca="false">VLOOKUP($D85,CurveTbl,$AH$5)</f>
        <v>#VALUE!</v>
      </c>
      <c r="AP85" s="505" t="e">
        <f aca="false">VLOOKUP($D85,CurveTbl,$AH$6)+VLOOKUP($AG85,$AL$3:$AS$15,7)</f>
        <v>#VALUE!</v>
      </c>
      <c r="AQ85" s="369" t="e">
        <f aca="false">VLOOKUP($AG85,$AL$4:$AS$15,3)+VLOOKUP($AG85,$AL$4:$AS$15,5)+($AH$10*VLOOKUP(D85,GRITable,2))</f>
        <v>#VALUE!</v>
      </c>
      <c r="AR85" s="370" t="e">
        <f aca="false">VLOOKUP($AG85,$AL$4:$AS$15,4)</f>
        <v>#VALUE!</v>
      </c>
      <c r="AS85" s="369" t="e">
        <f aca="false">(AL85+AM85+AN85)</f>
        <v>#VALUE!</v>
      </c>
      <c r="AT85" s="370" t="e">
        <f aca="false">VLOOKUP(D85,CurveTbl,$AK$6)</f>
        <v>#VALUE!</v>
      </c>
      <c r="AU85" s="370" t="e">
        <f aca="false">(1+$AT85/2)^(-2*($D85-$G$5)/365.25)*$AF85</f>
        <v>#VALUE!</v>
      </c>
      <c r="AV85" s="506" t="e">
        <f aca="false">ROUND((F85/(1-AR85))-F85,0)*AF85*AH85*AU85</f>
        <v>#VALUE!</v>
      </c>
      <c r="AW85" s="370" t="e">
        <f aca="false">VLOOKUP($D85,CurveTbl,$AK$8)</f>
        <v>#VALUE!</v>
      </c>
      <c r="AX85" s="370" t="e">
        <f aca="false">VLOOKUP($D85,CurveTbl,$AH$7)</f>
        <v>#VALUE!</v>
      </c>
      <c r="AY85" s="370" t="e">
        <f aca="false">VLOOKUP($D85,CurveTbl,$AH$8)</f>
        <v>#VALUE!</v>
      </c>
      <c r="AZ85" s="370"/>
      <c r="BA85" s="507"/>
      <c r="BB85" s="505" t="e">
        <f aca="false">$H85-$BV85</f>
        <v>#VALUE!</v>
      </c>
      <c r="BC85" s="505" t="e">
        <f aca="false">I85-BW85</f>
        <v>#VALUE!</v>
      </c>
      <c r="BD85" s="370" t="e">
        <f aca="false">N85-BX85</f>
        <v>#VALUE!</v>
      </c>
      <c r="BE85" s="370" t="e">
        <f aca="false">O85-BY85</f>
        <v>#VALUE!</v>
      </c>
      <c r="BF85" s="370" t="e">
        <f aca="false">xSPRDOPT($BW85,$BV85,$CG85,0,$BY85,$BX85,$BZ85,$AJ85,1,4)*$CB85</f>
        <v>#NAME?</v>
      </c>
      <c r="BG85" s="370" t="e">
        <f aca="false">xSPRDOPT($BW85,$BV85,$CG85,0,$BY85,$BX85,$BZ85,$AJ85,1,3)*$CB85</f>
        <v>#NAME?</v>
      </c>
      <c r="BH85" s="370" t="e">
        <f aca="false">IF(OR(BF85&lt;&gt;0,BG85&lt;&gt;0),xSPRDOPT($BW85,$BV85,$CG85,0,$BY85,$BX85,$BZ85,$AJ85,1,12)*$CB85,0)</f>
        <v>#NAME?</v>
      </c>
      <c r="BI85" s="370" t="e">
        <f aca="false">xSPRDOPT($BW85,$BV85,$CG85,2*LN(1+CA85/2),$BY85,$BX85,$BZ85,$AJ85,1,9)</f>
        <v>#NAME?</v>
      </c>
      <c r="BJ85" s="370" t="e">
        <f aca="false">xSPRDOPT($BW85,$BV85,$CG85,0,$BY85,$BX85,$BZ85,$AJ85,1,6)*$CB85</f>
        <v>#NAME?</v>
      </c>
      <c r="BK85" s="370" t="e">
        <f aca="false">xSPRDOPT($BW85,$BV85,$CG85,0,$BY85,$BX85,$BZ85,$AJ85,1,5)*$CB85</f>
        <v>#NAME?</v>
      </c>
      <c r="BL85" s="370" t="e">
        <f aca="false">xSPRDOPT(BW85,BV85,CG85,0,BY85,BX85,BZ85,AJ85,1,2)*CB85</f>
        <v>#NAME?</v>
      </c>
      <c r="BM85" s="370" t="e">
        <f aca="false">xSPRDOPT(BW85,BV85,CG85,0,BY85,BX85,BZ85,AJ85,1,1)*CB85</f>
        <v>#NAME?</v>
      </c>
      <c r="BN85" s="370" t="e">
        <f aca="false">IF(AH85&lt;&gt;0,xSPRDOPT($BW85,$BV85,$CG85,2*LN(1+CA85/2),$BY85,$BX85,$BZ85,$AJ85,1,8)+(AJ85/365.25)*CH85/AH85,0)</f>
        <v>#VALUE!</v>
      </c>
      <c r="BO85" s="370" t="e">
        <f aca="false">xSPRDOPT($BW85,$BV85,$CG85,0,$BY85,$BX85,$BZ85,$AJ85,1,0)</f>
        <v>#NAME?</v>
      </c>
      <c r="BP85" s="370"/>
      <c r="BQ85" s="370"/>
      <c r="BR85" s="370"/>
      <c r="BS85" s="370"/>
      <c r="BV85" s="508" t="n">
        <v>3.44578313253012</v>
      </c>
      <c r="BW85" s="369" t="n">
        <v>3.467</v>
      </c>
      <c r="BX85" s="370" t="n">
        <v>0.37</v>
      </c>
      <c r="BY85" s="370" t="n">
        <v>0.37</v>
      </c>
      <c r="BZ85" s="370" t="n">
        <v>0</v>
      </c>
      <c r="CA85" s="370" t="n">
        <v>0.0348361539671314</v>
      </c>
      <c r="CB85" s="370" t="n">
        <v>0</v>
      </c>
      <c r="CC85" s="505" t="n">
        <v>0</v>
      </c>
      <c r="CD85" s="505" t="n">
        <v>0.03</v>
      </c>
      <c r="CE85" s="505" t="n">
        <v>0.065</v>
      </c>
      <c r="CF85" s="505" t="n">
        <v>0</v>
      </c>
      <c r="CG85" s="505" t="n">
        <v>0.0006</v>
      </c>
      <c r="CH85" s="505" t="n">
        <v>0</v>
      </c>
      <c r="CI85" s="505" t="n">
        <v>3.402</v>
      </c>
      <c r="CJ85" s="505"/>
      <c r="CK85" s="505"/>
      <c r="CL85" s="505"/>
      <c r="CM85" s="505"/>
    </row>
    <row r="86" customFormat="false" ht="12.75" hidden="false" customHeight="false" outlineLevel="0" collapsed="false">
      <c r="A86" s="500"/>
      <c r="B86" s="500"/>
      <c r="D86" s="361" t="e">
        <f aca="false">D85+AH85</f>
        <v>#VALUE!</v>
      </c>
      <c r="F86" s="362" t="e">
        <f aca="false">VLOOKUP(AG86,$AL$4:$AS$15,2)</f>
        <v>#VALUE!</v>
      </c>
      <c r="G86" s="362" t="e">
        <f aca="false">F86*$AU86</f>
        <v>#VALUE!</v>
      </c>
      <c r="H86" s="363" t="e">
        <f aca="false">(AL86+AM86+AN86)/(1-(AR86))</f>
        <v>#VALUE!</v>
      </c>
      <c r="I86" s="363" t="e">
        <f aca="false">(AL86+AO86+AP86)</f>
        <v>#VALUE!</v>
      </c>
      <c r="K86" s="363" t="e">
        <f aca="false">MAX(((I86-H86)-AQ86)*AU86*AH86,0)</f>
        <v>#VALUE!</v>
      </c>
      <c r="L86" s="501" t="e">
        <f aca="false">MAX(Q86-K86,0)</f>
        <v>#VALUE!</v>
      </c>
      <c r="N86" s="502" t="e">
        <f aca="false">SQRT(($AX86^2*($AH86/2)+$AW86^2*$AI86)/(($AH86/2)+$AI86))</f>
        <v>#VALUE!</v>
      </c>
      <c r="O86" s="502" t="e">
        <f aca="false">SQRT(($AY86^2*($AH86/2)+$AW86^2*$AI86)/(($AH86/2)+$AI86))</f>
        <v>#VALUE!</v>
      </c>
      <c r="P86" s="371" t="e">
        <f aca="false">(VLOOKUP(AI86,CorrelationTwo,2)*(AW86^2)*AI86+VLOOKUP(D86,CorrelationOne,$AK$9)*AX86*AY86*(AH86/2))/((AI86+(AH86/2))*O86*N86)*AF86</f>
        <v>#VALUE!</v>
      </c>
      <c r="Q86" s="501" t="e">
        <f aca="false">xSPRDOPT(I86,H86,AQ86,0,O86,N86,P86,D86-$G$5,1,0)*AH86*AU86</f>
        <v>#VALUE!</v>
      </c>
      <c r="R86" s="501"/>
      <c r="S86" s="365" t="e">
        <f aca="false">xSPRDOPT(I86,H86,AQ86,AT86,O86,N86,P86,D86-$G$5,1,2)*AF86*(F86/(1-AR86))*AH86</f>
        <v>#VALUE!</v>
      </c>
      <c r="T86" s="365" t="e">
        <f aca="false">xSPRDOPT(I86,H86,AQ86,AT86,O86,N86,P86,D86-$G$5,1,1)*AF86*F86*AH86</f>
        <v>#VALUE!</v>
      </c>
      <c r="U86" s="501"/>
      <c r="V86" s="503" t="e">
        <f aca="false">VLOOKUP($AG86,$AL$4:$AS$15,8)*AH86*AU86</f>
        <v>#VALUE!</v>
      </c>
      <c r="W86" s="503"/>
      <c r="X86" s="504" t="e">
        <f aca="false">((BM86*BC86)+(BL86*BB86))*AH86*F86</f>
        <v>#VALUE!</v>
      </c>
      <c r="Y86" s="504" t="e">
        <f aca="false">($F86*$AH86)*((($BG86/2)*($BC86)^2)+(($BF86/2)*($BB86)^2)+($BH86*$BC86*$BB86))</f>
        <v>#VALUE!</v>
      </c>
      <c r="Z86" s="504" t="e">
        <f aca="false">($BI86*$F86*$AH86*($G$5-$BV$5))/365.25</f>
        <v>#VALUE!</v>
      </c>
      <c r="AA86" s="504" t="e">
        <f aca="false">(($BK86*$BE86)+($BJ86*$BD86))*$F86*$AH86*$AF86</f>
        <v>#VALUE!</v>
      </c>
      <c r="AB86" s="504" t="e">
        <f aca="false">BN86*(AT86-CA86)*F86*AH86</f>
        <v>#VALUE!</v>
      </c>
      <c r="AC86" s="504" t="e">
        <f aca="false">BO86*CB86*F86*AH86*CA86*($G$5-$BV$5)/365.25</f>
        <v>#NAME?</v>
      </c>
      <c r="AF86" s="378" t="e">
        <f aca="false">IF(AND(D86&gt;=$G$7,D86&lt;=$G$8),1,0)</f>
        <v>#VALUE!</v>
      </c>
      <c r="AG86" s="378" t="e">
        <f aca="false">MONTH(D86)</f>
        <v>#VALUE!</v>
      </c>
      <c r="AH86" s="378" t="e">
        <f aca="false">(EOMONTH(D86,0)-EOMONTH(D86-DAY(D86),0))*AF86</f>
        <v>#VALUE!</v>
      </c>
      <c r="AI86" s="378" t="e">
        <f aca="false">AI85+AH85</f>
        <v>#VALUE!</v>
      </c>
      <c r="AJ86" s="378" t="e">
        <f aca="false">D86-$BV$5</f>
        <v>#VALUE!</v>
      </c>
      <c r="AL86" s="369" t="e">
        <f aca="false">VLOOKUP($D86,CurveTbl,$AK$4)</f>
        <v>#VALUE!</v>
      </c>
      <c r="AM86" s="505" t="e">
        <f aca="false">VLOOKUP($D86,CurveTbl,$AH$3)</f>
        <v>#VALUE!</v>
      </c>
      <c r="AN86" s="505" t="e">
        <f aca="false">VLOOKUP($D86,CurveTbl,$AH$4)+VLOOKUP($AG86,$AL$3:$AS$15,6)</f>
        <v>#VALUE!</v>
      </c>
      <c r="AO86" s="505" t="e">
        <f aca="false">VLOOKUP($D86,CurveTbl,$AH$5)</f>
        <v>#VALUE!</v>
      </c>
      <c r="AP86" s="505" t="e">
        <f aca="false">VLOOKUP($D86,CurveTbl,$AH$6)+VLOOKUP($AG86,$AL$3:$AS$15,7)</f>
        <v>#VALUE!</v>
      </c>
      <c r="AQ86" s="369" t="e">
        <f aca="false">VLOOKUP($AG86,$AL$4:$AS$15,3)+VLOOKUP($AG86,$AL$4:$AS$15,5)+($AH$10*VLOOKUP(D86,GRITable,2))</f>
        <v>#VALUE!</v>
      </c>
      <c r="AR86" s="370" t="e">
        <f aca="false">VLOOKUP($AG86,$AL$4:$AS$15,4)</f>
        <v>#VALUE!</v>
      </c>
      <c r="AS86" s="369" t="e">
        <f aca="false">(AL86+AM86+AN86)</f>
        <v>#VALUE!</v>
      </c>
      <c r="AT86" s="370" t="e">
        <f aca="false">VLOOKUP(D86,CurveTbl,$AK$6)</f>
        <v>#VALUE!</v>
      </c>
      <c r="AU86" s="370" t="e">
        <f aca="false">(1+$AT86/2)^(-2*($D86-$G$5)/365.25)*$AF86</f>
        <v>#VALUE!</v>
      </c>
      <c r="AV86" s="506" t="e">
        <f aca="false">ROUND((F86/(1-AR86))-F86,0)*AF86*AH86*AU86</f>
        <v>#VALUE!</v>
      </c>
      <c r="AW86" s="370" t="e">
        <f aca="false">VLOOKUP($D86,CurveTbl,$AK$8)</f>
        <v>#VALUE!</v>
      </c>
      <c r="AX86" s="370" t="e">
        <f aca="false">VLOOKUP($D86,CurveTbl,$AH$7)</f>
        <v>#VALUE!</v>
      </c>
      <c r="AY86" s="370" t="e">
        <f aca="false">VLOOKUP($D86,CurveTbl,$AH$8)</f>
        <v>#VALUE!</v>
      </c>
      <c r="AZ86" s="370"/>
      <c r="BA86" s="507"/>
      <c r="BB86" s="505" t="e">
        <f aca="false">$H86-$BV86</f>
        <v>#VALUE!</v>
      </c>
      <c r="BC86" s="505" t="e">
        <f aca="false">I86-BW86</f>
        <v>#VALUE!</v>
      </c>
      <c r="BD86" s="370" t="e">
        <f aca="false">N86-BX86</f>
        <v>#VALUE!</v>
      </c>
      <c r="BE86" s="370" t="e">
        <f aca="false">O86-BY86</f>
        <v>#VALUE!</v>
      </c>
      <c r="BF86" s="370" t="e">
        <f aca="false">xSPRDOPT($BW86,$BV86,$CG86,0,$BY86,$BX86,$BZ86,$AJ86,1,4)*$CB86</f>
        <v>#NAME?</v>
      </c>
      <c r="BG86" s="370" t="e">
        <f aca="false">xSPRDOPT($BW86,$BV86,$CG86,0,$BY86,$BX86,$BZ86,$AJ86,1,3)*$CB86</f>
        <v>#NAME?</v>
      </c>
      <c r="BH86" s="370" t="e">
        <f aca="false">IF(OR(BF86&lt;&gt;0,BG86&lt;&gt;0),xSPRDOPT($BW86,$BV86,$CG86,0,$BY86,$BX86,$BZ86,$AJ86,1,12)*$CB86,0)</f>
        <v>#NAME?</v>
      </c>
      <c r="BI86" s="370" t="e">
        <f aca="false">xSPRDOPT($BW86,$BV86,$CG86,2*LN(1+CA86/2),$BY86,$BX86,$BZ86,$AJ86,1,9)</f>
        <v>#NAME?</v>
      </c>
      <c r="BJ86" s="370" t="e">
        <f aca="false">xSPRDOPT($BW86,$BV86,$CG86,0,$BY86,$BX86,$BZ86,$AJ86,1,6)*$CB86</f>
        <v>#NAME?</v>
      </c>
      <c r="BK86" s="370" t="e">
        <f aca="false">xSPRDOPT($BW86,$BV86,$CG86,0,$BY86,$BX86,$BZ86,$AJ86,1,5)*$CB86</f>
        <v>#NAME?</v>
      </c>
      <c r="BL86" s="370" t="e">
        <f aca="false">xSPRDOPT(BW86,BV86,CG86,0,BY86,BX86,BZ86,AJ86,1,2)*CB86</f>
        <v>#NAME?</v>
      </c>
      <c r="BM86" s="370" t="e">
        <f aca="false">xSPRDOPT(BW86,BV86,CG86,0,BY86,BX86,BZ86,AJ86,1,1)*CB86</f>
        <v>#NAME?</v>
      </c>
      <c r="BN86" s="370" t="e">
        <f aca="false">IF(AH86&lt;&gt;0,xSPRDOPT($BW86,$BV86,$CG86,2*LN(1+CA86/2),$BY86,$BX86,$BZ86,$AJ86,1,8)+(AJ86/365.25)*CH86/AH86,0)</f>
        <v>#VALUE!</v>
      </c>
      <c r="BO86" s="370" t="e">
        <f aca="false">xSPRDOPT($BW86,$BV86,$CG86,0,$BY86,$BX86,$BZ86,$AJ86,1,0)</f>
        <v>#NAME?</v>
      </c>
      <c r="BP86" s="370"/>
      <c r="BQ86" s="370"/>
      <c r="BR86" s="370"/>
      <c r="BS86" s="370"/>
      <c r="BV86" s="508" t="n">
        <v>3.44578313253012</v>
      </c>
      <c r="BW86" s="369" t="n">
        <v>3.467</v>
      </c>
      <c r="BX86" s="370" t="n">
        <v>0.37</v>
      </c>
      <c r="BY86" s="370" t="n">
        <v>0.37</v>
      </c>
      <c r="BZ86" s="370" t="n">
        <v>0</v>
      </c>
      <c r="CA86" s="370" t="n">
        <v>0.0348361539671314</v>
      </c>
      <c r="CB86" s="370" t="n">
        <v>0</v>
      </c>
      <c r="CC86" s="505" t="n">
        <v>0</v>
      </c>
      <c r="CD86" s="505" t="n">
        <v>0.03</v>
      </c>
      <c r="CE86" s="505" t="n">
        <v>0.065</v>
      </c>
      <c r="CF86" s="505" t="n">
        <v>0</v>
      </c>
      <c r="CG86" s="505" t="n">
        <v>0.0006</v>
      </c>
      <c r="CH86" s="505" t="n">
        <v>0</v>
      </c>
      <c r="CI86" s="505" t="n">
        <v>3.402</v>
      </c>
      <c r="CJ86" s="505"/>
      <c r="CK86" s="505"/>
      <c r="CL86" s="505"/>
      <c r="CM86" s="505"/>
    </row>
    <row r="87" customFormat="false" ht="12.75" hidden="false" customHeight="false" outlineLevel="0" collapsed="false">
      <c r="A87" s="500"/>
      <c r="B87" s="500"/>
      <c r="D87" s="361" t="e">
        <f aca="false">D86+AH86</f>
        <v>#VALUE!</v>
      </c>
      <c r="F87" s="362" t="e">
        <f aca="false">VLOOKUP(AG87,$AL$4:$AS$15,2)</f>
        <v>#VALUE!</v>
      </c>
      <c r="G87" s="362" t="e">
        <f aca="false">F87*$AU87</f>
        <v>#VALUE!</v>
      </c>
      <c r="H87" s="363" t="e">
        <f aca="false">(AL87+AM87+AN87)/(1-(AR87))</f>
        <v>#VALUE!</v>
      </c>
      <c r="I87" s="363" t="e">
        <f aca="false">(AL87+AO87+AP87)</f>
        <v>#VALUE!</v>
      </c>
      <c r="K87" s="363" t="e">
        <f aca="false">MAX(((I87-H87)-AQ87)*AU87*AH87,0)</f>
        <v>#VALUE!</v>
      </c>
      <c r="L87" s="501" t="e">
        <f aca="false">MAX(Q87-K87,0)</f>
        <v>#VALUE!</v>
      </c>
      <c r="N87" s="502" t="e">
        <f aca="false">SQRT(($AX87^2*($AH87/2)+$AW87^2*$AI87)/(($AH87/2)+$AI87))</f>
        <v>#VALUE!</v>
      </c>
      <c r="O87" s="502" t="e">
        <f aca="false">SQRT(($AY87^2*($AH87/2)+$AW87^2*$AI87)/(($AH87/2)+$AI87))</f>
        <v>#VALUE!</v>
      </c>
      <c r="P87" s="371" t="e">
        <f aca="false">(VLOOKUP(AI87,CorrelationTwo,2)*(AW87^2)*AI87+VLOOKUP(D87,CorrelationOne,$AK$9)*AX87*AY87*(AH87/2))/((AI87+(AH87/2))*O87*N87)*AF87</f>
        <v>#VALUE!</v>
      </c>
      <c r="Q87" s="501" t="e">
        <f aca="false">xSPRDOPT(I87,H87,AQ87,0,O87,N87,P87,D87-$G$5,1,0)*AH87*AU87</f>
        <v>#VALUE!</v>
      </c>
      <c r="R87" s="501"/>
      <c r="S87" s="365" t="e">
        <f aca="false">xSPRDOPT(I87,H87,AQ87,AT87,O87,N87,P87,D87-$G$5,1,2)*AF87*(F87/(1-AR87))*AH87</f>
        <v>#VALUE!</v>
      </c>
      <c r="T87" s="365" t="e">
        <f aca="false">xSPRDOPT(I87,H87,AQ87,AT87,O87,N87,P87,D87-$G$5,1,1)*AF87*F87*AH87</f>
        <v>#VALUE!</v>
      </c>
      <c r="U87" s="501"/>
      <c r="V87" s="503" t="e">
        <f aca="false">VLOOKUP($AG87,$AL$4:$AS$15,8)*AH87*AU87</f>
        <v>#VALUE!</v>
      </c>
      <c r="W87" s="503"/>
      <c r="X87" s="504" t="e">
        <f aca="false">((BM87*BC87)+(BL87*BB87))*AH87*F87</f>
        <v>#VALUE!</v>
      </c>
      <c r="Y87" s="504" t="e">
        <f aca="false">($F87*$AH87)*((($BG87/2)*($BC87)^2)+(($BF87/2)*($BB87)^2)+($BH87*$BC87*$BB87))</f>
        <v>#VALUE!</v>
      </c>
      <c r="Z87" s="504" t="e">
        <f aca="false">($BI87*$F87*$AH87*($G$5-$BV$5))/365.25</f>
        <v>#VALUE!</v>
      </c>
      <c r="AA87" s="504" t="e">
        <f aca="false">(($BK87*$BE87)+($BJ87*$BD87))*$F87*$AH87*$AF87</f>
        <v>#VALUE!</v>
      </c>
      <c r="AB87" s="504" t="e">
        <f aca="false">BN87*(AT87-CA87)*F87*AH87</f>
        <v>#VALUE!</v>
      </c>
      <c r="AC87" s="504" t="e">
        <f aca="false">BO87*CB87*F87*AH87*CA87*($G$5-$BV$5)/365.25</f>
        <v>#NAME?</v>
      </c>
      <c r="AF87" s="378" t="e">
        <f aca="false">IF(AND(D87&gt;=$G$7,D87&lt;=$G$8),1,0)</f>
        <v>#VALUE!</v>
      </c>
      <c r="AG87" s="378" t="e">
        <f aca="false">MONTH(D87)</f>
        <v>#VALUE!</v>
      </c>
      <c r="AH87" s="378" t="e">
        <f aca="false">(EOMONTH(D87,0)-EOMONTH(D87-DAY(D87),0))*AF87</f>
        <v>#VALUE!</v>
      </c>
      <c r="AI87" s="378" t="e">
        <f aca="false">AI86+AH86</f>
        <v>#VALUE!</v>
      </c>
      <c r="AJ87" s="378" t="e">
        <f aca="false">D87-$BV$5</f>
        <v>#VALUE!</v>
      </c>
      <c r="AL87" s="369" t="e">
        <f aca="false">VLOOKUP($D87,CurveTbl,$AK$4)</f>
        <v>#VALUE!</v>
      </c>
      <c r="AM87" s="505" t="e">
        <f aca="false">VLOOKUP($D87,CurveTbl,$AH$3)</f>
        <v>#VALUE!</v>
      </c>
      <c r="AN87" s="505" t="e">
        <f aca="false">VLOOKUP($D87,CurveTbl,$AH$4)+VLOOKUP($AG87,$AL$3:$AS$15,6)</f>
        <v>#VALUE!</v>
      </c>
      <c r="AO87" s="505" t="e">
        <f aca="false">VLOOKUP($D87,CurveTbl,$AH$5)</f>
        <v>#VALUE!</v>
      </c>
      <c r="AP87" s="505" t="e">
        <f aca="false">VLOOKUP($D87,CurveTbl,$AH$6)+VLOOKUP($AG87,$AL$3:$AS$15,7)</f>
        <v>#VALUE!</v>
      </c>
      <c r="AQ87" s="369" t="e">
        <f aca="false">VLOOKUP($AG87,$AL$4:$AS$15,3)+VLOOKUP($AG87,$AL$4:$AS$15,5)+($AH$10*VLOOKUP(D87,GRITable,2))</f>
        <v>#VALUE!</v>
      </c>
      <c r="AR87" s="370" t="e">
        <f aca="false">VLOOKUP($AG87,$AL$4:$AS$15,4)</f>
        <v>#VALUE!</v>
      </c>
      <c r="AS87" s="369" t="e">
        <f aca="false">(AL87+AM87+AN87)</f>
        <v>#VALUE!</v>
      </c>
      <c r="AT87" s="370" t="e">
        <f aca="false">VLOOKUP(D87,CurveTbl,$AK$6)</f>
        <v>#VALUE!</v>
      </c>
      <c r="AU87" s="370" t="e">
        <f aca="false">(1+$AT87/2)^(-2*($D87-$G$5)/365.25)*$AF87</f>
        <v>#VALUE!</v>
      </c>
      <c r="AV87" s="506" t="e">
        <f aca="false">ROUND((F87/(1-AR87))-F87,0)*AF87*AH87*AU87</f>
        <v>#VALUE!</v>
      </c>
      <c r="AW87" s="370" t="e">
        <f aca="false">VLOOKUP($D87,CurveTbl,$AK$8)</f>
        <v>#VALUE!</v>
      </c>
      <c r="AX87" s="370" t="e">
        <f aca="false">VLOOKUP($D87,CurveTbl,$AH$7)</f>
        <v>#VALUE!</v>
      </c>
      <c r="AY87" s="370" t="e">
        <f aca="false">VLOOKUP($D87,CurveTbl,$AH$8)</f>
        <v>#VALUE!</v>
      </c>
      <c r="AZ87" s="370"/>
      <c r="BA87" s="507"/>
      <c r="BB87" s="505" t="e">
        <f aca="false">$H87-$BV87</f>
        <v>#VALUE!</v>
      </c>
      <c r="BC87" s="505" t="e">
        <f aca="false">I87-BW87</f>
        <v>#VALUE!</v>
      </c>
      <c r="BD87" s="370" t="e">
        <f aca="false">N87-BX87</f>
        <v>#VALUE!</v>
      </c>
      <c r="BE87" s="370" t="e">
        <f aca="false">O87-BY87</f>
        <v>#VALUE!</v>
      </c>
      <c r="BF87" s="370" t="e">
        <f aca="false">xSPRDOPT($BW87,$BV87,$CG87,0,$BY87,$BX87,$BZ87,$AJ87,1,4)*$CB87</f>
        <v>#NAME?</v>
      </c>
      <c r="BG87" s="370" t="e">
        <f aca="false">xSPRDOPT($BW87,$BV87,$CG87,0,$BY87,$BX87,$BZ87,$AJ87,1,3)*$CB87</f>
        <v>#NAME?</v>
      </c>
      <c r="BH87" s="370" t="e">
        <f aca="false">IF(OR(BF87&lt;&gt;0,BG87&lt;&gt;0),xSPRDOPT($BW87,$BV87,$CG87,0,$BY87,$BX87,$BZ87,$AJ87,1,12)*$CB87,0)</f>
        <v>#NAME?</v>
      </c>
      <c r="BI87" s="370" t="e">
        <f aca="false">xSPRDOPT($BW87,$BV87,$CG87,2*LN(1+CA87/2),$BY87,$BX87,$BZ87,$AJ87,1,9)</f>
        <v>#NAME?</v>
      </c>
      <c r="BJ87" s="370" t="e">
        <f aca="false">xSPRDOPT($BW87,$BV87,$CG87,0,$BY87,$BX87,$BZ87,$AJ87,1,6)*$CB87</f>
        <v>#NAME?</v>
      </c>
      <c r="BK87" s="370" t="e">
        <f aca="false">xSPRDOPT($BW87,$BV87,$CG87,0,$BY87,$BX87,$BZ87,$AJ87,1,5)*$CB87</f>
        <v>#NAME?</v>
      </c>
      <c r="BL87" s="370" t="e">
        <f aca="false">xSPRDOPT(BW87,BV87,CG87,0,BY87,BX87,BZ87,AJ87,1,2)*CB87</f>
        <v>#NAME?</v>
      </c>
      <c r="BM87" s="370" t="e">
        <f aca="false">xSPRDOPT(BW87,BV87,CG87,0,BY87,BX87,BZ87,AJ87,1,1)*CB87</f>
        <v>#NAME?</v>
      </c>
      <c r="BN87" s="370" t="e">
        <f aca="false">IF(AH87&lt;&gt;0,xSPRDOPT($BW87,$BV87,$CG87,2*LN(1+CA87/2),$BY87,$BX87,$BZ87,$AJ87,1,8)+(AJ87/365.25)*CH87/AH87,0)</f>
        <v>#VALUE!</v>
      </c>
      <c r="BO87" s="370" t="e">
        <f aca="false">xSPRDOPT($BW87,$BV87,$CG87,0,$BY87,$BX87,$BZ87,$AJ87,1,0)</f>
        <v>#NAME?</v>
      </c>
      <c r="BP87" s="370"/>
      <c r="BQ87" s="370"/>
      <c r="BR87" s="370"/>
      <c r="BS87" s="370"/>
      <c r="BV87" s="508" t="n">
        <v>3.44578313253012</v>
      </c>
      <c r="BW87" s="369" t="n">
        <v>3.467</v>
      </c>
      <c r="BX87" s="370" t="n">
        <v>0.37</v>
      </c>
      <c r="BY87" s="370" t="n">
        <v>0.37</v>
      </c>
      <c r="BZ87" s="370" t="n">
        <v>0</v>
      </c>
      <c r="CA87" s="370" t="n">
        <v>0.0348361539671314</v>
      </c>
      <c r="CB87" s="370" t="n">
        <v>0</v>
      </c>
      <c r="CC87" s="505" t="n">
        <v>0</v>
      </c>
      <c r="CD87" s="505" t="n">
        <v>0.03</v>
      </c>
      <c r="CE87" s="505" t="n">
        <v>0.065</v>
      </c>
      <c r="CF87" s="505" t="n">
        <v>0</v>
      </c>
      <c r="CG87" s="505" t="n">
        <v>0.0006</v>
      </c>
      <c r="CH87" s="505" t="n">
        <v>0</v>
      </c>
      <c r="CI87" s="505" t="n">
        <v>3.402</v>
      </c>
      <c r="CJ87" s="505"/>
      <c r="CK87" s="505"/>
      <c r="CL87" s="505"/>
      <c r="CM87" s="505"/>
    </row>
    <row r="88" customFormat="false" ht="12.75" hidden="false" customHeight="false" outlineLevel="0" collapsed="false">
      <c r="A88" s="500"/>
      <c r="B88" s="500"/>
      <c r="D88" s="361" t="e">
        <f aca="false">D87+AH87</f>
        <v>#VALUE!</v>
      </c>
      <c r="F88" s="362" t="e">
        <f aca="false">VLOOKUP(AG88,$AL$4:$AS$15,2)</f>
        <v>#VALUE!</v>
      </c>
      <c r="G88" s="362" t="e">
        <f aca="false">F88*$AU88</f>
        <v>#VALUE!</v>
      </c>
      <c r="H88" s="363" t="e">
        <f aca="false">(AL88+AM88+AN88)/(1-(AR88))</f>
        <v>#VALUE!</v>
      </c>
      <c r="I88" s="363" t="e">
        <f aca="false">(AL88+AO88+AP88)</f>
        <v>#VALUE!</v>
      </c>
      <c r="K88" s="363" t="e">
        <f aca="false">MAX(((I88-H88)-AQ88)*AU88*AH88,0)</f>
        <v>#VALUE!</v>
      </c>
      <c r="L88" s="501" t="e">
        <f aca="false">MAX(Q88-K88,0)</f>
        <v>#VALUE!</v>
      </c>
      <c r="N88" s="502" t="e">
        <f aca="false">SQRT(($AX88^2*($AH88/2)+$AW88^2*$AI88)/(($AH88/2)+$AI88))</f>
        <v>#VALUE!</v>
      </c>
      <c r="O88" s="502" t="e">
        <f aca="false">SQRT(($AY88^2*($AH88/2)+$AW88^2*$AI88)/(($AH88/2)+$AI88))</f>
        <v>#VALUE!</v>
      </c>
      <c r="P88" s="371" t="e">
        <f aca="false">(VLOOKUP(AI88,CorrelationTwo,2)*(AW88^2)*AI88+VLOOKUP(D88,CorrelationOne,$AK$9)*AX88*AY88*(AH88/2))/((AI88+(AH88/2))*O88*N88)*AF88</f>
        <v>#VALUE!</v>
      </c>
      <c r="Q88" s="501" t="e">
        <f aca="false">xSPRDOPT(I88,H88,AQ88,0,O88,N88,P88,D88-$G$5,1,0)*AH88*AU88</f>
        <v>#VALUE!</v>
      </c>
      <c r="R88" s="501"/>
      <c r="S88" s="365" t="e">
        <f aca="false">xSPRDOPT(I88,H88,AQ88,AT88,O88,N88,P88,D88-$G$5,1,2)*AF88*(F88/(1-AR88))*AH88</f>
        <v>#VALUE!</v>
      </c>
      <c r="T88" s="365" t="e">
        <f aca="false">xSPRDOPT(I88,H88,AQ88,AT88,O88,N88,P88,D88-$G$5,1,1)*AF88*F88*AH88</f>
        <v>#VALUE!</v>
      </c>
      <c r="U88" s="501"/>
      <c r="V88" s="503" t="e">
        <f aca="false">VLOOKUP($AG88,$AL$4:$AS$15,8)*AH88*AU88</f>
        <v>#VALUE!</v>
      </c>
      <c r="W88" s="503"/>
      <c r="X88" s="504" t="e">
        <f aca="false">((BM88*BC88)+(BL88*BB88))*AH88*F88</f>
        <v>#VALUE!</v>
      </c>
      <c r="Y88" s="504" t="e">
        <f aca="false">($F88*$AH88)*((($BG88/2)*($BC88)^2)+(($BF88/2)*($BB88)^2)+($BH88*$BC88*$BB88))</f>
        <v>#VALUE!</v>
      </c>
      <c r="Z88" s="504" t="e">
        <f aca="false">($BI88*$F88*$AH88*($G$5-$BV$5))/365.25</f>
        <v>#VALUE!</v>
      </c>
      <c r="AA88" s="504" t="e">
        <f aca="false">(($BK88*$BE88)+($BJ88*$BD88))*$F88*$AH88*$AF88</f>
        <v>#VALUE!</v>
      </c>
      <c r="AB88" s="504" t="e">
        <f aca="false">BN88*(AT88-CA88)*F88*AH88</f>
        <v>#VALUE!</v>
      </c>
      <c r="AC88" s="504" t="e">
        <f aca="false">BO88*CB88*F88*AH88*CA88*($G$5-$BV$5)/365.25</f>
        <v>#NAME?</v>
      </c>
      <c r="AF88" s="378" t="e">
        <f aca="false">IF(AND(D88&gt;=$G$7,D88&lt;=$G$8),1,0)</f>
        <v>#VALUE!</v>
      </c>
      <c r="AG88" s="378" t="e">
        <f aca="false">MONTH(D88)</f>
        <v>#VALUE!</v>
      </c>
      <c r="AH88" s="378" t="e">
        <f aca="false">(EOMONTH(D88,0)-EOMONTH(D88-DAY(D88),0))*AF88</f>
        <v>#VALUE!</v>
      </c>
      <c r="AI88" s="378" t="e">
        <f aca="false">AI87+AH87</f>
        <v>#VALUE!</v>
      </c>
      <c r="AJ88" s="378" t="e">
        <f aca="false">D88-$BV$5</f>
        <v>#VALUE!</v>
      </c>
      <c r="AL88" s="369" t="e">
        <f aca="false">VLOOKUP($D88,CurveTbl,$AK$4)</f>
        <v>#VALUE!</v>
      </c>
      <c r="AM88" s="505" t="e">
        <f aca="false">VLOOKUP($D88,CurveTbl,$AH$3)</f>
        <v>#VALUE!</v>
      </c>
      <c r="AN88" s="505" t="e">
        <f aca="false">VLOOKUP($D88,CurveTbl,$AH$4)+VLOOKUP($AG88,$AL$3:$AS$15,6)</f>
        <v>#VALUE!</v>
      </c>
      <c r="AO88" s="505" t="e">
        <f aca="false">VLOOKUP($D88,CurveTbl,$AH$5)</f>
        <v>#VALUE!</v>
      </c>
      <c r="AP88" s="505" t="e">
        <f aca="false">VLOOKUP($D88,CurveTbl,$AH$6)+VLOOKUP($AG88,$AL$3:$AS$15,7)</f>
        <v>#VALUE!</v>
      </c>
      <c r="AQ88" s="369" t="e">
        <f aca="false">VLOOKUP($AG88,$AL$4:$AS$15,3)+VLOOKUP($AG88,$AL$4:$AS$15,5)+($AH$10*VLOOKUP(D88,GRITable,2))</f>
        <v>#VALUE!</v>
      </c>
      <c r="AR88" s="370" t="e">
        <f aca="false">VLOOKUP($AG88,$AL$4:$AS$15,4)</f>
        <v>#VALUE!</v>
      </c>
      <c r="AS88" s="369" t="e">
        <f aca="false">(AL88+AM88+AN88)</f>
        <v>#VALUE!</v>
      </c>
      <c r="AT88" s="370" t="e">
        <f aca="false">VLOOKUP(D88,CurveTbl,$AK$6)</f>
        <v>#VALUE!</v>
      </c>
      <c r="AU88" s="370" t="e">
        <f aca="false">(1+$AT88/2)^(-2*($D88-$G$5)/365.25)*$AF88</f>
        <v>#VALUE!</v>
      </c>
      <c r="AV88" s="506" t="e">
        <f aca="false">ROUND((F88/(1-AR88))-F88,0)*AF88*AH88*AU88</f>
        <v>#VALUE!</v>
      </c>
      <c r="AW88" s="370" t="e">
        <f aca="false">VLOOKUP($D88,CurveTbl,$AK$8)</f>
        <v>#VALUE!</v>
      </c>
      <c r="AX88" s="370" t="e">
        <f aca="false">VLOOKUP($D88,CurveTbl,$AH$7)</f>
        <v>#VALUE!</v>
      </c>
      <c r="AY88" s="370" t="e">
        <f aca="false">VLOOKUP($D88,CurveTbl,$AH$8)</f>
        <v>#VALUE!</v>
      </c>
      <c r="AZ88" s="370"/>
      <c r="BA88" s="507"/>
      <c r="BB88" s="505" t="e">
        <f aca="false">$H88-$BV88</f>
        <v>#VALUE!</v>
      </c>
      <c r="BC88" s="505" t="e">
        <f aca="false">I88-BW88</f>
        <v>#VALUE!</v>
      </c>
      <c r="BD88" s="370" t="e">
        <f aca="false">N88-BX88</f>
        <v>#VALUE!</v>
      </c>
      <c r="BE88" s="370" t="e">
        <f aca="false">O88-BY88</f>
        <v>#VALUE!</v>
      </c>
      <c r="BF88" s="370" t="e">
        <f aca="false">xSPRDOPT($BW88,$BV88,$CG88,0,$BY88,$BX88,$BZ88,$AJ88,1,4)*$CB88</f>
        <v>#NAME?</v>
      </c>
      <c r="BG88" s="370" t="e">
        <f aca="false">xSPRDOPT($BW88,$BV88,$CG88,0,$BY88,$BX88,$BZ88,$AJ88,1,3)*$CB88</f>
        <v>#NAME?</v>
      </c>
      <c r="BH88" s="370" t="e">
        <f aca="false">IF(OR(BF88&lt;&gt;0,BG88&lt;&gt;0),xSPRDOPT($BW88,$BV88,$CG88,0,$BY88,$BX88,$BZ88,$AJ88,1,12)*$CB88,0)</f>
        <v>#NAME?</v>
      </c>
      <c r="BI88" s="370" t="e">
        <f aca="false">xSPRDOPT($BW88,$BV88,$CG88,2*LN(1+CA88/2),$BY88,$BX88,$BZ88,$AJ88,1,9)</f>
        <v>#NAME?</v>
      </c>
      <c r="BJ88" s="370" t="e">
        <f aca="false">xSPRDOPT($BW88,$BV88,$CG88,0,$BY88,$BX88,$BZ88,$AJ88,1,6)*$CB88</f>
        <v>#NAME?</v>
      </c>
      <c r="BK88" s="370" t="e">
        <f aca="false">xSPRDOPT($BW88,$BV88,$CG88,0,$BY88,$BX88,$BZ88,$AJ88,1,5)*$CB88</f>
        <v>#NAME?</v>
      </c>
      <c r="BL88" s="370" t="e">
        <f aca="false">xSPRDOPT(BW88,BV88,CG88,0,BY88,BX88,BZ88,AJ88,1,2)*CB88</f>
        <v>#NAME?</v>
      </c>
      <c r="BM88" s="370" t="e">
        <f aca="false">xSPRDOPT(BW88,BV88,CG88,0,BY88,BX88,BZ88,AJ88,1,1)*CB88</f>
        <v>#NAME?</v>
      </c>
      <c r="BN88" s="370" t="e">
        <f aca="false">IF(AH88&lt;&gt;0,xSPRDOPT($BW88,$BV88,$CG88,2*LN(1+CA88/2),$BY88,$BX88,$BZ88,$AJ88,1,8)+(AJ88/365.25)*CH88/AH88,0)</f>
        <v>#VALUE!</v>
      </c>
      <c r="BO88" s="370" t="e">
        <f aca="false">xSPRDOPT($BW88,$BV88,$CG88,0,$BY88,$BX88,$BZ88,$AJ88,1,0)</f>
        <v>#NAME?</v>
      </c>
      <c r="BP88" s="370"/>
      <c r="BQ88" s="370"/>
      <c r="BR88" s="370"/>
      <c r="BS88" s="370"/>
      <c r="BV88" s="508" t="n">
        <v>3.44578313253012</v>
      </c>
      <c r="BW88" s="369" t="n">
        <v>3.467</v>
      </c>
      <c r="BX88" s="370" t="n">
        <v>0.37</v>
      </c>
      <c r="BY88" s="370" t="n">
        <v>0.37</v>
      </c>
      <c r="BZ88" s="370" t="n">
        <v>0</v>
      </c>
      <c r="CA88" s="370" t="n">
        <v>0.0348361539671314</v>
      </c>
      <c r="CB88" s="370" t="n">
        <v>0</v>
      </c>
      <c r="CC88" s="505" t="n">
        <v>0</v>
      </c>
      <c r="CD88" s="505" t="n">
        <v>0.03</v>
      </c>
      <c r="CE88" s="505" t="n">
        <v>0.065</v>
      </c>
      <c r="CF88" s="505" t="n">
        <v>0</v>
      </c>
      <c r="CG88" s="505" t="n">
        <v>0.0006</v>
      </c>
      <c r="CH88" s="505" t="n">
        <v>0</v>
      </c>
      <c r="CI88" s="505" t="n">
        <v>3.402</v>
      </c>
      <c r="CJ88" s="505"/>
      <c r="CK88" s="505"/>
      <c r="CL88" s="505"/>
      <c r="CM88" s="505"/>
    </row>
    <row r="89" customFormat="false" ht="12.75" hidden="false" customHeight="false" outlineLevel="0" collapsed="false">
      <c r="A89" s="500"/>
      <c r="B89" s="500"/>
      <c r="D89" s="361" t="e">
        <f aca="false">D88+AH88</f>
        <v>#VALUE!</v>
      </c>
      <c r="F89" s="362" t="e">
        <f aca="false">VLOOKUP(AG89,$AL$4:$AS$15,2)</f>
        <v>#VALUE!</v>
      </c>
      <c r="G89" s="362" t="e">
        <f aca="false">F89*$AU89</f>
        <v>#VALUE!</v>
      </c>
      <c r="H89" s="363" t="e">
        <f aca="false">(AL89+AM89+AN89)/(1-(AR89))</f>
        <v>#VALUE!</v>
      </c>
      <c r="I89" s="363" t="e">
        <f aca="false">(AL89+AO89+AP89)</f>
        <v>#VALUE!</v>
      </c>
      <c r="K89" s="363" t="e">
        <f aca="false">MAX(((I89-H89)-AQ89)*AU89*AH89,0)</f>
        <v>#VALUE!</v>
      </c>
      <c r="L89" s="501" t="e">
        <f aca="false">MAX(Q89-K89,0)</f>
        <v>#VALUE!</v>
      </c>
      <c r="N89" s="502" t="e">
        <f aca="false">SQRT(($AX89^2*($AH89/2)+$AW89^2*$AI89)/(($AH89/2)+$AI89))</f>
        <v>#VALUE!</v>
      </c>
      <c r="O89" s="502" t="e">
        <f aca="false">SQRT(($AY89^2*($AH89/2)+$AW89^2*$AI89)/(($AH89/2)+$AI89))</f>
        <v>#VALUE!</v>
      </c>
      <c r="P89" s="371" t="e">
        <f aca="false">(VLOOKUP(AI89,CorrelationTwo,2)*(AW89^2)*AI89+VLOOKUP(D89,CorrelationOne,$AK$9)*AX89*AY89*(AH89/2))/((AI89+(AH89/2))*O89*N89)*AF89</f>
        <v>#VALUE!</v>
      </c>
      <c r="Q89" s="501" t="e">
        <f aca="false">xSPRDOPT(I89,H89,AQ89,0,O89,N89,P89,D89-$G$5,1,0)*AH89*AU89</f>
        <v>#VALUE!</v>
      </c>
      <c r="R89" s="501"/>
      <c r="S89" s="365" t="e">
        <f aca="false">xSPRDOPT(I89,H89,AQ89,AT89,O89,N89,P89,D89-$G$5,1,2)*AF89*(F89/(1-AR89))*AH89</f>
        <v>#VALUE!</v>
      </c>
      <c r="T89" s="365" t="e">
        <f aca="false">xSPRDOPT(I89,H89,AQ89,AT89,O89,N89,P89,D89-$G$5,1,1)*AF89*F89*AH89</f>
        <v>#VALUE!</v>
      </c>
      <c r="U89" s="501"/>
      <c r="V89" s="503" t="e">
        <f aca="false">VLOOKUP($AG89,$AL$4:$AS$15,8)*AH89*AU89</f>
        <v>#VALUE!</v>
      </c>
      <c r="W89" s="503"/>
      <c r="X89" s="504" t="e">
        <f aca="false">((BM89*BC89)+(BL89*BB89))*AH89*F89</f>
        <v>#VALUE!</v>
      </c>
      <c r="Y89" s="504" t="e">
        <f aca="false">($F89*$AH89)*((($BG89/2)*($BC89)^2)+(($BF89/2)*($BB89)^2)+($BH89*$BC89*$BB89))</f>
        <v>#VALUE!</v>
      </c>
      <c r="Z89" s="504" t="e">
        <f aca="false">($BI89*$F89*$AH89*($G$5-$BV$5))/365.25</f>
        <v>#VALUE!</v>
      </c>
      <c r="AA89" s="504" t="e">
        <f aca="false">(($BK89*$BE89)+($BJ89*$BD89))*$F89*$AH89*$AF89</f>
        <v>#VALUE!</v>
      </c>
      <c r="AB89" s="504" t="e">
        <f aca="false">BN89*(AT89-CA89)*F89*AH89</f>
        <v>#VALUE!</v>
      </c>
      <c r="AC89" s="504" t="e">
        <f aca="false">BO89*CB89*F89*AH89*CA89*($G$5-$BV$5)/365.25</f>
        <v>#NAME?</v>
      </c>
      <c r="AF89" s="378" t="e">
        <f aca="false">IF(AND(D89&gt;=$G$7,D89&lt;=$G$8),1,0)</f>
        <v>#VALUE!</v>
      </c>
      <c r="AG89" s="378" t="e">
        <f aca="false">MONTH(D89)</f>
        <v>#VALUE!</v>
      </c>
      <c r="AH89" s="378" t="e">
        <f aca="false">(EOMONTH(D89,0)-EOMONTH(D89-DAY(D89),0))*AF89</f>
        <v>#VALUE!</v>
      </c>
      <c r="AI89" s="378" t="e">
        <f aca="false">AI88+AH88</f>
        <v>#VALUE!</v>
      </c>
      <c r="AJ89" s="378" t="e">
        <f aca="false">D89-$BV$5</f>
        <v>#VALUE!</v>
      </c>
      <c r="AL89" s="369" t="e">
        <f aca="false">VLOOKUP($D89,CurveTbl,$AK$4)</f>
        <v>#VALUE!</v>
      </c>
      <c r="AM89" s="505" t="e">
        <f aca="false">VLOOKUP($D89,CurveTbl,$AH$3)</f>
        <v>#VALUE!</v>
      </c>
      <c r="AN89" s="505" t="e">
        <f aca="false">VLOOKUP($D89,CurveTbl,$AH$4)+VLOOKUP($AG89,$AL$3:$AS$15,6)</f>
        <v>#VALUE!</v>
      </c>
      <c r="AO89" s="505" t="e">
        <f aca="false">VLOOKUP($D89,CurveTbl,$AH$5)</f>
        <v>#VALUE!</v>
      </c>
      <c r="AP89" s="505" t="e">
        <f aca="false">VLOOKUP($D89,CurveTbl,$AH$6)+VLOOKUP($AG89,$AL$3:$AS$15,7)</f>
        <v>#VALUE!</v>
      </c>
      <c r="AQ89" s="369" t="e">
        <f aca="false">VLOOKUP($AG89,$AL$4:$AS$15,3)+VLOOKUP($AG89,$AL$4:$AS$15,5)+($AH$10*VLOOKUP(D89,GRITable,2))</f>
        <v>#VALUE!</v>
      </c>
      <c r="AR89" s="370" t="e">
        <f aca="false">VLOOKUP($AG89,$AL$4:$AS$15,4)</f>
        <v>#VALUE!</v>
      </c>
      <c r="AS89" s="369" t="e">
        <f aca="false">(AL89+AM89+AN89)</f>
        <v>#VALUE!</v>
      </c>
      <c r="AT89" s="370" t="e">
        <f aca="false">VLOOKUP(D89,CurveTbl,$AK$6)</f>
        <v>#VALUE!</v>
      </c>
      <c r="AU89" s="370" t="e">
        <f aca="false">(1+$AT89/2)^(-2*($D89-$G$5)/365.25)*$AF89</f>
        <v>#VALUE!</v>
      </c>
      <c r="AV89" s="506" t="e">
        <f aca="false">ROUND((F89/(1-AR89))-F89,0)*AF89*AH89*AU89</f>
        <v>#VALUE!</v>
      </c>
      <c r="AW89" s="370" t="e">
        <f aca="false">VLOOKUP($D89,CurveTbl,$AK$8)</f>
        <v>#VALUE!</v>
      </c>
      <c r="AX89" s="370" t="e">
        <f aca="false">VLOOKUP($D89,CurveTbl,$AH$7)</f>
        <v>#VALUE!</v>
      </c>
      <c r="AY89" s="370" t="e">
        <f aca="false">VLOOKUP($D89,CurveTbl,$AH$8)</f>
        <v>#VALUE!</v>
      </c>
      <c r="AZ89" s="370"/>
      <c r="BA89" s="507"/>
      <c r="BB89" s="505" t="e">
        <f aca="false">$H89-$BV89</f>
        <v>#VALUE!</v>
      </c>
      <c r="BC89" s="505" t="e">
        <f aca="false">I89-BW89</f>
        <v>#VALUE!</v>
      </c>
      <c r="BD89" s="370" t="e">
        <f aca="false">N89-BX89</f>
        <v>#VALUE!</v>
      </c>
      <c r="BE89" s="370" t="e">
        <f aca="false">O89-BY89</f>
        <v>#VALUE!</v>
      </c>
      <c r="BF89" s="370" t="e">
        <f aca="false">xSPRDOPT($BW89,$BV89,$CG89,0,$BY89,$BX89,$BZ89,$AJ89,1,4)*$CB89</f>
        <v>#NAME?</v>
      </c>
      <c r="BG89" s="370" t="e">
        <f aca="false">xSPRDOPT($BW89,$BV89,$CG89,0,$BY89,$BX89,$BZ89,$AJ89,1,3)*$CB89</f>
        <v>#NAME?</v>
      </c>
      <c r="BH89" s="370" t="e">
        <f aca="false">IF(OR(BF89&lt;&gt;0,BG89&lt;&gt;0),xSPRDOPT($BW89,$BV89,$CG89,0,$BY89,$BX89,$BZ89,$AJ89,1,12)*$CB89,0)</f>
        <v>#NAME?</v>
      </c>
      <c r="BI89" s="370" t="e">
        <f aca="false">xSPRDOPT($BW89,$BV89,$CG89,2*LN(1+CA89/2),$BY89,$BX89,$BZ89,$AJ89,1,9)</f>
        <v>#NAME?</v>
      </c>
      <c r="BJ89" s="370" t="e">
        <f aca="false">xSPRDOPT($BW89,$BV89,$CG89,0,$BY89,$BX89,$BZ89,$AJ89,1,6)*$CB89</f>
        <v>#NAME?</v>
      </c>
      <c r="BK89" s="370" t="e">
        <f aca="false">xSPRDOPT($BW89,$BV89,$CG89,0,$BY89,$BX89,$BZ89,$AJ89,1,5)*$CB89</f>
        <v>#NAME?</v>
      </c>
      <c r="BL89" s="370" t="e">
        <f aca="false">xSPRDOPT(BW89,BV89,CG89,0,BY89,BX89,BZ89,AJ89,1,2)*CB89</f>
        <v>#NAME?</v>
      </c>
      <c r="BM89" s="370" t="e">
        <f aca="false">xSPRDOPT(BW89,BV89,CG89,0,BY89,BX89,BZ89,AJ89,1,1)*CB89</f>
        <v>#NAME?</v>
      </c>
      <c r="BN89" s="370" t="e">
        <f aca="false">IF(AH89&lt;&gt;0,xSPRDOPT($BW89,$BV89,$CG89,2*LN(1+CA89/2),$BY89,$BX89,$BZ89,$AJ89,1,8)+(AJ89/365.25)*CH89/AH89,0)</f>
        <v>#VALUE!</v>
      </c>
      <c r="BO89" s="370" t="e">
        <f aca="false">xSPRDOPT($BW89,$BV89,$CG89,0,$BY89,$BX89,$BZ89,$AJ89,1,0)</f>
        <v>#NAME?</v>
      </c>
      <c r="BP89" s="370"/>
      <c r="BQ89" s="370"/>
      <c r="BR89" s="370"/>
      <c r="BS89" s="370"/>
      <c r="BV89" s="508" t="n">
        <v>3.44578313253012</v>
      </c>
      <c r="BW89" s="369" t="n">
        <v>3.467</v>
      </c>
      <c r="BX89" s="370" t="n">
        <v>0.37</v>
      </c>
      <c r="BY89" s="370" t="n">
        <v>0.37</v>
      </c>
      <c r="BZ89" s="370" t="n">
        <v>0</v>
      </c>
      <c r="CA89" s="370" t="n">
        <v>0.0348361539671314</v>
      </c>
      <c r="CB89" s="370" t="n">
        <v>0</v>
      </c>
      <c r="CC89" s="505" t="n">
        <v>0</v>
      </c>
      <c r="CD89" s="505" t="n">
        <v>0.03</v>
      </c>
      <c r="CE89" s="505" t="n">
        <v>0.065</v>
      </c>
      <c r="CF89" s="505" t="n">
        <v>0</v>
      </c>
      <c r="CG89" s="505" t="n">
        <v>0.0006</v>
      </c>
      <c r="CH89" s="505" t="n">
        <v>0</v>
      </c>
      <c r="CI89" s="505" t="n">
        <v>3.402</v>
      </c>
      <c r="CJ89" s="505"/>
      <c r="CK89" s="505"/>
      <c r="CL89" s="505"/>
      <c r="CM89" s="505"/>
    </row>
    <row r="90" customFormat="false" ht="12.75" hidden="false" customHeight="false" outlineLevel="0" collapsed="false">
      <c r="A90" s="500"/>
      <c r="B90" s="500"/>
      <c r="D90" s="361" t="e">
        <f aca="false">D89+AH89</f>
        <v>#VALUE!</v>
      </c>
      <c r="F90" s="362" t="e">
        <f aca="false">VLOOKUP(AG90,$AL$4:$AS$15,2)</f>
        <v>#VALUE!</v>
      </c>
      <c r="G90" s="362" t="e">
        <f aca="false">F90*$AU90</f>
        <v>#VALUE!</v>
      </c>
      <c r="H90" s="363" t="e">
        <f aca="false">(AL90+AM90+AN90)/(1-(AR90))</f>
        <v>#VALUE!</v>
      </c>
      <c r="I90" s="363" t="e">
        <f aca="false">(AL90+AO90+AP90)</f>
        <v>#VALUE!</v>
      </c>
      <c r="K90" s="363" t="e">
        <f aca="false">MAX(((I90-H90)-AQ90)*AU90*AH90,0)</f>
        <v>#VALUE!</v>
      </c>
      <c r="L90" s="501" t="e">
        <f aca="false">MAX(Q90-K90,0)</f>
        <v>#VALUE!</v>
      </c>
      <c r="N90" s="502" t="e">
        <f aca="false">SQRT(($AX90^2*($AH90/2)+$AW90^2*$AI90)/(($AH90/2)+$AI90))</f>
        <v>#VALUE!</v>
      </c>
      <c r="O90" s="502" t="e">
        <f aca="false">SQRT(($AY90^2*($AH90/2)+$AW90^2*$AI90)/(($AH90/2)+$AI90))</f>
        <v>#VALUE!</v>
      </c>
      <c r="P90" s="371" t="e">
        <f aca="false">(VLOOKUP(AI90,CorrelationTwo,2)*(AW90^2)*AI90+VLOOKUP(D90,CorrelationOne,$AK$9)*AX90*AY90*(AH90/2))/((AI90+(AH90/2))*O90*N90)*AF90</f>
        <v>#VALUE!</v>
      </c>
      <c r="Q90" s="501" t="e">
        <f aca="false">xSPRDOPT(I90,H90,AQ90,0,O90,N90,P90,D90-$G$5,1,0)*AH90*AU90</f>
        <v>#VALUE!</v>
      </c>
      <c r="R90" s="501"/>
      <c r="S90" s="365" t="e">
        <f aca="false">xSPRDOPT(I90,H90,AQ90,AT90,O90,N90,P90,D90-$G$5,1,2)*AF90*(F90/(1-AR90))*AH90</f>
        <v>#VALUE!</v>
      </c>
      <c r="T90" s="365" t="e">
        <f aca="false">xSPRDOPT(I90,H90,AQ90,AT90,O90,N90,P90,D90-$G$5,1,1)*AF90*F90*AH90</f>
        <v>#VALUE!</v>
      </c>
      <c r="U90" s="501"/>
      <c r="V90" s="503" t="e">
        <f aca="false">VLOOKUP($AG90,$AL$4:$AS$15,8)*AH90*AU90</f>
        <v>#VALUE!</v>
      </c>
      <c r="W90" s="503"/>
      <c r="X90" s="504" t="e">
        <f aca="false">((BM90*BC90)+(BL90*BB90))*AH90*F90</f>
        <v>#VALUE!</v>
      </c>
      <c r="Y90" s="504" t="e">
        <f aca="false">($F90*$AH90)*((($BG90/2)*($BC90)^2)+(($BF90/2)*($BB90)^2)+($BH90*$BC90*$BB90))</f>
        <v>#VALUE!</v>
      </c>
      <c r="Z90" s="504" t="e">
        <f aca="false">($BI90*$F90*$AH90*($G$5-$BV$5))/365.25</f>
        <v>#VALUE!</v>
      </c>
      <c r="AA90" s="504" t="e">
        <f aca="false">(($BK90*$BE90)+($BJ90*$BD90))*$F90*$AH90*$AF90</f>
        <v>#VALUE!</v>
      </c>
      <c r="AB90" s="504" t="e">
        <f aca="false">BN90*(AT90-CA90)*F90*AH90</f>
        <v>#VALUE!</v>
      </c>
      <c r="AC90" s="504" t="e">
        <f aca="false">BO90*CB90*F90*AH90*CA90*($G$5-$BV$5)/365.25</f>
        <v>#NAME?</v>
      </c>
      <c r="AF90" s="378" t="e">
        <f aca="false">IF(AND(D90&gt;=$G$7,D90&lt;=$G$8),1,0)</f>
        <v>#VALUE!</v>
      </c>
      <c r="AG90" s="378" t="e">
        <f aca="false">MONTH(D90)</f>
        <v>#VALUE!</v>
      </c>
      <c r="AH90" s="378" t="e">
        <f aca="false">(EOMONTH(D90,0)-EOMONTH(D90-DAY(D90),0))*AF90</f>
        <v>#VALUE!</v>
      </c>
      <c r="AI90" s="378" t="e">
        <f aca="false">AI89+AH89</f>
        <v>#VALUE!</v>
      </c>
      <c r="AJ90" s="378" t="e">
        <f aca="false">D90-$BV$5</f>
        <v>#VALUE!</v>
      </c>
      <c r="AL90" s="369" t="e">
        <f aca="false">VLOOKUP($D90,CurveTbl,$AK$4)</f>
        <v>#VALUE!</v>
      </c>
      <c r="AM90" s="505" t="e">
        <f aca="false">VLOOKUP($D90,CurveTbl,$AH$3)</f>
        <v>#VALUE!</v>
      </c>
      <c r="AN90" s="505" t="e">
        <f aca="false">VLOOKUP($D90,CurveTbl,$AH$4)+VLOOKUP($AG90,$AL$3:$AS$15,6)</f>
        <v>#VALUE!</v>
      </c>
      <c r="AO90" s="505" t="e">
        <f aca="false">VLOOKUP($D90,CurveTbl,$AH$5)</f>
        <v>#VALUE!</v>
      </c>
      <c r="AP90" s="505" t="e">
        <f aca="false">VLOOKUP($D90,CurveTbl,$AH$6)+VLOOKUP($AG90,$AL$3:$AS$15,7)</f>
        <v>#VALUE!</v>
      </c>
      <c r="AQ90" s="369" t="e">
        <f aca="false">VLOOKUP($AG90,$AL$4:$AS$15,3)+VLOOKUP($AG90,$AL$4:$AS$15,5)+($AH$10*VLOOKUP(D90,GRITable,2))</f>
        <v>#VALUE!</v>
      </c>
      <c r="AR90" s="370" t="e">
        <f aca="false">VLOOKUP($AG90,$AL$4:$AS$15,4)</f>
        <v>#VALUE!</v>
      </c>
      <c r="AS90" s="369" t="e">
        <f aca="false">(AL90+AM90+AN90)</f>
        <v>#VALUE!</v>
      </c>
      <c r="AT90" s="370" t="e">
        <f aca="false">VLOOKUP(D90,CurveTbl,$AK$6)</f>
        <v>#VALUE!</v>
      </c>
      <c r="AU90" s="370" t="e">
        <f aca="false">(1+$AT90/2)^(-2*($D90-$G$5)/365.25)*$AF90</f>
        <v>#VALUE!</v>
      </c>
      <c r="AV90" s="506" t="e">
        <f aca="false">ROUND((F90/(1-AR90))-F90,0)*AF90*AH90*AU90</f>
        <v>#VALUE!</v>
      </c>
      <c r="AW90" s="370" t="e">
        <f aca="false">VLOOKUP($D90,CurveTbl,$AK$8)</f>
        <v>#VALUE!</v>
      </c>
      <c r="AX90" s="370" t="e">
        <f aca="false">VLOOKUP($D90,CurveTbl,$AH$7)</f>
        <v>#VALUE!</v>
      </c>
      <c r="AY90" s="370" t="e">
        <f aca="false">VLOOKUP($D90,CurveTbl,$AH$8)</f>
        <v>#VALUE!</v>
      </c>
      <c r="AZ90" s="370"/>
      <c r="BA90" s="507"/>
      <c r="BB90" s="505" t="e">
        <f aca="false">$H90-$BV90</f>
        <v>#VALUE!</v>
      </c>
      <c r="BC90" s="505" t="e">
        <f aca="false">I90-BW90</f>
        <v>#VALUE!</v>
      </c>
      <c r="BD90" s="370" t="e">
        <f aca="false">N90-BX90</f>
        <v>#VALUE!</v>
      </c>
      <c r="BE90" s="370" t="e">
        <f aca="false">O90-BY90</f>
        <v>#VALUE!</v>
      </c>
      <c r="BF90" s="370" t="e">
        <f aca="false">xSPRDOPT($BW90,$BV90,$CG90,0,$BY90,$BX90,$BZ90,$AJ90,1,4)*$CB90</f>
        <v>#NAME?</v>
      </c>
      <c r="BG90" s="370" t="e">
        <f aca="false">xSPRDOPT($BW90,$BV90,$CG90,0,$BY90,$BX90,$BZ90,$AJ90,1,3)*$CB90</f>
        <v>#NAME?</v>
      </c>
      <c r="BH90" s="370" t="e">
        <f aca="false">IF(OR(BF90&lt;&gt;0,BG90&lt;&gt;0),xSPRDOPT($BW90,$BV90,$CG90,0,$BY90,$BX90,$BZ90,$AJ90,1,12)*$CB90,0)</f>
        <v>#NAME?</v>
      </c>
      <c r="BI90" s="370" t="e">
        <f aca="false">xSPRDOPT($BW90,$BV90,$CG90,2*LN(1+CA90/2),$BY90,$BX90,$BZ90,$AJ90,1,9)</f>
        <v>#NAME?</v>
      </c>
      <c r="BJ90" s="370" t="e">
        <f aca="false">xSPRDOPT($BW90,$BV90,$CG90,0,$BY90,$BX90,$BZ90,$AJ90,1,6)*$CB90</f>
        <v>#NAME?</v>
      </c>
      <c r="BK90" s="370" t="e">
        <f aca="false">xSPRDOPT($BW90,$BV90,$CG90,0,$BY90,$BX90,$BZ90,$AJ90,1,5)*$CB90</f>
        <v>#NAME?</v>
      </c>
      <c r="BL90" s="370" t="e">
        <f aca="false">xSPRDOPT(BW90,BV90,CG90,0,BY90,BX90,BZ90,AJ90,1,2)*CB90</f>
        <v>#NAME?</v>
      </c>
      <c r="BM90" s="370" t="e">
        <f aca="false">xSPRDOPT(BW90,BV90,CG90,0,BY90,BX90,BZ90,AJ90,1,1)*CB90</f>
        <v>#NAME?</v>
      </c>
      <c r="BN90" s="370" t="e">
        <f aca="false">IF(AH90&lt;&gt;0,xSPRDOPT($BW90,$BV90,$CG90,2*LN(1+CA90/2),$BY90,$BX90,$BZ90,$AJ90,1,8)+(AJ90/365.25)*CH90/AH90,0)</f>
        <v>#VALUE!</v>
      </c>
      <c r="BO90" s="370" t="e">
        <f aca="false">xSPRDOPT($BW90,$BV90,$CG90,0,$BY90,$BX90,$BZ90,$AJ90,1,0)</f>
        <v>#NAME?</v>
      </c>
      <c r="BP90" s="370"/>
      <c r="BQ90" s="370"/>
      <c r="BR90" s="370"/>
      <c r="BS90" s="370"/>
      <c r="BV90" s="508" t="n">
        <v>3.44578313253012</v>
      </c>
      <c r="BW90" s="369" t="n">
        <v>3.467</v>
      </c>
      <c r="BX90" s="370" t="n">
        <v>0.37</v>
      </c>
      <c r="BY90" s="370" t="n">
        <v>0.37</v>
      </c>
      <c r="BZ90" s="370" t="n">
        <v>0</v>
      </c>
      <c r="CA90" s="370" t="n">
        <v>0.0348361539671314</v>
      </c>
      <c r="CB90" s="370" t="n">
        <v>0</v>
      </c>
      <c r="CC90" s="505" t="n">
        <v>0</v>
      </c>
      <c r="CD90" s="505" t="n">
        <v>0.03</v>
      </c>
      <c r="CE90" s="505" t="n">
        <v>0.065</v>
      </c>
      <c r="CF90" s="505" t="n">
        <v>0</v>
      </c>
      <c r="CG90" s="505" t="n">
        <v>0.0006</v>
      </c>
      <c r="CH90" s="505" t="n">
        <v>0</v>
      </c>
      <c r="CI90" s="505" t="n">
        <v>3.402</v>
      </c>
      <c r="CJ90" s="505"/>
      <c r="CK90" s="505"/>
      <c r="CL90" s="505"/>
      <c r="CM90" s="505"/>
    </row>
    <row r="91" customFormat="false" ht="12.75" hidden="false" customHeight="false" outlineLevel="0" collapsed="false">
      <c r="A91" s="500"/>
      <c r="B91" s="500"/>
      <c r="D91" s="361" t="e">
        <f aca="false">D90+AH90</f>
        <v>#VALUE!</v>
      </c>
      <c r="F91" s="362" t="e">
        <f aca="false">VLOOKUP(AG91,$AL$4:$AS$15,2)</f>
        <v>#VALUE!</v>
      </c>
      <c r="G91" s="362" t="e">
        <f aca="false">F91*$AU91</f>
        <v>#VALUE!</v>
      </c>
      <c r="H91" s="363" t="e">
        <f aca="false">(AL91+AM91+AN91)/(1-(AR91))</f>
        <v>#VALUE!</v>
      </c>
      <c r="I91" s="363" t="e">
        <f aca="false">(AL91+AO91+AP91)</f>
        <v>#VALUE!</v>
      </c>
      <c r="K91" s="363" t="e">
        <f aca="false">MAX(((I91-H91)-AQ91)*AU91*AH91,0)</f>
        <v>#VALUE!</v>
      </c>
      <c r="L91" s="501" t="e">
        <f aca="false">MAX(Q91-K91,0)</f>
        <v>#VALUE!</v>
      </c>
      <c r="N91" s="502" t="e">
        <f aca="false">SQRT(($AX91^2*($AH91/2)+$AW91^2*$AI91)/(($AH91/2)+$AI91))</f>
        <v>#VALUE!</v>
      </c>
      <c r="O91" s="502" t="e">
        <f aca="false">SQRT(($AY91^2*($AH91/2)+$AW91^2*$AI91)/(($AH91/2)+$AI91))</f>
        <v>#VALUE!</v>
      </c>
      <c r="P91" s="371" t="e">
        <f aca="false">(VLOOKUP(AI91,CorrelationTwo,2)*(AW91^2)*AI91+VLOOKUP(D91,CorrelationOne,$AK$9)*AX91*AY91*(AH91/2))/((AI91+(AH91/2))*O91*N91)*AF91</f>
        <v>#VALUE!</v>
      </c>
      <c r="Q91" s="501" t="e">
        <f aca="false">xSPRDOPT(I91,H91,AQ91,0,O91,N91,P91,D91-$G$5,1,0)*AH91*AU91</f>
        <v>#VALUE!</v>
      </c>
      <c r="R91" s="501"/>
      <c r="S91" s="365" t="e">
        <f aca="false">xSPRDOPT(I91,H91,AQ91,AT91,O91,N91,P91,D91-$G$5,1,2)*AF91*(F91/(1-AR91))*AH91</f>
        <v>#VALUE!</v>
      </c>
      <c r="T91" s="365" t="e">
        <f aca="false">xSPRDOPT(I91,H91,AQ91,AT91,O91,N91,P91,D91-$G$5,1,1)*AF91*F91*AH91</f>
        <v>#VALUE!</v>
      </c>
      <c r="U91" s="501"/>
      <c r="V91" s="503" t="e">
        <f aca="false">VLOOKUP($AG91,$AL$4:$AS$15,8)*AH91*AU91</f>
        <v>#VALUE!</v>
      </c>
      <c r="W91" s="503"/>
      <c r="X91" s="504" t="e">
        <f aca="false">((BM91*BC91)+(BL91*BB91))*AH91*F91</f>
        <v>#VALUE!</v>
      </c>
      <c r="Y91" s="504" t="e">
        <f aca="false">($F91*$AH91)*((($BG91/2)*($BC91)^2)+(($BF91/2)*($BB91)^2)+($BH91*$BC91*$BB91))</f>
        <v>#VALUE!</v>
      </c>
      <c r="Z91" s="504" t="e">
        <f aca="false">($BI91*$F91*$AH91*($G$5-$BV$5))/365.25</f>
        <v>#VALUE!</v>
      </c>
      <c r="AA91" s="504" t="e">
        <f aca="false">(($BK91*$BE91)+($BJ91*$BD91))*$F91*$AH91*$AF91</f>
        <v>#VALUE!</v>
      </c>
      <c r="AB91" s="504" t="e">
        <f aca="false">BN91*(AT91-CA91)*F91*AH91</f>
        <v>#VALUE!</v>
      </c>
      <c r="AC91" s="504" t="e">
        <f aca="false">BO91*CB91*F91*AH91*CA91*($G$5-$BV$5)/365.25</f>
        <v>#NAME?</v>
      </c>
      <c r="AF91" s="378" t="e">
        <f aca="false">IF(AND(D91&gt;=$G$7,D91&lt;=$G$8),1,0)</f>
        <v>#VALUE!</v>
      </c>
      <c r="AG91" s="378" t="e">
        <f aca="false">MONTH(D91)</f>
        <v>#VALUE!</v>
      </c>
      <c r="AH91" s="378" t="e">
        <f aca="false">(EOMONTH(D91,0)-EOMONTH(D91-DAY(D91),0))*AF91</f>
        <v>#VALUE!</v>
      </c>
      <c r="AI91" s="378" t="e">
        <f aca="false">AI90+AH90</f>
        <v>#VALUE!</v>
      </c>
      <c r="AJ91" s="378" t="e">
        <f aca="false">D91-$BV$5</f>
        <v>#VALUE!</v>
      </c>
      <c r="AL91" s="369" t="e">
        <f aca="false">VLOOKUP($D91,CurveTbl,$AK$4)</f>
        <v>#VALUE!</v>
      </c>
      <c r="AM91" s="505" t="e">
        <f aca="false">VLOOKUP($D91,CurveTbl,$AH$3)</f>
        <v>#VALUE!</v>
      </c>
      <c r="AN91" s="505" t="e">
        <f aca="false">VLOOKUP($D91,CurveTbl,$AH$4)+VLOOKUP($AG91,$AL$3:$AS$15,6)</f>
        <v>#VALUE!</v>
      </c>
      <c r="AO91" s="505" t="e">
        <f aca="false">VLOOKUP($D91,CurveTbl,$AH$5)</f>
        <v>#VALUE!</v>
      </c>
      <c r="AP91" s="505" t="e">
        <f aca="false">VLOOKUP($D91,CurveTbl,$AH$6)+VLOOKUP($AG91,$AL$3:$AS$15,7)</f>
        <v>#VALUE!</v>
      </c>
      <c r="AQ91" s="369" t="e">
        <f aca="false">VLOOKUP($AG91,$AL$4:$AS$15,3)+VLOOKUP($AG91,$AL$4:$AS$15,5)+($AH$10*VLOOKUP(D91,GRITable,2))</f>
        <v>#VALUE!</v>
      </c>
      <c r="AR91" s="370" t="e">
        <f aca="false">VLOOKUP($AG91,$AL$4:$AS$15,4)</f>
        <v>#VALUE!</v>
      </c>
      <c r="AS91" s="369" t="e">
        <f aca="false">(AL91+AM91+AN91)</f>
        <v>#VALUE!</v>
      </c>
      <c r="AT91" s="370" t="e">
        <f aca="false">VLOOKUP(D91,CurveTbl,$AK$6)</f>
        <v>#VALUE!</v>
      </c>
      <c r="AU91" s="370" t="e">
        <f aca="false">(1+$AT91/2)^(-2*($D91-$G$5)/365.25)*$AF91</f>
        <v>#VALUE!</v>
      </c>
      <c r="AV91" s="506" t="e">
        <f aca="false">ROUND((F91/(1-AR91))-F91,0)*AF91*AH91*AU91</f>
        <v>#VALUE!</v>
      </c>
      <c r="AW91" s="370" t="e">
        <f aca="false">VLOOKUP($D91,CurveTbl,$AK$8)</f>
        <v>#VALUE!</v>
      </c>
      <c r="AX91" s="370" t="e">
        <f aca="false">VLOOKUP($D91,CurveTbl,$AH$7)</f>
        <v>#VALUE!</v>
      </c>
      <c r="AY91" s="370" t="e">
        <f aca="false">VLOOKUP($D91,CurveTbl,$AH$8)</f>
        <v>#VALUE!</v>
      </c>
      <c r="AZ91" s="370"/>
      <c r="BA91" s="507"/>
      <c r="BB91" s="505" t="e">
        <f aca="false">$H91-$BV91</f>
        <v>#VALUE!</v>
      </c>
      <c r="BC91" s="505" t="e">
        <f aca="false">I91-BW91</f>
        <v>#VALUE!</v>
      </c>
      <c r="BD91" s="370" t="e">
        <f aca="false">N91-BX91</f>
        <v>#VALUE!</v>
      </c>
      <c r="BE91" s="370" t="e">
        <f aca="false">O91-BY91</f>
        <v>#VALUE!</v>
      </c>
      <c r="BF91" s="370" t="e">
        <f aca="false">xSPRDOPT($BW91,$BV91,$CG91,0,$BY91,$BX91,$BZ91,$AJ91,1,4)*$CB91</f>
        <v>#NAME?</v>
      </c>
      <c r="BG91" s="370" t="e">
        <f aca="false">xSPRDOPT($BW91,$BV91,$CG91,0,$BY91,$BX91,$BZ91,$AJ91,1,3)*$CB91</f>
        <v>#NAME?</v>
      </c>
      <c r="BH91" s="370" t="e">
        <f aca="false">IF(OR(BF91&lt;&gt;0,BG91&lt;&gt;0),xSPRDOPT($BW91,$BV91,$CG91,0,$BY91,$BX91,$BZ91,$AJ91,1,12)*$CB91,0)</f>
        <v>#NAME?</v>
      </c>
      <c r="BI91" s="370" t="e">
        <f aca="false">xSPRDOPT($BW91,$BV91,$CG91,2*LN(1+CA91/2),$BY91,$BX91,$BZ91,$AJ91,1,9)</f>
        <v>#NAME?</v>
      </c>
      <c r="BJ91" s="370" t="e">
        <f aca="false">xSPRDOPT($BW91,$BV91,$CG91,0,$BY91,$BX91,$BZ91,$AJ91,1,6)*$CB91</f>
        <v>#NAME?</v>
      </c>
      <c r="BK91" s="370" t="e">
        <f aca="false">xSPRDOPT($BW91,$BV91,$CG91,0,$BY91,$BX91,$BZ91,$AJ91,1,5)*$CB91</f>
        <v>#NAME?</v>
      </c>
      <c r="BL91" s="370" t="e">
        <f aca="false">xSPRDOPT(BW91,BV91,CG91,0,BY91,BX91,BZ91,AJ91,1,2)*CB91</f>
        <v>#NAME?</v>
      </c>
      <c r="BM91" s="370" t="e">
        <f aca="false">xSPRDOPT(BW91,BV91,CG91,0,BY91,BX91,BZ91,AJ91,1,1)*CB91</f>
        <v>#NAME?</v>
      </c>
      <c r="BN91" s="370" t="e">
        <f aca="false">IF(AH91&lt;&gt;0,xSPRDOPT($BW91,$BV91,$CG91,2*LN(1+CA91/2),$BY91,$BX91,$BZ91,$AJ91,1,8)+(AJ91/365.25)*CH91/AH91,0)</f>
        <v>#VALUE!</v>
      </c>
      <c r="BO91" s="370" t="e">
        <f aca="false">xSPRDOPT($BW91,$BV91,$CG91,0,$BY91,$BX91,$BZ91,$AJ91,1,0)</f>
        <v>#NAME?</v>
      </c>
      <c r="BP91" s="370"/>
      <c r="BQ91" s="370"/>
      <c r="BR91" s="370"/>
      <c r="BS91" s="370"/>
      <c r="BV91" s="508" t="n">
        <v>3.44578313253012</v>
      </c>
      <c r="BW91" s="369" t="n">
        <v>3.467</v>
      </c>
      <c r="BX91" s="370" t="n">
        <v>0.37</v>
      </c>
      <c r="BY91" s="370" t="n">
        <v>0.37</v>
      </c>
      <c r="BZ91" s="370" t="n">
        <v>0</v>
      </c>
      <c r="CA91" s="370" t="n">
        <v>0.0348361539671314</v>
      </c>
      <c r="CB91" s="370" t="n">
        <v>0</v>
      </c>
      <c r="CC91" s="505" t="n">
        <v>0</v>
      </c>
      <c r="CD91" s="505" t="n">
        <v>0.03</v>
      </c>
      <c r="CE91" s="505" t="n">
        <v>0.065</v>
      </c>
      <c r="CF91" s="505" t="n">
        <v>0</v>
      </c>
      <c r="CG91" s="505" t="n">
        <v>0.0006</v>
      </c>
      <c r="CH91" s="505" t="n">
        <v>0</v>
      </c>
      <c r="CI91" s="505" t="n">
        <v>3.402</v>
      </c>
      <c r="CJ91" s="505"/>
      <c r="CK91" s="505"/>
      <c r="CL91" s="505"/>
      <c r="CM91" s="505"/>
    </row>
    <row r="92" customFormat="false" ht="12.75" hidden="false" customHeight="false" outlineLevel="0" collapsed="false">
      <c r="A92" s="500"/>
      <c r="B92" s="500"/>
      <c r="D92" s="361" t="e">
        <f aca="false">D91+AH91</f>
        <v>#VALUE!</v>
      </c>
      <c r="F92" s="362" t="e">
        <f aca="false">VLOOKUP(AG92,$AL$4:$AS$15,2)</f>
        <v>#VALUE!</v>
      </c>
      <c r="G92" s="362" t="e">
        <f aca="false">F92*$AU92</f>
        <v>#VALUE!</v>
      </c>
      <c r="H92" s="363" t="e">
        <f aca="false">(AL92+AM92+AN92)/(1-(AR92))</f>
        <v>#VALUE!</v>
      </c>
      <c r="I92" s="363" t="e">
        <f aca="false">(AL92+AO92+AP92)</f>
        <v>#VALUE!</v>
      </c>
      <c r="K92" s="363" t="e">
        <f aca="false">MAX(((I92-H92)-AQ92)*AU92*AH92,0)</f>
        <v>#VALUE!</v>
      </c>
      <c r="L92" s="501" t="e">
        <f aca="false">MAX(Q92-K92,0)</f>
        <v>#VALUE!</v>
      </c>
      <c r="N92" s="502" t="e">
        <f aca="false">SQRT(($AX92^2*($AH92/2)+$AW92^2*$AI92)/(($AH92/2)+$AI92))</f>
        <v>#VALUE!</v>
      </c>
      <c r="O92" s="502" t="e">
        <f aca="false">SQRT(($AY92^2*($AH92/2)+$AW92^2*$AI92)/(($AH92/2)+$AI92))</f>
        <v>#VALUE!</v>
      </c>
      <c r="P92" s="371" t="e">
        <f aca="false">(VLOOKUP(AI92,CorrelationTwo,2)*(AW92^2)*AI92+VLOOKUP(D92,CorrelationOne,$AK$9)*AX92*AY92*(AH92/2))/((AI92+(AH92/2))*O92*N92)*AF92</f>
        <v>#VALUE!</v>
      </c>
      <c r="Q92" s="501" t="e">
        <f aca="false">xSPRDOPT(I92,H92,AQ92,0,O92,N92,P92,D92-$G$5,1,0)*AH92*AU92</f>
        <v>#VALUE!</v>
      </c>
      <c r="R92" s="501"/>
      <c r="S92" s="365" t="e">
        <f aca="false">xSPRDOPT(I92,H92,AQ92,AT92,O92,N92,P92,D92-$G$5,1,2)*AF92*(F92/(1-AR92))*AH92</f>
        <v>#VALUE!</v>
      </c>
      <c r="T92" s="365" t="e">
        <f aca="false">xSPRDOPT(I92,H92,AQ92,AT92,O92,N92,P92,D92-$G$5,1,1)*AF92*F92*AH92</f>
        <v>#VALUE!</v>
      </c>
      <c r="U92" s="501"/>
      <c r="V92" s="503" t="e">
        <f aca="false">VLOOKUP($AG92,$AL$4:$AS$15,8)*AH92*AU92</f>
        <v>#VALUE!</v>
      </c>
      <c r="W92" s="503"/>
      <c r="X92" s="504" t="e">
        <f aca="false">((BM92*BC92)+(BL92*BB92))*AH92*F92</f>
        <v>#VALUE!</v>
      </c>
      <c r="Y92" s="504" t="e">
        <f aca="false">($F92*$AH92)*((($BG92/2)*($BC92)^2)+(($BF92/2)*($BB92)^2)+($BH92*$BC92*$BB92))</f>
        <v>#VALUE!</v>
      </c>
      <c r="Z92" s="504" t="e">
        <f aca="false">($BI92*$F92*$AH92*($G$5-$BV$5))/365.25</f>
        <v>#VALUE!</v>
      </c>
      <c r="AA92" s="504" t="e">
        <f aca="false">(($BK92*$BE92)+($BJ92*$BD92))*$F92*$AH92*$AF92</f>
        <v>#VALUE!</v>
      </c>
      <c r="AB92" s="504" t="e">
        <f aca="false">BN92*(AT92-CA92)*F92*AH92</f>
        <v>#VALUE!</v>
      </c>
      <c r="AC92" s="504" t="e">
        <f aca="false">BO92*CB92*F92*AH92*CA92*($G$5-$BV$5)/365.25</f>
        <v>#NAME?</v>
      </c>
      <c r="AF92" s="378" t="e">
        <f aca="false">IF(AND(D92&gt;=$G$7,D92&lt;=$G$8),1,0)</f>
        <v>#VALUE!</v>
      </c>
      <c r="AG92" s="378" t="e">
        <f aca="false">MONTH(D92)</f>
        <v>#VALUE!</v>
      </c>
      <c r="AH92" s="378" t="e">
        <f aca="false">(EOMONTH(D92,0)-EOMONTH(D92-DAY(D92),0))*AF92</f>
        <v>#VALUE!</v>
      </c>
      <c r="AI92" s="378" t="e">
        <f aca="false">AI91+AH91</f>
        <v>#VALUE!</v>
      </c>
      <c r="AJ92" s="378" t="e">
        <f aca="false">D92-$BV$5</f>
        <v>#VALUE!</v>
      </c>
      <c r="AL92" s="369" t="e">
        <f aca="false">VLOOKUP($D92,CurveTbl,$AK$4)</f>
        <v>#VALUE!</v>
      </c>
      <c r="AM92" s="505" t="e">
        <f aca="false">VLOOKUP($D92,CurveTbl,$AH$3)</f>
        <v>#VALUE!</v>
      </c>
      <c r="AN92" s="505" t="e">
        <f aca="false">VLOOKUP($D92,CurveTbl,$AH$4)+VLOOKUP($AG92,$AL$3:$AS$15,6)</f>
        <v>#VALUE!</v>
      </c>
      <c r="AO92" s="505" t="e">
        <f aca="false">VLOOKUP($D92,CurveTbl,$AH$5)</f>
        <v>#VALUE!</v>
      </c>
      <c r="AP92" s="505" t="e">
        <f aca="false">VLOOKUP($D92,CurveTbl,$AH$6)+VLOOKUP($AG92,$AL$3:$AS$15,7)</f>
        <v>#VALUE!</v>
      </c>
      <c r="AQ92" s="369" t="e">
        <f aca="false">VLOOKUP($AG92,$AL$4:$AS$15,3)+VLOOKUP($AG92,$AL$4:$AS$15,5)+($AH$10*VLOOKUP(D92,GRITable,2))</f>
        <v>#VALUE!</v>
      </c>
      <c r="AR92" s="370" t="e">
        <f aca="false">VLOOKUP($AG92,$AL$4:$AS$15,4)</f>
        <v>#VALUE!</v>
      </c>
      <c r="AS92" s="369" t="e">
        <f aca="false">(AL92+AM92+AN92)</f>
        <v>#VALUE!</v>
      </c>
      <c r="AT92" s="370" t="e">
        <f aca="false">VLOOKUP(D92,CurveTbl,$AK$6)</f>
        <v>#VALUE!</v>
      </c>
      <c r="AU92" s="370" t="e">
        <f aca="false">(1+$AT92/2)^(-2*($D92-$G$5)/365.25)*$AF92</f>
        <v>#VALUE!</v>
      </c>
      <c r="AV92" s="506" t="e">
        <f aca="false">ROUND((F92/(1-AR92))-F92,0)*AF92*AH92*AU92</f>
        <v>#VALUE!</v>
      </c>
      <c r="AW92" s="370" t="e">
        <f aca="false">VLOOKUP($D92,CurveTbl,$AK$8)</f>
        <v>#VALUE!</v>
      </c>
      <c r="AX92" s="370" t="e">
        <f aca="false">VLOOKUP($D92,CurveTbl,$AH$7)</f>
        <v>#VALUE!</v>
      </c>
      <c r="AY92" s="370" t="e">
        <f aca="false">VLOOKUP($D92,CurveTbl,$AH$8)</f>
        <v>#VALUE!</v>
      </c>
      <c r="AZ92" s="370"/>
      <c r="BA92" s="507"/>
      <c r="BB92" s="505" t="e">
        <f aca="false">$H92-$BV92</f>
        <v>#VALUE!</v>
      </c>
      <c r="BC92" s="505" t="e">
        <f aca="false">I92-BW92</f>
        <v>#VALUE!</v>
      </c>
      <c r="BD92" s="370" t="e">
        <f aca="false">N92-BX92</f>
        <v>#VALUE!</v>
      </c>
      <c r="BE92" s="370" t="e">
        <f aca="false">O92-BY92</f>
        <v>#VALUE!</v>
      </c>
      <c r="BF92" s="370" t="e">
        <f aca="false">xSPRDOPT($BW92,$BV92,$CG92,0,$BY92,$BX92,$BZ92,$AJ92,1,4)*$CB92</f>
        <v>#NAME?</v>
      </c>
      <c r="BG92" s="370" t="e">
        <f aca="false">xSPRDOPT($BW92,$BV92,$CG92,0,$BY92,$BX92,$BZ92,$AJ92,1,3)*$CB92</f>
        <v>#NAME?</v>
      </c>
      <c r="BH92" s="370" t="e">
        <f aca="false">IF(OR(BF92&lt;&gt;0,BG92&lt;&gt;0),xSPRDOPT($BW92,$BV92,$CG92,0,$BY92,$BX92,$BZ92,$AJ92,1,12)*$CB92,0)</f>
        <v>#NAME?</v>
      </c>
      <c r="BI92" s="370" t="e">
        <f aca="false">xSPRDOPT($BW92,$BV92,$CG92,2*LN(1+CA92/2),$BY92,$BX92,$BZ92,$AJ92,1,9)</f>
        <v>#NAME?</v>
      </c>
      <c r="BJ92" s="370" t="e">
        <f aca="false">xSPRDOPT($BW92,$BV92,$CG92,0,$BY92,$BX92,$BZ92,$AJ92,1,6)*$CB92</f>
        <v>#NAME?</v>
      </c>
      <c r="BK92" s="370" t="e">
        <f aca="false">xSPRDOPT($BW92,$BV92,$CG92,0,$BY92,$BX92,$BZ92,$AJ92,1,5)*$CB92</f>
        <v>#NAME?</v>
      </c>
      <c r="BL92" s="370" t="e">
        <f aca="false">xSPRDOPT(BW92,BV92,CG92,0,BY92,BX92,BZ92,AJ92,1,2)*CB92</f>
        <v>#NAME?</v>
      </c>
      <c r="BM92" s="370" t="e">
        <f aca="false">xSPRDOPT(BW92,BV92,CG92,0,BY92,BX92,BZ92,AJ92,1,1)*CB92</f>
        <v>#NAME?</v>
      </c>
      <c r="BN92" s="370" t="e">
        <f aca="false">IF(AH92&lt;&gt;0,xSPRDOPT($BW92,$BV92,$CG92,2*LN(1+CA92/2),$BY92,$BX92,$BZ92,$AJ92,1,8)+(AJ92/365.25)*CH92/AH92,0)</f>
        <v>#VALUE!</v>
      </c>
      <c r="BO92" s="370" t="e">
        <f aca="false">xSPRDOPT($BW92,$BV92,$CG92,0,$BY92,$BX92,$BZ92,$AJ92,1,0)</f>
        <v>#NAME?</v>
      </c>
      <c r="BP92" s="370"/>
      <c r="BQ92" s="370"/>
      <c r="BR92" s="370"/>
      <c r="BS92" s="370"/>
      <c r="BV92" s="508" t="n">
        <v>3.44578313253012</v>
      </c>
      <c r="BW92" s="369" t="n">
        <v>3.467</v>
      </c>
      <c r="BX92" s="370" t="n">
        <v>0.37</v>
      </c>
      <c r="BY92" s="370" t="n">
        <v>0.37</v>
      </c>
      <c r="BZ92" s="370" t="n">
        <v>0</v>
      </c>
      <c r="CA92" s="370" t="n">
        <v>0.0348361539671314</v>
      </c>
      <c r="CB92" s="370" t="n">
        <v>0</v>
      </c>
      <c r="CC92" s="505" t="n">
        <v>0</v>
      </c>
      <c r="CD92" s="505" t="n">
        <v>0.03</v>
      </c>
      <c r="CE92" s="505" t="n">
        <v>0.065</v>
      </c>
      <c r="CF92" s="505" t="n">
        <v>0</v>
      </c>
      <c r="CG92" s="505" t="n">
        <v>0.0006</v>
      </c>
      <c r="CH92" s="505" t="n">
        <v>0</v>
      </c>
      <c r="CI92" s="505" t="n">
        <v>3.402</v>
      </c>
      <c r="CJ92" s="505"/>
      <c r="CK92" s="505"/>
      <c r="CL92" s="505"/>
      <c r="CM92" s="505"/>
    </row>
    <row r="93" customFormat="false" ht="12.75" hidden="false" customHeight="false" outlineLevel="0" collapsed="false">
      <c r="A93" s="500"/>
      <c r="B93" s="500"/>
      <c r="D93" s="361" t="e">
        <f aca="false">D92+AH92</f>
        <v>#VALUE!</v>
      </c>
      <c r="F93" s="362" t="e">
        <f aca="false">VLOOKUP(AG93,$AL$4:$AS$15,2)</f>
        <v>#VALUE!</v>
      </c>
      <c r="G93" s="362" t="e">
        <f aca="false">F93*$AU93</f>
        <v>#VALUE!</v>
      </c>
      <c r="H93" s="363" t="e">
        <f aca="false">(AL93+AM93+AN93)/(1-(AR93))</f>
        <v>#VALUE!</v>
      </c>
      <c r="I93" s="363" t="e">
        <f aca="false">(AL93+AO93+AP93)</f>
        <v>#VALUE!</v>
      </c>
      <c r="K93" s="363" t="e">
        <f aca="false">MAX(((I93-H93)-AQ93)*AU93*AH93,0)</f>
        <v>#VALUE!</v>
      </c>
      <c r="L93" s="501" t="e">
        <f aca="false">MAX(Q93-K93,0)</f>
        <v>#VALUE!</v>
      </c>
      <c r="N93" s="502" t="e">
        <f aca="false">SQRT(($AX93^2*($AH93/2)+$AW93^2*$AI93)/(($AH93/2)+$AI93))</f>
        <v>#VALUE!</v>
      </c>
      <c r="O93" s="502" t="e">
        <f aca="false">SQRT(($AY93^2*($AH93/2)+$AW93^2*$AI93)/(($AH93/2)+$AI93))</f>
        <v>#VALUE!</v>
      </c>
      <c r="P93" s="371" t="e">
        <f aca="false">(VLOOKUP(AI93,CorrelationTwo,2)*(AW93^2)*AI93+VLOOKUP(D93,CorrelationOne,$AK$9)*AX93*AY93*(AH93/2))/((AI93+(AH93/2))*O93*N93)*AF93</f>
        <v>#VALUE!</v>
      </c>
      <c r="Q93" s="501" t="e">
        <f aca="false">xSPRDOPT(I93,H93,AQ93,0,O93,N93,P93,D93-$G$5,1,0)*AH93*AU93</f>
        <v>#VALUE!</v>
      </c>
      <c r="R93" s="501"/>
      <c r="S93" s="365" t="e">
        <f aca="false">xSPRDOPT(I93,H93,AQ93,AT93,O93,N93,P93,D93-$G$5,1,2)*AF93*(F93/(1-AR93))*AH93</f>
        <v>#VALUE!</v>
      </c>
      <c r="T93" s="365" t="e">
        <f aca="false">xSPRDOPT(I93,H93,AQ93,AT93,O93,N93,P93,D93-$G$5,1,1)*AF93*F93*AH93</f>
        <v>#VALUE!</v>
      </c>
      <c r="U93" s="501"/>
      <c r="V93" s="503" t="e">
        <f aca="false">VLOOKUP($AG93,$AL$4:$AS$15,8)*AH93*AU93</f>
        <v>#VALUE!</v>
      </c>
      <c r="W93" s="503"/>
      <c r="X93" s="504" t="e">
        <f aca="false">((BM93*BC93)+(BL93*BB93))*AH93*F93</f>
        <v>#VALUE!</v>
      </c>
      <c r="Y93" s="504" t="e">
        <f aca="false">($F93*$AH93)*((($BG93/2)*($BC93)^2)+(($BF93/2)*($BB93)^2)+($BH93*$BC93*$BB93))</f>
        <v>#VALUE!</v>
      </c>
      <c r="Z93" s="504" t="e">
        <f aca="false">($BI93*$F93*$AH93*($G$5-$BV$5))/365.25</f>
        <v>#VALUE!</v>
      </c>
      <c r="AA93" s="504" t="e">
        <f aca="false">(($BK93*$BE93)+($BJ93*$BD93))*$F93*$AH93*$AF93</f>
        <v>#VALUE!</v>
      </c>
      <c r="AB93" s="504" t="e">
        <f aca="false">BN93*(AT93-CA93)*F93*AH93</f>
        <v>#VALUE!</v>
      </c>
      <c r="AC93" s="504" t="e">
        <f aca="false">BO93*CB93*F93*AH93*CA93*($G$5-$BV$5)/365.25</f>
        <v>#NAME?</v>
      </c>
      <c r="AF93" s="378" t="e">
        <f aca="false">IF(AND(D93&gt;=$G$7,D93&lt;=$G$8),1,0)</f>
        <v>#VALUE!</v>
      </c>
      <c r="AG93" s="378" t="e">
        <f aca="false">MONTH(D93)</f>
        <v>#VALUE!</v>
      </c>
      <c r="AH93" s="378" t="e">
        <f aca="false">(EOMONTH(D93,0)-EOMONTH(D93-DAY(D93),0))*AF93</f>
        <v>#VALUE!</v>
      </c>
      <c r="AI93" s="378" t="e">
        <f aca="false">AI92+AH92</f>
        <v>#VALUE!</v>
      </c>
      <c r="AJ93" s="378" t="e">
        <f aca="false">D93-$BV$5</f>
        <v>#VALUE!</v>
      </c>
      <c r="AL93" s="369" t="e">
        <f aca="false">VLOOKUP($D93,CurveTbl,$AK$4)</f>
        <v>#VALUE!</v>
      </c>
      <c r="AM93" s="505" t="e">
        <f aca="false">VLOOKUP($D93,CurveTbl,$AH$3)</f>
        <v>#VALUE!</v>
      </c>
      <c r="AN93" s="505" t="e">
        <f aca="false">VLOOKUP($D93,CurveTbl,$AH$4)+VLOOKUP($AG93,$AL$3:$AS$15,6)</f>
        <v>#VALUE!</v>
      </c>
      <c r="AO93" s="505" t="e">
        <f aca="false">VLOOKUP($D93,CurveTbl,$AH$5)</f>
        <v>#VALUE!</v>
      </c>
      <c r="AP93" s="505" t="e">
        <f aca="false">VLOOKUP($D93,CurveTbl,$AH$6)+VLOOKUP($AG93,$AL$3:$AS$15,7)</f>
        <v>#VALUE!</v>
      </c>
      <c r="AQ93" s="369" t="e">
        <f aca="false">VLOOKUP($AG93,$AL$4:$AS$15,3)+VLOOKUP($AG93,$AL$4:$AS$15,5)+($AH$10*VLOOKUP(D93,GRITable,2))</f>
        <v>#VALUE!</v>
      </c>
      <c r="AR93" s="370" t="e">
        <f aca="false">VLOOKUP($AG93,$AL$4:$AS$15,4)</f>
        <v>#VALUE!</v>
      </c>
      <c r="AS93" s="369" t="e">
        <f aca="false">(AL93+AM93+AN93)</f>
        <v>#VALUE!</v>
      </c>
      <c r="AT93" s="370" t="e">
        <f aca="false">VLOOKUP(D93,CurveTbl,$AK$6)</f>
        <v>#VALUE!</v>
      </c>
      <c r="AU93" s="370" t="e">
        <f aca="false">(1+$AT93/2)^(-2*($D93-$G$5)/365.25)*$AF93</f>
        <v>#VALUE!</v>
      </c>
      <c r="AV93" s="506" t="e">
        <f aca="false">ROUND((F93/(1-AR93))-F93,0)*AF93*AH93*AU93</f>
        <v>#VALUE!</v>
      </c>
      <c r="AW93" s="370" t="e">
        <f aca="false">VLOOKUP($D93,CurveTbl,$AK$8)</f>
        <v>#VALUE!</v>
      </c>
      <c r="AX93" s="370" t="e">
        <f aca="false">VLOOKUP($D93,CurveTbl,$AH$7)</f>
        <v>#VALUE!</v>
      </c>
      <c r="AY93" s="370" t="e">
        <f aca="false">VLOOKUP($D93,CurveTbl,$AH$8)</f>
        <v>#VALUE!</v>
      </c>
      <c r="AZ93" s="370"/>
      <c r="BA93" s="507"/>
      <c r="BB93" s="505" t="e">
        <f aca="false">$H93-$BV93</f>
        <v>#VALUE!</v>
      </c>
      <c r="BC93" s="505" t="e">
        <f aca="false">I93-BW93</f>
        <v>#VALUE!</v>
      </c>
      <c r="BD93" s="370" t="e">
        <f aca="false">N93-BX93</f>
        <v>#VALUE!</v>
      </c>
      <c r="BE93" s="370" t="e">
        <f aca="false">O93-BY93</f>
        <v>#VALUE!</v>
      </c>
      <c r="BF93" s="370" t="e">
        <f aca="false">xSPRDOPT($BW93,$BV93,$CG93,0,$BY93,$BX93,$BZ93,$AJ93,1,4)*$CB93</f>
        <v>#NAME?</v>
      </c>
      <c r="BG93" s="370" t="e">
        <f aca="false">xSPRDOPT($BW93,$BV93,$CG93,0,$BY93,$BX93,$BZ93,$AJ93,1,3)*$CB93</f>
        <v>#NAME?</v>
      </c>
      <c r="BH93" s="370" t="e">
        <f aca="false">IF(OR(BF93&lt;&gt;0,BG93&lt;&gt;0),xSPRDOPT($BW93,$BV93,$CG93,0,$BY93,$BX93,$BZ93,$AJ93,1,12)*$CB93,0)</f>
        <v>#NAME?</v>
      </c>
      <c r="BI93" s="370" t="e">
        <f aca="false">xSPRDOPT($BW93,$BV93,$CG93,2*LN(1+CA93/2),$BY93,$BX93,$BZ93,$AJ93,1,9)</f>
        <v>#NAME?</v>
      </c>
      <c r="BJ93" s="370" t="e">
        <f aca="false">xSPRDOPT($BW93,$BV93,$CG93,0,$BY93,$BX93,$BZ93,$AJ93,1,6)*$CB93</f>
        <v>#NAME?</v>
      </c>
      <c r="BK93" s="370" t="e">
        <f aca="false">xSPRDOPT($BW93,$BV93,$CG93,0,$BY93,$BX93,$BZ93,$AJ93,1,5)*$CB93</f>
        <v>#NAME?</v>
      </c>
      <c r="BL93" s="370" t="e">
        <f aca="false">xSPRDOPT(BW93,BV93,CG93,0,BY93,BX93,BZ93,AJ93,1,2)*CB93</f>
        <v>#NAME?</v>
      </c>
      <c r="BM93" s="370" t="e">
        <f aca="false">xSPRDOPT(BW93,BV93,CG93,0,BY93,BX93,BZ93,AJ93,1,1)*CB93</f>
        <v>#NAME?</v>
      </c>
      <c r="BN93" s="370" t="e">
        <f aca="false">IF(AH93&lt;&gt;0,xSPRDOPT($BW93,$BV93,$CG93,2*LN(1+CA93/2),$BY93,$BX93,$BZ93,$AJ93,1,8)+(AJ93/365.25)*CH93/AH93,0)</f>
        <v>#VALUE!</v>
      </c>
      <c r="BO93" s="370" t="e">
        <f aca="false">xSPRDOPT($BW93,$BV93,$CG93,0,$BY93,$BX93,$BZ93,$AJ93,1,0)</f>
        <v>#NAME?</v>
      </c>
      <c r="BP93" s="370"/>
      <c r="BQ93" s="370"/>
      <c r="BR93" s="370"/>
      <c r="BS93" s="370"/>
      <c r="BV93" s="508" t="n">
        <v>3.44578313253012</v>
      </c>
      <c r="BW93" s="369" t="n">
        <v>3.467</v>
      </c>
      <c r="BX93" s="370" t="n">
        <v>0.37</v>
      </c>
      <c r="BY93" s="370" t="n">
        <v>0.37</v>
      </c>
      <c r="BZ93" s="370" t="n">
        <v>0</v>
      </c>
      <c r="CA93" s="370" t="n">
        <v>0.0348361539671314</v>
      </c>
      <c r="CB93" s="370" t="n">
        <v>0</v>
      </c>
      <c r="CC93" s="505" t="n">
        <v>0</v>
      </c>
      <c r="CD93" s="505" t="n">
        <v>0.03</v>
      </c>
      <c r="CE93" s="505" t="n">
        <v>0.065</v>
      </c>
      <c r="CF93" s="505" t="n">
        <v>0</v>
      </c>
      <c r="CG93" s="505" t="n">
        <v>0.0006</v>
      </c>
      <c r="CH93" s="505" t="n">
        <v>0</v>
      </c>
      <c r="CI93" s="505" t="n">
        <v>3.402</v>
      </c>
      <c r="CJ93" s="505"/>
      <c r="CK93" s="505"/>
      <c r="CL93" s="505"/>
      <c r="CM93" s="505"/>
    </row>
    <row r="94" customFormat="false" ht="12.75" hidden="false" customHeight="false" outlineLevel="0" collapsed="false">
      <c r="A94" s="500"/>
      <c r="B94" s="500"/>
      <c r="D94" s="361" t="e">
        <f aca="false">D93+AH93</f>
        <v>#VALUE!</v>
      </c>
      <c r="F94" s="362" t="e">
        <f aca="false">VLOOKUP(AG94,$AL$4:$AS$15,2)</f>
        <v>#VALUE!</v>
      </c>
      <c r="G94" s="362" t="e">
        <f aca="false">F94*$AU94</f>
        <v>#VALUE!</v>
      </c>
      <c r="H94" s="363" t="e">
        <f aca="false">(AL94+AM94+AN94)/(1-(AR94))</f>
        <v>#VALUE!</v>
      </c>
      <c r="I94" s="363" t="e">
        <f aca="false">(AL94+AO94+AP94)</f>
        <v>#VALUE!</v>
      </c>
      <c r="K94" s="363" t="e">
        <f aca="false">MAX(((I94-H94)-AQ94)*AU94*AH94,0)</f>
        <v>#VALUE!</v>
      </c>
      <c r="L94" s="501" t="e">
        <f aca="false">MAX(Q94-K94,0)</f>
        <v>#VALUE!</v>
      </c>
      <c r="N94" s="502" t="e">
        <f aca="false">SQRT(($AX94^2*($AH94/2)+$AW94^2*$AI94)/(($AH94/2)+$AI94))</f>
        <v>#VALUE!</v>
      </c>
      <c r="O94" s="502" t="e">
        <f aca="false">SQRT(($AY94^2*($AH94/2)+$AW94^2*$AI94)/(($AH94/2)+$AI94))</f>
        <v>#VALUE!</v>
      </c>
      <c r="P94" s="371" t="e">
        <f aca="false">(VLOOKUP(AI94,CorrelationTwo,2)*(AW94^2)*AI94+VLOOKUP(D94,CorrelationOne,$AK$9)*AX94*AY94*(AH94/2))/((AI94+(AH94/2))*O94*N94)*AF94</f>
        <v>#VALUE!</v>
      </c>
      <c r="Q94" s="501" t="e">
        <f aca="false">xSPRDOPT(I94,H94,AQ94,0,O94,N94,P94,D94-$G$5,1,0)*AH94*AU94</f>
        <v>#VALUE!</v>
      </c>
      <c r="R94" s="501"/>
      <c r="S94" s="365" t="e">
        <f aca="false">xSPRDOPT(I94,H94,AQ94,AT94,O94,N94,P94,D94-$G$5,1,2)*AF94*(F94/(1-AR94))*AH94</f>
        <v>#VALUE!</v>
      </c>
      <c r="T94" s="365" t="e">
        <f aca="false">xSPRDOPT(I94,H94,AQ94,AT94,O94,N94,P94,D94-$G$5,1,1)*AF94*F94*AH94</f>
        <v>#VALUE!</v>
      </c>
      <c r="U94" s="501"/>
      <c r="V94" s="503" t="e">
        <f aca="false">VLOOKUP($AG94,$AL$4:$AS$15,8)*AH94*AU94</f>
        <v>#VALUE!</v>
      </c>
      <c r="W94" s="503"/>
      <c r="X94" s="504" t="e">
        <f aca="false">((BM94*BC94)+(BL94*BB94))*AH94*F94</f>
        <v>#VALUE!</v>
      </c>
      <c r="Y94" s="504" t="e">
        <f aca="false">($F94*$AH94)*((($BG94/2)*($BC94)^2)+(($BF94/2)*($BB94)^2)+($BH94*$BC94*$BB94))</f>
        <v>#VALUE!</v>
      </c>
      <c r="Z94" s="504" t="e">
        <f aca="false">($BI94*$F94*$AH94*($G$5-$BV$5))/365.25</f>
        <v>#VALUE!</v>
      </c>
      <c r="AA94" s="504" t="e">
        <f aca="false">(($BK94*$BE94)+($BJ94*$BD94))*$F94*$AH94*$AF94</f>
        <v>#VALUE!</v>
      </c>
      <c r="AB94" s="504" t="e">
        <f aca="false">BN94*(AT94-CA94)*F94*AH94</f>
        <v>#VALUE!</v>
      </c>
      <c r="AC94" s="504" t="e">
        <f aca="false">BO94*CB94*F94*AH94*CA94*($G$5-$BV$5)/365.25</f>
        <v>#NAME?</v>
      </c>
      <c r="AF94" s="378" t="e">
        <f aca="false">IF(AND(D94&gt;=$G$7,D94&lt;=$G$8),1,0)</f>
        <v>#VALUE!</v>
      </c>
      <c r="AG94" s="378" t="e">
        <f aca="false">MONTH(D94)</f>
        <v>#VALUE!</v>
      </c>
      <c r="AH94" s="378" t="e">
        <f aca="false">(EOMONTH(D94,0)-EOMONTH(D94-DAY(D94),0))*AF94</f>
        <v>#VALUE!</v>
      </c>
      <c r="AI94" s="378" t="e">
        <f aca="false">AI93+AH93</f>
        <v>#VALUE!</v>
      </c>
      <c r="AJ94" s="378" t="e">
        <f aca="false">D94-$BV$5</f>
        <v>#VALUE!</v>
      </c>
      <c r="AL94" s="369" t="e">
        <f aca="false">VLOOKUP($D94,CurveTbl,$AK$4)</f>
        <v>#VALUE!</v>
      </c>
      <c r="AM94" s="505" t="e">
        <f aca="false">VLOOKUP($D94,CurveTbl,$AH$3)</f>
        <v>#VALUE!</v>
      </c>
      <c r="AN94" s="505" t="e">
        <f aca="false">VLOOKUP($D94,CurveTbl,$AH$4)+VLOOKUP($AG94,$AL$3:$AS$15,6)</f>
        <v>#VALUE!</v>
      </c>
      <c r="AO94" s="505" t="e">
        <f aca="false">VLOOKUP($D94,CurveTbl,$AH$5)</f>
        <v>#VALUE!</v>
      </c>
      <c r="AP94" s="505" t="e">
        <f aca="false">VLOOKUP($D94,CurveTbl,$AH$6)+VLOOKUP($AG94,$AL$3:$AS$15,7)</f>
        <v>#VALUE!</v>
      </c>
      <c r="AQ94" s="369" t="e">
        <f aca="false">VLOOKUP($AG94,$AL$4:$AS$15,3)+VLOOKUP($AG94,$AL$4:$AS$15,5)+($AH$10*VLOOKUP(D94,GRITable,2))</f>
        <v>#VALUE!</v>
      </c>
      <c r="AR94" s="370" t="e">
        <f aca="false">VLOOKUP($AG94,$AL$4:$AS$15,4)</f>
        <v>#VALUE!</v>
      </c>
      <c r="AS94" s="369" t="e">
        <f aca="false">(AL94+AM94+AN94)</f>
        <v>#VALUE!</v>
      </c>
      <c r="AT94" s="370" t="e">
        <f aca="false">VLOOKUP(D94,CurveTbl,$AK$6)</f>
        <v>#VALUE!</v>
      </c>
      <c r="AU94" s="370" t="e">
        <f aca="false">(1+$AT94/2)^(-2*($D94-$G$5)/365.25)*$AF94</f>
        <v>#VALUE!</v>
      </c>
      <c r="AV94" s="506" t="e">
        <f aca="false">ROUND((F94/(1-AR94))-F94,0)*AF94*AH94*AU94</f>
        <v>#VALUE!</v>
      </c>
      <c r="AW94" s="370" t="e">
        <f aca="false">VLOOKUP($D94,CurveTbl,$AK$8)</f>
        <v>#VALUE!</v>
      </c>
      <c r="AX94" s="370" t="e">
        <f aca="false">VLOOKUP($D94,CurveTbl,$AH$7)</f>
        <v>#VALUE!</v>
      </c>
      <c r="AY94" s="370" t="e">
        <f aca="false">VLOOKUP($D94,CurveTbl,$AH$8)</f>
        <v>#VALUE!</v>
      </c>
      <c r="AZ94" s="370"/>
      <c r="BA94" s="507"/>
      <c r="BB94" s="505" t="e">
        <f aca="false">$H94-$BV94</f>
        <v>#VALUE!</v>
      </c>
      <c r="BC94" s="505" t="e">
        <f aca="false">I94-BW94</f>
        <v>#VALUE!</v>
      </c>
      <c r="BD94" s="370" t="e">
        <f aca="false">N94-BX94</f>
        <v>#VALUE!</v>
      </c>
      <c r="BE94" s="370" t="e">
        <f aca="false">O94-BY94</f>
        <v>#VALUE!</v>
      </c>
      <c r="BF94" s="370" t="e">
        <f aca="false">xSPRDOPT($BW94,$BV94,$CG94,0,$BY94,$BX94,$BZ94,$AJ94,1,4)*$CB94</f>
        <v>#NAME?</v>
      </c>
      <c r="BG94" s="370" t="e">
        <f aca="false">xSPRDOPT($BW94,$BV94,$CG94,0,$BY94,$BX94,$BZ94,$AJ94,1,3)*$CB94</f>
        <v>#NAME?</v>
      </c>
      <c r="BH94" s="370" t="e">
        <f aca="false">IF(OR(BF94&lt;&gt;0,BG94&lt;&gt;0),xSPRDOPT($BW94,$BV94,$CG94,0,$BY94,$BX94,$BZ94,$AJ94,1,12)*$CB94,0)</f>
        <v>#NAME?</v>
      </c>
      <c r="BI94" s="370" t="e">
        <f aca="false">xSPRDOPT($BW94,$BV94,$CG94,2*LN(1+CA94/2),$BY94,$BX94,$BZ94,$AJ94,1,9)</f>
        <v>#NAME?</v>
      </c>
      <c r="BJ94" s="370" t="e">
        <f aca="false">xSPRDOPT($BW94,$BV94,$CG94,0,$BY94,$BX94,$BZ94,$AJ94,1,6)*$CB94</f>
        <v>#NAME?</v>
      </c>
      <c r="BK94" s="370" t="e">
        <f aca="false">xSPRDOPT($BW94,$BV94,$CG94,0,$BY94,$BX94,$BZ94,$AJ94,1,5)*$CB94</f>
        <v>#NAME?</v>
      </c>
      <c r="BL94" s="370" t="e">
        <f aca="false">xSPRDOPT(BW94,BV94,CG94,0,BY94,BX94,BZ94,AJ94,1,2)*CB94</f>
        <v>#NAME?</v>
      </c>
      <c r="BM94" s="370" t="e">
        <f aca="false">xSPRDOPT(BW94,BV94,CG94,0,BY94,BX94,BZ94,AJ94,1,1)*CB94</f>
        <v>#NAME?</v>
      </c>
      <c r="BN94" s="370" t="e">
        <f aca="false">IF(AH94&lt;&gt;0,xSPRDOPT($BW94,$BV94,$CG94,2*LN(1+CA94/2),$BY94,$BX94,$BZ94,$AJ94,1,8)+(AJ94/365.25)*CH94/AH94,0)</f>
        <v>#VALUE!</v>
      </c>
      <c r="BO94" s="370" t="e">
        <f aca="false">xSPRDOPT($BW94,$BV94,$CG94,0,$BY94,$BX94,$BZ94,$AJ94,1,0)</f>
        <v>#NAME?</v>
      </c>
      <c r="BP94" s="370"/>
      <c r="BQ94" s="370"/>
      <c r="BR94" s="370"/>
      <c r="BS94" s="370"/>
      <c r="BV94" s="508" t="n">
        <v>3.44578313253012</v>
      </c>
      <c r="BW94" s="369" t="n">
        <v>3.467</v>
      </c>
      <c r="BX94" s="370" t="n">
        <v>0.37</v>
      </c>
      <c r="BY94" s="370" t="n">
        <v>0.37</v>
      </c>
      <c r="BZ94" s="370" t="n">
        <v>0</v>
      </c>
      <c r="CA94" s="370" t="n">
        <v>0.0348361539671314</v>
      </c>
      <c r="CB94" s="370" t="n">
        <v>0</v>
      </c>
      <c r="CC94" s="505" t="n">
        <v>0</v>
      </c>
      <c r="CD94" s="505" t="n">
        <v>0.03</v>
      </c>
      <c r="CE94" s="505" t="n">
        <v>0.065</v>
      </c>
      <c r="CF94" s="505" t="n">
        <v>0</v>
      </c>
      <c r="CG94" s="505" t="n">
        <v>0.0006</v>
      </c>
      <c r="CH94" s="505" t="n">
        <v>0</v>
      </c>
      <c r="CI94" s="505" t="n">
        <v>3.402</v>
      </c>
      <c r="CJ94" s="505"/>
      <c r="CK94" s="505"/>
      <c r="CL94" s="505"/>
      <c r="CM94" s="505"/>
    </row>
    <row r="95" customFormat="false" ht="12.75" hidden="false" customHeight="false" outlineLevel="0" collapsed="false">
      <c r="A95" s="500"/>
      <c r="B95" s="500"/>
      <c r="D95" s="361" t="e">
        <f aca="false">D94+AH94</f>
        <v>#VALUE!</v>
      </c>
      <c r="F95" s="362" t="e">
        <f aca="false">VLOOKUP(AG95,$AL$4:$AS$15,2)</f>
        <v>#VALUE!</v>
      </c>
      <c r="G95" s="362" t="e">
        <f aca="false">F95*$AU95</f>
        <v>#VALUE!</v>
      </c>
      <c r="H95" s="363" t="e">
        <f aca="false">(AL95+AM95+AN95)/(1-(AR95))</f>
        <v>#VALUE!</v>
      </c>
      <c r="I95" s="363" t="e">
        <f aca="false">(AL95+AO95+AP95)</f>
        <v>#VALUE!</v>
      </c>
      <c r="K95" s="363" t="e">
        <f aca="false">MAX(((I95-H95)-AQ95)*AU95*AH95,0)</f>
        <v>#VALUE!</v>
      </c>
      <c r="L95" s="501" t="e">
        <f aca="false">MAX(Q95-K95,0)</f>
        <v>#VALUE!</v>
      </c>
      <c r="N95" s="502" t="e">
        <f aca="false">SQRT(($AX95^2*($AH95/2)+$AW95^2*$AI95)/(($AH95/2)+$AI95))</f>
        <v>#VALUE!</v>
      </c>
      <c r="O95" s="502" t="e">
        <f aca="false">SQRT(($AY95^2*($AH95/2)+$AW95^2*$AI95)/(($AH95/2)+$AI95))</f>
        <v>#VALUE!</v>
      </c>
      <c r="P95" s="371" t="e">
        <f aca="false">(VLOOKUP(AI95,CorrelationTwo,2)*(AW95^2)*AI95+VLOOKUP(D95,CorrelationOne,$AK$9)*AX95*AY95*(AH95/2))/((AI95+(AH95/2))*O95*N95)*AF95</f>
        <v>#VALUE!</v>
      </c>
      <c r="Q95" s="501" t="e">
        <f aca="false">xSPRDOPT(I95,H95,AQ95,0,O95,N95,P95,D95-$G$5,1,0)*AH95*AU95</f>
        <v>#VALUE!</v>
      </c>
      <c r="R95" s="501"/>
      <c r="S95" s="365" t="e">
        <f aca="false">xSPRDOPT(I95,H95,AQ95,AT95,O95,N95,P95,D95-$G$5,1,2)*AF95*(F95/(1-AR95))*AH95</f>
        <v>#VALUE!</v>
      </c>
      <c r="T95" s="365" t="e">
        <f aca="false">xSPRDOPT(I95,H95,AQ95,AT95,O95,N95,P95,D95-$G$5,1,1)*AF95*F95*AH95</f>
        <v>#VALUE!</v>
      </c>
      <c r="U95" s="501"/>
      <c r="V95" s="503" t="e">
        <f aca="false">VLOOKUP($AG95,$AL$4:$AS$15,8)*AH95*AU95</f>
        <v>#VALUE!</v>
      </c>
      <c r="W95" s="503"/>
      <c r="X95" s="504" t="e">
        <f aca="false">((BM95*BC95)+(BL95*BB95))*AH95*F95</f>
        <v>#VALUE!</v>
      </c>
      <c r="Y95" s="504" t="e">
        <f aca="false">($F95*$AH95)*((($BG95/2)*($BC95)^2)+(($BF95/2)*($BB95)^2)+($BH95*$BC95*$BB95))</f>
        <v>#VALUE!</v>
      </c>
      <c r="Z95" s="504" t="e">
        <f aca="false">($BI95*$F95*$AH95*($G$5-$BV$5))/365.25</f>
        <v>#VALUE!</v>
      </c>
      <c r="AA95" s="504" t="e">
        <f aca="false">(($BK95*$BE95)+($BJ95*$BD95))*$F95*$AH95*$AF95</f>
        <v>#VALUE!</v>
      </c>
      <c r="AB95" s="504" t="e">
        <f aca="false">BN95*(AT95-CA95)*F95*AH95</f>
        <v>#VALUE!</v>
      </c>
      <c r="AC95" s="504" t="e">
        <f aca="false">BO95*CB95*F95*AH95*CA95*($G$5-$BV$5)/365.25</f>
        <v>#NAME?</v>
      </c>
      <c r="AF95" s="378" t="e">
        <f aca="false">IF(AND(D95&gt;=$G$7,D95&lt;=$G$8),1,0)</f>
        <v>#VALUE!</v>
      </c>
      <c r="AG95" s="378" t="e">
        <f aca="false">MONTH(D95)</f>
        <v>#VALUE!</v>
      </c>
      <c r="AH95" s="378" t="e">
        <f aca="false">(EOMONTH(D95,0)-EOMONTH(D95-DAY(D95),0))*AF95</f>
        <v>#VALUE!</v>
      </c>
      <c r="AI95" s="378" t="e">
        <f aca="false">AI94+AH94</f>
        <v>#VALUE!</v>
      </c>
      <c r="AJ95" s="378" t="e">
        <f aca="false">D95-$BV$5</f>
        <v>#VALUE!</v>
      </c>
      <c r="AL95" s="369" t="e">
        <f aca="false">VLOOKUP($D95,CurveTbl,$AK$4)</f>
        <v>#VALUE!</v>
      </c>
      <c r="AM95" s="505" t="e">
        <f aca="false">VLOOKUP($D95,CurveTbl,$AH$3)</f>
        <v>#VALUE!</v>
      </c>
      <c r="AN95" s="505" t="e">
        <f aca="false">VLOOKUP($D95,CurveTbl,$AH$4)+VLOOKUP($AG95,$AL$3:$AS$15,6)</f>
        <v>#VALUE!</v>
      </c>
      <c r="AO95" s="505" t="e">
        <f aca="false">VLOOKUP($D95,CurveTbl,$AH$5)</f>
        <v>#VALUE!</v>
      </c>
      <c r="AP95" s="505" t="e">
        <f aca="false">VLOOKUP($D95,CurveTbl,$AH$6)+VLOOKUP($AG95,$AL$3:$AS$15,7)</f>
        <v>#VALUE!</v>
      </c>
      <c r="AQ95" s="369" t="e">
        <f aca="false">VLOOKUP($AG95,$AL$4:$AS$15,3)+VLOOKUP($AG95,$AL$4:$AS$15,5)+($AH$10*VLOOKUP(D95,GRITable,2))</f>
        <v>#VALUE!</v>
      </c>
      <c r="AR95" s="370" t="e">
        <f aca="false">VLOOKUP($AG95,$AL$4:$AS$15,4)</f>
        <v>#VALUE!</v>
      </c>
      <c r="AS95" s="369" t="e">
        <f aca="false">(AL95+AM95+AN95)</f>
        <v>#VALUE!</v>
      </c>
      <c r="AT95" s="370" t="e">
        <f aca="false">VLOOKUP(D95,CurveTbl,$AK$6)</f>
        <v>#VALUE!</v>
      </c>
      <c r="AU95" s="370" t="e">
        <f aca="false">(1+$AT95/2)^(-2*($D95-$G$5)/365.25)*$AF95</f>
        <v>#VALUE!</v>
      </c>
      <c r="AV95" s="506" t="e">
        <f aca="false">ROUND((F95/(1-AR95))-F95,0)*AF95*AH95*AU95</f>
        <v>#VALUE!</v>
      </c>
      <c r="AW95" s="370" t="e">
        <f aca="false">VLOOKUP($D95,CurveTbl,$AK$8)</f>
        <v>#VALUE!</v>
      </c>
      <c r="AX95" s="370" t="e">
        <f aca="false">VLOOKUP($D95,CurveTbl,$AH$7)</f>
        <v>#VALUE!</v>
      </c>
      <c r="AY95" s="370" t="e">
        <f aca="false">VLOOKUP($D95,CurveTbl,$AH$8)</f>
        <v>#VALUE!</v>
      </c>
      <c r="AZ95" s="370"/>
      <c r="BA95" s="507"/>
      <c r="BB95" s="505" t="e">
        <f aca="false">$H95-$BV95</f>
        <v>#VALUE!</v>
      </c>
      <c r="BC95" s="505" t="e">
        <f aca="false">I95-BW95</f>
        <v>#VALUE!</v>
      </c>
      <c r="BD95" s="370" t="e">
        <f aca="false">N95-BX95</f>
        <v>#VALUE!</v>
      </c>
      <c r="BE95" s="370" t="e">
        <f aca="false">O95-BY95</f>
        <v>#VALUE!</v>
      </c>
      <c r="BF95" s="370" t="e">
        <f aca="false">xSPRDOPT($BW95,$BV95,$CG95,0,$BY95,$BX95,$BZ95,$AJ95,1,4)*$CB95</f>
        <v>#NAME?</v>
      </c>
      <c r="BG95" s="370" t="e">
        <f aca="false">xSPRDOPT($BW95,$BV95,$CG95,0,$BY95,$BX95,$BZ95,$AJ95,1,3)*$CB95</f>
        <v>#NAME?</v>
      </c>
      <c r="BH95" s="370" t="e">
        <f aca="false">IF(OR(BF95&lt;&gt;0,BG95&lt;&gt;0),xSPRDOPT($BW95,$BV95,$CG95,0,$BY95,$BX95,$BZ95,$AJ95,1,12)*$CB95,0)</f>
        <v>#NAME?</v>
      </c>
      <c r="BI95" s="370" t="e">
        <f aca="false">xSPRDOPT($BW95,$BV95,$CG95,2*LN(1+CA95/2),$BY95,$BX95,$BZ95,$AJ95,1,9)</f>
        <v>#NAME?</v>
      </c>
      <c r="BJ95" s="370" t="e">
        <f aca="false">xSPRDOPT($BW95,$BV95,$CG95,0,$BY95,$BX95,$BZ95,$AJ95,1,6)*$CB95</f>
        <v>#NAME?</v>
      </c>
      <c r="BK95" s="370" t="e">
        <f aca="false">xSPRDOPT($BW95,$BV95,$CG95,0,$BY95,$BX95,$BZ95,$AJ95,1,5)*$CB95</f>
        <v>#NAME?</v>
      </c>
      <c r="BL95" s="370" t="e">
        <f aca="false">xSPRDOPT(BW95,BV95,CG95,0,BY95,BX95,BZ95,AJ95,1,2)*CB95</f>
        <v>#NAME?</v>
      </c>
      <c r="BM95" s="370" t="e">
        <f aca="false">xSPRDOPT(BW95,BV95,CG95,0,BY95,BX95,BZ95,AJ95,1,1)*CB95</f>
        <v>#NAME?</v>
      </c>
      <c r="BN95" s="370" t="e">
        <f aca="false">IF(AH95&lt;&gt;0,xSPRDOPT($BW95,$BV95,$CG95,2*LN(1+CA95/2),$BY95,$BX95,$BZ95,$AJ95,1,8)+(AJ95/365.25)*CH95/AH95,0)</f>
        <v>#VALUE!</v>
      </c>
      <c r="BO95" s="370" t="e">
        <f aca="false">xSPRDOPT($BW95,$BV95,$CG95,0,$BY95,$BX95,$BZ95,$AJ95,1,0)</f>
        <v>#NAME?</v>
      </c>
      <c r="BP95" s="370"/>
      <c r="BQ95" s="370"/>
      <c r="BR95" s="370"/>
      <c r="BS95" s="370"/>
      <c r="BV95" s="508" t="n">
        <v>3.44578313253012</v>
      </c>
      <c r="BW95" s="369" t="n">
        <v>3.467</v>
      </c>
      <c r="BX95" s="370" t="n">
        <v>0.37</v>
      </c>
      <c r="BY95" s="370" t="n">
        <v>0.37</v>
      </c>
      <c r="BZ95" s="370" t="n">
        <v>0</v>
      </c>
      <c r="CA95" s="370" t="n">
        <v>0.0348361539671314</v>
      </c>
      <c r="CB95" s="370" t="n">
        <v>0</v>
      </c>
      <c r="CC95" s="505" t="n">
        <v>0</v>
      </c>
      <c r="CD95" s="505" t="n">
        <v>0.03</v>
      </c>
      <c r="CE95" s="505" t="n">
        <v>0.065</v>
      </c>
      <c r="CF95" s="505" t="n">
        <v>0</v>
      </c>
      <c r="CG95" s="505" t="n">
        <v>0.0006</v>
      </c>
      <c r="CH95" s="505" t="n">
        <v>0</v>
      </c>
      <c r="CI95" s="505" t="n">
        <v>3.402</v>
      </c>
      <c r="CJ95" s="505"/>
      <c r="CK95" s="505"/>
      <c r="CL95" s="505"/>
      <c r="CM95" s="505"/>
    </row>
    <row r="96" customFormat="false" ht="12.75" hidden="false" customHeight="false" outlineLevel="0" collapsed="false">
      <c r="A96" s="500"/>
      <c r="B96" s="500"/>
      <c r="D96" s="361" t="e">
        <f aca="false">D95+AH95</f>
        <v>#VALUE!</v>
      </c>
      <c r="F96" s="362" t="e">
        <f aca="false">VLOOKUP(AG96,$AL$4:$AS$15,2)</f>
        <v>#VALUE!</v>
      </c>
      <c r="G96" s="362" t="e">
        <f aca="false">F96*$AU96</f>
        <v>#VALUE!</v>
      </c>
      <c r="H96" s="363" t="e">
        <f aca="false">(AL96+AM96+AN96)/(1-(AR96))</f>
        <v>#VALUE!</v>
      </c>
      <c r="I96" s="363" t="e">
        <f aca="false">(AL96+AO96+AP96)</f>
        <v>#VALUE!</v>
      </c>
      <c r="K96" s="363" t="e">
        <f aca="false">MAX(((I96-H96)-AQ96)*AU96*AH96,0)</f>
        <v>#VALUE!</v>
      </c>
      <c r="L96" s="501" t="e">
        <f aca="false">MAX(Q96-K96,0)</f>
        <v>#VALUE!</v>
      </c>
      <c r="N96" s="502" t="e">
        <f aca="false">SQRT(($AX96^2*($AH96/2)+$AW96^2*$AI96)/(($AH96/2)+$AI96))</f>
        <v>#VALUE!</v>
      </c>
      <c r="O96" s="502" t="e">
        <f aca="false">SQRT(($AY96^2*($AH96/2)+$AW96^2*$AI96)/(($AH96/2)+$AI96))</f>
        <v>#VALUE!</v>
      </c>
      <c r="P96" s="371" t="e">
        <f aca="false">(VLOOKUP(AI96,CorrelationTwo,2)*(AW96^2)*AI96+VLOOKUP(D96,CorrelationOne,$AK$9)*AX96*AY96*(AH96/2))/((AI96+(AH96/2))*O96*N96)*AF96</f>
        <v>#VALUE!</v>
      </c>
      <c r="Q96" s="501" t="e">
        <f aca="false">xSPRDOPT(I96,H96,AQ96,0,O96,N96,P96,D96-$G$5,1,0)*AH96*AU96</f>
        <v>#VALUE!</v>
      </c>
      <c r="R96" s="501"/>
      <c r="S96" s="365" t="e">
        <f aca="false">xSPRDOPT(I96,H96,AQ96,AT96,O96,N96,P96,D96-$G$5,1,2)*AF96*(F96/(1-AR96))*AH96</f>
        <v>#VALUE!</v>
      </c>
      <c r="T96" s="365" t="e">
        <f aca="false">xSPRDOPT(I96,H96,AQ96,AT96,O96,N96,P96,D96-$G$5,1,1)*AF96*F96*AH96</f>
        <v>#VALUE!</v>
      </c>
      <c r="U96" s="501"/>
      <c r="V96" s="503" t="e">
        <f aca="false">VLOOKUP($AG96,$AL$4:$AS$15,8)*AH96*AU96</f>
        <v>#VALUE!</v>
      </c>
      <c r="W96" s="503"/>
      <c r="X96" s="504" t="e">
        <f aca="false">((BM96*BC96)+(BL96*BB96))*AH96*F96</f>
        <v>#VALUE!</v>
      </c>
      <c r="Y96" s="504" t="e">
        <f aca="false">($F96*$AH96)*((($BG96/2)*($BC96)^2)+(($BF96/2)*($BB96)^2)+($BH96*$BC96*$BB96))</f>
        <v>#VALUE!</v>
      </c>
      <c r="Z96" s="504" t="e">
        <f aca="false">($BI96*$F96*$AH96*($G$5-$BV$5))/365.25</f>
        <v>#VALUE!</v>
      </c>
      <c r="AA96" s="504" t="e">
        <f aca="false">(($BK96*$BE96)+($BJ96*$BD96))*$F96*$AH96*$AF96</f>
        <v>#VALUE!</v>
      </c>
      <c r="AB96" s="504" t="e">
        <f aca="false">BN96*(AT96-CA96)*F96*AH96</f>
        <v>#VALUE!</v>
      </c>
      <c r="AC96" s="504" t="e">
        <f aca="false">BO96*CB96*F96*AH96*CA96*($G$5-$BV$5)/365.25</f>
        <v>#NAME?</v>
      </c>
      <c r="AF96" s="378" t="e">
        <f aca="false">IF(AND(D96&gt;=$G$7,D96&lt;=$G$8),1,0)</f>
        <v>#VALUE!</v>
      </c>
      <c r="AG96" s="378" t="e">
        <f aca="false">MONTH(D96)</f>
        <v>#VALUE!</v>
      </c>
      <c r="AH96" s="378" t="e">
        <f aca="false">(EOMONTH(D96,0)-EOMONTH(D96-DAY(D96),0))*AF96</f>
        <v>#VALUE!</v>
      </c>
      <c r="AI96" s="378" t="e">
        <f aca="false">AI95+AH95</f>
        <v>#VALUE!</v>
      </c>
      <c r="AJ96" s="378" t="e">
        <f aca="false">D96-$BV$5</f>
        <v>#VALUE!</v>
      </c>
      <c r="AL96" s="369" t="e">
        <f aca="false">VLOOKUP($D96,CurveTbl,$AK$4)</f>
        <v>#VALUE!</v>
      </c>
      <c r="AM96" s="505" t="e">
        <f aca="false">VLOOKUP($D96,CurveTbl,$AH$3)</f>
        <v>#VALUE!</v>
      </c>
      <c r="AN96" s="505" t="e">
        <f aca="false">VLOOKUP($D96,CurveTbl,$AH$4)+VLOOKUP($AG96,$AL$3:$AS$15,6)</f>
        <v>#VALUE!</v>
      </c>
      <c r="AO96" s="505" t="e">
        <f aca="false">VLOOKUP($D96,CurveTbl,$AH$5)</f>
        <v>#VALUE!</v>
      </c>
      <c r="AP96" s="505" t="e">
        <f aca="false">VLOOKUP($D96,CurveTbl,$AH$6)+VLOOKUP($AG96,$AL$3:$AS$15,7)</f>
        <v>#VALUE!</v>
      </c>
      <c r="AQ96" s="369" t="e">
        <f aca="false">VLOOKUP($AG96,$AL$4:$AS$15,3)+VLOOKUP($AG96,$AL$4:$AS$15,5)+($AH$10*VLOOKUP(D96,GRITable,2))</f>
        <v>#VALUE!</v>
      </c>
      <c r="AR96" s="370" t="e">
        <f aca="false">VLOOKUP($AG96,$AL$4:$AS$15,4)</f>
        <v>#VALUE!</v>
      </c>
      <c r="AS96" s="369" t="e">
        <f aca="false">(AL96+AM96+AN96)</f>
        <v>#VALUE!</v>
      </c>
      <c r="AT96" s="370" t="e">
        <f aca="false">VLOOKUP(D96,CurveTbl,$AK$6)</f>
        <v>#VALUE!</v>
      </c>
      <c r="AU96" s="370" t="e">
        <f aca="false">(1+$AT96/2)^(-2*($D96-$G$5)/365.25)*$AF96</f>
        <v>#VALUE!</v>
      </c>
      <c r="AV96" s="506" t="e">
        <f aca="false">ROUND((F96/(1-AR96))-F96,0)*AF96*AH96*AU96</f>
        <v>#VALUE!</v>
      </c>
      <c r="AW96" s="370" t="e">
        <f aca="false">VLOOKUP($D96,CurveTbl,$AK$8)</f>
        <v>#VALUE!</v>
      </c>
      <c r="AX96" s="370" t="e">
        <f aca="false">VLOOKUP($D96,CurveTbl,$AH$7)</f>
        <v>#VALUE!</v>
      </c>
      <c r="AY96" s="370" t="e">
        <f aca="false">VLOOKUP($D96,CurveTbl,$AH$8)</f>
        <v>#VALUE!</v>
      </c>
      <c r="AZ96" s="370"/>
      <c r="BA96" s="507"/>
      <c r="BB96" s="505" t="e">
        <f aca="false">$H96-$BV96</f>
        <v>#VALUE!</v>
      </c>
      <c r="BC96" s="505" t="e">
        <f aca="false">I96-BW96</f>
        <v>#VALUE!</v>
      </c>
      <c r="BD96" s="370" t="e">
        <f aca="false">N96-BX96</f>
        <v>#VALUE!</v>
      </c>
      <c r="BE96" s="370" t="e">
        <f aca="false">O96-BY96</f>
        <v>#VALUE!</v>
      </c>
      <c r="BF96" s="370" t="e">
        <f aca="false">xSPRDOPT($BW96,$BV96,$CG96,0,$BY96,$BX96,$BZ96,$AJ96,1,4)*$CB96</f>
        <v>#NAME?</v>
      </c>
      <c r="BG96" s="370" t="e">
        <f aca="false">xSPRDOPT($BW96,$BV96,$CG96,0,$BY96,$BX96,$BZ96,$AJ96,1,3)*$CB96</f>
        <v>#NAME?</v>
      </c>
      <c r="BH96" s="370" t="e">
        <f aca="false">IF(OR(BF96&lt;&gt;0,BG96&lt;&gt;0),xSPRDOPT($BW96,$BV96,$CG96,0,$BY96,$BX96,$BZ96,$AJ96,1,12)*$CB96,0)</f>
        <v>#NAME?</v>
      </c>
      <c r="BI96" s="370" t="e">
        <f aca="false">xSPRDOPT($BW96,$BV96,$CG96,2*LN(1+CA96/2),$BY96,$BX96,$BZ96,$AJ96,1,9)</f>
        <v>#NAME?</v>
      </c>
      <c r="BJ96" s="370" t="e">
        <f aca="false">xSPRDOPT($BW96,$BV96,$CG96,0,$BY96,$BX96,$BZ96,$AJ96,1,6)*$CB96</f>
        <v>#NAME?</v>
      </c>
      <c r="BK96" s="370" t="e">
        <f aca="false">xSPRDOPT($BW96,$BV96,$CG96,0,$BY96,$BX96,$BZ96,$AJ96,1,5)*$CB96</f>
        <v>#NAME?</v>
      </c>
      <c r="BL96" s="370" t="e">
        <f aca="false">xSPRDOPT(BW96,BV96,CG96,0,BY96,BX96,BZ96,AJ96,1,2)*CB96</f>
        <v>#NAME?</v>
      </c>
      <c r="BM96" s="370" t="e">
        <f aca="false">xSPRDOPT(BW96,BV96,CG96,0,BY96,BX96,BZ96,AJ96,1,1)*CB96</f>
        <v>#NAME?</v>
      </c>
      <c r="BN96" s="370" t="e">
        <f aca="false">IF(AH96&lt;&gt;0,xSPRDOPT($BW96,$BV96,$CG96,2*LN(1+CA96/2),$BY96,$BX96,$BZ96,$AJ96,1,8)+(AJ96/365.25)*CH96/AH96,0)</f>
        <v>#VALUE!</v>
      </c>
      <c r="BO96" s="370" t="e">
        <f aca="false">xSPRDOPT($BW96,$BV96,$CG96,0,$BY96,$BX96,$BZ96,$AJ96,1,0)</f>
        <v>#NAME?</v>
      </c>
      <c r="BP96" s="370"/>
      <c r="BQ96" s="370"/>
      <c r="BR96" s="370"/>
      <c r="BS96" s="370"/>
      <c r="BV96" s="508" t="n">
        <v>3.44578313253012</v>
      </c>
      <c r="BW96" s="369" t="n">
        <v>3.467</v>
      </c>
      <c r="BX96" s="370" t="n">
        <v>0.37</v>
      </c>
      <c r="BY96" s="370" t="n">
        <v>0.37</v>
      </c>
      <c r="BZ96" s="370" t="n">
        <v>0</v>
      </c>
      <c r="CA96" s="370" t="n">
        <v>0.0348361539671314</v>
      </c>
      <c r="CB96" s="370" t="n">
        <v>0</v>
      </c>
      <c r="CC96" s="505" t="n">
        <v>0</v>
      </c>
      <c r="CD96" s="505" t="n">
        <v>0.03</v>
      </c>
      <c r="CE96" s="505" t="n">
        <v>0.065</v>
      </c>
      <c r="CF96" s="505" t="n">
        <v>0</v>
      </c>
      <c r="CG96" s="505" t="n">
        <v>0.0006</v>
      </c>
      <c r="CH96" s="505" t="n">
        <v>0</v>
      </c>
      <c r="CI96" s="505" t="n">
        <v>3.402</v>
      </c>
      <c r="CJ96" s="505"/>
      <c r="CK96" s="505"/>
      <c r="CL96" s="505"/>
      <c r="CM96" s="505"/>
    </row>
    <row r="97" customFormat="false" ht="12.75" hidden="false" customHeight="false" outlineLevel="0" collapsed="false">
      <c r="A97" s="500"/>
      <c r="B97" s="500"/>
      <c r="D97" s="361" t="e">
        <f aca="false">D96+AH96</f>
        <v>#VALUE!</v>
      </c>
      <c r="F97" s="362" t="e">
        <f aca="false">VLOOKUP(AG97,$AL$4:$AS$15,2)</f>
        <v>#VALUE!</v>
      </c>
      <c r="G97" s="362" t="e">
        <f aca="false">F97*$AU97</f>
        <v>#VALUE!</v>
      </c>
      <c r="H97" s="363" t="e">
        <f aca="false">(AL97+AM97+AN97)/(1-(AR97))</f>
        <v>#VALUE!</v>
      </c>
      <c r="I97" s="363" t="e">
        <f aca="false">(AL97+AO97+AP97)</f>
        <v>#VALUE!</v>
      </c>
      <c r="K97" s="363" t="e">
        <f aca="false">MAX(((I97-H97)-AQ97)*AU97*AH97,0)</f>
        <v>#VALUE!</v>
      </c>
      <c r="L97" s="501" t="e">
        <f aca="false">MAX(Q97-K97,0)</f>
        <v>#VALUE!</v>
      </c>
      <c r="N97" s="502" t="e">
        <f aca="false">SQRT(($AX97^2*($AH97/2)+$AW97^2*$AI97)/(($AH97/2)+$AI97))</f>
        <v>#VALUE!</v>
      </c>
      <c r="O97" s="502" t="e">
        <f aca="false">SQRT(($AY97^2*($AH97/2)+$AW97^2*$AI97)/(($AH97/2)+$AI97))</f>
        <v>#VALUE!</v>
      </c>
      <c r="P97" s="371" t="e">
        <f aca="false">(VLOOKUP(AI97,CorrelationTwo,2)*(AW97^2)*AI97+VLOOKUP(D97,CorrelationOne,$AK$9)*AX97*AY97*(AH97/2))/((AI97+(AH97/2))*O97*N97)*AF97</f>
        <v>#VALUE!</v>
      </c>
      <c r="Q97" s="501" t="e">
        <f aca="false">xSPRDOPT(I97,H97,AQ97,0,O97,N97,P97,D97-$G$5,1,0)*AH97*AU97</f>
        <v>#VALUE!</v>
      </c>
      <c r="R97" s="501"/>
      <c r="S97" s="365" t="e">
        <f aca="false">xSPRDOPT(I97,H97,AQ97,AT97,O97,N97,P97,D97-$G$5,1,2)*AF97*(F97/(1-AR97))*AH97</f>
        <v>#VALUE!</v>
      </c>
      <c r="T97" s="365" t="e">
        <f aca="false">xSPRDOPT(I97,H97,AQ97,AT97,O97,N97,P97,D97-$G$5,1,1)*AF97*F97*AH97</f>
        <v>#VALUE!</v>
      </c>
      <c r="U97" s="501"/>
      <c r="V97" s="503" t="e">
        <f aca="false">VLOOKUP($AG97,$AL$4:$AS$15,8)*AH97*AU97</f>
        <v>#VALUE!</v>
      </c>
      <c r="W97" s="503"/>
      <c r="X97" s="504" t="e">
        <f aca="false">((BM97*BC97)+(BL97*BB97))*AH97*F97</f>
        <v>#VALUE!</v>
      </c>
      <c r="Y97" s="504" t="e">
        <f aca="false">($F97*$AH97)*((($BG97/2)*($BC97)^2)+(($BF97/2)*($BB97)^2)+($BH97*$BC97*$BB97))</f>
        <v>#VALUE!</v>
      </c>
      <c r="Z97" s="504" t="e">
        <f aca="false">($BI97*$F97*$AH97*($G$5-$BV$5))/365.25</f>
        <v>#VALUE!</v>
      </c>
      <c r="AA97" s="504" t="e">
        <f aca="false">(($BK97*$BE97)+($BJ97*$BD97))*$F97*$AH97*$AF97</f>
        <v>#VALUE!</v>
      </c>
      <c r="AB97" s="504" t="e">
        <f aca="false">BN97*(AT97-CA97)*F97*AH97</f>
        <v>#VALUE!</v>
      </c>
      <c r="AC97" s="504" t="e">
        <f aca="false">BO97*CB97*F97*AH97*CA97*($G$5-$BV$5)/365.25</f>
        <v>#NAME?</v>
      </c>
      <c r="AF97" s="378" t="e">
        <f aca="false">IF(AND(D97&gt;=$G$7,D97&lt;=$G$8),1,0)</f>
        <v>#VALUE!</v>
      </c>
      <c r="AG97" s="378" t="e">
        <f aca="false">MONTH(D97)</f>
        <v>#VALUE!</v>
      </c>
      <c r="AH97" s="378" t="e">
        <f aca="false">(EOMONTH(D97,0)-EOMONTH(D97-DAY(D97),0))*AF97</f>
        <v>#VALUE!</v>
      </c>
      <c r="AI97" s="378" t="e">
        <f aca="false">AI96+AH96</f>
        <v>#VALUE!</v>
      </c>
      <c r="AJ97" s="378" t="e">
        <f aca="false">D97-$BV$5</f>
        <v>#VALUE!</v>
      </c>
      <c r="AL97" s="369" t="e">
        <f aca="false">VLOOKUP($D97,CurveTbl,$AK$4)</f>
        <v>#VALUE!</v>
      </c>
      <c r="AM97" s="505" t="e">
        <f aca="false">VLOOKUP($D97,CurveTbl,$AH$3)</f>
        <v>#VALUE!</v>
      </c>
      <c r="AN97" s="505" t="e">
        <f aca="false">VLOOKUP($D97,CurveTbl,$AH$4)+VLOOKUP($AG97,$AL$3:$AS$15,6)</f>
        <v>#VALUE!</v>
      </c>
      <c r="AO97" s="505" t="e">
        <f aca="false">VLOOKUP($D97,CurveTbl,$AH$5)</f>
        <v>#VALUE!</v>
      </c>
      <c r="AP97" s="505" t="e">
        <f aca="false">VLOOKUP($D97,CurveTbl,$AH$6)+VLOOKUP($AG97,$AL$3:$AS$15,7)</f>
        <v>#VALUE!</v>
      </c>
      <c r="AQ97" s="369" t="e">
        <f aca="false">VLOOKUP($AG97,$AL$4:$AS$15,3)+VLOOKUP($AG97,$AL$4:$AS$15,5)+($AH$10*VLOOKUP(D97,GRITable,2))</f>
        <v>#VALUE!</v>
      </c>
      <c r="AR97" s="370" t="e">
        <f aca="false">VLOOKUP($AG97,$AL$4:$AS$15,4)</f>
        <v>#VALUE!</v>
      </c>
      <c r="AS97" s="369" t="e">
        <f aca="false">(AL97+AM97+AN97)</f>
        <v>#VALUE!</v>
      </c>
      <c r="AT97" s="370" t="e">
        <f aca="false">VLOOKUP(D97,CurveTbl,$AK$6)</f>
        <v>#VALUE!</v>
      </c>
      <c r="AU97" s="370" t="e">
        <f aca="false">(1+$AT97/2)^(-2*($D97-$G$5)/365.25)*$AF97</f>
        <v>#VALUE!</v>
      </c>
      <c r="AV97" s="506" t="e">
        <f aca="false">ROUND((F97/(1-AR97))-F97,0)*AF97*AH97*AU97</f>
        <v>#VALUE!</v>
      </c>
      <c r="AW97" s="370" t="e">
        <f aca="false">VLOOKUP($D97,CurveTbl,$AK$8)</f>
        <v>#VALUE!</v>
      </c>
      <c r="AX97" s="370" t="e">
        <f aca="false">VLOOKUP($D97,CurveTbl,$AH$7)</f>
        <v>#VALUE!</v>
      </c>
      <c r="AY97" s="370" t="e">
        <f aca="false">VLOOKUP($D97,CurveTbl,$AH$8)</f>
        <v>#VALUE!</v>
      </c>
      <c r="AZ97" s="370"/>
      <c r="BA97" s="507"/>
      <c r="BB97" s="505" t="e">
        <f aca="false">$H97-$BV97</f>
        <v>#VALUE!</v>
      </c>
      <c r="BC97" s="505" t="e">
        <f aca="false">I97-BW97</f>
        <v>#VALUE!</v>
      </c>
      <c r="BD97" s="370" t="e">
        <f aca="false">N97-BX97</f>
        <v>#VALUE!</v>
      </c>
      <c r="BE97" s="370" t="e">
        <f aca="false">O97-BY97</f>
        <v>#VALUE!</v>
      </c>
      <c r="BF97" s="370" t="e">
        <f aca="false">xSPRDOPT($BW97,$BV97,$CG97,0,$BY97,$BX97,$BZ97,$AJ97,1,4)*$CB97</f>
        <v>#NAME?</v>
      </c>
      <c r="BG97" s="370" t="e">
        <f aca="false">xSPRDOPT($BW97,$BV97,$CG97,0,$BY97,$BX97,$BZ97,$AJ97,1,3)*$CB97</f>
        <v>#NAME?</v>
      </c>
      <c r="BH97" s="370" t="e">
        <f aca="false">IF(OR(BF97&lt;&gt;0,BG97&lt;&gt;0),xSPRDOPT($BW97,$BV97,$CG97,0,$BY97,$BX97,$BZ97,$AJ97,1,12)*$CB97,0)</f>
        <v>#NAME?</v>
      </c>
      <c r="BI97" s="370" t="e">
        <f aca="false">xSPRDOPT($BW97,$BV97,$CG97,2*LN(1+CA97/2),$BY97,$BX97,$BZ97,$AJ97,1,9)</f>
        <v>#NAME?</v>
      </c>
      <c r="BJ97" s="370" t="e">
        <f aca="false">xSPRDOPT($BW97,$BV97,$CG97,0,$BY97,$BX97,$BZ97,$AJ97,1,6)*$CB97</f>
        <v>#NAME?</v>
      </c>
      <c r="BK97" s="370" t="e">
        <f aca="false">xSPRDOPT($BW97,$BV97,$CG97,0,$BY97,$BX97,$BZ97,$AJ97,1,5)*$CB97</f>
        <v>#NAME?</v>
      </c>
      <c r="BL97" s="370" t="e">
        <f aca="false">xSPRDOPT(BW97,BV97,CG97,0,BY97,BX97,BZ97,AJ97,1,2)*CB97</f>
        <v>#NAME?</v>
      </c>
      <c r="BM97" s="370" t="e">
        <f aca="false">xSPRDOPT(BW97,BV97,CG97,0,BY97,BX97,BZ97,AJ97,1,1)*CB97</f>
        <v>#NAME?</v>
      </c>
      <c r="BN97" s="370" t="e">
        <f aca="false">IF(AH97&lt;&gt;0,xSPRDOPT($BW97,$BV97,$CG97,2*LN(1+CA97/2),$BY97,$BX97,$BZ97,$AJ97,1,8)+(AJ97/365.25)*CH97/AH97,0)</f>
        <v>#VALUE!</v>
      </c>
      <c r="BO97" s="370" t="e">
        <f aca="false">xSPRDOPT($BW97,$BV97,$CG97,0,$BY97,$BX97,$BZ97,$AJ97,1,0)</f>
        <v>#NAME?</v>
      </c>
      <c r="BP97" s="370"/>
      <c r="BQ97" s="370"/>
      <c r="BR97" s="370"/>
      <c r="BS97" s="370"/>
      <c r="BV97" s="508" t="n">
        <v>3.44578313253012</v>
      </c>
      <c r="BW97" s="369" t="n">
        <v>3.467</v>
      </c>
      <c r="BX97" s="370" t="n">
        <v>0.37</v>
      </c>
      <c r="BY97" s="370" t="n">
        <v>0.37</v>
      </c>
      <c r="BZ97" s="370" t="n">
        <v>0</v>
      </c>
      <c r="CA97" s="370" t="n">
        <v>0.0348361539671314</v>
      </c>
      <c r="CB97" s="370" t="n">
        <v>0</v>
      </c>
      <c r="CC97" s="505" t="n">
        <v>0</v>
      </c>
      <c r="CD97" s="505" t="n">
        <v>0.03</v>
      </c>
      <c r="CE97" s="505" t="n">
        <v>0.065</v>
      </c>
      <c r="CF97" s="505" t="n">
        <v>0</v>
      </c>
      <c r="CG97" s="505" t="n">
        <v>0.0006</v>
      </c>
      <c r="CH97" s="505" t="n">
        <v>0</v>
      </c>
      <c r="CI97" s="505" t="n">
        <v>3.402</v>
      </c>
      <c r="CJ97" s="505"/>
      <c r="CK97" s="505"/>
      <c r="CL97" s="505"/>
      <c r="CM97" s="505"/>
    </row>
    <row r="98" customFormat="false" ht="12.75" hidden="false" customHeight="false" outlineLevel="0" collapsed="false">
      <c r="A98" s="500"/>
      <c r="B98" s="500"/>
      <c r="D98" s="361" t="e">
        <f aca="false">D97+AH97</f>
        <v>#VALUE!</v>
      </c>
      <c r="F98" s="362" t="e">
        <f aca="false">VLOOKUP(AG98,$AL$4:$AS$15,2)</f>
        <v>#VALUE!</v>
      </c>
      <c r="G98" s="362" t="e">
        <f aca="false">F98*$AU98</f>
        <v>#VALUE!</v>
      </c>
      <c r="H98" s="363" t="e">
        <f aca="false">(AL98+AM98+AN98)/(1-(AR98))</f>
        <v>#VALUE!</v>
      </c>
      <c r="I98" s="363" t="e">
        <f aca="false">(AL98+AO98+AP98)</f>
        <v>#VALUE!</v>
      </c>
      <c r="K98" s="363" t="e">
        <f aca="false">MAX(((I98-H98)-AQ98)*AU98*AH98,0)</f>
        <v>#VALUE!</v>
      </c>
      <c r="L98" s="501" t="e">
        <f aca="false">MAX(Q98-K98,0)</f>
        <v>#VALUE!</v>
      </c>
      <c r="N98" s="502" t="e">
        <f aca="false">SQRT(($AX98^2*($AH98/2)+$AW98^2*$AI98)/(($AH98/2)+$AI98))</f>
        <v>#VALUE!</v>
      </c>
      <c r="O98" s="502" t="e">
        <f aca="false">SQRT(($AY98^2*($AH98/2)+$AW98^2*$AI98)/(($AH98/2)+$AI98))</f>
        <v>#VALUE!</v>
      </c>
      <c r="P98" s="371" t="e">
        <f aca="false">(VLOOKUP(AI98,CorrelationTwo,2)*(AW98^2)*AI98+VLOOKUP(D98,CorrelationOne,$AK$9)*AX98*AY98*(AH98/2))/((AI98+(AH98/2))*O98*N98)*AF98</f>
        <v>#VALUE!</v>
      </c>
      <c r="Q98" s="501" t="e">
        <f aca="false">xSPRDOPT(I98,H98,AQ98,0,O98,N98,P98,D98-$G$5,1,0)*AH98*AU98</f>
        <v>#VALUE!</v>
      </c>
      <c r="R98" s="501"/>
      <c r="S98" s="365" t="e">
        <f aca="false">xSPRDOPT(I98,H98,AQ98,AT98,O98,N98,P98,D98-$G$5,1,2)*AF98*(F98/(1-AR98))*AH98</f>
        <v>#VALUE!</v>
      </c>
      <c r="T98" s="365" t="e">
        <f aca="false">xSPRDOPT(I98,H98,AQ98,AT98,O98,N98,P98,D98-$G$5,1,1)*AF98*F98*AH98</f>
        <v>#VALUE!</v>
      </c>
      <c r="U98" s="501"/>
      <c r="V98" s="503" t="e">
        <f aca="false">VLOOKUP($AG98,$AL$4:$AS$15,8)*AH98*AU98</f>
        <v>#VALUE!</v>
      </c>
      <c r="W98" s="503"/>
      <c r="X98" s="504" t="e">
        <f aca="false">((BM98*BC98)+(BL98*BB98))*AH98*F98</f>
        <v>#VALUE!</v>
      </c>
      <c r="Y98" s="504" t="e">
        <f aca="false">($F98*$AH98)*((($BG98/2)*($BC98)^2)+(($BF98/2)*($BB98)^2)+($BH98*$BC98*$BB98))</f>
        <v>#VALUE!</v>
      </c>
      <c r="Z98" s="504" t="e">
        <f aca="false">($BI98*$F98*$AH98*($G$5-$BV$5))/365.25</f>
        <v>#VALUE!</v>
      </c>
      <c r="AA98" s="504" t="e">
        <f aca="false">(($BK98*$BE98)+($BJ98*$BD98))*$F98*$AH98*$AF98</f>
        <v>#VALUE!</v>
      </c>
      <c r="AB98" s="504" t="e">
        <f aca="false">BN98*(AT98-CA98)*F98*AH98</f>
        <v>#VALUE!</v>
      </c>
      <c r="AC98" s="504" t="e">
        <f aca="false">BO98*CB98*F98*AH98*CA98*($G$5-$BV$5)/365.25</f>
        <v>#NAME?</v>
      </c>
      <c r="AF98" s="378" t="e">
        <f aca="false">IF(AND(D98&gt;=$G$7,D98&lt;=$G$8),1,0)</f>
        <v>#VALUE!</v>
      </c>
      <c r="AG98" s="378" t="e">
        <f aca="false">MONTH(D98)</f>
        <v>#VALUE!</v>
      </c>
      <c r="AH98" s="378" t="e">
        <f aca="false">(EOMONTH(D98,0)-EOMONTH(D98-DAY(D98),0))*AF98</f>
        <v>#VALUE!</v>
      </c>
      <c r="AI98" s="378" t="e">
        <f aca="false">AI97+AH97</f>
        <v>#VALUE!</v>
      </c>
      <c r="AJ98" s="378" t="e">
        <f aca="false">D98-$BV$5</f>
        <v>#VALUE!</v>
      </c>
      <c r="AL98" s="369" t="e">
        <f aca="false">VLOOKUP($D98,CurveTbl,$AK$4)</f>
        <v>#VALUE!</v>
      </c>
      <c r="AM98" s="505" t="e">
        <f aca="false">VLOOKUP($D98,CurveTbl,$AH$3)</f>
        <v>#VALUE!</v>
      </c>
      <c r="AN98" s="505" t="e">
        <f aca="false">VLOOKUP($D98,CurveTbl,$AH$4)+VLOOKUP($AG98,$AL$3:$AS$15,6)</f>
        <v>#VALUE!</v>
      </c>
      <c r="AO98" s="505" t="e">
        <f aca="false">VLOOKUP($D98,CurveTbl,$AH$5)</f>
        <v>#VALUE!</v>
      </c>
      <c r="AP98" s="505" t="e">
        <f aca="false">VLOOKUP($D98,CurveTbl,$AH$6)+VLOOKUP($AG98,$AL$3:$AS$15,7)</f>
        <v>#VALUE!</v>
      </c>
      <c r="AQ98" s="369" t="e">
        <f aca="false">VLOOKUP($AG98,$AL$4:$AS$15,3)+VLOOKUP($AG98,$AL$4:$AS$15,5)+($AH$10*VLOOKUP(D98,GRITable,2))</f>
        <v>#VALUE!</v>
      </c>
      <c r="AR98" s="370" t="e">
        <f aca="false">VLOOKUP($AG98,$AL$4:$AS$15,4)</f>
        <v>#VALUE!</v>
      </c>
      <c r="AS98" s="369" t="e">
        <f aca="false">(AL98+AM98+AN98)</f>
        <v>#VALUE!</v>
      </c>
      <c r="AT98" s="370" t="e">
        <f aca="false">VLOOKUP(D98,CurveTbl,$AK$6)</f>
        <v>#VALUE!</v>
      </c>
      <c r="AU98" s="370" t="e">
        <f aca="false">(1+$AT98/2)^(-2*($D98-$G$5)/365.25)*$AF98</f>
        <v>#VALUE!</v>
      </c>
      <c r="AV98" s="506" t="e">
        <f aca="false">ROUND((F98/(1-AR98))-F98,0)*AF98*AH98*AU98</f>
        <v>#VALUE!</v>
      </c>
      <c r="AW98" s="370" t="e">
        <f aca="false">VLOOKUP($D98,CurveTbl,$AK$8)</f>
        <v>#VALUE!</v>
      </c>
      <c r="AX98" s="370" t="e">
        <f aca="false">VLOOKUP($D98,CurveTbl,$AH$7)</f>
        <v>#VALUE!</v>
      </c>
      <c r="AY98" s="370" t="e">
        <f aca="false">VLOOKUP($D98,CurveTbl,$AH$8)</f>
        <v>#VALUE!</v>
      </c>
      <c r="AZ98" s="370"/>
      <c r="BA98" s="507"/>
      <c r="BB98" s="505" t="e">
        <f aca="false">$H98-$BV98</f>
        <v>#VALUE!</v>
      </c>
      <c r="BC98" s="505" t="e">
        <f aca="false">I98-BW98</f>
        <v>#VALUE!</v>
      </c>
      <c r="BD98" s="370" t="e">
        <f aca="false">N98-BX98</f>
        <v>#VALUE!</v>
      </c>
      <c r="BE98" s="370" t="e">
        <f aca="false">O98-BY98</f>
        <v>#VALUE!</v>
      </c>
      <c r="BF98" s="370" t="e">
        <f aca="false">xSPRDOPT($BW98,$BV98,$CG98,0,$BY98,$BX98,$BZ98,$AJ98,1,4)*$CB98</f>
        <v>#NAME?</v>
      </c>
      <c r="BG98" s="370" t="e">
        <f aca="false">xSPRDOPT($BW98,$BV98,$CG98,0,$BY98,$BX98,$BZ98,$AJ98,1,3)*$CB98</f>
        <v>#NAME?</v>
      </c>
      <c r="BH98" s="370" t="e">
        <f aca="false">IF(OR(BF98&lt;&gt;0,BG98&lt;&gt;0),xSPRDOPT($BW98,$BV98,$CG98,0,$BY98,$BX98,$BZ98,$AJ98,1,12)*$CB98,0)</f>
        <v>#NAME?</v>
      </c>
      <c r="BI98" s="370" t="e">
        <f aca="false">xSPRDOPT($BW98,$BV98,$CG98,2*LN(1+CA98/2),$BY98,$BX98,$BZ98,$AJ98,1,9)</f>
        <v>#NAME?</v>
      </c>
      <c r="BJ98" s="370" t="e">
        <f aca="false">xSPRDOPT($BW98,$BV98,$CG98,0,$BY98,$BX98,$BZ98,$AJ98,1,6)*$CB98</f>
        <v>#NAME?</v>
      </c>
      <c r="BK98" s="370" t="e">
        <f aca="false">xSPRDOPT($BW98,$BV98,$CG98,0,$BY98,$BX98,$BZ98,$AJ98,1,5)*$CB98</f>
        <v>#NAME?</v>
      </c>
      <c r="BL98" s="370" t="e">
        <f aca="false">xSPRDOPT(BW98,BV98,CG98,0,BY98,BX98,BZ98,AJ98,1,2)*CB98</f>
        <v>#NAME?</v>
      </c>
      <c r="BM98" s="370" t="e">
        <f aca="false">xSPRDOPT(BW98,BV98,CG98,0,BY98,BX98,BZ98,AJ98,1,1)*CB98</f>
        <v>#NAME?</v>
      </c>
      <c r="BN98" s="370" t="e">
        <f aca="false">IF(AH98&lt;&gt;0,xSPRDOPT($BW98,$BV98,$CG98,2*LN(1+CA98/2),$BY98,$BX98,$BZ98,$AJ98,1,8)+(AJ98/365.25)*CH98/AH98,0)</f>
        <v>#VALUE!</v>
      </c>
      <c r="BO98" s="370" t="e">
        <f aca="false">xSPRDOPT($BW98,$BV98,$CG98,0,$BY98,$BX98,$BZ98,$AJ98,1,0)</f>
        <v>#NAME?</v>
      </c>
      <c r="BP98" s="370"/>
      <c r="BQ98" s="370"/>
      <c r="BR98" s="370"/>
      <c r="BS98" s="370"/>
      <c r="BV98" s="508" t="n">
        <v>3.44578313253012</v>
      </c>
      <c r="BW98" s="369" t="n">
        <v>3.467</v>
      </c>
      <c r="BX98" s="370" t="n">
        <v>0.37</v>
      </c>
      <c r="BY98" s="370" t="n">
        <v>0.37</v>
      </c>
      <c r="BZ98" s="370" t="n">
        <v>0</v>
      </c>
      <c r="CA98" s="370" t="n">
        <v>0.0348361539671314</v>
      </c>
      <c r="CB98" s="370" t="n">
        <v>0</v>
      </c>
      <c r="CC98" s="505" t="n">
        <v>0</v>
      </c>
      <c r="CD98" s="505" t="n">
        <v>0.03</v>
      </c>
      <c r="CE98" s="505" t="n">
        <v>0.065</v>
      </c>
      <c r="CF98" s="505" t="n">
        <v>0</v>
      </c>
      <c r="CG98" s="505" t="n">
        <v>0.0006</v>
      </c>
      <c r="CH98" s="505" t="n">
        <v>0</v>
      </c>
      <c r="CI98" s="505" t="n">
        <v>3.402</v>
      </c>
      <c r="CJ98" s="505"/>
      <c r="CK98" s="505"/>
      <c r="CL98" s="505"/>
      <c r="CM98" s="505"/>
    </row>
    <row r="99" customFormat="false" ht="12.75" hidden="false" customHeight="false" outlineLevel="0" collapsed="false">
      <c r="A99" s="500"/>
      <c r="B99" s="500"/>
      <c r="D99" s="361" t="e">
        <f aca="false">D98+AH98</f>
        <v>#VALUE!</v>
      </c>
      <c r="F99" s="362" t="e">
        <f aca="false">VLOOKUP(AG99,$AL$4:$AS$15,2)</f>
        <v>#VALUE!</v>
      </c>
      <c r="G99" s="362" t="e">
        <f aca="false">F99*$AU99</f>
        <v>#VALUE!</v>
      </c>
      <c r="H99" s="363" t="e">
        <f aca="false">(AL99+AM99+AN99)/(1-(AR99))</f>
        <v>#VALUE!</v>
      </c>
      <c r="I99" s="363" t="e">
        <f aca="false">(AL99+AO99+AP99)</f>
        <v>#VALUE!</v>
      </c>
      <c r="K99" s="363" t="e">
        <f aca="false">MAX(((I99-H99)-AQ99)*AU99*AH99,0)</f>
        <v>#VALUE!</v>
      </c>
      <c r="L99" s="501" t="e">
        <f aca="false">MAX(Q99-K99,0)</f>
        <v>#VALUE!</v>
      </c>
      <c r="N99" s="502" t="e">
        <f aca="false">SQRT(($AX99^2*($AH99/2)+$AW99^2*$AI99)/(($AH99/2)+$AI99))</f>
        <v>#VALUE!</v>
      </c>
      <c r="O99" s="502" t="e">
        <f aca="false">SQRT(($AY99^2*($AH99/2)+$AW99^2*$AI99)/(($AH99/2)+$AI99))</f>
        <v>#VALUE!</v>
      </c>
      <c r="P99" s="371" t="e">
        <f aca="false">(VLOOKUP(AI99,CorrelationTwo,2)*(AW99^2)*AI99+VLOOKUP(D99,CorrelationOne,$AK$9)*AX99*AY99*(AH99/2))/((AI99+(AH99/2))*O99*N99)*AF99</f>
        <v>#VALUE!</v>
      </c>
      <c r="Q99" s="501" t="e">
        <f aca="false">xSPRDOPT(I99,H99,AQ99,0,O99,N99,P99,D99-$G$5,1,0)*AH99*AU99</f>
        <v>#VALUE!</v>
      </c>
      <c r="R99" s="501"/>
      <c r="S99" s="365" t="e">
        <f aca="false">xSPRDOPT(I99,H99,AQ99,AT99,O99,N99,P99,D99-$G$5,1,2)*AF99*(F99/(1-AR99))*AH99</f>
        <v>#VALUE!</v>
      </c>
      <c r="T99" s="365" t="e">
        <f aca="false">xSPRDOPT(I99,H99,AQ99,AT99,O99,N99,P99,D99-$G$5,1,1)*AF99*F99*AH99</f>
        <v>#VALUE!</v>
      </c>
      <c r="U99" s="501"/>
      <c r="V99" s="503" t="e">
        <f aca="false">VLOOKUP($AG99,$AL$4:$AS$15,8)*AH99*AU99</f>
        <v>#VALUE!</v>
      </c>
      <c r="W99" s="503"/>
      <c r="X99" s="504" t="e">
        <f aca="false">((BM99*BC99)+(BL99*BB99))*AH99*F99</f>
        <v>#VALUE!</v>
      </c>
      <c r="Y99" s="504" t="e">
        <f aca="false">($F99*$AH99)*((($BG99/2)*($BC99)^2)+(($BF99/2)*($BB99)^2)+($BH99*$BC99*$BB99))</f>
        <v>#VALUE!</v>
      </c>
      <c r="Z99" s="504" t="e">
        <f aca="false">($BI99*$F99*$AH99*($G$5-$BV$5))/365.25</f>
        <v>#VALUE!</v>
      </c>
      <c r="AA99" s="504" t="e">
        <f aca="false">(($BK99*$BE99)+($BJ99*$BD99))*$F99*$AH99*$AF99</f>
        <v>#VALUE!</v>
      </c>
      <c r="AB99" s="504" t="e">
        <f aca="false">BN99*(AT99-CA99)*F99*AH99</f>
        <v>#VALUE!</v>
      </c>
      <c r="AC99" s="504" t="e">
        <f aca="false">BO99*CB99*F99*AH99*CA99*($G$5-$BV$5)/365.25</f>
        <v>#NAME?</v>
      </c>
      <c r="AF99" s="378" t="e">
        <f aca="false">IF(AND(D99&gt;=$G$7,D99&lt;=$G$8),1,0)</f>
        <v>#VALUE!</v>
      </c>
      <c r="AG99" s="378" t="e">
        <f aca="false">MONTH(D99)</f>
        <v>#VALUE!</v>
      </c>
      <c r="AH99" s="378" t="e">
        <f aca="false">(EOMONTH(D99,0)-EOMONTH(D99-DAY(D99),0))*AF99</f>
        <v>#VALUE!</v>
      </c>
      <c r="AI99" s="378" t="e">
        <f aca="false">AI98+AH98</f>
        <v>#VALUE!</v>
      </c>
      <c r="AJ99" s="378" t="e">
        <f aca="false">D99-$BV$5</f>
        <v>#VALUE!</v>
      </c>
      <c r="AL99" s="369" t="e">
        <f aca="false">VLOOKUP($D99,CurveTbl,$AK$4)</f>
        <v>#VALUE!</v>
      </c>
      <c r="AM99" s="505" t="e">
        <f aca="false">VLOOKUP($D99,CurveTbl,$AH$3)</f>
        <v>#VALUE!</v>
      </c>
      <c r="AN99" s="505" t="e">
        <f aca="false">VLOOKUP($D99,CurveTbl,$AH$4)+VLOOKUP($AG99,$AL$3:$AS$15,6)</f>
        <v>#VALUE!</v>
      </c>
      <c r="AO99" s="505" t="e">
        <f aca="false">VLOOKUP($D99,CurveTbl,$AH$5)</f>
        <v>#VALUE!</v>
      </c>
      <c r="AP99" s="505" t="e">
        <f aca="false">VLOOKUP($D99,CurveTbl,$AH$6)+VLOOKUP($AG99,$AL$3:$AS$15,7)</f>
        <v>#VALUE!</v>
      </c>
      <c r="AQ99" s="369" t="e">
        <f aca="false">VLOOKUP($AG99,$AL$4:$AS$15,3)+VLOOKUP($AG99,$AL$4:$AS$15,5)+($AH$10*VLOOKUP(D99,GRITable,2))</f>
        <v>#VALUE!</v>
      </c>
      <c r="AR99" s="370" t="e">
        <f aca="false">VLOOKUP($AG99,$AL$4:$AS$15,4)</f>
        <v>#VALUE!</v>
      </c>
      <c r="AS99" s="369" t="e">
        <f aca="false">(AL99+AM99+AN99)</f>
        <v>#VALUE!</v>
      </c>
      <c r="AT99" s="370" t="e">
        <f aca="false">VLOOKUP(D99,CurveTbl,$AK$6)</f>
        <v>#VALUE!</v>
      </c>
      <c r="AU99" s="370" t="e">
        <f aca="false">(1+$AT99/2)^(-2*($D99-$G$5)/365.25)*$AF99</f>
        <v>#VALUE!</v>
      </c>
      <c r="AV99" s="506" t="e">
        <f aca="false">ROUND((F99/(1-AR99))-F99,0)*AF99*AH99*AU99</f>
        <v>#VALUE!</v>
      </c>
      <c r="AW99" s="370" t="e">
        <f aca="false">VLOOKUP($D99,CurveTbl,$AK$8)</f>
        <v>#VALUE!</v>
      </c>
      <c r="AX99" s="370" t="e">
        <f aca="false">VLOOKUP($D99,CurveTbl,$AH$7)</f>
        <v>#VALUE!</v>
      </c>
      <c r="AY99" s="370" t="e">
        <f aca="false">VLOOKUP($D99,CurveTbl,$AH$8)</f>
        <v>#VALUE!</v>
      </c>
      <c r="AZ99" s="370"/>
      <c r="BA99" s="507"/>
      <c r="BB99" s="505" t="e">
        <f aca="false">$H99-$BV99</f>
        <v>#VALUE!</v>
      </c>
      <c r="BC99" s="505" t="e">
        <f aca="false">I99-BW99</f>
        <v>#VALUE!</v>
      </c>
      <c r="BD99" s="370" t="e">
        <f aca="false">N99-BX99</f>
        <v>#VALUE!</v>
      </c>
      <c r="BE99" s="370" t="e">
        <f aca="false">O99-BY99</f>
        <v>#VALUE!</v>
      </c>
      <c r="BF99" s="370" t="e">
        <f aca="false">xSPRDOPT($BW99,$BV99,$CG99,0,$BY99,$BX99,$BZ99,$AJ99,1,4)*$CB99</f>
        <v>#NAME?</v>
      </c>
      <c r="BG99" s="370" t="e">
        <f aca="false">xSPRDOPT($BW99,$BV99,$CG99,0,$BY99,$BX99,$BZ99,$AJ99,1,3)*$CB99</f>
        <v>#NAME?</v>
      </c>
      <c r="BH99" s="370" t="e">
        <f aca="false">IF(OR(BF99&lt;&gt;0,BG99&lt;&gt;0),xSPRDOPT($BW99,$BV99,$CG99,0,$BY99,$BX99,$BZ99,$AJ99,1,12)*$CB99,0)</f>
        <v>#NAME?</v>
      </c>
      <c r="BI99" s="370" t="e">
        <f aca="false">xSPRDOPT($BW99,$BV99,$CG99,2*LN(1+CA99/2),$BY99,$BX99,$BZ99,$AJ99,1,9)</f>
        <v>#NAME?</v>
      </c>
      <c r="BJ99" s="370" t="e">
        <f aca="false">xSPRDOPT($BW99,$BV99,$CG99,0,$BY99,$BX99,$BZ99,$AJ99,1,6)*$CB99</f>
        <v>#NAME?</v>
      </c>
      <c r="BK99" s="370" t="e">
        <f aca="false">xSPRDOPT($BW99,$BV99,$CG99,0,$BY99,$BX99,$BZ99,$AJ99,1,5)*$CB99</f>
        <v>#NAME?</v>
      </c>
      <c r="BL99" s="370" t="e">
        <f aca="false">xSPRDOPT(BW99,BV99,CG99,0,BY99,BX99,BZ99,AJ99,1,2)*CB99</f>
        <v>#NAME?</v>
      </c>
      <c r="BM99" s="370" t="e">
        <f aca="false">xSPRDOPT(BW99,BV99,CG99,0,BY99,BX99,BZ99,AJ99,1,1)*CB99</f>
        <v>#NAME?</v>
      </c>
      <c r="BN99" s="370" t="e">
        <f aca="false">IF(AH99&lt;&gt;0,xSPRDOPT($BW99,$BV99,$CG99,2*LN(1+CA99/2),$BY99,$BX99,$BZ99,$AJ99,1,8)+(AJ99/365.25)*CH99/AH99,0)</f>
        <v>#VALUE!</v>
      </c>
      <c r="BO99" s="370" t="e">
        <f aca="false">xSPRDOPT($BW99,$BV99,$CG99,0,$BY99,$BX99,$BZ99,$AJ99,1,0)</f>
        <v>#NAME?</v>
      </c>
      <c r="BP99" s="370"/>
      <c r="BQ99" s="370"/>
      <c r="BR99" s="370"/>
      <c r="BS99" s="370"/>
      <c r="BV99" s="508" t="n">
        <v>3.44578313253012</v>
      </c>
      <c r="BW99" s="369" t="n">
        <v>3.467</v>
      </c>
      <c r="BX99" s="370" t="n">
        <v>0.37</v>
      </c>
      <c r="BY99" s="370" t="n">
        <v>0.37</v>
      </c>
      <c r="BZ99" s="370" t="n">
        <v>0</v>
      </c>
      <c r="CA99" s="370" t="n">
        <v>0.0348361539671314</v>
      </c>
      <c r="CB99" s="370" t="n">
        <v>0</v>
      </c>
      <c r="CC99" s="505" t="n">
        <v>0</v>
      </c>
      <c r="CD99" s="505" t="n">
        <v>0.03</v>
      </c>
      <c r="CE99" s="505" t="n">
        <v>0.065</v>
      </c>
      <c r="CF99" s="505" t="n">
        <v>0</v>
      </c>
      <c r="CG99" s="505" t="n">
        <v>0.0006</v>
      </c>
      <c r="CH99" s="505" t="n">
        <v>0</v>
      </c>
      <c r="CI99" s="505" t="n">
        <v>3.402</v>
      </c>
      <c r="CJ99" s="505"/>
      <c r="CK99" s="505"/>
      <c r="CL99" s="505"/>
      <c r="CM99" s="505"/>
    </row>
    <row r="100" customFormat="false" ht="12.75" hidden="false" customHeight="false" outlineLevel="0" collapsed="false">
      <c r="A100" s="500"/>
      <c r="B100" s="500"/>
      <c r="D100" s="361" t="e">
        <f aca="false">D99+AH99</f>
        <v>#VALUE!</v>
      </c>
      <c r="F100" s="362" t="e">
        <f aca="false">VLOOKUP(AG100,$AL$4:$AS$15,2)</f>
        <v>#VALUE!</v>
      </c>
      <c r="G100" s="362" t="e">
        <f aca="false">F100*$AU100</f>
        <v>#VALUE!</v>
      </c>
      <c r="H100" s="363" t="e">
        <f aca="false">(AL100+AM100+AN100)/(1-(AR100))</f>
        <v>#VALUE!</v>
      </c>
      <c r="I100" s="363" t="e">
        <f aca="false">(AL100+AO100+AP100)</f>
        <v>#VALUE!</v>
      </c>
      <c r="K100" s="363" t="e">
        <f aca="false">MAX(((I100-H100)-AQ100)*AU100*AH100,0)</f>
        <v>#VALUE!</v>
      </c>
      <c r="L100" s="501" t="e">
        <f aca="false">MAX(Q100-K100,0)</f>
        <v>#VALUE!</v>
      </c>
      <c r="N100" s="502" t="e">
        <f aca="false">SQRT(($AX100^2*($AH100/2)+$AW100^2*$AI100)/(($AH100/2)+$AI100))</f>
        <v>#VALUE!</v>
      </c>
      <c r="O100" s="502" t="e">
        <f aca="false">SQRT(($AY100^2*($AH100/2)+$AW100^2*$AI100)/(($AH100/2)+$AI100))</f>
        <v>#VALUE!</v>
      </c>
      <c r="P100" s="371" t="e">
        <f aca="false">(VLOOKUP(AI100,CorrelationTwo,2)*(AW100^2)*AI100+VLOOKUP(D100,CorrelationOne,$AK$9)*AX100*AY100*(AH100/2))/((AI100+(AH100/2))*O100*N100)*AF100</f>
        <v>#VALUE!</v>
      </c>
      <c r="Q100" s="501" t="e">
        <f aca="false">xSPRDOPT(I100,H100,AQ100,0,O100,N100,P100,D100-$G$5,1,0)*AH100*AU100</f>
        <v>#VALUE!</v>
      </c>
      <c r="R100" s="501"/>
      <c r="S100" s="365" t="e">
        <f aca="false">xSPRDOPT(I100,H100,AQ100,AT100,O100,N100,P100,D100-$G$5,1,2)*AF100*(F100/(1-AR100))*AH100</f>
        <v>#VALUE!</v>
      </c>
      <c r="T100" s="365" t="e">
        <f aca="false">xSPRDOPT(I100,H100,AQ100,AT100,O100,N100,P100,D100-$G$5,1,1)*AF100*F100*AH100</f>
        <v>#VALUE!</v>
      </c>
      <c r="U100" s="501"/>
      <c r="V100" s="503" t="e">
        <f aca="false">VLOOKUP($AG100,$AL$4:$AS$15,8)*AH100*AU100</f>
        <v>#VALUE!</v>
      </c>
      <c r="W100" s="503"/>
      <c r="X100" s="504" t="e">
        <f aca="false">((BM100*BC100)+(BL100*BB100))*AH100*F100</f>
        <v>#VALUE!</v>
      </c>
      <c r="Y100" s="504" t="e">
        <f aca="false">($F100*$AH100)*((($BG100/2)*($BC100)^2)+(($BF100/2)*($BB100)^2)+($BH100*$BC100*$BB100))</f>
        <v>#VALUE!</v>
      </c>
      <c r="Z100" s="504" t="e">
        <f aca="false">($BI100*$F100*$AH100*($G$5-$BV$5))/365.25</f>
        <v>#VALUE!</v>
      </c>
      <c r="AA100" s="504" t="e">
        <f aca="false">(($BK100*$BE100)+($BJ100*$BD100))*$F100*$AH100*$AF100</f>
        <v>#VALUE!</v>
      </c>
      <c r="AB100" s="504" t="e">
        <f aca="false">BN100*(AT100-CA100)*F100*AH100</f>
        <v>#VALUE!</v>
      </c>
      <c r="AC100" s="504" t="e">
        <f aca="false">BO100*CB100*F100*AH100*CA100*($G$5-$BV$5)/365.25</f>
        <v>#NAME?</v>
      </c>
      <c r="AF100" s="378" t="e">
        <f aca="false">IF(AND(D100&gt;=$G$7,D100&lt;=$G$8),1,0)</f>
        <v>#VALUE!</v>
      </c>
      <c r="AG100" s="378" t="e">
        <f aca="false">MONTH(D100)</f>
        <v>#VALUE!</v>
      </c>
      <c r="AH100" s="378" t="e">
        <f aca="false">(EOMONTH(D100,0)-EOMONTH(D100-DAY(D100),0))*AF100</f>
        <v>#VALUE!</v>
      </c>
      <c r="AI100" s="378" t="e">
        <f aca="false">AI99+AH99</f>
        <v>#VALUE!</v>
      </c>
      <c r="AJ100" s="378" t="e">
        <f aca="false">D100-$BV$5</f>
        <v>#VALUE!</v>
      </c>
      <c r="AL100" s="369" t="e">
        <f aca="false">VLOOKUP($D100,CurveTbl,$AK$4)</f>
        <v>#VALUE!</v>
      </c>
      <c r="AM100" s="505" t="e">
        <f aca="false">VLOOKUP($D100,CurveTbl,$AH$3)</f>
        <v>#VALUE!</v>
      </c>
      <c r="AN100" s="505" t="e">
        <f aca="false">VLOOKUP($D100,CurveTbl,$AH$4)+VLOOKUP($AG100,$AL$3:$AS$15,6)</f>
        <v>#VALUE!</v>
      </c>
      <c r="AO100" s="505" t="e">
        <f aca="false">VLOOKUP($D100,CurveTbl,$AH$5)</f>
        <v>#VALUE!</v>
      </c>
      <c r="AP100" s="505" t="e">
        <f aca="false">VLOOKUP($D100,CurveTbl,$AH$6)+VLOOKUP($AG100,$AL$3:$AS$15,7)</f>
        <v>#VALUE!</v>
      </c>
      <c r="AQ100" s="369" t="e">
        <f aca="false">VLOOKUP($AG100,$AL$4:$AS$15,3)+VLOOKUP($AG100,$AL$4:$AS$15,5)+($AH$10*VLOOKUP(D100,GRITable,2))</f>
        <v>#VALUE!</v>
      </c>
      <c r="AR100" s="370" t="e">
        <f aca="false">VLOOKUP($AG100,$AL$4:$AS$15,4)</f>
        <v>#VALUE!</v>
      </c>
      <c r="AS100" s="369" t="e">
        <f aca="false">(AL100+AM100+AN100)</f>
        <v>#VALUE!</v>
      </c>
      <c r="AT100" s="370" t="e">
        <f aca="false">VLOOKUP(D100,CurveTbl,$AK$6)</f>
        <v>#VALUE!</v>
      </c>
      <c r="AU100" s="370" t="e">
        <f aca="false">(1+$AT100/2)^(-2*($D100-$G$5)/365.25)*$AF100</f>
        <v>#VALUE!</v>
      </c>
      <c r="AV100" s="506" t="e">
        <f aca="false">ROUND((F100/(1-AR100))-F100,0)*AF100*AH100*AU100</f>
        <v>#VALUE!</v>
      </c>
      <c r="AW100" s="370" t="e">
        <f aca="false">VLOOKUP($D100,CurveTbl,$AK$8)</f>
        <v>#VALUE!</v>
      </c>
      <c r="AX100" s="370" t="e">
        <f aca="false">VLOOKUP($D100,CurveTbl,$AH$7)</f>
        <v>#VALUE!</v>
      </c>
      <c r="AY100" s="370" t="e">
        <f aca="false">VLOOKUP($D100,CurveTbl,$AH$8)</f>
        <v>#VALUE!</v>
      </c>
      <c r="AZ100" s="370"/>
      <c r="BA100" s="507"/>
      <c r="BB100" s="505" t="e">
        <f aca="false">$H100-$BV100</f>
        <v>#VALUE!</v>
      </c>
      <c r="BC100" s="505" t="e">
        <f aca="false">I100-BW100</f>
        <v>#VALUE!</v>
      </c>
      <c r="BD100" s="370" t="e">
        <f aca="false">N100-BX100</f>
        <v>#VALUE!</v>
      </c>
      <c r="BE100" s="370" t="e">
        <f aca="false">O100-BY100</f>
        <v>#VALUE!</v>
      </c>
      <c r="BF100" s="370" t="e">
        <f aca="false">xSPRDOPT($BW100,$BV100,$CG100,0,$BY100,$BX100,$BZ100,$AJ100,1,4)*$CB100</f>
        <v>#NAME?</v>
      </c>
      <c r="BG100" s="370" t="e">
        <f aca="false">xSPRDOPT($BW100,$BV100,$CG100,0,$BY100,$BX100,$BZ100,$AJ100,1,3)*$CB100</f>
        <v>#NAME?</v>
      </c>
      <c r="BH100" s="370" t="e">
        <f aca="false">IF(OR(BF100&lt;&gt;0,BG100&lt;&gt;0),xSPRDOPT($BW100,$BV100,$CG100,0,$BY100,$BX100,$BZ100,$AJ100,1,12)*$CB100,0)</f>
        <v>#NAME?</v>
      </c>
      <c r="BI100" s="370" t="e">
        <f aca="false">xSPRDOPT($BW100,$BV100,$CG100,2*LN(1+CA100/2),$BY100,$BX100,$BZ100,$AJ100,1,9)</f>
        <v>#NAME?</v>
      </c>
      <c r="BJ100" s="370" t="e">
        <f aca="false">xSPRDOPT($BW100,$BV100,$CG100,0,$BY100,$BX100,$BZ100,$AJ100,1,6)*$CB100</f>
        <v>#NAME?</v>
      </c>
      <c r="BK100" s="370" t="e">
        <f aca="false">xSPRDOPT($BW100,$BV100,$CG100,0,$BY100,$BX100,$BZ100,$AJ100,1,5)*$CB100</f>
        <v>#NAME?</v>
      </c>
      <c r="BL100" s="370" t="e">
        <f aca="false">xSPRDOPT(BW100,BV100,CG100,0,BY100,BX100,BZ100,AJ100,1,2)*CB100</f>
        <v>#NAME?</v>
      </c>
      <c r="BM100" s="370" t="e">
        <f aca="false">xSPRDOPT(BW100,BV100,CG100,0,BY100,BX100,BZ100,AJ100,1,1)*CB100</f>
        <v>#NAME?</v>
      </c>
      <c r="BN100" s="370" t="e">
        <f aca="false">IF(AH100&lt;&gt;0,xSPRDOPT($BW100,$BV100,$CG100,2*LN(1+CA100/2),$BY100,$BX100,$BZ100,$AJ100,1,8)+(AJ100/365.25)*CH100/AH100,0)</f>
        <v>#VALUE!</v>
      </c>
      <c r="BO100" s="370" t="e">
        <f aca="false">xSPRDOPT($BW100,$BV100,$CG100,0,$BY100,$BX100,$BZ100,$AJ100,1,0)</f>
        <v>#NAME?</v>
      </c>
      <c r="BP100" s="370"/>
      <c r="BQ100" s="370"/>
      <c r="BR100" s="370"/>
      <c r="BS100" s="370"/>
      <c r="BV100" s="508" t="n">
        <v>3.44578313253012</v>
      </c>
      <c r="BW100" s="369" t="n">
        <v>3.467</v>
      </c>
      <c r="BX100" s="370" t="n">
        <v>0.37</v>
      </c>
      <c r="BY100" s="370" t="n">
        <v>0.37</v>
      </c>
      <c r="BZ100" s="370" t="n">
        <v>0</v>
      </c>
      <c r="CA100" s="370" t="n">
        <v>0.0348361539671314</v>
      </c>
      <c r="CB100" s="370" t="n">
        <v>0</v>
      </c>
      <c r="CC100" s="505" t="n">
        <v>0</v>
      </c>
      <c r="CD100" s="505" t="n">
        <v>0.03</v>
      </c>
      <c r="CE100" s="505" t="n">
        <v>0.065</v>
      </c>
      <c r="CF100" s="505" t="n">
        <v>0</v>
      </c>
      <c r="CG100" s="505" t="n">
        <v>0.0006</v>
      </c>
      <c r="CH100" s="505" t="n">
        <v>0</v>
      </c>
      <c r="CI100" s="505" t="n">
        <v>3.402</v>
      </c>
      <c r="CJ100" s="505"/>
      <c r="CK100" s="505"/>
      <c r="CL100" s="505"/>
      <c r="CM100" s="505"/>
    </row>
    <row r="101" customFormat="false" ht="12.75" hidden="false" customHeight="false" outlineLevel="0" collapsed="false">
      <c r="A101" s="500"/>
      <c r="B101" s="500"/>
      <c r="D101" s="361" t="e">
        <f aca="false">D100+AH100</f>
        <v>#VALUE!</v>
      </c>
      <c r="F101" s="362" t="e">
        <f aca="false">VLOOKUP(AG101,$AL$4:$AS$15,2)</f>
        <v>#VALUE!</v>
      </c>
      <c r="G101" s="362" t="e">
        <f aca="false">F101*$AU101</f>
        <v>#VALUE!</v>
      </c>
      <c r="H101" s="363" t="e">
        <f aca="false">(AL101+AM101+AN101)/(1-(AR101))</f>
        <v>#VALUE!</v>
      </c>
      <c r="I101" s="363" t="e">
        <f aca="false">(AL101+AO101+AP101)</f>
        <v>#VALUE!</v>
      </c>
      <c r="K101" s="363" t="e">
        <f aca="false">MAX(((I101-H101)-AQ101)*AU101*AH101,0)</f>
        <v>#VALUE!</v>
      </c>
      <c r="L101" s="501" t="e">
        <f aca="false">MAX(Q101-K101,0)</f>
        <v>#VALUE!</v>
      </c>
      <c r="N101" s="502" t="e">
        <f aca="false">SQRT(($AX101^2*($AH101/2)+$AW101^2*$AI101)/(($AH101/2)+$AI101))</f>
        <v>#VALUE!</v>
      </c>
      <c r="O101" s="502" t="e">
        <f aca="false">SQRT(($AY101^2*($AH101/2)+$AW101^2*$AI101)/(($AH101/2)+$AI101))</f>
        <v>#VALUE!</v>
      </c>
      <c r="P101" s="371" t="e">
        <f aca="false">(VLOOKUP(AI101,CorrelationTwo,2)*(AW101^2)*AI101+VLOOKUP(D101,CorrelationOne,$AK$9)*AX101*AY101*(AH101/2))/((AI101+(AH101/2))*O101*N101)*AF101</f>
        <v>#VALUE!</v>
      </c>
      <c r="Q101" s="501" t="e">
        <f aca="false">xSPRDOPT(I101,H101,AQ101,0,O101,N101,P101,D101-$G$5,1,0)*AH101*AU101</f>
        <v>#VALUE!</v>
      </c>
      <c r="R101" s="501"/>
      <c r="S101" s="365" t="e">
        <f aca="false">xSPRDOPT(I101,H101,AQ101,AT101,O101,N101,P101,D101-$G$5,1,2)*AF101*(F101/(1-AR101))*AH101</f>
        <v>#VALUE!</v>
      </c>
      <c r="T101" s="365" t="e">
        <f aca="false">xSPRDOPT(I101,H101,AQ101,AT101,O101,N101,P101,D101-$G$5,1,1)*AF101*F101*AH101</f>
        <v>#VALUE!</v>
      </c>
      <c r="U101" s="501"/>
      <c r="V101" s="503" t="e">
        <f aca="false">VLOOKUP($AG101,$AL$4:$AS$15,8)*AH101*AU101</f>
        <v>#VALUE!</v>
      </c>
      <c r="W101" s="503"/>
      <c r="X101" s="504" t="e">
        <f aca="false">((BM101*BC101)+(BL101*BB101))*AH101*F101</f>
        <v>#VALUE!</v>
      </c>
      <c r="Y101" s="504" t="e">
        <f aca="false">($F101*$AH101)*((($BG101/2)*($BC101)^2)+(($BF101/2)*($BB101)^2)+($BH101*$BC101*$BB101))</f>
        <v>#VALUE!</v>
      </c>
      <c r="Z101" s="504" t="e">
        <f aca="false">($BI101*$F101*$AH101*($G$5-$BV$5))/365.25</f>
        <v>#VALUE!</v>
      </c>
      <c r="AA101" s="504" t="e">
        <f aca="false">(($BK101*$BE101)+($BJ101*$BD101))*$F101*$AH101*$AF101</f>
        <v>#VALUE!</v>
      </c>
      <c r="AB101" s="504" t="e">
        <f aca="false">BN101*(AT101-CA101)*F101*AH101</f>
        <v>#VALUE!</v>
      </c>
      <c r="AC101" s="504" t="e">
        <f aca="false">BO101*CB101*F101*AH101*CA101*($G$5-$BV$5)/365.25</f>
        <v>#NAME?</v>
      </c>
      <c r="AF101" s="378" t="e">
        <f aca="false">IF(AND(D101&gt;=$G$7,D101&lt;=$G$8),1,0)</f>
        <v>#VALUE!</v>
      </c>
      <c r="AG101" s="378" t="e">
        <f aca="false">MONTH(D101)</f>
        <v>#VALUE!</v>
      </c>
      <c r="AH101" s="378" t="e">
        <f aca="false">(EOMONTH(D101,0)-EOMONTH(D101-DAY(D101),0))*AF101</f>
        <v>#VALUE!</v>
      </c>
      <c r="AI101" s="378" t="e">
        <f aca="false">AI100+AH100</f>
        <v>#VALUE!</v>
      </c>
      <c r="AJ101" s="378" t="e">
        <f aca="false">D101-$BV$5</f>
        <v>#VALUE!</v>
      </c>
      <c r="AL101" s="369" t="e">
        <f aca="false">VLOOKUP($D101,CurveTbl,$AK$4)</f>
        <v>#VALUE!</v>
      </c>
      <c r="AM101" s="505" t="e">
        <f aca="false">VLOOKUP($D101,CurveTbl,$AH$3)</f>
        <v>#VALUE!</v>
      </c>
      <c r="AN101" s="505" t="e">
        <f aca="false">VLOOKUP($D101,CurveTbl,$AH$4)+VLOOKUP($AG101,$AL$3:$AS$15,6)</f>
        <v>#VALUE!</v>
      </c>
      <c r="AO101" s="505" t="e">
        <f aca="false">VLOOKUP($D101,CurveTbl,$AH$5)</f>
        <v>#VALUE!</v>
      </c>
      <c r="AP101" s="505" t="e">
        <f aca="false">VLOOKUP($D101,CurveTbl,$AH$6)+VLOOKUP($AG101,$AL$3:$AS$15,7)</f>
        <v>#VALUE!</v>
      </c>
      <c r="AQ101" s="369" t="e">
        <f aca="false">VLOOKUP($AG101,$AL$4:$AS$15,3)+VLOOKUP($AG101,$AL$4:$AS$15,5)+($AH$10*VLOOKUP(D101,GRITable,2))</f>
        <v>#VALUE!</v>
      </c>
      <c r="AR101" s="370" t="e">
        <f aca="false">VLOOKUP($AG101,$AL$4:$AS$15,4)</f>
        <v>#VALUE!</v>
      </c>
      <c r="AS101" s="369" t="e">
        <f aca="false">(AL101+AM101+AN101)</f>
        <v>#VALUE!</v>
      </c>
      <c r="AT101" s="370" t="e">
        <f aca="false">VLOOKUP(D101,CurveTbl,$AK$6)</f>
        <v>#VALUE!</v>
      </c>
      <c r="AU101" s="370" t="e">
        <f aca="false">(1+$AT101/2)^(-2*($D101-$G$5)/365.25)*$AF101</f>
        <v>#VALUE!</v>
      </c>
      <c r="AV101" s="506" t="e">
        <f aca="false">ROUND((F101/(1-AR101))-F101,0)*AF101*AH101*AU101</f>
        <v>#VALUE!</v>
      </c>
      <c r="AW101" s="370" t="e">
        <f aca="false">VLOOKUP($D101,CurveTbl,$AK$8)</f>
        <v>#VALUE!</v>
      </c>
      <c r="AX101" s="370" t="e">
        <f aca="false">VLOOKUP($D101,CurveTbl,$AH$7)</f>
        <v>#VALUE!</v>
      </c>
      <c r="AY101" s="370" t="e">
        <f aca="false">VLOOKUP($D101,CurveTbl,$AH$8)</f>
        <v>#VALUE!</v>
      </c>
      <c r="AZ101" s="370"/>
      <c r="BA101" s="507"/>
      <c r="BB101" s="505" t="e">
        <f aca="false">$H101-$BV101</f>
        <v>#VALUE!</v>
      </c>
      <c r="BC101" s="505" t="e">
        <f aca="false">I101-BW101</f>
        <v>#VALUE!</v>
      </c>
      <c r="BD101" s="370" t="e">
        <f aca="false">N101-BX101</f>
        <v>#VALUE!</v>
      </c>
      <c r="BE101" s="370" t="e">
        <f aca="false">O101-BY101</f>
        <v>#VALUE!</v>
      </c>
      <c r="BF101" s="370" t="e">
        <f aca="false">xSPRDOPT($BW101,$BV101,$CG101,0,$BY101,$BX101,$BZ101,$AJ101,1,4)*$CB101</f>
        <v>#NAME?</v>
      </c>
      <c r="BG101" s="370" t="e">
        <f aca="false">xSPRDOPT($BW101,$BV101,$CG101,0,$BY101,$BX101,$BZ101,$AJ101,1,3)*$CB101</f>
        <v>#NAME?</v>
      </c>
      <c r="BH101" s="370" t="e">
        <f aca="false">IF(OR(BF101&lt;&gt;0,BG101&lt;&gt;0),xSPRDOPT($BW101,$BV101,$CG101,0,$BY101,$BX101,$BZ101,$AJ101,1,12)*$CB101,0)</f>
        <v>#NAME?</v>
      </c>
      <c r="BI101" s="370" t="e">
        <f aca="false">xSPRDOPT($BW101,$BV101,$CG101,2*LN(1+CA101/2),$BY101,$BX101,$BZ101,$AJ101,1,9)</f>
        <v>#NAME?</v>
      </c>
      <c r="BJ101" s="370" t="e">
        <f aca="false">xSPRDOPT($BW101,$BV101,$CG101,0,$BY101,$BX101,$BZ101,$AJ101,1,6)*$CB101</f>
        <v>#NAME?</v>
      </c>
      <c r="BK101" s="370" t="e">
        <f aca="false">xSPRDOPT($BW101,$BV101,$CG101,0,$BY101,$BX101,$BZ101,$AJ101,1,5)*$CB101</f>
        <v>#NAME?</v>
      </c>
      <c r="BL101" s="370" t="e">
        <f aca="false">xSPRDOPT(BW101,BV101,CG101,0,BY101,BX101,BZ101,AJ101,1,2)*CB101</f>
        <v>#NAME?</v>
      </c>
      <c r="BM101" s="370" t="e">
        <f aca="false">xSPRDOPT(BW101,BV101,CG101,0,BY101,BX101,BZ101,AJ101,1,1)*CB101</f>
        <v>#NAME?</v>
      </c>
      <c r="BN101" s="370" t="e">
        <f aca="false">IF(AH101&lt;&gt;0,xSPRDOPT($BW101,$BV101,$CG101,2*LN(1+CA101/2),$BY101,$BX101,$BZ101,$AJ101,1,8)+(AJ101/365.25)*CH101/AH101,0)</f>
        <v>#VALUE!</v>
      </c>
      <c r="BO101" s="370" t="e">
        <f aca="false">xSPRDOPT($BW101,$BV101,$CG101,0,$BY101,$BX101,$BZ101,$AJ101,1,0)</f>
        <v>#NAME?</v>
      </c>
      <c r="BP101" s="370"/>
      <c r="BQ101" s="370"/>
      <c r="BR101" s="370"/>
      <c r="BS101" s="370"/>
      <c r="BV101" s="508" t="n">
        <v>3.44578313253012</v>
      </c>
      <c r="BW101" s="369" t="n">
        <v>3.467</v>
      </c>
      <c r="BX101" s="370" t="n">
        <v>0.37</v>
      </c>
      <c r="BY101" s="370" t="n">
        <v>0.37</v>
      </c>
      <c r="BZ101" s="370" t="n">
        <v>0</v>
      </c>
      <c r="CA101" s="370" t="n">
        <v>0.0348361539671314</v>
      </c>
      <c r="CB101" s="370" t="n">
        <v>0</v>
      </c>
      <c r="CC101" s="505" t="n">
        <v>0</v>
      </c>
      <c r="CD101" s="505" t="n">
        <v>0.03</v>
      </c>
      <c r="CE101" s="505" t="n">
        <v>0.065</v>
      </c>
      <c r="CF101" s="505" t="n">
        <v>0</v>
      </c>
      <c r="CG101" s="505" t="n">
        <v>0.0006</v>
      </c>
      <c r="CH101" s="505" t="n">
        <v>0</v>
      </c>
      <c r="CI101" s="505" t="n">
        <v>3.402</v>
      </c>
      <c r="CJ101" s="505"/>
      <c r="CK101" s="505"/>
      <c r="CL101" s="505"/>
      <c r="CM101" s="505"/>
    </row>
    <row r="102" customFormat="false" ht="12.75" hidden="false" customHeight="false" outlineLevel="0" collapsed="false">
      <c r="A102" s="500"/>
      <c r="B102" s="500"/>
      <c r="D102" s="361" t="e">
        <f aca="false">D101+AH101</f>
        <v>#VALUE!</v>
      </c>
      <c r="F102" s="362" t="e">
        <f aca="false">VLOOKUP(AG102,$AL$4:$AS$15,2)</f>
        <v>#VALUE!</v>
      </c>
      <c r="G102" s="362" t="e">
        <f aca="false">F102*$AU102</f>
        <v>#VALUE!</v>
      </c>
      <c r="H102" s="363" t="e">
        <f aca="false">(AL102+AM102+AN102)/(1-(AR102))</f>
        <v>#VALUE!</v>
      </c>
      <c r="I102" s="363" t="e">
        <f aca="false">(AL102+AO102+AP102)</f>
        <v>#VALUE!</v>
      </c>
      <c r="K102" s="363" t="e">
        <f aca="false">MAX(((I102-H102)-AQ102)*AU102*AH102,0)</f>
        <v>#VALUE!</v>
      </c>
      <c r="L102" s="501" t="e">
        <f aca="false">MAX(Q102-K102,0)</f>
        <v>#VALUE!</v>
      </c>
      <c r="N102" s="502" t="e">
        <f aca="false">SQRT(($AX102^2*($AH102/2)+$AW102^2*$AI102)/(($AH102/2)+$AI102))</f>
        <v>#VALUE!</v>
      </c>
      <c r="O102" s="502" t="e">
        <f aca="false">SQRT(($AY102^2*($AH102/2)+$AW102^2*$AI102)/(($AH102/2)+$AI102))</f>
        <v>#VALUE!</v>
      </c>
      <c r="P102" s="371" t="e">
        <f aca="false">(VLOOKUP(AI102,CorrelationTwo,2)*(AW102^2)*AI102+VLOOKUP(D102,CorrelationOne,$AK$9)*AX102*AY102*(AH102/2))/((AI102+(AH102/2))*O102*N102)*AF102</f>
        <v>#VALUE!</v>
      </c>
      <c r="Q102" s="501" t="e">
        <f aca="false">xSPRDOPT(I102,H102,AQ102,0,O102,N102,P102,D102-$G$5,1,0)*AH102*AU102</f>
        <v>#VALUE!</v>
      </c>
      <c r="R102" s="501"/>
      <c r="S102" s="365" t="e">
        <f aca="false">xSPRDOPT(I102,H102,AQ102,AT102,O102,N102,P102,D102-$G$5,1,2)*AF102*(F102/(1-AR102))*AH102</f>
        <v>#VALUE!</v>
      </c>
      <c r="T102" s="365" t="e">
        <f aca="false">xSPRDOPT(I102,H102,AQ102,AT102,O102,N102,P102,D102-$G$5,1,1)*AF102*F102*AH102</f>
        <v>#VALUE!</v>
      </c>
      <c r="U102" s="501"/>
      <c r="V102" s="503" t="e">
        <f aca="false">VLOOKUP($AG102,$AL$4:$AS$15,8)*AH102*AU102</f>
        <v>#VALUE!</v>
      </c>
      <c r="W102" s="503"/>
      <c r="X102" s="504" t="e">
        <f aca="false">((BM102*BC102)+(BL102*BB102))*AH102*F102</f>
        <v>#VALUE!</v>
      </c>
      <c r="Y102" s="504" t="e">
        <f aca="false">($F102*$AH102)*((($BG102/2)*($BC102)^2)+(($BF102/2)*($BB102)^2)+($BH102*$BC102*$BB102))</f>
        <v>#VALUE!</v>
      </c>
      <c r="Z102" s="504" t="e">
        <f aca="false">($BI102*$F102*$AH102*($G$5-$BV$5))/365.25</f>
        <v>#VALUE!</v>
      </c>
      <c r="AA102" s="504" t="e">
        <f aca="false">(($BK102*$BE102)+($BJ102*$BD102))*$F102*$AH102*$AF102</f>
        <v>#VALUE!</v>
      </c>
      <c r="AB102" s="504" t="e">
        <f aca="false">BN102*(AT102-CA102)*F102*AH102</f>
        <v>#VALUE!</v>
      </c>
      <c r="AC102" s="504" t="e">
        <f aca="false">BO102*CB102*F102*AH102*CA102*($G$5-$BV$5)/365.25</f>
        <v>#NAME?</v>
      </c>
      <c r="AF102" s="378" t="e">
        <f aca="false">IF(AND(D102&gt;=$G$7,D102&lt;=$G$8),1,0)</f>
        <v>#VALUE!</v>
      </c>
      <c r="AG102" s="378" t="e">
        <f aca="false">MONTH(D102)</f>
        <v>#VALUE!</v>
      </c>
      <c r="AH102" s="378" t="e">
        <f aca="false">(EOMONTH(D102,0)-EOMONTH(D102-DAY(D102),0))*AF102</f>
        <v>#VALUE!</v>
      </c>
      <c r="AI102" s="378" t="e">
        <f aca="false">AI101+AH101</f>
        <v>#VALUE!</v>
      </c>
      <c r="AJ102" s="378" t="e">
        <f aca="false">D102-$BV$5</f>
        <v>#VALUE!</v>
      </c>
      <c r="AL102" s="369" t="e">
        <f aca="false">VLOOKUP($D102,CurveTbl,$AK$4)</f>
        <v>#VALUE!</v>
      </c>
      <c r="AM102" s="505" t="e">
        <f aca="false">VLOOKUP($D102,CurveTbl,$AH$3)</f>
        <v>#VALUE!</v>
      </c>
      <c r="AN102" s="505" t="e">
        <f aca="false">VLOOKUP($D102,CurveTbl,$AH$4)+VLOOKUP($AG102,$AL$3:$AS$15,6)</f>
        <v>#VALUE!</v>
      </c>
      <c r="AO102" s="505" t="e">
        <f aca="false">VLOOKUP($D102,CurveTbl,$AH$5)</f>
        <v>#VALUE!</v>
      </c>
      <c r="AP102" s="505" t="e">
        <f aca="false">VLOOKUP($D102,CurveTbl,$AH$6)+VLOOKUP($AG102,$AL$3:$AS$15,7)</f>
        <v>#VALUE!</v>
      </c>
      <c r="AQ102" s="369" t="e">
        <f aca="false">VLOOKUP($AG102,$AL$4:$AS$15,3)+VLOOKUP($AG102,$AL$4:$AS$15,5)+($AH$10*VLOOKUP(D102,GRITable,2))</f>
        <v>#VALUE!</v>
      </c>
      <c r="AR102" s="370" t="e">
        <f aca="false">VLOOKUP($AG102,$AL$4:$AS$15,4)</f>
        <v>#VALUE!</v>
      </c>
      <c r="AS102" s="369" t="e">
        <f aca="false">(AL102+AM102+AN102)</f>
        <v>#VALUE!</v>
      </c>
      <c r="AT102" s="370" t="e">
        <f aca="false">VLOOKUP(D102,CurveTbl,$AK$6)</f>
        <v>#VALUE!</v>
      </c>
      <c r="AU102" s="370" t="e">
        <f aca="false">(1+$AT102/2)^(-2*($D102-$G$5)/365.25)*$AF102</f>
        <v>#VALUE!</v>
      </c>
      <c r="AV102" s="506" t="e">
        <f aca="false">ROUND((F102/(1-AR102))-F102,0)*AF102*AH102*AU102</f>
        <v>#VALUE!</v>
      </c>
      <c r="AW102" s="370" t="e">
        <f aca="false">VLOOKUP($D102,CurveTbl,$AK$8)</f>
        <v>#VALUE!</v>
      </c>
      <c r="AX102" s="370" t="e">
        <f aca="false">VLOOKUP($D102,CurveTbl,$AH$7)</f>
        <v>#VALUE!</v>
      </c>
      <c r="AY102" s="370" t="e">
        <f aca="false">VLOOKUP($D102,CurveTbl,$AH$8)</f>
        <v>#VALUE!</v>
      </c>
      <c r="AZ102" s="370"/>
      <c r="BA102" s="507"/>
      <c r="BB102" s="505" t="e">
        <f aca="false">$H102-$BV102</f>
        <v>#VALUE!</v>
      </c>
      <c r="BC102" s="505" t="e">
        <f aca="false">I102-BW102</f>
        <v>#VALUE!</v>
      </c>
      <c r="BD102" s="370" t="e">
        <f aca="false">N102-BX102</f>
        <v>#VALUE!</v>
      </c>
      <c r="BE102" s="370" t="e">
        <f aca="false">O102-BY102</f>
        <v>#VALUE!</v>
      </c>
      <c r="BF102" s="370" t="e">
        <f aca="false">xSPRDOPT($BW102,$BV102,$CG102,0,$BY102,$BX102,$BZ102,$AJ102,1,4)*$CB102</f>
        <v>#NAME?</v>
      </c>
      <c r="BG102" s="370" t="e">
        <f aca="false">xSPRDOPT($BW102,$BV102,$CG102,0,$BY102,$BX102,$BZ102,$AJ102,1,3)*$CB102</f>
        <v>#NAME?</v>
      </c>
      <c r="BH102" s="370" t="e">
        <f aca="false">IF(OR(BF102&lt;&gt;0,BG102&lt;&gt;0),xSPRDOPT($BW102,$BV102,$CG102,0,$BY102,$BX102,$BZ102,$AJ102,1,12)*$CB102,0)</f>
        <v>#NAME?</v>
      </c>
      <c r="BI102" s="370" t="e">
        <f aca="false">xSPRDOPT($BW102,$BV102,$CG102,2*LN(1+CA102/2),$BY102,$BX102,$BZ102,$AJ102,1,9)</f>
        <v>#NAME?</v>
      </c>
      <c r="BJ102" s="370" t="e">
        <f aca="false">xSPRDOPT($BW102,$BV102,$CG102,0,$BY102,$BX102,$BZ102,$AJ102,1,6)*$CB102</f>
        <v>#NAME?</v>
      </c>
      <c r="BK102" s="370" t="e">
        <f aca="false">xSPRDOPT($BW102,$BV102,$CG102,0,$BY102,$BX102,$BZ102,$AJ102,1,5)*$CB102</f>
        <v>#NAME?</v>
      </c>
      <c r="BL102" s="370" t="e">
        <f aca="false">xSPRDOPT(BW102,BV102,CG102,0,BY102,BX102,BZ102,AJ102,1,2)*CB102</f>
        <v>#NAME?</v>
      </c>
      <c r="BM102" s="370" t="e">
        <f aca="false">xSPRDOPT(BW102,BV102,CG102,0,BY102,BX102,BZ102,AJ102,1,1)*CB102</f>
        <v>#NAME?</v>
      </c>
      <c r="BN102" s="370" t="e">
        <f aca="false">IF(AH102&lt;&gt;0,xSPRDOPT($BW102,$BV102,$CG102,2*LN(1+CA102/2),$BY102,$BX102,$BZ102,$AJ102,1,8)+(AJ102/365.25)*CH102/AH102,0)</f>
        <v>#VALUE!</v>
      </c>
      <c r="BO102" s="370" t="e">
        <f aca="false">xSPRDOPT($BW102,$BV102,$CG102,0,$BY102,$BX102,$BZ102,$AJ102,1,0)</f>
        <v>#NAME?</v>
      </c>
      <c r="BP102" s="370"/>
      <c r="BQ102" s="370"/>
      <c r="BR102" s="370"/>
      <c r="BS102" s="370"/>
      <c r="BV102" s="508" t="n">
        <v>3.44578313253012</v>
      </c>
      <c r="BW102" s="369" t="n">
        <v>3.467</v>
      </c>
      <c r="BX102" s="370" t="n">
        <v>0.37</v>
      </c>
      <c r="BY102" s="370" t="n">
        <v>0.37</v>
      </c>
      <c r="BZ102" s="370" t="n">
        <v>0</v>
      </c>
      <c r="CA102" s="370" t="n">
        <v>0.0348361539671314</v>
      </c>
      <c r="CB102" s="370" t="n">
        <v>0</v>
      </c>
      <c r="CC102" s="505" t="n">
        <v>0</v>
      </c>
      <c r="CD102" s="505" t="n">
        <v>0.03</v>
      </c>
      <c r="CE102" s="505" t="n">
        <v>0.065</v>
      </c>
      <c r="CF102" s="505" t="n">
        <v>0</v>
      </c>
      <c r="CG102" s="505" t="n">
        <v>0.0006</v>
      </c>
      <c r="CH102" s="505" t="n">
        <v>0</v>
      </c>
      <c r="CI102" s="505" t="n">
        <v>3.402</v>
      </c>
      <c r="CJ102" s="505"/>
      <c r="CK102" s="505"/>
      <c r="CL102" s="505"/>
      <c r="CM102" s="505"/>
    </row>
    <row r="103" customFormat="false" ht="12.75" hidden="false" customHeight="false" outlineLevel="0" collapsed="false">
      <c r="A103" s="500"/>
      <c r="B103" s="500"/>
      <c r="D103" s="361" t="e">
        <f aca="false">D102+AH102</f>
        <v>#VALUE!</v>
      </c>
      <c r="F103" s="362" t="e">
        <f aca="false">VLOOKUP(AG103,$AL$4:$AS$15,2)</f>
        <v>#VALUE!</v>
      </c>
      <c r="G103" s="362" t="e">
        <f aca="false">F103*$AU103</f>
        <v>#VALUE!</v>
      </c>
      <c r="H103" s="363" t="e">
        <f aca="false">(AL103+AM103+AN103)/(1-(AR103))</f>
        <v>#VALUE!</v>
      </c>
      <c r="I103" s="363" t="e">
        <f aca="false">(AL103+AO103+AP103)</f>
        <v>#VALUE!</v>
      </c>
      <c r="K103" s="363" t="e">
        <f aca="false">MAX(((I103-H103)-AQ103)*AU103*AH103,0)</f>
        <v>#VALUE!</v>
      </c>
      <c r="L103" s="501" t="e">
        <f aca="false">MAX(Q103-K103,0)</f>
        <v>#VALUE!</v>
      </c>
      <c r="N103" s="502" t="e">
        <f aca="false">SQRT(($AX103^2*($AH103/2)+$AW103^2*$AI103)/(($AH103/2)+$AI103))</f>
        <v>#VALUE!</v>
      </c>
      <c r="O103" s="502" t="e">
        <f aca="false">SQRT(($AY103^2*($AH103/2)+$AW103^2*$AI103)/(($AH103/2)+$AI103))</f>
        <v>#VALUE!</v>
      </c>
      <c r="P103" s="371" t="e">
        <f aca="false">(VLOOKUP(AI103,CorrelationTwo,2)*(AW103^2)*AI103+VLOOKUP(D103,CorrelationOne,$AK$9)*AX103*AY103*(AH103/2))/((AI103+(AH103/2))*O103*N103)*AF103</f>
        <v>#VALUE!</v>
      </c>
      <c r="Q103" s="501" t="e">
        <f aca="false">xSPRDOPT(I103,H103,AQ103,0,O103,N103,P103,D103-$G$5,1,0)*AH103*AU103</f>
        <v>#VALUE!</v>
      </c>
      <c r="R103" s="501"/>
      <c r="S103" s="365" t="e">
        <f aca="false">xSPRDOPT(I103,H103,AQ103,AT103,O103,N103,P103,D103-$G$5,1,2)*AF103*(F103/(1-AR103))*AH103</f>
        <v>#VALUE!</v>
      </c>
      <c r="T103" s="365" t="e">
        <f aca="false">xSPRDOPT(I103,H103,AQ103,AT103,O103,N103,P103,D103-$G$5,1,1)*AF103*F103*AH103</f>
        <v>#VALUE!</v>
      </c>
      <c r="U103" s="501"/>
      <c r="V103" s="503" t="e">
        <f aca="false">VLOOKUP($AG103,$AL$4:$AS$15,8)*AH103*AU103</f>
        <v>#VALUE!</v>
      </c>
      <c r="W103" s="503"/>
      <c r="X103" s="504" t="e">
        <f aca="false">((BM103*BC103)+(BL103*BB103))*AH103*F103</f>
        <v>#VALUE!</v>
      </c>
      <c r="Y103" s="504" t="e">
        <f aca="false">($F103*$AH103)*((($BG103/2)*($BC103)^2)+(($BF103/2)*($BB103)^2)+($BH103*$BC103*$BB103))</f>
        <v>#VALUE!</v>
      </c>
      <c r="Z103" s="504" t="e">
        <f aca="false">($BI103*$F103*$AH103*($G$5-$BV$5))/365.25</f>
        <v>#VALUE!</v>
      </c>
      <c r="AA103" s="504" t="e">
        <f aca="false">(($BK103*$BE103)+($BJ103*$BD103))*$F103*$AH103*$AF103</f>
        <v>#VALUE!</v>
      </c>
      <c r="AB103" s="504" t="e">
        <f aca="false">BN103*(AT103-CA103)*F103*AH103</f>
        <v>#VALUE!</v>
      </c>
      <c r="AC103" s="504" t="e">
        <f aca="false">BO103*CB103*F103*AH103*CA103*($G$5-$BV$5)/365.25</f>
        <v>#NAME?</v>
      </c>
      <c r="AF103" s="378" t="e">
        <f aca="false">IF(AND(D103&gt;=$G$7,D103&lt;=$G$8),1,0)</f>
        <v>#VALUE!</v>
      </c>
      <c r="AG103" s="378" t="e">
        <f aca="false">MONTH(D103)</f>
        <v>#VALUE!</v>
      </c>
      <c r="AH103" s="378" t="e">
        <f aca="false">(EOMONTH(D103,0)-EOMONTH(D103-DAY(D103),0))*AF103</f>
        <v>#VALUE!</v>
      </c>
      <c r="AI103" s="378" t="e">
        <f aca="false">AI102+AH102</f>
        <v>#VALUE!</v>
      </c>
      <c r="AJ103" s="378" t="e">
        <f aca="false">D103-$BV$5</f>
        <v>#VALUE!</v>
      </c>
      <c r="AL103" s="369" t="e">
        <f aca="false">VLOOKUP($D103,CurveTbl,$AK$4)</f>
        <v>#VALUE!</v>
      </c>
      <c r="AM103" s="505" t="e">
        <f aca="false">VLOOKUP($D103,CurveTbl,$AH$3)</f>
        <v>#VALUE!</v>
      </c>
      <c r="AN103" s="505" t="e">
        <f aca="false">VLOOKUP($D103,CurveTbl,$AH$4)+VLOOKUP($AG103,$AL$3:$AS$15,6)</f>
        <v>#VALUE!</v>
      </c>
      <c r="AO103" s="505" t="e">
        <f aca="false">VLOOKUP($D103,CurveTbl,$AH$5)</f>
        <v>#VALUE!</v>
      </c>
      <c r="AP103" s="505" t="e">
        <f aca="false">VLOOKUP($D103,CurveTbl,$AH$6)+VLOOKUP($AG103,$AL$3:$AS$15,7)</f>
        <v>#VALUE!</v>
      </c>
      <c r="AQ103" s="369" t="e">
        <f aca="false">VLOOKUP($AG103,$AL$4:$AS$15,3)+VLOOKUP($AG103,$AL$4:$AS$15,5)+($AH$10*VLOOKUP(D103,GRITable,2))</f>
        <v>#VALUE!</v>
      </c>
      <c r="AR103" s="370" t="e">
        <f aca="false">VLOOKUP($AG103,$AL$4:$AS$15,4)</f>
        <v>#VALUE!</v>
      </c>
      <c r="AS103" s="369" t="e">
        <f aca="false">(AL103+AM103+AN103)</f>
        <v>#VALUE!</v>
      </c>
      <c r="AT103" s="370" t="e">
        <f aca="false">VLOOKUP(D103,CurveTbl,$AK$6)</f>
        <v>#VALUE!</v>
      </c>
      <c r="AU103" s="370" t="e">
        <f aca="false">(1+$AT103/2)^(-2*($D103-$G$5)/365.25)*$AF103</f>
        <v>#VALUE!</v>
      </c>
      <c r="AV103" s="506" t="e">
        <f aca="false">ROUND((F103/(1-AR103))-F103,0)*AF103*AH103*AU103</f>
        <v>#VALUE!</v>
      </c>
      <c r="AW103" s="370" t="e">
        <f aca="false">VLOOKUP($D103,CurveTbl,$AK$8)</f>
        <v>#VALUE!</v>
      </c>
      <c r="AX103" s="370" t="e">
        <f aca="false">VLOOKUP($D103,CurveTbl,$AH$7)</f>
        <v>#VALUE!</v>
      </c>
      <c r="AY103" s="370" t="e">
        <f aca="false">VLOOKUP($D103,CurveTbl,$AH$8)</f>
        <v>#VALUE!</v>
      </c>
      <c r="AZ103" s="370"/>
      <c r="BA103" s="507"/>
      <c r="BB103" s="505" t="e">
        <f aca="false">$H103-$BV103</f>
        <v>#VALUE!</v>
      </c>
      <c r="BC103" s="505" t="e">
        <f aca="false">I103-BW103</f>
        <v>#VALUE!</v>
      </c>
      <c r="BD103" s="370" t="e">
        <f aca="false">N103-BX103</f>
        <v>#VALUE!</v>
      </c>
      <c r="BE103" s="370" t="e">
        <f aca="false">O103-BY103</f>
        <v>#VALUE!</v>
      </c>
      <c r="BF103" s="370" t="e">
        <f aca="false">xSPRDOPT($BW103,$BV103,$CG103,0,$BY103,$BX103,$BZ103,$AJ103,1,4)*$CB103</f>
        <v>#NAME?</v>
      </c>
      <c r="BG103" s="370" t="e">
        <f aca="false">xSPRDOPT($BW103,$BV103,$CG103,0,$BY103,$BX103,$BZ103,$AJ103,1,3)*$CB103</f>
        <v>#NAME?</v>
      </c>
      <c r="BH103" s="370" t="e">
        <f aca="false">IF(OR(BF103&lt;&gt;0,BG103&lt;&gt;0),xSPRDOPT($BW103,$BV103,$CG103,0,$BY103,$BX103,$BZ103,$AJ103,1,12)*$CB103,0)</f>
        <v>#NAME?</v>
      </c>
      <c r="BI103" s="370" t="e">
        <f aca="false">xSPRDOPT($BW103,$BV103,$CG103,2*LN(1+CA103/2),$BY103,$BX103,$BZ103,$AJ103,1,9)</f>
        <v>#NAME?</v>
      </c>
      <c r="BJ103" s="370" t="e">
        <f aca="false">xSPRDOPT($BW103,$BV103,$CG103,0,$BY103,$BX103,$BZ103,$AJ103,1,6)*$CB103</f>
        <v>#NAME?</v>
      </c>
      <c r="BK103" s="370" t="e">
        <f aca="false">xSPRDOPT($BW103,$BV103,$CG103,0,$BY103,$BX103,$BZ103,$AJ103,1,5)*$CB103</f>
        <v>#NAME?</v>
      </c>
      <c r="BL103" s="370" t="e">
        <f aca="false">xSPRDOPT(BW103,BV103,CG103,0,BY103,BX103,BZ103,AJ103,1,2)*CB103</f>
        <v>#NAME?</v>
      </c>
      <c r="BM103" s="370" t="e">
        <f aca="false">xSPRDOPT(BW103,BV103,CG103,0,BY103,BX103,BZ103,AJ103,1,1)*CB103</f>
        <v>#NAME?</v>
      </c>
      <c r="BN103" s="370" t="e">
        <f aca="false">IF(AH103&lt;&gt;0,xSPRDOPT($BW103,$BV103,$CG103,2*LN(1+CA103/2),$BY103,$BX103,$BZ103,$AJ103,1,8)+(AJ103/365.25)*CH103/AH103,0)</f>
        <v>#VALUE!</v>
      </c>
      <c r="BO103" s="370" t="e">
        <f aca="false">xSPRDOPT($BW103,$BV103,$CG103,0,$BY103,$BX103,$BZ103,$AJ103,1,0)</f>
        <v>#NAME?</v>
      </c>
      <c r="BP103" s="370"/>
      <c r="BQ103" s="370"/>
      <c r="BR103" s="370"/>
      <c r="BS103" s="370"/>
      <c r="BV103" s="508" t="n">
        <v>3.44578313253012</v>
      </c>
      <c r="BW103" s="369" t="n">
        <v>3.467</v>
      </c>
      <c r="BX103" s="370" t="n">
        <v>0.37</v>
      </c>
      <c r="BY103" s="370" t="n">
        <v>0.37</v>
      </c>
      <c r="BZ103" s="370" t="n">
        <v>0</v>
      </c>
      <c r="CA103" s="370" t="n">
        <v>0.0348361539671314</v>
      </c>
      <c r="CB103" s="370" t="n">
        <v>0</v>
      </c>
      <c r="CC103" s="505" t="n">
        <v>0</v>
      </c>
      <c r="CD103" s="505" t="n">
        <v>0.03</v>
      </c>
      <c r="CE103" s="505" t="n">
        <v>0.065</v>
      </c>
      <c r="CF103" s="505" t="n">
        <v>0</v>
      </c>
      <c r="CG103" s="505" t="n">
        <v>0.0006</v>
      </c>
      <c r="CH103" s="505" t="n">
        <v>0</v>
      </c>
      <c r="CI103" s="505" t="n">
        <v>3.402</v>
      </c>
      <c r="CJ103" s="505"/>
      <c r="CK103" s="505"/>
      <c r="CL103" s="505"/>
      <c r="CM103" s="505"/>
    </row>
    <row r="104" customFormat="false" ht="12.75" hidden="false" customHeight="false" outlineLevel="0" collapsed="false">
      <c r="A104" s="500"/>
      <c r="B104" s="500"/>
      <c r="D104" s="361" t="e">
        <f aca="false">D103+AH103</f>
        <v>#VALUE!</v>
      </c>
      <c r="F104" s="362" t="e">
        <f aca="false">VLOOKUP(AG104,$AL$4:$AS$15,2)</f>
        <v>#VALUE!</v>
      </c>
      <c r="G104" s="362" t="e">
        <f aca="false">F104*$AU104</f>
        <v>#VALUE!</v>
      </c>
      <c r="H104" s="363" t="e">
        <f aca="false">(AL104+AM104+AN104)/(1-(AR104))</f>
        <v>#VALUE!</v>
      </c>
      <c r="I104" s="363" t="e">
        <f aca="false">(AL104+AO104+AP104)</f>
        <v>#VALUE!</v>
      </c>
      <c r="K104" s="363" t="e">
        <f aca="false">MAX(((I104-H104)-AQ104)*AU104*AH104,0)</f>
        <v>#VALUE!</v>
      </c>
      <c r="L104" s="501" t="e">
        <f aca="false">MAX(Q104-K104,0)</f>
        <v>#VALUE!</v>
      </c>
      <c r="N104" s="502" t="e">
        <f aca="false">SQRT(($AX104^2*($AH104/2)+$AW104^2*$AI104)/(($AH104/2)+$AI104))</f>
        <v>#VALUE!</v>
      </c>
      <c r="O104" s="502" t="e">
        <f aca="false">SQRT(($AY104^2*($AH104/2)+$AW104^2*$AI104)/(($AH104/2)+$AI104))</f>
        <v>#VALUE!</v>
      </c>
      <c r="P104" s="371" t="e">
        <f aca="false">(VLOOKUP(AI104,CorrelationTwo,2)*(AW104^2)*AI104+VLOOKUP(D104,CorrelationOne,$AK$9)*AX104*AY104*(AH104/2))/((AI104+(AH104/2))*O104*N104)*AF104</f>
        <v>#VALUE!</v>
      </c>
      <c r="Q104" s="501" t="e">
        <f aca="false">xSPRDOPT(I104,H104,AQ104,0,O104,N104,P104,D104-$G$5,1,0)*AH104*AU104</f>
        <v>#VALUE!</v>
      </c>
      <c r="R104" s="501"/>
      <c r="S104" s="365" t="e">
        <f aca="false">xSPRDOPT(I104,H104,AQ104,AT104,O104,N104,P104,D104-$G$5,1,2)*AF104*(F104/(1-AR104))*AH104</f>
        <v>#VALUE!</v>
      </c>
      <c r="T104" s="365" t="e">
        <f aca="false">xSPRDOPT(I104,H104,AQ104,AT104,O104,N104,P104,D104-$G$5,1,1)*AF104*F104*AH104</f>
        <v>#VALUE!</v>
      </c>
      <c r="U104" s="501"/>
      <c r="V104" s="503" t="e">
        <f aca="false">VLOOKUP($AG104,$AL$4:$AS$15,8)*AH104*AU104</f>
        <v>#VALUE!</v>
      </c>
      <c r="W104" s="503"/>
      <c r="X104" s="504" t="e">
        <f aca="false">((BM104*BC104)+(BL104*BB104))*AH104*F104</f>
        <v>#VALUE!</v>
      </c>
      <c r="Y104" s="504" t="e">
        <f aca="false">($F104*$AH104)*((($BG104/2)*($BC104)^2)+(($BF104/2)*($BB104)^2)+($BH104*$BC104*$BB104))</f>
        <v>#VALUE!</v>
      </c>
      <c r="Z104" s="504" t="e">
        <f aca="false">($BI104*$F104*$AH104*($G$5-$BV$5))/365.25</f>
        <v>#VALUE!</v>
      </c>
      <c r="AA104" s="504" t="e">
        <f aca="false">(($BK104*$BE104)+($BJ104*$BD104))*$F104*$AH104*$AF104</f>
        <v>#VALUE!</v>
      </c>
      <c r="AB104" s="504" t="e">
        <f aca="false">BN104*(AT104-CA104)*F104*AH104</f>
        <v>#VALUE!</v>
      </c>
      <c r="AC104" s="504" t="e">
        <f aca="false">BO104*CB104*F104*AH104*CA104*($G$5-$BV$5)/365.25</f>
        <v>#NAME?</v>
      </c>
      <c r="AF104" s="378" t="e">
        <f aca="false">IF(AND(D104&gt;=$G$7,D104&lt;=$G$8),1,0)</f>
        <v>#VALUE!</v>
      </c>
      <c r="AG104" s="378" t="e">
        <f aca="false">MONTH(D104)</f>
        <v>#VALUE!</v>
      </c>
      <c r="AH104" s="378" t="e">
        <f aca="false">(EOMONTH(D104,0)-EOMONTH(D104-DAY(D104),0))*AF104</f>
        <v>#VALUE!</v>
      </c>
      <c r="AI104" s="378" t="e">
        <f aca="false">AI103+AH103</f>
        <v>#VALUE!</v>
      </c>
      <c r="AJ104" s="378" t="e">
        <f aca="false">D104-$BV$5</f>
        <v>#VALUE!</v>
      </c>
      <c r="AL104" s="369" t="e">
        <f aca="false">VLOOKUP($D104,CurveTbl,$AK$4)</f>
        <v>#VALUE!</v>
      </c>
      <c r="AM104" s="505" t="e">
        <f aca="false">VLOOKUP($D104,CurveTbl,$AH$3)</f>
        <v>#VALUE!</v>
      </c>
      <c r="AN104" s="505" t="e">
        <f aca="false">VLOOKUP($D104,CurveTbl,$AH$4)+VLOOKUP($AG104,$AL$3:$AS$15,6)</f>
        <v>#VALUE!</v>
      </c>
      <c r="AO104" s="505" t="e">
        <f aca="false">VLOOKUP($D104,CurveTbl,$AH$5)</f>
        <v>#VALUE!</v>
      </c>
      <c r="AP104" s="505" t="e">
        <f aca="false">VLOOKUP($D104,CurveTbl,$AH$6)+VLOOKUP($AG104,$AL$3:$AS$15,7)</f>
        <v>#VALUE!</v>
      </c>
      <c r="AQ104" s="369" t="e">
        <f aca="false">VLOOKUP($AG104,$AL$4:$AS$15,3)+VLOOKUP($AG104,$AL$4:$AS$15,5)+($AH$10*VLOOKUP(D104,GRITable,2))</f>
        <v>#VALUE!</v>
      </c>
      <c r="AR104" s="370" t="e">
        <f aca="false">VLOOKUP($AG104,$AL$4:$AS$15,4)</f>
        <v>#VALUE!</v>
      </c>
      <c r="AS104" s="369" t="e">
        <f aca="false">(AL104+AM104+AN104)</f>
        <v>#VALUE!</v>
      </c>
      <c r="AT104" s="370" t="e">
        <f aca="false">VLOOKUP(D104,CurveTbl,$AK$6)</f>
        <v>#VALUE!</v>
      </c>
      <c r="AU104" s="370" t="e">
        <f aca="false">(1+$AT104/2)^(-2*($D104-$G$5)/365.25)*$AF104</f>
        <v>#VALUE!</v>
      </c>
      <c r="AV104" s="506" t="e">
        <f aca="false">ROUND((F104/(1-AR104))-F104,0)*AF104*AH104*AU104</f>
        <v>#VALUE!</v>
      </c>
      <c r="AW104" s="370" t="e">
        <f aca="false">VLOOKUP($D104,CurveTbl,$AK$8)</f>
        <v>#VALUE!</v>
      </c>
      <c r="AX104" s="370" t="e">
        <f aca="false">VLOOKUP($D104,CurveTbl,$AH$7)</f>
        <v>#VALUE!</v>
      </c>
      <c r="AY104" s="370" t="e">
        <f aca="false">VLOOKUP($D104,CurveTbl,$AH$8)</f>
        <v>#VALUE!</v>
      </c>
      <c r="AZ104" s="370"/>
      <c r="BA104" s="507"/>
      <c r="BB104" s="505" t="e">
        <f aca="false">$H104-$BV104</f>
        <v>#VALUE!</v>
      </c>
      <c r="BC104" s="505" t="e">
        <f aca="false">I104-BW104</f>
        <v>#VALUE!</v>
      </c>
      <c r="BD104" s="370" t="e">
        <f aca="false">N104-BX104</f>
        <v>#VALUE!</v>
      </c>
      <c r="BE104" s="370" t="e">
        <f aca="false">O104-BY104</f>
        <v>#VALUE!</v>
      </c>
      <c r="BF104" s="370" t="e">
        <f aca="false">xSPRDOPT($BW104,$BV104,$CG104,0,$BY104,$BX104,$BZ104,$AJ104,1,4)*$CB104</f>
        <v>#NAME?</v>
      </c>
      <c r="BG104" s="370" t="e">
        <f aca="false">xSPRDOPT($BW104,$BV104,$CG104,0,$BY104,$BX104,$BZ104,$AJ104,1,3)*$CB104</f>
        <v>#NAME?</v>
      </c>
      <c r="BH104" s="370" t="e">
        <f aca="false">IF(OR(BF104&lt;&gt;0,BG104&lt;&gt;0),xSPRDOPT($BW104,$BV104,$CG104,0,$BY104,$BX104,$BZ104,$AJ104,1,12)*$CB104,0)</f>
        <v>#NAME?</v>
      </c>
      <c r="BI104" s="370" t="e">
        <f aca="false">xSPRDOPT($BW104,$BV104,$CG104,2*LN(1+CA104/2),$BY104,$BX104,$BZ104,$AJ104,1,9)</f>
        <v>#NAME?</v>
      </c>
      <c r="BJ104" s="370" t="e">
        <f aca="false">xSPRDOPT($BW104,$BV104,$CG104,0,$BY104,$BX104,$BZ104,$AJ104,1,6)*$CB104</f>
        <v>#NAME?</v>
      </c>
      <c r="BK104" s="370" t="e">
        <f aca="false">xSPRDOPT($BW104,$BV104,$CG104,0,$BY104,$BX104,$BZ104,$AJ104,1,5)*$CB104</f>
        <v>#NAME?</v>
      </c>
      <c r="BL104" s="370" t="e">
        <f aca="false">xSPRDOPT(BW104,BV104,CG104,0,BY104,BX104,BZ104,AJ104,1,2)*CB104</f>
        <v>#NAME?</v>
      </c>
      <c r="BM104" s="370" t="e">
        <f aca="false">xSPRDOPT(BW104,BV104,CG104,0,BY104,BX104,BZ104,AJ104,1,1)*CB104</f>
        <v>#NAME?</v>
      </c>
      <c r="BN104" s="370" t="e">
        <f aca="false">IF(AH104&lt;&gt;0,xSPRDOPT($BW104,$BV104,$CG104,2*LN(1+CA104/2),$BY104,$BX104,$BZ104,$AJ104,1,8)+(AJ104/365.25)*CH104/AH104,0)</f>
        <v>#VALUE!</v>
      </c>
      <c r="BO104" s="370" t="e">
        <f aca="false">xSPRDOPT($BW104,$BV104,$CG104,0,$BY104,$BX104,$BZ104,$AJ104,1,0)</f>
        <v>#NAME?</v>
      </c>
      <c r="BP104" s="370"/>
      <c r="BQ104" s="370"/>
      <c r="BR104" s="370"/>
      <c r="BS104" s="370"/>
      <c r="BV104" s="508" t="n">
        <v>3.44578313253012</v>
      </c>
      <c r="BW104" s="369" t="n">
        <v>3.467</v>
      </c>
      <c r="BX104" s="370" t="n">
        <v>0.37</v>
      </c>
      <c r="BY104" s="370" t="n">
        <v>0.37</v>
      </c>
      <c r="BZ104" s="370" t="n">
        <v>0</v>
      </c>
      <c r="CA104" s="370" t="n">
        <v>0.0348361539671314</v>
      </c>
      <c r="CB104" s="370" t="n">
        <v>0</v>
      </c>
      <c r="CC104" s="505" t="n">
        <v>0</v>
      </c>
      <c r="CD104" s="505" t="n">
        <v>0.03</v>
      </c>
      <c r="CE104" s="505" t="n">
        <v>0.065</v>
      </c>
      <c r="CF104" s="505" t="n">
        <v>0</v>
      </c>
      <c r="CG104" s="505" t="n">
        <v>0.0006</v>
      </c>
      <c r="CH104" s="505" t="n">
        <v>0</v>
      </c>
      <c r="CI104" s="505" t="n">
        <v>3.402</v>
      </c>
      <c r="CJ104" s="505"/>
      <c r="CK104" s="505"/>
      <c r="CL104" s="505"/>
      <c r="CM104" s="505"/>
    </row>
    <row r="105" customFormat="false" ht="12.75" hidden="false" customHeight="false" outlineLevel="0" collapsed="false">
      <c r="A105" s="500"/>
      <c r="B105" s="500"/>
      <c r="D105" s="361" t="e">
        <f aca="false">D104+AH104</f>
        <v>#VALUE!</v>
      </c>
      <c r="F105" s="362" t="e">
        <f aca="false">VLOOKUP(AG105,$AL$4:$AS$15,2)</f>
        <v>#VALUE!</v>
      </c>
      <c r="G105" s="362" t="e">
        <f aca="false">F105*$AU105</f>
        <v>#VALUE!</v>
      </c>
      <c r="H105" s="363" t="e">
        <f aca="false">(AL105+AM105+AN105)/(1-(AR105))</f>
        <v>#VALUE!</v>
      </c>
      <c r="I105" s="363" t="e">
        <f aca="false">(AL105+AO105+AP105)</f>
        <v>#VALUE!</v>
      </c>
      <c r="K105" s="363" t="e">
        <f aca="false">MAX(((I105-H105)-AQ105)*AU105*AH105,0)</f>
        <v>#VALUE!</v>
      </c>
      <c r="L105" s="501" t="e">
        <f aca="false">MAX(Q105-K105,0)</f>
        <v>#VALUE!</v>
      </c>
      <c r="N105" s="502" t="e">
        <f aca="false">SQRT(($AX105^2*($AH105/2)+$AW105^2*$AI105)/(($AH105/2)+$AI105))</f>
        <v>#VALUE!</v>
      </c>
      <c r="O105" s="502" t="e">
        <f aca="false">SQRT(($AY105^2*($AH105/2)+$AW105^2*$AI105)/(($AH105/2)+$AI105))</f>
        <v>#VALUE!</v>
      </c>
      <c r="P105" s="371" t="e">
        <f aca="false">(VLOOKUP(AI105,CorrelationTwo,2)*(AW105^2)*AI105+VLOOKUP(D105,CorrelationOne,$AK$9)*AX105*AY105*(AH105/2))/((AI105+(AH105/2))*O105*N105)*AF105</f>
        <v>#VALUE!</v>
      </c>
      <c r="Q105" s="501" t="e">
        <f aca="false">xSPRDOPT(I105,H105,AQ105,0,O105,N105,P105,D105-$G$5,1,0)*AH105*AU105</f>
        <v>#VALUE!</v>
      </c>
      <c r="R105" s="501"/>
      <c r="S105" s="365" t="e">
        <f aca="false">xSPRDOPT(I105,H105,AQ105,AT105,O105,N105,P105,D105-$G$5,1,2)*AF105*(F105/(1-AR105))*AH105</f>
        <v>#VALUE!</v>
      </c>
      <c r="T105" s="365" t="e">
        <f aca="false">xSPRDOPT(I105,H105,AQ105,AT105,O105,N105,P105,D105-$G$5,1,1)*AF105*F105*AH105</f>
        <v>#VALUE!</v>
      </c>
      <c r="U105" s="501"/>
      <c r="V105" s="503" t="e">
        <f aca="false">VLOOKUP($AG105,$AL$4:$AS$15,8)*AH105*AU105</f>
        <v>#VALUE!</v>
      </c>
      <c r="W105" s="503"/>
      <c r="X105" s="504" t="e">
        <f aca="false">((BM105*BC105)+(BL105*BB105))*AH105*F105</f>
        <v>#VALUE!</v>
      </c>
      <c r="Y105" s="504" t="e">
        <f aca="false">($F105*$AH105)*((($BG105/2)*($BC105)^2)+(($BF105/2)*($BB105)^2)+($BH105*$BC105*$BB105))</f>
        <v>#VALUE!</v>
      </c>
      <c r="Z105" s="504" t="e">
        <f aca="false">($BI105*$F105*$AH105*($G$5-$BV$5))/365.25</f>
        <v>#VALUE!</v>
      </c>
      <c r="AA105" s="504" t="e">
        <f aca="false">(($BK105*$BE105)+($BJ105*$BD105))*$F105*$AH105*$AF105</f>
        <v>#VALUE!</v>
      </c>
      <c r="AB105" s="504" t="e">
        <f aca="false">BN105*(AT105-CA105)*F105*AH105</f>
        <v>#VALUE!</v>
      </c>
      <c r="AC105" s="504" t="e">
        <f aca="false">BO105*CB105*F105*AH105*CA105*($G$5-$BV$5)/365.25</f>
        <v>#NAME?</v>
      </c>
      <c r="AF105" s="378" t="e">
        <f aca="false">IF(AND(D105&gt;=$G$7,D105&lt;=$G$8),1,0)</f>
        <v>#VALUE!</v>
      </c>
      <c r="AG105" s="378" t="e">
        <f aca="false">MONTH(D105)</f>
        <v>#VALUE!</v>
      </c>
      <c r="AH105" s="378" t="e">
        <f aca="false">(EOMONTH(D105,0)-EOMONTH(D105-DAY(D105),0))*AF105</f>
        <v>#VALUE!</v>
      </c>
      <c r="AI105" s="378" t="e">
        <f aca="false">AI104+AH104</f>
        <v>#VALUE!</v>
      </c>
      <c r="AJ105" s="378" t="e">
        <f aca="false">D105-$BV$5</f>
        <v>#VALUE!</v>
      </c>
      <c r="AL105" s="369" t="e">
        <f aca="false">VLOOKUP($D105,CurveTbl,$AK$4)</f>
        <v>#VALUE!</v>
      </c>
      <c r="AM105" s="505" t="e">
        <f aca="false">VLOOKUP($D105,CurveTbl,$AH$3)</f>
        <v>#VALUE!</v>
      </c>
      <c r="AN105" s="505" t="e">
        <f aca="false">VLOOKUP($D105,CurveTbl,$AH$4)+VLOOKUP($AG105,$AL$3:$AS$15,6)</f>
        <v>#VALUE!</v>
      </c>
      <c r="AO105" s="505" t="e">
        <f aca="false">VLOOKUP($D105,CurveTbl,$AH$5)</f>
        <v>#VALUE!</v>
      </c>
      <c r="AP105" s="505" t="e">
        <f aca="false">VLOOKUP($D105,CurveTbl,$AH$6)+VLOOKUP($AG105,$AL$3:$AS$15,7)</f>
        <v>#VALUE!</v>
      </c>
      <c r="AQ105" s="369" t="e">
        <f aca="false">VLOOKUP($AG105,$AL$4:$AS$15,3)+VLOOKUP($AG105,$AL$4:$AS$15,5)+($AH$10*VLOOKUP(D105,GRITable,2))</f>
        <v>#VALUE!</v>
      </c>
      <c r="AR105" s="370" t="e">
        <f aca="false">VLOOKUP($AG105,$AL$4:$AS$15,4)</f>
        <v>#VALUE!</v>
      </c>
      <c r="AS105" s="369" t="e">
        <f aca="false">(AL105+AM105+AN105)</f>
        <v>#VALUE!</v>
      </c>
      <c r="AT105" s="370" t="e">
        <f aca="false">VLOOKUP(D105,CurveTbl,$AK$6)</f>
        <v>#VALUE!</v>
      </c>
      <c r="AU105" s="370" t="e">
        <f aca="false">(1+$AT105/2)^(-2*($D105-$G$5)/365.25)*$AF105</f>
        <v>#VALUE!</v>
      </c>
      <c r="AV105" s="506" t="e">
        <f aca="false">ROUND((F105/(1-AR105))-F105,0)*AF105*AH105*AU105</f>
        <v>#VALUE!</v>
      </c>
      <c r="AW105" s="370" t="e">
        <f aca="false">VLOOKUP($D105,CurveTbl,$AK$8)</f>
        <v>#VALUE!</v>
      </c>
      <c r="AX105" s="370" t="e">
        <f aca="false">VLOOKUP($D105,CurveTbl,$AH$7)</f>
        <v>#VALUE!</v>
      </c>
      <c r="AY105" s="370" t="e">
        <f aca="false">VLOOKUP($D105,CurveTbl,$AH$8)</f>
        <v>#VALUE!</v>
      </c>
      <c r="AZ105" s="370"/>
      <c r="BA105" s="507"/>
      <c r="BB105" s="505" t="e">
        <f aca="false">$H105-$BV105</f>
        <v>#VALUE!</v>
      </c>
      <c r="BC105" s="505" t="e">
        <f aca="false">I105-BW105</f>
        <v>#VALUE!</v>
      </c>
      <c r="BD105" s="370" t="e">
        <f aca="false">N105-BX105</f>
        <v>#VALUE!</v>
      </c>
      <c r="BE105" s="370" t="e">
        <f aca="false">O105-BY105</f>
        <v>#VALUE!</v>
      </c>
      <c r="BF105" s="370" t="e">
        <f aca="false">xSPRDOPT($BW105,$BV105,$CG105,0,$BY105,$BX105,$BZ105,$AJ105,1,4)*$CB105</f>
        <v>#NAME?</v>
      </c>
      <c r="BG105" s="370" t="e">
        <f aca="false">xSPRDOPT($BW105,$BV105,$CG105,0,$BY105,$BX105,$BZ105,$AJ105,1,3)*$CB105</f>
        <v>#NAME?</v>
      </c>
      <c r="BH105" s="370" t="e">
        <f aca="false">IF(OR(BF105&lt;&gt;0,BG105&lt;&gt;0),xSPRDOPT($BW105,$BV105,$CG105,0,$BY105,$BX105,$BZ105,$AJ105,1,12)*$CB105,0)</f>
        <v>#NAME?</v>
      </c>
      <c r="BI105" s="370" t="e">
        <f aca="false">xSPRDOPT($BW105,$BV105,$CG105,2*LN(1+CA105/2),$BY105,$BX105,$BZ105,$AJ105,1,9)</f>
        <v>#NAME?</v>
      </c>
      <c r="BJ105" s="370" t="e">
        <f aca="false">xSPRDOPT($BW105,$BV105,$CG105,0,$BY105,$BX105,$BZ105,$AJ105,1,6)*$CB105</f>
        <v>#NAME?</v>
      </c>
      <c r="BK105" s="370" t="e">
        <f aca="false">xSPRDOPT($BW105,$BV105,$CG105,0,$BY105,$BX105,$BZ105,$AJ105,1,5)*$CB105</f>
        <v>#NAME?</v>
      </c>
      <c r="BL105" s="370" t="e">
        <f aca="false">xSPRDOPT(BW105,BV105,CG105,0,BY105,BX105,BZ105,AJ105,1,2)*CB105</f>
        <v>#NAME?</v>
      </c>
      <c r="BM105" s="370" t="e">
        <f aca="false">xSPRDOPT(BW105,BV105,CG105,0,BY105,BX105,BZ105,AJ105,1,1)*CB105</f>
        <v>#NAME?</v>
      </c>
      <c r="BN105" s="370" t="e">
        <f aca="false">IF(AH105&lt;&gt;0,xSPRDOPT($BW105,$BV105,$CG105,2*LN(1+CA105/2),$BY105,$BX105,$BZ105,$AJ105,1,8)+(AJ105/365.25)*CH105/AH105,0)</f>
        <v>#VALUE!</v>
      </c>
      <c r="BO105" s="370" t="e">
        <f aca="false">xSPRDOPT($BW105,$BV105,$CG105,0,$BY105,$BX105,$BZ105,$AJ105,1,0)</f>
        <v>#NAME?</v>
      </c>
      <c r="BP105" s="370"/>
      <c r="BQ105" s="370"/>
      <c r="BR105" s="370"/>
      <c r="BS105" s="370"/>
      <c r="BV105" s="508" t="n">
        <v>3.44578313253012</v>
      </c>
      <c r="BW105" s="369" t="n">
        <v>3.467</v>
      </c>
      <c r="BX105" s="370" t="n">
        <v>0.37</v>
      </c>
      <c r="BY105" s="370" t="n">
        <v>0.37</v>
      </c>
      <c r="BZ105" s="370" t="n">
        <v>0</v>
      </c>
      <c r="CA105" s="370" t="n">
        <v>0.0348361539671314</v>
      </c>
      <c r="CB105" s="370" t="n">
        <v>0</v>
      </c>
      <c r="CC105" s="505" t="n">
        <v>0</v>
      </c>
      <c r="CD105" s="505" t="n">
        <v>0.03</v>
      </c>
      <c r="CE105" s="505" t="n">
        <v>0.065</v>
      </c>
      <c r="CF105" s="505" t="n">
        <v>0</v>
      </c>
      <c r="CG105" s="505" t="n">
        <v>0.0006</v>
      </c>
      <c r="CH105" s="505" t="n">
        <v>0</v>
      </c>
      <c r="CI105" s="505" t="n">
        <v>3.402</v>
      </c>
      <c r="CJ105" s="505"/>
      <c r="CK105" s="505"/>
      <c r="CL105" s="505"/>
      <c r="CM105" s="505"/>
    </row>
    <row r="106" customFormat="false" ht="12.75" hidden="false" customHeight="false" outlineLevel="0" collapsed="false">
      <c r="A106" s="500"/>
      <c r="B106" s="500"/>
      <c r="D106" s="361" t="e">
        <f aca="false">D105+AH105</f>
        <v>#VALUE!</v>
      </c>
      <c r="F106" s="362" t="e">
        <f aca="false">VLOOKUP(AG106,$AL$4:$AS$15,2)</f>
        <v>#VALUE!</v>
      </c>
      <c r="G106" s="362" t="e">
        <f aca="false">F106*$AU106</f>
        <v>#VALUE!</v>
      </c>
      <c r="H106" s="363" t="e">
        <f aca="false">(AL106+AM106+AN106)/(1-(AR106))</f>
        <v>#VALUE!</v>
      </c>
      <c r="I106" s="363" t="e">
        <f aca="false">(AL106+AO106+AP106)</f>
        <v>#VALUE!</v>
      </c>
      <c r="K106" s="363" t="e">
        <f aca="false">MAX(((I106-H106)-AQ106)*AU106*AH106,0)</f>
        <v>#VALUE!</v>
      </c>
      <c r="L106" s="501" t="e">
        <f aca="false">MAX(Q106-K106,0)</f>
        <v>#VALUE!</v>
      </c>
      <c r="N106" s="502" t="e">
        <f aca="false">SQRT(($AX106^2*($AH106/2)+$AW106^2*$AI106)/(($AH106/2)+$AI106))</f>
        <v>#VALUE!</v>
      </c>
      <c r="O106" s="502" t="e">
        <f aca="false">SQRT(($AY106^2*($AH106/2)+$AW106^2*$AI106)/(($AH106/2)+$AI106))</f>
        <v>#VALUE!</v>
      </c>
      <c r="P106" s="371" t="e">
        <f aca="false">(VLOOKUP(AI106,CorrelationTwo,2)*(AW106^2)*AI106+VLOOKUP(D106,CorrelationOne,$AK$9)*AX106*AY106*(AH106/2))/((AI106+(AH106/2))*O106*N106)*AF106</f>
        <v>#VALUE!</v>
      </c>
      <c r="Q106" s="501" t="e">
        <f aca="false">xSPRDOPT(I106,H106,AQ106,0,O106,N106,P106,D106-$G$5,1,0)*AH106*AU106</f>
        <v>#VALUE!</v>
      </c>
      <c r="R106" s="501"/>
      <c r="S106" s="365" t="e">
        <f aca="false">xSPRDOPT(I106,H106,AQ106,AT106,O106,N106,P106,D106-$G$5,1,2)*AF106*(F106/(1-AR106))*AH106</f>
        <v>#VALUE!</v>
      </c>
      <c r="T106" s="365" t="e">
        <f aca="false">xSPRDOPT(I106,H106,AQ106,AT106,O106,N106,P106,D106-$G$5,1,1)*AF106*F106*AH106</f>
        <v>#VALUE!</v>
      </c>
      <c r="U106" s="501"/>
      <c r="V106" s="503" t="e">
        <f aca="false">VLOOKUP($AG106,$AL$4:$AS$15,8)*AH106*AU106</f>
        <v>#VALUE!</v>
      </c>
      <c r="W106" s="503"/>
      <c r="X106" s="504" t="e">
        <f aca="false">((BM106*BC106)+(BL106*BB106))*AH106*F106</f>
        <v>#VALUE!</v>
      </c>
      <c r="Y106" s="504" t="e">
        <f aca="false">($F106*$AH106)*((($BG106/2)*($BC106)^2)+(($BF106/2)*($BB106)^2)+($BH106*$BC106*$BB106))</f>
        <v>#VALUE!</v>
      </c>
      <c r="Z106" s="504" t="e">
        <f aca="false">($BI106*$F106*$AH106*($G$5-$BV$5))/365.25</f>
        <v>#VALUE!</v>
      </c>
      <c r="AA106" s="504" t="e">
        <f aca="false">(($BK106*$BE106)+($BJ106*$BD106))*$F106*$AH106*$AF106</f>
        <v>#VALUE!</v>
      </c>
      <c r="AB106" s="504" t="e">
        <f aca="false">BN106*(AT106-CA106)*F106*AH106</f>
        <v>#VALUE!</v>
      </c>
      <c r="AC106" s="504" t="e">
        <f aca="false">BO106*CB106*F106*AH106*CA106*($G$5-$BV$5)/365.25</f>
        <v>#NAME?</v>
      </c>
      <c r="AF106" s="378" t="e">
        <f aca="false">IF(AND(D106&gt;=$G$7,D106&lt;=$G$8),1,0)</f>
        <v>#VALUE!</v>
      </c>
      <c r="AG106" s="378" t="e">
        <f aca="false">MONTH(D106)</f>
        <v>#VALUE!</v>
      </c>
      <c r="AH106" s="378" t="e">
        <f aca="false">(EOMONTH(D106,0)-EOMONTH(D106-DAY(D106),0))*AF106</f>
        <v>#VALUE!</v>
      </c>
      <c r="AI106" s="378" t="e">
        <f aca="false">AI105+AH105</f>
        <v>#VALUE!</v>
      </c>
      <c r="AJ106" s="378" t="e">
        <f aca="false">D106-$BV$5</f>
        <v>#VALUE!</v>
      </c>
      <c r="AL106" s="369" t="e">
        <f aca="false">VLOOKUP($D106,CurveTbl,$AK$4)</f>
        <v>#VALUE!</v>
      </c>
      <c r="AM106" s="505" t="e">
        <f aca="false">VLOOKUP($D106,CurveTbl,$AH$3)</f>
        <v>#VALUE!</v>
      </c>
      <c r="AN106" s="505" t="e">
        <f aca="false">VLOOKUP($D106,CurveTbl,$AH$4)+VLOOKUP($AG106,$AL$3:$AS$15,6)</f>
        <v>#VALUE!</v>
      </c>
      <c r="AO106" s="505" t="e">
        <f aca="false">VLOOKUP($D106,CurveTbl,$AH$5)</f>
        <v>#VALUE!</v>
      </c>
      <c r="AP106" s="505" t="e">
        <f aca="false">VLOOKUP($D106,CurveTbl,$AH$6)+VLOOKUP($AG106,$AL$3:$AS$15,7)</f>
        <v>#VALUE!</v>
      </c>
      <c r="AQ106" s="369" t="e">
        <f aca="false">VLOOKUP($AG106,$AL$4:$AS$15,3)+VLOOKUP($AG106,$AL$4:$AS$15,5)+($AH$10*VLOOKUP(D106,GRITable,2))</f>
        <v>#VALUE!</v>
      </c>
      <c r="AR106" s="370" t="e">
        <f aca="false">VLOOKUP($AG106,$AL$4:$AS$15,4)</f>
        <v>#VALUE!</v>
      </c>
      <c r="AS106" s="369" t="e">
        <f aca="false">(AL106+AM106+AN106)</f>
        <v>#VALUE!</v>
      </c>
      <c r="AT106" s="370" t="e">
        <f aca="false">VLOOKUP(D106,CurveTbl,$AK$6)</f>
        <v>#VALUE!</v>
      </c>
      <c r="AU106" s="370" t="e">
        <f aca="false">(1+$AT106/2)^(-2*($D106-$G$5)/365.25)*$AF106</f>
        <v>#VALUE!</v>
      </c>
      <c r="AV106" s="506" t="e">
        <f aca="false">ROUND((F106/(1-AR106))-F106,0)*AF106*AH106*AU106</f>
        <v>#VALUE!</v>
      </c>
      <c r="AW106" s="370" t="e">
        <f aca="false">VLOOKUP($D106,CurveTbl,$AK$8)</f>
        <v>#VALUE!</v>
      </c>
      <c r="AX106" s="370" t="e">
        <f aca="false">VLOOKUP($D106,CurveTbl,$AH$7)</f>
        <v>#VALUE!</v>
      </c>
      <c r="AY106" s="370" t="e">
        <f aca="false">VLOOKUP($D106,CurveTbl,$AH$8)</f>
        <v>#VALUE!</v>
      </c>
      <c r="AZ106" s="370"/>
      <c r="BA106" s="507"/>
      <c r="BB106" s="505" t="e">
        <f aca="false">$H106-$BV106</f>
        <v>#VALUE!</v>
      </c>
      <c r="BC106" s="505" t="e">
        <f aca="false">I106-BW106</f>
        <v>#VALUE!</v>
      </c>
      <c r="BD106" s="370" t="e">
        <f aca="false">N106-BX106</f>
        <v>#VALUE!</v>
      </c>
      <c r="BE106" s="370" t="e">
        <f aca="false">O106-BY106</f>
        <v>#VALUE!</v>
      </c>
      <c r="BF106" s="370" t="e">
        <f aca="false">xSPRDOPT($BW106,$BV106,$CG106,0,$BY106,$BX106,$BZ106,$AJ106,1,4)*$CB106</f>
        <v>#NAME?</v>
      </c>
      <c r="BG106" s="370" t="e">
        <f aca="false">xSPRDOPT($BW106,$BV106,$CG106,0,$BY106,$BX106,$BZ106,$AJ106,1,3)*$CB106</f>
        <v>#NAME?</v>
      </c>
      <c r="BH106" s="370" t="e">
        <f aca="false">IF(OR(BF106&lt;&gt;0,BG106&lt;&gt;0),xSPRDOPT($BW106,$BV106,$CG106,0,$BY106,$BX106,$BZ106,$AJ106,1,12)*$CB106,0)</f>
        <v>#NAME?</v>
      </c>
      <c r="BI106" s="370" t="e">
        <f aca="false">xSPRDOPT($BW106,$BV106,$CG106,2*LN(1+CA106/2),$BY106,$BX106,$BZ106,$AJ106,1,9)</f>
        <v>#NAME?</v>
      </c>
      <c r="BJ106" s="370" t="e">
        <f aca="false">xSPRDOPT($BW106,$BV106,$CG106,0,$BY106,$BX106,$BZ106,$AJ106,1,6)*$CB106</f>
        <v>#NAME?</v>
      </c>
      <c r="BK106" s="370" t="e">
        <f aca="false">xSPRDOPT($BW106,$BV106,$CG106,0,$BY106,$BX106,$BZ106,$AJ106,1,5)*$CB106</f>
        <v>#NAME?</v>
      </c>
      <c r="BL106" s="370" t="e">
        <f aca="false">xSPRDOPT(BW106,BV106,CG106,0,BY106,BX106,BZ106,AJ106,1,2)*CB106</f>
        <v>#NAME?</v>
      </c>
      <c r="BM106" s="370" t="e">
        <f aca="false">xSPRDOPT(BW106,BV106,CG106,0,BY106,BX106,BZ106,AJ106,1,1)*CB106</f>
        <v>#NAME?</v>
      </c>
      <c r="BN106" s="370" t="e">
        <f aca="false">IF(AH106&lt;&gt;0,xSPRDOPT($BW106,$BV106,$CG106,2*LN(1+CA106/2),$BY106,$BX106,$BZ106,$AJ106,1,8)+(AJ106/365.25)*CH106/AH106,0)</f>
        <v>#VALUE!</v>
      </c>
      <c r="BO106" s="370" t="e">
        <f aca="false">xSPRDOPT($BW106,$BV106,$CG106,0,$BY106,$BX106,$BZ106,$AJ106,1,0)</f>
        <v>#NAME?</v>
      </c>
      <c r="BP106" s="370"/>
      <c r="BQ106" s="370"/>
      <c r="BR106" s="370"/>
      <c r="BS106" s="370"/>
      <c r="BV106" s="508" t="n">
        <v>3.44578313253012</v>
      </c>
      <c r="BW106" s="369" t="n">
        <v>3.467</v>
      </c>
      <c r="BX106" s="370" t="n">
        <v>0.37</v>
      </c>
      <c r="BY106" s="370" t="n">
        <v>0.37</v>
      </c>
      <c r="BZ106" s="370" t="n">
        <v>0</v>
      </c>
      <c r="CA106" s="370" t="n">
        <v>0.0348361539671314</v>
      </c>
      <c r="CB106" s="370" t="n">
        <v>0</v>
      </c>
      <c r="CC106" s="505" t="n">
        <v>0</v>
      </c>
      <c r="CD106" s="505" t="n">
        <v>0.03</v>
      </c>
      <c r="CE106" s="505" t="n">
        <v>0.065</v>
      </c>
      <c r="CF106" s="505" t="n">
        <v>0</v>
      </c>
      <c r="CG106" s="505" t="n">
        <v>0.0006</v>
      </c>
      <c r="CH106" s="505" t="n">
        <v>0</v>
      </c>
      <c r="CI106" s="505" t="n">
        <v>3.402</v>
      </c>
      <c r="CJ106" s="505"/>
      <c r="CK106" s="505"/>
      <c r="CL106" s="505"/>
      <c r="CM106" s="505"/>
    </row>
    <row r="107" customFormat="false" ht="12.75" hidden="false" customHeight="false" outlineLevel="0" collapsed="false">
      <c r="A107" s="500"/>
      <c r="B107" s="500"/>
      <c r="D107" s="361" t="e">
        <f aca="false">D106+AH106</f>
        <v>#VALUE!</v>
      </c>
      <c r="F107" s="362" t="e">
        <f aca="false">VLOOKUP(AG107,$AL$4:$AS$15,2)</f>
        <v>#VALUE!</v>
      </c>
      <c r="G107" s="362" t="e">
        <f aca="false">F107*$AU107</f>
        <v>#VALUE!</v>
      </c>
      <c r="H107" s="363" t="e">
        <f aca="false">(AL107+AM107+AN107)/(1-(AR107))</f>
        <v>#VALUE!</v>
      </c>
      <c r="I107" s="363" t="e">
        <f aca="false">(AL107+AO107+AP107)</f>
        <v>#VALUE!</v>
      </c>
      <c r="K107" s="363" t="e">
        <f aca="false">MAX(((I107-H107)-AQ107)*AU107*AH107,0)</f>
        <v>#VALUE!</v>
      </c>
      <c r="L107" s="501" t="e">
        <f aca="false">MAX(Q107-K107,0)</f>
        <v>#VALUE!</v>
      </c>
      <c r="N107" s="502" t="e">
        <f aca="false">SQRT(($AX107^2*($AH107/2)+$AW107^2*$AI107)/(($AH107/2)+$AI107))</f>
        <v>#VALUE!</v>
      </c>
      <c r="O107" s="502" t="e">
        <f aca="false">SQRT(($AY107^2*($AH107/2)+$AW107^2*$AI107)/(($AH107/2)+$AI107))</f>
        <v>#VALUE!</v>
      </c>
      <c r="P107" s="371" t="e">
        <f aca="false">(VLOOKUP(AI107,CorrelationTwo,2)*(AW107^2)*AI107+VLOOKUP(D107,CorrelationOne,$AK$9)*AX107*AY107*(AH107/2))/((AI107+(AH107/2))*O107*N107)*AF107</f>
        <v>#VALUE!</v>
      </c>
      <c r="Q107" s="501" t="e">
        <f aca="false">xSPRDOPT(I107,H107,AQ107,0,O107,N107,P107,D107-$G$5,1,0)*AH107*AU107</f>
        <v>#VALUE!</v>
      </c>
      <c r="R107" s="501"/>
      <c r="S107" s="365" t="e">
        <f aca="false">xSPRDOPT(I107,H107,AQ107,AT107,O107,N107,P107,D107-$G$5,1,2)*AF107*(F107/(1-AR107))*AH107</f>
        <v>#VALUE!</v>
      </c>
      <c r="T107" s="365" t="e">
        <f aca="false">xSPRDOPT(I107,H107,AQ107,AT107,O107,N107,P107,D107-$G$5,1,1)*AF107*F107*AH107</f>
        <v>#VALUE!</v>
      </c>
      <c r="U107" s="501"/>
      <c r="V107" s="503" t="e">
        <f aca="false">VLOOKUP($AG107,$AL$4:$AS$15,8)*AH107*AU107</f>
        <v>#VALUE!</v>
      </c>
      <c r="W107" s="503"/>
      <c r="X107" s="504" t="e">
        <f aca="false">((BM107*BC107)+(BL107*BB107))*AH107*F107</f>
        <v>#VALUE!</v>
      </c>
      <c r="Y107" s="504" t="e">
        <f aca="false">($F107*$AH107)*((($BG107/2)*($BC107)^2)+(($BF107/2)*($BB107)^2)+($BH107*$BC107*$BB107))</f>
        <v>#VALUE!</v>
      </c>
      <c r="Z107" s="504" t="e">
        <f aca="false">($BI107*$F107*$AH107*($G$5-$BV$5))/365.25</f>
        <v>#VALUE!</v>
      </c>
      <c r="AA107" s="504" t="e">
        <f aca="false">(($BK107*$BE107)+($BJ107*$BD107))*$F107*$AH107*$AF107</f>
        <v>#VALUE!</v>
      </c>
      <c r="AB107" s="504" t="e">
        <f aca="false">BN107*(AT107-CA107)*F107*AH107</f>
        <v>#VALUE!</v>
      </c>
      <c r="AC107" s="504" t="e">
        <f aca="false">BO107*CB107*F107*AH107*CA107*($G$5-$BV$5)/365.25</f>
        <v>#NAME?</v>
      </c>
      <c r="AF107" s="378" t="e">
        <f aca="false">IF(AND(D107&gt;=$G$7,D107&lt;=$G$8),1,0)</f>
        <v>#VALUE!</v>
      </c>
      <c r="AG107" s="378" t="e">
        <f aca="false">MONTH(D107)</f>
        <v>#VALUE!</v>
      </c>
      <c r="AH107" s="378" t="e">
        <f aca="false">(EOMONTH(D107,0)-EOMONTH(D107-DAY(D107),0))*AF107</f>
        <v>#VALUE!</v>
      </c>
      <c r="AI107" s="378" t="e">
        <f aca="false">AI106+AH106</f>
        <v>#VALUE!</v>
      </c>
      <c r="AJ107" s="378" t="e">
        <f aca="false">D107-$BV$5</f>
        <v>#VALUE!</v>
      </c>
      <c r="AL107" s="369" t="e">
        <f aca="false">VLOOKUP($D107,CurveTbl,$AK$4)</f>
        <v>#VALUE!</v>
      </c>
      <c r="AM107" s="505" t="e">
        <f aca="false">VLOOKUP($D107,CurveTbl,$AH$3)</f>
        <v>#VALUE!</v>
      </c>
      <c r="AN107" s="505" t="e">
        <f aca="false">VLOOKUP($D107,CurveTbl,$AH$4)+VLOOKUP($AG107,$AL$3:$AS$15,6)</f>
        <v>#VALUE!</v>
      </c>
      <c r="AO107" s="505" t="e">
        <f aca="false">VLOOKUP($D107,CurveTbl,$AH$5)</f>
        <v>#VALUE!</v>
      </c>
      <c r="AP107" s="505" t="e">
        <f aca="false">VLOOKUP($D107,CurveTbl,$AH$6)+VLOOKUP($AG107,$AL$3:$AS$15,7)</f>
        <v>#VALUE!</v>
      </c>
      <c r="AQ107" s="369" t="e">
        <f aca="false">VLOOKUP($AG107,$AL$4:$AS$15,3)+VLOOKUP($AG107,$AL$4:$AS$15,5)+($AH$10*VLOOKUP(D107,GRITable,2))</f>
        <v>#VALUE!</v>
      </c>
      <c r="AR107" s="370" t="e">
        <f aca="false">VLOOKUP($AG107,$AL$4:$AS$15,4)</f>
        <v>#VALUE!</v>
      </c>
      <c r="AS107" s="369" t="e">
        <f aca="false">(AL107+AM107+AN107)</f>
        <v>#VALUE!</v>
      </c>
      <c r="AT107" s="370" t="e">
        <f aca="false">VLOOKUP(D107,CurveTbl,$AK$6)</f>
        <v>#VALUE!</v>
      </c>
      <c r="AU107" s="370" t="e">
        <f aca="false">(1+$AT107/2)^(-2*($D107-$G$5)/365.25)*$AF107</f>
        <v>#VALUE!</v>
      </c>
      <c r="AV107" s="506" t="e">
        <f aca="false">ROUND((F107/(1-AR107))-F107,0)*AF107*AH107*AU107</f>
        <v>#VALUE!</v>
      </c>
      <c r="AW107" s="370" t="e">
        <f aca="false">VLOOKUP($D107,CurveTbl,$AK$8)</f>
        <v>#VALUE!</v>
      </c>
      <c r="AX107" s="370" t="e">
        <f aca="false">VLOOKUP($D107,CurveTbl,$AH$7)</f>
        <v>#VALUE!</v>
      </c>
      <c r="AY107" s="370" t="e">
        <f aca="false">VLOOKUP($D107,CurveTbl,$AH$8)</f>
        <v>#VALUE!</v>
      </c>
      <c r="AZ107" s="370"/>
      <c r="BA107" s="507"/>
      <c r="BB107" s="505" t="e">
        <f aca="false">$H107-$BV107</f>
        <v>#VALUE!</v>
      </c>
      <c r="BC107" s="505" t="e">
        <f aca="false">I107-BW107</f>
        <v>#VALUE!</v>
      </c>
      <c r="BD107" s="370" t="e">
        <f aca="false">N107-BX107</f>
        <v>#VALUE!</v>
      </c>
      <c r="BE107" s="370" t="e">
        <f aca="false">O107-BY107</f>
        <v>#VALUE!</v>
      </c>
      <c r="BF107" s="370" t="e">
        <f aca="false">xSPRDOPT($BW107,$BV107,$CG107,0,$BY107,$BX107,$BZ107,$AJ107,1,4)*$CB107</f>
        <v>#NAME?</v>
      </c>
      <c r="BG107" s="370" t="e">
        <f aca="false">xSPRDOPT($BW107,$BV107,$CG107,0,$BY107,$BX107,$BZ107,$AJ107,1,3)*$CB107</f>
        <v>#NAME?</v>
      </c>
      <c r="BH107" s="370" t="e">
        <f aca="false">IF(OR(BF107&lt;&gt;0,BG107&lt;&gt;0),xSPRDOPT($BW107,$BV107,$CG107,0,$BY107,$BX107,$BZ107,$AJ107,1,12)*$CB107,0)</f>
        <v>#NAME?</v>
      </c>
      <c r="BI107" s="370" t="e">
        <f aca="false">xSPRDOPT($BW107,$BV107,$CG107,2*LN(1+CA107/2),$BY107,$BX107,$BZ107,$AJ107,1,9)</f>
        <v>#NAME?</v>
      </c>
      <c r="BJ107" s="370" t="e">
        <f aca="false">xSPRDOPT($BW107,$BV107,$CG107,0,$BY107,$BX107,$BZ107,$AJ107,1,6)*$CB107</f>
        <v>#NAME?</v>
      </c>
      <c r="BK107" s="370" t="e">
        <f aca="false">xSPRDOPT($BW107,$BV107,$CG107,0,$BY107,$BX107,$BZ107,$AJ107,1,5)*$CB107</f>
        <v>#NAME?</v>
      </c>
      <c r="BL107" s="370" t="e">
        <f aca="false">xSPRDOPT(BW107,BV107,CG107,0,BY107,BX107,BZ107,AJ107,1,2)*CB107</f>
        <v>#NAME?</v>
      </c>
      <c r="BM107" s="370" t="e">
        <f aca="false">xSPRDOPT(BW107,BV107,CG107,0,BY107,BX107,BZ107,AJ107,1,1)*CB107</f>
        <v>#NAME?</v>
      </c>
      <c r="BN107" s="370" t="e">
        <f aca="false">IF(AH107&lt;&gt;0,xSPRDOPT($BW107,$BV107,$CG107,2*LN(1+CA107/2),$BY107,$BX107,$BZ107,$AJ107,1,8)+(AJ107/365.25)*CH107/AH107,0)</f>
        <v>#VALUE!</v>
      </c>
      <c r="BO107" s="370" t="e">
        <f aca="false">xSPRDOPT($BW107,$BV107,$CG107,0,$BY107,$BX107,$BZ107,$AJ107,1,0)</f>
        <v>#NAME?</v>
      </c>
      <c r="BP107" s="370"/>
      <c r="BQ107" s="370"/>
      <c r="BR107" s="370"/>
      <c r="BS107" s="370"/>
      <c r="BV107" s="508" t="n">
        <v>3.44578313253012</v>
      </c>
      <c r="BW107" s="369" t="n">
        <v>3.467</v>
      </c>
      <c r="BX107" s="370" t="n">
        <v>0.37</v>
      </c>
      <c r="BY107" s="370" t="n">
        <v>0.37</v>
      </c>
      <c r="BZ107" s="370" t="n">
        <v>0</v>
      </c>
      <c r="CA107" s="370" t="n">
        <v>0.0348361539671314</v>
      </c>
      <c r="CB107" s="370" t="n">
        <v>0</v>
      </c>
      <c r="CC107" s="505" t="n">
        <v>0</v>
      </c>
      <c r="CD107" s="505" t="n">
        <v>0.03</v>
      </c>
      <c r="CE107" s="505" t="n">
        <v>0.065</v>
      </c>
      <c r="CF107" s="505" t="n">
        <v>0</v>
      </c>
      <c r="CG107" s="505" t="n">
        <v>0.0006</v>
      </c>
      <c r="CH107" s="505" t="n">
        <v>0</v>
      </c>
      <c r="CI107" s="505" t="n">
        <v>3.402</v>
      </c>
      <c r="CJ107" s="505"/>
      <c r="CK107" s="505"/>
      <c r="CL107" s="505"/>
      <c r="CM107" s="505"/>
    </row>
    <row r="108" customFormat="false" ht="12.75" hidden="false" customHeight="false" outlineLevel="0" collapsed="false">
      <c r="A108" s="500"/>
      <c r="B108" s="500"/>
      <c r="D108" s="361" t="e">
        <f aca="false">D107+AH107</f>
        <v>#VALUE!</v>
      </c>
      <c r="F108" s="362" t="e">
        <f aca="false">VLOOKUP(AG108,$AL$4:$AS$15,2)</f>
        <v>#VALUE!</v>
      </c>
      <c r="G108" s="362" t="e">
        <f aca="false">F108*$AU108</f>
        <v>#VALUE!</v>
      </c>
      <c r="H108" s="363" t="e">
        <f aca="false">(AL108+AM108+AN108)/(1-(AR108))</f>
        <v>#VALUE!</v>
      </c>
      <c r="I108" s="363" t="e">
        <f aca="false">(AL108+AO108+AP108)</f>
        <v>#VALUE!</v>
      </c>
      <c r="K108" s="363" t="e">
        <f aca="false">MAX(((I108-H108)-AQ108)*AU108*AH108,0)</f>
        <v>#VALUE!</v>
      </c>
      <c r="L108" s="501" t="e">
        <f aca="false">MAX(Q108-K108,0)</f>
        <v>#VALUE!</v>
      </c>
      <c r="N108" s="502" t="e">
        <f aca="false">SQRT(($AX108^2*($AH108/2)+$AW108^2*$AI108)/(($AH108/2)+$AI108))</f>
        <v>#VALUE!</v>
      </c>
      <c r="O108" s="502" t="e">
        <f aca="false">SQRT(($AY108^2*($AH108/2)+$AW108^2*$AI108)/(($AH108/2)+$AI108))</f>
        <v>#VALUE!</v>
      </c>
      <c r="P108" s="371" t="e">
        <f aca="false">(VLOOKUP(AI108,CorrelationTwo,2)*(AW108^2)*AI108+VLOOKUP(D108,CorrelationOne,$AK$9)*AX108*AY108*(AH108/2))/((AI108+(AH108/2))*O108*N108)*AF108</f>
        <v>#VALUE!</v>
      </c>
      <c r="Q108" s="501" t="e">
        <f aca="false">xSPRDOPT(I108,H108,AQ108,0,O108,N108,P108,D108-$G$5,1,0)*AH108*AU108</f>
        <v>#VALUE!</v>
      </c>
      <c r="R108" s="501"/>
      <c r="S108" s="365" t="e">
        <f aca="false">xSPRDOPT(I108,H108,AQ108,AT108,O108,N108,P108,D108-$G$5,1,2)*AF108*(F108/(1-AR108))*AH108</f>
        <v>#VALUE!</v>
      </c>
      <c r="T108" s="365" t="e">
        <f aca="false">xSPRDOPT(I108,H108,AQ108,AT108,O108,N108,P108,D108-$G$5,1,1)*AF108*F108*AH108</f>
        <v>#VALUE!</v>
      </c>
      <c r="U108" s="501"/>
      <c r="V108" s="503" t="e">
        <f aca="false">VLOOKUP($AG108,$AL$4:$AS$15,8)*AH108*AU108</f>
        <v>#VALUE!</v>
      </c>
      <c r="W108" s="503"/>
      <c r="X108" s="504" t="e">
        <f aca="false">((BM108*BC108)+(BL108*BB108))*AH108*F108</f>
        <v>#VALUE!</v>
      </c>
      <c r="Y108" s="504" t="e">
        <f aca="false">($F108*$AH108)*((($BG108/2)*($BC108)^2)+(($BF108/2)*($BB108)^2)+($BH108*$BC108*$BB108))</f>
        <v>#VALUE!</v>
      </c>
      <c r="Z108" s="504" t="e">
        <f aca="false">($BI108*$F108*$AH108*($G$5-$BV$5))/365.25</f>
        <v>#VALUE!</v>
      </c>
      <c r="AA108" s="504" t="e">
        <f aca="false">(($BK108*$BE108)+($BJ108*$BD108))*$F108*$AH108*$AF108</f>
        <v>#VALUE!</v>
      </c>
      <c r="AB108" s="504" t="e">
        <f aca="false">BN108*(AT108-CA108)*F108*AH108</f>
        <v>#VALUE!</v>
      </c>
      <c r="AC108" s="504" t="e">
        <f aca="false">BO108*CB108*F108*AH108*CA108*($G$5-$BV$5)/365.25</f>
        <v>#NAME?</v>
      </c>
      <c r="AF108" s="378" t="e">
        <f aca="false">IF(AND(D108&gt;=$G$7,D108&lt;=$G$8),1,0)</f>
        <v>#VALUE!</v>
      </c>
      <c r="AG108" s="378" t="e">
        <f aca="false">MONTH(D108)</f>
        <v>#VALUE!</v>
      </c>
      <c r="AH108" s="378" t="e">
        <f aca="false">(EOMONTH(D108,0)-EOMONTH(D108-DAY(D108),0))*AF108</f>
        <v>#VALUE!</v>
      </c>
      <c r="AI108" s="378" t="e">
        <f aca="false">AI107+AH107</f>
        <v>#VALUE!</v>
      </c>
      <c r="AJ108" s="378" t="e">
        <f aca="false">D108-$BV$5</f>
        <v>#VALUE!</v>
      </c>
      <c r="AL108" s="369" t="e">
        <f aca="false">VLOOKUP($D108,CurveTbl,$AK$4)</f>
        <v>#VALUE!</v>
      </c>
      <c r="AM108" s="505" t="e">
        <f aca="false">VLOOKUP($D108,CurveTbl,$AH$3)</f>
        <v>#VALUE!</v>
      </c>
      <c r="AN108" s="505" t="e">
        <f aca="false">VLOOKUP($D108,CurveTbl,$AH$4)+VLOOKUP($AG108,$AL$3:$AS$15,6)</f>
        <v>#VALUE!</v>
      </c>
      <c r="AO108" s="505" t="e">
        <f aca="false">VLOOKUP($D108,CurveTbl,$AH$5)</f>
        <v>#VALUE!</v>
      </c>
      <c r="AP108" s="505" t="e">
        <f aca="false">VLOOKUP($D108,CurveTbl,$AH$6)+VLOOKUP($AG108,$AL$3:$AS$15,7)</f>
        <v>#VALUE!</v>
      </c>
      <c r="AQ108" s="369" t="e">
        <f aca="false">VLOOKUP($AG108,$AL$4:$AS$15,3)+VLOOKUP($AG108,$AL$4:$AS$15,5)+($AH$10*VLOOKUP(D108,GRITable,2))</f>
        <v>#VALUE!</v>
      </c>
      <c r="AR108" s="370" t="e">
        <f aca="false">VLOOKUP($AG108,$AL$4:$AS$15,4)</f>
        <v>#VALUE!</v>
      </c>
      <c r="AS108" s="369" t="e">
        <f aca="false">(AL108+AM108+AN108)</f>
        <v>#VALUE!</v>
      </c>
      <c r="AT108" s="370" t="e">
        <f aca="false">VLOOKUP(D108,CurveTbl,$AK$6)</f>
        <v>#VALUE!</v>
      </c>
      <c r="AU108" s="370" t="e">
        <f aca="false">(1+$AT108/2)^(-2*($D108-$G$5)/365.25)*$AF108</f>
        <v>#VALUE!</v>
      </c>
      <c r="AV108" s="506" t="e">
        <f aca="false">ROUND((F108/(1-AR108))-F108,0)*AF108*AH108*AU108</f>
        <v>#VALUE!</v>
      </c>
      <c r="AW108" s="370" t="e">
        <f aca="false">VLOOKUP($D108,CurveTbl,$AK$8)</f>
        <v>#VALUE!</v>
      </c>
      <c r="AX108" s="370" t="e">
        <f aca="false">VLOOKUP($D108,CurveTbl,$AH$7)</f>
        <v>#VALUE!</v>
      </c>
      <c r="AY108" s="370" t="e">
        <f aca="false">VLOOKUP($D108,CurveTbl,$AH$8)</f>
        <v>#VALUE!</v>
      </c>
      <c r="AZ108" s="370"/>
      <c r="BA108" s="507"/>
      <c r="BB108" s="505" t="e">
        <f aca="false">$H108-$BV108</f>
        <v>#VALUE!</v>
      </c>
      <c r="BC108" s="505" t="e">
        <f aca="false">I108-BW108</f>
        <v>#VALUE!</v>
      </c>
      <c r="BD108" s="370" t="e">
        <f aca="false">N108-BX108</f>
        <v>#VALUE!</v>
      </c>
      <c r="BE108" s="370" t="e">
        <f aca="false">O108-BY108</f>
        <v>#VALUE!</v>
      </c>
      <c r="BF108" s="370" t="e">
        <f aca="false">xSPRDOPT($BW108,$BV108,$CG108,0,$BY108,$BX108,$BZ108,$AJ108,1,4)*$CB108</f>
        <v>#NAME?</v>
      </c>
      <c r="BG108" s="370" t="e">
        <f aca="false">xSPRDOPT($BW108,$BV108,$CG108,0,$BY108,$BX108,$BZ108,$AJ108,1,3)*$CB108</f>
        <v>#NAME?</v>
      </c>
      <c r="BH108" s="370" t="e">
        <f aca="false">IF(OR(BF108&lt;&gt;0,BG108&lt;&gt;0),xSPRDOPT($BW108,$BV108,$CG108,0,$BY108,$BX108,$BZ108,$AJ108,1,12)*$CB108,0)</f>
        <v>#NAME?</v>
      </c>
      <c r="BI108" s="370" t="e">
        <f aca="false">xSPRDOPT($BW108,$BV108,$CG108,2*LN(1+CA108/2),$BY108,$BX108,$BZ108,$AJ108,1,9)</f>
        <v>#NAME?</v>
      </c>
      <c r="BJ108" s="370" t="e">
        <f aca="false">xSPRDOPT($BW108,$BV108,$CG108,0,$BY108,$BX108,$BZ108,$AJ108,1,6)*$CB108</f>
        <v>#NAME?</v>
      </c>
      <c r="BK108" s="370" t="e">
        <f aca="false">xSPRDOPT($BW108,$BV108,$CG108,0,$BY108,$BX108,$BZ108,$AJ108,1,5)*$CB108</f>
        <v>#NAME?</v>
      </c>
      <c r="BL108" s="370" t="e">
        <f aca="false">xSPRDOPT(BW108,BV108,CG108,0,BY108,BX108,BZ108,AJ108,1,2)*CB108</f>
        <v>#NAME?</v>
      </c>
      <c r="BM108" s="370" t="e">
        <f aca="false">xSPRDOPT(BW108,BV108,CG108,0,BY108,BX108,BZ108,AJ108,1,1)*CB108</f>
        <v>#NAME?</v>
      </c>
      <c r="BN108" s="370" t="e">
        <f aca="false">IF(AH108&lt;&gt;0,xSPRDOPT($BW108,$BV108,$CG108,2*LN(1+CA108/2),$BY108,$BX108,$BZ108,$AJ108,1,8)+(AJ108/365.25)*CH108/AH108,0)</f>
        <v>#VALUE!</v>
      </c>
      <c r="BO108" s="370" t="e">
        <f aca="false">xSPRDOPT($BW108,$BV108,$CG108,0,$BY108,$BX108,$BZ108,$AJ108,1,0)</f>
        <v>#NAME?</v>
      </c>
      <c r="BP108" s="370"/>
      <c r="BQ108" s="370"/>
      <c r="BR108" s="370"/>
      <c r="BS108" s="370"/>
      <c r="BV108" s="508" t="n">
        <v>3.44578313253012</v>
      </c>
      <c r="BW108" s="369" t="n">
        <v>3.467</v>
      </c>
      <c r="BX108" s="370" t="n">
        <v>0.37</v>
      </c>
      <c r="BY108" s="370" t="n">
        <v>0.37</v>
      </c>
      <c r="BZ108" s="370" t="n">
        <v>0</v>
      </c>
      <c r="CA108" s="370" t="n">
        <v>0.0348361539671314</v>
      </c>
      <c r="CB108" s="370" t="n">
        <v>0</v>
      </c>
      <c r="CC108" s="505" t="n">
        <v>0</v>
      </c>
      <c r="CD108" s="505" t="n">
        <v>0.03</v>
      </c>
      <c r="CE108" s="505" t="n">
        <v>0.065</v>
      </c>
      <c r="CF108" s="505" t="n">
        <v>0</v>
      </c>
      <c r="CG108" s="505" t="n">
        <v>0.0006</v>
      </c>
      <c r="CH108" s="505" t="n">
        <v>0</v>
      </c>
      <c r="CI108" s="505" t="n">
        <v>3.402</v>
      </c>
      <c r="CJ108" s="505"/>
      <c r="CK108" s="505"/>
      <c r="CL108" s="505"/>
      <c r="CM108" s="505"/>
    </row>
    <row r="109" customFormat="false" ht="12.75" hidden="false" customHeight="false" outlineLevel="0" collapsed="false">
      <c r="A109" s="500"/>
      <c r="B109" s="500"/>
      <c r="D109" s="361" t="e">
        <f aca="false">D108+AH108</f>
        <v>#VALUE!</v>
      </c>
      <c r="F109" s="362" t="e">
        <f aca="false">VLOOKUP(AG109,$AL$4:$AS$15,2)</f>
        <v>#VALUE!</v>
      </c>
      <c r="G109" s="362" t="e">
        <f aca="false">F109*$AU109</f>
        <v>#VALUE!</v>
      </c>
      <c r="H109" s="363" t="e">
        <f aca="false">(AL109+AM109+AN109)/(1-(AR109))</f>
        <v>#VALUE!</v>
      </c>
      <c r="I109" s="363" t="e">
        <f aca="false">(AL109+AO109+AP109)</f>
        <v>#VALUE!</v>
      </c>
      <c r="K109" s="363" t="e">
        <f aca="false">MAX(((I109-H109)-AQ109)*AU109*AH109,0)</f>
        <v>#VALUE!</v>
      </c>
      <c r="L109" s="501" t="e">
        <f aca="false">MAX(Q109-K109,0)</f>
        <v>#VALUE!</v>
      </c>
      <c r="N109" s="502" t="e">
        <f aca="false">SQRT(($AX109^2*($AH109/2)+$AW109^2*$AI109)/(($AH109/2)+$AI109))</f>
        <v>#VALUE!</v>
      </c>
      <c r="O109" s="502" t="e">
        <f aca="false">SQRT(($AY109^2*($AH109/2)+$AW109^2*$AI109)/(($AH109/2)+$AI109))</f>
        <v>#VALUE!</v>
      </c>
      <c r="P109" s="371" t="e">
        <f aca="false">(VLOOKUP(AI109,CorrelationTwo,2)*(AW109^2)*AI109+VLOOKUP(D109,CorrelationOne,$AK$9)*AX109*AY109*(AH109/2))/((AI109+(AH109/2))*O109*N109)*AF109</f>
        <v>#VALUE!</v>
      </c>
      <c r="Q109" s="501" t="e">
        <f aca="false">xSPRDOPT(I109,H109,AQ109,0,O109,N109,P109,D109-$G$5,1,0)*AH109*AU109</f>
        <v>#VALUE!</v>
      </c>
      <c r="R109" s="501"/>
      <c r="S109" s="365" t="e">
        <f aca="false">xSPRDOPT(I109,H109,AQ109,AT109,O109,N109,P109,D109-$G$5,1,2)*AF109*(F109/(1-AR109))*AH109</f>
        <v>#VALUE!</v>
      </c>
      <c r="T109" s="365" t="e">
        <f aca="false">xSPRDOPT(I109,H109,AQ109,AT109,O109,N109,P109,D109-$G$5,1,1)*AF109*F109*AH109</f>
        <v>#VALUE!</v>
      </c>
      <c r="U109" s="501"/>
      <c r="V109" s="503" t="e">
        <f aca="false">VLOOKUP($AG109,$AL$4:$AS$15,8)*AH109*AU109</f>
        <v>#VALUE!</v>
      </c>
      <c r="W109" s="503"/>
      <c r="X109" s="504" t="e">
        <f aca="false">((BM109*BC109)+(BL109*BB109))*AH109*F109</f>
        <v>#VALUE!</v>
      </c>
      <c r="Y109" s="504" t="e">
        <f aca="false">($F109*$AH109)*((($BG109/2)*($BC109)^2)+(($BF109/2)*($BB109)^2)+($BH109*$BC109*$BB109))</f>
        <v>#VALUE!</v>
      </c>
      <c r="Z109" s="504" t="e">
        <f aca="false">($BI109*$F109*$AH109*($G$5-$BV$5))/365.25</f>
        <v>#VALUE!</v>
      </c>
      <c r="AA109" s="504" t="e">
        <f aca="false">(($BK109*$BE109)+($BJ109*$BD109))*$F109*$AH109*$AF109</f>
        <v>#VALUE!</v>
      </c>
      <c r="AB109" s="504" t="e">
        <f aca="false">BN109*(AT109-CA109)*F109*AH109</f>
        <v>#VALUE!</v>
      </c>
      <c r="AC109" s="504" t="e">
        <f aca="false">BO109*CB109*F109*AH109*CA109*($G$5-$BV$5)/365.25</f>
        <v>#NAME?</v>
      </c>
      <c r="AF109" s="378" t="e">
        <f aca="false">IF(AND(D109&gt;=$G$7,D109&lt;=$G$8),1,0)</f>
        <v>#VALUE!</v>
      </c>
      <c r="AG109" s="378" t="e">
        <f aca="false">MONTH(D109)</f>
        <v>#VALUE!</v>
      </c>
      <c r="AH109" s="378" t="e">
        <f aca="false">(EOMONTH(D109,0)-EOMONTH(D109-DAY(D109),0))*AF109</f>
        <v>#VALUE!</v>
      </c>
      <c r="AI109" s="378" t="e">
        <f aca="false">AI108+AH108</f>
        <v>#VALUE!</v>
      </c>
      <c r="AJ109" s="378" t="e">
        <f aca="false">D109-$BV$5</f>
        <v>#VALUE!</v>
      </c>
      <c r="AL109" s="369" t="e">
        <f aca="false">VLOOKUP($D109,CurveTbl,$AK$4)</f>
        <v>#VALUE!</v>
      </c>
      <c r="AM109" s="505" t="e">
        <f aca="false">VLOOKUP($D109,CurveTbl,$AH$3)</f>
        <v>#VALUE!</v>
      </c>
      <c r="AN109" s="505" t="e">
        <f aca="false">VLOOKUP($D109,CurveTbl,$AH$4)+VLOOKUP($AG109,$AL$3:$AS$15,6)</f>
        <v>#VALUE!</v>
      </c>
      <c r="AO109" s="505" t="e">
        <f aca="false">VLOOKUP($D109,CurveTbl,$AH$5)</f>
        <v>#VALUE!</v>
      </c>
      <c r="AP109" s="505" t="e">
        <f aca="false">VLOOKUP($D109,CurveTbl,$AH$6)+VLOOKUP($AG109,$AL$3:$AS$15,7)</f>
        <v>#VALUE!</v>
      </c>
      <c r="AQ109" s="369" t="e">
        <f aca="false">VLOOKUP($AG109,$AL$4:$AS$15,3)+VLOOKUP($AG109,$AL$4:$AS$15,5)+($AH$10*VLOOKUP(D109,GRITable,2))</f>
        <v>#VALUE!</v>
      </c>
      <c r="AR109" s="370" t="e">
        <f aca="false">VLOOKUP($AG109,$AL$4:$AS$15,4)</f>
        <v>#VALUE!</v>
      </c>
      <c r="AS109" s="369" t="e">
        <f aca="false">(AL109+AM109+AN109)</f>
        <v>#VALUE!</v>
      </c>
      <c r="AT109" s="370" t="e">
        <f aca="false">VLOOKUP(D109,CurveTbl,$AK$6)</f>
        <v>#VALUE!</v>
      </c>
      <c r="AU109" s="370" t="e">
        <f aca="false">(1+$AT109/2)^(-2*($D109-$G$5)/365.25)*$AF109</f>
        <v>#VALUE!</v>
      </c>
      <c r="AV109" s="506" t="e">
        <f aca="false">ROUND((F109/(1-AR109))-F109,0)*AF109*AH109*AU109</f>
        <v>#VALUE!</v>
      </c>
      <c r="AW109" s="370" t="e">
        <f aca="false">VLOOKUP($D109,CurveTbl,$AK$8)</f>
        <v>#VALUE!</v>
      </c>
      <c r="AX109" s="370" t="e">
        <f aca="false">VLOOKUP($D109,CurveTbl,$AH$7)</f>
        <v>#VALUE!</v>
      </c>
      <c r="AY109" s="370" t="e">
        <f aca="false">VLOOKUP($D109,CurveTbl,$AH$8)</f>
        <v>#VALUE!</v>
      </c>
      <c r="AZ109" s="370"/>
      <c r="BA109" s="507"/>
      <c r="BB109" s="505" t="e">
        <f aca="false">$H109-$BV109</f>
        <v>#VALUE!</v>
      </c>
      <c r="BC109" s="505" t="e">
        <f aca="false">I109-BW109</f>
        <v>#VALUE!</v>
      </c>
      <c r="BD109" s="370" t="e">
        <f aca="false">N109-BX109</f>
        <v>#VALUE!</v>
      </c>
      <c r="BE109" s="370" t="e">
        <f aca="false">O109-BY109</f>
        <v>#VALUE!</v>
      </c>
      <c r="BF109" s="370" t="e">
        <f aca="false">xSPRDOPT($BW109,$BV109,$CG109,0,$BY109,$BX109,$BZ109,$AJ109,1,4)*$CB109</f>
        <v>#NAME?</v>
      </c>
      <c r="BG109" s="370" t="e">
        <f aca="false">xSPRDOPT($BW109,$BV109,$CG109,0,$BY109,$BX109,$BZ109,$AJ109,1,3)*$CB109</f>
        <v>#NAME?</v>
      </c>
      <c r="BH109" s="370" t="e">
        <f aca="false">IF(OR(BF109&lt;&gt;0,BG109&lt;&gt;0),xSPRDOPT($BW109,$BV109,$CG109,0,$BY109,$BX109,$BZ109,$AJ109,1,12)*$CB109,0)</f>
        <v>#NAME?</v>
      </c>
      <c r="BI109" s="370" t="e">
        <f aca="false">xSPRDOPT($BW109,$BV109,$CG109,2*LN(1+CA109/2),$BY109,$BX109,$BZ109,$AJ109,1,9)</f>
        <v>#NAME?</v>
      </c>
      <c r="BJ109" s="370" t="e">
        <f aca="false">xSPRDOPT($BW109,$BV109,$CG109,0,$BY109,$BX109,$BZ109,$AJ109,1,6)*$CB109</f>
        <v>#NAME?</v>
      </c>
      <c r="BK109" s="370" t="e">
        <f aca="false">xSPRDOPT($BW109,$BV109,$CG109,0,$BY109,$BX109,$BZ109,$AJ109,1,5)*$CB109</f>
        <v>#NAME?</v>
      </c>
      <c r="BL109" s="370" t="e">
        <f aca="false">xSPRDOPT(BW109,BV109,CG109,0,BY109,BX109,BZ109,AJ109,1,2)*CB109</f>
        <v>#NAME?</v>
      </c>
      <c r="BM109" s="370" t="e">
        <f aca="false">xSPRDOPT(BW109,BV109,CG109,0,BY109,BX109,BZ109,AJ109,1,1)*CB109</f>
        <v>#NAME?</v>
      </c>
      <c r="BN109" s="370" t="e">
        <f aca="false">IF(AH109&lt;&gt;0,xSPRDOPT($BW109,$BV109,$CG109,2*LN(1+CA109/2),$BY109,$BX109,$BZ109,$AJ109,1,8)+(AJ109/365.25)*CH109/AH109,0)</f>
        <v>#VALUE!</v>
      </c>
      <c r="BO109" s="370" t="e">
        <f aca="false">xSPRDOPT($BW109,$BV109,$CG109,0,$BY109,$BX109,$BZ109,$AJ109,1,0)</f>
        <v>#NAME?</v>
      </c>
      <c r="BP109" s="370"/>
      <c r="BQ109" s="370"/>
      <c r="BR109" s="370"/>
      <c r="BS109" s="370"/>
      <c r="BV109" s="508" t="n">
        <v>3.44578313253012</v>
      </c>
      <c r="BW109" s="369" t="n">
        <v>3.467</v>
      </c>
      <c r="BX109" s="370" t="n">
        <v>0.37</v>
      </c>
      <c r="BY109" s="370" t="n">
        <v>0.37</v>
      </c>
      <c r="BZ109" s="370" t="n">
        <v>0</v>
      </c>
      <c r="CA109" s="370" t="n">
        <v>0.0348361539671314</v>
      </c>
      <c r="CB109" s="370" t="n">
        <v>0</v>
      </c>
      <c r="CC109" s="505" t="n">
        <v>0</v>
      </c>
      <c r="CD109" s="505" t="n">
        <v>0.03</v>
      </c>
      <c r="CE109" s="505" t="n">
        <v>0.065</v>
      </c>
      <c r="CF109" s="505" t="n">
        <v>0</v>
      </c>
      <c r="CG109" s="505" t="n">
        <v>0.0006</v>
      </c>
      <c r="CH109" s="505" t="n">
        <v>0</v>
      </c>
      <c r="CI109" s="505" t="n">
        <v>3.402</v>
      </c>
      <c r="CJ109" s="505"/>
      <c r="CK109" s="505"/>
      <c r="CL109" s="505"/>
      <c r="CM109" s="505"/>
    </row>
    <row r="110" customFormat="false" ht="12.75" hidden="false" customHeight="false" outlineLevel="0" collapsed="false">
      <c r="A110" s="500"/>
      <c r="B110" s="500"/>
      <c r="D110" s="361" t="e">
        <f aca="false">D109+AH109</f>
        <v>#VALUE!</v>
      </c>
      <c r="F110" s="362" t="e">
        <f aca="false">VLOOKUP(AG110,$AL$4:$AS$15,2)</f>
        <v>#VALUE!</v>
      </c>
      <c r="G110" s="362" t="e">
        <f aca="false">F110*$AU110</f>
        <v>#VALUE!</v>
      </c>
      <c r="H110" s="363" t="e">
        <f aca="false">(AL110+AM110+AN110)/(1-(AR110))</f>
        <v>#VALUE!</v>
      </c>
      <c r="I110" s="363" t="e">
        <f aca="false">(AL110+AO110+AP110)</f>
        <v>#VALUE!</v>
      </c>
      <c r="K110" s="363" t="e">
        <f aca="false">MAX(((I110-H110)-AQ110)*AU110*AH110,0)</f>
        <v>#VALUE!</v>
      </c>
      <c r="L110" s="501" t="e">
        <f aca="false">MAX(Q110-K110,0)</f>
        <v>#VALUE!</v>
      </c>
      <c r="N110" s="502" t="e">
        <f aca="false">SQRT(($AX110^2*($AH110/2)+$AW110^2*$AI110)/(($AH110/2)+$AI110))</f>
        <v>#VALUE!</v>
      </c>
      <c r="O110" s="502" t="e">
        <f aca="false">SQRT(($AY110^2*($AH110/2)+$AW110^2*$AI110)/(($AH110/2)+$AI110))</f>
        <v>#VALUE!</v>
      </c>
      <c r="P110" s="371" t="e">
        <f aca="false">(VLOOKUP(AI110,CorrelationTwo,2)*(AW110^2)*AI110+VLOOKUP(D110,CorrelationOne,$AK$9)*AX110*AY110*(AH110/2))/((AI110+(AH110/2))*O110*N110)*AF110</f>
        <v>#VALUE!</v>
      </c>
      <c r="Q110" s="501" t="e">
        <f aca="false">xSPRDOPT(I110,H110,AQ110,0,O110,N110,P110,D110-$G$5,1,0)*AH110*AU110</f>
        <v>#VALUE!</v>
      </c>
      <c r="R110" s="501"/>
      <c r="S110" s="365" t="e">
        <f aca="false">xSPRDOPT(I110,H110,AQ110,AT110,O110,N110,P110,D110-$G$5,1,2)*AF110*(F110/(1-AR110))*AH110</f>
        <v>#VALUE!</v>
      </c>
      <c r="T110" s="365" t="e">
        <f aca="false">xSPRDOPT(I110,H110,AQ110,AT110,O110,N110,P110,D110-$G$5,1,1)*AF110*F110*AH110</f>
        <v>#VALUE!</v>
      </c>
      <c r="U110" s="501"/>
      <c r="V110" s="503" t="e">
        <f aca="false">VLOOKUP($AG110,$AL$4:$AS$15,8)*AH110*AU110</f>
        <v>#VALUE!</v>
      </c>
      <c r="W110" s="503"/>
      <c r="X110" s="504" t="e">
        <f aca="false">((BM110*BC110)+(BL110*BB110))*AH110*F110</f>
        <v>#VALUE!</v>
      </c>
      <c r="Y110" s="504" t="e">
        <f aca="false">($F110*$AH110)*((($BG110/2)*($BC110)^2)+(($BF110/2)*($BB110)^2)+($BH110*$BC110*$BB110))</f>
        <v>#VALUE!</v>
      </c>
      <c r="Z110" s="504" t="e">
        <f aca="false">($BI110*$F110*$AH110*($G$5-$BV$5))/365.25</f>
        <v>#VALUE!</v>
      </c>
      <c r="AA110" s="504" t="e">
        <f aca="false">(($BK110*$BE110)+($BJ110*$BD110))*$F110*$AH110*$AF110</f>
        <v>#VALUE!</v>
      </c>
      <c r="AB110" s="504" t="e">
        <f aca="false">BN110*(AT110-CA110)*F110*AH110</f>
        <v>#VALUE!</v>
      </c>
      <c r="AC110" s="504" t="e">
        <f aca="false">BO110*CB110*F110*AH110*CA110*($G$5-$BV$5)/365.25</f>
        <v>#NAME?</v>
      </c>
      <c r="AF110" s="378" t="e">
        <f aca="false">IF(AND(D110&gt;=$G$7,D110&lt;=$G$8),1,0)</f>
        <v>#VALUE!</v>
      </c>
      <c r="AG110" s="378" t="e">
        <f aca="false">MONTH(D110)</f>
        <v>#VALUE!</v>
      </c>
      <c r="AH110" s="378" t="e">
        <f aca="false">(EOMONTH(D110,0)-EOMONTH(D110-DAY(D110),0))*AF110</f>
        <v>#VALUE!</v>
      </c>
      <c r="AI110" s="378" t="e">
        <f aca="false">AI109+AH109</f>
        <v>#VALUE!</v>
      </c>
      <c r="AJ110" s="378" t="e">
        <f aca="false">D110-$BV$5</f>
        <v>#VALUE!</v>
      </c>
      <c r="AL110" s="369" t="e">
        <f aca="false">VLOOKUP($D110,CurveTbl,$AK$4)</f>
        <v>#VALUE!</v>
      </c>
      <c r="AM110" s="505" t="e">
        <f aca="false">VLOOKUP($D110,CurveTbl,$AH$3)</f>
        <v>#VALUE!</v>
      </c>
      <c r="AN110" s="505" t="e">
        <f aca="false">VLOOKUP($D110,CurveTbl,$AH$4)+VLOOKUP($AG110,$AL$3:$AS$15,6)</f>
        <v>#VALUE!</v>
      </c>
      <c r="AO110" s="505" t="e">
        <f aca="false">VLOOKUP($D110,CurveTbl,$AH$5)</f>
        <v>#VALUE!</v>
      </c>
      <c r="AP110" s="505" t="e">
        <f aca="false">VLOOKUP($D110,CurveTbl,$AH$6)+VLOOKUP($AG110,$AL$3:$AS$15,7)</f>
        <v>#VALUE!</v>
      </c>
      <c r="AQ110" s="369" t="e">
        <f aca="false">VLOOKUP($AG110,$AL$4:$AS$15,3)+VLOOKUP($AG110,$AL$4:$AS$15,5)+($AH$10*VLOOKUP(D110,GRITable,2))</f>
        <v>#VALUE!</v>
      </c>
      <c r="AR110" s="370" t="e">
        <f aca="false">VLOOKUP($AG110,$AL$4:$AS$15,4)</f>
        <v>#VALUE!</v>
      </c>
      <c r="AS110" s="369" t="e">
        <f aca="false">(AL110+AM110+AN110)</f>
        <v>#VALUE!</v>
      </c>
      <c r="AT110" s="370" t="e">
        <f aca="false">VLOOKUP(D110,CurveTbl,$AK$6)</f>
        <v>#VALUE!</v>
      </c>
      <c r="AU110" s="370" t="e">
        <f aca="false">(1+$AT110/2)^(-2*($D110-$G$5)/365.25)*$AF110</f>
        <v>#VALUE!</v>
      </c>
      <c r="AV110" s="506" t="e">
        <f aca="false">ROUND((F110/(1-AR110))-F110,0)*AF110*AH110*AU110</f>
        <v>#VALUE!</v>
      </c>
      <c r="AW110" s="370" t="e">
        <f aca="false">VLOOKUP($D110,CurveTbl,$AK$8)</f>
        <v>#VALUE!</v>
      </c>
      <c r="AX110" s="370" t="e">
        <f aca="false">VLOOKUP($D110,CurveTbl,$AH$7)</f>
        <v>#VALUE!</v>
      </c>
      <c r="AY110" s="370" t="e">
        <f aca="false">VLOOKUP($D110,CurveTbl,$AH$8)</f>
        <v>#VALUE!</v>
      </c>
      <c r="AZ110" s="370"/>
      <c r="BA110" s="507"/>
      <c r="BB110" s="505" t="e">
        <f aca="false">$H110-$BV110</f>
        <v>#VALUE!</v>
      </c>
      <c r="BC110" s="505" t="e">
        <f aca="false">I110-BW110</f>
        <v>#VALUE!</v>
      </c>
      <c r="BD110" s="370" t="e">
        <f aca="false">N110-BX110</f>
        <v>#VALUE!</v>
      </c>
      <c r="BE110" s="370" t="e">
        <f aca="false">O110-BY110</f>
        <v>#VALUE!</v>
      </c>
      <c r="BF110" s="370" t="e">
        <f aca="false">xSPRDOPT($BW110,$BV110,$CG110,0,$BY110,$BX110,$BZ110,$AJ110,1,4)*$CB110</f>
        <v>#NAME?</v>
      </c>
      <c r="BG110" s="370" t="e">
        <f aca="false">xSPRDOPT($BW110,$BV110,$CG110,0,$BY110,$BX110,$BZ110,$AJ110,1,3)*$CB110</f>
        <v>#NAME?</v>
      </c>
      <c r="BH110" s="370" t="e">
        <f aca="false">IF(OR(BF110&lt;&gt;0,BG110&lt;&gt;0),xSPRDOPT($BW110,$BV110,$CG110,0,$BY110,$BX110,$BZ110,$AJ110,1,12)*$CB110,0)</f>
        <v>#NAME?</v>
      </c>
      <c r="BI110" s="370" t="e">
        <f aca="false">xSPRDOPT($BW110,$BV110,$CG110,2*LN(1+CA110/2),$BY110,$BX110,$BZ110,$AJ110,1,9)</f>
        <v>#NAME?</v>
      </c>
      <c r="BJ110" s="370" t="e">
        <f aca="false">xSPRDOPT($BW110,$BV110,$CG110,0,$BY110,$BX110,$BZ110,$AJ110,1,6)*$CB110</f>
        <v>#NAME?</v>
      </c>
      <c r="BK110" s="370" t="e">
        <f aca="false">xSPRDOPT($BW110,$BV110,$CG110,0,$BY110,$BX110,$BZ110,$AJ110,1,5)*$CB110</f>
        <v>#NAME?</v>
      </c>
      <c r="BL110" s="370" t="e">
        <f aca="false">xSPRDOPT(BW110,BV110,CG110,0,BY110,BX110,BZ110,AJ110,1,2)*CB110</f>
        <v>#NAME?</v>
      </c>
      <c r="BM110" s="370" t="e">
        <f aca="false">xSPRDOPT(BW110,BV110,CG110,0,BY110,BX110,BZ110,AJ110,1,1)*CB110</f>
        <v>#NAME?</v>
      </c>
      <c r="BN110" s="370" t="e">
        <f aca="false">IF(AH110&lt;&gt;0,xSPRDOPT($BW110,$BV110,$CG110,2*LN(1+CA110/2),$BY110,$BX110,$BZ110,$AJ110,1,8)+(AJ110/365.25)*CH110/AH110,0)</f>
        <v>#VALUE!</v>
      </c>
      <c r="BO110" s="370" t="e">
        <f aca="false">xSPRDOPT($BW110,$BV110,$CG110,0,$BY110,$BX110,$BZ110,$AJ110,1,0)</f>
        <v>#NAME?</v>
      </c>
      <c r="BP110" s="370"/>
      <c r="BQ110" s="370"/>
      <c r="BR110" s="370"/>
      <c r="BS110" s="370"/>
      <c r="BV110" s="508" t="n">
        <v>3.44578313253012</v>
      </c>
      <c r="BW110" s="369" t="n">
        <v>3.467</v>
      </c>
      <c r="BX110" s="370" t="n">
        <v>0.37</v>
      </c>
      <c r="BY110" s="370" t="n">
        <v>0.37</v>
      </c>
      <c r="BZ110" s="370" t="n">
        <v>0</v>
      </c>
      <c r="CA110" s="370" t="n">
        <v>0.0348361539671314</v>
      </c>
      <c r="CB110" s="370" t="n">
        <v>0</v>
      </c>
      <c r="CC110" s="505" t="n">
        <v>0</v>
      </c>
      <c r="CD110" s="505" t="n">
        <v>0.03</v>
      </c>
      <c r="CE110" s="505" t="n">
        <v>0.065</v>
      </c>
      <c r="CF110" s="505" t="n">
        <v>0</v>
      </c>
      <c r="CG110" s="505" t="n">
        <v>0.0006</v>
      </c>
      <c r="CH110" s="505" t="n">
        <v>0</v>
      </c>
      <c r="CI110" s="505" t="n">
        <v>3.402</v>
      </c>
      <c r="CJ110" s="505"/>
      <c r="CK110" s="505"/>
      <c r="CL110" s="505"/>
      <c r="CM110" s="505"/>
    </row>
    <row r="111" customFormat="false" ht="12.75" hidden="false" customHeight="false" outlineLevel="0" collapsed="false">
      <c r="A111" s="500"/>
      <c r="B111" s="500"/>
      <c r="D111" s="361" t="e">
        <f aca="false">D110+AH110</f>
        <v>#VALUE!</v>
      </c>
      <c r="F111" s="362" t="e">
        <f aca="false">VLOOKUP(AG111,$AL$4:$AS$15,2)</f>
        <v>#VALUE!</v>
      </c>
      <c r="G111" s="362" t="e">
        <f aca="false">F111*$AU111</f>
        <v>#VALUE!</v>
      </c>
      <c r="H111" s="363" t="e">
        <f aca="false">(AL111+AM111+AN111)/(1-(AR111))</f>
        <v>#VALUE!</v>
      </c>
      <c r="I111" s="363" t="e">
        <f aca="false">(AL111+AO111+AP111)</f>
        <v>#VALUE!</v>
      </c>
      <c r="K111" s="363" t="e">
        <f aca="false">MAX(((I111-H111)-AQ111)*AU111*AH111,0)</f>
        <v>#VALUE!</v>
      </c>
      <c r="L111" s="501" t="e">
        <f aca="false">MAX(Q111-K111,0)</f>
        <v>#VALUE!</v>
      </c>
      <c r="N111" s="502" t="e">
        <f aca="false">SQRT(($AX111^2*($AH111/2)+$AW111^2*$AI111)/(($AH111/2)+$AI111))</f>
        <v>#VALUE!</v>
      </c>
      <c r="O111" s="502" t="e">
        <f aca="false">SQRT(($AY111^2*($AH111/2)+$AW111^2*$AI111)/(($AH111/2)+$AI111))</f>
        <v>#VALUE!</v>
      </c>
      <c r="P111" s="371" t="e">
        <f aca="false">(VLOOKUP(AI111,CorrelationTwo,2)*(AW111^2)*AI111+VLOOKUP(D111,CorrelationOne,$AK$9)*AX111*AY111*(AH111/2))/((AI111+(AH111/2))*O111*N111)*AF111</f>
        <v>#VALUE!</v>
      </c>
      <c r="Q111" s="501" t="e">
        <f aca="false">xSPRDOPT(I111,H111,AQ111,0,O111,N111,P111,D111-$G$5,1,0)*AH111*AU111</f>
        <v>#VALUE!</v>
      </c>
      <c r="R111" s="501"/>
      <c r="S111" s="365" t="e">
        <f aca="false">xSPRDOPT(I111,H111,AQ111,AT111,O111,N111,P111,D111-$G$5,1,2)*AF111*(F111/(1-AR111))*AH111</f>
        <v>#VALUE!</v>
      </c>
      <c r="T111" s="365" t="e">
        <f aca="false">xSPRDOPT(I111,H111,AQ111,AT111,O111,N111,P111,D111-$G$5,1,1)*AF111*F111*AH111</f>
        <v>#VALUE!</v>
      </c>
      <c r="U111" s="501"/>
      <c r="V111" s="503" t="e">
        <f aca="false">VLOOKUP($AG111,$AL$4:$AS$15,8)*AH111*AU111</f>
        <v>#VALUE!</v>
      </c>
      <c r="W111" s="503"/>
      <c r="X111" s="504" t="e">
        <f aca="false">((BM111*BC111)+(BL111*BB111))*AH111*F111</f>
        <v>#VALUE!</v>
      </c>
      <c r="Y111" s="504" t="e">
        <f aca="false">($F111*$AH111)*((($BG111/2)*($BC111)^2)+(($BF111/2)*($BB111)^2)+($BH111*$BC111*$BB111))</f>
        <v>#VALUE!</v>
      </c>
      <c r="Z111" s="504" t="e">
        <f aca="false">($BI111*$F111*$AH111*($G$5-$BV$5))/365.25</f>
        <v>#VALUE!</v>
      </c>
      <c r="AA111" s="504" t="e">
        <f aca="false">(($BK111*$BE111)+($BJ111*$BD111))*$F111*$AH111*$AF111</f>
        <v>#VALUE!</v>
      </c>
      <c r="AB111" s="504" t="e">
        <f aca="false">BN111*(AT111-CA111)*F111*AH111</f>
        <v>#VALUE!</v>
      </c>
      <c r="AC111" s="504" t="e">
        <f aca="false">BO111*CB111*F111*AH111*CA111*($G$5-$BV$5)/365.25</f>
        <v>#NAME?</v>
      </c>
      <c r="AF111" s="378" t="e">
        <f aca="false">IF(AND(D111&gt;=$G$7,D111&lt;=$G$8),1,0)</f>
        <v>#VALUE!</v>
      </c>
      <c r="AG111" s="378" t="e">
        <f aca="false">MONTH(D111)</f>
        <v>#VALUE!</v>
      </c>
      <c r="AH111" s="378" t="e">
        <f aca="false">(EOMONTH(D111,0)-EOMONTH(D111-DAY(D111),0))*AF111</f>
        <v>#VALUE!</v>
      </c>
      <c r="AI111" s="378" t="e">
        <f aca="false">AI110+AH110</f>
        <v>#VALUE!</v>
      </c>
      <c r="AJ111" s="378" t="e">
        <f aca="false">D111-$BV$5</f>
        <v>#VALUE!</v>
      </c>
      <c r="AL111" s="369" t="e">
        <f aca="false">VLOOKUP($D111,CurveTbl,$AK$4)</f>
        <v>#VALUE!</v>
      </c>
      <c r="AM111" s="505" t="e">
        <f aca="false">VLOOKUP($D111,CurveTbl,$AH$3)</f>
        <v>#VALUE!</v>
      </c>
      <c r="AN111" s="505" t="e">
        <f aca="false">VLOOKUP($D111,CurveTbl,$AH$4)+VLOOKUP($AG111,$AL$3:$AS$15,6)</f>
        <v>#VALUE!</v>
      </c>
      <c r="AO111" s="505" t="e">
        <f aca="false">VLOOKUP($D111,CurveTbl,$AH$5)</f>
        <v>#VALUE!</v>
      </c>
      <c r="AP111" s="505" t="e">
        <f aca="false">VLOOKUP($D111,CurveTbl,$AH$6)+VLOOKUP($AG111,$AL$3:$AS$15,7)</f>
        <v>#VALUE!</v>
      </c>
      <c r="AQ111" s="369" t="e">
        <f aca="false">VLOOKUP($AG111,$AL$4:$AS$15,3)+VLOOKUP($AG111,$AL$4:$AS$15,5)+($AH$10*VLOOKUP(D111,GRITable,2))</f>
        <v>#VALUE!</v>
      </c>
      <c r="AR111" s="370" t="e">
        <f aca="false">VLOOKUP($AG111,$AL$4:$AS$15,4)</f>
        <v>#VALUE!</v>
      </c>
      <c r="AS111" s="369" t="e">
        <f aca="false">(AL111+AM111+AN111)</f>
        <v>#VALUE!</v>
      </c>
      <c r="AT111" s="370" t="e">
        <f aca="false">VLOOKUP(D111,CurveTbl,$AK$6)</f>
        <v>#VALUE!</v>
      </c>
      <c r="AU111" s="370" t="e">
        <f aca="false">(1+$AT111/2)^(-2*($D111-$G$5)/365.25)*$AF111</f>
        <v>#VALUE!</v>
      </c>
      <c r="AV111" s="506" t="e">
        <f aca="false">ROUND((F111/(1-AR111))-F111,0)*AF111*AH111*AU111</f>
        <v>#VALUE!</v>
      </c>
      <c r="AW111" s="370" t="e">
        <f aca="false">VLOOKUP($D111,CurveTbl,$AK$8)</f>
        <v>#VALUE!</v>
      </c>
      <c r="AX111" s="370" t="e">
        <f aca="false">VLOOKUP($D111,CurveTbl,$AH$7)</f>
        <v>#VALUE!</v>
      </c>
      <c r="AY111" s="370" t="e">
        <f aca="false">VLOOKUP($D111,CurveTbl,$AH$8)</f>
        <v>#VALUE!</v>
      </c>
      <c r="AZ111" s="370"/>
      <c r="BA111" s="507"/>
      <c r="BB111" s="505" t="e">
        <f aca="false">$H111-$BV111</f>
        <v>#VALUE!</v>
      </c>
      <c r="BC111" s="505" t="e">
        <f aca="false">I111-BW111</f>
        <v>#VALUE!</v>
      </c>
      <c r="BD111" s="370" t="e">
        <f aca="false">N111-BX111</f>
        <v>#VALUE!</v>
      </c>
      <c r="BE111" s="370" t="e">
        <f aca="false">O111-BY111</f>
        <v>#VALUE!</v>
      </c>
      <c r="BF111" s="370" t="e">
        <f aca="false">xSPRDOPT($BW111,$BV111,$CG111,0,$BY111,$BX111,$BZ111,$AJ111,1,4)*$CB111</f>
        <v>#NAME?</v>
      </c>
      <c r="BG111" s="370" t="e">
        <f aca="false">xSPRDOPT($BW111,$BV111,$CG111,0,$BY111,$BX111,$BZ111,$AJ111,1,3)*$CB111</f>
        <v>#NAME?</v>
      </c>
      <c r="BH111" s="370" t="e">
        <f aca="false">IF(OR(BF111&lt;&gt;0,BG111&lt;&gt;0),xSPRDOPT($BW111,$BV111,$CG111,0,$BY111,$BX111,$BZ111,$AJ111,1,12)*$CB111,0)</f>
        <v>#NAME?</v>
      </c>
      <c r="BI111" s="370" t="e">
        <f aca="false">xSPRDOPT($BW111,$BV111,$CG111,2*LN(1+CA111/2),$BY111,$BX111,$BZ111,$AJ111,1,9)</f>
        <v>#NAME?</v>
      </c>
      <c r="BJ111" s="370" t="e">
        <f aca="false">xSPRDOPT($BW111,$BV111,$CG111,0,$BY111,$BX111,$BZ111,$AJ111,1,6)*$CB111</f>
        <v>#NAME?</v>
      </c>
      <c r="BK111" s="370" t="e">
        <f aca="false">xSPRDOPT($BW111,$BV111,$CG111,0,$BY111,$BX111,$BZ111,$AJ111,1,5)*$CB111</f>
        <v>#NAME?</v>
      </c>
      <c r="BL111" s="370" t="e">
        <f aca="false">xSPRDOPT(BW111,BV111,CG111,0,BY111,BX111,BZ111,AJ111,1,2)*CB111</f>
        <v>#NAME?</v>
      </c>
      <c r="BM111" s="370" t="e">
        <f aca="false">xSPRDOPT(BW111,BV111,CG111,0,BY111,BX111,BZ111,AJ111,1,1)*CB111</f>
        <v>#NAME?</v>
      </c>
      <c r="BN111" s="370" t="e">
        <f aca="false">IF(AH111&lt;&gt;0,xSPRDOPT($BW111,$BV111,$CG111,2*LN(1+CA111/2),$BY111,$BX111,$BZ111,$AJ111,1,8)+(AJ111/365.25)*CH111/AH111,0)</f>
        <v>#VALUE!</v>
      </c>
      <c r="BO111" s="370" t="e">
        <f aca="false">xSPRDOPT($BW111,$BV111,$CG111,0,$BY111,$BX111,$BZ111,$AJ111,1,0)</f>
        <v>#NAME?</v>
      </c>
      <c r="BP111" s="370"/>
      <c r="BQ111" s="370"/>
      <c r="BR111" s="370"/>
      <c r="BS111" s="370"/>
      <c r="BV111" s="508" t="n">
        <v>3.44578313253012</v>
      </c>
      <c r="BW111" s="369" t="n">
        <v>3.467</v>
      </c>
      <c r="BX111" s="370" t="n">
        <v>0.37</v>
      </c>
      <c r="BY111" s="370" t="n">
        <v>0.37</v>
      </c>
      <c r="BZ111" s="370" t="n">
        <v>0</v>
      </c>
      <c r="CA111" s="370" t="n">
        <v>0.0348361539671314</v>
      </c>
      <c r="CB111" s="370" t="n">
        <v>0</v>
      </c>
      <c r="CC111" s="505" t="n">
        <v>0</v>
      </c>
      <c r="CD111" s="505" t="n">
        <v>0.03</v>
      </c>
      <c r="CE111" s="505" t="n">
        <v>0.065</v>
      </c>
      <c r="CF111" s="505" t="n">
        <v>0</v>
      </c>
      <c r="CG111" s="505" t="n">
        <v>0.0006</v>
      </c>
      <c r="CH111" s="505" t="n">
        <v>0</v>
      </c>
      <c r="CI111" s="505" t="n">
        <v>3.402</v>
      </c>
      <c r="CJ111" s="505"/>
      <c r="CK111" s="505"/>
      <c r="CL111" s="505"/>
      <c r="CM111" s="505"/>
    </row>
    <row r="112" customFormat="false" ht="12.75" hidden="false" customHeight="false" outlineLevel="0" collapsed="false">
      <c r="A112" s="500"/>
      <c r="B112" s="500"/>
      <c r="D112" s="361" t="e">
        <f aca="false">D111+AH111</f>
        <v>#VALUE!</v>
      </c>
      <c r="F112" s="362" t="e">
        <f aca="false">VLOOKUP(AG112,$AL$4:$AS$15,2)</f>
        <v>#VALUE!</v>
      </c>
      <c r="G112" s="362" t="e">
        <f aca="false">F112*$AU112</f>
        <v>#VALUE!</v>
      </c>
      <c r="H112" s="363" t="e">
        <f aca="false">(AL112+AM112+AN112)/(1-(AR112))</f>
        <v>#VALUE!</v>
      </c>
      <c r="I112" s="363" t="e">
        <f aca="false">(AL112+AO112+AP112)</f>
        <v>#VALUE!</v>
      </c>
      <c r="K112" s="363" t="e">
        <f aca="false">MAX(((I112-H112)-AQ112)*AU112*AH112,0)</f>
        <v>#VALUE!</v>
      </c>
      <c r="L112" s="501" t="e">
        <f aca="false">MAX(Q112-K112,0)</f>
        <v>#VALUE!</v>
      </c>
      <c r="N112" s="502" t="e">
        <f aca="false">SQRT(($AX112^2*($AH112/2)+$AW112^2*$AI112)/(($AH112/2)+$AI112))</f>
        <v>#VALUE!</v>
      </c>
      <c r="O112" s="502" t="e">
        <f aca="false">SQRT(($AY112^2*($AH112/2)+$AW112^2*$AI112)/(($AH112/2)+$AI112))</f>
        <v>#VALUE!</v>
      </c>
      <c r="P112" s="371" t="e">
        <f aca="false">(VLOOKUP(AI112,CorrelationTwo,2)*(AW112^2)*AI112+VLOOKUP(D112,CorrelationOne,$AK$9)*AX112*AY112*(AH112/2))/((AI112+(AH112/2))*O112*N112)*AF112</f>
        <v>#VALUE!</v>
      </c>
      <c r="Q112" s="501" t="e">
        <f aca="false">xSPRDOPT(I112,H112,AQ112,0,O112,N112,P112,D112-$G$5,1,0)*AH112*AU112</f>
        <v>#VALUE!</v>
      </c>
      <c r="R112" s="501"/>
      <c r="S112" s="365" t="e">
        <f aca="false">xSPRDOPT(I112,H112,AQ112,AT112,O112,N112,P112,D112-$G$5,1,2)*AF112*(F112/(1-AR112))*AH112</f>
        <v>#VALUE!</v>
      </c>
      <c r="T112" s="365" t="e">
        <f aca="false">xSPRDOPT(I112,H112,AQ112,AT112,O112,N112,P112,D112-$G$5,1,1)*AF112*F112*AH112</f>
        <v>#VALUE!</v>
      </c>
      <c r="U112" s="501"/>
      <c r="V112" s="503" t="e">
        <f aca="false">VLOOKUP($AG112,$AL$4:$AS$15,8)*AH112*AU112</f>
        <v>#VALUE!</v>
      </c>
      <c r="W112" s="503"/>
      <c r="X112" s="504" t="e">
        <f aca="false">((BM112*BC112)+(BL112*BB112))*AH112*F112</f>
        <v>#VALUE!</v>
      </c>
      <c r="Y112" s="504" t="e">
        <f aca="false">($F112*$AH112)*((($BG112/2)*($BC112)^2)+(($BF112/2)*($BB112)^2)+($BH112*$BC112*$BB112))</f>
        <v>#VALUE!</v>
      </c>
      <c r="Z112" s="504" t="e">
        <f aca="false">($BI112*$F112*$AH112*($G$5-$BV$5))/365.25</f>
        <v>#VALUE!</v>
      </c>
      <c r="AA112" s="504" t="e">
        <f aca="false">(($BK112*$BE112)+($BJ112*$BD112))*$F112*$AH112*$AF112</f>
        <v>#VALUE!</v>
      </c>
      <c r="AB112" s="504" t="e">
        <f aca="false">BN112*(AT112-CA112)*F112*AH112</f>
        <v>#VALUE!</v>
      </c>
      <c r="AC112" s="504" t="e">
        <f aca="false">BO112*CB112*F112*AH112*CA112*($G$5-$BV$5)/365.25</f>
        <v>#NAME?</v>
      </c>
      <c r="AF112" s="378" t="e">
        <f aca="false">IF(AND(D112&gt;=$G$7,D112&lt;=$G$8),1,0)</f>
        <v>#VALUE!</v>
      </c>
      <c r="AG112" s="378" t="e">
        <f aca="false">MONTH(D112)</f>
        <v>#VALUE!</v>
      </c>
      <c r="AH112" s="378" t="e">
        <f aca="false">(EOMONTH(D112,0)-EOMONTH(D112-DAY(D112),0))*AF112</f>
        <v>#VALUE!</v>
      </c>
      <c r="AI112" s="378" t="e">
        <f aca="false">AI111+AH111</f>
        <v>#VALUE!</v>
      </c>
      <c r="AJ112" s="378" t="e">
        <f aca="false">D112-$BV$5</f>
        <v>#VALUE!</v>
      </c>
      <c r="AL112" s="369" t="e">
        <f aca="false">VLOOKUP($D112,CurveTbl,$AK$4)</f>
        <v>#VALUE!</v>
      </c>
      <c r="AM112" s="505" t="e">
        <f aca="false">VLOOKUP($D112,CurveTbl,$AH$3)</f>
        <v>#VALUE!</v>
      </c>
      <c r="AN112" s="505" t="e">
        <f aca="false">VLOOKUP($D112,CurveTbl,$AH$4)+VLOOKUP($AG112,$AL$3:$AS$15,6)</f>
        <v>#VALUE!</v>
      </c>
      <c r="AO112" s="505" t="e">
        <f aca="false">VLOOKUP($D112,CurveTbl,$AH$5)</f>
        <v>#VALUE!</v>
      </c>
      <c r="AP112" s="505" t="e">
        <f aca="false">VLOOKUP($D112,CurveTbl,$AH$6)+VLOOKUP($AG112,$AL$3:$AS$15,7)</f>
        <v>#VALUE!</v>
      </c>
      <c r="AQ112" s="369" t="e">
        <f aca="false">VLOOKUP($AG112,$AL$4:$AS$15,3)+VLOOKUP($AG112,$AL$4:$AS$15,5)+($AH$10*VLOOKUP(D112,GRITable,2))</f>
        <v>#VALUE!</v>
      </c>
      <c r="AR112" s="370" t="e">
        <f aca="false">VLOOKUP($AG112,$AL$4:$AS$15,4)</f>
        <v>#VALUE!</v>
      </c>
      <c r="AS112" s="369" t="e">
        <f aca="false">(AL112+AM112+AN112)</f>
        <v>#VALUE!</v>
      </c>
      <c r="AT112" s="370" t="e">
        <f aca="false">VLOOKUP(D112,CurveTbl,$AK$6)</f>
        <v>#VALUE!</v>
      </c>
      <c r="AU112" s="370" t="e">
        <f aca="false">(1+$AT112/2)^(-2*($D112-$G$5)/365.25)*$AF112</f>
        <v>#VALUE!</v>
      </c>
      <c r="AV112" s="506" t="e">
        <f aca="false">ROUND((F112/(1-AR112))-F112,0)*AF112*AH112*AU112</f>
        <v>#VALUE!</v>
      </c>
      <c r="AW112" s="370" t="e">
        <f aca="false">VLOOKUP($D112,CurveTbl,$AK$8)</f>
        <v>#VALUE!</v>
      </c>
      <c r="AX112" s="370" t="e">
        <f aca="false">VLOOKUP($D112,CurveTbl,$AH$7)</f>
        <v>#VALUE!</v>
      </c>
      <c r="AY112" s="370" t="e">
        <f aca="false">VLOOKUP($D112,CurveTbl,$AH$8)</f>
        <v>#VALUE!</v>
      </c>
      <c r="AZ112" s="370"/>
      <c r="BA112" s="507"/>
      <c r="BB112" s="505" t="e">
        <f aca="false">$H112-$BV112</f>
        <v>#VALUE!</v>
      </c>
      <c r="BC112" s="505" t="e">
        <f aca="false">I112-BW112</f>
        <v>#VALUE!</v>
      </c>
      <c r="BD112" s="370" t="e">
        <f aca="false">N112-BX112</f>
        <v>#VALUE!</v>
      </c>
      <c r="BE112" s="370" t="e">
        <f aca="false">O112-BY112</f>
        <v>#VALUE!</v>
      </c>
      <c r="BF112" s="370" t="e">
        <f aca="false">xSPRDOPT($BW112,$BV112,$CG112,0,$BY112,$BX112,$BZ112,$AJ112,1,4)*$CB112</f>
        <v>#NAME?</v>
      </c>
      <c r="BG112" s="370" t="e">
        <f aca="false">xSPRDOPT($BW112,$BV112,$CG112,0,$BY112,$BX112,$BZ112,$AJ112,1,3)*$CB112</f>
        <v>#NAME?</v>
      </c>
      <c r="BH112" s="370" t="e">
        <f aca="false">IF(OR(BF112&lt;&gt;0,BG112&lt;&gt;0),xSPRDOPT($BW112,$BV112,$CG112,0,$BY112,$BX112,$BZ112,$AJ112,1,12)*$CB112,0)</f>
        <v>#NAME?</v>
      </c>
      <c r="BI112" s="370" t="e">
        <f aca="false">xSPRDOPT($BW112,$BV112,$CG112,2*LN(1+CA112/2),$BY112,$BX112,$BZ112,$AJ112,1,9)</f>
        <v>#NAME?</v>
      </c>
      <c r="BJ112" s="370" t="e">
        <f aca="false">xSPRDOPT($BW112,$BV112,$CG112,0,$BY112,$BX112,$BZ112,$AJ112,1,6)*$CB112</f>
        <v>#NAME?</v>
      </c>
      <c r="BK112" s="370" t="e">
        <f aca="false">xSPRDOPT($BW112,$BV112,$CG112,0,$BY112,$BX112,$BZ112,$AJ112,1,5)*$CB112</f>
        <v>#NAME?</v>
      </c>
      <c r="BL112" s="370" t="e">
        <f aca="false">xSPRDOPT(BW112,BV112,CG112,0,BY112,BX112,BZ112,AJ112,1,2)*CB112</f>
        <v>#NAME?</v>
      </c>
      <c r="BM112" s="370" t="e">
        <f aca="false">xSPRDOPT(BW112,BV112,CG112,0,BY112,BX112,BZ112,AJ112,1,1)*CB112</f>
        <v>#NAME?</v>
      </c>
      <c r="BN112" s="370" t="e">
        <f aca="false">IF(AH112&lt;&gt;0,xSPRDOPT($BW112,$BV112,$CG112,2*LN(1+CA112/2),$BY112,$BX112,$BZ112,$AJ112,1,8)+(AJ112/365.25)*CH112/AH112,0)</f>
        <v>#VALUE!</v>
      </c>
      <c r="BO112" s="370" t="e">
        <f aca="false">xSPRDOPT($BW112,$BV112,$CG112,0,$BY112,$BX112,$BZ112,$AJ112,1,0)</f>
        <v>#NAME?</v>
      </c>
      <c r="BP112" s="370"/>
      <c r="BQ112" s="370"/>
      <c r="BR112" s="370"/>
      <c r="BS112" s="370"/>
      <c r="BV112" s="508" t="n">
        <v>3.44578313253012</v>
      </c>
      <c r="BW112" s="369" t="n">
        <v>3.467</v>
      </c>
      <c r="BX112" s="370" t="n">
        <v>0.37</v>
      </c>
      <c r="BY112" s="370" t="n">
        <v>0.37</v>
      </c>
      <c r="BZ112" s="370" t="n">
        <v>0</v>
      </c>
      <c r="CA112" s="370" t="n">
        <v>0.0348361539671314</v>
      </c>
      <c r="CB112" s="370" t="n">
        <v>0</v>
      </c>
      <c r="CC112" s="505" t="n">
        <v>0</v>
      </c>
      <c r="CD112" s="505" t="n">
        <v>0.03</v>
      </c>
      <c r="CE112" s="505" t="n">
        <v>0.065</v>
      </c>
      <c r="CF112" s="505" t="n">
        <v>0</v>
      </c>
      <c r="CG112" s="505" t="n">
        <v>0.0006</v>
      </c>
      <c r="CH112" s="505" t="n">
        <v>0</v>
      </c>
      <c r="CI112" s="505" t="n">
        <v>3.402</v>
      </c>
      <c r="CJ112" s="505"/>
      <c r="CK112" s="505"/>
      <c r="CL112" s="505"/>
      <c r="CM112" s="505"/>
    </row>
    <row r="113" customFormat="false" ht="12.75" hidden="false" customHeight="false" outlineLevel="0" collapsed="false">
      <c r="A113" s="500"/>
      <c r="B113" s="500"/>
      <c r="D113" s="361" t="e">
        <f aca="false">D112+AH112</f>
        <v>#VALUE!</v>
      </c>
      <c r="F113" s="362" t="e">
        <f aca="false">VLOOKUP(AG113,$AL$4:$AS$15,2)</f>
        <v>#VALUE!</v>
      </c>
      <c r="G113" s="362" t="e">
        <f aca="false">F113*$AU113</f>
        <v>#VALUE!</v>
      </c>
      <c r="H113" s="363" t="e">
        <f aca="false">(AL113+AM113+AN113)/(1-(AR113))</f>
        <v>#VALUE!</v>
      </c>
      <c r="I113" s="363" t="e">
        <f aca="false">(AL113+AO113+AP113)</f>
        <v>#VALUE!</v>
      </c>
      <c r="K113" s="363" t="e">
        <f aca="false">MAX(((I113-H113)-AQ113)*AU113*AH113,0)</f>
        <v>#VALUE!</v>
      </c>
      <c r="L113" s="501" t="e">
        <f aca="false">MAX(Q113-K113,0)</f>
        <v>#VALUE!</v>
      </c>
      <c r="N113" s="502" t="e">
        <f aca="false">SQRT(($AX113^2*($AH113/2)+$AW113^2*$AI113)/(($AH113/2)+$AI113))</f>
        <v>#VALUE!</v>
      </c>
      <c r="O113" s="502" t="e">
        <f aca="false">SQRT(($AY113^2*($AH113/2)+$AW113^2*$AI113)/(($AH113/2)+$AI113))</f>
        <v>#VALUE!</v>
      </c>
      <c r="P113" s="371" t="e">
        <f aca="false">(VLOOKUP(AI113,CorrelationTwo,2)*(AW113^2)*AI113+VLOOKUP(D113,CorrelationOne,$AK$9)*AX113*AY113*(AH113/2))/((AI113+(AH113/2))*O113*N113)*AF113</f>
        <v>#VALUE!</v>
      </c>
      <c r="Q113" s="501" t="e">
        <f aca="false">xSPRDOPT(I113,H113,AQ113,0,O113,N113,P113,D113-$G$5,1,0)*AH113*AU113</f>
        <v>#VALUE!</v>
      </c>
      <c r="R113" s="501"/>
      <c r="S113" s="365" t="e">
        <f aca="false">xSPRDOPT(I113,H113,AQ113,AT113,O113,N113,P113,D113-$G$5,1,2)*AF113*(F113/(1-AR113))*AH113</f>
        <v>#VALUE!</v>
      </c>
      <c r="T113" s="365" t="e">
        <f aca="false">xSPRDOPT(I113,H113,AQ113,AT113,O113,N113,P113,D113-$G$5,1,1)*AF113*F113*AH113</f>
        <v>#VALUE!</v>
      </c>
      <c r="U113" s="501"/>
      <c r="V113" s="503" t="e">
        <f aca="false">VLOOKUP($AG113,$AL$4:$AS$15,8)*AH113*AU113</f>
        <v>#VALUE!</v>
      </c>
      <c r="W113" s="503"/>
      <c r="X113" s="504" t="e">
        <f aca="false">((BM113*BC113)+(BL113*BB113))*AH113*F113</f>
        <v>#VALUE!</v>
      </c>
      <c r="Y113" s="504" t="e">
        <f aca="false">($F113*$AH113)*((($BG113/2)*($BC113)^2)+(($BF113/2)*($BB113)^2)+($BH113*$BC113*$BB113))</f>
        <v>#VALUE!</v>
      </c>
      <c r="Z113" s="504" t="e">
        <f aca="false">($BI113*$F113*$AH113*($G$5-$BV$5))/365.25</f>
        <v>#VALUE!</v>
      </c>
      <c r="AA113" s="504" t="e">
        <f aca="false">(($BK113*$BE113)+($BJ113*$BD113))*$F113*$AH113*$AF113</f>
        <v>#VALUE!</v>
      </c>
      <c r="AB113" s="504" t="e">
        <f aca="false">BN113*(AT113-CA113)*F113*AH113</f>
        <v>#VALUE!</v>
      </c>
      <c r="AC113" s="504" t="e">
        <f aca="false">BO113*CB113*F113*AH113*CA113*($G$5-$BV$5)/365.25</f>
        <v>#NAME?</v>
      </c>
      <c r="AF113" s="378" t="e">
        <f aca="false">IF(AND(D113&gt;=$G$7,D113&lt;=$G$8),1,0)</f>
        <v>#VALUE!</v>
      </c>
      <c r="AG113" s="378" t="e">
        <f aca="false">MONTH(D113)</f>
        <v>#VALUE!</v>
      </c>
      <c r="AH113" s="378" t="e">
        <f aca="false">(EOMONTH(D113,0)-EOMONTH(D113-DAY(D113),0))*AF113</f>
        <v>#VALUE!</v>
      </c>
      <c r="AI113" s="378" t="e">
        <f aca="false">AI112+AH112</f>
        <v>#VALUE!</v>
      </c>
      <c r="AJ113" s="378" t="e">
        <f aca="false">D113-$BV$5</f>
        <v>#VALUE!</v>
      </c>
      <c r="AL113" s="369" t="e">
        <f aca="false">VLOOKUP($D113,CurveTbl,$AK$4)</f>
        <v>#VALUE!</v>
      </c>
      <c r="AM113" s="505" t="e">
        <f aca="false">VLOOKUP($D113,CurveTbl,$AH$3)</f>
        <v>#VALUE!</v>
      </c>
      <c r="AN113" s="505" t="e">
        <f aca="false">VLOOKUP($D113,CurveTbl,$AH$4)+VLOOKUP($AG113,$AL$3:$AS$15,6)</f>
        <v>#VALUE!</v>
      </c>
      <c r="AO113" s="505" t="e">
        <f aca="false">VLOOKUP($D113,CurveTbl,$AH$5)</f>
        <v>#VALUE!</v>
      </c>
      <c r="AP113" s="505" t="e">
        <f aca="false">VLOOKUP($D113,CurveTbl,$AH$6)+VLOOKUP($AG113,$AL$3:$AS$15,7)</f>
        <v>#VALUE!</v>
      </c>
      <c r="AQ113" s="369" t="e">
        <f aca="false">VLOOKUP($AG113,$AL$4:$AS$15,3)+VLOOKUP($AG113,$AL$4:$AS$15,5)+($AH$10*VLOOKUP(D113,GRITable,2))</f>
        <v>#VALUE!</v>
      </c>
      <c r="AR113" s="370" t="e">
        <f aca="false">VLOOKUP($AG113,$AL$4:$AS$15,4)</f>
        <v>#VALUE!</v>
      </c>
      <c r="AS113" s="369" t="e">
        <f aca="false">(AL113+AM113+AN113)</f>
        <v>#VALUE!</v>
      </c>
      <c r="AT113" s="370" t="e">
        <f aca="false">VLOOKUP(D113,CurveTbl,$AK$6)</f>
        <v>#VALUE!</v>
      </c>
      <c r="AU113" s="370" t="e">
        <f aca="false">(1+$AT113/2)^(-2*($D113-$G$5)/365.25)*$AF113</f>
        <v>#VALUE!</v>
      </c>
      <c r="AV113" s="506" t="e">
        <f aca="false">ROUND((F113/(1-AR113))-F113,0)*AF113*AH113*AU113</f>
        <v>#VALUE!</v>
      </c>
      <c r="AW113" s="370" t="e">
        <f aca="false">VLOOKUP($D113,CurveTbl,$AK$8)</f>
        <v>#VALUE!</v>
      </c>
      <c r="AX113" s="370" t="e">
        <f aca="false">VLOOKUP($D113,CurveTbl,$AH$7)</f>
        <v>#VALUE!</v>
      </c>
      <c r="AY113" s="370" t="e">
        <f aca="false">VLOOKUP($D113,CurveTbl,$AH$8)</f>
        <v>#VALUE!</v>
      </c>
      <c r="AZ113" s="370"/>
      <c r="BA113" s="507"/>
      <c r="BB113" s="505" t="e">
        <f aca="false">$H113-$BV113</f>
        <v>#VALUE!</v>
      </c>
      <c r="BC113" s="505" t="e">
        <f aca="false">I113-BW113</f>
        <v>#VALUE!</v>
      </c>
      <c r="BD113" s="370" t="e">
        <f aca="false">N113-BX113</f>
        <v>#VALUE!</v>
      </c>
      <c r="BE113" s="370" t="e">
        <f aca="false">O113-BY113</f>
        <v>#VALUE!</v>
      </c>
      <c r="BF113" s="370" t="e">
        <f aca="false">xSPRDOPT($BW113,$BV113,$CG113,0,$BY113,$BX113,$BZ113,$AJ113,1,4)*$CB113</f>
        <v>#NAME?</v>
      </c>
      <c r="BG113" s="370" t="e">
        <f aca="false">xSPRDOPT($BW113,$BV113,$CG113,0,$BY113,$BX113,$BZ113,$AJ113,1,3)*$CB113</f>
        <v>#NAME?</v>
      </c>
      <c r="BH113" s="370" t="e">
        <f aca="false">IF(OR(BF113&lt;&gt;0,BG113&lt;&gt;0),xSPRDOPT($BW113,$BV113,$CG113,0,$BY113,$BX113,$BZ113,$AJ113,1,12)*$CB113,0)</f>
        <v>#NAME?</v>
      </c>
      <c r="BI113" s="370" t="e">
        <f aca="false">xSPRDOPT($BW113,$BV113,$CG113,2*LN(1+CA113/2),$BY113,$BX113,$BZ113,$AJ113,1,9)</f>
        <v>#NAME?</v>
      </c>
      <c r="BJ113" s="370" t="e">
        <f aca="false">xSPRDOPT($BW113,$BV113,$CG113,0,$BY113,$BX113,$BZ113,$AJ113,1,6)*$CB113</f>
        <v>#NAME?</v>
      </c>
      <c r="BK113" s="370" t="e">
        <f aca="false">xSPRDOPT($BW113,$BV113,$CG113,0,$BY113,$BX113,$BZ113,$AJ113,1,5)*$CB113</f>
        <v>#NAME?</v>
      </c>
      <c r="BL113" s="370" t="e">
        <f aca="false">xSPRDOPT(BW113,BV113,CG113,0,BY113,BX113,BZ113,AJ113,1,2)*CB113</f>
        <v>#NAME?</v>
      </c>
      <c r="BM113" s="370" t="e">
        <f aca="false">xSPRDOPT(BW113,BV113,CG113,0,BY113,BX113,BZ113,AJ113,1,1)*CB113</f>
        <v>#NAME?</v>
      </c>
      <c r="BN113" s="370" t="e">
        <f aca="false">IF(AH113&lt;&gt;0,xSPRDOPT($BW113,$BV113,$CG113,2*LN(1+CA113/2),$BY113,$BX113,$BZ113,$AJ113,1,8)+(AJ113/365.25)*CH113/AH113,0)</f>
        <v>#VALUE!</v>
      </c>
      <c r="BO113" s="370" t="e">
        <f aca="false">xSPRDOPT($BW113,$BV113,$CG113,0,$BY113,$BX113,$BZ113,$AJ113,1,0)</f>
        <v>#NAME?</v>
      </c>
      <c r="BP113" s="370"/>
      <c r="BQ113" s="370"/>
      <c r="BR113" s="370"/>
      <c r="BS113" s="370"/>
      <c r="BV113" s="508" t="n">
        <v>3.44578313253012</v>
      </c>
      <c r="BW113" s="369" t="n">
        <v>3.467</v>
      </c>
      <c r="BX113" s="370" t="n">
        <v>0.37</v>
      </c>
      <c r="BY113" s="370" t="n">
        <v>0.37</v>
      </c>
      <c r="BZ113" s="370" t="n">
        <v>0</v>
      </c>
      <c r="CA113" s="370" t="n">
        <v>0.0348361539671314</v>
      </c>
      <c r="CB113" s="370" t="n">
        <v>0</v>
      </c>
      <c r="CC113" s="505" t="n">
        <v>0</v>
      </c>
      <c r="CD113" s="505" t="n">
        <v>0.03</v>
      </c>
      <c r="CE113" s="505" t="n">
        <v>0.065</v>
      </c>
      <c r="CF113" s="505" t="n">
        <v>0</v>
      </c>
      <c r="CG113" s="505" t="n">
        <v>0.0006</v>
      </c>
      <c r="CH113" s="505" t="n">
        <v>0</v>
      </c>
      <c r="CI113" s="505" t="n">
        <v>3.402</v>
      </c>
      <c r="CJ113" s="505"/>
      <c r="CK113" s="505"/>
      <c r="CL113" s="505"/>
      <c r="CM113" s="505"/>
    </row>
    <row r="114" customFormat="false" ht="12.75" hidden="false" customHeight="false" outlineLevel="0" collapsed="false">
      <c r="A114" s="500"/>
      <c r="B114" s="500"/>
      <c r="D114" s="361" t="e">
        <f aca="false">D113+AH113</f>
        <v>#VALUE!</v>
      </c>
      <c r="F114" s="362" t="e">
        <f aca="false">VLOOKUP(AG114,$AL$4:$AS$15,2)</f>
        <v>#VALUE!</v>
      </c>
      <c r="G114" s="362" t="e">
        <f aca="false">F114*$AU114</f>
        <v>#VALUE!</v>
      </c>
      <c r="H114" s="363" t="e">
        <f aca="false">(AL114+AM114+AN114)/(1-(AR114))</f>
        <v>#VALUE!</v>
      </c>
      <c r="I114" s="363" t="e">
        <f aca="false">(AL114+AO114+AP114)</f>
        <v>#VALUE!</v>
      </c>
      <c r="K114" s="363" t="e">
        <f aca="false">MAX(((I114-H114)-AQ114)*AU114*AH114,0)</f>
        <v>#VALUE!</v>
      </c>
      <c r="L114" s="501" t="e">
        <f aca="false">MAX(Q114-K114,0)</f>
        <v>#VALUE!</v>
      </c>
      <c r="N114" s="502" t="e">
        <f aca="false">SQRT(($AX114^2*($AH114/2)+$AW114^2*$AI114)/(($AH114/2)+$AI114))</f>
        <v>#VALUE!</v>
      </c>
      <c r="O114" s="502" t="e">
        <f aca="false">SQRT(($AY114^2*($AH114/2)+$AW114^2*$AI114)/(($AH114/2)+$AI114))</f>
        <v>#VALUE!</v>
      </c>
      <c r="P114" s="371" t="e">
        <f aca="false">(VLOOKUP(AI114,CorrelationTwo,2)*(AW114^2)*AI114+VLOOKUP(D114,CorrelationOne,$AK$9)*AX114*AY114*(AH114/2))/((AI114+(AH114/2))*O114*N114)*AF114</f>
        <v>#VALUE!</v>
      </c>
      <c r="Q114" s="501" t="e">
        <f aca="false">xSPRDOPT(I114,H114,AQ114,0,O114,N114,P114,D114-$G$5,1,0)*AH114*AU114</f>
        <v>#VALUE!</v>
      </c>
      <c r="R114" s="501"/>
      <c r="S114" s="365" t="e">
        <f aca="false">xSPRDOPT(I114,H114,AQ114,AT114,O114,N114,P114,D114-$G$5,1,2)*AF114*(F114/(1-AR114))*AH114</f>
        <v>#VALUE!</v>
      </c>
      <c r="T114" s="365" t="e">
        <f aca="false">xSPRDOPT(I114,H114,AQ114,AT114,O114,N114,P114,D114-$G$5,1,1)*AF114*F114*AH114</f>
        <v>#VALUE!</v>
      </c>
      <c r="U114" s="501"/>
      <c r="V114" s="503" t="e">
        <f aca="false">VLOOKUP($AG114,$AL$4:$AS$15,8)*AH114*AU114</f>
        <v>#VALUE!</v>
      </c>
      <c r="W114" s="503"/>
      <c r="X114" s="504" t="e">
        <f aca="false">((BM114*BC114)+(BL114*BB114))*AH114*F114</f>
        <v>#VALUE!</v>
      </c>
      <c r="Y114" s="504" t="e">
        <f aca="false">($F114*$AH114)*((($BG114/2)*($BC114)^2)+(($BF114/2)*($BB114)^2)+($BH114*$BC114*$BB114))</f>
        <v>#VALUE!</v>
      </c>
      <c r="Z114" s="504" t="e">
        <f aca="false">($BI114*$F114*$AH114*($G$5-$BV$5))/365.25</f>
        <v>#VALUE!</v>
      </c>
      <c r="AA114" s="504" t="e">
        <f aca="false">(($BK114*$BE114)+($BJ114*$BD114))*$F114*$AH114*$AF114</f>
        <v>#VALUE!</v>
      </c>
      <c r="AB114" s="504" t="e">
        <f aca="false">BN114*(AT114-CA114)*F114*AH114</f>
        <v>#VALUE!</v>
      </c>
      <c r="AC114" s="504" t="e">
        <f aca="false">BO114*CB114*F114*AH114*CA114*($G$5-$BV$5)/365.25</f>
        <v>#NAME?</v>
      </c>
      <c r="AF114" s="378" t="e">
        <f aca="false">IF(AND(D114&gt;=$G$7,D114&lt;=$G$8),1,0)</f>
        <v>#VALUE!</v>
      </c>
      <c r="AG114" s="378" t="e">
        <f aca="false">MONTH(D114)</f>
        <v>#VALUE!</v>
      </c>
      <c r="AH114" s="378" t="e">
        <f aca="false">(EOMONTH(D114,0)-EOMONTH(D114-DAY(D114),0))*AF114</f>
        <v>#VALUE!</v>
      </c>
      <c r="AI114" s="378" t="e">
        <f aca="false">AI113+AH113</f>
        <v>#VALUE!</v>
      </c>
      <c r="AJ114" s="378" t="e">
        <f aca="false">D114-$BV$5</f>
        <v>#VALUE!</v>
      </c>
      <c r="AL114" s="369" t="e">
        <f aca="false">VLOOKUP($D114,CurveTbl,$AK$4)</f>
        <v>#VALUE!</v>
      </c>
      <c r="AM114" s="505" t="e">
        <f aca="false">VLOOKUP($D114,CurveTbl,$AH$3)</f>
        <v>#VALUE!</v>
      </c>
      <c r="AN114" s="505" t="e">
        <f aca="false">VLOOKUP($D114,CurveTbl,$AH$4)+VLOOKUP($AG114,$AL$3:$AS$15,6)</f>
        <v>#VALUE!</v>
      </c>
      <c r="AO114" s="505" t="e">
        <f aca="false">VLOOKUP($D114,CurveTbl,$AH$5)</f>
        <v>#VALUE!</v>
      </c>
      <c r="AP114" s="505" t="e">
        <f aca="false">VLOOKUP($D114,CurveTbl,$AH$6)+VLOOKUP($AG114,$AL$3:$AS$15,7)</f>
        <v>#VALUE!</v>
      </c>
      <c r="AQ114" s="369" t="e">
        <f aca="false">VLOOKUP($AG114,$AL$4:$AS$15,3)+VLOOKUP($AG114,$AL$4:$AS$15,5)+($AH$10*VLOOKUP(D114,GRITable,2))</f>
        <v>#VALUE!</v>
      </c>
      <c r="AR114" s="370" t="e">
        <f aca="false">VLOOKUP($AG114,$AL$4:$AS$15,4)</f>
        <v>#VALUE!</v>
      </c>
      <c r="AS114" s="369" t="e">
        <f aca="false">(AL114+AM114+AN114)</f>
        <v>#VALUE!</v>
      </c>
      <c r="AT114" s="370" t="e">
        <f aca="false">VLOOKUP(D114,CurveTbl,$AK$6)</f>
        <v>#VALUE!</v>
      </c>
      <c r="AU114" s="370" t="e">
        <f aca="false">(1+$AT114/2)^(-2*($D114-$G$5)/365.25)*$AF114</f>
        <v>#VALUE!</v>
      </c>
      <c r="AV114" s="506" t="e">
        <f aca="false">ROUND((F114/(1-AR114))-F114,0)*AF114*AH114*AU114</f>
        <v>#VALUE!</v>
      </c>
      <c r="AW114" s="370" t="e">
        <f aca="false">VLOOKUP($D114,CurveTbl,$AK$8)</f>
        <v>#VALUE!</v>
      </c>
      <c r="AX114" s="370" t="e">
        <f aca="false">VLOOKUP($D114,CurveTbl,$AH$7)</f>
        <v>#VALUE!</v>
      </c>
      <c r="AY114" s="370" t="e">
        <f aca="false">VLOOKUP($D114,CurveTbl,$AH$8)</f>
        <v>#VALUE!</v>
      </c>
      <c r="AZ114" s="370"/>
      <c r="BA114" s="507"/>
      <c r="BB114" s="505" t="e">
        <f aca="false">$H114-$BV114</f>
        <v>#VALUE!</v>
      </c>
      <c r="BC114" s="505" t="e">
        <f aca="false">I114-BW114</f>
        <v>#VALUE!</v>
      </c>
      <c r="BD114" s="370" t="e">
        <f aca="false">N114-BX114</f>
        <v>#VALUE!</v>
      </c>
      <c r="BE114" s="370" t="e">
        <f aca="false">O114-BY114</f>
        <v>#VALUE!</v>
      </c>
      <c r="BF114" s="370" t="e">
        <f aca="false">xSPRDOPT($BW114,$BV114,$CG114,0,$BY114,$BX114,$BZ114,$AJ114,1,4)*$CB114</f>
        <v>#NAME?</v>
      </c>
      <c r="BG114" s="370" t="e">
        <f aca="false">xSPRDOPT($BW114,$BV114,$CG114,0,$BY114,$BX114,$BZ114,$AJ114,1,3)*$CB114</f>
        <v>#NAME?</v>
      </c>
      <c r="BH114" s="370" t="e">
        <f aca="false">IF(OR(BF114&lt;&gt;0,BG114&lt;&gt;0),xSPRDOPT($BW114,$BV114,$CG114,0,$BY114,$BX114,$BZ114,$AJ114,1,12)*$CB114,0)</f>
        <v>#NAME?</v>
      </c>
      <c r="BI114" s="370" t="e">
        <f aca="false">xSPRDOPT($BW114,$BV114,$CG114,2*LN(1+CA114/2),$BY114,$BX114,$BZ114,$AJ114,1,9)</f>
        <v>#NAME?</v>
      </c>
      <c r="BJ114" s="370" t="e">
        <f aca="false">xSPRDOPT($BW114,$BV114,$CG114,0,$BY114,$BX114,$BZ114,$AJ114,1,6)*$CB114</f>
        <v>#NAME?</v>
      </c>
      <c r="BK114" s="370" t="e">
        <f aca="false">xSPRDOPT($BW114,$BV114,$CG114,0,$BY114,$BX114,$BZ114,$AJ114,1,5)*$CB114</f>
        <v>#NAME?</v>
      </c>
      <c r="BL114" s="370" t="e">
        <f aca="false">xSPRDOPT(BW114,BV114,CG114,0,BY114,BX114,BZ114,AJ114,1,2)*CB114</f>
        <v>#NAME?</v>
      </c>
      <c r="BM114" s="370" t="e">
        <f aca="false">xSPRDOPT(BW114,BV114,CG114,0,BY114,BX114,BZ114,AJ114,1,1)*CB114</f>
        <v>#NAME?</v>
      </c>
      <c r="BN114" s="370" t="e">
        <f aca="false">IF(AH114&lt;&gt;0,xSPRDOPT($BW114,$BV114,$CG114,2*LN(1+CA114/2),$BY114,$BX114,$BZ114,$AJ114,1,8)+(AJ114/365.25)*CH114/AH114,0)</f>
        <v>#VALUE!</v>
      </c>
      <c r="BO114" s="370" t="e">
        <f aca="false">xSPRDOPT($BW114,$BV114,$CG114,0,$BY114,$BX114,$BZ114,$AJ114,1,0)</f>
        <v>#NAME?</v>
      </c>
      <c r="BP114" s="370"/>
      <c r="BQ114" s="370"/>
      <c r="BR114" s="370"/>
      <c r="BS114" s="370"/>
      <c r="BV114" s="508" t="n">
        <v>3.44578313253012</v>
      </c>
      <c r="BW114" s="369" t="n">
        <v>3.467</v>
      </c>
      <c r="BX114" s="370" t="n">
        <v>0.37</v>
      </c>
      <c r="BY114" s="370" t="n">
        <v>0.37</v>
      </c>
      <c r="BZ114" s="370" t="n">
        <v>0</v>
      </c>
      <c r="CA114" s="370" t="n">
        <v>0.0348361539671314</v>
      </c>
      <c r="CB114" s="370" t="n">
        <v>0</v>
      </c>
      <c r="CC114" s="505" t="n">
        <v>0</v>
      </c>
      <c r="CD114" s="505" t="n">
        <v>0.03</v>
      </c>
      <c r="CE114" s="505" t="n">
        <v>0.065</v>
      </c>
      <c r="CF114" s="505" t="n">
        <v>0</v>
      </c>
      <c r="CG114" s="505" t="n">
        <v>0.0006</v>
      </c>
      <c r="CH114" s="505" t="n">
        <v>0</v>
      </c>
      <c r="CI114" s="505" t="n">
        <v>3.402</v>
      </c>
      <c r="CJ114" s="505"/>
      <c r="CK114" s="505"/>
      <c r="CL114" s="505"/>
      <c r="CM114" s="505"/>
    </row>
    <row r="115" customFormat="false" ht="12.75" hidden="false" customHeight="false" outlineLevel="0" collapsed="false">
      <c r="A115" s="500"/>
      <c r="B115" s="500"/>
      <c r="D115" s="361" t="e">
        <f aca="false">D114+AH114</f>
        <v>#VALUE!</v>
      </c>
      <c r="F115" s="362" t="e">
        <f aca="false">VLOOKUP(AG115,$AL$4:$AS$15,2)</f>
        <v>#VALUE!</v>
      </c>
      <c r="G115" s="362" t="e">
        <f aca="false">F115*$AU115</f>
        <v>#VALUE!</v>
      </c>
      <c r="H115" s="363" t="e">
        <f aca="false">(AL115+AM115+AN115)/(1-(AR115))</f>
        <v>#VALUE!</v>
      </c>
      <c r="I115" s="363" t="e">
        <f aca="false">(AL115+AO115+AP115)</f>
        <v>#VALUE!</v>
      </c>
      <c r="K115" s="363" t="e">
        <f aca="false">MAX(((I115-H115)-AQ115)*AU115*AH115,0)</f>
        <v>#VALUE!</v>
      </c>
      <c r="L115" s="501" t="e">
        <f aca="false">MAX(Q115-K115,0)</f>
        <v>#VALUE!</v>
      </c>
      <c r="N115" s="502" t="e">
        <f aca="false">SQRT(($AX115^2*($AH115/2)+$AW115^2*$AI115)/(($AH115/2)+$AI115))</f>
        <v>#VALUE!</v>
      </c>
      <c r="O115" s="502" t="e">
        <f aca="false">SQRT(($AY115^2*($AH115/2)+$AW115^2*$AI115)/(($AH115/2)+$AI115))</f>
        <v>#VALUE!</v>
      </c>
      <c r="P115" s="371" t="e">
        <f aca="false">(VLOOKUP(AI115,CorrelationTwo,2)*(AW115^2)*AI115+VLOOKUP(D115,CorrelationOne,$AK$9)*AX115*AY115*(AH115/2))/((AI115+(AH115/2))*O115*N115)*AF115</f>
        <v>#VALUE!</v>
      </c>
      <c r="Q115" s="501" t="e">
        <f aca="false">xSPRDOPT(I115,H115,AQ115,0,O115,N115,P115,D115-$G$5,1,0)*AH115*AU115</f>
        <v>#VALUE!</v>
      </c>
      <c r="R115" s="501"/>
      <c r="S115" s="365" t="e">
        <f aca="false">xSPRDOPT(I115,H115,AQ115,AT115,O115,N115,P115,D115-$G$5,1,2)*AF115*(F115/(1-AR115))*AH115</f>
        <v>#VALUE!</v>
      </c>
      <c r="T115" s="365" t="e">
        <f aca="false">xSPRDOPT(I115,H115,AQ115,AT115,O115,N115,P115,D115-$G$5,1,1)*AF115*F115*AH115</f>
        <v>#VALUE!</v>
      </c>
      <c r="U115" s="501"/>
      <c r="V115" s="503" t="e">
        <f aca="false">VLOOKUP($AG115,$AL$4:$AS$15,8)*AH115*AU115</f>
        <v>#VALUE!</v>
      </c>
      <c r="W115" s="503"/>
      <c r="X115" s="504" t="e">
        <f aca="false">((BM115*BC115)+(BL115*BB115))*AH115*F115</f>
        <v>#VALUE!</v>
      </c>
      <c r="Y115" s="504" t="e">
        <f aca="false">($F115*$AH115)*((($BG115/2)*($BC115)^2)+(($BF115/2)*($BB115)^2)+($BH115*$BC115*$BB115))</f>
        <v>#VALUE!</v>
      </c>
      <c r="Z115" s="504" t="e">
        <f aca="false">($BI115*$F115*$AH115*($G$5-$BV$5))/365.25</f>
        <v>#VALUE!</v>
      </c>
      <c r="AA115" s="504" t="e">
        <f aca="false">(($BK115*$BE115)+($BJ115*$BD115))*$F115*$AH115*$AF115</f>
        <v>#VALUE!</v>
      </c>
      <c r="AB115" s="504" t="e">
        <f aca="false">BN115*(AT115-CA115)*F115*AH115</f>
        <v>#VALUE!</v>
      </c>
      <c r="AC115" s="504" t="e">
        <f aca="false">BO115*CB115*F115*AH115*CA115*($G$5-$BV$5)/365.25</f>
        <v>#NAME?</v>
      </c>
      <c r="AF115" s="378" t="e">
        <f aca="false">IF(AND(D115&gt;=$G$7,D115&lt;=$G$8),1,0)</f>
        <v>#VALUE!</v>
      </c>
      <c r="AG115" s="378" t="e">
        <f aca="false">MONTH(D115)</f>
        <v>#VALUE!</v>
      </c>
      <c r="AH115" s="378" t="e">
        <f aca="false">(EOMONTH(D115,0)-EOMONTH(D115-DAY(D115),0))*AF115</f>
        <v>#VALUE!</v>
      </c>
      <c r="AI115" s="378" t="e">
        <f aca="false">AI114+AH114</f>
        <v>#VALUE!</v>
      </c>
      <c r="AJ115" s="378" t="e">
        <f aca="false">D115-$BV$5</f>
        <v>#VALUE!</v>
      </c>
      <c r="AL115" s="369" t="e">
        <f aca="false">VLOOKUP($D115,CurveTbl,$AK$4)</f>
        <v>#VALUE!</v>
      </c>
      <c r="AM115" s="505" t="e">
        <f aca="false">VLOOKUP($D115,CurveTbl,$AH$3)</f>
        <v>#VALUE!</v>
      </c>
      <c r="AN115" s="505" t="e">
        <f aca="false">VLOOKUP($D115,CurveTbl,$AH$4)+VLOOKUP($AG115,$AL$3:$AS$15,6)</f>
        <v>#VALUE!</v>
      </c>
      <c r="AO115" s="505" t="e">
        <f aca="false">VLOOKUP($D115,CurveTbl,$AH$5)</f>
        <v>#VALUE!</v>
      </c>
      <c r="AP115" s="505" t="e">
        <f aca="false">VLOOKUP($D115,CurveTbl,$AH$6)+VLOOKUP($AG115,$AL$3:$AS$15,7)</f>
        <v>#VALUE!</v>
      </c>
      <c r="AQ115" s="369" t="e">
        <f aca="false">VLOOKUP($AG115,$AL$4:$AS$15,3)+VLOOKUP($AG115,$AL$4:$AS$15,5)+($AH$10*VLOOKUP(D115,GRITable,2))</f>
        <v>#VALUE!</v>
      </c>
      <c r="AR115" s="370" t="e">
        <f aca="false">VLOOKUP($AG115,$AL$4:$AS$15,4)</f>
        <v>#VALUE!</v>
      </c>
      <c r="AS115" s="369" t="e">
        <f aca="false">(AL115+AM115+AN115)</f>
        <v>#VALUE!</v>
      </c>
      <c r="AT115" s="370" t="e">
        <f aca="false">VLOOKUP(D115,CurveTbl,$AK$6)</f>
        <v>#VALUE!</v>
      </c>
      <c r="AU115" s="370" t="e">
        <f aca="false">(1+$AT115/2)^(-2*($D115-$G$5)/365.25)*$AF115</f>
        <v>#VALUE!</v>
      </c>
      <c r="AV115" s="506" t="e">
        <f aca="false">ROUND((F115/(1-AR115))-F115,0)*AF115*AH115*AU115</f>
        <v>#VALUE!</v>
      </c>
      <c r="AW115" s="370" t="e">
        <f aca="false">VLOOKUP($D115,CurveTbl,$AK$8)</f>
        <v>#VALUE!</v>
      </c>
      <c r="AX115" s="370" t="e">
        <f aca="false">VLOOKUP($D115,CurveTbl,$AH$7)</f>
        <v>#VALUE!</v>
      </c>
      <c r="AY115" s="370" t="e">
        <f aca="false">VLOOKUP($D115,CurveTbl,$AH$8)</f>
        <v>#VALUE!</v>
      </c>
      <c r="AZ115" s="370"/>
      <c r="BA115" s="507"/>
      <c r="BB115" s="505" t="e">
        <f aca="false">$H115-$BV115</f>
        <v>#VALUE!</v>
      </c>
      <c r="BC115" s="505" t="e">
        <f aca="false">I115-BW115</f>
        <v>#VALUE!</v>
      </c>
      <c r="BD115" s="370" t="e">
        <f aca="false">N115-BX115</f>
        <v>#VALUE!</v>
      </c>
      <c r="BE115" s="370" t="e">
        <f aca="false">O115-BY115</f>
        <v>#VALUE!</v>
      </c>
      <c r="BF115" s="370" t="e">
        <f aca="false">xSPRDOPT($BW115,$BV115,$CG115,0,$BY115,$BX115,$BZ115,$AJ115,1,4)*$CB115</f>
        <v>#NAME?</v>
      </c>
      <c r="BG115" s="370" t="e">
        <f aca="false">xSPRDOPT($BW115,$BV115,$CG115,0,$BY115,$BX115,$BZ115,$AJ115,1,3)*$CB115</f>
        <v>#NAME?</v>
      </c>
      <c r="BH115" s="370" t="e">
        <f aca="false">IF(OR(BF115&lt;&gt;0,BG115&lt;&gt;0),xSPRDOPT($BW115,$BV115,$CG115,0,$BY115,$BX115,$BZ115,$AJ115,1,12)*$CB115,0)</f>
        <v>#NAME?</v>
      </c>
      <c r="BI115" s="370" t="e">
        <f aca="false">xSPRDOPT($BW115,$BV115,$CG115,2*LN(1+CA115/2),$BY115,$BX115,$BZ115,$AJ115,1,9)</f>
        <v>#NAME?</v>
      </c>
      <c r="BJ115" s="370" t="e">
        <f aca="false">xSPRDOPT($BW115,$BV115,$CG115,0,$BY115,$BX115,$BZ115,$AJ115,1,6)*$CB115</f>
        <v>#NAME?</v>
      </c>
      <c r="BK115" s="370" t="e">
        <f aca="false">xSPRDOPT($BW115,$BV115,$CG115,0,$BY115,$BX115,$BZ115,$AJ115,1,5)*$CB115</f>
        <v>#NAME?</v>
      </c>
      <c r="BL115" s="370" t="e">
        <f aca="false">xSPRDOPT(BW115,BV115,CG115,0,BY115,BX115,BZ115,AJ115,1,2)*CB115</f>
        <v>#NAME?</v>
      </c>
      <c r="BM115" s="370" t="e">
        <f aca="false">xSPRDOPT(BW115,BV115,CG115,0,BY115,BX115,BZ115,AJ115,1,1)*CB115</f>
        <v>#NAME?</v>
      </c>
      <c r="BN115" s="370" t="e">
        <f aca="false">IF(AH115&lt;&gt;0,xSPRDOPT($BW115,$BV115,$CG115,2*LN(1+CA115/2),$BY115,$BX115,$BZ115,$AJ115,1,8)+(AJ115/365.25)*CH115/AH115,0)</f>
        <v>#VALUE!</v>
      </c>
      <c r="BO115" s="370" t="e">
        <f aca="false">xSPRDOPT($BW115,$BV115,$CG115,0,$BY115,$BX115,$BZ115,$AJ115,1,0)</f>
        <v>#NAME?</v>
      </c>
      <c r="BP115" s="370"/>
      <c r="BQ115" s="370"/>
      <c r="BR115" s="370"/>
      <c r="BS115" s="370"/>
      <c r="BV115" s="508" t="n">
        <v>3.44578313253012</v>
      </c>
      <c r="BW115" s="369" t="n">
        <v>3.467</v>
      </c>
      <c r="BX115" s="370" t="n">
        <v>0.37</v>
      </c>
      <c r="BY115" s="370" t="n">
        <v>0.37</v>
      </c>
      <c r="BZ115" s="370" t="n">
        <v>0</v>
      </c>
      <c r="CA115" s="370" t="n">
        <v>0.0348361539671314</v>
      </c>
      <c r="CB115" s="370" t="n">
        <v>0</v>
      </c>
      <c r="CC115" s="505" t="n">
        <v>0</v>
      </c>
      <c r="CD115" s="505" t="n">
        <v>0.03</v>
      </c>
      <c r="CE115" s="505" t="n">
        <v>0.065</v>
      </c>
      <c r="CF115" s="505" t="n">
        <v>0</v>
      </c>
      <c r="CG115" s="505" t="n">
        <v>0.0006</v>
      </c>
      <c r="CH115" s="505" t="n">
        <v>0</v>
      </c>
      <c r="CI115" s="505" t="n">
        <v>3.402</v>
      </c>
      <c r="CJ115" s="505"/>
      <c r="CK115" s="505"/>
      <c r="CL115" s="505"/>
      <c r="CM115" s="505"/>
    </row>
    <row r="116" customFormat="false" ht="12.75" hidden="false" customHeight="false" outlineLevel="0" collapsed="false">
      <c r="A116" s="500"/>
      <c r="B116" s="500"/>
      <c r="D116" s="361" t="e">
        <f aca="false">D115+AH115</f>
        <v>#VALUE!</v>
      </c>
      <c r="F116" s="362" t="e">
        <f aca="false">VLOOKUP(AG116,$AL$4:$AS$15,2)</f>
        <v>#VALUE!</v>
      </c>
      <c r="G116" s="362" t="e">
        <f aca="false">F116*$AU116</f>
        <v>#VALUE!</v>
      </c>
      <c r="H116" s="363" t="e">
        <f aca="false">(AL116+AM116+AN116)/(1-(AR116))</f>
        <v>#VALUE!</v>
      </c>
      <c r="I116" s="363" t="e">
        <f aca="false">(AL116+AO116+AP116)</f>
        <v>#VALUE!</v>
      </c>
      <c r="K116" s="363" t="e">
        <f aca="false">MAX(((I116-H116)-AQ116)*AU116*AH116,0)</f>
        <v>#VALUE!</v>
      </c>
      <c r="L116" s="501" t="e">
        <f aca="false">MAX(Q116-K116,0)</f>
        <v>#VALUE!</v>
      </c>
      <c r="N116" s="502" t="e">
        <f aca="false">SQRT(($AX116^2*($AH116/2)+$AW116^2*$AI116)/(($AH116/2)+$AI116))</f>
        <v>#VALUE!</v>
      </c>
      <c r="O116" s="502" t="e">
        <f aca="false">SQRT(($AY116^2*($AH116/2)+$AW116^2*$AI116)/(($AH116/2)+$AI116))</f>
        <v>#VALUE!</v>
      </c>
      <c r="P116" s="371" t="e">
        <f aca="false">(VLOOKUP(AI116,CorrelationTwo,2)*(AW116^2)*AI116+VLOOKUP(D116,CorrelationOne,$AK$9)*AX116*AY116*(AH116/2))/((AI116+(AH116/2))*O116*N116)*AF116</f>
        <v>#VALUE!</v>
      </c>
      <c r="Q116" s="501" t="e">
        <f aca="false">xSPRDOPT(I116,H116,AQ116,0,O116,N116,P116,D116-$G$5,1,0)*AH116*AU116</f>
        <v>#VALUE!</v>
      </c>
      <c r="R116" s="501"/>
      <c r="S116" s="365" t="e">
        <f aca="false">xSPRDOPT(I116,H116,AQ116,AT116,O116,N116,P116,D116-$G$5,1,2)*AF116*(F116/(1-AR116))*AH116</f>
        <v>#VALUE!</v>
      </c>
      <c r="T116" s="365" t="e">
        <f aca="false">xSPRDOPT(I116,H116,AQ116,AT116,O116,N116,P116,D116-$G$5,1,1)*AF116*F116*AH116</f>
        <v>#VALUE!</v>
      </c>
      <c r="U116" s="501"/>
      <c r="V116" s="503" t="e">
        <f aca="false">VLOOKUP($AG116,$AL$4:$AS$15,8)*AH116*AU116</f>
        <v>#VALUE!</v>
      </c>
      <c r="W116" s="503"/>
      <c r="X116" s="504" t="e">
        <f aca="false">((BM116*BC116)+(BL116*BB116))*AH116*F116</f>
        <v>#VALUE!</v>
      </c>
      <c r="Y116" s="504" t="e">
        <f aca="false">($F116*$AH116)*((($BG116/2)*($BC116)^2)+(($BF116/2)*($BB116)^2)+($BH116*$BC116*$BB116))</f>
        <v>#VALUE!</v>
      </c>
      <c r="Z116" s="504" t="e">
        <f aca="false">($BI116*$F116*$AH116*($G$5-$BV$5))/365.25</f>
        <v>#VALUE!</v>
      </c>
      <c r="AA116" s="504" t="e">
        <f aca="false">(($BK116*$BE116)+($BJ116*$BD116))*$F116*$AH116*$AF116</f>
        <v>#VALUE!</v>
      </c>
      <c r="AB116" s="504" t="e">
        <f aca="false">BN116*(AT116-CA116)*F116*AH116</f>
        <v>#VALUE!</v>
      </c>
      <c r="AC116" s="504" t="e">
        <f aca="false">BO116*CB116*F116*AH116*CA116*($G$5-$BV$5)/365.25</f>
        <v>#NAME?</v>
      </c>
      <c r="AF116" s="378" t="e">
        <f aca="false">IF(AND(D116&gt;=$G$7,D116&lt;=$G$8),1,0)</f>
        <v>#VALUE!</v>
      </c>
      <c r="AG116" s="378" t="e">
        <f aca="false">MONTH(D116)</f>
        <v>#VALUE!</v>
      </c>
      <c r="AH116" s="378" t="e">
        <f aca="false">(EOMONTH(D116,0)-EOMONTH(D116-DAY(D116),0))*AF116</f>
        <v>#VALUE!</v>
      </c>
      <c r="AI116" s="378" t="e">
        <f aca="false">AI115+AH115</f>
        <v>#VALUE!</v>
      </c>
      <c r="AJ116" s="378" t="e">
        <f aca="false">D116-$BV$5</f>
        <v>#VALUE!</v>
      </c>
      <c r="AL116" s="369" t="e">
        <f aca="false">VLOOKUP($D116,CurveTbl,$AK$4)</f>
        <v>#VALUE!</v>
      </c>
      <c r="AM116" s="505" t="e">
        <f aca="false">VLOOKUP($D116,CurveTbl,$AH$3)</f>
        <v>#VALUE!</v>
      </c>
      <c r="AN116" s="505" t="e">
        <f aca="false">VLOOKUP($D116,CurveTbl,$AH$4)+VLOOKUP($AG116,$AL$3:$AS$15,6)</f>
        <v>#VALUE!</v>
      </c>
      <c r="AO116" s="505" t="e">
        <f aca="false">VLOOKUP($D116,CurveTbl,$AH$5)</f>
        <v>#VALUE!</v>
      </c>
      <c r="AP116" s="505" t="e">
        <f aca="false">VLOOKUP($D116,CurveTbl,$AH$6)+VLOOKUP($AG116,$AL$3:$AS$15,7)</f>
        <v>#VALUE!</v>
      </c>
      <c r="AQ116" s="369" t="e">
        <f aca="false">VLOOKUP($AG116,$AL$4:$AS$15,3)+VLOOKUP($AG116,$AL$4:$AS$15,5)+($AH$10*VLOOKUP(D116,GRITable,2))</f>
        <v>#VALUE!</v>
      </c>
      <c r="AR116" s="370" t="e">
        <f aca="false">VLOOKUP($AG116,$AL$4:$AS$15,4)</f>
        <v>#VALUE!</v>
      </c>
      <c r="AS116" s="369" t="e">
        <f aca="false">(AL116+AM116+AN116)</f>
        <v>#VALUE!</v>
      </c>
      <c r="AT116" s="370" t="e">
        <f aca="false">VLOOKUP(D116,CurveTbl,$AK$6)</f>
        <v>#VALUE!</v>
      </c>
      <c r="AU116" s="370" t="e">
        <f aca="false">(1+$AT116/2)^(-2*($D116-$G$5)/365.25)*$AF116</f>
        <v>#VALUE!</v>
      </c>
      <c r="AV116" s="506" t="e">
        <f aca="false">ROUND((F116/(1-AR116))-F116,0)*AF116*AH116*AU116</f>
        <v>#VALUE!</v>
      </c>
      <c r="AW116" s="370" t="e">
        <f aca="false">VLOOKUP($D116,CurveTbl,$AK$8)</f>
        <v>#VALUE!</v>
      </c>
      <c r="AX116" s="370" t="e">
        <f aca="false">VLOOKUP($D116,CurveTbl,$AH$7)</f>
        <v>#VALUE!</v>
      </c>
      <c r="AY116" s="370" t="e">
        <f aca="false">VLOOKUP($D116,CurveTbl,$AH$8)</f>
        <v>#VALUE!</v>
      </c>
      <c r="AZ116" s="370"/>
      <c r="BA116" s="507"/>
      <c r="BB116" s="505" t="e">
        <f aca="false">$H116-$BV116</f>
        <v>#VALUE!</v>
      </c>
      <c r="BC116" s="505" t="e">
        <f aca="false">I116-BW116</f>
        <v>#VALUE!</v>
      </c>
      <c r="BD116" s="370" t="e">
        <f aca="false">N116-BX116</f>
        <v>#VALUE!</v>
      </c>
      <c r="BE116" s="370" t="e">
        <f aca="false">O116-BY116</f>
        <v>#VALUE!</v>
      </c>
      <c r="BF116" s="370" t="e">
        <f aca="false">xSPRDOPT($BW116,$BV116,$CG116,0,$BY116,$BX116,$BZ116,$AJ116,1,4)*$CB116</f>
        <v>#NAME?</v>
      </c>
      <c r="BG116" s="370" t="e">
        <f aca="false">xSPRDOPT($BW116,$BV116,$CG116,0,$BY116,$BX116,$BZ116,$AJ116,1,3)*$CB116</f>
        <v>#NAME?</v>
      </c>
      <c r="BH116" s="370" t="e">
        <f aca="false">IF(OR(BF116&lt;&gt;0,BG116&lt;&gt;0),xSPRDOPT($BW116,$BV116,$CG116,0,$BY116,$BX116,$BZ116,$AJ116,1,12)*$CB116,0)</f>
        <v>#NAME?</v>
      </c>
      <c r="BI116" s="370" t="e">
        <f aca="false">xSPRDOPT($BW116,$BV116,$CG116,2*LN(1+CA116/2),$BY116,$BX116,$BZ116,$AJ116,1,9)</f>
        <v>#NAME?</v>
      </c>
      <c r="BJ116" s="370" t="e">
        <f aca="false">xSPRDOPT($BW116,$BV116,$CG116,0,$BY116,$BX116,$BZ116,$AJ116,1,6)*$CB116</f>
        <v>#NAME?</v>
      </c>
      <c r="BK116" s="370" t="e">
        <f aca="false">xSPRDOPT($BW116,$BV116,$CG116,0,$BY116,$BX116,$BZ116,$AJ116,1,5)*$CB116</f>
        <v>#NAME?</v>
      </c>
      <c r="BL116" s="370" t="e">
        <f aca="false">xSPRDOPT(BW116,BV116,CG116,0,BY116,BX116,BZ116,AJ116,1,2)*CB116</f>
        <v>#NAME?</v>
      </c>
      <c r="BM116" s="370" t="e">
        <f aca="false">xSPRDOPT(BW116,BV116,CG116,0,BY116,BX116,BZ116,AJ116,1,1)*CB116</f>
        <v>#NAME?</v>
      </c>
      <c r="BN116" s="370" t="e">
        <f aca="false">IF(AH116&lt;&gt;0,xSPRDOPT($BW116,$BV116,$CG116,2*LN(1+CA116/2),$BY116,$BX116,$BZ116,$AJ116,1,8)+(AJ116/365.25)*CH116/AH116,0)</f>
        <v>#VALUE!</v>
      </c>
      <c r="BO116" s="370" t="e">
        <f aca="false">xSPRDOPT($BW116,$BV116,$CG116,0,$BY116,$BX116,$BZ116,$AJ116,1,0)</f>
        <v>#NAME?</v>
      </c>
      <c r="BP116" s="370"/>
      <c r="BQ116" s="370"/>
      <c r="BR116" s="370"/>
      <c r="BS116" s="370"/>
      <c r="BV116" s="508" t="n">
        <v>3.44578313253012</v>
      </c>
      <c r="BW116" s="369" t="n">
        <v>3.467</v>
      </c>
      <c r="BX116" s="370" t="n">
        <v>0.37</v>
      </c>
      <c r="BY116" s="370" t="n">
        <v>0.37</v>
      </c>
      <c r="BZ116" s="370" t="n">
        <v>0</v>
      </c>
      <c r="CA116" s="370" t="n">
        <v>0.0348361539671314</v>
      </c>
      <c r="CB116" s="370" t="n">
        <v>0</v>
      </c>
      <c r="CC116" s="505" t="n">
        <v>0</v>
      </c>
      <c r="CD116" s="505" t="n">
        <v>0.03</v>
      </c>
      <c r="CE116" s="505" t="n">
        <v>0.065</v>
      </c>
      <c r="CF116" s="505" t="n">
        <v>0</v>
      </c>
      <c r="CG116" s="505" t="n">
        <v>0.0006</v>
      </c>
      <c r="CH116" s="505" t="n">
        <v>0</v>
      </c>
      <c r="CI116" s="505" t="n">
        <v>3.402</v>
      </c>
      <c r="CJ116" s="505"/>
      <c r="CK116" s="505"/>
      <c r="CL116" s="505"/>
      <c r="CM116" s="505"/>
    </row>
    <row r="117" customFormat="false" ht="12.75" hidden="false" customHeight="false" outlineLevel="0" collapsed="false">
      <c r="A117" s="500"/>
      <c r="B117" s="500"/>
      <c r="D117" s="361" t="e">
        <f aca="false">D116+AH116</f>
        <v>#VALUE!</v>
      </c>
      <c r="F117" s="362" t="e">
        <f aca="false">VLOOKUP(AG117,$AL$4:$AS$15,2)</f>
        <v>#VALUE!</v>
      </c>
      <c r="G117" s="362" t="e">
        <f aca="false">F117*$AU117</f>
        <v>#VALUE!</v>
      </c>
      <c r="H117" s="363" t="e">
        <f aca="false">(AL117+AM117+AN117)/(1-(AR117))</f>
        <v>#VALUE!</v>
      </c>
      <c r="I117" s="363" t="e">
        <f aca="false">(AL117+AO117+AP117)</f>
        <v>#VALUE!</v>
      </c>
      <c r="K117" s="363" t="e">
        <f aca="false">MAX(((I117-H117)-AQ117)*AU117*AH117,0)</f>
        <v>#VALUE!</v>
      </c>
      <c r="L117" s="501" t="e">
        <f aca="false">MAX(Q117-K117,0)</f>
        <v>#VALUE!</v>
      </c>
      <c r="N117" s="502" t="e">
        <f aca="false">SQRT(($AX117^2*($AH117/2)+$AW117^2*$AI117)/(($AH117/2)+$AI117))</f>
        <v>#VALUE!</v>
      </c>
      <c r="O117" s="502" t="e">
        <f aca="false">SQRT(($AY117^2*($AH117/2)+$AW117^2*$AI117)/(($AH117/2)+$AI117))</f>
        <v>#VALUE!</v>
      </c>
      <c r="P117" s="371" t="e">
        <f aca="false">(VLOOKUP(AI117,CorrelationTwo,2)*(AW117^2)*AI117+VLOOKUP(D117,CorrelationOne,$AK$9)*AX117*AY117*(AH117/2))/((AI117+(AH117/2))*O117*N117)*AF117</f>
        <v>#VALUE!</v>
      </c>
      <c r="Q117" s="501" t="e">
        <f aca="false">xSPRDOPT(I117,H117,AQ117,0,O117,N117,P117,D117-$G$5,1,0)*AH117*AU117</f>
        <v>#VALUE!</v>
      </c>
      <c r="R117" s="501"/>
      <c r="S117" s="365" t="e">
        <f aca="false">xSPRDOPT(I117,H117,AQ117,AT117,O117,N117,P117,D117-$G$5,1,2)*AF117*(F117/(1-AR117))*AH117</f>
        <v>#VALUE!</v>
      </c>
      <c r="T117" s="365" t="e">
        <f aca="false">xSPRDOPT(I117,H117,AQ117,AT117,O117,N117,P117,D117-$G$5,1,1)*AF117*F117*AH117</f>
        <v>#VALUE!</v>
      </c>
      <c r="U117" s="501"/>
      <c r="V117" s="503" t="e">
        <f aca="false">VLOOKUP($AG117,$AL$4:$AS$15,8)*AH117*AU117</f>
        <v>#VALUE!</v>
      </c>
      <c r="W117" s="503"/>
      <c r="X117" s="504" t="e">
        <f aca="false">((BM117*BC117)+(BL117*BB117))*AH117*F117</f>
        <v>#VALUE!</v>
      </c>
      <c r="Y117" s="504" t="e">
        <f aca="false">($F117*$AH117)*((($BG117/2)*($BC117)^2)+(($BF117/2)*($BB117)^2)+($BH117*$BC117*$BB117))</f>
        <v>#VALUE!</v>
      </c>
      <c r="Z117" s="504" t="e">
        <f aca="false">($BI117*$F117*$AH117*($G$5-$BV$5))/365.25</f>
        <v>#VALUE!</v>
      </c>
      <c r="AA117" s="504" t="e">
        <f aca="false">(($BK117*$BE117)+($BJ117*$BD117))*$F117*$AH117*$AF117</f>
        <v>#VALUE!</v>
      </c>
      <c r="AB117" s="504" t="e">
        <f aca="false">BN117*(AT117-CA117)*F117*AH117</f>
        <v>#VALUE!</v>
      </c>
      <c r="AC117" s="504" t="e">
        <f aca="false">BO117*CB117*F117*AH117*CA117*($G$5-$BV$5)/365.25</f>
        <v>#NAME?</v>
      </c>
      <c r="AF117" s="378" t="e">
        <f aca="false">IF(AND(D117&gt;=$G$7,D117&lt;=$G$8),1,0)</f>
        <v>#VALUE!</v>
      </c>
      <c r="AG117" s="378" t="e">
        <f aca="false">MONTH(D117)</f>
        <v>#VALUE!</v>
      </c>
      <c r="AH117" s="378" t="e">
        <f aca="false">(EOMONTH(D117,0)-EOMONTH(D117-DAY(D117),0))*AF117</f>
        <v>#VALUE!</v>
      </c>
      <c r="AI117" s="378" t="e">
        <f aca="false">AI116+AH116</f>
        <v>#VALUE!</v>
      </c>
      <c r="AJ117" s="378" t="e">
        <f aca="false">D117-$BV$5</f>
        <v>#VALUE!</v>
      </c>
      <c r="AL117" s="369" t="e">
        <f aca="false">VLOOKUP($D117,CurveTbl,$AK$4)</f>
        <v>#VALUE!</v>
      </c>
      <c r="AM117" s="505" t="e">
        <f aca="false">VLOOKUP($D117,CurveTbl,$AH$3)</f>
        <v>#VALUE!</v>
      </c>
      <c r="AN117" s="505" t="e">
        <f aca="false">VLOOKUP($D117,CurveTbl,$AH$4)+VLOOKUP($AG117,$AL$3:$AS$15,6)</f>
        <v>#VALUE!</v>
      </c>
      <c r="AO117" s="505" t="e">
        <f aca="false">VLOOKUP($D117,CurveTbl,$AH$5)</f>
        <v>#VALUE!</v>
      </c>
      <c r="AP117" s="505" t="e">
        <f aca="false">VLOOKUP($D117,CurveTbl,$AH$6)+VLOOKUP($AG117,$AL$3:$AS$15,7)</f>
        <v>#VALUE!</v>
      </c>
      <c r="AQ117" s="369" t="e">
        <f aca="false">VLOOKUP($AG117,$AL$4:$AS$15,3)+VLOOKUP($AG117,$AL$4:$AS$15,5)+($AH$10*VLOOKUP(D117,GRITable,2))</f>
        <v>#VALUE!</v>
      </c>
      <c r="AR117" s="370" t="e">
        <f aca="false">VLOOKUP($AG117,$AL$4:$AS$15,4)</f>
        <v>#VALUE!</v>
      </c>
      <c r="AS117" s="369" t="e">
        <f aca="false">(AL117+AM117+AN117)</f>
        <v>#VALUE!</v>
      </c>
      <c r="AT117" s="370" t="e">
        <f aca="false">VLOOKUP(D117,CurveTbl,$AK$6)</f>
        <v>#VALUE!</v>
      </c>
      <c r="AU117" s="370" t="e">
        <f aca="false">(1+$AT117/2)^(-2*($D117-$G$5)/365.25)*$AF117</f>
        <v>#VALUE!</v>
      </c>
      <c r="AV117" s="506" t="e">
        <f aca="false">ROUND((F117/(1-AR117))-F117,0)*AF117*AH117*AU117</f>
        <v>#VALUE!</v>
      </c>
      <c r="AW117" s="370" t="e">
        <f aca="false">VLOOKUP($D117,CurveTbl,$AK$8)</f>
        <v>#VALUE!</v>
      </c>
      <c r="AX117" s="370" t="e">
        <f aca="false">VLOOKUP($D117,CurveTbl,$AH$7)</f>
        <v>#VALUE!</v>
      </c>
      <c r="AY117" s="370" t="e">
        <f aca="false">VLOOKUP($D117,CurveTbl,$AH$8)</f>
        <v>#VALUE!</v>
      </c>
      <c r="AZ117" s="370"/>
      <c r="BA117" s="507"/>
      <c r="BB117" s="505" t="e">
        <f aca="false">$H117-$BV117</f>
        <v>#VALUE!</v>
      </c>
      <c r="BC117" s="505" t="e">
        <f aca="false">I117-BW117</f>
        <v>#VALUE!</v>
      </c>
      <c r="BD117" s="370" t="e">
        <f aca="false">N117-BX117</f>
        <v>#VALUE!</v>
      </c>
      <c r="BE117" s="370" t="e">
        <f aca="false">O117-BY117</f>
        <v>#VALUE!</v>
      </c>
      <c r="BF117" s="370" t="e">
        <f aca="false">xSPRDOPT($BW117,$BV117,$CG117,0,$BY117,$BX117,$BZ117,$AJ117,1,4)*$CB117</f>
        <v>#NAME?</v>
      </c>
      <c r="BG117" s="370" t="e">
        <f aca="false">xSPRDOPT($BW117,$BV117,$CG117,0,$BY117,$BX117,$BZ117,$AJ117,1,3)*$CB117</f>
        <v>#NAME?</v>
      </c>
      <c r="BH117" s="370" t="e">
        <f aca="false">IF(OR(BF117&lt;&gt;0,BG117&lt;&gt;0),xSPRDOPT($BW117,$BV117,$CG117,0,$BY117,$BX117,$BZ117,$AJ117,1,12)*$CB117,0)</f>
        <v>#NAME?</v>
      </c>
      <c r="BI117" s="370" t="e">
        <f aca="false">xSPRDOPT($BW117,$BV117,$CG117,2*LN(1+CA117/2),$BY117,$BX117,$BZ117,$AJ117,1,9)</f>
        <v>#NAME?</v>
      </c>
      <c r="BJ117" s="370" t="e">
        <f aca="false">xSPRDOPT($BW117,$BV117,$CG117,0,$BY117,$BX117,$BZ117,$AJ117,1,6)*$CB117</f>
        <v>#NAME?</v>
      </c>
      <c r="BK117" s="370" t="e">
        <f aca="false">xSPRDOPT($BW117,$BV117,$CG117,0,$BY117,$BX117,$BZ117,$AJ117,1,5)*$CB117</f>
        <v>#NAME?</v>
      </c>
      <c r="BL117" s="370" t="e">
        <f aca="false">xSPRDOPT(BW117,BV117,CG117,0,BY117,BX117,BZ117,AJ117,1,2)*CB117</f>
        <v>#NAME?</v>
      </c>
      <c r="BM117" s="370" t="e">
        <f aca="false">xSPRDOPT(BW117,BV117,CG117,0,BY117,BX117,BZ117,AJ117,1,1)*CB117</f>
        <v>#NAME?</v>
      </c>
      <c r="BN117" s="370" t="e">
        <f aca="false">IF(AH117&lt;&gt;0,xSPRDOPT($BW117,$BV117,$CG117,2*LN(1+CA117/2),$BY117,$BX117,$BZ117,$AJ117,1,8)+(AJ117/365.25)*CH117/AH117,0)</f>
        <v>#VALUE!</v>
      </c>
      <c r="BO117" s="370" t="e">
        <f aca="false">xSPRDOPT($BW117,$BV117,$CG117,0,$BY117,$BX117,$BZ117,$AJ117,1,0)</f>
        <v>#NAME?</v>
      </c>
      <c r="BP117" s="370"/>
      <c r="BQ117" s="370"/>
      <c r="BR117" s="370"/>
      <c r="BS117" s="370"/>
      <c r="BV117" s="508" t="n">
        <v>3.44578313253012</v>
      </c>
      <c r="BW117" s="369" t="n">
        <v>3.467</v>
      </c>
      <c r="BX117" s="370" t="n">
        <v>0.37</v>
      </c>
      <c r="BY117" s="370" t="n">
        <v>0.37</v>
      </c>
      <c r="BZ117" s="370" t="n">
        <v>0</v>
      </c>
      <c r="CA117" s="370" t="n">
        <v>0.0348361539671314</v>
      </c>
      <c r="CB117" s="370" t="n">
        <v>0</v>
      </c>
      <c r="CC117" s="505" t="n">
        <v>0</v>
      </c>
      <c r="CD117" s="505" t="n">
        <v>0.03</v>
      </c>
      <c r="CE117" s="505" t="n">
        <v>0.065</v>
      </c>
      <c r="CF117" s="505" t="n">
        <v>0</v>
      </c>
      <c r="CG117" s="505" t="n">
        <v>0.0006</v>
      </c>
      <c r="CH117" s="505" t="n">
        <v>0</v>
      </c>
      <c r="CI117" s="505" t="n">
        <v>3.402</v>
      </c>
      <c r="CJ117" s="505"/>
      <c r="CK117" s="505"/>
      <c r="CL117" s="505"/>
      <c r="CM117" s="505"/>
    </row>
    <row r="118" customFormat="false" ht="12.75" hidden="false" customHeight="false" outlineLevel="0" collapsed="false">
      <c r="A118" s="500"/>
      <c r="B118" s="500"/>
    </row>
    <row r="119" customFormat="false" ht="12.75" hidden="false" customHeight="false" outlineLevel="0" collapsed="false">
      <c r="A119" s="500"/>
      <c r="B119" s="500"/>
    </row>
    <row r="120" customFormat="false" ht="12.75" hidden="false" customHeight="false" outlineLevel="0" collapsed="false">
      <c r="A120" s="500"/>
      <c r="B120" s="500"/>
    </row>
    <row r="121" customFormat="false" ht="12.75" hidden="false" customHeight="false" outlineLevel="0" collapsed="false">
      <c r="A121" s="500"/>
      <c r="B121" s="500"/>
    </row>
    <row r="122" customFormat="false" ht="12.75" hidden="false" customHeight="false" outlineLevel="0" collapsed="false">
      <c r="A122" s="500"/>
      <c r="B122" s="500"/>
    </row>
    <row r="123" customFormat="false" ht="12.75" hidden="false" customHeight="false" outlineLevel="0" collapsed="false">
      <c r="A123" s="500"/>
      <c r="B123" s="500"/>
    </row>
    <row r="124" customFormat="false" ht="12.75" hidden="false" customHeight="false" outlineLevel="0" collapsed="false">
      <c r="A124" s="500"/>
      <c r="B124" s="500"/>
    </row>
    <row r="125" customFormat="false" ht="12.75" hidden="false" customHeight="false" outlineLevel="0" collapsed="false">
      <c r="A125" s="500"/>
      <c r="B125" s="500"/>
    </row>
    <row r="126" customFormat="false" ht="12.75" hidden="false" customHeight="false" outlineLevel="0" collapsed="false">
      <c r="A126" s="500"/>
      <c r="B126" s="500"/>
    </row>
    <row r="127" customFormat="false" ht="12.75" hidden="false" customHeight="false" outlineLevel="0" collapsed="false">
      <c r="A127" s="500"/>
      <c r="B127" s="500"/>
    </row>
    <row r="128" customFormat="false" ht="12.75" hidden="false" customHeight="false" outlineLevel="0" collapsed="false">
      <c r="A128" s="500"/>
      <c r="B128" s="500"/>
    </row>
    <row r="129" customFormat="false" ht="12.75" hidden="false" customHeight="false" outlineLevel="0" collapsed="false">
      <c r="A129" s="500"/>
      <c r="B129" s="500"/>
    </row>
  </sheetData>
  <mergeCells count="133">
    <mergeCell ref="F1:G1"/>
    <mergeCell ref="L1:P1"/>
    <mergeCell ref="AE1:AK1"/>
    <mergeCell ref="BA1:BH1"/>
    <mergeCell ref="BU1:CB1"/>
    <mergeCell ref="L3:M3"/>
    <mergeCell ref="L4:M4"/>
    <mergeCell ref="L5:M5"/>
    <mergeCell ref="L6:M6"/>
    <mergeCell ref="L7:M7"/>
    <mergeCell ref="L8:M8"/>
    <mergeCell ref="L9:M9"/>
    <mergeCell ref="D10:H10"/>
    <mergeCell ref="L10:M10"/>
    <mergeCell ref="L11:M11"/>
    <mergeCell ref="L12:M12"/>
    <mergeCell ref="L13:M13"/>
    <mergeCell ref="L14:M14"/>
    <mergeCell ref="L15:M15"/>
    <mergeCell ref="L16:M16"/>
    <mergeCell ref="L17:M17"/>
    <mergeCell ref="L18:M18"/>
    <mergeCell ref="L19:M19"/>
    <mergeCell ref="AM20:AN20"/>
    <mergeCell ref="AO20:AP20"/>
    <mergeCell ref="A22:B22"/>
    <mergeCell ref="A23:B23"/>
    <mergeCell ref="A24:B24"/>
    <mergeCell ref="A25:B25"/>
    <mergeCell ref="A26:B26"/>
    <mergeCell ref="A27:C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3.Button74_Click">
                <anchor moveWithCells="true" sizeWithCells="false">
                  <from>
                    <xdr:col>3</xdr:col>
                    <xdr:colOff>0</xdr:colOff>
                    <xdr:row>3</xdr:row>
                    <xdr:rowOff>37800</xdr:rowOff>
                  </from>
                  <to>
                    <xdr:col>5</xdr:col>
                    <xdr:colOff>1080</xdr:colOff>
                    <xdr:row>5</xdr:row>
                    <xdr:rowOff>56880</xdr:rowOff>
                  </to>
                </anchor>
              </controlPr>
            </control>
          </mc:Choice>
        </mc:AlternateContent>
        <mc:AlternateContent xmlns:mc="http://schemas.openxmlformats.org/markup-compatibility/2006">
          <mc:Choice Requires="x14">
            <control shapeId="1002" r:id="rId5" name="Button 2">
              <controlPr defaultSize="0" print="false" autoFill="0" autoPict="0" macro="Module5.Button8_Click">
                <anchor moveWithCells="true" sizeWithCells="false">
                  <from>
                    <xdr:col>3</xdr:col>
                    <xdr:colOff>0</xdr:colOff>
                    <xdr:row>5</xdr:row>
                    <xdr:rowOff>133200</xdr:rowOff>
                  </from>
                  <to>
                    <xdr:col>5</xdr:col>
                    <xdr:colOff>1080</xdr:colOff>
                    <xdr:row>7</xdr:row>
                    <xdr:rowOff>142920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C2:E49"/>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H23" activeCellId="0" sqref="H23"/>
    </sheetView>
  </sheetViews>
  <sheetFormatPr defaultColWidth="9.13671875" defaultRowHeight="12.75" customHeight="true" zeroHeight="false" outlineLevelRow="0" outlineLevelCol="0"/>
  <cols>
    <col collapsed="false" customWidth="true" hidden="false" outlineLevel="0" max="2" min="1" style="143" width="3.7"/>
    <col collapsed="false" customWidth="true" hidden="false" outlineLevel="0" max="4" min="3" style="540" width="3.7"/>
    <col collapsed="false" customWidth="true" hidden="false" outlineLevel="0" max="5" min="5" style="143" width="100.7"/>
    <col collapsed="false" customWidth="false" hidden="false" outlineLevel="0" max="257" min="6" style="143" width="9.14"/>
  </cols>
  <sheetData>
    <row r="2" customFormat="false" ht="12.75" hidden="false" customHeight="false" outlineLevel="0" collapsed="false">
      <c r="C2" s="541"/>
      <c r="D2" s="541"/>
      <c r="E2" s="542"/>
    </row>
    <row r="3" customFormat="false" ht="12.75" hidden="false" customHeight="true" outlineLevel="0" collapsed="false">
      <c r="C3" s="543" t="s">
        <v>538</v>
      </c>
      <c r="D3" s="543"/>
      <c r="E3" s="543"/>
    </row>
    <row r="4" customFormat="false" ht="12.75" hidden="false" customHeight="true" outlineLevel="0" collapsed="false">
      <c r="C4" s="544" t="s">
        <v>539</v>
      </c>
      <c r="D4" s="544"/>
      <c r="E4" s="544"/>
    </row>
    <row r="5" customFormat="false" ht="12.75" hidden="false" customHeight="false" outlineLevel="0" collapsed="false">
      <c r="C5" s="541"/>
      <c r="D5" s="541"/>
      <c r="E5" s="542"/>
    </row>
    <row r="6" customFormat="false" ht="12.75" hidden="false" customHeight="true" outlineLevel="0" collapsed="false">
      <c r="C6" s="543" t="s">
        <v>540</v>
      </c>
      <c r="D6" s="543"/>
      <c r="E6" s="543"/>
    </row>
    <row r="7" customFormat="false" ht="12.75" hidden="false" customHeight="true" outlineLevel="0" collapsed="false">
      <c r="C7" s="544" t="s">
        <v>541</v>
      </c>
      <c r="D7" s="544"/>
      <c r="E7" s="544"/>
    </row>
    <row r="8" customFormat="false" ht="12.75" hidden="false" customHeight="true" outlineLevel="0" collapsed="false">
      <c r="C8" s="544" t="s">
        <v>542</v>
      </c>
      <c r="D8" s="544"/>
      <c r="E8" s="544"/>
    </row>
    <row r="9" customFormat="false" ht="12.75" hidden="false" customHeight="true" outlineLevel="0" collapsed="false">
      <c r="C9" s="544" t="s">
        <v>543</v>
      </c>
      <c r="D9" s="544"/>
      <c r="E9" s="544"/>
    </row>
    <row r="10" customFormat="false" ht="12.75" hidden="false" customHeight="false" outlineLevel="0" collapsed="false">
      <c r="C10" s="541"/>
      <c r="D10" s="541"/>
      <c r="E10" s="542"/>
    </row>
    <row r="11" customFormat="false" ht="12.75" hidden="false" customHeight="true" outlineLevel="0" collapsed="false">
      <c r="C11" s="543" t="s">
        <v>544</v>
      </c>
      <c r="D11" s="543"/>
      <c r="E11" s="543"/>
    </row>
    <row r="12" customFormat="false" ht="12.75" hidden="false" customHeight="true" outlineLevel="0" collapsed="false">
      <c r="C12" s="545" t="s">
        <v>545</v>
      </c>
      <c r="D12" s="545"/>
      <c r="E12" s="545"/>
    </row>
    <row r="13" customFormat="false" ht="25.5" hidden="false" customHeight="false" outlineLevel="0" collapsed="false">
      <c r="C13" s="546"/>
      <c r="D13" s="546"/>
      <c r="E13" s="541" t="s">
        <v>546</v>
      </c>
    </row>
    <row r="14" customFormat="false" ht="12.75" hidden="false" customHeight="false" outlineLevel="0" collapsed="false">
      <c r="C14" s="547"/>
      <c r="D14" s="547"/>
      <c r="E14" s="541"/>
    </row>
    <row r="15" customFormat="false" ht="12.75" hidden="false" customHeight="true" outlineLevel="0" collapsed="false">
      <c r="C15" s="545" t="s">
        <v>547</v>
      </c>
      <c r="D15" s="545"/>
      <c r="E15" s="545"/>
    </row>
    <row r="16" customFormat="false" ht="51" hidden="false" customHeight="false" outlineLevel="0" collapsed="false">
      <c r="C16" s="541"/>
      <c r="D16" s="541"/>
      <c r="E16" s="541" t="s">
        <v>548</v>
      </c>
    </row>
    <row r="17" customFormat="false" ht="12.75" hidden="false" customHeight="false" outlineLevel="0" collapsed="false">
      <c r="C17" s="544"/>
      <c r="D17" s="544"/>
      <c r="E17" s="544"/>
    </row>
    <row r="18" customFormat="false" ht="12.75" hidden="false" customHeight="true" outlineLevel="0" collapsed="false">
      <c r="C18" s="545" t="s">
        <v>549</v>
      </c>
      <c r="D18" s="545"/>
      <c r="E18" s="545"/>
    </row>
    <row r="19" customFormat="false" ht="102" hidden="false" customHeight="false" outlineLevel="0" collapsed="false">
      <c r="C19" s="541"/>
      <c r="D19" s="541"/>
      <c r="E19" s="541" t="s">
        <v>550</v>
      </c>
    </row>
    <row r="20" customFormat="false" ht="12.75" hidden="false" customHeight="false" outlineLevel="0" collapsed="false">
      <c r="C20" s="541"/>
      <c r="D20" s="541"/>
      <c r="E20" s="541"/>
    </row>
    <row r="21" customFormat="false" ht="12.75" hidden="false" customHeight="true" outlineLevel="0" collapsed="false">
      <c r="C21" s="545" t="s">
        <v>551</v>
      </c>
      <c r="D21" s="545"/>
      <c r="E21" s="545"/>
    </row>
    <row r="22" customFormat="false" ht="12.75" hidden="false" customHeight="false" outlineLevel="0" collapsed="false">
      <c r="C22" s="546"/>
      <c r="D22" s="546"/>
      <c r="E22" s="541" t="s">
        <v>552</v>
      </c>
    </row>
    <row r="23" customFormat="false" ht="12.75" hidden="false" customHeight="false" outlineLevel="0" collapsed="false">
      <c r="C23" s="541"/>
      <c r="D23" s="541"/>
      <c r="E23" s="541"/>
    </row>
    <row r="24" customFormat="false" ht="12.75" hidden="false" customHeight="true" outlineLevel="0" collapsed="false">
      <c r="C24" s="545" t="s">
        <v>553</v>
      </c>
      <c r="D24" s="545"/>
      <c r="E24" s="545"/>
    </row>
    <row r="25" customFormat="false" ht="25.5" hidden="false" customHeight="false" outlineLevel="0" collapsed="false">
      <c r="C25" s="546"/>
      <c r="D25" s="546"/>
      <c r="E25" s="548" t="s">
        <v>554</v>
      </c>
    </row>
    <row r="26" customFormat="false" ht="12.75" hidden="false" customHeight="false" outlineLevel="0" collapsed="false">
      <c r="C26" s="544"/>
      <c r="D26" s="544"/>
      <c r="E26" s="544"/>
    </row>
    <row r="27" customFormat="false" ht="12.75" hidden="false" customHeight="true" outlineLevel="0" collapsed="false">
      <c r="C27" s="545" t="s">
        <v>555</v>
      </c>
      <c r="D27" s="545"/>
      <c r="E27" s="545"/>
    </row>
    <row r="28" customFormat="false" ht="25.5" hidden="false" customHeight="false" outlineLevel="0" collapsed="false">
      <c r="C28" s="546"/>
      <c r="D28" s="546"/>
      <c r="E28" s="548" t="s">
        <v>556</v>
      </c>
    </row>
    <row r="29" customFormat="false" ht="12.75" hidden="false" customHeight="false" outlineLevel="0" collapsed="false">
      <c r="C29" s="544"/>
      <c r="D29" s="544"/>
      <c r="E29" s="544"/>
    </row>
    <row r="30" customFormat="false" ht="12.75" hidden="false" customHeight="true" outlineLevel="0" collapsed="false">
      <c r="C30" s="545" t="s">
        <v>557</v>
      </c>
      <c r="D30" s="545"/>
      <c r="E30" s="545"/>
    </row>
    <row r="31" customFormat="false" ht="25.5" hidden="false" customHeight="false" outlineLevel="0" collapsed="false">
      <c r="C31" s="546"/>
      <c r="D31" s="546"/>
      <c r="E31" s="548" t="s">
        <v>558</v>
      </c>
    </row>
    <row r="32" customFormat="false" ht="12.75" hidden="false" customHeight="false" outlineLevel="0" collapsed="false">
      <c r="C32" s="544"/>
      <c r="D32" s="544"/>
      <c r="E32" s="544"/>
    </row>
    <row r="33" customFormat="false" ht="12.75" hidden="false" customHeight="true" outlineLevel="0" collapsed="false">
      <c r="C33" s="543" t="s">
        <v>559</v>
      </c>
      <c r="D33" s="543"/>
      <c r="E33" s="543"/>
    </row>
    <row r="34" customFormat="false" ht="12.75" hidden="false" customHeight="true" outlineLevel="0" collapsed="false">
      <c r="C34" s="545" t="s">
        <v>560</v>
      </c>
      <c r="D34" s="545"/>
      <c r="E34" s="545"/>
    </row>
    <row r="35" customFormat="false" ht="12.75" hidden="false" customHeight="false" outlineLevel="0" collapsed="false">
      <c r="C35" s="546"/>
      <c r="D35" s="546"/>
      <c r="E35" s="548" t="s">
        <v>561</v>
      </c>
    </row>
    <row r="36" customFormat="false" ht="12.75" hidden="false" customHeight="false" outlineLevel="0" collapsed="false">
      <c r="C36" s="546"/>
      <c r="D36" s="546"/>
      <c r="E36" s="548" t="s">
        <v>562</v>
      </c>
    </row>
    <row r="37" customFormat="false" ht="25.5" hidden="false" customHeight="false" outlineLevel="0" collapsed="false">
      <c r="C37" s="546"/>
      <c r="D37" s="546"/>
      <c r="E37" s="548" t="s">
        <v>563</v>
      </c>
    </row>
    <row r="38" customFormat="false" ht="12.75" hidden="false" customHeight="false" outlineLevel="0" collapsed="false">
      <c r="C38" s="546"/>
      <c r="D38" s="546"/>
      <c r="E38" s="548" t="s">
        <v>564</v>
      </c>
    </row>
    <row r="39" customFormat="false" ht="12.75" hidden="false" customHeight="false" outlineLevel="0" collapsed="false">
      <c r="C39" s="546"/>
      <c r="D39" s="546"/>
      <c r="E39" s="548" t="s">
        <v>565</v>
      </c>
    </row>
    <row r="40" customFormat="false" ht="51" hidden="false" customHeight="false" outlineLevel="0" collapsed="false">
      <c r="C40" s="546"/>
      <c r="D40" s="546"/>
      <c r="E40" s="548" t="s">
        <v>566</v>
      </c>
    </row>
    <row r="41" customFormat="false" ht="25.5" hidden="false" customHeight="false" outlineLevel="0" collapsed="false">
      <c r="C41" s="546"/>
      <c r="D41" s="546"/>
      <c r="E41" s="548" t="s">
        <v>567</v>
      </c>
    </row>
    <row r="42" customFormat="false" ht="12.75" hidden="false" customHeight="true" outlineLevel="0" collapsed="false">
      <c r="C42" s="545" t="s">
        <v>568</v>
      </c>
      <c r="D42" s="545"/>
      <c r="E42" s="545"/>
    </row>
    <row r="43" customFormat="false" ht="38.25" hidden="false" customHeight="true" outlineLevel="0" collapsed="false">
      <c r="C43" s="546"/>
      <c r="D43" s="546"/>
      <c r="E43" s="548" t="s">
        <v>569</v>
      </c>
    </row>
    <row r="44" customFormat="false" ht="51" hidden="false" customHeight="false" outlineLevel="0" collapsed="false">
      <c r="C44" s="546"/>
      <c r="D44" s="546"/>
      <c r="E44" s="548" t="s">
        <v>570</v>
      </c>
    </row>
    <row r="45" customFormat="false" ht="12.75" hidden="false" customHeight="false" outlineLevel="0" collapsed="false">
      <c r="C45" s="546"/>
      <c r="D45" s="546"/>
      <c r="E45" s="548"/>
    </row>
    <row r="46" customFormat="false" ht="12.75" hidden="false" customHeight="false" outlineLevel="0" collapsed="false">
      <c r="C46" s="546"/>
      <c r="D46" s="546"/>
      <c r="E46" s="548"/>
    </row>
    <row r="47" customFormat="false" ht="12.75" hidden="false" customHeight="false" outlineLevel="0" collapsed="false">
      <c r="C47" s="546"/>
      <c r="D47" s="546"/>
      <c r="E47" s="548"/>
    </row>
    <row r="48" customFormat="false" ht="12.75" hidden="false" customHeight="false" outlineLevel="0" collapsed="false">
      <c r="C48" s="546"/>
      <c r="D48" s="546"/>
      <c r="E48" s="548"/>
    </row>
    <row r="49" customFormat="false" ht="12.75" hidden="false" customHeight="false" outlineLevel="0" collapsed="false">
      <c r="C49" s="546"/>
      <c r="D49" s="546"/>
      <c r="E49" s="548"/>
    </row>
  </sheetData>
  <mergeCells count="21">
    <mergeCell ref="C3:E3"/>
    <mergeCell ref="C4:E4"/>
    <mergeCell ref="C6:E6"/>
    <mergeCell ref="C7:E7"/>
    <mergeCell ref="C8:E8"/>
    <mergeCell ref="C9:E9"/>
    <mergeCell ref="C11:E11"/>
    <mergeCell ref="C12:E12"/>
    <mergeCell ref="C15:E15"/>
    <mergeCell ref="C17:E17"/>
    <mergeCell ref="C18:E18"/>
    <mergeCell ref="C21:E21"/>
    <mergeCell ref="C24:E24"/>
    <mergeCell ref="C26:E26"/>
    <mergeCell ref="C27:E27"/>
    <mergeCell ref="C29:E29"/>
    <mergeCell ref="C30:E30"/>
    <mergeCell ref="C32:E32"/>
    <mergeCell ref="C33:E33"/>
    <mergeCell ref="C34:E34"/>
    <mergeCell ref="C42:E42"/>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C3:L114"/>
  <sheetViews>
    <sheetView showFormulas="false" showGridLines="true" showRowColHeaders="true" showZeros="true" rightToLeft="false" tabSelected="false" showOutlineSymbols="true" defaultGridColor="true" view="normal" topLeftCell="A40" colorId="64" zoomScale="80" zoomScaleNormal="80" zoomScalePageLayoutView="100" workbookViewId="0">
      <selection pane="topLeft" activeCell="D51" activeCellId="0" sqref="D51"/>
    </sheetView>
  </sheetViews>
  <sheetFormatPr defaultColWidth="9.13671875" defaultRowHeight="12.75" customHeight="true" zeroHeight="false" outlineLevelRow="0" outlineLevelCol="0"/>
  <cols>
    <col collapsed="false" customWidth="true" hidden="false" outlineLevel="0" max="2" min="1" style="1" width="3.7"/>
    <col collapsed="false" customWidth="true" hidden="false" outlineLevel="0" max="3" min="3" style="1" width="35.7"/>
    <col collapsed="false" customWidth="true" hidden="false" outlineLevel="0" max="4" min="4" style="1" width="20.7"/>
    <col collapsed="false" customWidth="true" hidden="false" outlineLevel="0" max="6" min="5" style="1" width="3.7"/>
    <col collapsed="false" customWidth="true" hidden="false" outlineLevel="0" max="8" min="7" style="1" width="20.7"/>
    <col collapsed="false" customWidth="true" hidden="false" outlineLevel="0" max="10" min="9" style="1" width="3.7"/>
    <col collapsed="false" customWidth="true" hidden="false" outlineLevel="0" max="12" min="11" style="1" width="20.7"/>
    <col collapsed="false" customWidth="true" hidden="false" outlineLevel="0" max="14" min="13" style="1" width="3.7"/>
    <col collapsed="false" customWidth="true" hidden="false" outlineLevel="0" max="16" min="15" style="1" width="20.7"/>
    <col collapsed="false" customWidth="false" hidden="false" outlineLevel="0" max="257" min="17" style="1" width="9.14"/>
  </cols>
  <sheetData>
    <row r="3" customFormat="false" ht="12.75" hidden="false" customHeight="false" outlineLevel="0" collapsed="false">
      <c r="C3" s="549"/>
      <c r="D3" s="550"/>
    </row>
    <row r="5" customFormat="false" ht="12.75" hidden="false" customHeight="false" outlineLevel="0" collapsed="false">
      <c r="C5" s="551" t="s">
        <v>571</v>
      </c>
      <c r="D5" s="551"/>
      <c r="G5" s="551" t="s">
        <v>572</v>
      </c>
      <c r="H5" s="551"/>
      <c r="K5" s="551" t="s">
        <v>573</v>
      </c>
      <c r="L5" s="551"/>
    </row>
    <row r="6" customFormat="false" ht="12.75" hidden="false" customHeight="false" outlineLevel="0" collapsed="false">
      <c r="C6" s="552" t="s">
        <v>574</v>
      </c>
      <c r="D6" s="552" t="s">
        <v>575</v>
      </c>
      <c r="E6" s="553"/>
      <c r="G6" s="552" t="s">
        <v>574</v>
      </c>
      <c r="H6" s="552" t="s">
        <v>575</v>
      </c>
      <c r="I6" s="553"/>
      <c r="K6" s="552" t="s">
        <v>574</v>
      </c>
      <c r="L6" s="552" t="s">
        <v>575</v>
      </c>
    </row>
    <row r="7" customFormat="false" ht="12.75" hidden="false" customHeight="false" outlineLevel="0" collapsed="false">
      <c r="C7" s="554" t="s">
        <v>576</v>
      </c>
      <c r="D7" s="555" t="s">
        <v>256</v>
      </c>
      <c r="E7" s="555"/>
      <c r="G7" s="556" t="s">
        <v>577</v>
      </c>
      <c r="H7" s="1" t="s">
        <v>311</v>
      </c>
      <c r="K7" s="554" t="s">
        <v>578</v>
      </c>
      <c r="L7" s="555" t="s">
        <v>307</v>
      </c>
    </row>
    <row r="8" customFormat="false" ht="12.75" hidden="false" customHeight="false" outlineLevel="0" collapsed="false">
      <c r="C8" s="554" t="s">
        <v>579</v>
      </c>
      <c r="D8" s="555" t="s">
        <v>257</v>
      </c>
      <c r="E8" s="555"/>
      <c r="G8" s="556" t="s">
        <v>580</v>
      </c>
      <c r="H8" s="1" t="s">
        <v>313</v>
      </c>
      <c r="K8" s="555" t="s">
        <v>581</v>
      </c>
      <c r="L8" s="555" t="s">
        <v>582</v>
      </c>
    </row>
    <row r="9" customFormat="false" ht="12.75" hidden="false" customHeight="false" outlineLevel="0" collapsed="false">
      <c r="C9" s="556" t="s">
        <v>583</v>
      </c>
      <c r="D9" s="556" t="s">
        <v>584</v>
      </c>
      <c r="E9" s="556"/>
      <c r="G9" s="556" t="s">
        <v>585</v>
      </c>
      <c r="H9" s="1" t="s">
        <v>314</v>
      </c>
      <c r="K9" s="555" t="s">
        <v>586</v>
      </c>
      <c r="L9" s="555" t="s">
        <v>587</v>
      </c>
    </row>
    <row r="10" customFormat="false" ht="12.75" hidden="false" customHeight="false" outlineLevel="0" collapsed="false">
      <c r="C10" s="556" t="s">
        <v>588</v>
      </c>
      <c r="D10" s="557" t="s">
        <v>364</v>
      </c>
      <c r="E10" s="557"/>
      <c r="G10" s="556" t="s">
        <v>589</v>
      </c>
      <c r="H10" s="1" t="s">
        <v>312</v>
      </c>
      <c r="K10" s="555" t="s">
        <v>590</v>
      </c>
      <c r="L10" s="555" t="s">
        <v>308</v>
      </c>
    </row>
    <row r="11" customFormat="false" ht="12.75" hidden="false" customHeight="false" outlineLevel="0" collapsed="false">
      <c r="C11" s="556" t="s">
        <v>591</v>
      </c>
      <c r="D11" s="557" t="s">
        <v>592</v>
      </c>
      <c r="E11" s="557"/>
      <c r="G11" s="556" t="s">
        <v>593</v>
      </c>
      <c r="H11" s="1" t="s">
        <v>594</v>
      </c>
      <c r="K11" s="555" t="s">
        <v>595</v>
      </c>
      <c r="L11" s="555" t="s">
        <v>309</v>
      </c>
    </row>
    <row r="12" customFormat="false" ht="12.75" hidden="false" customHeight="false" outlineLevel="0" collapsed="false">
      <c r="C12" s="556" t="s">
        <v>596</v>
      </c>
      <c r="D12" s="557" t="s">
        <v>293</v>
      </c>
      <c r="E12" s="557"/>
      <c r="K12" s="555" t="s">
        <v>597</v>
      </c>
      <c r="L12" s="555" t="s">
        <v>598</v>
      </c>
    </row>
    <row r="13" customFormat="false" ht="12.75" hidden="false" customHeight="false" outlineLevel="0" collapsed="false">
      <c r="C13" s="556" t="s">
        <v>599</v>
      </c>
      <c r="D13" s="557" t="s">
        <v>600</v>
      </c>
      <c r="E13" s="557"/>
      <c r="K13" s="555" t="s">
        <v>601</v>
      </c>
      <c r="L13" s="555" t="s">
        <v>602</v>
      </c>
    </row>
    <row r="14" customFormat="false" ht="12.75" hidden="false" customHeight="false" outlineLevel="0" collapsed="false">
      <c r="C14" s="556" t="s">
        <v>603</v>
      </c>
      <c r="D14" s="557" t="s">
        <v>287</v>
      </c>
      <c r="E14" s="558"/>
      <c r="K14" s="555" t="s">
        <v>604</v>
      </c>
      <c r="L14" s="555" t="s">
        <v>605</v>
      </c>
    </row>
    <row r="15" customFormat="false" ht="12.75" hidden="false" customHeight="false" outlineLevel="0" collapsed="false">
      <c r="C15" s="556" t="s">
        <v>606</v>
      </c>
      <c r="D15" s="557" t="s">
        <v>288</v>
      </c>
      <c r="E15" s="557"/>
      <c r="K15" s="555" t="s">
        <v>607</v>
      </c>
      <c r="L15" s="555" t="s">
        <v>608</v>
      </c>
    </row>
    <row r="16" customFormat="false" ht="12.75" hidden="false" customHeight="false" outlineLevel="0" collapsed="false">
      <c r="C16" s="556" t="s">
        <v>609</v>
      </c>
      <c r="D16" s="557" t="s">
        <v>276</v>
      </c>
      <c r="E16" s="557"/>
    </row>
    <row r="17" customFormat="false" ht="12.75" hidden="false" customHeight="false" outlineLevel="0" collapsed="false">
      <c r="C17" s="556" t="s">
        <v>610</v>
      </c>
      <c r="D17" s="557" t="s">
        <v>275</v>
      </c>
      <c r="E17" s="557"/>
    </row>
    <row r="18" customFormat="false" ht="12.75" hidden="false" customHeight="false" outlineLevel="0" collapsed="false">
      <c r="C18" s="556" t="s">
        <v>611</v>
      </c>
      <c r="D18" s="557" t="s">
        <v>297</v>
      </c>
      <c r="E18" s="557"/>
    </row>
    <row r="19" customFormat="false" ht="12.75" hidden="false" customHeight="false" outlineLevel="0" collapsed="false">
      <c r="C19" s="556" t="s">
        <v>612</v>
      </c>
      <c r="D19" s="557" t="s">
        <v>298</v>
      </c>
      <c r="E19" s="557"/>
      <c r="G19" s="559"/>
    </row>
    <row r="20" customFormat="false" ht="12.75" hidden="false" customHeight="false" outlineLevel="0" collapsed="false">
      <c r="C20" s="556" t="s">
        <v>613</v>
      </c>
      <c r="D20" s="557" t="s">
        <v>299</v>
      </c>
      <c r="E20" s="557"/>
    </row>
    <row r="21" customFormat="false" ht="12.75" hidden="false" customHeight="false" outlineLevel="0" collapsed="false">
      <c r="C21" s="556" t="s">
        <v>614</v>
      </c>
      <c r="D21" s="557" t="s">
        <v>289</v>
      </c>
      <c r="E21" s="557"/>
    </row>
    <row r="22" customFormat="false" ht="12.75" hidden="false" customHeight="false" outlineLevel="0" collapsed="false">
      <c r="C22" s="556" t="s">
        <v>615</v>
      </c>
      <c r="D22" s="557" t="s">
        <v>616</v>
      </c>
      <c r="E22" s="557"/>
    </row>
    <row r="23" customFormat="false" ht="12.75" hidden="false" customHeight="false" outlineLevel="0" collapsed="false">
      <c r="C23" s="556" t="s">
        <v>617</v>
      </c>
      <c r="D23" s="557" t="s">
        <v>618</v>
      </c>
      <c r="E23" s="557"/>
    </row>
    <row r="24" customFormat="false" ht="12.75" hidden="false" customHeight="false" outlineLevel="0" collapsed="false">
      <c r="C24" s="556" t="s">
        <v>619</v>
      </c>
      <c r="D24" s="557" t="s">
        <v>620</v>
      </c>
      <c r="E24" s="557"/>
    </row>
    <row r="25" customFormat="false" ht="12.75" hidden="false" customHeight="false" outlineLevel="0" collapsed="false">
      <c r="C25" s="556" t="s">
        <v>621</v>
      </c>
      <c r="D25" s="557" t="s">
        <v>622</v>
      </c>
      <c r="E25" s="557"/>
    </row>
    <row r="26" customFormat="false" ht="12.75" hidden="false" customHeight="false" outlineLevel="0" collapsed="false">
      <c r="C26" s="556" t="s">
        <v>623</v>
      </c>
      <c r="D26" s="557" t="s">
        <v>624</v>
      </c>
      <c r="E26" s="557"/>
    </row>
    <row r="27" customFormat="false" ht="12.75" hidden="false" customHeight="false" outlineLevel="0" collapsed="false">
      <c r="C27" s="556" t="s">
        <v>625</v>
      </c>
      <c r="D27" s="557" t="s">
        <v>271</v>
      </c>
      <c r="E27" s="557"/>
    </row>
    <row r="28" customFormat="false" ht="12.75" hidden="false" customHeight="false" outlineLevel="0" collapsed="false">
      <c r="C28" s="556" t="s">
        <v>626</v>
      </c>
      <c r="D28" s="557" t="s">
        <v>270</v>
      </c>
      <c r="E28" s="557"/>
    </row>
    <row r="29" customFormat="false" ht="12.75" hidden="false" customHeight="false" outlineLevel="0" collapsed="false">
      <c r="C29" s="556" t="s">
        <v>627</v>
      </c>
      <c r="D29" s="556" t="s">
        <v>268</v>
      </c>
      <c r="E29" s="556"/>
    </row>
    <row r="30" customFormat="false" ht="12.75" hidden="false" customHeight="false" outlineLevel="0" collapsed="false">
      <c r="C30" s="556" t="s">
        <v>628</v>
      </c>
      <c r="D30" s="557" t="s">
        <v>629</v>
      </c>
      <c r="E30" s="557"/>
    </row>
    <row r="31" customFormat="false" ht="12.75" hidden="false" customHeight="false" outlineLevel="0" collapsed="false">
      <c r="C31" s="556" t="s">
        <v>630</v>
      </c>
      <c r="D31" s="557" t="s">
        <v>631</v>
      </c>
      <c r="E31" s="557"/>
    </row>
    <row r="32" customFormat="false" ht="12.75" hidden="false" customHeight="false" outlineLevel="0" collapsed="false">
      <c r="C32" s="556" t="s">
        <v>632</v>
      </c>
      <c r="D32" s="557" t="s">
        <v>272</v>
      </c>
      <c r="E32" s="557"/>
    </row>
    <row r="33" customFormat="false" ht="12.75" hidden="false" customHeight="false" outlineLevel="0" collapsed="false">
      <c r="C33" s="556" t="s">
        <v>633</v>
      </c>
      <c r="D33" s="557" t="s">
        <v>362</v>
      </c>
      <c r="E33" s="557"/>
    </row>
    <row r="34" customFormat="false" ht="12.75" hidden="false" customHeight="false" outlineLevel="0" collapsed="false">
      <c r="C34" s="556" t="s">
        <v>634</v>
      </c>
      <c r="D34" s="557" t="s">
        <v>381</v>
      </c>
      <c r="E34" s="557"/>
    </row>
    <row r="35" customFormat="false" ht="12.75" hidden="false" customHeight="false" outlineLevel="0" collapsed="false">
      <c r="C35" s="556" t="s">
        <v>635</v>
      </c>
      <c r="D35" s="557" t="s">
        <v>260</v>
      </c>
      <c r="E35" s="557"/>
    </row>
    <row r="36" customFormat="false" ht="12.75" hidden="false" customHeight="false" outlineLevel="0" collapsed="false">
      <c r="C36" s="556" t="s">
        <v>636</v>
      </c>
      <c r="D36" s="557" t="s">
        <v>282</v>
      </c>
      <c r="E36" s="557"/>
    </row>
    <row r="37" customFormat="false" ht="12.75" hidden="false" customHeight="false" outlineLevel="0" collapsed="false">
      <c r="C37" s="556" t="s">
        <v>637</v>
      </c>
      <c r="D37" s="557" t="s">
        <v>638</v>
      </c>
      <c r="E37" s="557"/>
    </row>
    <row r="38" customFormat="false" ht="12.75" hidden="false" customHeight="false" outlineLevel="0" collapsed="false">
      <c r="C38" s="556" t="s">
        <v>639</v>
      </c>
      <c r="D38" s="557" t="s">
        <v>640</v>
      </c>
      <c r="E38" s="557"/>
    </row>
    <row r="39" customFormat="false" ht="12.75" hidden="false" customHeight="false" outlineLevel="0" collapsed="false">
      <c r="C39" s="556" t="s">
        <v>641</v>
      </c>
      <c r="D39" s="557" t="s">
        <v>366</v>
      </c>
      <c r="E39" s="557"/>
    </row>
    <row r="40" customFormat="false" ht="12.75" hidden="false" customHeight="false" outlineLevel="0" collapsed="false">
      <c r="C40" s="556" t="s">
        <v>642</v>
      </c>
      <c r="D40" s="557" t="s">
        <v>643</v>
      </c>
      <c r="E40" s="557"/>
    </row>
    <row r="41" customFormat="false" ht="12.75" hidden="false" customHeight="false" outlineLevel="0" collapsed="false">
      <c r="C41" s="556" t="s">
        <v>644</v>
      </c>
      <c r="D41" s="557" t="s">
        <v>645</v>
      </c>
      <c r="E41" s="557"/>
    </row>
    <row r="42" customFormat="false" ht="12.75" hidden="false" customHeight="false" outlineLevel="0" collapsed="false">
      <c r="C42" s="556" t="s">
        <v>646</v>
      </c>
      <c r="D42" s="557" t="s">
        <v>356</v>
      </c>
      <c r="E42" s="557"/>
    </row>
    <row r="43" customFormat="false" ht="12.75" hidden="false" customHeight="false" outlineLevel="0" collapsed="false">
      <c r="C43" s="556" t="s">
        <v>647</v>
      </c>
      <c r="D43" s="556" t="s">
        <v>648</v>
      </c>
      <c r="E43" s="556"/>
    </row>
    <row r="44" customFormat="false" ht="12.75" hidden="false" customHeight="false" outlineLevel="0" collapsed="false">
      <c r="C44" s="556" t="s">
        <v>649</v>
      </c>
      <c r="D44" s="557" t="s">
        <v>290</v>
      </c>
      <c r="E44" s="557"/>
    </row>
    <row r="45" customFormat="false" ht="12.75" hidden="false" customHeight="false" outlineLevel="0" collapsed="false">
      <c r="C45" s="556" t="s">
        <v>650</v>
      </c>
      <c r="D45" s="556" t="s">
        <v>650</v>
      </c>
      <c r="E45" s="556"/>
    </row>
    <row r="46" customFormat="false" ht="12.75" hidden="false" customHeight="false" outlineLevel="0" collapsed="false">
      <c r="C46" s="556" t="s">
        <v>375</v>
      </c>
      <c r="D46" s="556" t="s">
        <v>375</v>
      </c>
      <c r="E46" s="556"/>
    </row>
    <row r="47" customFormat="false" ht="12.75" hidden="false" customHeight="false" outlineLevel="0" collapsed="false">
      <c r="C47" s="556" t="s">
        <v>651</v>
      </c>
      <c r="D47" s="557" t="s">
        <v>301</v>
      </c>
      <c r="E47" s="557"/>
    </row>
    <row r="48" customFormat="false" ht="12.75" hidden="false" customHeight="false" outlineLevel="0" collapsed="false">
      <c r="C48" s="556" t="s">
        <v>652</v>
      </c>
      <c r="D48" s="557" t="s">
        <v>302</v>
      </c>
      <c r="E48" s="557"/>
    </row>
    <row r="49" customFormat="false" ht="12.75" hidden="false" customHeight="false" outlineLevel="0" collapsed="false">
      <c r="C49" s="556" t="s">
        <v>653</v>
      </c>
      <c r="D49" s="557" t="s">
        <v>300</v>
      </c>
      <c r="E49" s="557"/>
    </row>
    <row r="50" customFormat="false" ht="12.75" hidden="false" customHeight="false" outlineLevel="0" collapsed="false">
      <c r="C50" s="556" t="s">
        <v>654</v>
      </c>
      <c r="D50" s="557" t="s">
        <v>303</v>
      </c>
      <c r="E50" s="557"/>
    </row>
    <row r="51" customFormat="false" ht="12.75" hidden="false" customHeight="false" outlineLevel="0" collapsed="false">
      <c r="C51" s="556" t="s">
        <v>655</v>
      </c>
      <c r="D51" s="557" t="s">
        <v>304</v>
      </c>
      <c r="E51" s="557"/>
    </row>
    <row r="52" customFormat="false" ht="12.75" hidden="false" customHeight="false" outlineLevel="0" collapsed="false">
      <c r="C52" s="556" t="s">
        <v>656</v>
      </c>
      <c r="D52" s="557" t="s">
        <v>657</v>
      </c>
      <c r="E52" s="557"/>
    </row>
    <row r="53" customFormat="false" ht="12.75" hidden="false" customHeight="false" outlineLevel="0" collapsed="false">
      <c r="C53" s="556" t="s">
        <v>658</v>
      </c>
      <c r="D53" s="557" t="s">
        <v>363</v>
      </c>
      <c r="E53" s="557"/>
    </row>
    <row r="54" customFormat="false" ht="12.75" hidden="false" customHeight="false" outlineLevel="0" collapsed="false">
      <c r="C54" s="556" t="s">
        <v>659</v>
      </c>
      <c r="D54" s="556" t="s">
        <v>155</v>
      </c>
      <c r="E54" s="556"/>
    </row>
    <row r="55" customFormat="false" ht="12.75" hidden="false" customHeight="false" outlineLevel="0" collapsed="false">
      <c r="C55" s="556" t="s">
        <v>660</v>
      </c>
      <c r="D55" s="556" t="s">
        <v>165</v>
      </c>
      <c r="E55" s="556"/>
    </row>
    <row r="56" customFormat="false" ht="12.75" hidden="false" customHeight="false" outlineLevel="0" collapsed="false">
      <c r="C56" s="556" t="s">
        <v>661</v>
      </c>
      <c r="D56" s="556" t="s">
        <v>168</v>
      </c>
      <c r="E56" s="556"/>
    </row>
    <row r="57" customFormat="false" ht="12.75" hidden="false" customHeight="false" outlineLevel="0" collapsed="false">
      <c r="C57" s="556" t="s">
        <v>662</v>
      </c>
      <c r="D57" s="556" t="s">
        <v>663</v>
      </c>
      <c r="E57" s="556"/>
    </row>
    <row r="58" customFormat="false" ht="12.75" hidden="false" customHeight="false" outlineLevel="0" collapsed="false">
      <c r="C58" s="556" t="s">
        <v>664</v>
      </c>
      <c r="D58" s="557" t="s">
        <v>664</v>
      </c>
      <c r="E58" s="557"/>
    </row>
    <row r="59" customFormat="false" ht="12.75" hidden="false" customHeight="false" outlineLevel="0" collapsed="false">
      <c r="C59" s="556" t="s">
        <v>665</v>
      </c>
      <c r="D59" s="557" t="s">
        <v>156</v>
      </c>
      <c r="E59" s="557"/>
    </row>
    <row r="60" customFormat="false" ht="12.75" hidden="false" customHeight="false" outlineLevel="0" collapsed="false">
      <c r="C60" s="556" t="s">
        <v>666</v>
      </c>
      <c r="D60" s="557" t="s">
        <v>667</v>
      </c>
      <c r="E60" s="557"/>
    </row>
    <row r="61" customFormat="false" ht="12.75" hidden="false" customHeight="false" outlineLevel="0" collapsed="false">
      <c r="C61" s="556" t="s">
        <v>668</v>
      </c>
      <c r="D61" s="557" t="s">
        <v>273</v>
      </c>
      <c r="E61" s="557"/>
    </row>
    <row r="62" customFormat="false" ht="12.75" hidden="false" customHeight="false" outlineLevel="0" collapsed="false">
      <c r="C62" s="556" t="s">
        <v>669</v>
      </c>
      <c r="D62" s="557" t="s">
        <v>670</v>
      </c>
      <c r="E62" s="557"/>
    </row>
    <row r="63" customFormat="false" ht="12.75" hidden="false" customHeight="false" outlineLevel="0" collapsed="false">
      <c r="C63" s="556" t="s">
        <v>671</v>
      </c>
      <c r="D63" s="557" t="s">
        <v>672</v>
      </c>
      <c r="E63" s="557"/>
    </row>
    <row r="64" customFormat="false" ht="12.75" hidden="false" customHeight="false" outlineLevel="0" collapsed="false">
      <c r="C64" s="556" t="s">
        <v>673</v>
      </c>
      <c r="D64" s="556" t="s">
        <v>674</v>
      </c>
      <c r="E64" s="556"/>
    </row>
    <row r="65" customFormat="false" ht="12.75" hidden="false" customHeight="false" outlineLevel="0" collapsed="false">
      <c r="C65" s="556" t="s">
        <v>675</v>
      </c>
      <c r="D65" s="557" t="s">
        <v>261</v>
      </c>
      <c r="E65" s="557"/>
    </row>
    <row r="66" customFormat="false" ht="12.75" hidden="false" customHeight="false" outlineLevel="0" collapsed="false">
      <c r="C66" s="556" t="s">
        <v>676</v>
      </c>
      <c r="D66" s="557" t="s">
        <v>367</v>
      </c>
      <c r="E66" s="557"/>
    </row>
    <row r="67" customFormat="false" ht="12.75" hidden="false" customHeight="false" outlineLevel="0" collapsed="false">
      <c r="C67" s="556" t="s">
        <v>677</v>
      </c>
      <c r="D67" s="557" t="s">
        <v>279</v>
      </c>
      <c r="E67" s="557"/>
    </row>
    <row r="68" customFormat="false" ht="12.75" hidden="false" customHeight="false" outlineLevel="0" collapsed="false">
      <c r="C68" s="556" t="s">
        <v>678</v>
      </c>
      <c r="D68" s="557" t="s">
        <v>280</v>
      </c>
      <c r="E68" s="557"/>
    </row>
    <row r="69" customFormat="false" ht="12.75" hidden="false" customHeight="false" outlineLevel="0" collapsed="false">
      <c r="C69" s="556" t="s">
        <v>679</v>
      </c>
      <c r="D69" s="557" t="s">
        <v>680</v>
      </c>
      <c r="E69" s="557"/>
    </row>
    <row r="70" customFormat="false" ht="12.75" hidden="false" customHeight="false" outlineLevel="0" collapsed="false">
      <c r="C70" s="556" t="s">
        <v>681</v>
      </c>
      <c r="D70" s="557" t="s">
        <v>682</v>
      </c>
      <c r="E70" s="557"/>
    </row>
    <row r="71" customFormat="false" ht="12.75" hidden="false" customHeight="false" outlineLevel="0" collapsed="false">
      <c r="C71" s="554" t="s">
        <v>683</v>
      </c>
      <c r="D71" s="555" t="s">
        <v>684</v>
      </c>
      <c r="E71" s="555"/>
    </row>
    <row r="72" customFormat="false" ht="12.75" hidden="false" customHeight="false" outlineLevel="0" collapsed="false">
      <c r="C72" s="554" t="s">
        <v>685</v>
      </c>
      <c r="D72" s="554" t="s">
        <v>686</v>
      </c>
      <c r="E72" s="554"/>
    </row>
    <row r="73" customFormat="false" ht="12.75" hidden="false" customHeight="false" outlineLevel="0" collapsed="false">
      <c r="C73" s="556" t="s">
        <v>687</v>
      </c>
      <c r="D73" s="557" t="s">
        <v>688</v>
      </c>
      <c r="E73" s="557"/>
    </row>
    <row r="74" customFormat="false" ht="12.75" hidden="false" customHeight="false" outlineLevel="0" collapsed="false">
      <c r="C74" s="556" t="s">
        <v>689</v>
      </c>
      <c r="D74" s="557" t="s">
        <v>690</v>
      </c>
      <c r="E74" s="557"/>
    </row>
    <row r="75" customFormat="false" ht="12.75" hidden="false" customHeight="false" outlineLevel="0" collapsed="false">
      <c r="C75" s="556" t="s">
        <v>691</v>
      </c>
      <c r="D75" s="557" t="s">
        <v>692</v>
      </c>
      <c r="E75" s="557"/>
    </row>
    <row r="76" customFormat="false" ht="12.75" hidden="false" customHeight="false" outlineLevel="0" collapsed="false">
      <c r="C76" s="556" t="s">
        <v>693</v>
      </c>
      <c r="D76" s="557" t="s">
        <v>694</v>
      </c>
      <c r="E76" s="557"/>
    </row>
    <row r="77" customFormat="false" ht="12.75" hidden="false" customHeight="false" outlineLevel="0" collapsed="false">
      <c r="C77" s="556" t="s">
        <v>695</v>
      </c>
      <c r="D77" s="557" t="s">
        <v>696</v>
      </c>
      <c r="E77" s="557"/>
    </row>
    <row r="78" customFormat="false" ht="12.75" hidden="false" customHeight="false" outlineLevel="0" collapsed="false">
      <c r="C78" s="556" t="s">
        <v>697</v>
      </c>
      <c r="D78" s="557" t="s">
        <v>698</v>
      </c>
      <c r="E78" s="557"/>
    </row>
    <row r="79" customFormat="false" ht="12.75" hidden="false" customHeight="false" outlineLevel="0" collapsed="false">
      <c r="C79" s="556" t="s">
        <v>699</v>
      </c>
      <c r="D79" s="557" t="s">
        <v>700</v>
      </c>
      <c r="E79" s="557"/>
    </row>
    <row r="80" customFormat="false" ht="12.75" hidden="false" customHeight="false" outlineLevel="0" collapsed="false">
      <c r="C80" s="556" t="s">
        <v>701</v>
      </c>
      <c r="D80" s="557" t="s">
        <v>702</v>
      </c>
      <c r="E80" s="557"/>
    </row>
    <row r="81" customFormat="false" ht="12.75" hidden="false" customHeight="false" outlineLevel="0" collapsed="false">
      <c r="C81" s="556" t="s">
        <v>703</v>
      </c>
      <c r="D81" s="557" t="s">
        <v>704</v>
      </c>
      <c r="E81" s="557"/>
    </row>
    <row r="82" customFormat="false" ht="12.75" hidden="false" customHeight="false" outlineLevel="0" collapsed="false">
      <c r="C82" s="556" t="s">
        <v>705</v>
      </c>
      <c r="D82" s="557" t="s">
        <v>706</v>
      </c>
      <c r="E82" s="557"/>
    </row>
    <row r="83" customFormat="false" ht="12.75" hidden="false" customHeight="false" outlineLevel="0" collapsed="false">
      <c r="C83" s="556" t="s">
        <v>707</v>
      </c>
      <c r="D83" s="557" t="s">
        <v>708</v>
      </c>
      <c r="E83" s="557"/>
    </row>
    <row r="84" customFormat="false" ht="12.75" hidden="false" customHeight="false" outlineLevel="0" collapsed="false">
      <c r="C84" s="556" t="s">
        <v>709</v>
      </c>
      <c r="D84" s="557" t="s">
        <v>710</v>
      </c>
      <c r="E84" s="557"/>
    </row>
    <row r="85" customFormat="false" ht="12.75" hidden="false" customHeight="false" outlineLevel="0" collapsed="false">
      <c r="C85" s="556" t="s">
        <v>711</v>
      </c>
      <c r="D85" s="557" t="s">
        <v>712</v>
      </c>
      <c r="E85" s="557"/>
    </row>
    <row r="86" customFormat="false" ht="12.75" hidden="false" customHeight="false" outlineLevel="0" collapsed="false">
      <c r="C86" s="556" t="s">
        <v>713</v>
      </c>
      <c r="D86" s="557" t="s">
        <v>714</v>
      </c>
      <c r="E86" s="557"/>
    </row>
    <row r="87" customFormat="false" ht="12.75" hidden="false" customHeight="false" outlineLevel="0" collapsed="false">
      <c r="C87" s="556" t="s">
        <v>715</v>
      </c>
      <c r="D87" s="557" t="s">
        <v>716</v>
      </c>
      <c r="E87" s="557"/>
    </row>
    <row r="88" customFormat="false" ht="12.75" hidden="false" customHeight="false" outlineLevel="0" collapsed="false">
      <c r="C88" s="556" t="s">
        <v>717</v>
      </c>
      <c r="D88" s="557" t="s">
        <v>718</v>
      </c>
      <c r="E88" s="557"/>
    </row>
    <row r="89" customFormat="false" ht="12.75" hidden="false" customHeight="false" outlineLevel="0" collapsed="false">
      <c r="C89" s="556" t="s">
        <v>719</v>
      </c>
      <c r="D89" s="557" t="s">
        <v>720</v>
      </c>
      <c r="E89" s="557"/>
    </row>
    <row r="90" customFormat="false" ht="12.75" hidden="false" customHeight="false" outlineLevel="0" collapsed="false">
      <c r="C90" s="556" t="s">
        <v>721</v>
      </c>
      <c r="D90" s="557" t="s">
        <v>722</v>
      </c>
      <c r="E90" s="557"/>
    </row>
    <row r="91" customFormat="false" ht="12.75" hidden="false" customHeight="false" outlineLevel="0" collapsed="false">
      <c r="C91" s="556" t="s">
        <v>723</v>
      </c>
      <c r="D91" s="557" t="s">
        <v>724</v>
      </c>
      <c r="E91" s="557"/>
    </row>
    <row r="92" customFormat="false" ht="12.75" hidden="false" customHeight="false" outlineLevel="0" collapsed="false">
      <c r="C92" s="556" t="s">
        <v>725</v>
      </c>
      <c r="D92" s="557" t="s">
        <v>726</v>
      </c>
      <c r="E92" s="557"/>
    </row>
    <row r="93" customFormat="false" ht="12.75" hidden="false" customHeight="false" outlineLevel="0" collapsed="false">
      <c r="C93" s="556" t="s">
        <v>727</v>
      </c>
      <c r="D93" s="557" t="s">
        <v>728</v>
      </c>
      <c r="E93" s="557"/>
    </row>
    <row r="94" customFormat="false" ht="12.75" hidden="false" customHeight="false" outlineLevel="0" collapsed="false">
      <c r="C94" s="556" t="s">
        <v>729</v>
      </c>
      <c r="D94" s="557" t="s">
        <v>730</v>
      </c>
      <c r="E94" s="557"/>
    </row>
    <row r="95" customFormat="false" ht="12.75" hidden="false" customHeight="false" outlineLevel="0" collapsed="false">
      <c r="C95" s="556" t="s">
        <v>731</v>
      </c>
      <c r="D95" s="557" t="s">
        <v>732</v>
      </c>
      <c r="E95" s="557"/>
    </row>
    <row r="96" customFormat="false" ht="12.75" hidden="false" customHeight="false" outlineLevel="0" collapsed="false">
      <c r="C96" s="556" t="s">
        <v>733</v>
      </c>
      <c r="D96" s="557" t="s">
        <v>734</v>
      </c>
      <c r="E96" s="557"/>
    </row>
    <row r="97" customFormat="false" ht="12.75" hidden="false" customHeight="false" outlineLevel="0" collapsed="false">
      <c r="C97" s="556" t="s">
        <v>735</v>
      </c>
      <c r="D97" s="557" t="s">
        <v>736</v>
      </c>
      <c r="E97" s="557"/>
    </row>
    <row r="98" customFormat="false" ht="12.75" hidden="false" customHeight="false" outlineLevel="0" collapsed="false">
      <c r="C98" s="556" t="s">
        <v>737</v>
      </c>
      <c r="D98" s="557" t="s">
        <v>128</v>
      </c>
      <c r="E98" s="557"/>
    </row>
    <row r="99" customFormat="false" ht="12.75" hidden="false" customHeight="false" outlineLevel="0" collapsed="false">
      <c r="C99" s="556" t="s">
        <v>738</v>
      </c>
      <c r="D99" s="557" t="s">
        <v>162</v>
      </c>
      <c r="E99" s="557"/>
    </row>
    <row r="100" customFormat="false" ht="12.75" hidden="false" customHeight="false" outlineLevel="0" collapsed="false">
      <c r="C100" s="556" t="s">
        <v>739</v>
      </c>
      <c r="D100" s="557" t="s">
        <v>64</v>
      </c>
      <c r="E100" s="557"/>
    </row>
    <row r="101" customFormat="false" ht="12.75" hidden="false" customHeight="false" outlineLevel="0" collapsed="false">
      <c r="C101" s="556" t="s">
        <v>740</v>
      </c>
      <c r="D101" s="557" t="s">
        <v>65</v>
      </c>
      <c r="E101" s="557"/>
    </row>
    <row r="102" customFormat="false" ht="12.75" hidden="false" customHeight="false" outlineLevel="0" collapsed="false">
      <c r="C102" s="556" t="s">
        <v>741</v>
      </c>
      <c r="D102" s="557" t="s">
        <v>47</v>
      </c>
      <c r="E102" s="557"/>
    </row>
    <row r="103" customFormat="false" ht="12.75" hidden="false" customHeight="false" outlineLevel="0" collapsed="false">
      <c r="C103" s="556" t="s">
        <v>742</v>
      </c>
      <c r="D103" s="557" t="s">
        <v>195</v>
      </c>
      <c r="E103" s="557"/>
    </row>
    <row r="104" customFormat="false" ht="12.75" hidden="false" customHeight="false" outlineLevel="0" collapsed="false">
      <c r="C104" s="556" t="s">
        <v>743</v>
      </c>
      <c r="D104" s="557" t="s">
        <v>129</v>
      </c>
      <c r="E104" s="557"/>
    </row>
    <row r="105" customFormat="false" ht="12.75" hidden="false" customHeight="false" outlineLevel="0" collapsed="false">
      <c r="C105" s="556" t="s">
        <v>744</v>
      </c>
      <c r="D105" s="557" t="s">
        <v>258</v>
      </c>
      <c r="E105" s="557"/>
    </row>
    <row r="106" customFormat="false" ht="12.75" hidden="false" customHeight="false" outlineLevel="0" collapsed="false">
      <c r="C106" s="556" t="s">
        <v>745</v>
      </c>
      <c r="D106" s="557" t="s">
        <v>79</v>
      </c>
      <c r="E106" s="557"/>
    </row>
    <row r="107" customFormat="false" ht="12.75" hidden="false" customHeight="false" outlineLevel="0" collapsed="false">
      <c r="C107" s="556" t="s">
        <v>746</v>
      </c>
      <c r="D107" s="557" t="s">
        <v>259</v>
      </c>
      <c r="E107" s="557"/>
    </row>
    <row r="108" customFormat="false" ht="12.75" hidden="false" customHeight="false" outlineLevel="0" collapsed="false">
      <c r="C108" s="554" t="s">
        <v>747</v>
      </c>
      <c r="D108" s="555" t="s">
        <v>748</v>
      </c>
      <c r="E108" s="555"/>
    </row>
    <row r="109" customFormat="false" ht="12.75" hidden="false" customHeight="false" outlineLevel="0" collapsed="false">
      <c r="C109" s="555" t="s">
        <v>749</v>
      </c>
      <c r="D109" s="555" t="s">
        <v>749</v>
      </c>
      <c r="E109" s="555"/>
    </row>
    <row r="110" customFormat="false" ht="12.75" hidden="false" customHeight="false" outlineLevel="0" collapsed="false">
      <c r="C110" s="556" t="s">
        <v>750</v>
      </c>
      <c r="D110" s="557" t="s">
        <v>751</v>
      </c>
      <c r="E110" s="557"/>
    </row>
    <row r="111" customFormat="false" ht="12.75" hidden="false" customHeight="false" outlineLevel="0" collapsed="false">
      <c r="C111" s="556" t="s">
        <v>752</v>
      </c>
      <c r="D111" s="557" t="s">
        <v>753</v>
      </c>
      <c r="E111" s="557"/>
    </row>
    <row r="112" customFormat="false" ht="12.75" hidden="false" customHeight="false" outlineLevel="0" collapsed="false">
      <c r="C112" s="556" t="s">
        <v>754</v>
      </c>
      <c r="D112" s="557" t="s">
        <v>755</v>
      </c>
      <c r="E112" s="557"/>
    </row>
    <row r="113" customFormat="false" ht="12.75" hidden="false" customHeight="false" outlineLevel="0" collapsed="false">
      <c r="C113" s="556" t="s">
        <v>756</v>
      </c>
      <c r="D113" s="557" t="s">
        <v>757</v>
      </c>
      <c r="E113" s="557"/>
    </row>
    <row r="114" customFormat="false" ht="12.75" hidden="false" customHeight="false" outlineLevel="0" collapsed="false">
      <c r="C114" s="556" t="s">
        <v>758</v>
      </c>
      <c r="D114" s="557" t="s">
        <v>759</v>
      </c>
      <c r="E114" s="557"/>
    </row>
  </sheetData>
  <mergeCells count="3">
    <mergeCell ref="C5:D5"/>
    <mergeCell ref="G5:H5"/>
    <mergeCell ref="K5:L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C4:G57"/>
  <sheetViews>
    <sheetView showFormulas="false" showGridLines="false" showRowColHeaders="true" showZeros="true" rightToLeft="false" tabSelected="false" showOutlineSymbols="true" defaultGridColor="true" view="normal" topLeftCell="A2" colorId="64" zoomScale="80" zoomScaleNormal="80" zoomScalePageLayoutView="100" workbookViewId="0">
      <pane xSplit="2" ySplit="3" topLeftCell="C5" activePane="bottomRight" state="frozen"/>
      <selection pane="topLeft" activeCell="A2" activeCellId="0" sqref="A2"/>
      <selection pane="topRight" activeCell="C2" activeCellId="0" sqref="C2"/>
      <selection pane="bottomLeft" activeCell="A5" activeCellId="0" sqref="A5"/>
      <selection pane="bottomRight" activeCell="D15" activeCellId="0" sqref="D15"/>
    </sheetView>
  </sheetViews>
  <sheetFormatPr defaultColWidth="9.0546875" defaultRowHeight="12.75" customHeight="true" zeroHeight="false" outlineLevelRow="0" outlineLevelCol="0"/>
  <cols>
    <col collapsed="false" customWidth="true" hidden="false" outlineLevel="0" max="2" min="1" style="0" width="3.7"/>
    <col collapsed="false" customWidth="true" hidden="false" outlineLevel="0" max="3" min="3" style="0" width="15.7"/>
    <col collapsed="false" customWidth="true" hidden="false" outlineLevel="0" max="6" min="4" style="0" width="20.7"/>
  </cols>
  <sheetData>
    <row r="4" customFormat="false" ht="12.75" hidden="false" customHeight="false" outlineLevel="0" collapsed="false">
      <c r="C4" s="560" t="s">
        <v>760</v>
      </c>
      <c r="D4" s="561" t="s">
        <v>761</v>
      </c>
      <c r="E4" s="561" t="s">
        <v>762</v>
      </c>
      <c r="F4" s="561" t="s">
        <v>763</v>
      </c>
      <c r="G4" s="561"/>
    </row>
    <row r="5" customFormat="false" ht="12.75" hidden="false" customHeight="false" outlineLevel="0" collapsed="false">
      <c r="C5" s="137" t="n">
        <v>1</v>
      </c>
      <c r="D5" s="562" t="s">
        <v>764</v>
      </c>
      <c r="E5" s="562" t="s">
        <v>765</v>
      </c>
      <c r="F5" s="562" t="n">
        <v>1305</v>
      </c>
    </row>
    <row r="6" customFormat="false" ht="12.75" hidden="false" customHeight="false" outlineLevel="0" collapsed="false">
      <c r="C6" s="137" t="n">
        <v>2</v>
      </c>
      <c r="D6" s="562" t="s">
        <v>764</v>
      </c>
      <c r="E6" s="562" t="s">
        <v>765</v>
      </c>
      <c r="F6" s="562" t="n">
        <v>1305</v>
      </c>
    </row>
    <row r="7" customFormat="false" ht="12.75" hidden="false" customHeight="false" outlineLevel="0" collapsed="false">
      <c r="C7" s="137" t="n">
        <v>25</v>
      </c>
      <c r="D7" s="562" t="s">
        <v>764</v>
      </c>
      <c r="E7" s="562" t="s">
        <v>765</v>
      </c>
      <c r="F7" s="562" t="n">
        <v>1305</v>
      </c>
    </row>
    <row r="8" customFormat="false" ht="12.75" hidden="false" customHeight="false" outlineLevel="0" collapsed="false">
      <c r="C8" s="137" t="n">
        <v>26</v>
      </c>
      <c r="D8" s="562" t="s">
        <v>764</v>
      </c>
      <c r="E8" s="562" t="s">
        <v>765</v>
      </c>
      <c r="F8" s="562" t="n">
        <v>1305</v>
      </c>
    </row>
    <row r="9" customFormat="false" ht="12.75" hidden="false" customHeight="false" outlineLevel="0" collapsed="false">
      <c r="C9" s="137" t="n">
        <v>72</v>
      </c>
      <c r="D9" s="562" t="s">
        <v>764</v>
      </c>
      <c r="E9" s="562" t="s">
        <v>765</v>
      </c>
      <c r="F9" s="562" t="n">
        <v>1305</v>
      </c>
    </row>
    <row r="10" customFormat="false" ht="12.75" hidden="false" customHeight="false" outlineLevel="0" collapsed="false">
      <c r="C10" s="137" t="n">
        <v>9</v>
      </c>
      <c r="D10" s="562" t="s">
        <v>766</v>
      </c>
      <c r="E10" s="562" t="s">
        <v>767</v>
      </c>
      <c r="F10" s="562" t="n">
        <v>1305</v>
      </c>
    </row>
    <row r="11" customFormat="false" ht="12.75" hidden="false" customHeight="false" outlineLevel="0" collapsed="false">
      <c r="C11" s="137" t="n">
        <v>10</v>
      </c>
      <c r="D11" s="562" t="s">
        <v>766</v>
      </c>
      <c r="E11" s="562" t="s">
        <v>767</v>
      </c>
      <c r="F11" s="562" t="n">
        <v>1305</v>
      </c>
    </row>
    <row r="12" customFormat="false" ht="12.75" hidden="false" customHeight="false" outlineLevel="0" collapsed="false">
      <c r="C12" s="137" t="n">
        <v>27</v>
      </c>
      <c r="D12" s="562" t="s">
        <v>766</v>
      </c>
      <c r="E12" s="562" t="s">
        <v>767</v>
      </c>
      <c r="F12" s="562" t="n">
        <v>1305</v>
      </c>
    </row>
    <row r="13" customFormat="false" ht="12.75" hidden="false" customHeight="false" outlineLevel="0" collapsed="false">
      <c r="C13" s="137" t="n">
        <v>46</v>
      </c>
      <c r="D13" s="562" t="s">
        <v>766</v>
      </c>
      <c r="E13" s="562" t="s">
        <v>767</v>
      </c>
      <c r="F13" s="562" t="n">
        <v>1305</v>
      </c>
    </row>
    <row r="14" customFormat="false" ht="12.75" hidden="false" customHeight="false" outlineLevel="0" collapsed="false">
      <c r="C14" s="137" t="n">
        <v>47</v>
      </c>
      <c r="D14" s="562" t="s">
        <v>766</v>
      </c>
      <c r="E14" s="562" t="s">
        <v>767</v>
      </c>
      <c r="F14" s="562" t="n">
        <v>1305</v>
      </c>
    </row>
    <row r="15" customFormat="false" ht="12.75" hidden="false" customHeight="false" outlineLevel="0" collapsed="false">
      <c r="C15" s="137" t="n">
        <v>56</v>
      </c>
      <c r="D15" s="562" t="s">
        <v>766</v>
      </c>
      <c r="E15" s="562" t="s">
        <v>767</v>
      </c>
      <c r="F15" s="562" t="n">
        <v>1305</v>
      </c>
    </row>
    <row r="16" customFormat="false" ht="12.75" hidden="false" customHeight="false" outlineLevel="0" collapsed="false">
      <c r="C16" s="137" t="n">
        <v>57</v>
      </c>
      <c r="D16" s="562" t="s">
        <v>766</v>
      </c>
      <c r="E16" s="562" t="s">
        <v>767</v>
      </c>
      <c r="F16" s="562" t="n">
        <v>1305</v>
      </c>
    </row>
    <row r="17" customFormat="false" ht="12.75" hidden="false" customHeight="false" outlineLevel="0" collapsed="false">
      <c r="C17" s="137" t="n">
        <v>74</v>
      </c>
      <c r="D17" s="562" t="s">
        <v>766</v>
      </c>
      <c r="E17" s="562" t="s">
        <v>767</v>
      </c>
      <c r="F17" s="562" t="n">
        <v>1305</v>
      </c>
    </row>
    <row r="18" customFormat="false" ht="12.75" hidden="false" customHeight="false" outlineLevel="0" collapsed="false">
      <c r="C18" s="137" t="n">
        <v>75</v>
      </c>
      <c r="D18" s="562" t="s">
        <v>766</v>
      </c>
      <c r="E18" s="562" t="s">
        <v>767</v>
      </c>
      <c r="F18" s="562" t="n">
        <v>1305</v>
      </c>
    </row>
    <row r="19" customFormat="false" ht="12.75" hidden="false" customHeight="false" outlineLevel="0" collapsed="false">
      <c r="C19" s="137" t="n">
        <v>76</v>
      </c>
      <c r="D19" s="562" t="s">
        <v>766</v>
      </c>
      <c r="E19" s="562" t="s">
        <v>767</v>
      </c>
      <c r="F19" s="562" t="n">
        <v>1305</v>
      </c>
    </row>
    <row r="20" customFormat="false" ht="12.75" hidden="false" customHeight="false" outlineLevel="0" collapsed="false">
      <c r="C20" s="137" t="n">
        <v>77</v>
      </c>
      <c r="D20" s="562" t="s">
        <v>766</v>
      </c>
      <c r="E20" s="562" t="s">
        <v>767</v>
      </c>
      <c r="F20" s="562" t="n">
        <v>1305</v>
      </c>
    </row>
    <row r="21" customFormat="false" ht="12.75" hidden="false" customHeight="false" outlineLevel="0" collapsed="false">
      <c r="C21" s="137" t="n">
        <v>81</v>
      </c>
      <c r="D21" s="562" t="s">
        <v>766</v>
      </c>
      <c r="E21" s="562" t="s">
        <v>767</v>
      </c>
      <c r="F21" s="562" t="n">
        <v>1305</v>
      </c>
    </row>
    <row r="22" customFormat="false" ht="12.75" hidden="false" customHeight="false" outlineLevel="0" collapsed="false">
      <c r="C22" s="137" t="n">
        <v>82</v>
      </c>
      <c r="D22" s="562" t="s">
        <v>766</v>
      </c>
      <c r="E22" s="562" t="s">
        <v>767</v>
      </c>
      <c r="F22" s="562" t="n">
        <v>1305</v>
      </c>
    </row>
    <row r="23" customFormat="false" ht="12.75" hidden="false" customHeight="false" outlineLevel="0" collapsed="false">
      <c r="C23" s="137" t="n">
        <v>83</v>
      </c>
      <c r="D23" s="562" t="s">
        <v>768</v>
      </c>
      <c r="E23" s="562" t="s">
        <v>769</v>
      </c>
      <c r="F23" s="562" t="n">
        <v>1305</v>
      </c>
    </row>
    <row r="24" customFormat="false" ht="12.75" hidden="false" customHeight="false" outlineLevel="0" collapsed="false">
      <c r="C24" s="137" t="n">
        <v>84</v>
      </c>
      <c r="D24" s="562" t="s">
        <v>766</v>
      </c>
      <c r="E24" s="562" t="s">
        <v>767</v>
      </c>
      <c r="F24" s="562" t="n">
        <v>1305</v>
      </c>
    </row>
    <row r="25" customFormat="false" ht="12.75" hidden="false" customHeight="false" outlineLevel="0" collapsed="false">
      <c r="C25" s="137" t="n">
        <v>85</v>
      </c>
      <c r="D25" s="562" t="s">
        <v>766</v>
      </c>
      <c r="E25" s="562" t="s">
        <v>767</v>
      </c>
      <c r="F25" s="562" t="n">
        <v>1305</v>
      </c>
    </row>
    <row r="26" customFormat="false" ht="12.75" hidden="false" customHeight="false" outlineLevel="0" collapsed="false">
      <c r="C26" s="137" t="n">
        <v>86</v>
      </c>
      <c r="D26" s="562" t="s">
        <v>766</v>
      </c>
      <c r="E26" s="562" t="s">
        <v>767</v>
      </c>
      <c r="F26" s="562" t="n">
        <v>1305</v>
      </c>
    </row>
    <row r="27" customFormat="false" ht="12.75" hidden="false" customHeight="false" outlineLevel="0" collapsed="false">
      <c r="C27" s="137" t="n">
        <v>87</v>
      </c>
      <c r="D27" s="562" t="s">
        <v>766</v>
      </c>
      <c r="E27" s="562" t="s">
        <v>767</v>
      </c>
      <c r="F27" s="562" t="n">
        <v>1305</v>
      </c>
    </row>
    <row r="28" customFormat="false" ht="12.75" hidden="false" customHeight="false" outlineLevel="0" collapsed="false">
      <c r="C28" s="137" t="n">
        <v>91</v>
      </c>
      <c r="D28" s="562" t="s">
        <v>766</v>
      </c>
      <c r="E28" s="562" t="s">
        <v>767</v>
      </c>
      <c r="F28" s="562" t="n">
        <v>1305</v>
      </c>
    </row>
    <row r="29" customFormat="false" ht="12.75" hidden="false" customHeight="false" outlineLevel="0" collapsed="false">
      <c r="C29" s="137" t="n">
        <v>92</v>
      </c>
      <c r="D29" s="562" t="s">
        <v>766</v>
      </c>
      <c r="E29" s="562" t="s">
        <v>767</v>
      </c>
      <c r="F29" s="562" t="n">
        <v>1305</v>
      </c>
    </row>
    <row r="30" customFormat="false" ht="12.75" hidden="false" customHeight="false" outlineLevel="0" collapsed="false">
      <c r="C30" s="137" t="n">
        <v>93</v>
      </c>
      <c r="D30" s="562" t="s">
        <v>766</v>
      </c>
      <c r="E30" s="562" t="s">
        <v>767</v>
      </c>
      <c r="F30" s="562" t="n">
        <v>1305</v>
      </c>
    </row>
    <row r="31" customFormat="false" ht="12.75" hidden="false" customHeight="false" outlineLevel="0" collapsed="false">
      <c r="C31" s="137" t="n">
        <v>17</v>
      </c>
      <c r="D31" s="562" t="s">
        <v>770</v>
      </c>
      <c r="E31" s="562" t="s">
        <v>771</v>
      </c>
      <c r="F31" s="562" t="n">
        <v>1305</v>
      </c>
    </row>
    <row r="32" customFormat="false" ht="12.75" hidden="false" customHeight="false" outlineLevel="0" collapsed="false">
      <c r="C32" s="137" t="n">
        <v>19</v>
      </c>
      <c r="D32" s="562" t="s">
        <v>770</v>
      </c>
      <c r="E32" s="562" t="s">
        <v>771</v>
      </c>
      <c r="F32" s="562" t="n">
        <v>1305</v>
      </c>
    </row>
    <row r="33" customFormat="false" ht="12.75" hidden="false" customHeight="false" outlineLevel="0" collapsed="false">
      <c r="C33" s="137" t="n">
        <v>20</v>
      </c>
      <c r="D33" s="562" t="s">
        <v>770</v>
      </c>
      <c r="E33" s="562" t="s">
        <v>771</v>
      </c>
      <c r="F33" s="562" t="n">
        <v>1305</v>
      </c>
    </row>
    <row r="34" customFormat="false" ht="12.75" hidden="false" customHeight="false" outlineLevel="0" collapsed="false">
      <c r="C34" s="137" t="n">
        <v>21</v>
      </c>
      <c r="D34" s="562" t="s">
        <v>770</v>
      </c>
      <c r="E34" s="562" t="s">
        <v>771</v>
      </c>
      <c r="F34" s="562" t="n">
        <v>1305</v>
      </c>
    </row>
    <row r="35" customFormat="false" ht="12.75" hidden="false" customHeight="false" outlineLevel="0" collapsed="false">
      <c r="C35" s="137" t="n">
        <v>24</v>
      </c>
      <c r="D35" s="562" t="s">
        <v>770</v>
      </c>
      <c r="E35" s="562" t="s">
        <v>771</v>
      </c>
      <c r="F35" s="562" t="n">
        <v>1305</v>
      </c>
    </row>
    <row r="36" customFormat="false" ht="12.75" hidden="false" customHeight="false" outlineLevel="0" collapsed="false">
      <c r="C36" s="137" t="n">
        <v>45</v>
      </c>
      <c r="D36" s="562" t="s">
        <v>770</v>
      </c>
      <c r="E36" s="562" t="s">
        <v>771</v>
      </c>
      <c r="F36" s="562" t="n">
        <v>1305</v>
      </c>
    </row>
    <row r="37" customFormat="false" ht="12.75" hidden="false" customHeight="false" outlineLevel="0" collapsed="false">
      <c r="C37" s="137" t="n">
        <v>50</v>
      </c>
      <c r="D37" s="562" t="s">
        <v>770</v>
      </c>
      <c r="E37" s="562" t="s">
        <v>771</v>
      </c>
      <c r="F37" s="562" t="n">
        <v>1305</v>
      </c>
    </row>
    <row r="38" customFormat="false" ht="12.75" hidden="false" customHeight="false" outlineLevel="0" collapsed="false">
      <c r="C38" s="137" t="n">
        <v>51</v>
      </c>
      <c r="D38" s="562" t="s">
        <v>770</v>
      </c>
      <c r="E38" s="562" t="s">
        <v>771</v>
      </c>
      <c r="F38" s="562" t="n">
        <v>1305</v>
      </c>
    </row>
    <row r="39" customFormat="false" ht="12.75" hidden="false" customHeight="false" outlineLevel="0" collapsed="false">
      <c r="C39" s="137" t="n">
        <v>52</v>
      </c>
      <c r="D39" s="562" t="s">
        <v>770</v>
      </c>
      <c r="E39" s="562" t="s">
        <v>771</v>
      </c>
      <c r="F39" s="562" t="n">
        <v>1305</v>
      </c>
    </row>
    <row r="40" customFormat="false" ht="12.75" hidden="false" customHeight="false" outlineLevel="0" collapsed="false">
      <c r="C40" s="137" t="n">
        <v>53</v>
      </c>
      <c r="D40" s="562" t="s">
        <v>770</v>
      </c>
      <c r="E40" s="562" t="s">
        <v>771</v>
      </c>
      <c r="F40" s="562" t="n">
        <v>1305</v>
      </c>
    </row>
    <row r="41" customFormat="false" ht="12.75" hidden="false" customHeight="false" outlineLevel="0" collapsed="false">
      <c r="C41" s="137" t="n">
        <v>54</v>
      </c>
      <c r="D41" s="562" t="s">
        <v>770</v>
      </c>
      <c r="E41" s="562" t="s">
        <v>771</v>
      </c>
      <c r="F41" s="562" t="n">
        <v>1305</v>
      </c>
    </row>
    <row r="42" customFormat="false" ht="12.75" hidden="false" customHeight="false" outlineLevel="0" collapsed="false">
      <c r="C42" s="137" t="n">
        <v>55</v>
      </c>
      <c r="D42" s="562" t="s">
        <v>770</v>
      </c>
      <c r="E42" s="562" t="s">
        <v>771</v>
      </c>
      <c r="F42" s="562" t="n">
        <v>1305</v>
      </c>
    </row>
    <row r="43" customFormat="false" ht="12.75" hidden="false" customHeight="false" outlineLevel="0" collapsed="false">
      <c r="C43" s="137" t="n">
        <v>73</v>
      </c>
      <c r="D43" s="562" t="s">
        <v>770</v>
      </c>
      <c r="E43" s="562" t="s">
        <v>771</v>
      </c>
      <c r="F43" s="562" t="n">
        <v>1305</v>
      </c>
    </row>
    <row r="44" customFormat="false" ht="12.75" hidden="false" customHeight="false" outlineLevel="0" collapsed="false">
      <c r="C44" s="137" t="n">
        <v>88</v>
      </c>
      <c r="D44" s="562" t="s">
        <v>770</v>
      </c>
      <c r="E44" s="562" t="s">
        <v>771</v>
      </c>
      <c r="F44" s="562" t="n">
        <v>1305</v>
      </c>
    </row>
    <row r="45" customFormat="false" ht="12.75" hidden="false" customHeight="false" outlineLevel="0" collapsed="false">
      <c r="C45" s="137" t="n">
        <v>89</v>
      </c>
      <c r="D45" s="562" t="s">
        <v>770</v>
      </c>
      <c r="E45" s="562" t="s">
        <v>771</v>
      </c>
      <c r="F45" s="562" t="n">
        <v>1305</v>
      </c>
    </row>
    <row r="46" customFormat="false" ht="12.75" hidden="false" customHeight="false" outlineLevel="0" collapsed="false">
      <c r="C46" s="137" t="n">
        <v>90</v>
      </c>
      <c r="D46" s="562" t="s">
        <v>770</v>
      </c>
      <c r="E46" s="562" t="s">
        <v>771</v>
      </c>
      <c r="F46" s="562" t="n">
        <v>1305</v>
      </c>
    </row>
    <row r="47" customFormat="false" ht="12.75" hidden="false" customHeight="false" outlineLevel="0" collapsed="false">
      <c r="C47" s="137" t="n">
        <v>49</v>
      </c>
      <c r="D47" s="562" t="s">
        <v>766</v>
      </c>
      <c r="E47" s="562" t="s">
        <v>767</v>
      </c>
      <c r="F47" s="562" t="n">
        <v>1305</v>
      </c>
    </row>
    <row r="48" customFormat="false" ht="12.75" hidden="false" customHeight="false" outlineLevel="0" collapsed="false">
      <c r="C48" s="137" t="n">
        <v>62</v>
      </c>
      <c r="D48" s="562" t="s">
        <v>764</v>
      </c>
      <c r="E48" s="562" t="s">
        <v>765</v>
      </c>
      <c r="F48" s="562" t="n">
        <v>1305</v>
      </c>
    </row>
    <row r="49" customFormat="false" ht="12.75" hidden="false" customHeight="false" outlineLevel="0" collapsed="false">
      <c r="C49" s="137" t="n">
        <v>100</v>
      </c>
      <c r="D49" s="562" t="s">
        <v>770</v>
      </c>
      <c r="E49" s="562" t="s">
        <v>771</v>
      </c>
      <c r="F49" s="562" t="n">
        <v>1305</v>
      </c>
    </row>
    <row r="50" customFormat="false" ht="12.75" hidden="false" customHeight="false" outlineLevel="0" collapsed="false">
      <c r="C50" s="137" t="n">
        <v>101</v>
      </c>
      <c r="D50" s="562" t="s">
        <v>770</v>
      </c>
      <c r="E50" s="562" t="s">
        <v>771</v>
      </c>
      <c r="F50" s="562" t="n">
        <v>1305</v>
      </c>
    </row>
    <row r="51" customFormat="false" ht="12.75" hidden="false" customHeight="false" outlineLevel="0" collapsed="false">
      <c r="C51" s="137" t="n">
        <v>102</v>
      </c>
      <c r="D51" s="562" t="s">
        <v>770</v>
      </c>
      <c r="E51" s="562" t="s">
        <v>771</v>
      </c>
      <c r="F51" s="562" t="n">
        <v>1305</v>
      </c>
    </row>
    <row r="52" customFormat="false" ht="12.75" hidden="false" customHeight="false" outlineLevel="0" collapsed="false">
      <c r="C52" s="137" t="n">
        <v>103</v>
      </c>
      <c r="D52" s="562" t="s">
        <v>770</v>
      </c>
      <c r="E52" s="562" t="s">
        <v>771</v>
      </c>
      <c r="F52" s="562" t="n">
        <v>1305</v>
      </c>
    </row>
    <row r="53" customFormat="false" ht="12.75" hidden="false" customHeight="false" outlineLevel="0" collapsed="false">
      <c r="C53" s="137" t="n">
        <v>104</v>
      </c>
      <c r="D53" s="562" t="s">
        <v>770</v>
      </c>
      <c r="E53" s="562" t="s">
        <v>771</v>
      </c>
      <c r="F53" s="562" t="n">
        <v>1305</v>
      </c>
    </row>
    <row r="54" customFormat="false" ht="12.75" hidden="false" customHeight="false" outlineLevel="0" collapsed="false">
      <c r="C54" s="137" t="n">
        <v>105</v>
      </c>
      <c r="D54" s="562" t="s">
        <v>770</v>
      </c>
      <c r="E54" s="562" t="s">
        <v>771</v>
      </c>
      <c r="F54" s="562" t="n">
        <v>1305</v>
      </c>
    </row>
    <row r="55" customFormat="false" ht="12.75" hidden="false" customHeight="false" outlineLevel="0" collapsed="false">
      <c r="C55" s="137" t="n">
        <v>106</v>
      </c>
      <c r="D55" s="562" t="s">
        <v>770</v>
      </c>
      <c r="E55" s="562" t="s">
        <v>771</v>
      </c>
      <c r="F55" s="562" t="n">
        <v>1305</v>
      </c>
    </row>
    <row r="56" customFormat="false" ht="12.75" hidden="false" customHeight="false" outlineLevel="0" collapsed="false">
      <c r="C56" s="137" t="n">
        <v>107</v>
      </c>
      <c r="D56" s="562" t="s">
        <v>764</v>
      </c>
      <c r="E56" s="562" t="s">
        <v>765</v>
      </c>
      <c r="F56" s="562" t="n">
        <v>1305</v>
      </c>
    </row>
    <row r="57" customFormat="false" ht="12.75" hidden="false" customHeight="false" outlineLevel="0" collapsed="false">
      <c r="C57" s="137" t="n">
        <v>108</v>
      </c>
      <c r="D57" s="562" t="s">
        <v>764</v>
      </c>
      <c r="E57" s="562" t="s">
        <v>765</v>
      </c>
      <c r="F57" s="562" t="n">
        <v>1305</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B41"/>
  <sheetViews>
    <sheetView showFormulas="false" showGridLines="true" showRowColHeaders="true" showZeros="true" rightToLeft="false" tabSelected="false" showOutlineSymbols="true" defaultGridColor="true" view="normal" topLeftCell="A10" colorId="64" zoomScale="80" zoomScaleNormal="80" zoomScalePageLayoutView="100" workbookViewId="0">
      <selection pane="topLeft" activeCell="I34" activeCellId="0" sqref="I34"/>
    </sheetView>
  </sheetViews>
  <sheetFormatPr defaultColWidth="9.13671875" defaultRowHeight="12.75" customHeight="true" zeroHeight="false" outlineLevelRow="0" outlineLevelCol="0"/>
  <cols>
    <col collapsed="false" customWidth="true" hidden="false" outlineLevel="0" max="2" min="1" style="1" width="3.7"/>
    <col collapsed="false" customWidth="true" hidden="false" outlineLevel="0" max="5" min="3" style="1" width="15.7"/>
    <col collapsed="false" customWidth="true" hidden="false" outlineLevel="0" max="7" min="6" style="1" width="3.7"/>
    <col collapsed="false" customWidth="true" hidden="false" outlineLevel="0" max="10" min="8" style="1" width="15.7"/>
    <col collapsed="false" customWidth="false" hidden="false" outlineLevel="0" max="257" min="11" style="1" width="9.14"/>
  </cols>
  <sheetData>
    <row r="1" customFormat="false" ht="12.75" hidden="false" customHeight="false" outlineLevel="0" collapsed="false">
      <c r="A1" s="563"/>
    </row>
    <row r="3" customFormat="false" ht="12.75" hidden="false" customHeight="false" outlineLevel="0" collapsed="false">
      <c r="C3" s="564" t="s">
        <v>2</v>
      </c>
      <c r="D3" s="565" t="n">
        <f aca="false">'Daily Operation'!D7</f>
        <v>37242</v>
      </c>
      <c r="H3" s="564" t="s">
        <v>772</v>
      </c>
      <c r="I3" s="566" t="n">
        <v>46022</v>
      </c>
      <c r="O3" s="563"/>
    </row>
    <row r="4" customFormat="false" ht="12.75" hidden="false" customHeight="false" outlineLevel="0" collapsed="false">
      <c r="C4" s="564" t="s">
        <v>449</v>
      </c>
      <c r="D4" s="567"/>
    </row>
    <row r="5" customFormat="false" ht="12.75" hidden="false" customHeight="false" outlineLevel="0" collapsed="false">
      <c r="C5" s="564" t="s">
        <v>773</v>
      </c>
      <c r="D5" s="568" t="n">
        <v>14</v>
      </c>
    </row>
    <row r="6" customFormat="false" ht="12.75" hidden="false" customHeight="false" outlineLevel="0" collapsed="false">
      <c r="C6" s="564" t="s">
        <v>452</v>
      </c>
      <c r="D6" s="569" t="s">
        <v>316</v>
      </c>
    </row>
    <row r="7" customFormat="false" ht="12.75" hidden="false" customHeight="false" outlineLevel="0" collapsed="false">
      <c r="C7" s="564" t="s">
        <v>461</v>
      </c>
      <c r="D7" s="569" t="s">
        <v>317</v>
      </c>
    </row>
    <row r="8" customFormat="false" ht="12.75" hidden="false" customHeight="false" outlineLevel="0" collapsed="false">
      <c r="C8" s="564" t="s">
        <v>469</v>
      </c>
      <c r="D8" s="569" t="s">
        <v>318</v>
      </c>
    </row>
    <row r="9" customFormat="false" ht="12.75" hidden="false" customHeight="false" outlineLevel="0" collapsed="false">
      <c r="C9" s="564"/>
      <c r="V9" s="570" t="s">
        <v>774</v>
      </c>
      <c r="W9" s="571"/>
      <c r="X9" s="571"/>
      <c r="Y9" s="571"/>
      <c r="Z9" s="572"/>
      <c r="AA9" s="572"/>
      <c r="AB9" s="573"/>
    </row>
    <row r="10" customFormat="false" ht="12.75" hidden="false" customHeight="false" outlineLevel="0" collapsed="false">
      <c r="C10" s="564" t="s">
        <v>775</v>
      </c>
      <c r="D10" s="189" t="s">
        <v>776</v>
      </c>
      <c r="E10" s="189"/>
      <c r="F10" s="189"/>
      <c r="G10" s="189"/>
      <c r="H10" s="189"/>
      <c r="I10" s="189"/>
      <c r="J10" s="189"/>
      <c r="K10" s="1" t="s">
        <v>777</v>
      </c>
      <c r="V10" s="574" t="s">
        <v>778</v>
      </c>
      <c r="W10" s="575"/>
      <c r="X10" s="575"/>
      <c r="Y10" s="575"/>
      <c r="Z10" s="575"/>
      <c r="AA10" s="575"/>
      <c r="AB10" s="576"/>
    </row>
    <row r="11" customFormat="false" ht="12.75" hidden="false" customHeight="false" outlineLevel="0" collapsed="false">
      <c r="C11" s="564" t="s">
        <v>779</v>
      </c>
      <c r="D11" s="189" t="s">
        <v>780</v>
      </c>
      <c r="E11" s="189"/>
      <c r="F11" s="1" t="s">
        <v>781</v>
      </c>
      <c r="V11" s="577" t="s">
        <v>782</v>
      </c>
      <c r="W11" s="22"/>
      <c r="X11" s="22"/>
      <c r="Y11" s="22"/>
      <c r="Z11" s="22"/>
      <c r="AA11" s="22"/>
      <c r="AB11" s="578"/>
    </row>
    <row r="12" customFormat="false" ht="12.75" hidden="false" customHeight="false" outlineLevel="0" collapsed="false">
      <c r="C12" s="564" t="s">
        <v>783</v>
      </c>
      <c r="D12" s="568" t="s">
        <v>784</v>
      </c>
      <c r="E12" s="1" t="s">
        <v>785</v>
      </c>
      <c r="V12" s="577" t="s">
        <v>786</v>
      </c>
      <c r="W12" s="22"/>
      <c r="X12" s="22"/>
      <c r="Y12" s="22"/>
      <c r="Z12" s="22"/>
      <c r="AA12" s="22"/>
      <c r="AB12" s="578"/>
    </row>
    <row r="13" customFormat="false" ht="12.75" hidden="false" customHeight="false" outlineLevel="0" collapsed="false">
      <c r="C13" s="564"/>
      <c r="V13" s="577" t="s">
        <v>787</v>
      </c>
      <c r="W13" s="22"/>
      <c r="X13" s="22"/>
      <c r="Y13" s="22"/>
      <c r="Z13" s="22"/>
      <c r="AA13" s="22"/>
      <c r="AB13" s="578"/>
    </row>
    <row r="14" customFormat="false" ht="12.75" hidden="false" customHeight="false" outlineLevel="0" collapsed="false">
      <c r="V14" s="577" t="s">
        <v>788</v>
      </c>
      <c r="W14" s="22"/>
      <c r="X14" s="22"/>
      <c r="Y14" s="22"/>
      <c r="Z14" s="22"/>
      <c r="AA14" s="22"/>
      <c r="AB14" s="578"/>
    </row>
    <row r="15" customFormat="false" ht="15.75" hidden="false" customHeight="false" outlineLevel="0" collapsed="false">
      <c r="C15" s="579" t="s">
        <v>789</v>
      </c>
      <c r="D15" s="579"/>
      <c r="E15" s="579"/>
      <c r="H15" s="579" t="s">
        <v>790</v>
      </c>
      <c r="I15" s="579"/>
      <c r="V15" s="580" t="s">
        <v>791</v>
      </c>
      <c r="W15" s="581"/>
      <c r="X15" s="581"/>
      <c r="Y15" s="581"/>
      <c r="Z15" s="581"/>
      <c r="AA15" s="581"/>
      <c r="AB15" s="582"/>
    </row>
    <row r="16" customFormat="false" ht="12.75" hidden="false" customHeight="false" outlineLevel="0" collapsed="false">
      <c r="C16" s="583" t="n">
        <v>0</v>
      </c>
      <c r="D16" s="584" t="n">
        <v>0.99</v>
      </c>
      <c r="E16" s="585" t="n">
        <v>0.99</v>
      </c>
      <c r="H16" s="586" t="n">
        <v>36526</v>
      </c>
      <c r="I16" s="587" t="n">
        <v>0.0072</v>
      </c>
      <c r="V16" s="22"/>
      <c r="W16" s="22"/>
      <c r="X16" s="22"/>
      <c r="Y16" s="22"/>
    </row>
    <row r="17" customFormat="false" ht="12.75" hidden="false" customHeight="false" outlineLevel="0" collapsed="false">
      <c r="C17" s="588" t="n">
        <v>30</v>
      </c>
      <c r="D17" s="589" t="n">
        <v>0.995</v>
      </c>
      <c r="E17" s="590" t="n">
        <v>0.995</v>
      </c>
      <c r="H17" s="591" t="n">
        <v>36892</v>
      </c>
      <c r="I17" s="592" t="n">
        <v>0.007</v>
      </c>
      <c r="V17" s="22"/>
      <c r="W17" s="22"/>
      <c r="X17" s="22"/>
      <c r="Y17" s="22"/>
    </row>
    <row r="18" customFormat="false" ht="12.75" hidden="false" customHeight="false" outlineLevel="0" collapsed="false">
      <c r="C18" s="588" t="n">
        <v>60</v>
      </c>
      <c r="D18" s="589" t="n">
        <v>0.9975</v>
      </c>
      <c r="E18" s="590" t="n">
        <v>0.9975</v>
      </c>
      <c r="H18" s="591" t="n">
        <v>37257</v>
      </c>
      <c r="I18" s="592" t="n">
        <v>0.005</v>
      </c>
      <c r="V18" s="22"/>
      <c r="W18" s="22"/>
      <c r="X18" s="22"/>
      <c r="Y18" s="22"/>
    </row>
    <row r="19" customFormat="false" ht="12.75" hidden="false" customHeight="false" outlineLevel="0" collapsed="false">
      <c r="C19" s="588" t="n">
        <v>90</v>
      </c>
      <c r="D19" s="589" t="n">
        <v>1</v>
      </c>
      <c r="E19" s="590" t="n">
        <v>1</v>
      </c>
      <c r="G19" s="593"/>
      <c r="H19" s="594" t="n">
        <v>37622</v>
      </c>
      <c r="I19" s="595" t="n">
        <v>0.004</v>
      </c>
      <c r="V19" s="22"/>
      <c r="W19" s="22"/>
      <c r="X19" s="22"/>
      <c r="Y19" s="22"/>
    </row>
    <row r="20" customFormat="false" ht="12.75" hidden="false" customHeight="false" outlineLevel="0" collapsed="false">
      <c r="C20" s="588" t="n">
        <v>120</v>
      </c>
      <c r="D20" s="589" t="n">
        <v>1</v>
      </c>
      <c r="E20" s="590" t="n">
        <v>1</v>
      </c>
      <c r="H20" s="596" t="n">
        <v>37987</v>
      </c>
      <c r="I20" s="597" t="n">
        <v>0</v>
      </c>
    </row>
    <row r="21" customFormat="false" ht="12.75" hidden="false" customHeight="false" outlineLevel="0" collapsed="false">
      <c r="C21" s="598" t="n">
        <v>150</v>
      </c>
      <c r="D21" s="599" t="n">
        <v>1</v>
      </c>
      <c r="E21" s="600" t="n">
        <v>1</v>
      </c>
    </row>
    <row r="24" customFormat="false" ht="15.75" hidden="false" customHeight="false" outlineLevel="0" collapsed="false">
      <c r="C24" s="579" t="s">
        <v>792</v>
      </c>
      <c r="D24" s="579"/>
      <c r="E24" s="579"/>
      <c r="H24" s="601" t="s">
        <v>793</v>
      </c>
      <c r="I24" s="601"/>
      <c r="J24" s="601"/>
    </row>
    <row r="25" customFormat="false" ht="12.75" hidden="false" customHeight="true" outlineLevel="0" collapsed="false">
      <c r="C25" s="583" t="s">
        <v>794</v>
      </c>
      <c r="D25" s="602" t="n">
        <v>37043</v>
      </c>
      <c r="E25" s="602" t="n">
        <v>37072</v>
      </c>
      <c r="H25" s="603" t="s">
        <v>795</v>
      </c>
      <c r="I25" s="604" t="s">
        <v>796</v>
      </c>
      <c r="J25" s="605" t="s">
        <v>797</v>
      </c>
    </row>
    <row r="26" customFormat="false" ht="12.75" hidden="false" customHeight="false" outlineLevel="0" collapsed="false">
      <c r="C26" s="588" t="s">
        <v>798</v>
      </c>
      <c r="D26" s="602" t="n">
        <v>37073</v>
      </c>
      <c r="E26" s="602" t="n">
        <v>37103</v>
      </c>
      <c r="H26" s="603"/>
      <c r="I26" s="604"/>
      <c r="J26" s="605"/>
    </row>
    <row r="27" customFormat="false" ht="12.75" hidden="false" customHeight="false" outlineLevel="0" collapsed="false">
      <c r="C27" s="588" t="s">
        <v>799</v>
      </c>
      <c r="D27" s="602" t="n">
        <v>37104</v>
      </c>
      <c r="E27" s="602" t="n">
        <v>37134</v>
      </c>
      <c r="H27" s="606" t="s">
        <v>45</v>
      </c>
      <c r="I27" s="607" t="s">
        <v>116</v>
      </c>
      <c r="J27" s="608" t="s">
        <v>800</v>
      </c>
    </row>
    <row r="28" customFormat="false" ht="12.75" hidden="false" customHeight="false" outlineLevel="0" collapsed="false">
      <c r="C28" s="588" t="s">
        <v>801</v>
      </c>
      <c r="D28" s="602" t="n">
        <v>37135</v>
      </c>
      <c r="E28" s="602" t="n">
        <v>37164</v>
      </c>
      <c r="H28" s="609" t="s">
        <v>89</v>
      </c>
      <c r="I28" s="610" t="s">
        <v>116</v>
      </c>
      <c r="J28" s="611" t="s">
        <v>800</v>
      </c>
    </row>
    <row r="29" customFormat="false" ht="12.75" hidden="false" customHeight="false" outlineLevel="0" collapsed="false">
      <c r="C29" s="588" t="s">
        <v>802</v>
      </c>
      <c r="D29" s="602" t="n">
        <v>37165</v>
      </c>
      <c r="E29" s="602" t="n">
        <v>37195</v>
      </c>
      <c r="H29" s="609" t="s">
        <v>105</v>
      </c>
      <c r="I29" s="610" t="s">
        <v>116</v>
      </c>
      <c r="J29" s="611" t="s">
        <v>800</v>
      </c>
    </row>
    <row r="30" customFormat="false" ht="12.75" hidden="false" customHeight="false" outlineLevel="0" collapsed="false">
      <c r="C30" s="588" t="s">
        <v>803</v>
      </c>
      <c r="D30" s="602" t="n">
        <v>37196</v>
      </c>
      <c r="E30" s="602" t="n">
        <v>37225</v>
      </c>
      <c r="H30" s="609" t="s">
        <v>804</v>
      </c>
      <c r="I30" s="610" t="s">
        <v>116</v>
      </c>
      <c r="J30" s="611" t="s">
        <v>800</v>
      </c>
    </row>
    <row r="31" customFormat="false" ht="12.75" hidden="false" customHeight="false" outlineLevel="0" collapsed="false">
      <c r="C31" s="588" t="s">
        <v>805</v>
      </c>
      <c r="D31" s="612" t="n">
        <v>37226</v>
      </c>
      <c r="E31" s="613" t="n">
        <v>37256</v>
      </c>
      <c r="H31" s="609" t="s">
        <v>401</v>
      </c>
      <c r="I31" s="610" t="s">
        <v>52</v>
      </c>
      <c r="J31" s="611" t="s">
        <v>800</v>
      </c>
    </row>
    <row r="32" customFormat="false" ht="12.75" hidden="false" customHeight="false" outlineLevel="0" collapsed="false">
      <c r="C32" s="588" t="s">
        <v>806</v>
      </c>
      <c r="D32" s="612" t="n">
        <v>37257</v>
      </c>
      <c r="E32" s="613" t="n">
        <v>37621</v>
      </c>
      <c r="H32" s="609" t="s">
        <v>207</v>
      </c>
      <c r="I32" s="610" t="s">
        <v>116</v>
      </c>
      <c r="J32" s="611" t="s">
        <v>800</v>
      </c>
    </row>
    <row r="33" customFormat="false" ht="12.75" hidden="false" customHeight="false" outlineLevel="0" collapsed="false">
      <c r="C33" s="588" t="s">
        <v>807</v>
      </c>
      <c r="D33" s="612" t="n">
        <v>37622</v>
      </c>
      <c r="E33" s="613" t="n">
        <v>37986</v>
      </c>
      <c r="H33" s="609" t="s">
        <v>78</v>
      </c>
      <c r="I33" s="610" t="s">
        <v>116</v>
      </c>
      <c r="J33" s="611" t="s">
        <v>800</v>
      </c>
    </row>
    <row r="34" customFormat="false" ht="12.75" hidden="false" customHeight="false" outlineLevel="0" collapsed="false">
      <c r="C34" s="588" t="s">
        <v>808</v>
      </c>
      <c r="D34" s="612" t="n">
        <v>37987</v>
      </c>
      <c r="E34" s="613" t="n">
        <v>38352</v>
      </c>
      <c r="H34" s="609" t="s">
        <v>400</v>
      </c>
      <c r="I34" s="610" t="s">
        <v>116</v>
      </c>
      <c r="J34" s="611" t="s">
        <v>800</v>
      </c>
    </row>
    <row r="35" customFormat="false" ht="12.75" hidden="false" customHeight="false" outlineLevel="0" collapsed="false">
      <c r="C35" s="588" t="s">
        <v>809</v>
      </c>
      <c r="D35" s="612" t="n">
        <v>38353</v>
      </c>
      <c r="E35" s="613" t="n">
        <v>40543</v>
      </c>
      <c r="H35" s="609"/>
      <c r="I35" s="614"/>
      <c r="J35" s="611"/>
    </row>
    <row r="36" customFormat="false" ht="12.75" hidden="false" customHeight="false" outlineLevel="0" collapsed="false">
      <c r="C36" s="588" t="s">
        <v>810</v>
      </c>
      <c r="D36" s="612" t="n">
        <v>40544</v>
      </c>
      <c r="E36" s="613" t="n">
        <v>42369</v>
      </c>
      <c r="H36" s="609"/>
      <c r="I36" s="614"/>
      <c r="J36" s="611"/>
    </row>
    <row r="37" customFormat="false" ht="12.75" hidden="false" customHeight="false" outlineLevel="0" collapsed="false">
      <c r="C37" s="598" t="s">
        <v>811</v>
      </c>
      <c r="D37" s="615" t="n">
        <v>42370</v>
      </c>
      <c r="E37" s="616" t="n">
        <v>45657</v>
      </c>
      <c r="H37" s="617"/>
      <c r="I37" s="618"/>
      <c r="J37" s="611"/>
    </row>
    <row r="40" customFormat="false" ht="12.75" hidden="false" customHeight="false" outlineLevel="0" collapsed="false">
      <c r="C40" s="564" t="s">
        <v>812</v>
      </c>
      <c r="D40" s="189" t="s">
        <v>813</v>
      </c>
      <c r="E40" s="189"/>
      <c r="F40" s="189"/>
      <c r="G40" s="189"/>
      <c r="H40" s="189"/>
      <c r="I40" s="189"/>
      <c r="J40" s="189"/>
      <c r="K40" s="1" t="s">
        <v>777</v>
      </c>
    </row>
    <row r="41" customFormat="false" ht="12.75" hidden="false" customHeight="false" outlineLevel="0" collapsed="false">
      <c r="C41" s="564" t="s">
        <v>814</v>
      </c>
      <c r="D41" s="189" t="s">
        <v>815</v>
      </c>
      <c r="E41" s="189"/>
      <c r="F41" s="189"/>
      <c r="G41" s="189"/>
      <c r="H41" s="189"/>
      <c r="I41" s="189"/>
      <c r="J41" s="189"/>
      <c r="K41" s="1" t="s">
        <v>777</v>
      </c>
    </row>
  </sheetData>
  <mergeCells count="11">
    <mergeCell ref="D10:J10"/>
    <mergeCell ref="D11:E11"/>
    <mergeCell ref="C15:E15"/>
    <mergeCell ref="H15:I15"/>
    <mergeCell ref="C24:E24"/>
    <mergeCell ref="H24:J24"/>
    <mergeCell ref="H25:H26"/>
    <mergeCell ref="I25:I26"/>
    <mergeCell ref="J25:J26"/>
    <mergeCell ref="D40:J40"/>
    <mergeCell ref="D41:J4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2:Z47"/>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N29" activeCellId="0" sqref="N29"/>
    </sheetView>
  </sheetViews>
  <sheetFormatPr defaultColWidth="9.0546875" defaultRowHeight="12.75" customHeight="true" zeroHeight="false" outlineLevelRow="0" outlineLevelCol="0"/>
  <cols>
    <col collapsed="false" customWidth="true" hidden="false" outlineLevel="0" max="2" min="1" style="0" width="3.7"/>
    <col collapsed="false" customWidth="true" hidden="false" outlineLevel="0" max="3" min="3" style="0" width="10.71"/>
    <col collapsed="false" customWidth="true" hidden="false" outlineLevel="0" max="4" min="4" style="0" width="10.99"/>
    <col collapsed="false" customWidth="true" hidden="false" outlineLevel="0" max="5" min="5" style="0" width="12.99"/>
    <col collapsed="false" customWidth="true" hidden="false" outlineLevel="0" max="6" min="6" style="0" width="11.28"/>
    <col collapsed="false" customWidth="true" hidden="false" outlineLevel="0" max="7" min="7" style="619" width="13.7"/>
    <col collapsed="false" customWidth="true" hidden="false" outlineLevel="0" max="8" min="8" style="620" width="11.85"/>
    <col collapsed="false" customWidth="true" hidden="false" outlineLevel="0" max="9" min="9" style="620" width="11.7"/>
    <col collapsed="false" customWidth="true" hidden="false" outlineLevel="0" max="10" min="10" style="621" width="3.7"/>
    <col collapsed="false" customWidth="true" hidden="false" outlineLevel="0" max="11" min="11" style="622" width="5.28"/>
    <col collapsed="false" customWidth="true" hidden="false" outlineLevel="0" max="12" min="12" style="622" width="13.7"/>
    <col collapsed="false" customWidth="true" hidden="false" outlineLevel="0" max="13" min="13" style="622" width="2.99"/>
    <col collapsed="false" customWidth="true" hidden="false" outlineLevel="0" max="14" min="14" style="623" width="10.71"/>
    <col collapsed="false" customWidth="true" hidden="false" outlineLevel="0" max="16" min="15" style="0" width="11.99"/>
    <col collapsed="false" customWidth="true" hidden="false" outlineLevel="0" max="17" min="17" style="0" width="13.85"/>
    <col collapsed="false" customWidth="true" hidden="false" outlineLevel="0" max="19" min="18" style="0" width="14.85"/>
    <col collapsed="false" customWidth="true" hidden="false" outlineLevel="0" max="20" min="20" style="0" width="3.42"/>
    <col collapsed="false" customWidth="true" hidden="false" outlineLevel="0" max="21" min="21" style="216" width="15.7"/>
    <col collapsed="false" customWidth="true" hidden="false" outlineLevel="0" max="22" min="22" style="0" width="17.14"/>
    <col collapsed="false" customWidth="true" hidden="false" outlineLevel="0" max="25" min="23" style="0" width="10.85"/>
    <col collapsed="false" customWidth="true" hidden="false" outlineLevel="0" max="26" min="26" style="624" width="9.14"/>
  </cols>
  <sheetData>
    <row r="2" customFormat="false" ht="12.75" hidden="false" customHeight="true" outlineLevel="0" collapsed="false">
      <c r="C2" s="625" t="s">
        <v>816</v>
      </c>
      <c r="D2" s="626" t="n">
        <f aca="false">'Daily Operation'!D7</f>
        <v>37242</v>
      </c>
      <c r="G2" s="137"/>
    </row>
    <row r="3" customFormat="false" ht="12.75" hidden="false" customHeight="false" outlineLevel="0" collapsed="false">
      <c r="C3" s="625"/>
      <c r="D3" s="626"/>
      <c r="G3" s="137"/>
      <c r="L3" s="627" t="str">
        <f aca="false">CONCATENATE("Value on ",TEXT(D2,"mm/dd/yyyy"))</f>
        <v>Value on 12/17/2001</v>
      </c>
      <c r="M3" s="627"/>
      <c r="N3" s="627"/>
      <c r="O3" s="627"/>
    </row>
    <row r="4" customFormat="false" ht="12.75" hidden="false" customHeight="false" outlineLevel="0" collapsed="false">
      <c r="G4" s="137"/>
    </row>
    <row r="5" customFormat="false" ht="25.5" hidden="false" customHeight="false" outlineLevel="0" collapsed="false">
      <c r="A5" s="628"/>
      <c r="B5" s="628"/>
      <c r="C5" s="628"/>
      <c r="D5" s="628" t="s">
        <v>13</v>
      </c>
      <c r="E5" s="628" t="s">
        <v>15</v>
      </c>
      <c r="F5" s="628" t="s">
        <v>16</v>
      </c>
      <c r="G5" s="629" t="s">
        <v>29</v>
      </c>
      <c r="H5" s="630" t="s">
        <v>17</v>
      </c>
      <c r="I5" s="630" t="s">
        <v>18</v>
      </c>
      <c r="J5" s="631"/>
      <c r="K5" s="632"/>
      <c r="L5" s="632" t="s">
        <v>486</v>
      </c>
      <c r="M5" s="633"/>
      <c r="N5" s="634" t="s">
        <v>467</v>
      </c>
      <c r="O5" s="635" t="s">
        <v>817</v>
      </c>
      <c r="P5" s="633" t="s">
        <v>818</v>
      </c>
      <c r="Q5" s="635"/>
      <c r="R5" s="636"/>
      <c r="S5" s="636"/>
      <c r="T5" s="628"/>
      <c r="U5" s="632"/>
      <c r="V5" s="628"/>
      <c r="W5" s="628"/>
      <c r="X5" s="628"/>
      <c r="Y5" s="628"/>
      <c r="Z5" s="637"/>
    </row>
    <row r="6" customFormat="false" ht="12.75" hidden="false" customHeight="true" outlineLevel="0" collapsed="false">
      <c r="C6" s="638" t="s">
        <v>819</v>
      </c>
      <c r="D6" s="226" t="s">
        <v>820</v>
      </c>
      <c r="E6" s="226" t="s">
        <v>20</v>
      </c>
      <c r="F6" s="226" t="s">
        <v>21</v>
      </c>
      <c r="G6" s="639" t="n">
        <v>40000</v>
      </c>
      <c r="H6" s="640" t="n">
        <v>36495</v>
      </c>
      <c r="I6" s="640" t="n">
        <v>39955</v>
      </c>
      <c r="J6" s="641"/>
      <c r="K6" s="642"/>
      <c r="L6" s="642" t="e">
        <f aca="false">LongTerm1!$T$5</f>
        <v>#VALUE!</v>
      </c>
      <c r="N6" s="643" t="n">
        <f aca="false">[2]LongTerm1!$T$7</f>
        <v>0.0338816657723862</v>
      </c>
      <c r="O6" s="644" t="n">
        <f aca="false">[2]LongTerm1!$T$8</f>
        <v>0.997541147602236</v>
      </c>
      <c r="P6" s="216" t="s">
        <v>821</v>
      </c>
      <c r="Q6" s="645"/>
      <c r="R6" s="646"/>
      <c r="S6" s="646"/>
      <c r="T6" s="235"/>
      <c r="U6" s="647"/>
      <c r="V6" s="648"/>
      <c r="Z6" s="649"/>
    </row>
    <row r="7" customFormat="false" ht="12.75" hidden="false" customHeight="false" outlineLevel="0" collapsed="false">
      <c r="D7" s="226" t="s">
        <v>820</v>
      </c>
      <c r="E7" s="226" t="s">
        <v>55</v>
      </c>
      <c r="F7" s="226" t="s">
        <v>21</v>
      </c>
      <c r="G7" s="639" t="s">
        <v>822</v>
      </c>
      <c r="H7" s="640" t="n">
        <v>36495</v>
      </c>
      <c r="I7" s="640" t="n">
        <v>39955</v>
      </c>
      <c r="J7" s="641"/>
      <c r="K7" s="642"/>
      <c r="L7" s="642" t="e">
        <f aca="false">LongTerm2!$T$5+LongTerm25!$T$5+LongTerm26!$T$5</f>
        <v>#VALUE!</v>
      </c>
      <c r="N7" s="643" t="n">
        <f aca="false">([2]LongTerm2!$T$5+[2]LongTerm25!$T$5+[2]LongTerm26!$T$5)/([2]LongTerm2!$T$6+[2]LongTerm25!$T$6+[2]LongTerm26!$T$6)</f>
        <v>0.0172389189768025</v>
      </c>
      <c r="O7" s="644" t="n">
        <f aca="false">([2]LongTerm2!$Y$8+[2]LongTerm25!$Y$8+[2]LongTerm26!$Y$8)/([2]LongTerm2!$Z$8+[2]LongTerm25!$Z$8+[2]LongTerm26!$Z$8)</f>
        <v>0.997690271687569</v>
      </c>
      <c r="P7" s="216" t="s">
        <v>821</v>
      </c>
      <c r="Q7" s="645"/>
      <c r="R7" s="646"/>
      <c r="S7" s="646"/>
      <c r="T7" s="235"/>
      <c r="U7" s="647"/>
      <c r="V7" s="648"/>
      <c r="Z7" s="649"/>
    </row>
    <row r="8" customFormat="false" ht="12.75" hidden="false" customHeight="false" outlineLevel="0" collapsed="false">
      <c r="D8" s="226" t="s">
        <v>823</v>
      </c>
      <c r="E8" s="226" t="s">
        <v>824</v>
      </c>
      <c r="F8" s="226" t="s">
        <v>825</v>
      </c>
      <c r="G8" s="639" t="n">
        <v>50000</v>
      </c>
      <c r="H8" s="640" t="n">
        <v>36495</v>
      </c>
      <c r="I8" s="640" t="n">
        <v>36950</v>
      </c>
      <c r="J8" s="641"/>
      <c r="K8" s="642"/>
      <c r="L8" s="642" t="e">
        <f aca="false">#REF!</f>
        <v>#REF!</v>
      </c>
      <c r="N8" s="643" t="n">
        <f aca="false">[2]LongTerm3!$T$7</f>
        <v>0.0644528733982686</v>
      </c>
      <c r="O8" s="644" t="n">
        <f aca="false">[2]LongTerm3!$T$8</f>
        <v>0.995649050266215</v>
      </c>
      <c r="P8" s="216" t="s">
        <v>821</v>
      </c>
      <c r="Q8" s="645"/>
      <c r="R8" s="646"/>
      <c r="S8" s="646"/>
      <c r="T8" s="235"/>
      <c r="U8" s="647"/>
      <c r="V8" s="648"/>
      <c r="Z8" s="649"/>
    </row>
    <row r="9" customFormat="false" ht="12.75" hidden="false" customHeight="false" outlineLevel="0" collapsed="false">
      <c r="D9" s="226" t="s">
        <v>826</v>
      </c>
      <c r="E9" s="226" t="s">
        <v>188</v>
      </c>
      <c r="F9" s="226" t="s">
        <v>827</v>
      </c>
      <c r="G9" s="639" t="n">
        <v>5000</v>
      </c>
      <c r="H9" s="640" t="n">
        <v>36526</v>
      </c>
      <c r="I9" s="640" t="n">
        <v>36981</v>
      </c>
      <c r="J9" s="641"/>
      <c r="K9" s="642"/>
      <c r="L9" s="642" t="e">
        <f aca="false">#REF!</f>
        <v>#REF!</v>
      </c>
      <c r="N9" s="643" t="n">
        <f aca="false">[2]LongTerm4!$T$7</f>
        <v>0.114047204432389</v>
      </c>
      <c r="O9" s="644" t="n">
        <f aca="false">[2]LongTerm4!$T$8</f>
        <v>0.994182641432993</v>
      </c>
      <c r="P9" s="216" t="s">
        <v>821</v>
      </c>
      <c r="Q9" s="645"/>
      <c r="R9" s="646"/>
      <c r="S9" s="646"/>
      <c r="T9" s="235"/>
      <c r="U9" s="647"/>
      <c r="V9" s="648"/>
      <c r="Z9" s="649"/>
    </row>
    <row r="10" customFormat="false" ht="12.75" hidden="false" customHeight="false" outlineLevel="0" collapsed="false">
      <c r="D10" s="226" t="s">
        <v>823</v>
      </c>
      <c r="E10" s="226" t="s">
        <v>184</v>
      </c>
      <c r="F10" s="226" t="s">
        <v>827</v>
      </c>
      <c r="G10" s="639" t="n">
        <v>25000</v>
      </c>
      <c r="H10" s="640" t="n">
        <v>36526</v>
      </c>
      <c r="I10" s="640" t="n">
        <v>36981</v>
      </c>
      <c r="J10" s="641"/>
      <c r="K10" s="642"/>
      <c r="L10" s="642" t="e">
        <f aca="false">#REF!</f>
        <v>#REF!</v>
      </c>
      <c r="N10" s="643" t="n">
        <f aca="false">[2]LongTerm7!$T$7</f>
        <v>0.0649989750522741</v>
      </c>
      <c r="O10" s="644" t="n">
        <f aca="false">[2]LongTerm7!$T$8</f>
        <v>0.994182641432993</v>
      </c>
      <c r="P10" s="216" t="s">
        <v>821</v>
      </c>
      <c r="Q10" s="645"/>
      <c r="R10" s="646"/>
      <c r="S10" s="646"/>
      <c r="T10" s="235"/>
      <c r="U10" s="647"/>
      <c r="V10" s="648"/>
      <c r="Z10" s="649"/>
    </row>
    <row r="11" customFormat="false" ht="12.75" hidden="false" customHeight="false" outlineLevel="0" collapsed="false">
      <c r="D11" s="226" t="s">
        <v>823</v>
      </c>
      <c r="E11" s="226" t="s">
        <v>373</v>
      </c>
      <c r="F11" s="226" t="s">
        <v>21</v>
      </c>
      <c r="G11" s="639" t="n">
        <v>38548</v>
      </c>
      <c r="H11" s="640" t="n">
        <v>36892</v>
      </c>
      <c r="I11" s="640" t="n">
        <v>36981</v>
      </c>
      <c r="J11" s="641"/>
      <c r="K11" s="642"/>
      <c r="L11" s="642" t="e">
        <f aca="false">#REF!</f>
        <v>#REF!</v>
      </c>
      <c r="N11" s="643" t="n">
        <f aca="false">[2]LongTerm58!$T$7</f>
        <v>0.0979130156360608</v>
      </c>
      <c r="O11" s="644" t="n">
        <f aca="false">[2]LongTerm58!$T$8</f>
        <v>0.994410796665846</v>
      </c>
      <c r="P11" s="216" t="s">
        <v>821</v>
      </c>
      <c r="Q11" s="645"/>
      <c r="R11" s="646"/>
      <c r="S11" s="646"/>
      <c r="T11" s="235"/>
      <c r="U11" s="647"/>
      <c r="V11" s="648"/>
      <c r="Z11" s="649"/>
    </row>
    <row r="12" customFormat="false" ht="13.5" hidden="false" customHeight="false" outlineLevel="0" collapsed="false">
      <c r="D12" s="226"/>
      <c r="E12" s="226"/>
      <c r="F12" s="226"/>
      <c r="G12" s="639"/>
      <c r="H12" s="640"/>
      <c r="I12" s="640"/>
      <c r="J12" s="641"/>
      <c r="K12" s="642"/>
      <c r="L12" s="650" t="e">
        <f aca="false">SUM(L6:L11)</f>
        <v>#VALUE!</v>
      </c>
      <c r="N12" s="643"/>
      <c r="O12" s="644"/>
      <c r="P12" s="216"/>
      <c r="Q12" s="645"/>
      <c r="R12" s="646"/>
      <c r="S12" s="646"/>
      <c r="T12" s="235"/>
      <c r="U12" s="647"/>
      <c r="V12" s="648"/>
      <c r="Z12" s="649"/>
    </row>
    <row r="13" customFormat="false" ht="13.5" hidden="false" customHeight="false" outlineLevel="0" collapsed="false">
      <c r="N13" s="622"/>
      <c r="O13" s="623"/>
      <c r="P13" s="216"/>
      <c r="Q13" s="645"/>
      <c r="R13" s="646"/>
      <c r="S13" s="646"/>
      <c r="T13" s="235"/>
      <c r="U13" s="235"/>
      <c r="V13" s="651"/>
    </row>
    <row r="14" customFormat="false" ht="12.75" hidden="false" customHeight="true" outlineLevel="0" collapsed="false">
      <c r="C14" s="638" t="s">
        <v>828</v>
      </c>
      <c r="D14" s="226" t="s">
        <v>71</v>
      </c>
      <c r="E14" s="226" t="s">
        <v>72</v>
      </c>
      <c r="F14" s="226" t="s">
        <v>73</v>
      </c>
      <c r="G14" s="639" t="n">
        <v>67500</v>
      </c>
      <c r="H14" s="640" t="n">
        <v>39753</v>
      </c>
      <c r="I14" s="640" t="n">
        <v>45230</v>
      </c>
      <c r="J14" s="641"/>
      <c r="K14" s="642"/>
      <c r="L14" s="642" t="e">
        <f aca="false">LongTerm9!$T$5</f>
        <v>#VALUE!</v>
      </c>
      <c r="N14" s="643" t="n">
        <f aca="false">[2]LongTerm9!$T$7</f>
        <v>0.0249489421580632</v>
      </c>
      <c r="O14" s="644" t="n">
        <f aca="false">[2]LongTerm9!$T$8</f>
        <v>0.997961215850071</v>
      </c>
      <c r="P14" s="216" t="s">
        <v>829</v>
      </c>
      <c r="Q14" s="652"/>
      <c r="R14" s="652"/>
      <c r="S14" s="652"/>
      <c r="T14" s="235"/>
      <c r="U14" s="647"/>
      <c r="V14" s="648"/>
      <c r="Z14" s="649"/>
    </row>
    <row r="15" customFormat="false" ht="12.75" hidden="false" customHeight="false" outlineLevel="0" collapsed="false">
      <c r="D15" s="226" t="s">
        <v>81</v>
      </c>
      <c r="E15" s="226" t="s">
        <v>830</v>
      </c>
      <c r="F15" s="226" t="s">
        <v>83</v>
      </c>
      <c r="G15" s="639" t="n">
        <v>16495</v>
      </c>
      <c r="H15" s="640" t="n">
        <v>36039</v>
      </c>
      <c r="I15" s="640" t="n">
        <v>37468</v>
      </c>
      <c r="J15" s="641"/>
      <c r="L15" s="642" t="e">
        <f aca="false">LongTerm10!$T$5</f>
        <v>#VALUE!</v>
      </c>
      <c r="N15" s="643" t="n">
        <f aca="false">[2]LongTerm10!$T$7</f>
        <v>0.106717433416508</v>
      </c>
      <c r="O15" s="644" t="n">
        <f aca="false">[2]LongTerm10!$T$8</f>
        <v>0.971578811917877</v>
      </c>
      <c r="P15" s="216" t="s">
        <v>829</v>
      </c>
      <c r="Q15" s="645"/>
      <c r="R15" s="646"/>
      <c r="S15" s="646"/>
      <c r="T15" s="235"/>
      <c r="U15" s="647"/>
      <c r="V15" s="648"/>
    </row>
    <row r="16" customFormat="false" ht="12.75" hidden="false" customHeight="false" outlineLevel="0" collapsed="false">
      <c r="D16" s="226" t="s">
        <v>71</v>
      </c>
      <c r="E16" s="226" t="s">
        <v>831</v>
      </c>
      <c r="F16" s="226" t="s">
        <v>73</v>
      </c>
      <c r="G16" s="639" t="n">
        <v>4950</v>
      </c>
      <c r="H16" s="640" t="n">
        <v>36982</v>
      </c>
      <c r="I16" s="640" t="n">
        <v>37195</v>
      </c>
      <c r="J16" s="641"/>
      <c r="L16" s="642" t="e">
        <f aca="false">#REF!</f>
        <v>#REF!</v>
      </c>
      <c r="N16" s="643" t="n">
        <f aca="false">[2]LongTerm27!$T$7</f>
        <v>0.204520875432088</v>
      </c>
      <c r="O16" s="644" t="n">
        <f aca="false">[2]LongTerm27!$T$8</f>
        <v>0.820742583689898</v>
      </c>
      <c r="P16" s="216" t="s">
        <v>832</v>
      </c>
      <c r="Q16" s="645"/>
      <c r="R16" s="646"/>
      <c r="S16" s="646"/>
      <c r="T16" s="235"/>
      <c r="U16" s="647"/>
      <c r="V16" s="651"/>
    </row>
    <row r="17" customFormat="false" ht="12.75" hidden="false" customHeight="true" outlineLevel="0" collapsed="false">
      <c r="D17" s="226" t="s">
        <v>81</v>
      </c>
      <c r="E17" s="226" t="s">
        <v>830</v>
      </c>
      <c r="F17" s="226" t="s">
        <v>109</v>
      </c>
      <c r="G17" s="639" t="n">
        <v>16640</v>
      </c>
      <c r="H17" s="640" t="n">
        <v>36831</v>
      </c>
      <c r="I17" s="640" t="n">
        <v>37195</v>
      </c>
      <c r="J17" s="641"/>
      <c r="K17" s="642"/>
      <c r="L17" s="642" t="e">
        <f aca="false">#REF!</f>
        <v>#REF!</v>
      </c>
      <c r="N17" s="643" t="n">
        <f aca="false">[2]LongTerm46!$T$7</f>
        <v>0.202944304847177</v>
      </c>
      <c r="O17" s="644" t="n">
        <f aca="false">[2]LongTerm46!$T$8</f>
        <v>0.878193462816566</v>
      </c>
      <c r="P17" s="216" t="s">
        <v>832</v>
      </c>
      <c r="Q17" s="645"/>
      <c r="R17" s="646"/>
      <c r="S17" s="646"/>
      <c r="T17" s="235"/>
      <c r="U17" s="647"/>
      <c r="V17" s="651"/>
      <c r="Z17" s="649"/>
    </row>
    <row r="18" customFormat="false" ht="12.75" hidden="false" customHeight="true" outlineLevel="0" collapsed="false">
      <c r="D18" s="226" t="s">
        <v>81</v>
      </c>
      <c r="E18" s="226" t="s">
        <v>830</v>
      </c>
      <c r="F18" s="226" t="s">
        <v>404</v>
      </c>
      <c r="G18" s="639" t="n">
        <v>50960</v>
      </c>
      <c r="H18" s="640" t="n">
        <v>36831</v>
      </c>
      <c r="I18" s="640" t="n">
        <v>37195</v>
      </c>
      <c r="J18" s="641"/>
      <c r="K18" s="642"/>
      <c r="L18" s="642" t="e">
        <f aca="false">#REF!</f>
        <v>#REF!</v>
      </c>
      <c r="N18" s="643" t="n">
        <f aca="false">[2]LongTerm47!$T$7</f>
        <v>0.202944304847176</v>
      </c>
      <c r="O18" s="644" t="n">
        <f aca="false">[2]LongTerm47!$T$8</f>
        <v>0.878193462816566</v>
      </c>
      <c r="P18" s="216" t="s">
        <v>832</v>
      </c>
      <c r="Q18" s="645"/>
      <c r="R18" s="646"/>
      <c r="S18" s="646"/>
      <c r="T18" s="235"/>
      <c r="U18" s="647"/>
      <c r="V18" s="651"/>
      <c r="Z18" s="649"/>
    </row>
    <row r="19" customFormat="false" ht="12.75" hidden="false" customHeight="true" outlineLevel="0" collapsed="false">
      <c r="D19" s="226" t="s">
        <v>90</v>
      </c>
      <c r="E19" s="226" t="s">
        <v>404</v>
      </c>
      <c r="F19" s="226" t="s">
        <v>833</v>
      </c>
      <c r="G19" s="639" t="n">
        <v>80000</v>
      </c>
      <c r="H19" s="640" t="n">
        <v>36982</v>
      </c>
      <c r="I19" s="640" t="n">
        <v>37346</v>
      </c>
      <c r="J19" s="641"/>
      <c r="K19" s="642"/>
      <c r="L19" s="642" t="e">
        <f aca="false">LongTerm56!$T$5</f>
        <v>#VALUE!</v>
      </c>
      <c r="N19" s="643" t="n">
        <f aca="false">[2]LongTerm56!$T$7</f>
        <v>0.00184960895621351</v>
      </c>
      <c r="O19" s="644" t="n">
        <f aca="false">[2]LongTerm56!$T$8</f>
        <v>0.999951880638384</v>
      </c>
      <c r="P19" s="216" t="s">
        <v>832</v>
      </c>
      <c r="Q19" s="645"/>
      <c r="R19" s="646"/>
      <c r="S19" s="646"/>
      <c r="T19" s="235"/>
      <c r="U19" s="647"/>
      <c r="V19" s="651"/>
      <c r="Z19" s="649"/>
    </row>
    <row r="20" customFormat="false" ht="12.75" hidden="false" customHeight="true" outlineLevel="0" collapsed="false">
      <c r="D20" s="226" t="s">
        <v>90</v>
      </c>
      <c r="E20" s="226" t="s">
        <v>404</v>
      </c>
      <c r="F20" s="226" t="s">
        <v>386</v>
      </c>
      <c r="G20" s="639" t="n">
        <v>20000</v>
      </c>
      <c r="H20" s="640" t="n">
        <v>36982</v>
      </c>
      <c r="I20" s="640" t="n">
        <v>37346</v>
      </c>
      <c r="J20" s="641"/>
      <c r="K20" s="642"/>
      <c r="L20" s="642" t="e">
        <f aca="false">LongTerm57!$T$5</f>
        <v>#VALUE!</v>
      </c>
      <c r="N20" s="643" t="n">
        <f aca="false">[2]LongTerm57!$T$7</f>
        <v>0.00232481998784594</v>
      </c>
      <c r="O20" s="644" t="n">
        <f aca="false">[2]LongTerm57!$T$8</f>
        <v>0.999951880638384</v>
      </c>
      <c r="P20" s="216" t="s">
        <v>832</v>
      </c>
      <c r="Q20" s="645"/>
      <c r="R20" s="646"/>
      <c r="S20" s="646"/>
      <c r="T20" s="235"/>
      <c r="U20" s="647"/>
      <c r="V20" s="651"/>
      <c r="Z20" s="649"/>
    </row>
    <row r="21" customFormat="false" ht="12.75" hidden="false" customHeight="true" outlineLevel="0" collapsed="false">
      <c r="D21" s="226"/>
      <c r="E21" s="226"/>
      <c r="F21" s="226"/>
      <c r="G21" s="639"/>
      <c r="H21" s="640"/>
      <c r="I21" s="640"/>
      <c r="J21" s="641"/>
      <c r="K21" s="642"/>
      <c r="L21" s="650" t="e">
        <f aca="false">SUM(L14:L20)</f>
        <v>#VALUE!</v>
      </c>
      <c r="N21" s="643"/>
      <c r="O21" s="644"/>
      <c r="P21" s="216"/>
      <c r="Q21" s="645"/>
      <c r="R21" s="646"/>
      <c r="S21" s="646"/>
      <c r="T21" s="235"/>
      <c r="U21" s="647"/>
      <c r="V21" s="648"/>
      <c r="Z21" s="649"/>
    </row>
    <row r="22" customFormat="false" ht="13.5" hidden="false" customHeight="false" outlineLevel="0" collapsed="false">
      <c r="D22" s="226"/>
      <c r="E22" s="226"/>
      <c r="F22" s="226"/>
      <c r="G22" s="639"/>
      <c r="H22" s="640"/>
      <c r="I22" s="640"/>
      <c r="J22" s="641"/>
      <c r="L22" s="642"/>
      <c r="N22" s="643"/>
      <c r="O22" s="644"/>
      <c r="P22" s="216"/>
      <c r="Q22" s="645"/>
      <c r="R22" s="646"/>
      <c r="S22" s="646"/>
      <c r="T22" s="235"/>
      <c r="U22" s="647"/>
      <c r="V22" s="651"/>
    </row>
    <row r="23" customFormat="false" ht="12.75" hidden="false" customHeight="true" outlineLevel="0" collapsed="false">
      <c r="C23" s="638" t="s">
        <v>834</v>
      </c>
      <c r="D23" s="226" t="s">
        <v>120</v>
      </c>
      <c r="E23" s="226" t="s">
        <v>121</v>
      </c>
      <c r="F23" s="226" t="s">
        <v>122</v>
      </c>
      <c r="G23" s="639" t="n">
        <v>15000</v>
      </c>
      <c r="H23" s="640" t="n">
        <v>35886</v>
      </c>
      <c r="I23" s="640" t="n">
        <v>40117</v>
      </c>
      <c r="J23" s="641"/>
      <c r="K23" s="642"/>
      <c r="L23" s="642" t="e">
        <f aca="false">LongTerm17!$T$5</f>
        <v>#VALUE!</v>
      </c>
      <c r="N23" s="643" t="n">
        <f aca="false">[2]LongTerm17!$T$7</f>
        <v>0.0419117243544122</v>
      </c>
      <c r="O23" s="644" t="n">
        <f aca="false">[2]LongTerm17!$T$8</f>
        <v>0.997593056075677</v>
      </c>
      <c r="P23" s="216" t="s">
        <v>835</v>
      </c>
      <c r="Q23" s="645"/>
      <c r="R23" s="646"/>
      <c r="S23" s="646"/>
      <c r="T23" s="235"/>
      <c r="U23" s="647"/>
      <c r="V23" s="648"/>
      <c r="Z23" s="649"/>
    </row>
    <row r="24" customFormat="false" ht="12.75" hidden="false" customHeight="true" outlineLevel="0" collapsed="false">
      <c r="D24" s="226" t="s">
        <v>120</v>
      </c>
      <c r="E24" s="226" t="s">
        <v>130</v>
      </c>
      <c r="F24" s="226" t="s">
        <v>121</v>
      </c>
      <c r="G24" s="639" t="n">
        <v>40000</v>
      </c>
      <c r="H24" s="640" t="n">
        <v>36526</v>
      </c>
      <c r="I24" s="640" t="n">
        <v>37955</v>
      </c>
      <c r="J24" s="641"/>
      <c r="K24" s="642"/>
      <c r="L24" s="642" t="e">
        <f aca="false">LongTerm19!$T$5</f>
        <v>#VALUE!</v>
      </c>
      <c r="N24" s="643" t="n">
        <f aca="false">[2]LongTerm19!$T$7</f>
        <v>0.00622263143563146</v>
      </c>
      <c r="O24" s="644" t="n">
        <f aca="false">[2]LongTerm19!$T$8</f>
        <v>0.999775807701608</v>
      </c>
      <c r="P24" s="216" t="s">
        <v>835</v>
      </c>
      <c r="Q24" s="645"/>
      <c r="R24" s="646"/>
      <c r="S24" s="646"/>
      <c r="T24" s="235"/>
      <c r="U24" s="647"/>
      <c r="V24" s="651"/>
      <c r="Z24" s="649"/>
    </row>
    <row r="25" customFormat="false" ht="12.75" hidden="false" customHeight="true" outlineLevel="0" collapsed="false">
      <c r="D25" s="226" t="s">
        <v>120</v>
      </c>
      <c r="E25" s="226" t="s">
        <v>130</v>
      </c>
      <c r="F25" s="226" t="s">
        <v>121</v>
      </c>
      <c r="G25" s="639" t="n">
        <v>25654</v>
      </c>
      <c r="H25" s="640" t="n">
        <v>36526</v>
      </c>
      <c r="I25" s="640" t="n">
        <v>38291</v>
      </c>
      <c r="J25" s="641"/>
      <c r="K25" s="642"/>
      <c r="L25" s="642" t="e">
        <f aca="false">LongTerm20!$T$5</f>
        <v>#VALUE!</v>
      </c>
      <c r="N25" s="643" t="n">
        <f aca="false">[2]LongTerm20!$T$7</f>
        <v>0.00491591992757267</v>
      </c>
      <c r="O25" s="644" t="n">
        <f aca="false">[2]LongTerm20!$T$8</f>
        <v>0.999822765909387</v>
      </c>
      <c r="P25" s="216" t="s">
        <v>835</v>
      </c>
      <c r="Q25" s="645"/>
      <c r="R25" s="646"/>
      <c r="S25" s="646"/>
      <c r="T25" s="235"/>
      <c r="U25" s="647"/>
      <c r="V25" s="651"/>
      <c r="Z25" s="649"/>
    </row>
    <row r="26" customFormat="false" ht="12.75" hidden="false" customHeight="true" outlineLevel="0" collapsed="false">
      <c r="D26" s="226" t="s">
        <v>120</v>
      </c>
      <c r="E26" s="226" t="s">
        <v>121</v>
      </c>
      <c r="F26" s="226" t="s">
        <v>122</v>
      </c>
      <c r="G26" s="639" t="n">
        <v>15000</v>
      </c>
      <c r="H26" s="640" t="n">
        <v>36526</v>
      </c>
      <c r="I26" s="640" t="n">
        <v>38442</v>
      </c>
      <c r="J26" s="641"/>
      <c r="K26" s="642"/>
      <c r="L26" s="642" t="e">
        <f aca="false">LongTerm21!$T$5</f>
        <v>#VALUE!</v>
      </c>
      <c r="N26" s="643" t="n">
        <f aca="false">[2]LongTerm21!$T$7</f>
        <v>0.0465965142296654</v>
      </c>
      <c r="O26" s="644" t="n">
        <f aca="false">[2]LongTerm21!$T$8</f>
        <v>0.996947965051343</v>
      </c>
      <c r="P26" s="216" t="s">
        <v>835</v>
      </c>
      <c r="Q26" s="645"/>
      <c r="R26" s="646"/>
      <c r="S26" s="646"/>
      <c r="T26" s="235"/>
      <c r="U26" s="647"/>
      <c r="V26" s="651"/>
      <c r="Z26" s="649"/>
    </row>
    <row r="27" customFormat="false" ht="12.75" hidden="false" customHeight="true" outlineLevel="0" collapsed="false">
      <c r="D27" s="226" t="s">
        <v>120</v>
      </c>
      <c r="E27" s="226" t="s">
        <v>121</v>
      </c>
      <c r="F27" s="226" t="s">
        <v>122</v>
      </c>
      <c r="G27" s="639" t="n">
        <v>30000</v>
      </c>
      <c r="H27" s="640" t="n">
        <v>36526</v>
      </c>
      <c r="I27" s="640" t="n">
        <v>37346</v>
      </c>
      <c r="J27" s="641"/>
      <c r="K27" s="642"/>
      <c r="L27" s="642" t="e">
        <f aca="false">LongTerm24!$T$5</f>
        <v>#VALUE!</v>
      </c>
      <c r="N27" s="643" t="n">
        <f aca="false">[2]LongTerm24!$T$7</f>
        <v>0.0667241058789044</v>
      </c>
      <c r="O27" s="644" t="n">
        <f aca="false">[2]LongTerm24!$T$8</f>
        <v>0.995538723529323</v>
      </c>
      <c r="P27" s="216" t="s">
        <v>835</v>
      </c>
      <c r="Q27" s="645"/>
      <c r="R27" s="646"/>
      <c r="S27" s="646"/>
      <c r="T27" s="235"/>
      <c r="U27" s="647"/>
      <c r="V27" s="651"/>
      <c r="Z27" s="649"/>
    </row>
    <row r="28" customFormat="false" ht="12.75" hidden="false" customHeight="true" outlineLevel="0" collapsed="false">
      <c r="D28" s="226" t="s">
        <v>120</v>
      </c>
      <c r="E28" s="226" t="s">
        <v>121</v>
      </c>
      <c r="F28" s="226" t="s">
        <v>122</v>
      </c>
      <c r="G28" s="639" t="n">
        <v>25000</v>
      </c>
      <c r="H28" s="640" t="n">
        <v>36831</v>
      </c>
      <c r="I28" s="640" t="n">
        <v>36981</v>
      </c>
      <c r="J28" s="641"/>
      <c r="K28" s="642"/>
      <c r="L28" s="642" t="e">
        <f aca="false">#REF!</f>
        <v>#REF!</v>
      </c>
      <c r="N28" s="643" t="n">
        <f aca="false">[2]LongTerm28!$T$7</f>
        <v>0.0745994540611334</v>
      </c>
      <c r="O28" s="644" t="n">
        <f aca="false">[2]LongTerm28!$T$8</f>
        <v>0.994835506472605</v>
      </c>
      <c r="P28" s="216" t="s">
        <v>835</v>
      </c>
      <c r="Q28" s="645"/>
      <c r="R28" s="646"/>
      <c r="S28" s="646"/>
      <c r="T28" s="235"/>
      <c r="U28" s="647"/>
      <c r="V28" s="651"/>
      <c r="Z28" s="649"/>
    </row>
    <row r="29" customFormat="false" ht="12.75" hidden="false" customHeight="true" outlineLevel="0" collapsed="false">
      <c r="D29" s="226" t="s">
        <v>120</v>
      </c>
      <c r="E29" s="226" t="s">
        <v>130</v>
      </c>
      <c r="F29" s="226" t="s">
        <v>121</v>
      </c>
      <c r="G29" s="639" t="n">
        <v>20000</v>
      </c>
      <c r="H29" s="640" t="n">
        <v>34274</v>
      </c>
      <c r="I29" s="640" t="n">
        <v>37042</v>
      </c>
      <c r="J29" s="641"/>
      <c r="K29" s="642"/>
      <c r="L29" s="642" t="e">
        <f aca="false">#REF!</f>
        <v>#REF!</v>
      </c>
      <c r="N29" s="643" t="n">
        <f aca="false">[2]LongTerm43!$T$7</f>
        <v>0.0437926737887321</v>
      </c>
      <c r="O29" s="644" t="n">
        <f aca="false">[2]LongTerm43!$T$8</f>
        <v>0.998442613649178</v>
      </c>
      <c r="P29" s="216" t="s">
        <v>835</v>
      </c>
      <c r="Q29" s="645"/>
      <c r="R29" s="646"/>
      <c r="S29" s="646"/>
      <c r="T29" s="235"/>
      <c r="U29" s="647"/>
      <c r="V29" s="651"/>
      <c r="X29" s="149"/>
      <c r="Y29" s="149"/>
      <c r="Z29" s="649"/>
    </row>
    <row r="30" customFormat="false" ht="12.75" hidden="false" customHeight="true" outlineLevel="0" collapsed="false">
      <c r="D30" s="226" t="s">
        <v>120</v>
      </c>
      <c r="E30" s="226" t="s">
        <v>121</v>
      </c>
      <c r="F30" s="226" t="s">
        <v>122</v>
      </c>
      <c r="G30" s="639" t="n">
        <v>50000</v>
      </c>
      <c r="H30" s="640" t="n">
        <v>36831</v>
      </c>
      <c r="I30" s="640" t="n">
        <v>36981</v>
      </c>
      <c r="J30" s="641"/>
      <c r="K30" s="642"/>
      <c r="L30" s="642" t="e">
        <f aca="false">#REF!</f>
        <v>#REF!</v>
      </c>
      <c r="N30" s="643" t="n">
        <f aca="false">[2]LongTerm44!$T$7</f>
        <v>0.0666428460325985</v>
      </c>
      <c r="O30" s="644" t="n">
        <f aca="false">[2]LongTerm44!$T$8</f>
        <v>0.994835506472605</v>
      </c>
      <c r="P30" s="216" t="s">
        <v>835</v>
      </c>
      <c r="Q30" s="645"/>
      <c r="R30" s="646"/>
      <c r="S30" s="646"/>
      <c r="T30" s="235"/>
      <c r="U30" s="647"/>
      <c r="V30" s="651"/>
      <c r="Z30" s="649"/>
    </row>
    <row r="31" customFormat="false" ht="12.75" hidden="false" customHeight="true" outlineLevel="0" collapsed="false">
      <c r="D31" s="226" t="s">
        <v>120</v>
      </c>
      <c r="E31" s="226" t="s">
        <v>121</v>
      </c>
      <c r="F31" s="226" t="s">
        <v>122</v>
      </c>
      <c r="G31" s="639" t="n">
        <v>142</v>
      </c>
      <c r="H31" s="640" t="n">
        <v>36746</v>
      </c>
      <c r="I31" s="640" t="n">
        <v>37103</v>
      </c>
      <c r="J31" s="641"/>
      <c r="K31" s="642"/>
      <c r="L31" s="642" t="e">
        <f aca="false">#REF!</f>
        <v>#REF!</v>
      </c>
      <c r="N31" s="643" t="n">
        <f aca="false">[2]LongTerm45!$T$7</f>
        <v>0.0318799295324578</v>
      </c>
      <c r="O31" s="644" t="n">
        <f aca="false">[2]LongTerm45!$T$8</f>
        <v>0.995763825757059</v>
      </c>
      <c r="P31" s="216" t="s">
        <v>835</v>
      </c>
      <c r="Q31" s="645"/>
      <c r="R31" s="646"/>
      <c r="S31" s="646"/>
      <c r="T31" s="235"/>
      <c r="U31" s="647"/>
      <c r="V31" s="651"/>
      <c r="Z31" s="649"/>
    </row>
    <row r="32" customFormat="false" ht="12.75" hidden="false" customHeight="true" outlineLevel="0" collapsed="false">
      <c r="D32" s="226" t="s">
        <v>134</v>
      </c>
      <c r="E32" s="226" t="s">
        <v>836</v>
      </c>
      <c r="F32" s="226" t="s">
        <v>837</v>
      </c>
      <c r="G32" s="639" t="n">
        <v>567</v>
      </c>
      <c r="H32" s="640" t="n">
        <v>36069</v>
      </c>
      <c r="I32" s="640" t="n">
        <v>39113</v>
      </c>
      <c r="J32" s="641"/>
      <c r="K32" s="642"/>
      <c r="L32" s="642" t="e">
        <f aca="false">LongTerm50!$T$5+LongTerm51!$T$5+LongTerm52!$T$5</f>
        <v>#VALUE!</v>
      </c>
      <c r="N32" s="643" t="n">
        <f aca="false">([2]LongTerm50!$T$5+[2]LongTerm51!$T$5+[2]LongTerm52!$T$5)/([2]LongTerm50!$T$6+[2]LongTerm51!$T$6+[2]LongTerm52!$T$6)</f>
        <v>0.00206210878106976</v>
      </c>
      <c r="O32" s="644" t="n">
        <f aca="false">([2]LongTerm50!$Y$8+[2]LongTerm51!$Y$8+[2]LongTerm52!$Y$8)/([2]LongTerm50!$Z$8+[2]LongTerm51!$Z$8+[2]LongTerm52!$Z$8)</f>
        <v>0.999919167112467</v>
      </c>
      <c r="P32" s="216" t="s">
        <v>835</v>
      </c>
      <c r="Q32" s="645"/>
      <c r="R32" s="646"/>
      <c r="S32" s="646"/>
      <c r="T32" s="235"/>
      <c r="U32" s="647"/>
      <c r="V32" s="651"/>
      <c r="Z32" s="649"/>
    </row>
    <row r="33" customFormat="false" ht="12.75" hidden="false" customHeight="true" outlineLevel="0" collapsed="false">
      <c r="D33" s="226" t="s">
        <v>134</v>
      </c>
      <c r="E33" s="226" t="s">
        <v>836</v>
      </c>
      <c r="F33" s="226" t="s">
        <v>837</v>
      </c>
      <c r="G33" s="639" t="n">
        <v>367</v>
      </c>
      <c r="H33" s="640" t="n">
        <v>36495</v>
      </c>
      <c r="I33" s="640" t="n">
        <v>39113</v>
      </c>
      <c r="J33" s="641"/>
      <c r="K33" s="642"/>
      <c r="L33" s="642" t="e">
        <f aca="false">LongTerm53!$T$5+LongTerm54!$T$5+LongTerm55!$T$5</f>
        <v>#VALUE!</v>
      </c>
      <c r="N33" s="643" t="n">
        <f aca="false">([2]LongTerm53!$T$5+[2]LongTerm54!$T$5+[2]LongTerm55!$T$5)/([2]LongTerm53!$T$6+[2]LongTerm54!$T$6+[2]LongTerm55!$T$6)</f>
        <v>0.0024341316378079</v>
      </c>
      <c r="O33" s="644" t="n">
        <f aca="false">([2]LongTerm53!$Y$8+[2]LongTerm54!$Y$8+[2]LongTerm55!$Y$8)/([2]LongTerm53!$Z$8+[2]LongTerm54!$Z$8+[2]LongTerm55!$Z$8)</f>
        <v>0.999919167112467</v>
      </c>
      <c r="P33" s="216" t="s">
        <v>835</v>
      </c>
      <c r="Q33" s="645"/>
      <c r="R33" s="646"/>
      <c r="S33" s="646"/>
      <c r="T33" s="235"/>
      <c r="U33" s="647"/>
      <c r="V33" s="651"/>
      <c r="Z33" s="649"/>
    </row>
    <row r="34" customFormat="false" ht="13.5" hidden="false" customHeight="false" outlineLevel="0" collapsed="false">
      <c r="L34" s="650" t="e">
        <f aca="false">SUM(L23:L33)</f>
        <v>#VALUE!</v>
      </c>
      <c r="N34" s="622"/>
      <c r="O34" s="623"/>
      <c r="P34" s="653"/>
      <c r="Q34" s="652"/>
      <c r="R34" s="652"/>
      <c r="S34" s="652"/>
      <c r="T34" s="654"/>
      <c r="U34" s="647"/>
      <c r="V34" s="648"/>
    </row>
    <row r="35" customFormat="false" ht="13.5" hidden="false" customHeight="false" outlineLevel="0" collapsed="false">
      <c r="D35" s="226"/>
      <c r="E35" s="226"/>
      <c r="F35" s="226"/>
      <c r="G35" s="639"/>
      <c r="H35" s="640"/>
      <c r="I35" s="640"/>
      <c r="J35" s="641"/>
      <c r="K35" s="642"/>
      <c r="L35" s="642"/>
      <c r="N35" s="642"/>
      <c r="O35" s="644"/>
      <c r="P35" s="644"/>
      <c r="Q35" s="646"/>
      <c r="R35" s="646"/>
      <c r="S35" s="646"/>
      <c r="T35" s="235"/>
      <c r="U35" s="235"/>
      <c r="V35" s="651"/>
      <c r="Z35" s="649"/>
    </row>
    <row r="36" customFormat="false" ht="12.75" hidden="false" customHeight="false" outlineLevel="0" collapsed="false">
      <c r="D36" s="226"/>
      <c r="E36" s="226"/>
      <c r="F36" s="226"/>
      <c r="G36" s="639"/>
      <c r="H36" s="640"/>
      <c r="I36" s="640"/>
      <c r="J36" s="641"/>
      <c r="K36" s="642"/>
      <c r="L36" s="642"/>
      <c r="N36" s="642"/>
      <c r="O36" s="644"/>
      <c r="P36" s="644"/>
      <c r="Q36" s="646"/>
      <c r="R36" s="646"/>
      <c r="S36" s="646"/>
      <c r="T36" s="235"/>
      <c r="U36" s="235"/>
      <c r="V36" s="651"/>
      <c r="Z36" s="649"/>
    </row>
    <row r="37" customFormat="false" ht="12.75" hidden="false" customHeight="false" outlineLevel="0" collapsed="false">
      <c r="D37" s="226"/>
      <c r="E37" s="226"/>
      <c r="F37" s="226"/>
      <c r="H37" s="655" t="s">
        <v>838</v>
      </c>
      <c r="I37" s="640"/>
      <c r="J37" s="641"/>
      <c r="K37" s="642"/>
      <c r="L37" s="656" t="e">
        <f aca="false">SUM(L34+L21+L12)</f>
        <v>#VALUE!</v>
      </c>
      <c r="N37" s="642"/>
      <c r="O37" s="644"/>
      <c r="P37" s="644"/>
      <c r="Q37" s="646"/>
      <c r="R37" s="646"/>
      <c r="S37" s="646"/>
      <c r="T37" s="235"/>
      <c r="U37" s="657"/>
      <c r="V37" s="657"/>
      <c r="Z37" s="649"/>
    </row>
    <row r="38" customFormat="false" ht="12.75" hidden="false" customHeight="false" outlineLevel="0" collapsed="false">
      <c r="D38" s="226"/>
      <c r="E38" s="226"/>
      <c r="F38" s="226"/>
      <c r="G38" s="639"/>
      <c r="H38" s="640"/>
      <c r="I38" s="640"/>
      <c r="J38" s="641"/>
      <c r="K38" s="642"/>
      <c r="L38" s="656"/>
      <c r="N38" s="642"/>
      <c r="O38" s="644"/>
      <c r="P38" s="644"/>
      <c r="Q38" s="644"/>
      <c r="R38" s="644"/>
      <c r="S38" s="644"/>
      <c r="U38" s="656"/>
      <c r="V38" s="656"/>
      <c r="Z38" s="649"/>
    </row>
    <row r="39" customFormat="false" ht="12.75" hidden="false" customHeight="false" outlineLevel="0" collapsed="false">
      <c r="N39" s="622"/>
      <c r="O39" s="623"/>
      <c r="P39" s="623"/>
      <c r="Q39" s="623"/>
      <c r="R39" s="623"/>
      <c r="S39" s="623"/>
      <c r="U39" s="0"/>
      <c r="V39" s="216"/>
    </row>
    <row r="40" customFormat="false" ht="12.75" hidden="false" customHeight="false" outlineLevel="0" collapsed="false">
      <c r="E40" s="149"/>
      <c r="F40" s="149"/>
      <c r="K40" s="658"/>
    </row>
    <row r="41" customFormat="false" ht="12.75" hidden="false" customHeight="false" outlineLevel="0" collapsed="false">
      <c r="E41" s="622"/>
      <c r="F41" s="622"/>
    </row>
    <row r="42" customFormat="false" ht="12.75" hidden="false" customHeight="false" outlineLevel="0" collapsed="false">
      <c r="E42" s="622"/>
      <c r="F42" s="622"/>
    </row>
    <row r="47" customFormat="false" ht="12.75" hidden="false" customHeight="false" outlineLevel="0" collapsed="false">
      <c r="G47" s="659"/>
    </row>
  </sheetData>
  <mergeCells count="3">
    <mergeCell ref="C2:C3"/>
    <mergeCell ref="D2:D3"/>
    <mergeCell ref="L3:O3"/>
  </mergeCells>
  <printOptions headings="false" gridLines="false" gridLinesSet="true" horizontalCentered="false" verticalCentered="false"/>
  <pageMargins left="0.25" right="0.25" top="0.984027777777778" bottom="0.984027777777778"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DV654"/>
  <sheetViews>
    <sheetView showFormulas="false" showGridLines="true" showRowColHeaders="true" showZeros="true" rightToLeft="false" tabSelected="false" showOutlineSymbols="true" defaultGridColor="true" view="normal" topLeftCell="AI1" colorId="64" zoomScale="80" zoomScaleNormal="80" zoomScalePageLayoutView="100" workbookViewId="0">
      <selection pane="topLeft" activeCell="AT31" activeCellId="0" sqref="AT31"/>
    </sheetView>
  </sheetViews>
  <sheetFormatPr defaultColWidth="9.0546875" defaultRowHeight="12.75" customHeight="true" zeroHeight="false" outlineLevelRow="0" outlineLevelCol="0"/>
  <cols>
    <col collapsed="false" customWidth="true" hidden="false" outlineLevel="0" max="2" min="1" style="0" width="3.7"/>
    <col collapsed="false" customWidth="true" hidden="false" outlineLevel="0" max="3" min="3" style="0" width="17.7"/>
    <col collapsed="false" customWidth="true" hidden="false" outlineLevel="0" max="4" min="4" style="135" width="13.7"/>
    <col collapsed="false" customWidth="true" hidden="false" outlineLevel="0" max="5" min="5" style="136" width="3.7"/>
    <col collapsed="false" customWidth="true" hidden="false" outlineLevel="0" max="9" min="6" style="136" width="13.7"/>
    <col collapsed="false" customWidth="true" hidden="false" outlineLevel="0" max="24" min="10" style="0" width="13.7"/>
    <col collapsed="false" customWidth="true" hidden="false" outlineLevel="0" max="25" min="25" style="0" width="14.41"/>
    <col collapsed="false" customWidth="true" hidden="false" outlineLevel="0" max="54" min="26" style="0" width="13.7"/>
    <col collapsed="false" customWidth="true" hidden="false" outlineLevel="0" max="58" min="55" style="0" width="16.42"/>
    <col collapsed="false" customWidth="true" hidden="false" outlineLevel="0" max="60" min="59" style="0" width="13.7"/>
    <col collapsed="false" customWidth="true" hidden="false" outlineLevel="0" max="62" min="61" style="0" width="10.56"/>
    <col collapsed="false" customWidth="true" hidden="false" outlineLevel="0" max="64" min="63" style="0" width="11.42"/>
    <col collapsed="false" customWidth="true" hidden="false" outlineLevel="0" max="66" min="65" style="0" width="11.7"/>
    <col collapsed="false" customWidth="true" hidden="false" outlineLevel="0" max="67" min="67" style="0" width="16.7"/>
    <col collapsed="false" customWidth="true" hidden="false" outlineLevel="0" max="68" min="68" style="0" width="17.14"/>
    <col collapsed="false" customWidth="true" hidden="false" outlineLevel="0" max="69" min="69" style="0" width="13.14"/>
    <col collapsed="false" customWidth="true" hidden="false" outlineLevel="0" max="70" min="70" style="0" width="11.42"/>
    <col collapsed="false" customWidth="true" hidden="false" outlineLevel="0" max="72" min="71" style="0" width="14.28"/>
    <col collapsed="false" customWidth="true" hidden="false" outlineLevel="0" max="76" min="73" style="0" width="11.42"/>
    <col collapsed="false" customWidth="true" hidden="false" outlineLevel="0" max="77" min="77" style="136" width="15.99"/>
    <col collapsed="false" customWidth="true" hidden="false" outlineLevel="0" max="78" min="78" style="136" width="15.41"/>
    <col collapsed="false" customWidth="true" hidden="false" outlineLevel="0" max="79" min="79" style="0" width="13.99"/>
    <col collapsed="false" customWidth="true" hidden="false" outlineLevel="0" max="80" min="80" style="0" width="14.28"/>
    <col collapsed="false" customWidth="true" hidden="false" outlineLevel="0" max="82" min="81" style="136" width="14.99"/>
    <col collapsed="false" customWidth="true" hidden="false" outlineLevel="0" max="84" min="83" style="136" width="10.56"/>
    <col collapsed="false" customWidth="true" hidden="false" outlineLevel="0" max="85" min="85" style="136" width="12.85"/>
    <col collapsed="false" customWidth="true" hidden="false" outlineLevel="0" max="90" min="86" style="136" width="12.99"/>
    <col collapsed="false" customWidth="true" hidden="false" outlineLevel="0" max="100" min="91" style="0" width="12.99"/>
    <col collapsed="false" customWidth="true" hidden="false" outlineLevel="0" max="101" min="101" style="0" width="14.99"/>
    <col collapsed="false" customWidth="true" hidden="false" outlineLevel="0" max="102" min="102" style="0" width="15.7"/>
    <col collapsed="false" customWidth="true" hidden="false" outlineLevel="0" max="103" min="103" style="0" width="11.28"/>
    <col collapsed="false" customWidth="true" hidden="false" outlineLevel="0" max="106" min="104" style="0" width="11.42"/>
    <col collapsed="false" customWidth="true" hidden="false" outlineLevel="0" max="108" min="107" style="0" width="11.28"/>
    <col collapsed="false" customWidth="true" hidden="false" outlineLevel="0" max="112" min="109" style="136" width="10.13"/>
    <col collapsed="false" customWidth="true" hidden="false" outlineLevel="0" max="113" min="113" style="136" width="13.7"/>
    <col collapsed="false" customWidth="true" hidden="false" outlineLevel="0" max="114" min="114" style="136" width="10.13"/>
    <col collapsed="false" customWidth="true" hidden="false" outlineLevel="0" max="115" min="115" style="0" width="13.14"/>
    <col collapsed="false" customWidth="true" hidden="false" outlineLevel="0" max="116" min="116" style="0" width="10.99"/>
    <col collapsed="false" customWidth="true" hidden="false" outlineLevel="0" max="117" min="117" style="0" width="11.28"/>
    <col collapsed="false" customWidth="true" hidden="false" outlineLevel="0" max="118" min="118" style="0" width="12.42"/>
    <col collapsed="false" customWidth="true" hidden="false" outlineLevel="0" max="119" min="119" style="0" width="12.14"/>
    <col collapsed="false" customWidth="true" hidden="false" outlineLevel="0" max="120" min="120" style="0" width="11.85"/>
    <col collapsed="false" customWidth="true" hidden="false" outlineLevel="0" max="122" min="121" style="0" width="11.28"/>
    <col collapsed="false" customWidth="true" hidden="false" outlineLevel="0" max="124" min="123" style="0" width="10.13"/>
    <col collapsed="false" customWidth="true" hidden="false" outlineLevel="0" max="125" min="125" style="0" width="10.28"/>
    <col collapsed="false" customWidth="true" hidden="false" outlineLevel="0" max="126" min="126" style="0" width="10.99"/>
  </cols>
  <sheetData>
    <row r="1" customFormat="false" ht="12.75" hidden="false" customHeight="false" outlineLevel="0" collapsed="false">
      <c r="A1" s="137"/>
      <c r="BY1" s="0"/>
      <c r="BZ1" s="0"/>
      <c r="CC1" s="0"/>
      <c r="CD1" s="0"/>
      <c r="CE1" s="0"/>
      <c r="CF1" s="0"/>
      <c r="CG1" s="0"/>
      <c r="CH1" s="0"/>
      <c r="CI1" s="0"/>
      <c r="CJ1" s="0"/>
      <c r="CK1" s="0"/>
      <c r="CL1" s="0"/>
      <c r="DE1" s="0"/>
      <c r="DF1" s="0"/>
      <c r="DG1" s="0"/>
      <c r="DH1" s="0"/>
      <c r="DI1" s="0"/>
      <c r="DJ1" s="0"/>
    </row>
    <row r="2" customFormat="false" ht="12.75" hidden="false" customHeight="false" outlineLevel="0" collapsed="false">
      <c r="BY2" s="0"/>
      <c r="BZ2" s="0"/>
      <c r="CC2" s="0"/>
      <c r="CD2" s="0"/>
      <c r="CE2" s="0"/>
      <c r="CF2" s="0"/>
      <c r="CG2" s="0"/>
      <c r="CH2" s="0"/>
      <c r="CI2" s="0"/>
      <c r="CJ2" s="0"/>
      <c r="CK2" s="0"/>
      <c r="CL2" s="0"/>
      <c r="DE2" s="0"/>
      <c r="DF2" s="0"/>
      <c r="DG2" s="0"/>
      <c r="DH2" s="0"/>
      <c r="DI2" s="0"/>
      <c r="DJ2" s="0"/>
    </row>
    <row r="3" customFormat="false" ht="12.75" hidden="false" customHeight="false" outlineLevel="0" collapsed="false">
      <c r="B3" s="138" t="s">
        <v>242</v>
      </c>
      <c r="C3" s="139"/>
      <c r="D3" s="140"/>
      <c r="E3" s="141"/>
      <c r="G3" s="142" t="s">
        <v>243</v>
      </c>
      <c r="H3" s="141"/>
      <c r="I3" s="141"/>
      <c r="BY3" s="0"/>
      <c r="BZ3" s="0"/>
      <c r="CC3" s="0"/>
      <c r="CD3" s="0"/>
      <c r="CE3" s="0"/>
      <c r="CF3" s="0"/>
      <c r="CG3" s="0"/>
      <c r="CH3" s="0"/>
      <c r="CI3" s="0"/>
      <c r="CJ3" s="0"/>
      <c r="CK3" s="0"/>
      <c r="CL3" s="0"/>
      <c r="DE3" s="0"/>
      <c r="DF3" s="0"/>
      <c r="DG3" s="0"/>
      <c r="DH3" s="0"/>
      <c r="DI3" s="0"/>
      <c r="DJ3" s="0"/>
    </row>
    <row r="4" customFormat="false" ht="12.75" hidden="false" customHeight="false" outlineLevel="0" collapsed="false">
      <c r="B4" s="143"/>
      <c r="C4" s="143"/>
      <c r="D4" s="144"/>
      <c r="E4" s="145"/>
      <c r="G4" s="145"/>
      <c r="H4" s="145"/>
      <c r="I4" s="145"/>
      <c r="BY4" s="0"/>
      <c r="BZ4" s="0"/>
      <c r="CC4" s="0"/>
      <c r="CD4" s="0"/>
      <c r="CE4" s="0"/>
      <c r="CF4" s="0"/>
      <c r="CG4" s="0"/>
      <c r="CH4" s="0"/>
      <c r="CI4" s="0"/>
      <c r="CJ4" s="0"/>
      <c r="CK4" s="0"/>
      <c r="CL4" s="0"/>
      <c r="DE4" s="0"/>
      <c r="DF4" s="0"/>
      <c r="DG4" s="0"/>
      <c r="DH4" s="0"/>
      <c r="DI4" s="0"/>
      <c r="DJ4" s="0"/>
    </row>
    <row r="5" customFormat="false" ht="12.75" hidden="false" customHeight="false" outlineLevel="0" collapsed="false">
      <c r="B5" s="143"/>
      <c r="C5" s="143" t="s">
        <v>244</v>
      </c>
      <c r="D5" s="146" t="s">
        <v>245</v>
      </c>
      <c r="E5" s="145"/>
      <c r="G5" s="147" t="s">
        <v>246</v>
      </c>
      <c r="H5" s="148" t="n">
        <f aca="false">'Daily Operation'!D7</f>
        <v>37242</v>
      </c>
      <c r="I5" s="145"/>
      <c r="K5" s="149"/>
      <c r="BY5" s="0"/>
      <c r="BZ5" s="0"/>
      <c r="CC5" s="0"/>
      <c r="CD5" s="0"/>
      <c r="CE5" s="0"/>
      <c r="CF5" s="0"/>
      <c r="CG5" s="0"/>
      <c r="CH5" s="0"/>
      <c r="CI5" s="0"/>
      <c r="CJ5" s="0"/>
      <c r="CK5" s="0"/>
      <c r="CL5" s="0"/>
      <c r="DE5" s="0"/>
      <c r="DF5" s="0"/>
      <c r="DG5" s="0"/>
      <c r="DH5" s="0"/>
      <c r="DI5" s="0"/>
      <c r="DJ5" s="0"/>
    </row>
    <row r="6" customFormat="false" ht="12.75" hidden="false" customHeight="false" outlineLevel="0" collapsed="false">
      <c r="B6" s="143"/>
      <c r="C6" s="143" t="s">
        <v>247</v>
      </c>
      <c r="D6" s="146" t="s">
        <v>248</v>
      </c>
      <c r="E6" s="145"/>
      <c r="G6" s="147" t="s">
        <v>249</v>
      </c>
      <c r="H6" s="148" t="n">
        <f aca="false">EOMONTH(FetchDate,-1)+1</f>
        <v>37226</v>
      </c>
      <c r="I6" s="145"/>
      <c r="K6" s="149"/>
      <c r="BY6" s="0"/>
      <c r="BZ6" s="0"/>
      <c r="CC6" s="0"/>
      <c r="CD6" s="0"/>
      <c r="CE6" s="0"/>
      <c r="CF6" s="0"/>
      <c r="CG6" s="0"/>
      <c r="CH6" s="0"/>
      <c r="CI6" s="0"/>
      <c r="CJ6" s="0"/>
      <c r="CK6" s="0"/>
      <c r="CL6" s="0"/>
      <c r="DE6" s="0"/>
      <c r="DF6" s="0"/>
      <c r="DG6" s="0"/>
      <c r="DH6" s="0"/>
      <c r="DI6" s="0"/>
      <c r="DJ6" s="0"/>
    </row>
    <row r="7" customFormat="false" ht="12.75" hidden="false" customHeight="false" outlineLevel="0" collapsed="false">
      <c r="B7" s="143"/>
      <c r="C7" s="143" t="s">
        <v>250</v>
      </c>
      <c r="D7" s="146" t="s">
        <v>248</v>
      </c>
      <c r="E7" s="145"/>
      <c r="G7" s="147" t="s">
        <v>251</v>
      </c>
      <c r="H7" s="148" t="n">
        <f aca="false">Configuration!I3</f>
        <v>46022</v>
      </c>
      <c r="I7" s="145"/>
      <c r="BY7" s="0"/>
      <c r="BZ7" s="0"/>
      <c r="CC7" s="0"/>
      <c r="CD7" s="0"/>
      <c r="CE7" s="0"/>
      <c r="CF7" s="0"/>
      <c r="CG7" s="0"/>
      <c r="CH7" s="0"/>
      <c r="CI7" s="0"/>
      <c r="CJ7" s="0"/>
      <c r="CK7" s="0"/>
      <c r="CL7" s="0"/>
      <c r="DE7" s="0"/>
      <c r="DF7" s="0"/>
      <c r="DG7" s="0"/>
      <c r="DH7" s="0"/>
      <c r="DI7" s="0"/>
      <c r="DJ7" s="0"/>
    </row>
    <row r="8" customFormat="false" ht="12.75" hidden="false" customHeight="false" outlineLevel="0" collapsed="false">
      <c r="B8" s="143"/>
      <c r="C8" s="143"/>
      <c r="D8" s="144"/>
      <c r="E8" s="145"/>
      <c r="G8" s="145"/>
      <c r="H8" s="145"/>
      <c r="I8" s="145"/>
      <c r="BY8" s="0"/>
      <c r="BZ8" s="0"/>
      <c r="CC8" s="0"/>
      <c r="CD8" s="0"/>
      <c r="CE8" s="0"/>
      <c r="CF8" s="0"/>
      <c r="CG8" s="0"/>
      <c r="CH8" s="0"/>
      <c r="CI8" s="0"/>
      <c r="CJ8" s="0"/>
      <c r="CK8" s="0"/>
      <c r="CL8" s="0"/>
      <c r="DE8" s="0"/>
      <c r="DF8" s="0"/>
      <c r="DG8" s="0"/>
      <c r="DH8" s="0"/>
      <c r="DI8" s="0"/>
      <c r="DJ8" s="0"/>
    </row>
    <row r="9" customFormat="false" ht="12.75" hidden="false" customHeight="false" outlineLevel="0" collapsed="false">
      <c r="BY9" s="0"/>
      <c r="BZ9" s="0"/>
      <c r="CC9" s="0"/>
      <c r="CD9" s="0"/>
      <c r="CE9" s="0"/>
      <c r="CF9" s="0"/>
      <c r="CG9" s="0"/>
      <c r="CH9" s="0"/>
      <c r="CI9" s="0"/>
      <c r="CJ9" s="0"/>
      <c r="CK9" s="0"/>
      <c r="CL9" s="0"/>
      <c r="DE9" s="0"/>
      <c r="DF9" s="0"/>
      <c r="DG9" s="0"/>
      <c r="DH9" s="0"/>
      <c r="DI9" s="0"/>
      <c r="DJ9" s="0"/>
    </row>
    <row r="10" customFormat="false" ht="12.75" hidden="false" customHeight="false" outlineLevel="0" collapsed="false">
      <c r="BY10" s="0"/>
      <c r="BZ10" s="0"/>
      <c r="CC10" s="0"/>
      <c r="CD10" s="0"/>
      <c r="CE10" s="0"/>
      <c r="CF10" s="0"/>
      <c r="CG10" s="0"/>
      <c r="CH10" s="0"/>
      <c r="CI10" s="0"/>
      <c r="CJ10" s="0"/>
      <c r="CK10" s="0"/>
      <c r="CL10" s="0"/>
      <c r="DE10" s="0"/>
      <c r="DF10" s="0"/>
      <c r="DG10" s="0"/>
      <c r="DH10" s="0"/>
      <c r="DI10" s="0"/>
      <c r="DJ10" s="0"/>
    </row>
    <row r="11" customFormat="false" ht="12.75" hidden="false" customHeight="false" outlineLevel="0" collapsed="false">
      <c r="A11" s="150"/>
      <c r="B11" s="150"/>
      <c r="C11" s="150"/>
      <c r="D11" s="151" t="s">
        <v>252</v>
      </c>
      <c r="E11" s="152"/>
      <c r="F11" s="152" t="s">
        <v>116</v>
      </c>
      <c r="G11" s="153" t="s">
        <v>116</v>
      </c>
      <c r="H11" s="152" t="s">
        <v>116</v>
      </c>
      <c r="I11" s="154" t="s">
        <v>116</v>
      </c>
      <c r="J11" s="154" t="s">
        <v>116</v>
      </c>
      <c r="K11" s="153" t="s">
        <v>116</v>
      </c>
      <c r="L11" s="153" t="s">
        <v>116</v>
      </c>
      <c r="M11" s="153" t="s">
        <v>116</v>
      </c>
      <c r="N11" s="153" t="s">
        <v>116</v>
      </c>
      <c r="O11" s="153" t="s">
        <v>116</v>
      </c>
      <c r="P11" s="153" t="s">
        <v>116</v>
      </c>
      <c r="Q11" s="153" t="s">
        <v>116</v>
      </c>
      <c r="R11" s="153" t="s">
        <v>116</v>
      </c>
      <c r="S11" s="153" t="s">
        <v>116</v>
      </c>
      <c r="T11" s="153" t="s">
        <v>116</v>
      </c>
      <c r="U11" s="153" t="s">
        <v>116</v>
      </c>
      <c r="V11" s="153" t="s">
        <v>116</v>
      </c>
      <c r="W11" s="152" t="s">
        <v>116</v>
      </c>
      <c r="X11" s="153" t="s">
        <v>116</v>
      </c>
      <c r="Y11" s="152" t="s">
        <v>116</v>
      </c>
      <c r="Z11" s="154" t="s">
        <v>116</v>
      </c>
      <c r="AA11" s="152" t="s">
        <v>116</v>
      </c>
      <c r="AB11" s="153" t="s">
        <v>116</v>
      </c>
      <c r="AC11" s="152" t="s">
        <v>116</v>
      </c>
      <c r="AD11" s="154" t="s">
        <v>116</v>
      </c>
      <c r="AE11" s="154" t="s">
        <v>116</v>
      </c>
      <c r="AF11" s="154" t="s">
        <v>116</v>
      </c>
      <c r="AG11" s="154" t="s">
        <v>116</v>
      </c>
      <c r="AH11" s="154" t="s">
        <v>116</v>
      </c>
      <c r="AI11" s="154" t="s">
        <v>116</v>
      </c>
      <c r="AJ11" s="154" t="s">
        <v>116</v>
      </c>
      <c r="AK11" s="154" t="s">
        <v>116</v>
      </c>
      <c r="AL11" s="154" t="s">
        <v>116</v>
      </c>
      <c r="AM11" s="154" t="s">
        <v>116</v>
      </c>
      <c r="AN11" s="153" t="s">
        <v>116</v>
      </c>
      <c r="AO11" s="153" t="s">
        <v>116</v>
      </c>
      <c r="AP11" s="153" t="s">
        <v>116</v>
      </c>
      <c r="AQ11" s="153" t="s">
        <v>116</v>
      </c>
      <c r="AR11" s="153" t="s">
        <v>116</v>
      </c>
      <c r="AS11" s="153" t="s">
        <v>116</v>
      </c>
      <c r="AT11" s="153" t="s">
        <v>116</v>
      </c>
      <c r="AU11" s="153" t="s">
        <v>116</v>
      </c>
      <c r="AV11" s="153" t="s">
        <v>116</v>
      </c>
      <c r="AW11" s="153" t="s">
        <v>116</v>
      </c>
      <c r="AX11" s="153" t="s">
        <v>116</v>
      </c>
      <c r="AY11" s="153" t="s">
        <v>116</v>
      </c>
      <c r="AZ11" s="153" t="s">
        <v>116</v>
      </c>
      <c r="BA11" s="152" t="s">
        <v>116</v>
      </c>
      <c r="BB11" s="153" t="s">
        <v>116</v>
      </c>
      <c r="BC11" s="152" t="s">
        <v>116</v>
      </c>
      <c r="BD11" s="153" t="s">
        <v>116</v>
      </c>
      <c r="BE11" s="153" t="s">
        <v>116</v>
      </c>
      <c r="BF11" s="153" t="s">
        <v>116</v>
      </c>
      <c r="BG11" s="152" t="s">
        <v>116</v>
      </c>
      <c r="BH11" s="154" t="s">
        <v>116</v>
      </c>
      <c r="BI11" s="154" t="s">
        <v>116</v>
      </c>
      <c r="BJ11" s="153" t="s">
        <v>116</v>
      </c>
      <c r="BK11" s="153" t="s">
        <v>116</v>
      </c>
      <c r="BL11" s="153" t="s">
        <v>116</v>
      </c>
      <c r="BM11" s="153" t="s">
        <v>116</v>
      </c>
      <c r="BN11" s="153" t="s">
        <v>116</v>
      </c>
      <c r="BO11" s="153" t="s">
        <v>116</v>
      </c>
      <c r="BP11" s="153" t="s">
        <v>116</v>
      </c>
      <c r="BQ11" s="153" t="s">
        <v>116</v>
      </c>
      <c r="BR11" s="153" t="s">
        <v>116</v>
      </c>
      <c r="BS11" s="153" t="s">
        <v>116</v>
      </c>
      <c r="BT11" s="153" t="s">
        <v>116</v>
      </c>
      <c r="BU11" s="153" t="s">
        <v>116</v>
      </c>
      <c r="BV11" s="153" t="s">
        <v>116</v>
      </c>
      <c r="BW11" s="153" t="s">
        <v>116</v>
      </c>
      <c r="BX11" s="153" t="s">
        <v>116</v>
      </c>
      <c r="BY11" s="153" t="s">
        <v>116</v>
      </c>
      <c r="BZ11" s="153" t="s">
        <v>116</v>
      </c>
      <c r="CA11" s="153" t="s">
        <v>116</v>
      </c>
      <c r="CB11" s="153" t="s">
        <v>116</v>
      </c>
      <c r="CC11" s="153" t="s">
        <v>116</v>
      </c>
      <c r="CD11" s="153" t="s">
        <v>116</v>
      </c>
      <c r="CE11" s="152" t="s">
        <v>116</v>
      </c>
      <c r="CF11" s="153" t="s">
        <v>116</v>
      </c>
      <c r="CG11" s="153" t="s">
        <v>116</v>
      </c>
      <c r="CH11" s="153" t="s">
        <v>116</v>
      </c>
      <c r="CI11" s="153" t="s">
        <v>116</v>
      </c>
      <c r="CJ11" s="153" t="s">
        <v>116</v>
      </c>
      <c r="CK11" s="153" t="s">
        <v>116</v>
      </c>
      <c r="CL11" s="153" t="s">
        <v>116</v>
      </c>
      <c r="CM11" s="153" t="s">
        <v>116</v>
      </c>
      <c r="CN11" s="153" t="s">
        <v>116</v>
      </c>
      <c r="CO11" s="153" t="s">
        <v>116</v>
      </c>
      <c r="CP11" s="153" t="s">
        <v>116</v>
      </c>
      <c r="CQ11" s="153" t="s">
        <v>116</v>
      </c>
      <c r="CR11" s="153" t="s">
        <v>116</v>
      </c>
      <c r="CS11" s="153" t="s">
        <v>116</v>
      </c>
      <c r="CT11" s="153" t="s">
        <v>116</v>
      </c>
      <c r="CU11" s="153" t="s">
        <v>116</v>
      </c>
      <c r="CV11" s="153" t="s">
        <v>116</v>
      </c>
      <c r="CW11" s="153" t="s">
        <v>116</v>
      </c>
      <c r="CX11" s="153" t="s">
        <v>116</v>
      </c>
      <c r="CY11" s="152" t="s">
        <v>116</v>
      </c>
      <c r="CZ11" s="153" t="s">
        <v>116</v>
      </c>
      <c r="DA11" s="153" t="s">
        <v>116</v>
      </c>
      <c r="DB11" s="153" t="s">
        <v>116</v>
      </c>
      <c r="DC11" s="153" t="s">
        <v>116</v>
      </c>
      <c r="DD11" s="153" t="s">
        <v>116</v>
      </c>
      <c r="DE11" s="153" t="s">
        <v>116</v>
      </c>
      <c r="DF11" s="153" t="s">
        <v>116</v>
      </c>
      <c r="DG11" s="153" t="s">
        <v>116</v>
      </c>
      <c r="DH11" s="153" t="s">
        <v>116</v>
      </c>
      <c r="DI11" s="153" t="s">
        <v>116</v>
      </c>
      <c r="DJ11" s="153" t="s">
        <v>116</v>
      </c>
      <c r="DK11" s="153" t="s">
        <v>116</v>
      </c>
      <c r="DL11" s="153" t="s">
        <v>116</v>
      </c>
      <c r="DM11" s="153" t="s">
        <v>116</v>
      </c>
      <c r="DN11" s="153" t="s">
        <v>116</v>
      </c>
      <c r="DO11" s="153" t="s">
        <v>116</v>
      </c>
      <c r="DP11" s="153" t="s">
        <v>116</v>
      </c>
      <c r="DQ11" s="153" t="s">
        <v>116</v>
      </c>
      <c r="DR11" s="153" t="s">
        <v>116</v>
      </c>
      <c r="DS11" s="153" t="s">
        <v>116</v>
      </c>
      <c r="DT11" s="153" t="s">
        <v>116</v>
      </c>
      <c r="DU11" s="153" t="s">
        <v>116</v>
      </c>
      <c r="DV11" s="153" t="s">
        <v>116</v>
      </c>
    </row>
    <row r="12" customFormat="false" ht="12.75" hidden="false" customHeight="false" outlineLevel="0" collapsed="false">
      <c r="A12" s="155"/>
      <c r="B12" s="155"/>
      <c r="C12" s="155"/>
      <c r="D12" s="156" t="s">
        <v>253</v>
      </c>
      <c r="E12" s="157"/>
      <c r="F12" s="158" t="n">
        <v>37239</v>
      </c>
      <c r="G12" s="158" t="n">
        <v>37239</v>
      </c>
      <c r="H12" s="158" t="n">
        <v>37239</v>
      </c>
      <c r="I12" s="158" t="n">
        <v>37239</v>
      </c>
      <c r="J12" s="158" t="n">
        <v>37239</v>
      </c>
      <c r="K12" s="158" t="n">
        <v>37239</v>
      </c>
      <c r="L12" s="158" t="n">
        <v>37239</v>
      </c>
      <c r="M12" s="158" t="n">
        <v>37239</v>
      </c>
      <c r="N12" s="158" t="n">
        <v>37239</v>
      </c>
      <c r="O12" s="158" t="n">
        <v>37239</v>
      </c>
      <c r="P12" s="158" t="n">
        <v>37239</v>
      </c>
      <c r="Q12" s="158" t="n">
        <v>37239</v>
      </c>
      <c r="R12" s="158" t="n">
        <v>37239</v>
      </c>
      <c r="S12" s="158" t="n">
        <v>37239</v>
      </c>
      <c r="T12" s="158" t="n">
        <v>37239</v>
      </c>
      <c r="U12" s="158" t="n">
        <v>37239</v>
      </c>
      <c r="V12" s="158" t="n">
        <v>37239</v>
      </c>
      <c r="W12" s="158" t="n">
        <v>37239</v>
      </c>
      <c r="X12" s="158" t="n">
        <v>37239</v>
      </c>
      <c r="Y12" s="158" t="n">
        <v>37239</v>
      </c>
      <c r="Z12" s="158" t="n">
        <v>37239</v>
      </c>
      <c r="AA12" s="158" t="n">
        <v>37239</v>
      </c>
      <c r="AB12" s="158" t="n">
        <v>37239</v>
      </c>
      <c r="AC12" s="158" t="n">
        <v>37239</v>
      </c>
      <c r="AD12" s="158" t="n">
        <v>37239</v>
      </c>
      <c r="AE12" s="158" t="n">
        <v>37239</v>
      </c>
      <c r="AF12" s="158" t="n">
        <v>37239</v>
      </c>
      <c r="AG12" s="158" t="n">
        <v>37239</v>
      </c>
      <c r="AH12" s="158" t="n">
        <v>37239</v>
      </c>
      <c r="AI12" s="158" t="n">
        <v>37239</v>
      </c>
      <c r="AJ12" s="158" t="n">
        <v>37239</v>
      </c>
      <c r="AK12" s="158" t="n">
        <v>37239</v>
      </c>
      <c r="AL12" s="158" t="n">
        <v>37239</v>
      </c>
      <c r="AM12" s="158" t="n">
        <v>37239</v>
      </c>
      <c r="AN12" s="158" t="n">
        <v>37239</v>
      </c>
      <c r="AO12" s="158" t="n">
        <v>37239</v>
      </c>
      <c r="AP12" s="158" t="n">
        <v>37239</v>
      </c>
      <c r="AQ12" s="158" t="n">
        <v>37239</v>
      </c>
      <c r="AR12" s="158" t="n">
        <v>37239</v>
      </c>
      <c r="AS12" s="158" t="n">
        <v>37239</v>
      </c>
      <c r="AT12" s="158" t="n">
        <v>37239</v>
      </c>
      <c r="AU12" s="158" t="n">
        <v>37239</v>
      </c>
      <c r="AV12" s="158" t="n">
        <v>37239</v>
      </c>
      <c r="AW12" s="158" t="n">
        <v>37239</v>
      </c>
      <c r="AX12" s="158" t="n">
        <v>37239</v>
      </c>
      <c r="AY12" s="158" t="n">
        <v>37239</v>
      </c>
      <c r="AZ12" s="158" t="n">
        <v>37239</v>
      </c>
      <c r="BA12" s="158" t="n">
        <v>37239</v>
      </c>
      <c r="BB12" s="158" t="n">
        <v>37239</v>
      </c>
      <c r="BC12" s="158" t="n">
        <v>37239</v>
      </c>
      <c r="BD12" s="158" t="n">
        <v>37239</v>
      </c>
      <c r="BE12" s="158" t="n">
        <v>37239</v>
      </c>
      <c r="BF12" s="158" t="n">
        <v>37239</v>
      </c>
      <c r="BG12" s="158" t="n">
        <v>37239</v>
      </c>
      <c r="BH12" s="158" t="n">
        <v>37239</v>
      </c>
      <c r="BI12" s="158" t="n">
        <v>37239</v>
      </c>
      <c r="BJ12" s="158" t="n">
        <v>37239</v>
      </c>
      <c r="BK12" s="158" t="n">
        <v>37239</v>
      </c>
      <c r="BL12" s="158" t="n">
        <v>37239</v>
      </c>
      <c r="BM12" s="158" t="n">
        <v>37239</v>
      </c>
      <c r="BN12" s="158" t="n">
        <v>37239</v>
      </c>
      <c r="BO12" s="158" t="n">
        <v>37239</v>
      </c>
      <c r="BP12" s="158" t="n">
        <v>37239</v>
      </c>
      <c r="BQ12" s="158" t="n">
        <v>37239</v>
      </c>
      <c r="BR12" s="158" t="n">
        <v>37239</v>
      </c>
      <c r="BS12" s="158" t="n">
        <v>37239</v>
      </c>
      <c r="BT12" s="158" t="n">
        <v>37239</v>
      </c>
      <c r="BU12" s="158" t="n">
        <v>37239</v>
      </c>
      <c r="BV12" s="158" t="n">
        <v>37239</v>
      </c>
      <c r="BW12" s="158" t="n">
        <v>37239</v>
      </c>
      <c r="BX12" s="158" t="n">
        <v>37239</v>
      </c>
      <c r="BY12" s="158" t="n">
        <v>37239</v>
      </c>
      <c r="BZ12" s="158" t="n">
        <v>37239</v>
      </c>
      <c r="CA12" s="158" t="n">
        <v>37239</v>
      </c>
      <c r="CB12" s="158" t="n">
        <v>37239</v>
      </c>
      <c r="CC12" s="158" t="n">
        <v>37239</v>
      </c>
      <c r="CD12" s="158" t="n">
        <v>37239</v>
      </c>
      <c r="CE12" s="158" t="n">
        <v>37239</v>
      </c>
      <c r="CF12" s="158" t="n">
        <v>37239</v>
      </c>
      <c r="CG12" s="158" t="n">
        <v>37239</v>
      </c>
      <c r="CH12" s="158" t="n">
        <v>37239</v>
      </c>
      <c r="CI12" s="158" t="n">
        <v>37239</v>
      </c>
      <c r="CJ12" s="158" t="n">
        <v>37239</v>
      </c>
      <c r="CK12" s="158" t="n">
        <v>37239</v>
      </c>
      <c r="CL12" s="158" t="n">
        <v>37239</v>
      </c>
      <c r="CM12" s="158" t="n">
        <v>37239</v>
      </c>
      <c r="CN12" s="158" t="n">
        <v>37239</v>
      </c>
      <c r="CO12" s="158" t="n">
        <v>37239</v>
      </c>
      <c r="CP12" s="158" t="n">
        <v>37239</v>
      </c>
      <c r="CQ12" s="158" t="n">
        <v>37239</v>
      </c>
      <c r="CR12" s="158" t="n">
        <v>37239</v>
      </c>
      <c r="CS12" s="158" t="n">
        <v>37239</v>
      </c>
      <c r="CT12" s="158" t="n">
        <v>37239</v>
      </c>
      <c r="CU12" s="158" t="n">
        <v>37239</v>
      </c>
      <c r="CV12" s="158" t="n">
        <v>37239</v>
      </c>
      <c r="CW12" s="158" t="n">
        <v>37239</v>
      </c>
      <c r="CX12" s="158" t="n">
        <v>37239</v>
      </c>
      <c r="CY12" s="158" t="n">
        <v>37239</v>
      </c>
      <c r="CZ12" s="158" t="n">
        <v>37239</v>
      </c>
      <c r="DA12" s="158" t="n">
        <v>37239</v>
      </c>
      <c r="DB12" s="158" t="n">
        <v>37239</v>
      </c>
      <c r="DC12" s="158" t="n">
        <v>37239</v>
      </c>
      <c r="DD12" s="159" t="n">
        <v>36831</v>
      </c>
      <c r="DE12" s="158" t="n">
        <v>37239</v>
      </c>
      <c r="DF12" s="158" t="n">
        <v>37239</v>
      </c>
      <c r="DG12" s="158" t="n">
        <v>37239</v>
      </c>
      <c r="DH12" s="158" t="n">
        <v>37239</v>
      </c>
      <c r="DI12" s="158" t="n">
        <v>37239</v>
      </c>
      <c r="DJ12" s="158" t="n">
        <v>37239</v>
      </c>
      <c r="DK12" s="159" t="n">
        <v>37239</v>
      </c>
      <c r="DL12" s="159" t="n">
        <v>37239</v>
      </c>
      <c r="DM12" s="159" t="n">
        <v>37239</v>
      </c>
      <c r="DN12" s="159" t="n">
        <v>37239</v>
      </c>
      <c r="DO12" s="159" t="n">
        <v>37239</v>
      </c>
      <c r="DP12" s="159" t="n">
        <v>37239</v>
      </c>
      <c r="DQ12" s="159" t="n">
        <v>37239</v>
      </c>
      <c r="DR12" s="159" t="n">
        <v>37239</v>
      </c>
      <c r="DS12" s="159" t="n">
        <v>37239</v>
      </c>
      <c r="DT12" s="159" t="n">
        <v>37239</v>
      </c>
      <c r="DU12" s="159" t="n">
        <v>37239</v>
      </c>
      <c r="DV12" s="159" t="n">
        <v>37239</v>
      </c>
    </row>
    <row r="13" customFormat="false" ht="12.75" hidden="false" customHeight="false" outlineLevel="0" collapsed="false">
      <c r="A13" s="155"/>
      <c r="B13" s="155"/>
      <c r="C13" s="155"/>
      <c r="D13" s="156" t="s">
        <v>254</v>
      </c>
      <c r="E13" s="157"/>
      <c r="F13" s="158" t="n">
        <v>37239</v>
      </c>
      <c r="G13" s="158" t="n">
        <v>37239</v>
      </c>
      <c r="H13" s="158" t="n">
        <v>37239</v>
      </c>
      <c r="I13" s="158" t="n">
        <v>37239</v>
      </c>
      <c r="J13" s="158" t="n">
        <v>37239</v>
      </c>
      <c r="K13" s="158" t="n">
        <v>37239</v>
      </c>
      <c r="L13" s="158" t="n">
        <v>37239</v>
      </c>
      <c r="M13" s="158" t="n">
        <v>37239</v>
      </c>
      <c r="N13" s="158" t="n">
        <v>37239</v>
      </c>
      <c r="O13" s="158" t="n">
        <v>37239</v>
      </c>
      <c r="P13" s="158" t="n">
        <v>37239</v>
      </c>
      <c r="Q13" s="158" t="n">
        <v>37239</v>
      </c>
      <c r="R13" s="158" t="n">
        <v>37239</v>
      </c>
      <c r="S13" s="158" t="n">
        <v>37239</v>
      </c>
      <c r="T13" s="158" t="n">
        <v>37239</v>
      </c>
      <c r="U13" s="158" t="n">
        <v>37239</v>
      </c>
      <c r="V13" s="158" t="n">
        <v>37239</v>
      </c>
      <c r="W13" s="158" t="n">
        <v>37239</v>
      </c>
      <c r="X13" s="158" t="n">
        <v>37239</v>
      </c>
      <c r="Y13" s="158" t="n">
        <v>37239</v>
      </c>
      <c r="Z13" s="158" t="n">
        <v>37239</v>
      </c>
      <c r="AA13" s="158" t="n">
        <v>37239</v>
      </c>
      <c r="AB13" s="158" t="n">
        <v>37239</v>
      </c>
      <c r="AC13" s="158" t="n">
        <v>37239</v>
      </c>
      <c r="AD13" s="158" t="n">
        <v>37239</v>
      </c>
      <c r="AE13" s="158" t="n">
        <v>37239</v>
      </c>
      <c r="AF13" s="158" t="n">
        <v>37239</v>
      </c>
      <c r="AG13" s="158" t="n">
        <v>37239</v>
      </c>
      <c r="AH13" s="158" t="n">
        <v>37239</v>
      </c>
      <c r="AI13" s="158" t="n">
        <v>37239</v>
      </c>
      <c r="AJ13" s="158" t="n">
        <v>37239</v>
      </c>
      <c r="AK13" s="158" t="n">
        <v>37239</v>
      </c>
      <c r="AL13" s="158" t="n">
        <v>37239</v>
      </c>
      <c r="AM13" s="158" t="n">
        <v>37239</v>
      </c>
      <c r="AN13" s="158" t="n">
        <v>37239</v>
      </c>
      <c r="AO13" s="158" t="n">
        <v>37239</v>
      </c>
      <c r="AP13" s="158" t="n">
        <v>37239</v>
      </c>
      <c r="AQ13" s="158" t="n">
        <v>37239</v>
      </c>
      <c r="AR13" s="158" t="n">
        <v>37239</v>
      </c>
      <c r="AS13" s="158" t="n">
        <v>37239</v>
      </c>
      <c r="AT13" s="158" t="n">
        <v>37239</v>
      </c>
      <c r="AU13" s="158" t="n">
        <v>37239</v>
      </c>
      <c r="AV13" s="158" t="n">
        <v>37239</v>
      </c>
      <c r="AW13" s="158" t="n">
        <v>37239</v>
      </c>
      <c r="AX13" s="158" t="n">
        <v>37239</v>
      </c>
      <c r="AY13" s="158" t="n">
        <v>37239</v>
      </c>
      <c r="AZ13" s="158" t="n">
        <v>37239</v>
      </c>
      <c r="BA13" s="158" t="n">
        <v>37239</v>
      </c>
      <c r="BB13" s="158" t="n">
        <v>37239</v>
      </c>
      <c r="BC13" s="158" t="n">
        <v>37239</v>
      </c>
      <c r="BD13" s="158" t="n">
        <v>37239</v>
      </c>
      <c r="BE13" s="158" t="n">
        <v>37239</v>
      </c>
      <c r="BF13" s="158" t="n">
        <v>37239</v>
      </c>
      <c r="BG13" s="158" t="n">
        <v>37239</v>
      </c>
      <c r="BH13" s="158" t="n">
        <v>37239</v>
      </c>
      <c r="BI13" s="158" t="n">
        <v>37239</v>
      </c>
      <c r="BJ13" s="158" t="n">
        <v>37239</v>
      </c>
      <c r="BK13" s="158" t="n">
        <v>37239</v>
      </c>
      <c r="BL13" s="158" t="n">
        <v>37239</v>
      </c>
      <c r="BM13" s="158" t="n">
        <v>37239</v>
      </c>
      <c r="BN13" s="158" t="n">
        <v>37239</v>
      </c>
      <c r="BO13" s="158" t="n">
        <v>37239</v>
      </c>
      <c r="BP13" s="158" t="n">
        <v>37239</v>
      </c>
      <c r="BQ13" s="158" t="n">
        <v>37239</v>
      </c>
      <c r="BR13" s="158" t="n">
        <v>37239</v>
      </c>
      <c r="BS13" s="158" t="n">
        <v>37239</v>
      </c>
      <c r="BT13" s="158" t="n">
        <v>37239</v>
      </c>
      <c r="BU13" s="158" t="n">
        <v>37239</v>
      </c>
      <c r="BV13" s="158" t="n">
        <v>37239</v>
      </c>
      <c r="BW13" s="158" t="n">
        <v>37239</v>
      </c>
      <c r="BX13" s="158" t="n">
        <v>37239</v>
      </c>
      <c r="BY13" s="158" t="n">
        <v>37239</v>
      </c>
      <c r="BZ13" s="158" t="n">
        <v>37239</v>
      </c>
      <c r="CA13" s="158" t="n">
        <v>37239</v>
      </c>
      <c r="CB13" s="158" t="n">
        <v>37239</v>
      </c>
      <c r="CC13" s="158" t="n">
        <v>37239</v>
      </c>
      <c r="CD13" s="158" t="n">
        <v>37239</v>
      </c>
      <c r="CE13" s="158" t="n">
        <v>37239</v>
      </c>
      <c r="CF13" s="158" t="n">
        <v>37239</v>
      </c>
      <c r="CG13" s="158" t="n">
        <v>37239</v>
      </c>
      <c r="CH13" s="158" t="n">
        <v>37239</v>
      </c>
      <c r="CI13" s="158" t="n">
        <v>37239</v>
      </c>
      <c r="CJ13" s="158" t="n">
        <v>37239</v>
      </c>
      <c r="CK13" s="158" t="n">
        <v>37239</v>
      </c>
      <c r="CL13" s="158" t="n">
        <v>37239</v>
      </c>
      <c r="CM13" s="158" t="n">
        <v>37239</v>
      </c>
      <c r="CN13" s="158" t="n">
        <v>37239</v>
      </c>
      <c r="CO13" s="158" t="n">
        <v>37239</v>
      </c>
      <c r="CP13" s="158" t="n">
        <v>37239</v>
      </c>
      <c r="CQ13" s="158" t="n">
        <v>37239</v>
      </c>
      <c r="CR13" s="158" t="n">
        <v>37239</v>
      </c>
      <c r="CS13" s="158" t="n">
        <v>37239</v>
      </c>
      <c r="CT13" s="158" t="n">
        <v>37239</v>
      </c>
      <c r="CU13" s="158" t="n">
        <v>37239</v>
      </c>
      <c r="CV13" s="158" t="n">
        <v>37239</v>
      </c>
      <c r="CW13" s="158" t="n">
        <v>37239</v>
      </c>
      <c r="CX13" s="158" t="n">
        <v>37239</v>
      </c>
      <c r="CY13" s="158" t="n">
        <v>37239</v>
      </c>
      <c r="CZ13" s="158" t="n">
        <v>37239</v>
      </c>
      <c r="DA13" s="158" t="n">
        <v>37239</v>
      </c>
      <c r="DB13" s="158" t="n">
        <v>37239</v>
      </c>
      <c r="DC13" s="158" t="n">
        <v>37239</v>
      </c>
      <c r="DD13" s="159" t="n">
        <v>36831</v>
      </c>
      <c r="DE13" s="158" t="n">
        <v>37239</v>
      </c>
      <c r="DF13" s="158" t="n">
        <v>37239</v>
      </c>
      <c r="DG13" s="158" t="n">
        <v>37239</v>
      </c>
      <c r="DH13" s="158" t="n">
        <v>37239</v>
      </c>
      <c r="DI13" s="158" t="n">
        <v>37239</v>
      </c>
      <c r="DJ13" s="158" t="n">
        <v>37239</v>
      </c>
      <c r="DK13" s="159" t="n">
        <v>37239</v>
      </c>
      <c r="DL13" s="159" t="n">
        <v>37239</v>
      </c>
      <c r="DM13" s="159" t="n">
        <v>37239</v>
      </c>
      <c r="DN13" s="159" t="n">
        <v>37239</v>
      </c>
      <c r="DO13" s="159" t="n">
        <v>37239</v>
      </c>
      <c r="DP13" s="159" t="n">
        <v>37239</v>
      </c>
      <c r="DQ13" s="159" t="n">
        <v>37239</v>
      </c>
      <c r="DR13" s="159" t="n">
        <v>37239</v>
      </c>
      <c r="DS13" s="159" t="n">
        <v>37239</v>
      </c>
      <c r="DT13" s="159" t="n">
        <v>37239</v>
      </c>
      <c r="DU13" s="159" t="n">
        <v>37239</v>
      </c>
      <c r="DV13" s="159" t="n">
        <v>37239</v>
      </c>
    </row>
    <row r="14" customFormat="false" ht="38.25" hidden="false" customHeight="false" outlineLevel="0" collapsed="false">
      <c r="A14" s="160"/>
      <c r="B14" s="161"/>
      <c r="C14" s="161"/>
      <c r="D14" s="162" t="s">
        <v>255</v>
      </c>
      <c r="E14" s="163"/>
      <c r="F14" s="163" t="s">
        <v>256</v>
      </c>
      <c r="G14" s="164" t="s">
        <v>257</v>
      </c>
      <c r="H14" s="163" t="s">
        <v>256</v>
      </c>
      <c r="I14" s="163" t="s">
        <v>128</v>
      </c>
      <c r="J14" s="163" t="s">
        <v>162</v>
      </c>
      <c r="K14" s="163" t="s">
        <v>64</v>
      </c>
      <c r="L14" s="163" t="s">
        <v>65</v>
      </c>
      <c r="M14" s="163" t="s">
        <v>47</v>
      </c>
      <c r="N14" s="163" t="s">
        <v>195</v>
      </c>
      <c r="O14" s="163" t="s">
        <v>129</v>
      </c>
      <c r="P14" s="163" t="s">
        <v>258</v>
      </c>
      <c r="Q14" s="163" t="s">
        <v>79</v>
      </c>
      <c r="R14" s="163" t="s">
        <v>259</v>
      </c>
      <c r="S14" s="163" t="s">
        <v>49</v>
      </c>
      <c r="T14" s="163" t="s">
        <v>141</v>
      </c>
      <c r="U14" s="163" t="s">
        <v>163</v>
      </c>
      <c r="V14" s="163" t="s">
        <v>80</v>
      </c>
      <c r="W14" s="163" t="s">
        <v>260</v>
      </c>
      <c r="X14" s="164" t="s">
        <v>260</v>
      </c>
      <c r="Y14" s="163" t="s">
        <v>261</v>
      </c>
      <c r="Z14" s="163" t="s">
        <v>261</v>
      </c>
      <c r="AA14" s="163" t="s">
        <v>262</v>
      </c>
      <c r="AB14" s="163" t="s">
        <v>262</v>
      </c>
      <c r="AC14" s="163" t="s">
        <v>263</v>
      </c>
      <c r="AD14" s="163" t="s">
        <v>263</v>
      </c>
      <c r="AE14" s="163" t="s">
        <v>264</v>
      </c>
      <c r="AF14" s="163" t="s">
        <v>264</v>
      </c>
      <c r="AG14" s="163" t="s">
        <v>265</v>
      </c>
      <c r="AH14" s="163" t="s">
        <v>265</v>
      </c>
      <c r="AI14" s="163" t="s">
        <v>266</v>
      </c>
      <c r="AJ14" s="163" t="s">
        <v>266</v>
      </c>
      <c r="AK14" s="163" t="s">
        <v>267</v>
      </c>
      <c r="AL14" s="163" t="s">
        <v>267</v>
      </c>
      <c r="AM14" s="163" t="s">
        <v>268</v>
      </c>
      <c r="AN14" s="163" t="s">
        <v>268</v>
      </c>
      <c r="AO14" s="163" t="s">
        <v>269</v>
      </c>
      <c r="AP14" s="163" t="s">
        <v>269</v>
      </c>
      <c r="AQ14" s="163" t="s">
        <v>270</v>
      </c>
      <c r="AR14" s="163" t="s">
        <v>270</v>
      </c>
      <c r="AS14" s="163" t="s">
        <v>271</v>
      </c>
      <c r="AT14" s="163" t="s">
        <v>271</v>
      </c>
      <c r="AU14" s="163" t="s">
        <v>272</v>
      </c>
      <c r="AV14" s="163" t="s">
        <v>272</v>
      </c>
      <c r="AW14" s="163" t="s">
        <v>273</v>
      </c>
      <c r="AX14" s="163" t="s">
        <v>273</v>
      </c>
      <c r="AY14" s="163" t="s">
        <v>274</v>
      </c>
      <c r="AZ14" s="163" t="s">
        <v>274</v>
      </c>
      <c r="BA14" s="163" t="s">
        <v>275</v>
      </c>
      <c r="BB14" s="164" t="s">
        <v>275</v>
      </c>
      <c r="BC14" s="164" t="s">
        <v>276</v>
      </c>
      <c r="BD14" s="164" t="s">
        <v>276</v>
      </c>
      <c r="BE14" s="164" t="s">
        <v>277</v>
      </c>
      <c r="BF14" s="164" t="s">
        <v>277</v>
      </c>
      <c r="BG14" s="163" t="s">
        <v>278</v>
      </c>
      <c r="BH14" s="163" t="s">
        <v>278</v>
      </c>
      <c r="BI14" s="163" t="s">
        <v>279</v>
      </c>
      <c r="BJ14" s="163" t="s">
        <v>279</v>
      </c>
      <c r="BK14" s="163" t="s">
        <v>280</v>
      </c>
      <c r="BL14" s="163" t="s">
        <v>280</v>
      </c>
      <c r="BM14" s="163" t="s">
        <v>281</v>
      </c>
      <c r="BN14" s="163" t="s">
        <v>281</v>
      </c>
      <c r="BO14" s="163" t="s">
        <v>282</v>
      </c>
      <c r="BP14" s="163" t="s">
        <v>282</v>
      </c>
      <c r="BQ14" s="163" t="s">
        <v>283</v>
      </c>
      <c r="BR14" s="163" t="s">
        <v>283</v>
      </c>
      <c r="BS14" s="163" t="s">
        <v>276</v>
      </c>
      <c r="BT14" s="163" t="s">
        <v>276</v>
      </c>
      <c r="BU14" s="163" t="s">
        <v>284</v>
      </c>
      <c r="BV14" s="163" t="s">
        <v>284</v>
      </c>
      <c r="BW14" s="163" t="s">
        <v>285</v>
      </c>
      <c r="BX14" s="163" t="s">
        <v>285</v>
      </c>
      <c r="BY14" s="163" t="s">
        <v>286</v>
      </c>
      <c r="BZ14" s="163" t="s">
        <v>286</v>
      </c>
      <c r="CA14" s="163" t="s">
        <v>287</v>
      </c>
      <c r="CB14" s="163" t="s">
        <v>287</v>
      </c>
      <c r="CC14" s="163" t="s">
        <v>288</v>
      </c>
      <c r="CD14" s="163" t="s">
        <v>288</v>
      </c>
      <c r="CE14" s="163" t="s">
        <v>289</v>
      </c>
      <c r="CF14" s="164" t="s">
        <v>289</v>
      </c>
      <c r="CG14" s="163" t="s">
        <v>288</v>
      </c>
      <c r="CH14" s="163" t="s">
        <v>288</v>
      </c>
      <c r="CI14" s="163" t="s">
        <v>290</v>
      </c>
      <c r="CJ14" s="163" t="s">
        <v>290</v>
      </c>
      <c r="CK14" s="163" t="s">
        <v>291</v>
      </c>
      <c r="CL14" s="163" t="s">
        <v>291</v>
      </c>
      <c r="CM14" s="163" t="s">
        <v>155</v>
      </c>
      <c r="CN14" s="163" t="s">
        <v>155</v>
      </c>
      <c r="CO14" s="163" t="s">
        <v>165</v>
      </c>
      <c r="CP14" s="163" t="s">
        <v>165</v>
      </c>
      <c r="CQ14" s="163" t="s">
        <v>168</v>
      </c>
      <c r="CR14" s="163" t="s">
        <v>168</v>
      </c>
      <c r="CS14" s="163" t="s">
        <v>156</v>
      </c>
      <c r="CT14" s="163" t="s">
        <v>156</v>
      </c>
      <c r="CU14" s="163" t="s">
        <v>292</v>
      </c>
      <c r="CV14" s="163" t="s">
        <v>292</v>
      </c>
      <c r="CW14" s="163" t="s">
        <v>293</v>
      </c>
      <c r="CX14" s="163" t="s">
        <v>293</v>
      </c>
      <c r="CY14" s="163" t="s">
        <v>294</v>
      </c>
      <c r="CZ14" s="163" t="s">
        <v>294</v>
      </c>
      <c r="DA14" s="164" t="s">
        <v>295</v>
      </c>
      <c r="DB14" s="164" t="s">
        <v>295</v>
      </c>
      <c r="DC14" s="163" t="s">
        <v>296</v>
      </c>
      <c r="DD14" s="163" t="s">
        <v>296</v>
      </c>
      <c r="DE14" s="163" t="s">
        <v>297</v>
      </c>
      <c r="DF14" s="163" t="s">
        <v>297</v>
      </c>
      <c r="DG14" s="163" t="s">
        <v>298</v>
      </c>
      <c r="DH14" s="163" t="s">
        <v>298</v>
      </c>
      <c r="DI14" s="163" t="s">
        <v>299</v>
      </c>
      <c r="DJ14" s="163" t="s">
        <v>299</v>
      </c>
      <c r="DK14" s="164" t="s">
        <v>300</v>
      </c>
      <c r="DL14" s="164" t="s">
        <v>300</v>
      </c>
      <c r="DM14" s="164" t="s">
        <v>301</v>
      </c>
      <c r="DN14" s="164" t="s">
        <v>301</v>
      </c>
      <c r="DO14" s="164" t="s">
        <v>302</v>
      </c>
      <c r="DP14" s="164" t="s">
        <v>302</v>
      </c>
      <c r="DQ14" s="164" t="s">
        <v>303</v>
      </c>
      <c r="DR14" s="164" t="s">
        <v>303</v>
      </c>
      <c r="DS14" s="164" t="s">
        <v>304</v>
      </c>
      <c r="DT14" s="164" t="s">
        <v>304</v>
      </c>
      <c r="DU14" s="164" t="s">
        <v>305</v>
      </c>
      <c r="DV14" s="164" t="s">
        <v>305</v>
      </c>
    </row>
    <row r="15" customFormat="false" ht="12.75" hidden="false" customHeight="false" outlineLevel="0" collapsed="false">
      <c r="A15" s="137"/>
      <c r="B15" s="137"/>
      <c r="C15" s="137"/>
      <c r="D15" s="162" t="s">
        <v>306</v>
      </c>
      <c r="E15" s="165"/>
      <c r="F15" s="165" t="s">
        <v>307</v>
      </c>
      <c r="G15" s="166" t="s">
        <v>308</v>
      </c>
      <c r="H15" s="165" t="s">
        <v>309</v>
      </c>
      <c r="I15" s="167" t="s">
        <v>309</v>
      </c>
      <c r="J15" s="167" t="s">
        <v>309</v>
      </c>
      <c r="K15" s="167" t="s">
        <v>309</v>
      </c>
      <c r="L15" s="167" t="s">
        <v>309</v>
      </c>
      <c r="M15" s="167" t="s">
        <v>309</v>
      </c>
      <c r="N15" s="167" t="s">
        <v>309</v>
      </c>
      <c r="O15" s="167" t="s">
        <v>309</v>
      </c>
      <c r="P15" s="167" t="s">
        <v>309</v>
      </c>
      <c r="Q15" s="167" t="s">
        <v>309</v>
      </c>
      <c r="R15" s="167" t="s">
        <v>309</v>
      </c>
      <c r="S15" s="167" t="s">
        <v>309</v>
      </c>
      <c r="T15" s="167" t="s">
        <v>309</v>
      </c>
      <c r="U15" s="167" t="s">
        <v>309</v>
      </c>
      <c r="V15" s="167" t="s">
        <v>309</v>
      </c>
      <c r="W15" s="165" t="s">
        <v>307</v>
      </c>
      <c r="X15" s="166" t="s">
        <v>307</v>
      </c>
      <c r="Y15" s="165" t="s">
        <v>307</v>
      </c>
      <c r="Z15" s="167" t="s">
        <v>307</v>
      </c>
      <c r="AA15" s="165" t="s">
        <v>307</v>
      </c>
      <c r="AB15" s="166" t="s">
        <v>307</v>
      </c>
      <c r="AC15" s="165" t="s">
        <v>307</v>
      </c>
      <c r="AD15" s="167" t="s">
        <v>307</v>
      </c>
      <c r="AE15" s="165" t="s">
        <v>307</v>
      </c>
      <c r="AF15" s="167" t="s">
        <v>307</v>
      </c>
      <c r="AG15" s="165" t="s">
        <v>307</v>
      </c>
      <c r="AH15" s="167" t="s">
        <v>307</v>
      </c>
      <c r="AI15" s="165" t="s">
        <v>307</v>
      </c>
      <c r="AJ15" s="167" t="s">
        <v>307</v>
      </c>
      <c r="AK15" s="165" t="s">
        <v>307</v>
      </c>
      <c r="AL15" s="167" t="s">
        <v>307</v>
      </c>
      <c r="AM15" s="167" t="s">
        <v>307</v>
      </c>
      <c r="AN15" s="167" t="s">
        <v>307</v>
      </c>
      <c r="AO15" s="167" t="s">
        <v>307</v>
      </c>
      <c r="AP15" s="167" t="s">
        <v>307</v>
      </c>
      <c r="AQ15" s="167" t="s">
        <v>307</v>
      </c>
      <c r="AR15" s="167" t="s">
        <v>307</v>
      </c>
      <c r="AS15" s="167" t="s">
        <v>307</v>
      </c>
      <c r="AT15" s="167" t="s">
        <v>307</v>
      </c>
      <c r="AU15" s="167" t="s">
        <v>307</v>
      </c>
      <c r="AV15" s="167" t="s">
        <v>307</v>
      </c>
      <c r="AW15" s="167" t="s">
        <v>307</v>
      </c>
      <c r="AX15" s="167" t="s">
        <v>307</v>
      </c>
      <c r="AY15" s="167" t="s">
        <v>307</v>
      </c>
      <c r="AZ15" s="167" t="s">
        <v>307</v>
      </c>
      <c r="BA15" s="165" t="s">
        <v>307</v>
      </c>
      <c r="BB15" s="166" t="s">
        <v>307</v>
      </c>
      <c r="BC15" s="165" t="s">
        <v>307</v>
      </c>
      <c r="BD15" s="166" t="s">
        <v>307</v>
      </c>
      <c r="BE15" s="166" t="s">
        <v>307</v>
      </c>
      <c r="BF15" s="166" t="s">
        <v>307</v>
      </c>
      <c r="BG15" s="165" t="s">
        <v>307</v>
      </c>
      <c r="BH15" s="167" t="s">
        <v>307</v>
      </c>
      <c r="BI15" s="167" t="s">
        <v>307</v>
      </c>
      <c r="BJ15" s="167" t="s">
        <v>307</v>
      </c>
      <c r="BK15" s="167" t="s">
        <v>307</v>
      </c>
      <c r="BL15" s="167" t="s">
        <v>307</v>
      </c>
      <c r="BM15" s="167" t="s">
        <v>307</v>
      </c>
      <c r="BN15" s="167" t="s">
        <v>307</v>
      </c>
      <c r="BO15" s="167" t="s">
        <v>307</v>
      </c>
      <c r="BP15" s="167" t="s">
        <v>307</v>
      </c>
      <c r="BQ15" s="167" t="s">
        <v>307</v>
      </c>
      <c r="BR15" s="167" t="s">
        <v>307</v>
      </c>
      <c r="BS15" s="167" t="s">
        <v>307</v>
      </c>
      <c r="BT15" s="167" t="s">
        <v>307</v>
      </c>
      <c r="BU15" s="167" t="s">
        <v>307</v>
      </c>
      <c r="BV15" s="167" t="s">
        <v>307</v>
      </c>
      <c r="BW15" s="167" t="s">
        <v>307</v>
      </c>
      <c r="BX15" s="167" t="s">
        <v>307</v>
      </c>
      <c r="BY15" s="167" t="s">
        <v>307</v>
      </c>
      <c r="BZ15" s="167" t="s">
        <v>307</v>
      </c>
      <c r="CA15" s="167" t="s">
        <v>307</v>
      </c>
      <c r="CB15" s="167" t="s">
        <v>307</v>
      </c>
      <c r="CC15" s="167" t="s">
        <v>307</v>
      </c>
      <c r="CD15" s="167" t="s">
        <v>307</v>
      </c>
      <c r="CE15" s="165" t="s">
        <v>307</v>
      </c>
      <c r="CF15" s="166" t="s">
        <v>307</v>
      </c>
      <c r="CG15" s="167" t="s">
        <v>307</v>
      </c>
      <c r="CH15" s="167" t="s">
        <v>307</v>
      </c>
      <c r="CI15" s="167" t="s">
        <v>307</v>
      </c>
      <c r="CJ15" s="167" t="s">
        <v>307</v>
      </c>
      <c r="CK15" s="167" t="s">
        <v>307</v>
      </c>
      <c r="CL15" s="167" t="s">
        <v>307</v>
      </c>
      <c r="CM15" s="167" t="s">
        <v>307</v>
      </c>
      <c r="CN15" s="167" t="s">
        <v>307</v>
      </c>
      <c r="CO15" s="167" t="s">
        <v>307</v>
      </c>
      <c r="CP15" s="167" t="s">
        <v>307</v>
      </c>
      <c r="CQ15" s="167" t="s">
        <v>307</v>
      </c>
      <c r="CR15" s="167" t="s">
        <v>307</v>
      </c>
      <c r="CS15" s="167" t="s">
        <v>307</v>
      </c>
      <c r="CT15" s="167" t="s">
        <v>307</v>
      </c>
      <c r="CU15" s="167" t="s">
        <v>307</v>
      </c>
      <c r="CV15" s="167" t="s">
        <v>307</v>
      </c>
      <c r="CW15" s="167" t="s">
        <v>307</v>
      </c>
      <c r="CX15" s="167" t="s">
        <v>307</v>
      </c>
      <c r="CY15" s="165" t="s">
        <v>307</v>
      </c>
      <c r="CZ15" s="166" t="s">
        <v>307</v>
      </c>
      <c r="DA15" s="165" t="s">
        <v>307</v>
      </c>
      <c r="DB15" s="166" t="s">
        <v>307</v>
      </c>
      <c r="DC15" s="165" t="s">
        <v>307</v>
      </c>
      <c r="DD15" s="166" t="s">
        <v>307</v>
      </c>
      <c r="DE15" s="165" t="s">
        <v>307</v>
      </c>
      <c r="DF15" s="166" t="s">
        <v>307</v>
      </c>
      <c r="DG15" s="165" t="s">
        <v>307</v>
      </c>
      <c r="DH15" s="166" t="s">
        <v>307</v>
      </c>
      <c r="DI15" s="165" t="s">
        <v>307</v>
      </c>
      <c r="DJ15" s="166" t="s">
        <v>307</v>
      </c>
      <c r="DK15" s="166" t="s">
        <v>307</v>
      </c>
      <c r="DL15" s="166" t="s">
        <v>307</v>
      </c>
      <c r="DM15" s="166" t="s">
        <v>307</v>
      </c>
      <c r="DN15" s="166" t="s">
        <v>307</v>
      </c>
      <c r="DO15" s="166" t="s">
        <v>307</v>
      </c>
      <c r="DP15" s="166" t="s">
        <v>307</v>
      </c>
      <c r="DQ15" s="166" t="s">
        <v>307</v>
      </c>
      <c r="DR15" s="166" t="s">
        <v>307</v>
      </c>
      <c r="DS15" s="166" t="s">
        <v>307</v>
      </c>
      <c r="DT15" s="166" t="s">
        <v>307</v>
      </c>
      <c r="DU15" s="166" t="s">
        <v>307</v>
      </c>
      <c r="DV15" s="166" t="s">
        <v>307</v>
      </c>
    </row>
    <row r="16" customFormat="false" ht="12.75" hidden="false" customHeight="false" outlineLevel="0" collapsed="false">
      <c r="A16" s="137"/>
      <c r="B16" s="137"/>
      <c r="C16" s="137"/>
      <c r="D16" s="162" t="s">
        <v>310</v>
      </c>
      <c r="E16" s="165"/>
      <c r="F16" s="165" t="s">
        <v>311</v>
      </c>
      <c r="G16" s="168" t="s">
        <v>312</v>
      </c>
      <c r="H16" s="165" t="s">
        <v>311</v>
      </c>
      <c r="I16" s="165" t="s">
        <v>311</v>
      </c>
      <c r="J16" s="165" t="s">
        <v>311</v>
      </c>
      <c r="K16" s="165" t="s">
        <v>311</v>
      </c>
      <c r="L16" s="165" t="s">
        <v>311</v>
      </c>
      <c r="M16" s="165" t="s">
        <v>311</v>
      </c>
      <c r="N16" s="165" t="s">
        <v>311</v>
      </c>
      <c r="O16" s="165" t="s">
        <v>311</v>
      </c>
      <c r="P16" s="165" t="s">
        <v>311</v>
      </c>
      <c r="Q16" s="165" t="s">
        <v>311</v>
      </c>
      <c r="R16" s="165" t="s">
        <v>311</v>
      </c>
      <c r="S16" s="165" t="s">
        <v>311</v>
      </c>
      <c r="T16" s="165" t="s">
        <v>311</v>
      </c>
      <c r="U16" s="165" t="s">
        <v>311</v>
      </c>
      <c r="V16" s="165" t="s">
        <v>311</v>
      </c>
      <c r="W16" s="165" t="s">
        <v>313</v>
      </c>
      <c r="X16" s="168" t="s">
        <v>314</v>
      </c>
      <c r="Y16" s="165" t="s">
        <v>313</v>
      </c>
      <c r="Z16" s="165" t="s">
        <v>314</v>
      </c>
      <c r="AA16" s="165" t="s">
        <v>313</v>
      </c>
      <c r="AB16" s="168" t="s">
        <v>314</v>
      </c>
      <c r="AC16" s="165" t="s">
        <v>313</v>
      </c>
      <c r="AD16" s="165" t="s">
        <v>314</v>
      </c>
      <c r="AE16" s="165" t="s">
        <v>313</v>
      </c>
      <c r="AF16" s="165" t="s">
        <v>314</v>
      </c>
      <c r="AG16" s="165" t="s">
        <v>313</v>
      </c>
      <c r="AH16" s="165" t="s">
        <v>314</v>
      </c>
      <c r="AI16" s="165" t="s">
        <v>313</v>
      </c>
      <c r="AJ16" s="165" t="s">
        <v>314</v>
      </c>
      <c r="AK16" s="165" t="s">
        <v>313</v>
      </c>
      <c r="AL16" s="165" t="s">
        <v>314</v>
      </c>
      <c r="AM16" s="165" t="s">
        <v>313</v>
      </c>
      <c r="AN16" s="165" t="s">
        <v>314</v>
      </c>
      <c r="AO16" s="165" t="s">
        <v>313</v>
      </c>
      <c r="AP16" s="165" t="s">
        <v>314</v>
      </c>
      <c r="AQ16" s="165" t="s">
        <v>313</v>
      </c>
      <c r="AR16" s="165" t="s">
        <v>314</v>
      </c>
      <c r="AS16" s="165" t="s">
        <v>313</v>
      </c>
      <c r="AT16" s="165" t="s">
        <v>314</v>
      </c>
      <c r="AU16" s="165" t="s">
        <v>313</v>
      </c>
      <c r="AV16" s="165" t="s">
        <v>314</v>
      </c>
      <c r="AW16" s="165" t="s">
        <v>313</v>
      </c>
      <c r="AX16" s="165" t="s">
        <v>314</v>
      </c>
      <c r="AY16" s="165" t="s">
        <v>313</v>
      </c>
      <c r="AZ16" s="165" t="s">
        <v>314</v>
      </c>
      <c r="BA16" s="165" t="s">
        <v>313</v>
      </c>
      <c r="BB16" s="168" t="s">
        <v>314</v>
      </c>
      <c r="BC16" s="165" t="s">
        <v>313</v>
      </c>
      <c r="BD16" s="168" t="s">
        <v>314</v>
      </c>
      <c r="BE16" s="168" t="s">
        <v>313</v>
      </c>
      <c r="BF16" s="168" t="s">
        <v>314</v>
      </c>
      <c r="BG16" s="165" t="s">
        <v>313</v>
      </c>
      <c r="BH16" s="165" t="s">
        <v>314</v>
      </c>
      <c r="BI16" s="165" t="s">
        <v>313</v>
      </c>
      <c r="BJ16" s="165" t="s">
        <v>314</v>
      </c>
      <c r="BK16" s="165" t="s">
        <v>313</v>
      </c>
      <c r="BL16" s="165" t="s">
        <v>314</v>
      </c>
      <c r="BM16" s="165" t="s">
        <v>313</v>
      </c>
      <c r="BN16" s="165" t="s">
        <v>314</v>
      </c>
      <c r="BO16" s="165" t="s">
        <v>313</v>
      </c>
      <c r="BP16" s="165" t="s">
        <v>314</v>
      </c>
      <c r="BQ16" s="165" t="s">
        <v>313</v>
      </c>
      <c r="BR16" s="165" t="s">
        <v>314</v>
      </c>
      <c r="BS16" s="165" t="s">
        <v>313</v>
      </c>
      <c r="BT16" s="165" t="s">
        <v>314</v>
      </c>
      <c r="BU16" s="165" t="s">
        <v>313</v>
      </c>
      <c r="BV16" s="165" t="s">
        <v>314</v>
      </c>
      <c r="BW16" s="165" t="s">
        <v>313</v>
      </c>
      <c r="BX16" s="165" t="s">
        <v>314</v>
      </c>
      <c r="BY16" s="165" t="s">
        <v>313</v>
      </c>
      <c r="BZ16" s="165" t="s">
        <v>314</v>
      </c>
      <c r="CA16" s="165" t="s">
        <v>313</v>
      </c>
      <c r="CB16" s="165" t="s">
        <v>314</v>
      </c>
      <c r="CC16" s="165" t="s">
        <v>313</v>
      </c>
      <c r="CD16" s="165" t="s">
        <v>314</v>
      </c>
      <c r="CE16" s="165" t="s">
        <v>313</v>
      </c>
      <c r="CF16" s="168" t="s">
        <v>314</v>
      </c>
      <c r="CG16" s="165" t="s">
        <v>313</v>
      </c>
      <c r="CH16" s="165" t="s">
        <v>314</v>
      </c>
      <c r="CI16" s="165" t="s">
        <v>313</v>
      </c>
      <c r="CJ16" s="165" t="s">
        <v>314</v>
      </c>
      <c r="CK16" s="165" t="s">
        <v>313</v>
      </c>
      <c r="CL16" s="165" t="s">
        <v>314</v>
      </c>
      <c r="CM16" s="165" t="s">
        <v>313</v>
      </c>
      <c r="CN16" s="165" t="s">
        <v>314</v>
      </c>
      <c r="CO16" s="165" t="s">
        <v>313</v>
      </c>
      <c r="CP16" s="165" t="s">
        <v>314</v>
      </c>
      <c r="CQ16" s="165" t="s">
        <v>313</v>
      </c>
      <c r="CR16" s="165" t="s">
        <v>314</v>
      </c>
      <c r="CS16" s="165" t="s">
        <v>313</v>
      </c>
      <c r="CT16" s="165" t="s">
        <v>314</v>
      </c>
      <c r="CU16" s="165" t="s">
        <v>313</v>
      </c>
      <c r="CV16" s="165" t="s">
        <v>314</v>
      </c>
      <c r="CW16" s="165" t="s">
        <v>313</v>
      </c>
      <c r="CX16" s="165" t="s">
        <v>314</v>
      </c>
      <c r="CY16" s="165" t="s">
        <v>313</v>
      </c>
      <c r="CZ16" s="168" t="s">
        <v>314</v>
      </c>
      <c r="DA16" s="165" t="s">
        <v>313</v>
      </c>
      <c r="DB16" s="168" t="s">
        <v>314</v>
      </c>
      <c r="DC16" s="165" t="s">
        <v>313</v>
      </c>
      <c r="DD16" s="168" t="s">
        <v>314</v>
      </c>
      <c r="DE16" s="165" t="s">
        <v>313</v>
      </c>
      <c r="DF16" s="168" t="s">
        <v>314</v>
      </c>
      <c r="DG16" s="165" t="s">
        <v>313</v>
      </c>
      <c r="DH16" s="168" t="s">
        <v>314</v>
      </c>
      <c r="DI16" s="165" t="s">
        <v>313</v>
      </c>
      <c r="DJ16" s="168" t="s">
        <v>314</v>
      </c>
      <c r="DK16" s="168" t="s">
        <v>313</v>
      </c>
      <c r="DL16" s="168" t="s">
        <v>314</v>
      </c>
      <c r="DM16" s="168" t="s">
        <v>313</v>
      </c>
      <c r="DN16" s="168" t="s">
        <v>314</v>
      </c>
      <c r="DO16" s="168" t="s">
        <v>313</v>
      </c>
      <c r="DP16" s="168" t="s">
        <v>314</v>
      </c>
      <c r="DQ16" s="168" t="s">
        <v>313</v>
      </c>
      <c r="DR16" s="168" t="s">
        <v>314</v>
      </c>
      <c r="DS16" s="168" t="s">
        <v>313</v>
      </c>
      <c r="DT16" s="168" t="s">
        <v>314</v>
      </c>
      <c r="DU16" s="168" t="s">
        <v>313</v>
      </c>
      <c r="DV16" s="168" t="s">
        <v>314</v>
      </c>
    </row>
    <row r="17" customFormat="false" ht="51" hidden="false" customHeight="false" outlineLevel="0" collapsed="false">
      <c r="A17" s="137"/>
      <c r="B17" s="137"/>
      <c r="C17" s="169"/>
      <c r="D17" s="162" t="s">
        <v>315</v>
      </c>
      <c r="E17" s="165"/>
      <c r="F17" s="165" t="s">
        <v>316</v>
      </c>
      <c r="G17" s="168" t="s">
        <v>317</v>
      </c>
      <c r="H17" s="165" t="s">
        <v>318</v>
      </c>
      <c r="I17" s="165" t="s">
        <v>128</v>
      </c>
      <c r="J17" s="165" t="s">
        <v>162</v>
      </c>
      <c r="K17" s="165" t="s">
        <v>64</v>
      </c>
      <c r="L17" s="165" t="s">
        <v>65</v>
      </c>
      <c r="M17" s="165" t="s">
        <v>47</v>
      </c>
      <c r="N17" s="165" t="s">
        <v>195</v>
      </c>
      <c r="O17" s="165" t="s">
        <v>129</v>
      </c>
      <c r="P17" s="165" t="s">
        <v>258</v>
      </c>
      <c r="Q17" s="165" t="s">
        <v>79</v>
      </c>
      <c r="R17" s="165" t="s">
        <v>259</v>
      </c>
      <c r="S17" s="165" t="s">
        <v>49</v>
      </c>
      <c r="T17" s="165" t="s">
        <v>141</v>
      </c>
      <c r="U17" s="165" t="s">
        <v>163</v>
      </c>
      <c r="V17" s="165" t="s">
        <v>80</v>
      </c>
      <c r="W17" s="165" t="s">
        <v>37</v>
      </c>
      <c r="X17" s="168" t="s">
        <v>319</v>
      </c>
      <c r="Y17" s="165" t="s">
        <v>39</v>
      </c>
      <c r="Z17" s="165" t="s">
        <v>320</v>
      </c>
      <c r="AA17" s="163" t="s">
        <v>204</v>
      </c>
      <c r="AB17" s="163" t="s">
        <v>206</v>
      </c>
      <c r="AC17" s="163" t="s">
        <v>203</v>
      </c>
      <c r="AD17" s="163" t="s">
        <v>205</v>
      </c>
      <c r="AE17" s="163" t="s">
        <v>321</v>
      </c>
      <c r="AF17" s="163" t="s">
        <v>322</v>
      </c>
      <c r="AG17" s="163" t="s">
        <v>323</v>
      </c>
      <c r="AH17" s="163" t="s">
        <v>324</v>
      </c>
      <c r="AI17" s="163" t="s">
        <v>325</v>
      </c>
      <c r="AJ17" s="163" t="s">
        <v>326</v>
      </c>
      <c r="AK17" s="163" t="s">
        <v>327</v>
      </c>
      <c r="AL17" s="163" t="s">
        <v>44</v>
      </c>
      <c r="AM17" s="165" t="s">
        <v>328</v>
      </c>
      <c r="AN17" s="165" t="s">
        <v>329</v>
      </c>
      <c r="AO17" s="165" t="s">
        <v>56</v>
      </c>
      <c r="AP17" s="165" t="s">
        <v>57</v>
      </c>
      <c r="AQ17" s="165" t="s">
        <v>330</v>
      </c>
      <c r="AR17" s="165" t="s">
        <v>331</v>
      </c>
      <c r="AS17" s="163" t="s">
        <v>60</v>
      </c>
      <c r="AT17" s="163" t="s">
        <v>62</v>
      </c>
      <c r="AU17" s="165" t="s">
        <v>332</v>
      </c>
      <c r="AV17" s="165" t="s">
        <v>333</v>
      </c>
      <c r="AW17" s="165" t="s">
        <v>334</v>
      </c>
      <c r="AX17" s="165" t="s">
        <v>335</v>
      </c>
      <c r="AY17" s="165" t="s">
        <v>336</v>
      </c>
      <c r="AZ17" s="165" t="s">
        <v>337</v>
      </c>
      <c r="BA17" s="165" t="s">
        <v>85</v>
      </c>
      <c r="BB17" s="168" t="s">
        <v>87</v>
      </c>
      <c r="BC17" s="164" t="s">
        <v>61</v>
      </c>
      <c r="BD17" s="164" t="s">
        <v>63</v>
      </c>
      <c r="BE17" s="164" t="s">
        <v>338</v>
      </c>
      <c r="BF17" s="164" t="s">
        <v>339</v>
      </c>
      <c r="BG17" s="165" t="s">
        <v>86</v>
      </c>
      <c r="BH17" s="165" t="s">
        <v>88</v>
      </c>
      <c r="BI17" s="165" t="s">
        <v>75</v>
      </c>
      <c r="BJ17" s="165" t="s">
        <v>77</v>
      </c>
      <c r="BK17" s="165" t="s">
        <v>112</v>
      </c>
      <c r="BL17" s="165" t="s">
        <v>114</v>
      </c>
      <c r="BM17" s="165" t="s">
        <v>74</v>
      </c>
      <c r="BN17" s="165" t="s">
        <v>76</v>
      </c>
      <c r="BO17" s="165" t="s">
        <v>111</v>
      </c>
      <c r="BP17" s="165" t="s">
        <v>113</v>
      </c>
      <c r="BQ17" s="165" t="s">
        <v>95</v>
      </c>
      <c r="BR17" s="165" t="s">
        <v>97</v>
      </c>
      <c r="BS17" s="163" t="s">
        <v>61</v>
      </c>
      <c r="BT17" s="163" t="s">
        <v>63</v>
      </c>
      <c r="BU17" s="163" t="s">
        <v>94</v>
      </c>
      <c r="BV17" s="163" t="s">
        <v>96</v>
      </c>
      <c r="BW17" s="163" t="s">
        <v>340</v>
      </c>
      <c r="BX17" s="163" t="s">
        <v>341</v>
      </c>
      <c r="BY17" s="165" t="s">
        <v>123</v>
      </c>
      <c r="BZ17" s="165" t="s">
        <v>125</v>
      </c>
      <c r="CA17" s="165" t="s">
        <v>124</v>
      </c>
      <c r="CB17" s="165" t="s">
        <v>126</v>
      </c>
      <c r="CC17" s="165" t="s">
        <v>131</v>
      </c>
      <c r="CD17" s="165" t="s">
        <v>132</v>
      </c>
      <c r="CE17" s="165" t="s">
        <v>342</v>
      </c>
      <c r="CF17" s="168" t="s">
        <v>343</v>
      </c>
      <c r="CG17" s="165" t="s">
        <v>131</v>
      </c>
      <c r="CH17" s="165" t="s">
        <v>132</v>
      </c>
      <c r="CI17" s="163" t="s">
        <v>344</v>
      </c>
      <c r="CJ17" s="163" t="s">
        <v>345</v>
      </c>
      <c r="CK17" s="163" t="s">
        <v>346</v>
      </c>
      <c r="CL17" s="163" t="s">
        <v>347</v>
      </c>
      <c r="CM17" s="163" t="s">
        <v>158</v>
      </c>
      <c r="CN17" s="163" t="s">
        <v>160</v>
      </c>
      <c r="CO17" s="163" t="s">
        <v>166</v>
      </c>
      <c r="CP17" s="163" t="s">
        <v>167</v>
      </c>
      <c r="CQ17" s="163" t="s">
        <v>169</v>
      </c>
      <c r="CR17" s="163" t="s">
        <v>170</v>
      </c>
      <c r="CS17" s="163" t="s">
        <v>159</v>
      </c>
      <c r="CT17" s="163" t="s">
        <v>161</v>
      </c>
      <c r="CU17" s="165" t="s">
        <v>348</v>
      </c>
      <c r="CV17" s="165" t="s">
        <v>349</v>
      </c>
      <c r="CW17" s="165" t="s">
        <v>175</v>
      </c>
      <c r="CX17" s="165" t="s">
        <v>177</v>
      </c>
      <c r="CY17" s="165" t="s">
        <v>350</v>
      </c>
      <c r="CZ17" s="168" t="s">
        <v>351</v>
      </c>
      <c r="DA17" s="165" t="s">
        <v>352</v>
      </c>
      <c r="DB17" s="168" t="s">
        <v>353</v>
      </c>
      <c r="DC17" s="163" t="s">
        <v>138</v>
      </c>
      <c r="DD17" s="163" t="s">
        <v>140</v>
      </c>
      <c r="DE17" s="163" t="s">
        <v>137</v>
      </c>
      <c r="DF17" s="163" t="s">
        <v>139</v>
      </c>
      <c r="DG17" s="163" t="s">
        <v>144</v>
      </c>
      <c r="DH17" s="163" t="s">
        <v>145</v>
      </c>
      <c r="DI17" s="163" t="s">
        <v>147</v>
      </c>
      <c r="DJ17" s="163" t="s">
        <v>148</v>
      </c>
      <c r="DK17" s="168" t="s">
        <v>174</v>
      </c>
      <c r="DL17" s="168" t="s">
        <v>176</v>
      </c>
      <c r="DM17" s="168" t="s">
        <v>182</v>
      </c>
      <c r="DN17" s="168" t="s">
        <v>183</v>
      </c>
      <c r="DO17" s="168" t="s">
        <v>186</v>
      </c>
      <c r="DP17" s="168" t="s">
        <v>187</v>
      </c>
      <c r="DQ17" s="168" t="s">
        <v>191</v>
      </c>
      <c r="DR17" s="168" t="s">
        <v>193</v>
      </c>
      <c r="DS17" s="168" t="s">
        <v>192</v>
      </c>
      <c r="DT17" s="168" t="s">
        <v>194</v>
      </c>
      <c r="DU17" s="168" t="s">
        <v>68</v>
      </c>
      <c r="DV17" s="168" t="s">
        <v>69</v>
      </c>
    </row>
    <row r="18" customFormat="false" ht="12.75" hidden="false" customHeight="false" outlineLevel="0" collapsed="false">
      <c r="A18" s="170"/>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row>
    <row r="19" customFormat="false" ht="12.75" hidden="false" customHeight="false" outlineLevel="0" collapsed="false">
      <c r="A19" s="161"/>
      <c r="B19" s="161"/>
      <c r="C19" s="161"/>
      <c r="D19" s="171" t="n">
        <v>37226</v>
      </c>
      <c r="E19" s="160"/>
      <c r="F19" s="172" t="n">
        <v>2.316</v>
      </c>
      <c r="G19" s="173" t="n">
        <v>1</v>
      </c>
      <c r="H19" s="172" t="n">
        <v>0.6</v>
      </c>
      <c r="I19" s="172" t="n">
        <v>0.99</v>
      </c>
      <c r="J19" s="172" t="n">
        <v>1.015</v>
      </c>
      <c r="K19" s="172" t="n">
        <v>0.99</v>
      </c>
      <c r="L19" s="172" t="n">
        <v>0.99</v>
      </c>
      <c r="M19" s="172" t="n">
        <v>1.14</v>
      </c>
      <c r="N19" s="172" t="n">
        <v>1.24</v>
      </c>
      <c r="O19" s="172" t="n">
        <v>1.04</v>
      </c>
      <c r="P19" s="172" t="n">
        <v>0.99</v>
      </c>
      <c r="Q19" s="172" t="n">
        <v>1.34</v>
      </c>
      <c r="R19" s="173" t="n">
        <v>0.99</v>
      </c>
      <c r="S19" s="173" t="n">
        <v>1.09</v>
      </c>
      <c r="T19" s="172" t="n">
        <v>0.99</v>
      </c>
      <c r="U19" s="172" t="n">
        <v>1.915</v>
      </c>
      <c r="V19" s="172" t="n">
        <v>1.37</v>
      </c>
      <c r="W19" s="172" t="n">
        <v>0.024</v>
      </c>
      <c r="X19" s="172" t="n">
        <v>0</v>
      </c>
      <c r="Y19" s="172" t="n">
        <v>0.095</v>
      </c>
      <c r="Z19" s="172" t="n">
        <v>0</v>
      </c>
      <c r="AA19" s="172" t="n">
        <v>0.315</v>
      </c>
      <c r="AB19" s="172" t="n">
        <v>0</v>
      </c>
      <c r="AC19" s="172" t="n">
        <v>0.3</v>
      </c>
      <c r="AD19" s="172" t="n">
        <v>0</v>
      </c>
      <c r="AE19" s="172" t="n">
        <v>0.345</v>
      </c>
      <c r="AF19" s="172" t="n">
        <v>0</v>
      </c>
      <c r="AG19" s="172" t="n">
        <v>0.205</v>
      </c>
      <c r="AH19" s="172" t="n">
        <v>0</v>
      </c>
      <c r="AI19" s="172" t="n">
        <v>0.104752</v>
      </c>
      <c r="AJ19" s="172" t="n">
        <v>0</v>
      </c>
      <c r="AK19" s="172" t="n">
        <v>0.095</v>
      </c>
      <c r="AL19" s="172" t="n">
        <v>0</v>
      </c>
      <c r="AM19" s="172" t="n">
        <v>-0.046</v>
      </c>
      <c r="AN19" s="172" t="n">
        <v>0</v>
      </c>
      <c r="AO19" s="172" t="n">
        <v>-0.208489</v>
      </c>
      <c r="AP19" s="172" t="n">
        <v>0.155</v>
      </c>
      <c r="AQ19" s="172" t="n">
        <v>-0.076</v>
      </c>
      <c r="AR19" s="172" t="n">
        <v>0.0025</v>
      </c>
      <c r="AS19" s="172" t="n">
        <v>-0.086</v>
      </c>
      <c r="AT19" s="172" t="n">
        <v>-0.015</v>
      </c>
      <c r="AU19" s="172" t="n">
        <v>-0.066</v>
      </c>
      <c r="AV19" s="172" t="n">
        <v>-0.01</v>
      </c>
      <c r="AW19" s="172" t="n">
        <v>-0.086</v>
      </c>
      <c r="AX19" s="172" t="n">
        <v>0</v>
      </c>
      <c r="AY19" s="173" t="n">
        <v>0.184</v>
      </c>
      <c r="AZ19" s="173" t="n">
        <v>0</v>
      </c>
      <c r="BA19" s="173" t="n">
        <v>-0.226</v>
      </c>
      <c r="BB19" s="172" t="n">
        <v>0.03</v>
      </c>
      <c r="BC19" s="172" t="n">
        <v>0.034</v>
      </c>
      <c r="BD19" s="172" t="n">
        <v>0.03</v>
      </c>
      <c r="BE19" s="172" t="n">
        <v>-0.046</v>
      </c>
      <c r="BF19" s="172" t="n">
        <v>0.05</v>
      </c>
      <c r="BG19" s="172" t="n">
        <v>0.054</v>
      </c>
      <c r="BH19" s="172" t="n">
        <v>-0.2</v>
      </c>
      <c r="BI19" s="172" t="n">
        <v>0.374</v>
      </c>
      <c r="BJ19" s="160" t="n">
        <v>0.02</v>
      </c>
      <c r="BK19" s="160" t="n">
        <v>-0.046</v>
      </c>
      <c r="BL19" s="160" t="n">
        <v>0.05</v>
      </c>
      <c r="BM19" s="160" t="n">
        <v>0.364</v>
      </c>
      <c r="BN19" s="160" t="n">
        <v>0</v>
      </c>
      <c r="BO19" s="160" t="n">
        <v>-0.156</v>
      </c>
      <c r="BP19" s="160" t="n">
        <v>0.015</v>
      </c>
      <c r="BQ19" s="160" t="n">
        <v>0.404</v>
      </c>
      <c r="BR19" s="160" t="n">
        <v>0.04</v>
      </c>
      <c r="BS19" s="160" t="n">
        <v>0.034</v>
      </c>
      <c r="BT19" s="160" t="n">
        <v>0.03</v>
      </c>
      <c r="BU19" s="160" t="n">
        <v>-0.046</v>
      </c>
      <c r="BV19" s="160" t="n">
        <v>0.05</v>
      </c>
      <c r="BW19" s="160" t="n">
        <v>-0.046</v>
      </c>
      <c r="BX19" s="160" t="n">
        <v>0.05</v>
      </c>
      <c r="BY19" s="160" t="n">
        <v>-0.036</v>
      </c>
      <c r="BZ19" s="160" t="n">
        <v>0.0575</v>
      </c>
      <c r="CA19" s="160" t="n">
        <v>0.104</v>
      </c>
      <c r="CB19" s="160" t="n">
        <v>0.0125</v>
      </c>
      <c r="CC19" s="160" t="n">
        <v>-0.036</v>
      </c>
      <c r="CD19" s="160" t="n">
        <v>0.0025</v>
      </c>
      <c r="CE19" s="160" t="n">
        <v>-0.036</v>
      </c>
      <c r="CF19" s="160" t="n">
        <v>-0.005</v>
      </c>
      <c r="CG19" s="160" t="n">
        <v>-0.036</v>
      </c>
      <c r="CH19" s="160" t="n">
        <v>0.0025</v>
      </c>
      <c r="CI19" s="160" t="n">
        <v>-0.156</v>
      </c>
      <c r="CJ19" s="160" t="n">
        <v>0</v>
      </c>
      <c r="CK19" s="160" t="n">
        <v>0.034</v>
      </c>
      <c r="CL19" s="160" t="n">
        <v>0</v>
      </c>
      <c r="CM19" s="160" t="n">
        <v>-0.106</v>
      </c>
      <c r="CN19" s="160" t="n">
        <v>0.01</v>
      </c>
      <c r="CO19" s="160" t="n">
        <v>-0.066</v>
      </c>
      <c r="CP19" s="160" t="n">
        <v>0.01</v>
      </c>
      <c r="CQ19" s="160" t="n">
        <v>-0.016</v>
      </c>
      <c r="CR19" s="160" t="n">
        <v>0.0125</v>
      </c>
      <c r="CS19" s="160" t="n">
        <v>0.804</v>
      </c>
      <c r="CT19" s="160" t="n">
        <v>0.15</v>
      </c>
      <c r="CU19" s="160" t="n">
        <v>0.39</v>
      </c>
      <c r="CV19" s="160" t="n">
        <v>0</v>
      </c>
      <c r="CW19" s="160" t="n">
        <v>0.104</v>
      </c>
      <c r="CX19" s="160" t="n">
        <v>0.02</v>
      </c>
      <c r="CY19" s="160" t="n">
        <v>-0.366</v>
      </c>
      <c r="CZ19" s="160" t="n">
        <v>0</v>
      </c>
      <c r="DA19" s="160" t="n">
        <v>-0.186</v>
      </c>
      <c r="DB19" s="160" t="n">
        <v>0</v>
      </c>
      <c r="DC19" s="160" t="n">
        <v>0.2</v>
      </c>
      <c r="DD19" s="161"/>
      <c r="DE19" s="160" t="n">
        <v>-0.136</v>
      </c>
      <c r="DF19" s="160" t="n">
        <v>0.0025</v>
      </c>
      <c r="DG19" s="160" t="n">
        <v>-0.036</v>
      </c>
      <c r="DH19" s="160" t="n">
        <v>-0.005</v>
      </c>
      <c r="DI19" s="160" t="n">
        <v>-0.046</v>
      </c>
      <c r="DJ19" s="160" t="n">
        <v>-0.005</v>
      </c>
      <c r="DK19" s="160" t="n">
        <v>-0.096</v>
      </c>
      <c r="DL19" s="160" t="n">
        <v>0</v>
      </c>
      <c r="DM19" s="160" t="n">
        <v>-0.086</v>
      </c>
      <c r="DN19" s="160" t="n">
        <v>0.0025</v>
      </c>
      <c r="DO19" s="160" t="n">
        <v>-0.096</v>
      </c>
      <c r="DP19" s="160" t="n">
        <v>0</v>
      </c>
      <c r="DQ19" s="160" t="n">
        <v>-0.126</v>
      </c>
      <c r="DR19" s="160" t="n">
        <v>-0.0025</v>
      </c>
      <c r="DS19" s="160" t="n">
        <v>0.594</v>
      </c>
      <c r="DT19" s="160" t="n">
        <v>0.05</v>
      </c>
      <c r="DU19" s="160" t="n">
        <v>0.065</v>
      </c>
      <c r="DV19" s="160" t="n">
        <v>0</v>
      </c>
    </row>
    <row r="20" customFormat="false" ht="12.75" hidden="false" customHeight="false" outlineLevel="0" collapsed="false">
      <c r="D20" s="171" t="n">
        <v>37257</v>
      </c>
      <c r="F20" s="174" t="n">
        <v>2.846</v>
      </c>
      <c r="G20" s="175" t="n">
        <v>0.0187659081571607</v>
      </c>
      <c r="H20" s="174" t="n">
        <v>0.87</v>
      </c>
      <c r="I20" s="174" t="n">
        <v>1.04</v>
      </c>
      <c r="J20" s="174" t="n">
        <v>1.065</v>
      </c>
      <c r="K20" s="174" t="n">
        <v>1.04</v>
      </c>
      <c r="L20" s="172" t="n">
        <v>1.04</v>
      </c>
      <c r="M20" s="172" t="n">
        <v>1.19</v>
      </c>
      <c r="N20" s="174" t="n">
        <v>1.49</v>
      </c>
      <c r="O20" s="174" t="n">
        <v>1.09</v>
      </c>
      <c r="P20" s="174" t="n">
        <v>1.04</v>
      </c>
      <c r="Q20" s="174" t="n">
        <v>1.39</v>
      </c>
      <c r="R20" s="175" t="n">
        <v>1.04</v>
      </c>
      <c r="S20" s="175" t="n">
        <v>1.14</v>
      </c>
      <c r="T20" s="174" t="n">
        <v>1.04</v>
      </c>
      <c r="U20" s="174" t="n">
        <v>3.015</v>
      </c>
      <c r="V20" s="174" t="n">
        <v>1.17</v>
      </c>
      <c r="W20" s="174" t="n">
        <v>-0.015</v>
      </c>
      <c r="X20" s="174" t="n">
        <v>0.015</v>
      </c>
      <c r="Y20" s="174" t="n">
        <v>0.12</v>
      </c>
      <c r="Z20" s="174" t="n">
        <v>0</v>
      </c>
      <c r="AA20" s="174" t="n">
        <v>0.31</v>
      </c>
      <c r="AB20" s="174" t="n">
        <v>0</v>
      </c>
      <c r="AC20" s="174" t="n">
        <v>0.295</v>
      </c>
      <c r="AD20" s="174" t="n">
        <v>0</v>
      </c>
      <c r="AE20" s="174" t="n">
        <v>0.34</v>
      </c>
      <c r="AF20" s="174" t="n">
        <v>0</v>
      </c>
      <c r="AG20" s="174" t="n">
        <v>0.19</v>
      </c>
      <c r="AH20" s="174" t="n">
        <v>0</v>
      </c>
      <c r="AI20" s="174" t="n">
        <v>0.110192</v>
      </c>
      <c r="AJ20" s="174" t="n">
        <v>0</v>
      </c>
      <c r="AK20" s="174" t="n">
        <v>0.12</v>
      </c>
      <c r="AL20" s="174" t="n">
        <v>0.015</v>
      </c>
      <c r="AM20" s="174" t="n">
        <v>-0.09</v>
      </c>
      <c r="AN20" s="174" t="n">
        <v>0</v>
      </c>
      <c r="AO20" s="174" t="n">
        <v>-0.42</v>
      </c>
      <c r="AP20" s="174" t="n">
        <v>0.155</v>
      </c>
      <c r="AQ20" s="174" t="n">
        <v>-0.0775</v>
      </c>
      <c r="AR20" s="174" t="n">
        <v>0.0025</v>
      </c>
      <c r="AS20" s="174" t="n">
        <v>-0.14</v>
      </c>
      <c r="AT20" s="174" t="n">
        <v>-0.005</v>
      </c>
      <c r="AU20" s="174" t="n">
        <v>-0.196</v>
      </c>
      <c r="AV20" s="174" t="n">
        <v>-0.01</v>
      </c>
      <c r="AW20" s="174" t="n">
        <v>-0.085</v>
      </c>
      <c r="AX20" s="174" t="n">
        <v>0</v>
      </c>
      <c r="AY20" s="175" t="n">
        <v>0.135</v>
      </c>
      <c r="AZ20" s="175" t="n">
        <v>0</v>
      </c>
      <c r="BA20" s="175" t="n">
        <v>-0.27</v>
      </c>
      <c r="BB20" s="174" t="n">
        <v>-0.01</v>
      </c>
      <c r="BC20" s="174" t="n">
        <v>-0.155</v>
      </c>
      <c r="BD20" s="174" t="n">
        <v>-0.0275</v>
      </c>
      <c r="BE20" s="174" t="n">
        <v>-0.015</v>
      </c>
      <c r="BF20" s="174" t="n">
        <v>-0.01</v>
      </c>
      <c r="BG20" s="174" t="n">
        <v>-0.12</v>
      </c>
      <c r="BH20" s="174" t="n">
        <v>-0.02</v>
      </c>
      <c r="BI20" s="174" t="n">
        <v>-0.015</v>
      </c>
      <c r="BJ20" s="136" t="n">
        <v>0.02</v>
      </c>
      <c r="BK20" s="136" t="n">
        <v>-0.015</v>
      </c>
      <c r="BL20" s="136" t="n">
        <v>-0.01</v>
      </c>
      <c r="BM20" s="136" t="n">
        <v>0.06</v>
      </c>
      <c r="BN20" s="136" t="n">
        <v>0</v>
      </c>
      <c r="BO20" s="136" t="n">
        <v>-0.31</v>
      </c>
      <c r="BP20" s="136" t="n">
        <v>0.015</v>
      </c>
      <c r="BQ20" s="136" t="n">
        <v>0.2</v>
      </c>
      <c r="BR20" s="136" t="n">
        <v>0.01</v>
      </c>
      <c r="BS20" s="136" t="n">
        <v>-0.155</v>
      </c>
      <c r="BT20" s="136" t="n">
        <v>-0.0275</v>
      </c>
      <c r="BU20" s="136" t="n">
        <v>0.13</v>
      </c>
      <c r="BV20" s="136" t="n">
        <v>0</v>
      </c>
      <c r="BW20" s="136" t="n">
        <v>1.35</v>
      </c>
      <c r="BX20" s="136" t="n">
        <v>-0.01</v>
      </c>
      <c r="BY20" s="136" t="n">
        <v>-0.025</v>
      </c>
      <c r="BZ20" s="136" t="n">
        <v>0.0575</v>
      </c>
      <c r="CA20" s="136" t="n">
        <v>0.1325</v>
      </c>
      <c r="CB20" s="136" t="n">
        <v>0.005</v>
      </c>
      <c r="CC20" s="136" t="n">
        <v>-0.025</v>
      </c>
      <c r="CD20" s="136" t="n">
        <v>0</v>
      </c>
      <c r="CE20" s="136" t="n">
        <v>0.0025</v>
      </c>
      <c r="CF20" s="136" t="n">
        <v>-0.005</v>
      </c>
      <c r="CG20" s="136" t="n">
        <v>-0.025</v>
      </c>
      <c r="CH20" s="136" t="n">
        <v>0</v>
      </c>
      <c r="CI20" s="136" t="n">
        <v>-0.125</v>
      </c>
      <c r="CJ20" s="136" t="n">
        <v>-0.01</v>
      </c>
      <c r="CK20" s="136" t="n">
        <v>0.0675</v>
      </c>
      <c r="CL20" s="136" t="n">
        <v>-0.0075</v>
      </c>
      <c r="CM20" s="136" t="n">
        <v>-0.08</v>
      </c>
      <c r="CN20" s="136" t="n">
        <v>0.0075</v>
      </c>
      <c r="CO20" s="136" t="n">
        <v>-0.025</v>
      </c>
      <c r="CP20" s="136" t="n">
        <v>0.0025</v>
      </c>
      <c r="CQ20" s="136" t="n">
        <v>0.015</v>
      </c>
      <c r="CR20" s="136" t="n">
        <v>0.005</v>
      </c>
      <c r="CS20" s="136" t="n">
        <v>1.95</v>
      </c>
      <c r="CT20" s="136" t="n">
        <v>0.43</v>
      </c>
      <c r="CU20" s="136" t="n">
        <v>0.06</v>
      </c>
      <c r="CV20" s="136" t="n">
        <v>0</v>
      </c>
      <c r="CW20" s="136" t="n">
        <v>0.2025</v>
      </c>
      <c r="CX20" s="136" t="n">
        <v>0.02</v>
      </c>
      <c r="CY20" s="136" t="n">
        <v>-0.545</v>
      </c>
      <c r="CZ20" s="136" t="n">
        <v>0</v>
      </c>
      <c r="DA20" s="136" t="n">
        <v>-0.365</v>
      </c>
      <c r="DB20" s="136" t="n">
        <v>0</v>
      </c>
      <c r="DC20" s="136" t="n">
        <v>0.35</v>
      </c>
      <c r="DE20" s="136" t="n">
        <v>-0.06</v>
      </c>
      <c r="DF20" s="136" t="n">
        <v>0.0025</v>
      </c>
      <c r="DG20" s="136" t="n">
        <v>-0.01</v>
      </c>
      <c r="DH20" s="136" t="n">
        <v>-0.0025</v>
      </c>
      <c r="DI20" s="136" t="n">
        <v>-0.035</v>
      </c>
      <c r="DJ20" s="136" t="n">
        <v>-0.0025</v>
      </c>
      <c r="DK20" s="136" t="n">
        <v>-0.125</v>
      </c>
      <c r="DL20" s="136" t="n">
        <v>0</v>
      </c>
      <c r="DM20" s="136" t="n">
        <v>-0.0675</v>
      </c>
      <c r="DN20" s="136" t="n">
        <v>-0.0025</v>
      </c>
      <c r="DO20" s="136" t="n">
        <v>-0.09</v>
      </c>
      <c r="DP20" s="136" t="n">
        <v>0</v>
      </c>
      <c r="DQ20" s="136" t="n">
        <v>-0.14</v>
      </c>
      <c r="DR20" s="136" t="n">
        <v>-0.0075</v>
      </c>
      <c r="DS20" s="136" t="n">
        <v>0.88</v>
      </c>
      <c r="DT20" s="136" t="n">
        <v>0.12</v>
      </c>
      <c r="DU20" s="136" t="n">
        <v>0.06</v>
      </c>
      <c r="DV20" s="136" t="n">
        <v>0</v>
      </c>
    </row>
    <row r="21" customFormat="false" ht="12.75" hidden="false" customHeight="false" outlineLevel="0" collapsed="false">
      <c r="D21" s="171" t="n">
        <v>37288</v>
      </c>
      <c r="F21" s="174" t="n">
        <v>2.908</v>
      </c>
      <c r="G21" s="175" t="n">
        <v>0.0193261872820063</v>
      </c>
      <c r="H21" s="174" t="n">
        <v>0.865</v>
      </c>
      <c r="I21" s="174" t="n">
        <v>1.04</v>
      </c>
      <c r="J21" s="174" t="n">
        <v>1.065</v>
      </c>
      <c r="K21" s="174" t="n">
        <v>1.04</v>
      </c>
      <c r="L21" s="172" t="n">
        <v>1.04</v>
      </c>
      <c r="M21" s="172" t="n">
        <v>1.19</v>
      </c>
      <c r="N21" s="174" t="n">
        <v>1.49</v>
      </c>
      <c r="O21" s="174" t="n">
        <v>1.09</v>
      </c>
      <c r="P21" s="174" t="n">
        <v>1.04</v>
      </c>
      <c r="Q21" s="174" t="n">
        <v>1.39</v>
      </c>
      <c r="R21" s="175" t="n">
        <v>1.04</v>
      </c>
      <c r="S21" s="175" t="n">
        <v>1.14</v>
      </c>
      <c r="T21" s="174" t="n">
        <v>1.04</v>
      </c>
      <c r="U21" s="174" t="n">
        <v>3.015</v>
      </c>
      <c r="V21" s="174" t="n">
        <v>1.17</v>
      </c>
      <c r="W21" s="174" t="n">
        <v>-0.005</v>
      </c>
      <c r="X21" s="174" t="n">
        <v>0.015</v>
      </c>
      <c r="Y21" s="174" t="n">
        <v>0.095</v>
      </c>
      <c r="Z21" s="174" t="n">
        <v>0</v>
      </c>
      <c r="AA21" s="174" t="n">
        <v>0.255</v>
      </c>
      <c r="AB21" s="174" t="n">
        <v>0</v>
      </c>
      <c r="AC21" s="174" t="n">
        <v>0.24</v>
      </c>
      <c r="AD21" s="174" t="n">
        <v>0</v>
      </c>
      <c r="AE21" s="174" t="n">
        <v>0.285</v>
      </c>
      <c r="AF21" s="174" t="n">
        <v>0</v>
      </c>
      <c r="AG21" s="174" t="n">
        <v>0.135</v>
      </c>
      <c r="AH21" s="174" t="n">
        <v>0</v>
      </c>
      <c r="AI21" s="174" t="n">
        <v>0.12344</v>
      </c>
      <c r="AJ21" s="174" t="n">
        <v>0</v>
      </c>
      <c r="AK21" s="174" t="n">
        <v>0.095</v>
      </c>
      <c r="AL21" s="174" t="n">
        <v>0.015</v>
      </c>
      <c r="AM21" s="174" t="n">
        <v>-0.09</v>
      </c>
      <c r="AN21" s="174" t="n">
        <v>0</v>
      </c>
      <c r="AO21" s="174" t="n">
        <v>-0.42</v>
      </c>
      <c r="AP21" s="174" t="n">
        <v>0.155</v>
      </c>
      <c r="AQ21" s="174" t="n">
        <v>-0.0775</v>
      </c>
      <c r="AR21" s="174" t="n">
        <v>0.0025</v>
      </c>
      <c r="AS21" s="174" t="n">
        <v>-0.135</v>
      </c>
      <c r="AT21" s="174" t="n">
        <v>-0.005</v>
      </c>
      <c r="AU21" s="174" t="n">
        <v>-0.095</v>
      </c>
      <c r="AV21" s="174" t="n">
        <v>-0.01</v>
      </c>
      <c r="AW21" s="174" t="n">
        <v>-0.085</v>
      </c>
      <c r="AX21" s="174" t="n">
        <v>0</v>
      </c>
      <c r="AY21" s="175" t="n">
        <v>0.13</v>
      </c>
      <c r="AZ21" s="175" t="n">
        <v>0</v>
      </c>
      <c r="BA21" s="175" t="n">
        <v>-0.3</v>
      </c>
      <c r="BB21" s="174" t="n">
        <v>-0.01</v>
      </c>
      <c r="BC21" s="174" t="n">
        <v>-0.185</v>
      </c>
      <c r="BD21" s="174" t="n">
        <v>-0.0275</v>
      </c>
      <c r="BE21" s="174" t="n">
        <v>-0.09</v>
      </c>
      <c r="BF21" s="174" t="n">
        <v>-0.01</v>
      </c>
      <c r="BG21" s="174" t="n">
        <v>-0.15</v>
      </c>
      <c r="BH21" s="174" t="n">
        <v>-0.02</v>
      </c>
      <c r="BI21" s="174" t="n">
        <v>-0.05</v>
      </c>
      <c r="BJ21" s="136" t="n">
        <v>0.02</v>
      </c>
      <c r="BK21" s="136" t="n">
        <v>-0.09</v>
      </c>
      <c r="BL21" s="136" t="n">
        <v>-0.01</v>
      </c>
      <c r="BM21" s="136" t="n">
        <v>-0.01</v>
      </c>
      <c r="BN21" s="136" t="n">
        <v>0</v>
      </c>
      <c r="BO21" s="136" t="n">
        <v>-0.34</v>
      </c>
      <c r="BP21" s="136" t="n">
        <v>0.015</v>
      </c>
      <c r="BQ21" s="136" t="n">
        <v>0.11</v>
      </c>
      <c r="BR21" s="136" t="n">
        <v>0.01</v>
      </c>
      <c r="BS21" s="136" t="n">
        <v>-0.185</v>
      </c>
      <c r="BT21" s="136" t="n">
        <v>-0.0275</v>
      </c>
      <c r="BU21" s="136" t="n">
        <v>0.04</v>
      </c>
      <c r="BV21" s="136" t="n">
        <v>0</v>
      </c>
      <c r="BW21" s="136" t="n">
        <v>-0.09</v>
      </c>
      <c r="BX21" s="136" t="n">
        <v>-0.01</v>
      </c>
      <c r="BY21" s="136" t="n">
        <v>-0.025</v>
      </c>
      <c r="BZ21" s="136" t="n">
        <v>0.0575</v>
      </c>
      <c r="CA21" s="136" t="n">
        <v>0.1325</v>
      </c>
      <c r="CB21" s="136" t="n">
        <v>0.005</v>
      </c>
      <c r="CC21" s="136" t="n">
        <v>-0.025</v>
      </c>
      <c r="CD21" s="136" t="n">
        <v>0</v>
      </c>
      <c r="CE21" s="136" t="n">
        <v>0.0025</v>
      </c>
      <c r="CF21" s="136" t="n">
        <v>-0.005</v>
      </c>
      <c r="CG21" s="136" t="n">
        <v>-0.025</v>
      </c>
      <c r="CH21" s="136" t="n">
        <v>0</v>
      </c>
      <c r="CI21" s="136" t="n">
        <v>-0.125</v>
      </c>
      <c r="CJ21" s="136" t="n">
        <v>-0.01</v>
      </c>
      <c r="CK21" s="136" t="n">
        <v>0.0675</v>
      </c>
      <c r="CL21" s="136" t="n">
        <v>-0.0075</v>
      </c>
      <c r="CM21" s="136" t="n">
        <v>-0.0775</v>
      </c>
      <c r="CN21" s="136" t="n">
        <v>0.0075</v>
      </c>
      <c r="CO21" s="136" t="n">
        <v>-0.025</v>
      </c>
      <c r="CP21" s="136" t="n">
        <v>0.0025</v>
      </c>
      <c r="CQ21" s="136" t="n">
        <v>0.015</v>
      </c>
      <c r="CR21" s="136" t="n">
        <v>0.005</v>
      </c>
      <c r="CS21" s="136" t="n">
        <v>1.9</v>
      </c>
      <c r="CT21" s="136" t="n">
        <v>0.43</v>
      </c>
      <c r="CU21" s="136" t="n">
        <v>-0.01</v>
      </c>
      <c r="CV21" s="136" t="n">
        <v>0</v>
      </c>
      <c r="CW21" s="136" t="n">
        <v>0.2</v>
      </c>
      <c r="CX21" s="136" t="n">
        <v>0.02</v>
      </c>
      <c r="CY21" s="136" t="n">
        <v>-0.575</v>
      </c>
      <c r="CZ21" s="136" t="n">
        <v>0</v>
      </c>
      <c r="DA21" s="136" t="n">
        <v>-0.395</v>
      </c>
      <c r="DB21" s="136" t="n">
        <v>0</v>
      </c>
      <c r="DC21" s="136" t="n">
        <v>0.35</v>
      </c>
      <c r="DE21" s="136" t="n">
        <v>-0.06</v>
      </c>
      <c r="DF21" s="136" t="n">
        <v>0.0025</v>
      </c>
      <c r="DG21" s="136" t="n">
        <v>-0.01</v>
      </c>
      <c r="DH21" s="136" t="n">
        <v>-0.0025</v>
      </c>
      <c r="DI21" s="136" t="n">
        <v>-0.035</v>
      </c>
      <c r="DJ21" s="136" t="n">
        <v>-0.0025</v>
      </c>
      <c r="DK21" s="136" t="n">
        <v>-0.125</v>
      </c>
      <c r="DL21" s="136" t="n">
        <v>0</v>
      </c>
      <c r="DM21" s="136" t="n">
        <v>-0.0675</v>
      </c>
      <c r="DN21" s="136" t="n">
        <v>-0.0025</v>
      </c>
      <c r="DO21" s="136" t="n">
        <v>-0.09</v>
      </c>
      <c r="DP21" s="136" t="n">
        <v>0</v>
      </c>
      <c r="DQ21" s="136" t="n">
        <v>-0.14</v>
      </c>
      <c r="DR21" s="136" t="n">
        <v>-0.0075</v>
      </c>
      <c r="DS21" s="136" t="n">
        <v>0.88</v>
      </c>
      <c r="DT21" s="136" t="n">
        <v>0.12</v>
      </c>
      <c r="DU21" s="136" t="n">
        <v>0.035</v>
      </c>
      <c r="DV21" s="136" t="n">
        <v>0</v>
      </c>
    </row>
    <row r="22" customFormat="false" ht="12.75" hidden="false" customHeight="false" outlineLevel="0" collapsed="false">
      <c r="D22" s="171" t="n">
        <v>37316</v>
      </c>
      <c r="F22" s="174" t="n">
        <v>2.902</v>
      </c>
      <c r="G22" s="175" t="n">
        <v>0.0192731753639035</v>
      </c>
      <c r="H22" s="174" t="n">
        <v>0.79</v>
      </c>
      <c r="I22" s="174" t="n">
        <v>0.79</v>
      </c>
      <c r="J22" s="174" t="n">
        <v>0.815</v>
      </c>
      <c r="K22" s="174" t="n">
        <v>0.79</v>
      </c>
      <c r="L22" s="172" t="n">
        <v>0.79</v>
      </c>
      <c r="M22" s="172" t="n">
        <v>0.89</v>
      </c>
      <c r="N22" s="174" t="n">
        <v>1.04</v>
      </c>
      <c r="O22" s="174" t="n">
        <v>0.79</v>
      </c>
      <c r="P22" s="174" t="n">
        <v>0.79</v>
      </c>
      <c r="Q22" s="174" t="n">
        <v>0.99</v>
      </c>
      <c r="R22" s="175" t="n">
        <v>0.79</v>
      </c>
      <c r="S22" s="175" t="n">
        <v>0.79</v>
      </c>
      <c r="T22" s="174" t="n">
        <v>0.79</v>
      </c>
      <c r="U22" s="174" t="n">
        <v>1.615</v>
      </c>
      <c r="V22" s="174" t="n">
        <v>0.92</v>
      </c>
      <c r="W22" s="174" t="n">
        <v>-0.005</v>
      </c>
      <c r="X22" s="174" t="n">
        <v>0.015</v>
      </c>
      <c r="Y22" s="174" t="n">
        <v>0.085</v>
      </c>
      <c r="Z22" s="174" t="n">
        <v>0</v>
      </c>
      <c r="AA22" s="174" t="n">
        <v>0.26</v>
      </c>
      <c r="AB22" s="174" t="n">
        <v>0</v>
      </c>
      <c r="AC22" s="174" t="n">
        <v>0.245</v>
      </c>
      <c r="AD22" s="174" t="n">
        <v>0</v>
      </c>
      <c r="AE22" s="174" t="n">
        <v>0.29</v>
      </c>
      <c r="AF22" s="174" t="n">
        <v>0</v>
      </c>
      <c r="AG22" s="174" t="n">
        <v>0.14</v>
      </c>
      <c r="AH22" s="174" t="n">
        <v>0</v>
      </c>
      <c r="AI22" s="174" t="n">
        <v>0.12328</v>
      </c>
      <c r="AJ22" s="174" t="n">
        <v>0</v>
      </c>
      <c r="AK22" s="174" t="n">
        <v>0.085</v>
      </c>
      <c r="AL22" s="174" t="n">
        <v>0.015</v>
      </c>
      <c r="AM22" s="174" t="n">
        <v>-0.09</v>
      </c>
      <c r="AN22" s="174" t="n">
        <v>0</v>
      </c>
      <c r="AO22" s="174" t="n">
        <v>-0.45</v>
      </c>
      <c r="AP22" s="174" t="n">
        <v>0.155</v>
      </c>
      <c r="AQ22" s="174" t="n">
        <v>-0.0775</v>
      </c>
      <c r="AR22" s="174" t="n">
        <v>0.0025</v>
      </c>
      <c r="AS22" s="174" t="n">
        <v>-0.135</v>
      </c>
      <c r="AT22" s="174" t="n">
        <v>-0.005</v>
      </c>
      <c r="AU22" s="174" t="n">
        <v>-0.095</v>
      </c>
      <c r="AV22" s="174" t="n">
        <v>-0.01</v>
      </c>
      <c r="AW22" s="174" t="n">
        <v>-0.085</v>
      </c>
      <c r="AX22" s="174" t="n">
        <v>0</v>
      </c>
      <c r="AY22" s="175" t="n">
        <v>0.125</v>
      </c>
      <c r="AZ22" s="175" t="n">
        <v>0</v>
      </c>
      <c r="BA22" s="175" t="n">
        <v>-0.34</v>
      </c>
      <c r="BB22" s="174" t="n">
        <v>-0.01</v>
      </c>
      <c r="BC22" s="174" t="n">
        <v>-0.19</v>
      </c>
      <c r="BD22" s="174" t="n">
        <v>-0.0275</v>
      </c>
      <c r="BE22" s="174" t="n">
        <v>-0.01</v>
      </c>
      <c r="BF22" s="174" t="n">
        <v>-0.01</v>
      </c>
      <c r="BG22" s="174" t="n">
        <v>-0.155</v>
      </c>
      <c r="BH22" s="174" t="n">
        <v>-0.02</v>
      </c>
      <c r="BI22" s="174" t="n">
        <v>-0.1</v>
      </c>
      <c r="BJ22" s="136" t="n">
        <v>0.02</v>
      </c>
      <c r="BK22" s="136" t="n">
        <v>-0.01</v>
      </c>
      <c r="BL22" s="136" t="n">
        <v>-0.01</v>
      </c>
      <c r="BM22" s="136" t="n">
        <v>-0.17</v>
      </c>
      <c r="BN22" s="136" t="n">
        <v>0</v>
      </c>
      <c r="BO22" s="136" t="n">
        <v>-0.43</v>
      </c>
      <c r="BP22" s="136" t="n">
        <v>0.015</v>
      </c>
      <c r="BQ22" s="136" t="n">
        <v>0.09</v>
      </c>
      <c r="BR22" s="136" t="n">
        <v>0.01</v>
      </c>
      <c r="BS22" s="136" t="n">
        <v>-0.19</v>
      </c>
      <c r="BT22" s="136" t="n">
        <v>-0.0275</v>
      </c>
      <c r="BU22" s="136" t="n">
        <v>0.02</v>
      </c>
      <c r="BV22" s="136" t="n">
        <v>0</v>
      </c>
      <c r="BW22" s="136" t="n">
        <v>-0.01</v>
      </c>
      <c r="BX22" s="136" t="n">
        <v>-0.01</v>
      </c>
      <c r="BY22" s="136" t="n">
        <v>-0.025</v>
      </c>
      <c r="BZ22" s="136" t="n">
        <v>0.0575</v>
      </c>
      <c r="CA22" s="136" t="n">
        <v>0.12</v>
      </c>
      <c r="CB22" s="136" t="n">
        <v>0.005</v>
      </c>
      <c r="CC22" s="136" t="n">
        <v>-0.025</v>
      </c>
      <c r="CD22" s="136" t="n">
        <v>0</v>
      </c>
      <c r="CE22" s="136" t="n">
        <v>0.0025</v>
      </c>
      <c r="CF22" s="136" t="n">
        <v>-0.005</v>
      </c>
      <c r="CG22" s="136" t="n">
        <v>-0.025</v>
      </c>
      <c r="CH22" s="136" t="n">
        <v>0</v>
      </c>
      <c r="CI22" s="136" t="n">
        <v>-0.125</v>
      </c>
      <c r="CJ22" s="136" t="n">
        <v>-0.01</v>
      </c>
      <c r="CK22" s="136" t="n">
        <v>0.0675</v>
      </c>
      <c r="CL22" s="136" t="n">
        <v>-0.0075</v>
      </c>
      <c r="CM22" s="136" t="n">
        <v>-0.0775</v>
      </c>
      <c r="CN22" s="136" t="n">
        <v>0.0075</v>
      </c>
      <c r="CO22" s="136" t="n">
        <v>-0.025</v>
      </c>
      <c r="CP22" s="136" t="n">
        <v>0.0025</v>
      </c>
      <c r="CQ22" s="136" t="n">
        <v>0.015</v>
      </c>
      <c r="CR22" s="136" t="n">
        <v>0.005</v>
      </c>
      <c r="CS22" s="136" t="n">
        <v>0.7</v>
      </c>
      <c r="CT22" s="136" t="n">
        <v>0.05</v>
      </c>
      <c r="CU22" s="136" t="n">
        <v>-0.17</v>
      </c>
      <c r="CV22" s="136" t="n">
        <v>0</v>
      </c>
      <c r="CW22" s="136" t="n">
        <v>0.17</v>
      </c>
      <c r="CX22" s="136" t="n">
        <v>0.02</v>
      </c>
      <c r="CY22" s="136" t="n">
        <v>-0.675</v>
      </c>
      <c r="CZ22" s="136" t="n">
        <v>0</v>
      </c>
      <c r="DA22" s="136" t="n">
        <v>-0.495</v>
      </c>
      <c r="DB22" s="136" t="n">
        <v>0</v>
      </c>
      <c r="DC22" s="136" t="n">
        <v>0.4</v>
      </c>
      <c r="DE22" s="136" t="n">
        <v>-0.06</v>
      </c>
      <c r="DF22" s="136" t="n">
        <v>0.0025</v>
      </c>
      <c r="DG22" s="136" t="n">
        <v>-0.01</v>
      </c>
      <c r="DH22" s="136" t="n">
        <v>-0.0025</v>
      </c>
      <c r="DI22" s="136" t="n">
        <v>-0.035</v>
      </c>
      <c r="DJ22" s="136" t="n">
        <v>-0.0025</v>
      </c>
      <c r="DK22" s="136" t="n">
        <v>-0.125</v>
      </c>
      <c r="DL22" s="136" t="n">
        <v>0</v>
      </c>
      <c r="DM22" s="136" t="n">
        <v>-0.0675</v>
      </c>
      <c r="DN22" s="136" t="n">
        <v>-0.0025</v>
      </c>
      <c r="DO22" s="136" t="n">
        <v>-0.09</v>
      </c>
      <c r="DP22" s="136" t="n">
        <v>0</v>
      </c>
      <c r="DQ22" s="136" t="n">
        <v>-0.14</v>
      </c>
      <c r="DR22" s="136" t="n">
        <v>-0.0075</v>
      </c>
      <c r="DS22" s="136" t="n">
        <v>0.6</v>
      </c>
      <c r="DT22" s="136" t="n">
        <v>0.08</v>
      </c>
      <c r="DU22" s="136" t="n">
        <v>0.035</v>
      </c>
      <c r="DV22" s="136" t="n">
        <v>0</v>
      </c>
    </row>
    <row r="23" customFormat="false" ht="12.75" hidden="false" customHeight="false" outlineLevel="0" collapsed="false">
      <c r="D23" s="171" t="n">
        <v>37347</v>
      </c>
      <c r="F23" s="174" t="n">
        <v>2.848</v>
      </c>
      <c r="G23" s="175" t="n">
        <v>0.0194226401196236</v>
      </c>
      <c r="H23" s="174" t="n">
        <v>0.61</v>
      </c>
      <c r="I23" s="174" t="n">
        <v>0.53</v>
      </c>
      <c r="J23" s="174" t="n">
        <v>0.58</v>
      </c>
      <c r="K23" s="174" t="n">
        <v>0.53</v>
      </c>
      <c r="L23" s="172" t="n">
        <v>0.58</v>
      </c>
      <c r="M23" s="172" t="n">
        <v>0.58</v>
      </c>
      <c r="N23" s="174" t="n">
        <v>0.58</v>
      </c>
      <c r="O23" s="174" t="n">
        <v>0.58</v>
      </c>
      <c r="P23" s="174" t="n">
        <v>0.58</v>
      </c>
      <c r="Q23" s="174" t="n">
        <v>0.63</v>
      </c>
      <c r="R23" s="175" t="n">
        <v>0.53</v>
      </c>
      <c r="S23" s="175" t="n">
        <v>0.58</v>
      </c>
      <c r="T23" s="174" t="n">
        <v>0.53</v>
      </c>
      <c r="U23" s="174" t="n">
        <v>0.58</v>
      </c>
      <c r="V23" s="174" t="n">
        <v>0.83</v>
      </c>
      <c r="W23" s="174" t="n">
        <v>-0.09</v>
      </c>
      <c r="X23" s="174" t="n">
        <v>0</v>
      </c>
      <c r="Y23" s="174" t="n">
        <v>0.0275</v>
      </c>
      <c r="Z23" s="174" t="n">
        <v>-0.005</v>
      </c>
      <c r="AA23" s="174" t="n">
        <v>0.1175</v>
      </c>
      <c r="AB23" s="174" t="n">
        <v>0</v>
      </c>
      <c r="AC23" s="174" t="n">
        <v>0.0925</v>
      </c>
      <c r="AD23" s="174" t="n">
        <v>0</v>
      </c>
      <c r="AE23" s="174" t="n">
        <v>0.1375</v>
      </c>
      <c r="AF23" s="174" t="n">
        <v>0</v>
      </c>
      <c r="AG23" s="174" t="n">
        <v>0.0775</v>
      </c>
      <c r="AH23" s="174" t="n">
        <v>0</v>
      </c>
      <c r="AI23" s="174" t="n">
        <v>0.0825</v>
      </c>
      <c r="AJ23" s="174" t="n">
        <v>0</v>
      </c>
      <c r="AK23" s="174" t="n">
        <v>0.0275</v>
      </c>
      <c r="AL23" s="174" t="n">
        <v>0.035</v>
      </c>
      <c r="AM23" s="174" t="n">
        <v>-0.0825</v>
      </c>
      <c r="AN23" s="174" t="n">
        <v>0.007</v>
      </c>
      <c r="AO23" s="174" t="n">
        <v>-0.485</v>
      </c>
      <c r="AP23" s="174" t="n">
        <v>0.155</v>
      </c>
      <c r="AQ23" s="174" t="n">
        <v>-0.065</v>
      </c>
      <c r="AR23" s="174" t="n">
        <v>0.01</v>
      </c>
      <c r="AS23" s="174" t="n">
        <v>-0.15</v>
      </c>
      <c r="AT23" s="174" t="n">
        <v>-0.015</v>
      </c>
      <c r="AU23" s="174" t="n">
        <v>-0.11</v>
      </c>
      <c r="AV23" s="174" t="n">
        <v>0.02</v>
      </c>
      <c r="AW23" s="174" t="n">
        <v>-0.0875</v>
      </c>
      <c r="AX23" s="174" t="n">
        <v>0.005</v>
      </c>
      <c r="AY23" s="175" t="n">
        <v>0.0875</v>
      </c>
      <c r="AZ23" s="175" t="n">
        <v>0</v>
      </c>
      <c r="BA23" s="175" t="n">
        <v>-0.36</v>
      </c>
      <c r="BB23" s="174" t="n">
        <v>0</v>
      </c>
      <c r="BC23" s="174" t="n">
        <v>-0.185</v>
      </c>
      <c r="BD23" s="174" t="n">
        <v>-0.01</v>
      </c>
      <c r="BE23" s="174" t="n">
        <v>-0.09</v>
      </c>
      <c r="BF23" s="174" t="n">
        <v>-0.01</v>
      </c>
      <c r="BG23" s="174" t="n">
        <v>-0.135</v>
      </c>
      <c r="BH23" s="174" t="n">
        <v>0</v>
      </c>
      <c r="BI23" s="174" t="n">
        <v>-0.12</v>
      </c>
      <c r="BJ23" s="136" t="n">
        <v>0.02</v>
      </c>
      <c r="BK23" s="136" t="n">
        <v>-0.09</v>
      </c>
      <c r="BL23" s="136" t="n">
        <v>-0.01</v>
      </c>
      <c r="BM23" s="136" t="n">
        <v>-0.245</v>
      </c>
      <c r="BN23" s="136" t="n">
        <v>0</v>
      </c>
      <c r="BO23" s="136" t="n">
        <v>-0.53</v>
      </c>
      <c r="BP23" s="136" t="n">
        <v>0.02</v>
      </c>
      <c r="BQ23" s="136" t="n">
        <v>0.07</v>
      </c>
      <c r="BR23" s="136" t="n">
        <v>0.03</v>
      </c>
      <c r="BS23" s="136" t="n">
        <v>-0.185</v>
      </c>
      <c r="BT23" s="136" t="n">
        <v>-0.01</v>
      </c>
      <c r="BU23" s="136" t="n">
        <v>-0.13</v>
      </c>
      <c r="BV23" s="136" t="n">
        <v>0</v>
      </c>
      <c r="BW23" s="136" t="n">
        <v>-0.09</v>
      </c>
      <c r="BX23" s="136" t="n">
        <v>0</v>
      </c>
      <c r="BY23" s="136" t="n">
        <v>-0.025</v>
      </c>
      <c r="BZ23" s="136" t="n">
        <v>0.0575</v>
      </c>
      <c r="CA23" s="136" t="n">
        <v>0.15</v>
      </c>
      <c r="CB23" s="136" t="n">
        <v>0.005</v>
      </c>
      <c r="CC23" s="136" t="n">
        <v>-0.025</v>
      </c>
      <c r="CD23" s="136" t="n">
        <v>0.0025</v>
      </c>
      <c r="CE23" s="136" t="n">
        <v>0.0025</v>
      </c>
      <c r="CF23" s="136" t="n">
        <v>-0.0025</v>
      </c>
      <c r="CG23" s="136" t="n">
        <v>-0.025</v>
      </c>
      <c r="CH23" s="136" t="n">
        <v>0.0025</v>
      </c>
      <c r="CI23" s="136" t="n">
        <v>-0.1425</v>
      </c>
      <c r="CJ23" s="136" t="n">
        <v>-0.005</v>
      </c>
      <c r="CK23" s="136" t="n">
        <v>0.0725</v>
      </c>
      <c r="CL23" s="136" t="n">
        <v>-0.0075</v>
      </c>
      <c r="CM23" s="136" t="n">
        <v>-0.0775</v>
      </c>
      <c r="CN23" s="136" t="n">
        <v>0.0075</v>
      </c>
      <c r="CO23" s="136" t="n">
        <v>-0.0225</v>
      </c>
      <c r="CP23" s="136" t="n">
        <v>0.005</v>
      </c>
      <c r="CQ23" s="136" t="n">
        <v>0.0175</v>
      </c>
      <c r="CR23" s="136" t="n">
        <v>0.0075</v>
      </c>
      <c r="CS23" s="136" t="n">
        <v>0.415</v>
      </c>
      <c r="CT23" s="136" t="n">
        <v>0.02</v>
      </c>
      <c r="CU23" s="136" t="n">
        <v>-0.245</v>
      </c>
      <c r="CV23" s="136" t="n">
        <v>0</v>
      </c>
      <c r="CW23" s="136" t="n">
        <v>0.195</v>
      </c>
      <c r="CX23" s="136" t="n">
        <v>0.0075</v>
      </c>
      <c r="CY23" s="136" t="n">
        <v>-0.82</v>
      </c>
      <c r="CZ23" s="136" t="n">
        <v>0</v>
      </c>
      <c r="DA23" s="136" t="n">
        <v>-0.64</v>
      </c>
      <c r="DB23" s="136" t="n">
        <v>0</v>
      </c>
      <c r="DC23" s="136" t="n">
        <v>0.6</v>
      </c>
      <c r="DE23" s="136" t="n">
        <v>-0.0575</v>
      </c>
      <c r="DF23" s="136" t="n">
        <v>0.005</v>
      </c>
      <c r="DG23" s="136" t="n">
        <v>0.01</v>
      </c>
      <c r="DH23" s="136" t="n">
        <v>0.005</v>
      </c>
      <c r="DI23" s="136" t="n">
        <v>-0.025</v>
      </c>
      <c r="DJ23" s="136" t="n">
        <v>0.005</v>
      </c>
      <c r="DK23" s="136" t="n">
        <v>-0.145</v>
      </c>
      <c r="DL23" s="136" t="n">
        <v>0.005</v>
      </c>
      <c r="DM23" s="136" t="n">
        <v>-0.065</v>
      </c>
      <c r="DN23" s="136" t="n">
        <v>-0.0025</v>
      </c>
      <c r="DO23" s="136" t="n">
        <v>-0.0825</v>
      </c>
      <c r="DP23" s="136" t="n">
        <v>0.0025</v>
      </c>
      <c r="DQ23" s="136" t="n">
        <v>-0.165</v>
      </c>
      <c r="DR23" s="136" t="n">
        <v>-0.0075</v>
      </c>
      <c r="DS23" s="136" t="n">
        <v>0.34</v>
      </c>
      <c r="DT23" s="136" t="n">
        <v>0.005</v>
      </c>
      <c r="DU23" s="136" t="n">
        <v>-0.0525</v>
      </c>
      <c r="DV23" s="136" t="n">
        <v>0</v>
      </c>
    </row>
    <row r="24" customFormat="false" ht="12.75" hidden="false" customHeight="false" outlineLevel="0" collapsed="false">
      <c r="D24" s="171" t="n">
        <v>37377</v>
      </c>
      <c r="F24" s="174" t="n">
        <v>2.896</v>
      </c>
      <c r="G24" s="175" t="n">
        <v>0.019712159578257</v>
      </c>
      <c r="H24" s="174" t="n">
        <v>0.5775</v>
      </c>
      <c r="I24" s="174" t="n">
        <v>0.58</v>
      </c>
      <c r="J24" s="174" t="n">
        <v>0.63</v>
      </c>
      <c r="K24" s="174" t="n">
        <v>0.53</v>
      </c>
      <c r="L24" s="172" t="n">
        <v>0.53</v>
      </c>
      <c r="M24" s="172" t="n">
        <v>0.58</v>
      </c>
      <c r="N24" s="174" t="n">
        <v>0.63</v>
      </c>
      <c r="O24" s="174" t="n">
        <v>0.58</v>
      </c>
      <c r="P24" s="174" t="n">
        <v>0.53</v>
      </c>
      <c r="Q24" s="174" t="n">
        <v>0.58</v>
      </c>
      <c r="R24" s="175" t="n">
        <v>0.58</v>
      </c>
      <c r="S24" s="175" t="n">
        <v>0.63</v>
      </c>
      <c r="T24" s="174" t="n">
        <v>0.58</v>
      </c>
      <c r="U24" s="174" t="n">
        <v>0.63</v>
      </c>
      <c r="V24" s="174" t="n">
        <v>0.78</v>
      </c>
      <c r="W24" s="174" t="n">
        <v>-0.09</v>
      </c>
      <c r="X24" s="174" t="n">
        <v>0</v>
      </c>
      <c r="Y24" s="174" t="n">
        <v>0.0275</v>
      </c>
      <c r="Z24" s="174" t="n">
        <v>-0.005</v>
      </c>
      <c r="AA24" s="174" t="n">
        <v>0.1175</v>
      </c>
      <c r="AB24" s="174" t="n">
        <v>0</v>
      </c>
      <c r="AC24" s="174" t="n">
        <v>0.0925</v>
      </c>
      <c r="AD24" s="174" t="n">
        <v>0</v>
      </c>
      <c r="AE24" s="174" t="n">
        <v>0.1375</v>
      </c>
      <c r="AF24" s="174" t="n">
        <v>0</v>
      </c>
      <c r="AG24" s="174" t="n">
        <v>0.0775</v>
      </c>
      <c r="AH24" s="174" t="n">
        <v>0</v>
      </c>
      <c r="AI24" s="174" t="n">
        <v>0.0825</v>
      </c>
      <c r="AJ24" s="174" t="n">
        <v>0</v>
      </c>
      <c r="AK24" s="174" t="n">
        <v>0.0275</v>
      </c>
      <c r="AL24" s="174" t="n">
        <v>0.035</v>
      </c>
      <c r="AM24" s="174" t="n">
        <v>-0.0825</v>
      </c>
      <c r="AN24" s="174" t="n">
        <v>0.007</v>
      </c>
      <c r="AO24" s="174" t="n">
        <v>-0.485</v>
      </c>
      <c r="AP24" s="174" t="n">
        <v>0.155</v>
      </c>
      <c r="AQ24" s="174" t="n">
        <v>-0.065</v>
      </c>
      <c r="AR24" s="174" t="n">
        <v>0.01</v>
      </c>
      <c r="AS24" s="174" t="n">
        <v>-0.15</v>
      </c>
      <c r="AT24" s="174" t="n">
        <v>-0.015</v>
      </c>
      <c r="AU24" s="174" t="n">
        <v>-0.11</v>
      </c>
      <c r="AV24" s="174" t="n">
        <v>0.02</v>
      </c>
      <c r="AW24" s="174" t="n">
        <v>-0.0875</v>
      </c>
      <c r="AX24" s="174" t="n">
        <v>0.005</v>
      </c>
      <c r="AY24" s="175" t="n">
        <v>0.0875</v>
      </c>
      <c r="AZ24" s="175" t="n">
        <v>0</v>
      </c>
      <c r="BA24" s="175" t="n">
        <v>-0.36</v>
      </c>
      <c r="BB24" s="174" t="n">
        <v>0</v>
      </c>
      <c r="BC24" s="174" t="n">
        <v>-0.18</v>
      </c>
      <c r="BD24" s="174" t="n">
        <v>-0.01</v>
      </c>
      <c r="BE24" s="174" t="n">
        <v>-0.07</v>
      </c>
      <c r="BF24" s="174" t="n">
        <v>-0.01</v>
      </c>
      <c r="BG24" s="174" t="n">
        <v>-0.1275</v>
      </c>
      <c r="BH24" s="174" t="n">
        <v>0</v>
      </c>
      <c r="BI24" s="174" t="n">
        <v>-0.12</v>
      </c>
      <c r="BJ24" s="136" t="n">
        <v>0.02</v>
      </c>
      <c r="BK24" s="136" t="n">
        <v>-0.07</v>
      </c>
      <c r="BL24" s="136" t="n">
        <v>-0.01</v>
      </c>
      <c r="BM24" s="136" t="n">
        <v>-0.245</v>
      </c>
      <c r="BN24" s="136" t="n">
        <v>0</v>
      </c>
      <c r="BO24" s="136" t="n">
        <v>-0.53</v>
      </c>
      <c r="BP24" s="136" t="n">
        <v>0.02</v>
      </c>
      <c r="BQ24" s="136" t="n">
        <v>0.07</v>
      </c>
      <c r="BR24" s="136" t="n">
        <v>0.03</v>
      </c>
      <c r="BS24" s="136" t="n">
        <v>-0.18</v>
      </c>
      <c r="BT24" s="136" t="n">
        <v>-0.01</v>
      </c>
      <c r="BU24" s="136" t="n">
        <v>-0.13</v>
      </c>
      <c r="BV24" s="136" t="n">
        <v>0</v>
      </c>
      <c r="BW24" s="136" t="n">
        <v>-0.07</v>
      </c>
      <c r="BX24" s="136" t="n">
        <v>0</v>
      </c>
      <c r="BY24" s="136" t="n">
        <v>-0.025</v>
      </c>
      <c r="BZ24" s="136" t="n">
        <v>0.0575</v>
      </c>
      <c r="CA24" s="136" t="n">
        <v>0.13</v>
      </c>
      <c r="CB24" s="136" t="n">
        <v>0.005</v>
      </c>
      <c r="CC24" s="136" t="n">
        <v>-0.025</v>
      </c>
      <c r="CD24" s="136" t="n">
        <v>0.0025</v>
      </c>
      <c r="CE24" s="136" t="n">
        <v>0.0025</v>
      </c>
      <c r="CF24" s="136" t="n">
        <v>-0.0025</v>
      </c>
      <c r="CG24" s="136" t="n">
        <v>-0.025</v>
      </c>
      <c r="CH24" s="136" t="n">
        <v>0.0025</v>
      </c>
      <c r="CI24" s="136" t="n">
        <v>-0.135</v>
      </c>
      <c r="CJ24" s="136" t="n">
        <v>-0.005</v>
      </c>
      <c r="CK24" s="136" t="n">
        <v>0.0725</v>
      </c>
      <c r="CL24" s="136" t="n">
        <v>-0.0075</v>
      </c>
      <c r="CM24" s="136" t="n">
        <v>-0.0775</v>
      </c>
      <c r="CN24" s="136" t="n">
        <v>0.0075</v>
      </c>
      <c r="CO24" s="136" t="n">
        <v>-0.0225</v>
      </c>
      <c r="CP24" s="136" t="n">
        <v>0.005</v>
      </c>
      <c r="CQ24" s="136" t="n">
        <v>0.0175</v>
      </c>
      <c r="CR24" s="136" t="n">
        <v>0.0075</v>
      </c>
      <c r="CS24" s="136" t="n">
        <v>0.385</v>
      </c>
      <c r="CT24" s="136" t="n">
        <v>0.02</v>
      </c>
      <c r="CU24" s="136" t="n">
        <v>-0.245</v>
      </c>
      <c r="CV24" s="136" t="n">
        <v>0</v>
      </c>
      <c r="CW24" s="136" t="n">
        <v>0.135</v>
      </c>
      <c r="CX24" s="136" t="n">
        <v>0.0075</v>
      </c>
      <c r="CY24" s="136" t="n">
        <v>-0.82</v>
      </c>
      <c r="CZ24" s="136" t="n">
        <v>0</v>
      </c>
      <c r="DA24" s="136" t="n">
        <v>-0.64</v>
      </c>
      <c r="DB24" s="136" t="n">
        <v>0</v>
      </c>
      <c r="DC24" s="136" t="n">
        <v>0.75</v>
      </c>
      <c r="DE24" s="136" t="n">
        <v>-0.0575</v>
      </c>
      <c r="DF24" s="136" t="n">
        <v>0.005</v>
      </c>
      <c r="DG24" s="136" t="n">
        <v>0.01</v>
      </c>
      <c r="DH24" s="136" t="n">
        <v>0.005</v>
      </c>
      <c r="DI24" s="136" t="n">
        <v>-0.025</v>
      </c>
      <c r="DJ24" s="136" t="n">
        <v>0.005</v>
      </c>
      <c r="DK24" s="136" t="n">
        <v>-0.1225</v>
      </c>
      <c r="DL24" s="136" t="n">
        <v>0.005</v>
      </c>
      <c r="DM24" s="136" t="n">
        <v>-0.065</v>
      </c>
      <c r="DN24" s="136" t="n">
        <v>-0.0025</v>
      </c>
      <c r="DO24" s="136" t="n">
        <v>-0.0825</v>
      </c>
      <c r="DP24" s="136" t="n">
        <v>0.0025</v>
      </c>
      <c r="DQ24" s="136" t="n">
        <v>-0.1425</v>
      </c>
      <c r="DR24" s="136" t="n">
        <v>-0.0075</v>
      </c>
      <c r="DS24" s="136" t="n">
        <v>0.3125</v>
      </c>
      <c r="DT24" s="136" t="n">
        <v>0.005</v>
      </c>
      <c r="DU24" s="136" t="n">
        <v>-0.0525</v>
      </c>
      <c r="DV24" s="136" t="n">
        <v>0</v>
      </c>
    </row>
    <row r="25" customFormat="false" ht="12.75" hidden="false" customHeight="false" outlineLevel="0" collapsed="false">
      <c r="B25" s="136"/>
      <c r="D25" s="171" t="n">
        <v>37408</v>
      </c>
      <c r="F25" s="174" t="n">
        <v>2.946</v>
      </c>
      <c r="G25" s="175" t="n">
        <v>0.0200113297153544</v>
      </c>
      <c r="H25" s="174" t="n">
        <v>0.5475</v>
      </c>
      <c r="I25" s="174" t="n">
        <v>0.58</v>
      </c>
      <c r="J25" s="174" t="n">
        <v>0.63</v>
      </c>
      <c r="K25" s="174" t="n">
        <v>0.53</v>
      </c>
      <c r="L25" s="172" t="n">
        <v>0.63</v>
      </c>
      <c r="M25" s="172" t="n">
        <v>0.58</v>
      </c>
      <c r="N25" s="174" t="n">
        <v>0.63</v>
      </c>
      <c r="O25" s="174" t="n">
        <v>0.63</v>
      </c>
      <c r="P25" s="174" t="n">
        <v>0.63</v>
      </c>
      <c r="Q25" s="174" t="n">
        <v>0.63</v>
      </c>
      <c r="R25" s="175" t="n">
        <v>0.58</v>
      </c>
      <c r="S25" s="175" t="n">
        <v>0.63</v>
      </c>
      <c r="T25" s="174" t="n">
        <v>0.58</v>
      </c>
      <c r="U25" s="174" t="n">
        <v>0.63</v>
      </c>
      <c r="V25" s="174" t="n">
        <v>0.88</v>
      </c>
      <c r="W25" s="174" t="n">
        <v>-0.09</v>
      </c>
      <c r="X25" s="174" t="n">
        <v>0</v>
      </c>
      <c r="Y25" s="174" t="n">
        <v>0.0275</v>
      </c>
      <c r="Z25" s="174" t="n">
        <v>-0.005</v>
      </c>
      <c r="AA25" s="174" t="n">
        <v>0.1175</v>
      </c>
      <c r="AB25" s="174" t="n">
        <v>0</v>
      </c>
      <c r="AC25" s="174" t="n">
        <v>0.0925</v>
      </c>
      <c r="AD25" s="174" t="n">
        <v>0</v>
      </c>
      <c r="AE25" s="174" t="n">
        <v>0.1375</v>
      </c>
      <c r="AF25" s="174" t="n">
        <v>0</v>
      </c>
      <c r="AG25" s="174" t="n">
        <v>0.0775</v>
      </c>
      <c r="AH25" s="174" t="n">
        <v>0</v>
      </c>
      <c r="AI25" s="174" t="n">
        <v>0.0825</v>
      </c>
      <c r="AJ25" s="174" t="n">
        <v>0</v>
      </c>
      <c r="AK25" s="174" t="n">
        <v>0.0275</v>
      </c>
      <c r="AL25" s="174" t="n">
        <v>0.04</v>
      </c>
      <c r="AM25" s="174" t="n">
        <v>-0.0825</v>
      </c>
      <c r="AN25" s="174" t="n">
        <v>0.007</v>
      </c>
      <c r="AO25" s="174" t="n">
        <v>-0.485</v>
      </c>
      <c r="AP25" s="174" t="n">
        <v>0.155</v>
      </c>
      <c r="AQ25" s="174" t="n">
        <v>-0.065</v>
      </c>
      <c r="AR25" s="174" t="n">
        <v>0.01</v>
      </c>
      <c r="AS25" s="174" t="n">
        <v>-0.15</v>
      </c>
      <c r="AT25" s="174" t="n">
        <v>-0.015</v>
      </c>
      <c r="AU25" s="174" t="n">
        <v>-0.11</v>
      </c>
      <c r="AV25" s="174" t="n">
        <v>0.02</v>
      </c>
      <c r="AW25" s="174" t="n">
        <v>-0.0875</v>
      </c>
      <c r="AX25" s="174" t="n">
        <v>0.005</v>
      </c>
      <c r="AY25" s="175" t="n">
        <v>0.0875</v>
      </c>
      <c r="AZ25" s="175" t="n">
        <v>0</v>
      </c>
      <c r="BA25" s="175" t="n">
        <v>-0.36</v>
      </c>
      <c r="BB25" s="174" t="n">
        <v>0</v>
      </c>
      <c r="BC25" s="174" t="n">
        <v>-0.175</v>
      </c>
      <c r="BD25" s="174" t="n">
        <v>-0.01</v>
      </c>
      <c r="BE25" s="174" t="n">
        <v>-0.05</v>
      </c>
      <c r="BF25" s="174" t="n">
        <v>-0.01</v>
      </c>
      <c r="BG25" s="174" t="n">
        <v>-0.1225</v>
      </c>
      <c r="BH25" s="174" t="n">
        <v>0</v>
      </c>
      <c r="BI25" s="174" t="n">
        <v>-0.12</v>
      </c>
      <c r="BJ25" s="136" t="n">
        <v>0.02</v>
      </c>
      <c r="BK25" s="136" t="n">
        <v>-0.05</v>
      </c>
      <c r="BL25" s="136" t="n">
        <v>-0.01</v>
      </c>
      <c r="BM25" s="136" t="n">
        <v>-0.245</v>
      </c>
      <c r="BN25" s="136" t="n">
        <v>0</v>
      </c>
      <c r="BO25" s="136" t="n">
        <v>-0.53</v>
      </c>
      <c r="BP25" s="136" t="n">
        <v>0.02</v>
      </c>
      <c r="BQ25" s="136" t="n">
        <v>0.07</v>
      </c>
      <c r="BR25" s="136" t="n">
        <v>0.03</v>
      </c>
      <c r="BS25" s="136" t="n">
        <v>-0.175</v>
      </c>
      <c r="BT25" s="136" t="n">
        <v>-0.01</v>
      </c>
      <c r="BU25" s="136" t="n">
        <v>-0.13</v>
      </c>
      <c r="BV25" s="136" t="n">
        <v>0</v>
      </c>
      <c r="BW25" s="136" t="n">
        <v>0.2</v>
      </c>
      <c r="BX25" s="136" t="n">
        <v>0</v>
      </c>
      <c r="BY25" s="136" t="n">
        <v>-0.025</v>
      </c>
      <c r="BZ25" s="136" t="n">
        <v>0.0575</v>
      </c>
      <c r="CA25" s="136" t="n">
        <v>0.15</v>
      </c>
      <c r="CB25" s="136" t="n">
        <v>0.005</v>
      </c>
      <c r="CC25" s="136" t="n">
        <v>-0.025</v>
      </c>
      <c r="CD25" s="136" t="n">
        <v>0.0025</v>
      </c>
      <c r="CE25" s="136" t="n">
        <v>0.0025</v>
      </c>
      <c r="CF25" s="136" t="n">
        <v>-0.0025</v>
      </c>
      <c r="CG25" s="136" t="n">
        <v>-0.025</v>
      </c>
      <c r="CH25" s="136" t="n">
        <v>0.0025</v>
      </c>
      <c r="CI25" s="136" t="n">
        <v>-0.0925</v>
      </c>
      <c r="CJ25" s="136" t="n">
        <v>-0.005</v>
      </c>
      <c r="CK25" s="136" t="n">
        <v>0.0725</v>
      </c>
      <c r="CL25" s="136" t="n">
        <v>-0.0075</v>
      </c>
      <c r="CM25" s="136" t="n">
        <v>-0.0775</v>
      </c>
      <c r="CN25" s="136" t="n">
        <v>0.0075</v>
      </c>
      <c r="CO25" s="136" t="n">
        <v>-0.0225</v>
      </c>
      <c r="CP25" s="136" t="n">
        <v>0.005</v>
      </c>
      <c r="CQ25" s="136" t="n">
        <v>0.0175</v>
      </c>
      <c r="CR25" s="136" t="n">
        <v>0.0075</v>
      </c>
      <c r="CS25" s="136" t="n">
        <v>0.37</v>
      </c>
      <c r="CT25" s="136" t="n">
        <v>0.035</v>
      </c>
      <c r="CU25" s="136" t="n">
        <v>-0.245</v>
      </c>
      <c r="CV25" s="136" t="n">
        <v>0</v>
      </c>
      <c r="CW25" s="136" t="n">
        <v>0.165</v>
      </c>
      <c r="CX25" s="136" t="n">
        <v>0.0075</v>
      </c>
      <c r="CY25" s="136" t="n">
        <v>-0.82</v>
      </c>
      <c r="CZ25" s="136" t="n">
        <v>0</v>
      </c>
      <c r="DA25" s="136" t="n">
        <v>-0.64</v>
      </c>
      <c r="DB25" s="136" t="n">
        <v>0</v>
      </c>
      <c r="DC25" s="136" t="n">
        <v>0.85</v>
      </c>
      <c r="DE25" s="136" t="n">
        <v>-0.055</v>
      </c>
      <c r="DF25" s="136" t="n">
        <v>0.005</v>
      </c>
      <c r="DG25" s="136" t="n">
        <v>0.0125</v>
      </c>
      <c r="DH25" s="136" t="n">
        <v>0.005</v>
      </c>
      <c r="DI25" s="136" t="n">
        <v>-0.0225</v>
      </c>
      <c r="DJ25" s="136" t="n">
        <v>0.005</v>
      </c>
      <c r="DK25" s="136" t="n">
        <v>-0.07</v>
      </c>
      <c r="DL25" s="136" t="n">
        <v>0.005</v>
      </c>
      <c r="DM25" s="136" t="n">
        <v>-0.065</v>
      </c>
      <c r="DN25" s="136" t="n">
        <v>-0.0025</v>
      </c>
      <c r="DO25" s="136" t="n">
        <v>-0.0825</v>
      </c>
      <c r="DP25" s="136" t="n">
        <v>0.0025</v>
      </c>
      <c r="DQ25" s="136" t="n">
        <v>-0.09</v>
      </c>
      <c r="DR25" s="136" t="n">
        <v>-0.0075</v>
      </c>
      <c r="DS25" s="136" t="n">
        <v>0.31</v>
      </c>
      <c r="DT25" s="136" t="n">
        <v>0.005</v>
      </c>
      <c r="DU25" s="136" t="n">
        <v>-0.0525</v>
      </c>
      <c r="DV25" s="136" t="n">
        <v>0</v>
      </c>
    </row>
    <row r="26" customFormat="false" ht="12.75" hidden="false" customHeight="false" outlineLevel="0" collapsed="false">
      <c r="D26" s="171" t="n">
        <v>37438</v>
      </c>
      <c r="F26" s="174" t="n">
        <v>2.984</v>
      </c>
      <c r="G26" s="175" t="n">
        <v>0.0204286298094831</v>
      </c>
      <c r="H26" s="174" t="n">
        <v>0.5425</v>
      </c>
      <c r="I26" s="174" t="n">
        <v>0.63</v>
      </c>
      <c r="J26" s="174" t="n">
        <v>0.63</v>
      </c>
      <c r="K26" s="174" t="n">
        <v>0.53</v>
      </c>
      <c r="L26" s="172" t="n">
        <v>0.63</v>
      </c>
      <c r="M26" s="172" t="n">
        <v>0.63</v>
      </c>
      <c r="N26" s="174" t="n">
        <v>0.63</v>
      </c>
      <c r="O26" s="174" t="n">
        <v>0.63</v>
      </c>
      <c r="P26" s="174" t="n">
        <v>0.63</v>
      </c>
      <c r="Q26" s="174" t="n">
        <v>0.63</v>
      </c>
      <c r="R26" s="175" t="n">
        <v>0.63</v>
      </c>
      <c r="S26" s="175" t="n">
        <v>0.68</v>
      </c>
      <c r="T26" s="174" t="n">
        <v>0.63</v>
      </c>
      <c r="U26" s="174" t="n">
        <v>0.63</v>
      </c>
      <c r="V26" s="174" t="n">
        <v>0.88</v>
      </c>
      <c r="W26" s="174" t="n">
        <v>-0.09</v>
      </c>
      <c r="X26" s="174" t="n">
        <v>0</v>
      </c>
      <c r="Y26" s="174" t="n">
        <v>0.0275</v>
      </c>
      <c r="Z26" s="174" t="n">
        <v>-0.005</v>
      </c>
      <c r="AA26" s="174" t="n">
        <v>0.1175</v>
      </c>
      <c r="AB26" s="174" t="n">
        <v>0</v>
      </c>
      <c r="AC26" s="174" t="n">
        <v>0.0925</v>
      </c>
      <c r="AD26" s="174" t="n">
        <v>0</v>
      </c>
      <c r="AE26" s="174" t="n">
        <v>0.1375</v>
      </c>
      <c r="AF26" s="174" t="n">
        <v>0</v>
      </c>
      <c r="AG26" s="174" t="n">
        <v>0.0775</v>
      </c>
      <c r="AH26" s="174" t="n">
        <v>0</v>
      </c>
      <c r="AI26" s="174" t="n">
        <v>0.0825</v>
      </c>
      <c r="AJ26" s="174" t="n">
        <v>0</v>
      </c>
      <c r="AK26" s="174" t="n">
        <v>0.0275</v>
      </c>
      <c r="AL26" s="174" t="n">
        <v>0.04</v>
      </c>
      <c r="AM26" s="174" t="n">
        <v>-0.0825</v>
      </c>
      <c r="AN26" s="174" t="n">
        <v>0.007</v>
      </c>
      <c r="AO26" s="174" t="n">
        <v>-0.485</v>
      </c>
      <c r="AP26" s="174" t="n">
        <v>0.155</v>
      </c>
      <c r="AQ26" s="174" t="n">
        <v>-0.065</v>
      </c>
      <c r="AR26" s="174" t="n">
        <v>0.01</v>
      </c>
      <c r="AS26" s="174" t="n">
        <v>-0.15</v>
      </c>
      <c r="AT26" s="174" t="n">
        <v>-0.015</v>
      </c>
      <c r="AU26" s="174" t="n">
        <v>-0.11</v>
      </c>
      <c r="AV26" s="174" t="n">
        <v>0.02</v>
      </c>
      <c r="AW26" s="174" t="n">
        <v>-0.0875</v>
      </c>
      <c r="AX26" s="174" t="n">
        <v>0.005</v>
      </c>
      <c r="AY26" s="175" t="n">
        <v>0.0875</v>
      </c>
      <c r="AZ26" s="175" t="n">
        <v>0</v>
      </c>
      <c r="BA26" s="175" t="n">
        <v>-0.33</v>
      </c>
      <c r="BB26" s="174" t="n">
        <v>0</v>
      </c>
      <c r="BC26" s="174" t="n">
        <v>-0.135</v>
      </c>
      <c r="BD26" s="174" t="n">
        <v>-0.01</v>
      </c>
      <c r="BE26" s="174" t="n">
        <v>0.115</v>
      </c>
      <c r="BF26" s="174" t="n">
        <v>-0.01</v>
      </c>
      <c r="BG26" s="174" t="n">
        <v>-0.085</v>
      </c>
      <c r="BH26" s="174" t="n">
        <v>0</v>
      </c>
      <c r="BI26" s="174" t="n">
        <v>-0.02</v>
      </c>
      <c r="BJ26" s="136" t="n">
        <v>0.02</v>
      </c>
      <c r="BK26" s="136" t="n">
        <v>0.115</v>
      </c>
      <c r="BL26" s="136" t="n">
        <v>-0.01</v>
      </c>
      <c r="BM26" s="136" t="n">
        <v>-0.36</v>
      </c>
      <c r="BN26" s="136" t="n">
        <v>0</v>
      </c>
      <c r="BO26" s="136" t="n">
        <v>-0.54</v>
      </c>
      <c r="BP26" s="136" t="n">
        <v>0.02</v>
      </c>
      <c r="BQ26" s="136" t="n">
        <v>0.28</v>
      </c>
      <c r="BR26" s="136" t="n">
        <v>0.03</v>
      </c>
      <c r="BS26" s="136" t="n">
        <v>-0.135</v>
      </c>
      <c r="BT26" s="136" t="n">
        <v>-0.01</v>
      </c>
      <c r="BU26" s="136" t="n">
        <v>0.08</v>
      </c>
      <c r="BV26" s="136" t="n">
        <v>0</v>
      </c>
      <c r="BW26" s="136" t="n">
        <v>0.115</v>
      </c>
      <c r="BX26" s="136" t="n">
        <v>0</v>
      </c>
      <c r="BY26" s="136" t="n">
        <v>-0.025</v>
      </c>
      <c r="BZ26" s="136" t="n">
        <v>0.0575</v>
      </c>
      <c r="CA26" s="136" t="n">
        <v>0.165</v>
      </c>
      <c r="CB26" s="136" t="n">
        <v>0.005</v>
      </c>
      <c r="CC26" s="136" t="n">
        <v>-0.025</v>
      </c>
      <c r="CD26" s="136" t="n">
        <v>0.0025</v>
      </c>
      <c r="CE26" s="136" t="n">
        <v>0.0025</v>
      </c>
      <c r="CF26" s="136" t="n">
        <v>-0.0025</v>
      </c>
      <c r="CG26" s="136" t="n">
        <v>-0.025</v>
      </c>
      <c r="CH26" s="136" t="n">
        <v>0.0025</v>
      </c>
      <c r="CI26" s="136" t="n">
        <v>-0.09</v>
      </c>
      <c r="CJ26" s="136" t="n">
        <v>-0.005</v>
      </c>
      <c r="CK26" s="136" t="n">
        <v>0.0725</v>
      </c>
      <c r="CL26" s="136" t="n">
        <v>-0.0075</v>
      </c>
      <c r="CM26" s="136" t="n">
        <v>-0.0775</v>
      </c>
      <c r="CN26" s="136" t="n">
        <v>0.0075</v>
      </c>
      <c r="CO26" s="136" t="n">
        <v>-0.0225</v>
      </c>
      <c r="CP26" s="136" t="n">
        <v>0.005</v>
      </c>
      <c r="CQ26" s="136" t="n">
        <v>0.0175</v>
      </c>
      <c r="CR26" s="136" t="n">
        <v>0.0075</v>
      </c>
      <c r="CS26" s="136" t="n">
        <v>0.425</v>
      </c>
      <c r="CT26" s="136" t="n">
        <v>0.035</v>
      </c>
      <c r="CU26" s="136" t="n">
        <v>-0.36</v>
      </c>
      <c r="CV26" s="136" t="n">
        <v>0</v>
      </c>
      <c r="CW26" s="136" t="n">
        <v>0.205</v>
      </c>
      <c r="CX26" s="136" t="n">
        <v>0.0075</v>
      </c>
      <c r="CY26" s="136" t="n">
        <v>-0.83</v>
      </c>
      <c r="CZ26" s="136" t="n">
        <v>0</v>
      </c>
      <c r="DA26" s="136" t="n">
        <v>-0.65</v>
      </c>
      <c r="DB26" s="136" t="n">
        <v>0</v>
      </c>
      <c r="DC26" s="136" t="n">
        <v>1.05</v>
      </c>
      <c r="DE26" s="136" t="n">
        <v>-0.055</v>
      </c>
      <c r="DF26" s="136" t="n">
        <v>0.005</v>
      </c>
      <c r="DG26" s="136" t="n">
        <v>0.0125</v>
      </c>
      <c r="DH26" s="136" t="n">
        <v>0.005</v>
      </c>
      <c r="DI26" s="136" t="n">
        <v>-0.0225</v>
      </c>
      <c r="DJ26" s="136" t="n">
        <v>0.005</v>
      </c>
      <c r="DK26" s="136" t="n">
        <v>-0.08</v>
      </c>
      <c r="DL26" s="136" t="n">
        <v>0.005</v>
      </c>
      <c r="DM26" s="136" t="n">
        <v>-0.065</v>
      </c>
      <c r="DN26" s="136" t="n">
        <v>-0.0025</v>
      </c>
      <c r="DO26" s="136" t="n">
        <v>-0.0825</v>
      </c>
      <c r="DP26" s="136" t="n">
        <v>0.0025</v>
      </c>
      <c r="DQ26" s="136" t="n">
        <v>-0.1</v>
      </c>
      <c r="DR26" s="136" t="n">
        <v>-0.0075</v>
      </c>
      <c r="DS26" s="136" t="n">
        <v>0.33</v>
      </c>
      <c r="DT26" s="136" t="n">
        <v>0.005</v>
      </c>
      <c r="DU26" s="136" t="n">
        <v>-0.0525</v>
      </c>
      <c r="DV26" s="136" t="n">
        <v>0</v>
      </c>
    </row>
    <row r="27" customFormat="false" ht="12.75" hidden="false" customHeight="false" outlineLevel="0" collapsed="false">
      <c r="D27" s="171" t="n">
        <v>37469</v>
      </c>
      <c r="F27" s="174" t="n">
        <v>3.026</v>
      </c>
      <c r="G27" s="175" t="n">
        <v>0.021065008234304</v>
      </c>
      <c r="H27" s="174" t="n">
        <v>0.54</v>
      </c>
      <c r="I27" s="174" t="n">
        <v>0.68</v>
      </c>
      <c r="J27" s="174" t="n">
        <v>0.68</v>
      </c>
      <c r="K27" s="174" t="n">
        <v>0.63</v>
      </c>
      <c r="L27" s="172" t="n">
        <v>0.73</v>
      </c>
      <c r="M27" s="172" t="n">
        <v>0.68</v>
      </c>
      <c r="N27" s="174" t="n">
        <v>0.73</v>
      </c>
      <c r="O27" s="174" t="n">
        <v>0.68</v>
      </c>
      <c r="P27" s="174" t="n">
        <v>0.73</v>
      </c>
      <c r="Q27" s="174" t="n">
        <v>0.58</v>
      </c>
      <c r="R27" s="175" t="n">
        <v>0.68</v>
      </c>
      <c r="S27" s="175" t="n">
        <v>0.73</v>
      </c>
      <c r="T27" s="174" t="n">
        <v>0.68</v>
      </c>
      <c r="U27" s="174" t="n">
        <v>0.73</v>
      </c>
      <c r="V27" s="174" t="n">
        <v>0.98</v>
      </c>
      <c r="W27" s="174" t="n">
        <v>-0.09</v>
      </c>
      <c r="X27" s="174" t="n">
        <v>0</v>
      </c>
      <c r="Y27" s="174" t="n">
        <v>0.0275</v>
      </c>
      <c r="Z27" s="174" t="n">
        <v>-0.005</v>
      </c>
      <c r="AA27" s="174" t="n">
        <v>0.1175</v>
      </c>
      <c r="AB27" s="174" t="n">
        <v>0</v>
      </c>
      <c r="AC27" s="174" t="n">
        <v>0.0925</v>
      </c>
      <c r="AD27" s="174" t="n">
        <v>0</v>
      </c>
      <c r="AE27" s="174" t="n">
        <v>0.1375</v>
      </c>
      <c r="AF27" s="174" t="n">
        <v>0</v>
      </c>
      <c r="AG27" s="174" t="n">
        <v>0.0775</v>
      </c>
      <c r="AH27" s="174" t="n">
        <v>0</v>
      </c>
      <c r="AI27" s="174" t="n">
        <v>0.0825</v>
      </c>
      <c r="AJ27" s="174" t="n">
        <v>0</v>
      </c>
      <c r="AK27" s="174" t="n">
        <v>0.0275</v>
      </c>
      <c r="AL27" s="174" t="n">
        <v>0.04</v>
      </c>
      <c r="AM27" s="174" t="n">
        <v>-0.0825</v>
      </c>
      <c r="AN27" s="174" t="n">
        <v>0.007</v>
      </c>
      <c r="AO27" s="174" t="n">
        <v>-0.485</v>
      </c>
      <c r="AP27" s="174" t="n">
        <v>0.155</v>
      </c>
      <c r="AQ27" s="174" t="n">
        <v>-0.065</v>
      </c>
      <c r="AR27" s="174" t="n">
        <v>0.01</v>
      </c>
      <c r="AS27" s="174" t="n">
        <v>-0.15</v>
      </c>
      <c r="AT27" s="174" t="n">
        <v>-0.015</v>
      </c>
      <c r="AU27" s="174" t="n">
        <v>-0.11</v>
      </c>
      <c r="AV27" s="174" t="n">
        <v>0.02</v>
      </c>
      <c r="AW27" s="174" t="n">
        <v>-0.0875</v>
      </c>
      <c r="AX27" s="174" t="n">
        <v>0.005</v>
      </c>
      <c r="AY27" s="175" t="n">
        <v>0.0875</v>
      </c>
      <c r="AZ27" s="175" t="n">
        <v>0</v>
      </c>
      <c r="BA27" s="175" t="n">
        <v>-0.33</v>
      </c>
      <c r="BB27" s="174" t="n">
        <v>0</v>
      </c>
      <c r="BC27" s="174" t="n">
        <v>-0.12</v>
      </c>
      <c r="BD27" s="174" t="n">
        <v>-0.01</v>
      </c>
      <c r="BE27" s="174" t="n">
        <v>0.125</v>
      </c>
      <c r="BF27" s="174" t="n">
        <v>-0.01</v>
      </c>
      <c r="BG27" s="174" t="n">
        <v>-0.07</v>
      </c>
      <c r="BH27" s="174" t="n">
        <v>0</v>
      </c>
      <c r="BI27" s="174" t="n">
        <v>0.01</v>
      </c>
      <c r="BJ27" s="136" t="n">
        <v>0.02</v>
      </c>
      <c r="BK27" s="136" t="n">
        <v>0.125</v>
      </c>
      <c r="BL27" s="136" t="n">
        <v>-0.01</v>
      </c>
      <c r="BM27" s="136" t="n">
        <v>-0.36</v>
      </c>
      <c r="BN27" s="136" t="n">
        <v>0</v>
      </c>
      <c r="BO27" s="136" t="n">
        <v>-0.54</v>
      </c>
      <c r="BP27" s="136" t="n">
        <v>0.02</v>
      </c>
      <c r="BQ27" s="136" t="n">
        <v>0.28</v>
      </c>
      <c r="BR27" s="136" t="n">
        <v>0.03</v>
      </c>
      <c r="BS27" s="136" t="n">
        <v>-0.12</v>
      </c>
      <c r="BT27" s="136" t="n">
        <v>-0.01</v>
      </c>
      <c r="BU27" s="136" t="n">
        <v>0.08</v>
      </c>
      <c r="BV27" s="136" t="n">
        <v>0</v>
      </c>
      <c r="BW27" s="136" t="n">
        <v>0.125</v>
      </c>
      <c r="BX27" s="136" t="n">
        <v>0</v>
      </c>
      <c r="BY27" s="136" t="n">
        <v>-0.025</v>
      </c>
      <c r="BZ27" s="136" t="n">
        <v>0.0575</v>
      </c>
      <c r="CA27" s="136" t="n">
        <v>0.165</v>
      </c>
      <c r="CB27" s="136" t="n">
        <v>0.005</v>
      </c>
      <c r="CC27" s="136" t="n">
        <v>-0.025</v>
      </c>
      <c r="CD27" s="136" t="n">
        <v>0.0025</v>
      </c>
      <c r="CE27" s="136" t="n">
        <v>0.0025</v>
      </c>
      <c r="CF27" s="136" t="n">
        <v>-0.0025</v>
      </c>
      <c r="CG27" s="136" t="n">
        <v>-0.025</v>
      </c>
      <c r="CH27" s="136" t="n">
        <v>0.0025</v>
      </c>
      <c r="CI27" s="136" t="n">
        <v>-0.0875</v>
      </c>
      <c r="CJ27" s="136" t="n">
        <v>-0.005</v>
      </c>
      <c r="CK27" s="136" t="n">
        <v>0.0725</v>
      </c>
      <c r="CL27" s="136" t="n">
        <v>-0.0075</v>
      </c>
      <c r="CM27" s="136" t="n">
        <v>-0.0775</v>
      </c>
      <c r="CN27" s="136" t="n">
        <v>0.0075</v>
      </c>
      <c r="CO27" s="136" t="n">
        <v>-0.0225</v>
      </c>
      <c r="CP27" s="136" t="n">
        <v>0.005</v>
      </c>
      <c r="CQ27" s="136" t="n">
        <v>0.0175</v>
      </c>
      <c r="CR27" s="136" t="n">
        <v>0.0075</v>
      </c>
      <c r="CS27" s="136" t="n">
        <v>0.425</v>
      </c>
      <c r="CT27" s="136" t="n">
        <v>0.01</v>
      </c>
      <c r="CU27" s="136" t="n">
        <v>-0.36</v>
      </c>
      <c r="CV27" s="136" t="n">
        <v>0</v>
      </c>
      <c r="CW27" s="136" t="n">
        <v>0.205</v>
      </c>
      <c r="CX27" s="136" t="n">
        <v>0.0075</v>
      </c>
      <c r="CY27" s="136" t="n">
        <v>-0.83</v>
      </c>
      <c r="CZ27" s="136" t="n">
        <v>0</v>
      </c>
      <c r="DA27" s="136" t="n">
        <v>-0.65</v>
      </c>
      <c r="DB27" s="136" t="n">
        <v>0</v>
      </c>
      <c r="DC27" s="136" t="n">
        <v>1.05</v>
      </c>
      <c r="DE27" s="136" t="n">
        <v>-0.055</v>
      </c>
      <c r="DF27" s="136" t="n">
        <v>0.005</v>
      </c>
      <c r="DG27" s="136" t="n">
        <v>0.0125</v>
      </c>
      <c r="DH27" s="136" t="n">
        <v>0.005</v>
      </c>
      <c r="DI27" s="136" t="n">
        <v>-0.0225</v>
      </c>
      <c r="DJ27" s="136" t="n">
        <v>0.005</v>
      </c>
      <c r="DK27" s="136" t="n">
        <v>-0.075</v>
      </c>
      <c r="DL27" s="136" t="n">
        <v>0.005</v>
      </c>
      <c r="DM27" s="136" t="n">
        <v>-0.065</v>
      </c>
      <c r="DN27" s="136" t="n">
        <v>-0.0025</v>
      </c>
      <c r="DO27" s="136" t="n">
        <v>-0.0825</v>
      </c>
      <c r="DP27" s="136" t="n">
        <v>0.0025</v>
      </c>
      <c r="DQ27" s="136" t="n">
        <v>-0.095</v>
      </c>
      <c r="DR27" s="136" t="n">
        <v>-0.0075</v>
      </c>
      <c r="DS27" s="136" t="n">
        <v>0.33</v>
      </c>
      <c r="DT27" s="136" t="n">
        <v>-0.005</v>
      </c>
      <c r="DU27" s="136" t="n">
        <v>-0.0525</v>
      </c>
      <c r="DV27" s="136" t="n">
        <v>0</v>
      </c>
    </row>
    <row r="28" customFormat="false" ht="12.75" hidden="false" customHeight="false" outlineLevel="0" collapsed="false">
      <c r="D28" s="171" t="n">
        <v>37500</v>
      </c>
      <c r="F28" s="174" t="n">
        <v>3.018</v>
      </c>
      <c r="G28" s="175" t="n">
        <v>0.0217013867962765</v>
      </c>
      <c r="H28" s="174" t="n">
        <v>0.54</v>
      </c>
      <c r="I28" s="174" t="n">
        <v>0.68</v>
      </c>
      <c r="J28" s="174" t="n">
        <v>0.68</v>
      </c>
      <c r="K28" s="174" t="n">
        <v>0.68</v>
      </c>
      <c r="L28" s="172" t="n">
        <v>0.68</v>
      </c>
      <c r="M28" s="172" t="n">
        <v>0.68</v>
      </c>
      <c r="N28" s="174" t="n">
        <v>0.73</v>
      </c>
      <c r="O28" s="174" t="n">
        <v>0.73</v>
      </c>
      <c r="P28" s="174" t="n">
        <v>0.68</v>
      </c>
      <c r="Q28" s="174" t="n">
        <v>0.63</v>
      </c>
      <c r="R28" s="175" t="n">
        <v>0.68</v>
      </c>
      <c r="S28" s="175" t="n">
        <v>0.73</v>
      </c>
      <c r="T28" s="174" t="n">
        <v>0.68</v>
      </c>
      <c r="U28" s="174" t="n">
        <v>0.73</v>
      </c>
      <c r="V28" s="174" t="n">
        <v>0.93</v>
      </c>
      <c r="W28" s="174" t="n">
        <v>-0.09</v>
      </c>
      <c r="X28" s="174" t="n">
        <v>0</v>
      </c>
      <c r="Y28" s="174" t="n">
        <v>0.0275</v>
      </c>
      <c r="Z28" s="174" t="n">
        <v>-0.005</v>
      </c>
      <c r="AA28" s="174" t="n">
        <v>0.1175</v>
      </c>
      <c r="AB28" s="174" t="n">
        <v>0</v>
      </c>
      <c r="AC28" s="174" t="n">
        <v>0.0925</v>
      </c>
      <c r="AD28" s="174" t="n">
        <v>0</v>
      </c>
      <c r="AE28" s="174" t="n">
        <v>0.1375</v>
      </c>
      <c r="AF28" s="174" t="n">
        <v>0</v>
      </c>
      <c r="AG28" s="174" t="n">
        <v>0.0775</v>
      </c>
      <c r="AH28" s="174" t="n">
        <v>0</v>
      </c>
      <c r="AI28" s="174" t="n">
        <v>0.0825</v>
      </c>
      <c r="AJ28" s="174" t="n">
        <v>0</v>
      </c>
      <c r="AK28" s="174" t="n">
        <v>0.0275</v>
      </c>
      <c r="AL28" s="174" t="n">
        <v>0.04</v>
      </c>
      <c r="AM28" s="174" t="n">
        <v>-0.0825</v>
      </c>
      <c r="AN28" s="174" t="n">
        <v>0.007</v>
      </c>
      <c r="AO28" s="174" t="n">
        <v>-0.485</v>
      </c>
      <c r="AP28" s="174" t="n">
        <v>0.155</v>
      </c>
      <c r="AQ28" s="174" t="n">
        <v>-0.065</v>
      </c>
      <c r="AR28" s="174" t="n">
        <v>0.01</v>
      </c>
      <c r="AS28" s="174" t="n">
        <v>-0.15</v>
      </c>
      <c r="AT28" s="174" t="n">
        <v>-0.015</v>
      </c>
      <c r="AU28" s="174" t="n">
        <v>-0.11</v>
      </c>
      <c r="AV28" s="174" t="n">
        <v>0.02</v>
      </c>
      <c r="AW28" s="174" t="n">
        <v>-0.0875</v>
      </c>
      <c r="AX28" s="174" t="n">
        <v>0.005</v>
      </c>
      <c r="AY28" s="175" t="n">
        <v>0.0875</v>
      </c>
      <c r="AZ28" s="175" t="n">
        <v>0</v>
      </c>
      <c r="BA28" s="175" t="n">
        <v>-0.33</v>
      </c>
      <c r="BB28" s="174" t="n">
        <v>0</v>
      </c>
      <c r="BC28" s="174" t="n">
        <v>-0.14</v>
      </c>
      <c r="BD28" s="174" t="n">
        <v>-0.01</v>
      </c>
      <c r="BE28" s="174" t="n">
        <v>0.115</v>
      </c>
      <c r="BF28" s="174" t="n">
        <v>-0.01</v>
      </c>
      <c r="BG28" s="174" t="n">
        <v>-0.0975</v>
      </c>
      <c r="BH28" s="174" t="n">
        <v>0</v>
      </c>
      <c r="BI28" s="174" t="n">
        <v>0.01</v>
      </c>
      <c r="BJ28" s="136" t="n">
        <v>0.02</v>
      </c>
      <c r="BK28" s="136" t="n">
        <v>0.115</v>
      </c>
      <c r="BL28" s="136" t="n">
        <v>-0.01</v>
      </c>
      <c r="BM28" s="136" t="n">
        <v>-0.36</v>
      </c>
      <c r="BN28" s="136" t="n">
        <v>0</v>
      </c>
      <c r="BO28" s="136" t="n">
        <v>-0.54</v>
      </c>
      <c r="BP28" s="136" t="n">
        <v>0</v>
      </c>
      <c r="BQ28" s="136" t="n">
        <v>0.28</v>
      </c>
      <c r="BR28" s="136" t="n">
        <v>0.03</v>
      </c>
      <c r="BS28" s="136" t="n">
        <v>-0.14</v>
      </c>
      <c r="BT28" s="136" t="n">
        <v>-0.01</v>
      </c>
      <c r="BU28" s="136" t="n">
        <v>0.08</v>
      </c>
      <c r="BV28" s="136" t="n">
        <v>0</v>
      </c>
      <c r="BW28" s="136" t="n">
        <v>0.115</v>
      </c>
      <c r="BX28" s="136" t="n">
        <v>0</v>
      </c>
      <c r="BY28" s="136" t="n">
        <v>-0.025</v>
      </c>
      <c r="BZ28" s="136" t="n">
        <v>0.0575</v>
      </c>
      <c r="CA28" s="136" t="n">
        <v>0.13</v>
      </c>
      <c r="CB28" s="136" t="n">
        <v>0.005</v>
      </c>
      <c r="CC28" s="136" t="n">
        <v>-0.025</v>
      </c>
      <c r="CD28" s="136" t="n">
        <v>0.0025</v>
      </c>
      <c r="CE28" s="136" t="n">
        <v>0.0025</v>
      </c>
      <c r="CF28" s="136" t="n">
        <v>-0.0025</v>
      </c>
      <c r="CG28" s="136" t="n">
        <v>-0.025</v>
      </c>
      <c r="CH28" s="136" t="n">
        <v>0.0025</v>
      </c>
      <c r="CI28" s="136" t="n">
        <v>-0.0925</v>
      </c>
      <c r="CJ28" s="136" t="n">
        <v>-0.005</v>
      </c>
      <c r="CK28" s="136" t="n">
        <v>0.0725</v>
      </c>
      <c r="CL28" s="136" t="n">
        <v>-0.0075</v>
      </c>
      <c r="CM28" s="136" t="n">
        <v>-0.0775</v>
      </c>
      <c r="CN28" s="136" t="n">
        <v>0.0075</v>
      </c>
      <c r="CO28" s="136" t="n">
        <v>-0.0225</v>
      </c>
      <c r="CP28" s="136" t="n">
        <v>0.005</v>
      </c>
      <c r="CQ28" s="136" t="n">
        <v>0.0175</v>
      </c>
      <c r="CR28" s="136" t="n">
        <v>0.0075</v>
      </c>
      <c r="CS28" s="136" t="n">
        <v>0.345</v>
      </c>
      <c r="CT28" s="136" t="n">
        <v>0.01</v>
      </c>
      <c r="CU28" s="136" t="n">
        <v>-0.36</v>
      </c>
      <c r="CV28" s="136" t="n">
        <v>0</v>
      </c>
      <c r="CW28" s="136" t="n">
        <v>0.145</v>
      </c>
      <c r="CX28" s="136" t="n">
        <v>0.0075</v>
      </c>
      <c r="CY28" s="136" t="n">
        <v>-0.83</v>
      </c>
      <c r="CZ28" s="136" t="n">
        <v>0</v>
      </c>
      <c r="DA28" s="136" t="n">
        <v>-0.65</v>
      </c>
      <c r="DB28" s="136" t="n">
        <v>0</v>
      </c>
      <c r="DC28" s="136" t="n">
        <v>0.75</v>
      </c>
      <c r="DE28" s="136" t="n">
        <v>-0.06</v>
      </c>
      <c r="DF28" s="136" t="n">
        <v>0.005</v>
      </c>
      <c r="DG28" s="136" t="n">
        <v>0.0075</v>
      </c>
      <c r="DH28" s="136" t="n">
        <v>0.005</v>
      </c>
      <c r="DI28" s="136" t="n">
        <v>-0.0275</v>
      </c>
      <c r="DJ28" s="136" t="n">
        <v>0.005</v>
      </c>
      <c r="DK28" s="136" t="n">
        <v>-0.085</v>
      </c>
      <c r="DL28" s="136" t="n">
        <v>0.005</v>
      </c>
      <c r="DM28" s="136" t="n">
        <v>-0.065</v>
      </c>
      <c r="DN28" s="136" t="n">
        <v>-0.0025</v>
      </c>
      <c r="DO28" s="136" t="n">
        <v>-0.0825</v>
      </c>
      <c r="DP28" s="136" t="n">
        <v>0.0025</v>
      </c>
      <c r="DQ28" s="136" t="n">
        <v>-0.105</v>
      </c>
      <c r="DR28" s="136" t="n">
        <v>-0.0075</v>
      </c>
      <c r="DS28" s="136" t="n">
        <v>0.32</v>
      </c>
      <c r="DT28" s="136" t="n">
        <v>-0.005</v>
      </c>
      <c r="DU28" s="136" t="n">
        <v>-0.0525</v>
      </c>
      <c r="DV28" s="136" t="n">
        <v>0</v>
      </c>
    </row>
    <row r="29" customFormat="false" ht="12.75" hidden="false" customHeight="false" outlineLevel="0" collapsed="false">
      <c r="D29" s="171" t="n">
        <v>37530</v>
      </c>
      <c r="F29" s="174" t="n">
        <v>3.031</v>
      </c>
      <c r="G29" s="175" t="n">
        <v>0.022410164045374</v>
      </c>
      <c r="H29" s="174" t="n">
        <v>0.54</v>
      </c>
      <c r="I29" s="174" t="n">
        <v>0.73</v>
      </c>
      <c r="J29" s="174" t="n">
        <v>0.73</v>
      </c>
      <c r="K29" s="174" t="n">
        <v>0.68</v>
      </c>
      <c r="L29" s="172" t="n">
        <v>0.73</v>
      </c>
      <c r="M29" s="172" t="n">
        <v>0.73</v>
      </c>
      <c r="N29" s="174" t="n">
        <v>0.78</v>
      </c>
      <c r="O29" s="174" t="n">
        <v>0.78</v>
      </c>
      <c r="P29" s="174" t="n">
        <v>0.73</v>
      </c>
      <c r="Q29" s="174" t="n">
        <v>0.63</v>
      </c>
      <c r="R29" s="175" t="n">
        <v>0.73</v>
      </c>
      <c r="S29" s="175" t="n">
        <v>0.78</v>
      </c>
      <c r="T29" s="174" t="n">
        <v>0.73</v>
      </c>
      <c r="U29" s="174" t="n">
        <v>0.78</v>
      </c>
      <c r="V29" s="174" t="n">
        <v>0.98</v>
      </c>
      <c r="W29" s="174" t="n">
        <v>-0.09</v>
      </c>
      <c r="X29" s="174" t="n">
        <v>0</v>
      </c>
      <c r="Y29" s="174" t="n">
        <v>0.0275</v>
      </c>
      <c r="Z29" s="174" t="n">
        <v>-0.005</v>
      </c>
      <c r="AA29" s="174" t="n">
        <v>0.1175</v>
      </c>
      <c r="AB29" s="174" t="n">
        <v>0</v>
      </c>
      <c r="AC29" s="174" t="n">
        <v>0.0925</v>
      </c>
      <c r="AD29" s="174" t="n">
        <v>0</v>
      </c>
      <c r="AE29" s="174" t="n">
        <v>0.1375</v>
      </c>
      <c r="AF29" s="174" t="n">
        <v>0</v>
      </c>
      <c r="AG29" s="174" t="n">
        <v>0.0775</v>
      </c>
      <c r="AH29" s="174" t="n">
        <v>0</v>
      </c>
      <c r="AI29" s="174" t="n">
        <v>0.0825</v>
      </c>
      <c r="AJ29" s="174" t="n">
        <v>0</v>
      </c>
      <c r="AK29" s="174" t="n">
        <v>0.0275</v>
      </c>
      <c r="AL29" s="174" t="n">
        <v>0.04</v>
      </c>
      <c r="AM29" s="174" t="n">
        <v>-0.0825</v>
      </c>
      <c r="AN29" s="174" t="n">
        <v>0.007</v>
      </c>
      <c r="AO29" s="174" t="n">
        <v>-0.485</v>
      </c>
      <c r="AP29" s="174" t="n">
        <v>0.155</v>
      </c>
      <c r="AQ29" s="174" t="n">
        <v>-0.065</v>
      </c>
      <c r="AR29" s="174" t="n">
        <v>0.01</v>
      </c>
      <c r="AS29" s="174" t="n">
        <v>-0.15</v>
      </c>
      <c r="AT29" s="174" t="n">
        <v>-0.015</v>
      </c>
      <c r="AU29" s="174" t="n">
        <v>-0.11</v>
      </c>
      <c r="AV29" s="174" t="n">
        <v>0.02</v>
      </c>
      <c r="AW29" s="174" t="n">
        <v>-0.0875</v>
      </c>
      <c r="AX29" s="174" t="n">
        <v>0.005</v>
      </c>
      <c r="AY29" s="175" t="n">
        <v>0.0875</v>
      </c>
      <c r="AZ29" s="175" t="n">
        <v>0</v>
      </c>
      <c r="BA29" s="175" t="n">
        <v>-0.36</v>
      </c>
      <c r="BB29" s="174" t="n">
        <v>0</v>
      </c>
      <c r="BC29" s="174" t="n">
        <v>-0.185</v>
      </c>
      <c r="BD29" s="174" t="n">
        <v>-0.01</v>
      </c>
      <c r="BE29" s="174" t="n">
        <v>0.03</v>
      </c>
      <c r="BF29" s="174" t="n">
        <v>-0.01</v>
      </c>
      <c r="BG29" s="174" t="n">
        <v>-0.1325</v>
      </c>
      <c r="BH29" s="174" t="n">
        <v>0</v>
      </c>
      <c r="BI29" s="174" t="n">
        <v>0.035</v>
      </c>
      <c r="BJ29" s="136" t="n">
        <v>0.02</v>
      </c>
      <c r="BK29" s="136" t="n">
        <v>0.03</v>
      </c>
      <c r="BL29" s="136" t="n">
        <v>-0.01</v>
      </c>
      <c r="BM29" s="136" t="n">
        <v>-0.21</v>
      </c>
      <c r="BN29" s="136" t="n">
        <v>0</v>
      </c>
      <c r="BO29" s="136" t="n">
        <v>-0.58</v>
      </c>
      <c r="BP29" s="136" t="n">
        <v>0.02</v>
      </c>
      <c r="BQ29" s="136" t="n">
        <v>0.16</v>
      </c>
      <c r="BR29" s="136" t="n">
        <v>0.03</v>
      </c>
      <c r="BS29" s="136" t="n">
        <v>-0.185</v>
      </c>
      <c r="BT29" s="136" t="n">
        <v>-0.01</v>
      </c>
      <c r="BU29" s="136" t="n">
        <v>-0.04</v>
      </c>
      <c r="BV29" s="136" t="n">
        <v>0</v>
      </c>
      <c r="BW29" s="136" t="n">
        <v>0.23</v>
      </c>
      <c r="BX29" s="136" t="n">
        <v>0</v>
      </c>
      <c r="BY29" s="136" t="n">
        <v>-0.025</v>
      </c>
      <c r="BZ29" s="136" t="n">
        <v>0.0575</v>
      </c>
      <c r="CA29" s="136" t="n">
        <v>0.15</v>
      </c>
      <c r="CB29" s="136" t="n">
        <v>0.005</v>
      </c>
      <c r="CC29" s="136" t="n">
        <v>-0.025</v>
      </c>
      <c r="CD29" s="136" t="n">
        <v>0.0025</v>
      </c>
      <c r="CE29" s="136" t="n">
        <v>0.0025</v>
      </c>
      <c r="CF29" s="136" t="n">
        <v>0</v>
      </c>
      <c r="CG29" s="136" t="n">
        <v>-0.025</v>
      </c>
      <c r="CH29" s="136" t="n">
        <v>0.0025</v>
      </c>
      <c r="CI29" s="136" t="n">
        <v>-0.095</v>
      </c>
      <c r="CJ29" s="136" t="n">
        <v>-0.005</v>
      </c>
      <c r="CK29" s="136" t="n">
        <v>0.0725</v>
      </c>
      <c r="CL29" s="136" t="n">
        <v>-0.0075</v>
      </c>
      <c r="CM29" s="136" t="n">
        <v>-0.0775</v>
      </c>
      <c r="CN29" s="136" t="n">
        <v>0.0075</v>
      </c>
      <c r="CO29" s="136" t="n">
        <v>-0.0225</v>
      </c>
      <c r="CP29" s="136" t="n">
        <v>0.005</v>
      </c>
      <c r="CQ29" s="136" t="n">
        <v>0.0175</v>
      </c>
      <c r="CR29" s="136" t="n">
        <v>0.0075</v>
      </c>
      <c r="CS29" s="136" t="n">
        <v>0.365</v>
      </c>
      <c r="CT29" s="136" t="n">
        <v>0.01</v>
      </c>
      <c r="CU29" s="136" t="n">
        <v>-0.21</v>
      </c>
      <c r="CV29" s="136" t="n">
        <v>0</v>
      </c>
      <c r="CW29" s="136" t="n">
        <v>0.175</v>
      </c>
      <c r="CX29" s="136" t="n">
        <v>0.0075</v>
      </c>
      <c r="CY29" s="136" t="n">
        <v>-0.87</v>
      </c>
      <c r="CZ29" s="136" t="n">
        <v>0</v>
      </c>
      <c r="DA29" s="136" t="n">
        <v>-0.69</v>
      </c>
      <c r="DB29" s="136" t="n">
        <v>0</v>
      </c>
      <c r="DC29" s="136" t="n">
        <v>0.45</v>
      </c>
      <c r="DE29" s="136" t="n">
        <v>-0.06</v>
      </c>
      <c r="DF29" s="136" t="n">
        <v>0.005</v>
      </c>
      <c r="DG29" s="136" t="n">
        <v>0.0075</v>
      </c>
      <c r="DH29" s="136" t="n">
        <v>0.005</v>
      </c>
      <c r="DI29" s="136" t="n">
        <v>-0.0275</v>
      </c>
      <c r="DJ29" s="136" t="n">
        <v>0.005</v>
      </c>
      <c r="DK29" s="136" t="n">
        <v>-0.0725</v>
      </c>
      <c r="DL29" s="136" t="n">
        <v>0.005</v>
      </c>
      <c r="DM29" s="136" t="n">
        <v>-0.065</v>
      </c>
      <c r="DN29" s="136" t="n">
        <v>-0.0025</v>
      </c>
      <c r="DO29" s="136" t="n">
        <v>-0.0825</v>
      </c>
      <c r="DP29" s="136" t="n">
        <v>0.0025</v>
      </c>
      <c r="DQ29" s="136" t="n">
        <v>-0.0925</v>
      </c>
      <c r="DR29" s="136" t="n">
        <v>-0.0075</v>
      </c>
      <c r="DS29" s="136" t="n">
        <v>0.38</v>
      </c>
      <c r="DT29" s="136" t="n">
        <v>-0.005</v>
      </c>
      <c r="DU29" s="136" t="n">
        <v>-0.0525</v>
      </c>
      <c r="DV29" s="136" t="n">
        <v>0</v>
      </c>
    </row>
    <row r="30" customFormat="false" ht="12.75" hidden="false" customHeight="false" outlineLevel="0" collapsed="false">
      <c r="D30" s="171" t="n">
        <v>37561</v>
      </c>
      <c r="F30" s="174" t="n">
        <v>3.211</v>
      </c>
      <c r="G30" s="175" t="n">
        <v>0.0232740649677528</v>
      </c>
      <c r="H30" s="174" t="n">
        <v>0.54</v>
      </c>
      <c r="I30" s="174" t="n">
        <v>0.85</v>
      </c>
      <c r="J30" s="174" t="n">
        <v>0.9</v>
      </c>
      <c r="K30" s="174" t="n">
        <v>0.85</v>
      </c>
      <c r="L30" s="172" t="n">
        <v>0.85</v>
      </c>
      <c r="M30" s="172" t="n">
        <v>0.95</v>
      </c>
      <c r="N30" s="174" t="n">
        <v>1</v>
      </c>
      <c r="O30" s="174" t="n">
        <v>0.9</v>
      </c>
      <c r="P30" s="174" t="n">
        <v>0.85</v>
      </c>
      <c r="Q30" s="174" t="n">
        <v>1</v>
      </c>
      <c r="R30" s="175" t="n">
        <v>0.85</v>
      </c>
      <c r="S30" s="175" t="n">
        <v>0.85</v>
      </c>
      <c r="T30" s="174" t="n">
        <v>0.85</v>
      </c>
      <c r="U30" s="174" t="n">
        <v>1.8</v>
      </c>
      <c r="V30" s="174" t="n">
        <v>0.95</v>
      </c>
      <c r="W30" s="174" t="n">
        <v>0</v>
      </c>
      <c r="X30" s="174" t="n">
        <v>0.03</v>
      </c>
      <c r="Y30" s="174" t="n">
        <v>0.095</v>
      </c>
      <c r="Z30" s="174" t="n">
        <v>0.025</v>
      </c>
      <c r="AA30" s="174" t="n">
        <v>0.335</v>
      </c>
      <c r="AB30" s="174" t="n">
        <v>0</v>
      </c>
      <c r="AC30" s="174" t="n">
        <v>0.325</v>
      </c>
      <c r="AD30" s="174" t="n">
        <v>0</v>
      </c>
      <c r="AE30" s="174" t="n">
        <v>0.335</v>
      </c>
      <c r="AF30" s="174" t="n">
        <v>0</v>
      </c>
      <c r="AG30" s="174" t="n">
        <v>0.17</v>
      </c>
      <c r="AH30" s="174" t="n">
        <v>0</v>
      </c>
      <c r="AI30" s="174" t="n">
        <v>0.1324</v>
      </c>
      <c r="AJ30" s="174" t="n">
        <v>0</v>
      </c>
      <c r="AK30" s="174" t="n">
        <v>0.095</v>
      </c>
      <c r="AL30" s="174" t="n">
        <v>0.04</v>
      </c>
      <c r="AM30" s="174" t="n">
        <v>-0.1</v>
      </c>
      <c r="AN30" s="174" t="n">
        <v>0.002</v>
      </c>
      <c r="AO30" s="174" t="n">
        <v>-0.43</v>
      </c>
      <c r="AP30" s="174" t="n">
        <v>0.155</v>
      </c>
      <c r="AQ30" s="174" t="n">
        <v>-0.08</v>
      </c>
      <c r="AR30" s="174" t="n">
        <v>0.005</v>
      </c>
      <c r="AS30" s="174" t="n">
        <v>-0.15</v>
      </c>
      <c r="AT30" s="174" t="n">
        <v>-0.005</v>
      </c>
      <c r="AU30" s="174" t="n">
        <v>-0.11</v>
      </c>
      <c r="AV30" s="174" t="n">
        <v>-0.01</v>
      </c>
      <c r="AW30" s="174" t="n">
        <v>-0.0875</v>
      </c>
      <c r="AX30" s="174" t="n">
        <v>0.0025</v>
      </c>
      <c r="AY30" s="175" t="n">
        <v>0.175</v>
      </c>
      <c r="AZ30" s="175" t="n">
        <v>0</v>
      </c>
      <c r="BA30" s="175" t="n">
        <v>-0.22</v>
      </c>
      <c r="BB30" s="174" t="n">
        <v>0</v>
      </c>
      <c r="BC30" s="174" t="n">
        <v>-0.155</v>
      </c>
      <c r="BD30" s="174" t="n">
        <v>0</v>
      </c>
      <c r="BE30" s="174" t="n">
        <v>0.03</v>
      </c>
      <c r="BF30" s="174" t="n">
        <v>0.02</v>
      </c>
      <c r="BG30" s="174" t="n">
        <v>-0.13</v>
      </c>
      <c r="BH30" s="174" t="n">
        <v>0</v>
      </c>
      <c r="BI30" s="174" t="n">
        <v>0.05</v>
      </c>
      <c r="BJ30" s="136" t="n">
        <v>0.04</v>
      </c>
      <c r="BK30" s="136" t="n">
        <v>0.03</v>
      </c>
      <c r="BL30" s="136" t="n">
        <v>0.02</v>
      </c>
      <c r="BM30" s="136" t="n">
        <v>0.06</v>
      </c>
      <c r="BN30" s="136" t="n">
        <v>0</v>
      </c>
      <c r="BO30" s="136" t="n">
        <v>-0.295</v>
      </c>
      <c r="BP30" s="136" t="n">
        <v>0.0275</v>
      </c>
      <c r="BQ30" s="136" t="n">
        <v>0.22</v>
      </c>
      <c r="BR30" s="136" t="n">
        <v>0.04</v>
      </c>
      <c r="BS30" s="136" t="n">
        <v>-0.155</v>
      </c>
      <c r="BT30" s="136" t="n">
        <v>0</v>
      </c>
      <c r="BU30" s="136" t="n">
        <v>0.02</v>
      </c>
      <c r="BV30" s="136" t="n">
        <v>0.02</v>
      </c>
      <c r="BW30" s="136" t="n">
        <v>0.03</v>
      </c>
      <c r="BX30" s="136" t="n">
        <v>0</v>
      </c>
      <c r="BY30" s="136" t="n">
        <v>-0.025</v>
      </c>
      <c r="BZ30" s="136" t="n">
        <v>0.0575</v>
      </c>
      <c r="CA30" s="136" t="n">
        <v>0.195</v>
      </c>
      <c r="CB30" s="136" t="n">
        <v>0.005</v>
      </c>
      <c r="CC30" s="136" t="n">
        <v>-0.025</v>
      </c>
      <c r="CD30" s="136" t="n">
        <v>0.0025</v>
      </c>
      <c r="CE30" s="136" t="n">
        <v>0.0025</v>
      </c>
      <c r="CF30" s="136" t="n">
        <v>0</v>
      </c>
      <c r="CG30" s="136" t="n">
        <v>-0.025</v>
      </c>
      <c r="CH30" s="136" t="n">
        <v>0.0025</v>
      </c>
      <c r="CI30" s="136" t="n">
        <v>-0.1</v>
      </c>
      <c r="CJ30" s="136" t="n">
        <v>-0.005</v>
      </c>
      <c r="CK30" s="136" t="n">
        <v>0.075</v>
      </c>
      <c r="CL30" s="136" t="n">
        <v>0</v>
      </c>
      <c r="CM30" s="136" t="n">
        <v>-0.0725</v>
      </c>
      <c r="CN30" s="136" t="n">
        <v>0.01</v>
      </c>
      <c r="CO30" s="136" t="n">
        <v>-0.0175</v>
      </c>
      <c r="CP30" s="136" t="n">
        <v>0.0075</v>
      </c>
      <c r="CQ30" s="136" t="n">
        <v>0.0225</v>
      </c>
      <c r="CR30" s="136" t="n">
        <v>0.01</v>
      </c>
      <c r="CS30" s="136" t="n">
        <v>0.6</v>
      </c>
      <c r="CT30" s="136" t="n">
        <v>0.055</v>
      </c>
      <c r="CU30" s="136" t="n">
        <v>0.06</v>
      </c>
      <c r="CV30" s="136" t="n">
        <v>0</v>
      </c>
      <c r="CW30" s="136" t="n">
        <v>0.26</v>
      </c>
      <c r="CX30" s="136" t="n">
        <v>0.02</v>
      </c>
      <c r="CY30" s="136" t="n">
        <v>-0.52</v>
      </c>
      <c r="CZ30" s="136" t="n">
        <v>0</v>
      </c>
      <c r="DA30" s="136" t="n">
        <v>-0.34</v>
      </c>
      <c r="DB30" s="136" t="n">
        <v>0</v>
      </c>
      <c r="DC30" s="136" t="n">
        <v>0.45</v>
      </c>
      <c r="DE30" s="136" t="n">
        <v>-0.0525</v>
      </c>
      <c r="DF30" s="136" t="n">
        <v>0.0075</v>
      </c>
      <c r="DG30" s="136" t="n">
        <v>0.005</v>
      </c>
      <c r="DH30" s="136" t="n">
        <v>0.005</v>
      </c>
      <c r="DI30" s="136" t="n">
        <v>-0.025</v>
      </c>
      <c r="DJ30" s="136" t="n">
        <v>0.0025</v>
      </c>
      <c r="DK30" s="136" t="n">
        <v>-0.09</v>
      </c>
      <c r="DL30" s="136" t="n">
        <v>0.0025</v>
      </c>
      <c r="DM30" s="136" t="n">
        <v>-0.0675</v>
      </c>
      <c r="DN30" s="136" t="n">
        <v>0</v>
      </c>
      <c r="DO30" s="136" t="n">
        <v>-0.0875</v>
      </c>
      <c r="DP30" s="136" t="n">
        <v>0.0025</v>
      </c>
      <c r="DQ30" s="136" t="n">
        <v>-0.11</v>
      </c>
      <c r="DR30" s="136" t="n">
        <v>-0.005</v>
      </c>
      <c r="DS30" s="136" t="n">
        <v>0.445</v>
      </c>
      <c r="DT30" s="136" t="n">
        <v>0.05</v>
      </c>
      <c r="DU30" s="136" t="n">
        <v>0.04</v>
      </c>
      <c r="DV30" s="136" t="n">
        <v>0</v>
      </c>
    </row>
    <row r="31" customFormat="false" ht="12.75" hidden="false" customHeight="false" outlineLevel="0" collapsed="false">
      <c r="D31" s="171" t="n">
        <v>37591</v>
      </c>
      <c r="F31" s="174" t="n">
        <v>3.371</v>
      </c>
      <c r="G31" s="175" t="n">
        <v>0.024110098358836</v>
      </c>
      <c r="H31" s="174" t="n">
        <v>0.54</v>
      </c>
      <c r="I31" s="174" t="n">
        <v>1.05</v>
      </c>
      <c r="J31" s="174" t="n">
        <v>1.1</v>
      </c>
      <c r="K31" s="174" t="n">
        <v>1.05</v>
      </c>
      <c r="L31" s="172" t="n">
        <v>1.05</v>
      </c>
      <c r="M31" s="172" t="n">
        <v>1.2</v>
      </c>
      <c r="N31" s="174" t="n">
        <v>1.3</v>
      </c>
      <c r="O31" s="174" t="n">
        <v>1.1</v>
      </c>
      <c r="P31" s="174" t="n">
        <v>1.05</v>
      </c>
      <c r="Q31" s="174" t="n">
        <v>1.4</v>
      </c>
      <c r="R31" s="175" t="n">
        <v>1.05</v>
      </c>
      <c r="S31" s="175" t="n">
        <v>1.15</v>
      </c>
      <c r="T31" s="174" t="n">
        <v>1.05</v>
      </c>
      <c r="U31" s="174" t="n">
        <v>2.1</v>
      </c>
      <c r="V31" s="174" t="n">
        <v>1.15</v>
      </c>
      <c r="W31" s="174" t="n">
        <v>0.005</v>
      </c>
      <c r="X31" s="174" t="n">
        <v>0.03</v>
      </c>
      <c r="Y31" s="174" t="n">
        <v>0.125</v>
      </c>
      <c r="Z31" s="174" t="n">
        <v>0.025</v>
      </c>
      <c r="AA31" s="174" t="n">
        <v>0.365</v>
      </c>
      <c r="AB31" s="174" t="n">
        <v>0</v>
      </c>
      <c r="AC31" s="174" t="n">
        <v>0.355</v>
      </c>
      <c r="AD31" s="174" t="n">
        <v>0</v>
      </c>
      <c r="AE31" s="174" t="n">
        <v>0.365</v>
      </c>
      <c r="AF31" s="174" t="n">
        <v>0</v>
      </c>
      <c r="AG31" s="174" t="n">
        <v>0.2</v>
      </c>
      <c r="AH31" s="174" t="n">
        <v>0</v>
      </c>
      <c r="AI31" s="174" t="n">
        <v>0.1688</v>
      </c>
      <c r="AJ31" s="174" t="n">
        <v>0</v>
      </c>
      <c r="AK31" s="174" t="n">
        <v>0.125</v>
      </c>
      <c r="AL31" s="174" t="n">
        <v>0.04</v>
      </c>
      <c r="AM31" s="174" t="n">
        <v>-0.1</v>
      </c>
      <c r="AN31" s="174" t="n">
        <v>0.002</v>
      </c>
      <c r="AO31" s="174" t="n">
        <v>-0.43</v>
      </c>
      <c r="AP31" s="174" t="n">
        <v>0.155</v>
      </c>
      <c r="AQ31" s="174" t="n">
        <v>-0.08</v>
      </c>
      <c r="AR31" s="174" t="n">
        <v>0.005</v>
      </c>
      <c r="AS31" s="174" t="n">
        <v>-0.1525</v>
      </c>
      <c r="AT31" s="174" t="n">
        <v>-0.005</v>
      </c>
      <c r="AU31" s="174" t="n">
        <v>-0.1125</v>
      </c>
      <c r="AV31" s="174" t="n">
        <v>-0.01</v>
      </c>
      <c r="AW31" s="174" t="n">
        <v>-0.0875</v>
      </c>
      <c r="AX31" s="174" t="n">
        <v>0.0025</v>
      </c>
      <c r="AY31" s="175" t="n">
        <v>0.205</v>
      </c>
      <c r="AZ31" s="175" t="n">
        <v>0</v>
      </c>
      <c r="BA31" s="175" t="n">
        <v>-0.22</v>
      </c>
      <c r="BB31" s="174" t="n">
        <v>0</v>
      </c>
      <c r="BC31" s="174" t="n">
        <v>-0.1555</v>
      </c>
      <c r="BD31" s="174" t="n">
        <v>0</v>
      </c>
      <c r="BE31" s="174" t="n">
        <v>0.03</v>
      </c>
      <c r="BF31" s="174" t="n">
        <v>0.02</v>
      </c>
      <c r="BG31" s="174" t="n">
        <v>-0.13</v>
      </c>
      <c r="BH31" s="174" t="n">
        <v>0</v>
      </c>
      <c r="BI31" s="174" t="n">
        <v>0.07</v>
      </c>
      <c r="BJ31" s="136" t="n">
        <v>0.04</v>
      </c>
      <c r="BK31" s="136" t="n">
        <v>0.03</v>
      </c>
      <c r="BL31" s="136" t="n">
        <v>0.02</v>
      </c>
      <c r="BM31" s="136" t="n">
        <v>0.31</v>
      </c>
      <c r="BN31" s="136" t="n">
        <v>0</v>
      </c>
      <c r="BO31" s="136" t="n">
        <v>-0.295</v>
      </c>
      <c r="BP31" s="136" t="n">
        <v>0.0275</v>
      </c>
      <c r="BQ31" s="136" t="n">
        <v>0.33</v>
      </c>
      <c r="BR31" s="136" t="n">
        <v>0.04</v>
      </c>
      <c r="BS31" s="136" t="n">
        <v>-0.1555</v>
      </c>
      <c r="BT31" s="136" t="n">
        <v>0</v>
      </c>
      <c r="BU31" s="136" t="n">
        <v>0.13</v>
      </c>
      <c r="BV31" s="136" t="n">
        <v>0.02</v>
      </c>
      <c r="BW31" s="136" t="n">
        <v>0.03</v>
      </c>
      <c r="BX31" s="136" t="n">
        <v>0</v>
      </c>
      <c r="BY31" s="136" t="n">
        <v>-0.025</v>
      </c>
      <c r="BZ31" s="136" t="n">
        <v>0.0575</v>
      </c>
      <c r="CA31" s="136" t="n">
        <v>0.215</v>
      </c>
      <c r="CB31" s="136" t="n">
        <v>0.005</v>
      </c>
      <c r="CC31" s="136" t="n">
        <v>-0.025</v>
      </c>
      <c r="CD31" s="136" t="n">
        <v>0.0025</v>
      </c>
      <c r="CE31" s="136" t="n">
        <v>0.0025</v>
      </c>
      <c r="CF31" s="136" t="n">
        <v>0</v>
      </c>
      <c r="CG31" s="136" t="n">
        <v>-0.025</v>
      </c>
      <c r="CH31" s="136" t="n">
        <v>0.0025</v>
      </c>
      <c r="CI31" s="136" t="n">
        <v>-0.1275</v>
      </c>
      <c r="CJ31" s="136" t="n">
        <v>-0.005</v>
      </c>
      <c r="CK31" s="136" t="n">
        <v>0.075</v>
      </c>
      <c r="CL31" s="136" t="n">
        <v>0</v>
      </c>
      <c r="CM31" s="136" t="n">
        <v>-0.0725</v>
      </c>
      <c r="CN31" s="136" t="n">
        <v>0.01</v>
      </c>
      <c r="CO31" s="136" t="n">
        <v>-0.0175</v>
      </c>
      <c r="CP31" s="136" t="n">
        <v>0.0075</v>
      </c>
      <c r="CQ31" s="136" t="n">
        <v>0.0225</v>
      </c>
      <c r="CR31" s="136" t="n">
        <v>0.01</v>
      </c>
      <c r="CS31" s="136" t="n">
        <v>0.94</v>
      </c>
      <c r="CT31" s="136" t="n">
        <v>0.25</v>
      </c>
      <c r="CU31" s="136" t="n">
        <v>0.31</v>
      </c>
      <c r="CV31" s="136" t="n">
        <v>0.03</v>
      </c>
      <c r="CW31" s="136" t="n">
        <v>0.33</v>
      </c>
      <c r="CX31" s="136" t="n">
        <v>0.02</v>
      </c>
      <c r="CY31" s="136" t="n">
        <v>-0.52</v>
      </c>
      <c r="CZ31" s="136" t="n">
        <v>0</v>
      </c>
      <c r="DA31" s="136" t="n">
        <v>-0.34</v>
      </c>
      <c r="DB31" s="136" t="n">
        <v>0</v>
      </c>
      <c r="DC31" s="136" t="n">
        <v>0.4</v>
      </c>
      <c r="DE31" s="136" t="n">
        <v>-0.0525</v>
      </c>
      <c r="DF31" s="136" t="n">
        <v>0.0075</v>
      </c>
      <c r="DG31" s="136" t="n">
        <v>0.005</v>
      </c>
      <c r="DH31" s="136" t="n">
        <v>0.005</v>
      </c>
      <c r="DI31" s="136" t="n">
        <v>-0.025</v>
      </c>
      <c r="DJ31" s="136" t="n">
        <v>0.0025</v>
      </c>
      <c r="DK31" s="136" t="n">
        <v>-0.1175</v>
      </c>
      <c r="DL31" s="136" t="n">
        <v>0.0025</v>
      </c>
      <c r="DM31" s="136" t="n">
        <v>-0.0675</v>
      </c>
      <c r="DN31" s="136" t="n">
        <v>0</v>
      </c>
      <c r="DO31" s="136" t="n">
        <v>-0.0875</v>
      </c>
      <c r="DP31" s="136" t="n">
        <v>0.0025</v>
      </c>
      <c r="DQ31" s="136" t="n">
        <v>-0.1375</v>
      </c>
      <c r="DR31" s="136" t="n">
        <v>-0.005</v>
      </c>
      <c r="DS31" s="136" t="n">
        <v>0.78</v>
      </c>
      <c r="DT31" s="136" t="n">
        <v>0.05</v>
      </c>
      <c r="DU31" s="136" t="n">
        <v>0.07</v>
      </c>
      <c r="DV31" s="136" t="n">
        <v>0</v>
      </c>
    </row>
    <row r="32" customFormat="false" ht="12.75" hidden="false" customHeight="false" outlineLevel="0" collapsed="false">
      <c r="D32" s="171" t="n">
        <v>37622</v>
      </c>
      <c r="F32" s="174" t="n">
        <v>3.446</v>
      </c>
      <c r="G32" s="175" t="n">
        <v>0.0250384261928196</v>
      </c>
      <c r="H32" s="174" t="n">
        <v>0.5375</v>
      </c>
      <c r="I32" s="174" t="n">
        <v>1.08</v>
      </c>
      <c r="J32" s="174" t="n">
        <v>1.13</v>
      </c>
      <c r="K32" s="174" t="n">
        <v>1.08</v>
      </c>
      <c r="L32" s="172" t="n">
        <v>1.08</v>
      </c>
      <c r="M32" s="172" t="n">
        <v>1.23</v>
      </c>
      <c r="N32" s="174" t="n">
        <v>1.53</v>
      </c>
      <c r="O32" s="174" t="n">
        <v>1.13</v>
      </c>
      <c r="P32" s="174" t="n">
        <v>1.08</v>
      </c>
      <c r="Q32" s="174" t="n">
        <v>1.43</v>
      </c>
      <c r="R32" s="175" t="n">
        <v>1.08</v>
      </c>
      <c r="S32" s="175" t="n">
        <v>1.18</v>
      </c>
      <c r="T32" s="174" t="n">
        <v>1.08</v>
      </c>
      <c r="U32" s="174" t="n">
        <v>2.33</v>
      </c>
      <c r="V32" s="174" t="n">
        <v>1.18</v>
      </c>
      <c r="W32" s="174" t="n">
        <v>0.025</v>
      </c>
      <c r="X32" s="174" t="n">
        <v>0.03</v>
      </c>
      <c r="Y32" s="174" t="n">
        <v>0.145</v>
      </c>
      <c r="Z32" s="174" t="n">
        <v>0.025</v>
      </c>
      <c r="AA32" s="174" t="n">
        <v>0.385</v>
      </c>
      <c r="AB32" s="174" t="n">
        <v>0</v>
      </c>
      <c r="AC32" s="174" t="n">
        <v>0.375</v>
      </c>
      <c r="AD32" s="174" t="n">
        <v>0</v>
      </c>
      <c r="AE32" s="174" t="n">
        <v>0.385</v>
      </c>
      <c r="AF32" s="174" t="n">
        <v>0</v>
      </c>
      <c r="AG32" s="174" t="n">
        <v>0.22</v>
      </c>
      <c r="AH32" s="174" t="n">
        <v>0</v>
      </c>
      <c r="AI32" s="174" t="n">
        <v>0.19168</v>
      </c>
      <c r="AJ32" s="174" t="n">
        <v>0</v>
      </c>
      <c r="AK32" s="174" t="n">
        <v>0.145</v>
      </c>
      <c r="AL32" s="174" t="n">
        <v>0.04</v>
      </c>
      <c r="AM32" s="174" t="n">
        <v>-0.091</v>
      </c>
      <c r="AN32" s="174" t="n">
        <v>0.002</v>
      </c>
      <c r="AO32" s="174" t="n">
        <v>-0.43</v>
      </c>
      <c r="AP32" s="174" t="n">
        <v>0.155</v>
      </c>
      <c r="AQ32" s="174" t="n">
        <v>-0.071</v>
      </c>
      <c r="AR32" s="174" t="n">
        <v>0.005</v>
      </c>
      <c r="AS32" s="174" t="n">
        <v>-0.155</v>
      </c>
      <c r="AT32" s="174" t="n">
        <v>-0.005</v>
      </c>
      <c r="AU32" s="174" t="n">
        <v>-0.115</v>
      </c>
      <c r="AV32" s="174" t="n">
        <v>-0.01</v>
      </c>
      <c r="AW32" s="174" t="n">
        <v>-0.0875</v>
      </c>
      <c r="AX32" s="174" t="n">
        <v>0.0025</v>
      </c>
      <c r="AY32" s="175" t="n">
        <v>0.225</v>
      </c>
      <c r="AZ32" s="175" t="n">
        <v>0</v>
      </c>
      <c r="BA32" s="175" t="n">
        <v>-0.22</v>
      </c>
      <c r="BB32" s="174" t="n">
        <v>0</v>
      </c>
      <c r="BC32" s="174" t="n">
        <v>-0.1475</v>
      </c>
      <c r="BD32" s="174" t="n">
        <v>0</v>
      </c>
      <c r="BE32" s="174" t="n">
        <v>0.02</v>
      </c>
      <c r="BF32" s="174" t="n">
        <v>0.02</v>
      </c>
      <c r="BG32" s="174" t="n">
        <v>-0.1275</v>
      </c>
      <c r="BH32" s="174" t="n">
        <v>0</v>
      </c>
      <c r="BI32" s="174" t="n">
        <v>0.145</v>
      </c>
      <c r="BJ32" s="136" t="n">
        <v>0.04</v>
      </c>
      <c r="BK32" s="136" t="n">
        <v>0.02</v>
      </c>
      <c r="BL32" s="136" t="n">
        <v>0.02</v>
      </c>
      <c r="BM32" s="136" t="n">
        <v>0.36</v>
      </c>
      <c r="BN32" s="136" t="n">
        <v>0</v>
      </c>
      <c r="BO32" s="136" t="n">
        <v>-0.27</v>
      </c>
      <c r="BP32" s="136" t="n">
        <v>0.0275</v>
      </c>
      <c r="BQ32" s="136" t="n">
        <v>0.38</v>
      </c>
      <c r="BR32" s="136" t="n">
        <v>0.04</v>
      </c>
      <c r="BS32" s="136" t="n">
        <v>-0.1475</v>
      </c>
      <c r="BT32" s="136" t="n">
        <v>0</v>
      </c>
      <c r="BU32" s="136" t="n">
        <v>0.18</v>
      </c>
      <c r="BV32" s="136" t="n">
        <v>0.02</v>
      </c>
      <c r="BW32" s="136" t="n">
        <v>0.02</v>
      </c>
      <c r="BX32" s="136" t="n">
        <v>0</v>
      </c>
      <c r="BY32" s="136" t="n">
        <v>-0.025</v>
      </c>
      <c r="BZ32" s="136" t="n">
        <v>0.0575</v>
      </c>
      <c r="CA32" s="136" t="n">
        <v>0.235</v>
      </c>
      <c r="CB32" s="136" t="n">
        <v>0.005</v>
      </c>
      <c r="CC32" s="136" t="n">
        <v>-0.025</v>
      </c>
      <c r="CD32" s="136" t="n">
        <v>0.0025</v>
      </c>
      <c r="CE32" s="136" t="n">
        <v>0.0025</v>
      </c>
      <c r="CF32" s="136" t="n">
        <v>0</v>
      </c>
      <c r="CG32" s="136" t="n">
        <v>-0.025</v>
      </c>
      <c r="CH32" s="136" t="n">
        <v>0.0025</v>
      </c>
      <c r="CI32" s="136" t="n">
        <v>-0.125</v>
      </c>
      <c r="CJ32" s="136" t="n">
        <v>-0.005</v>
      </c>
      <c r="CK32" s="136" t="n">
        <v>0.075</v>
      </c>
      <c r="CL32" s="136" t="n">
        <v>0</v>
      </c>
      <c r="CM32" s="136" t="n">
        <v>-0.0725</v>
      </c>
      <c r="CN32" s="136" t="n">
        <v>0.01</v>
      </c>
      <c r="CO32" s="136" t="n">
        <v>-0.0175</v>
      </c>
      <c r="CP32" s="136" t="n">
        <v>0.0075</v>
      </c>
      <c r="CQ32" s="136" t="n">
        <v>0.0225</v>
      </c>
      <c r="CR32" s="136" t="n">
        <v>0.01</v>
      </c>
      <c r="CS32" s="136" t="n">
        <v>1.88</v>
      </c>
      <c r="CT32" s="136" t="n">
        <v>0.45</v>
      </c>
      <c r="CU32" s="136" t="n">
        <v>0.36</v>
      </c>
      <c r="CV32" s="136" t="n">
        <v>0</v>
      </c>
      <c r="CW32" s="136" t="n">
        <v>0.38</v>
      </c>
      <c r="CX32" s="136" t="n">
        <v>0.02</v>
      </c>
      <c r="CY32" s="136" t="n">
        <v>-0.495</v>
      </c>
      <c r="CZ32" s="136" t="n">
        <v>0</v>
      </c>
      <c r="DA32" s="136" t="n">
        <v>-0.315</v>
      </c>
      <c r="DB32" s="136" t="n">
        <v>0</v>
      </c>
      <c r="DC32" s="136" t="n">
        <v>0.35</v>
      </c>
      <c r="DE32" s="136" t="n">
        <v>-0.0525</v>
      </c>
      <c r="DF32" s="136" t="n">
        <v>0.0075</v>
      </c>
      <c r="DG32" s="136" t="n">
        <v>0.005</v>
      </c>
      <c r="DH32" s="136" t="n">
        <v>0.005</v>
      </c>
      <c r="DI32" s="136" t="n">
        <v>-0.025</v>
      </c>
      <c r="DJ32" s="136" t="n">
        <v>0.0025</v>
      </c>
      <c r="DK32" s="136" t="n">
        <v>-0.1325</v>
      </c>
      <c r="DL32" s="136" t="n">
        <v>0.0025</v>
      </c>
      <c r="DM32" s="136" t="n">
        <v>-0.0675</v>
      </c>
      <c r="DN32" s="136" t="n">
        <v>0</v>
      </c>
      <c r="DO32" s="136" t="n">
        <v>-0.0875</v>
      </c>
      <c r="DP32" s="136" t="n">
        <v>0.0025</v>
      </c>
      <c r="DQ32" s="136" t="n">
        <v>-0.1525</v>
      </c>
      <c r="DR32" s="136" t="n">
        <v>-0.005</v>
      </c>
      <c r="DS32" s="136" t="n">
        <v>1.07</v>
      </c>
      <c r="DT32" s="136" t="n">
        <v>0.05</v>
      </c>
      <c r="DU32" s="136" t="n">
        <v>0.09</v>
      </c>
      <c r="DV32" s="136" t="n">
        <v>0</v>
      </c>
    </row>
    <row r="33" customFormat="false" ht="12.75" hidden="false" customHeight="false" outlineLevel="0" collapsed="false">
      <c r="D33" s="171" t="n">
        <v>37653</v>
      </c>
      <c r="F33" s="174" t="n">
        <v>3.371</v>
      </c>
      <c r="G33" s="175" t="n">
        <v>0.0260449864197474</v>
      </c>
      <c r="H33" s="174" t="n">
        <v>0.5275</v>
      </c>
      <c r="I33" s="174" t="n">
        <v>1.08</v>
      </c>
      <c r="J33" s="174" t="n">
        <v>1.13</v>
      </c>
      <c r="K33" s="174" t="n">
        <v>1.08</v>
      </c>
      <c r="L33" s="172" t="n">
        <v>1.08</v>
      </c>
      <c r="M33" s="172" t="n">
        <v>1.23</v>
      </c>
      <c r="N33" s="174" t="n">
        <v>1.53</v>
      </c>
      <c r="O33" s="174" t="n">
        <v>1.13</v>
      </c>
      <c r="P33" s="174" t="n">
        <v>1.08</v>
      </c>
      <c r="Q33" s="174" t="n">
        <v>1.43</v>
      </c>
      <c r="R33" s="175" t="n">
        <v>1.08</v>
      </c>
      <c r="S33" s="175" t="n">
        <v>1.18</v>
      </c>
      <c r="T33" s="174" t="n">
        <v>1.08</v>
      </c>
      <c r="U33" s="174" t="n">
        <v>2.33</v>
      </c>
      <c r="V33" s="174" t="n">
        <v>1.18</v>
      </c>
      <c r="W33" s="174" t="n">
        <v>0.02</v>
      </c>
      <c r="X33" s="174" t="n">
        <v>0.03</v>
      </c>
      <c r="Y33" s="174" t="n">
        <v>0.135</v>
      </c>
      <c r="Z33" s="174" t="n">
        <v>0.025</v>
      </c>
      <c r="AA33" s="174" t="n">
        <v>0.375</v>
      </c>
      <c r="AB33" s="174" t="n">
        <v>0</v>
      </c>
      <c r="AC33" s="174" t="n">
        <v>0.365</v>
      </c>
      <c r="AD33" s="174" t="n">
        <v>0</v>
      </c>
      <c r="AE33" s="174" t="n">
        <v>0.375</v>
      </c>
      <c r="AF33" s="174" t="n">
        <v>0</v>
      </c>
      <c r="AG33" s="174" t="n">
        <v>0.21</v>
      </c>
      <c r="AH33" s="174" t="n">
        <v>0</v>
      </c>
      <c r="AI33" s="174" t="n">
        <v>0.17912</v>
      </c>
      <c r="AJ33" s="174" t="n">
        <v>0</v>
      </c>
      <c r="AK33" s="174" t="n">
        <v>0.135</v>
      </c>
      <c r="AL33" s="174" t="n">
        <v>0.04</v>
      </c>
      <c r="AM33" s="174" t="n">
        <v>-0.091</v>
      </c>
      <c r="AN33" s="174" t="n">
        <v>0.002</v>
      </c>
      <c r="AO33" s="174" t="n">
        <v>-0.43</v>
      </c>
      <c r="AP33" s="174" t="n">
        <v>0.155</v>
      </c>
      <c r="AQ33" s="174" t="n">
        <v>-0.071</v>
      </c>
      <c r="AR33" s="174" t="n">
        <v>0.005</v>
      </c>
      <c r="AS33" s="174" t="n">
        <v>-0.1475</v>
      </c>
      <c r="AT33" s="174" t="n">
        <v>-0.005</v>
      </c>
      <c r="AU33" s="174" t="n">
        <v>-0.1075</v>
      </c>
      <c r="AV33" s="174" t="n">
        <v>-0.01</v>
      </c>
      <c r="AW33" s="174" t="n">
        <v>-0.0875</v>
      </c>
      <c r="AX33" s="174" t="n">
        <v>0.0025</v>
      </c>
      <c r="AY33" s="175" t="n">
        <v>0.215</v>
      </c>
      <c r="AZ33" s="175" t="n">
        <v>0</v>
      </c>
      <c r="BA33" s="175" t="n">
        <v>-0.22</v>
      </c>
      <c r="BB33" s="174" t="n">
        <v>0</v>
      </c>
      <c r="BC33" s="174" t="n">
        <v>-0.1475</v>
      </c>
      <c r="BD33" s="174" t="n">
        <v>0</v>
      </c>
      <c r="BE33" s="174" t="n">
        <v>0.02</v>
      </c>
      <c r="BF33" s="174" t="n">
        <v>0.02</v>
      </c>
      <c r="BG33" s="174" t="n">
        <v>-0.1275</v>
      </c>
      <c r="BH33" s="174" t="n">
        <v>0</v>
      </c>
      <c r="BI33" s="174" t="n">
        <v>0.125</v>
      </c>
      <c r="BJ33" s="136" t="n">
        <v>0.04</v>
      </c>
      <c r="BK33" s="136" t="n">
        <v>0.02</v>
      </c>
      <c r="BL33" s="136" t="n">
        <v>0.02</v>
      </c>
      <c r="BM33" s="136" t="n">
        <v>0.06</v>
      </c>
      <c r="BN33" s="136" t="n">
        <v>0</v>
      </c>
      <c r="BO33" s="136" t="n">
        <v>-0.26</v>
      </c>
      <c r="BP33" s="136" t="n">
        <v>0.0275</v>
      </c>
      <c r="BQ33" s="136" t="n">
        <v>0.37</v>
      </c>
      <c r="BR33" s="136" t="n">
        <v>0.04</v>
      </c>
      <c r="BS33" s="136" t="n">
        <v>-0.1475</v>
      </c>
      <c r="BT33" s="136" t="n">
        <v>0</v>
      </c>
      <c r="BU33" s="136" t="n">
        <v>0.17</v>
      </c>
      <c r="BV33" s="136" t="n">
        <v>0.02</v>
      </c>
      <c r="BW33" s="136" t="n">
        <v>0.02</v>
      </c>
      <c r="BX33" s="136" t="n">
        <v>0</v>
      </c>
      <c r="BY33" s="136" t="n">
        <v>-0.025</v>
      </c>
      <c r="BZ33" s="136" t="n">
        <v>0.0575</v>
      </c>
      <c r="CA33" s="136" t="n">
        <v>0.235</v>
      </c>
      <c r="CB33" s="136" t="n">
        <v>0.005</v>
      </c>
      <c r="CC33" s="136" t="n">
        <v>-0.025</v>
      </c>
      <c r="CD33" s="136" t="n">
        <v>0.0025</v>
      </c>
      <c r="CE33" s="136" t="n">
        <v>0.0025</v>
      </c>
      <c r="CF33" s="136" t="n">
        <v>0</v>
      </c>
      <c r="CG33" s="136" t="n">
        <v>-0.025</v>
      </c>
      <c r="CH33" s="136" t="n">
        <v>0.0025</v>
      </c>
      <c r="CI33" s="136" t="n">
        <v>-0.125</v>
      </c>
      <c r="CJ33" s="136" t="n">
        <v>-0.005</v>
      </c>
      <c r="CK33" s="136" t="n">
        <v>0.075</v>
      </c>
      <c r="CL33" s="136" t="n">
        <v>0</v>
      </c>
      <c r="CM33" s="136" t="n">
        <v>-0.0725</v>
      </c>
      <c r="CN33" s="136" t="n">
        <v>0.01</v>
      </c>
      <c r="CO33" s="136" t="n">
        <v>-0.0175</v>
      </c>
      <c r="CP33" s="136" t="n">
        <v>0.0075</v>
      </c>
      <c r="CQ33" s="136" t="n">
        <v>0.0225</v>
      </c>
      <c r="CR33" s="136" t="n">
        <v>0.01</v>
      </c>
      <c r="CS33" s="136" t="n">
        <v>1.88</v>
      </c>
      <c r="CT33" s="136" t="n">
        <v>0.45</v>
      </c>
      <c r="CU33" s="136" t="n">
        <v>0.06</v>
      </c>
      <c r="CV33" s="136" t="n">
        <v>0</v>
      </c>
      <c r="CW33" s="136" t="n">
        <v>0.38</v>
      </c>
      <c r="CX33" s="136" t="n">
        <v>0.02</v>
      </c>
      <c r="CY33" s="136" t="n">
        <v>-0.485</v>
      </c>
      <c r="CZ33" s="136" t="n">
        <v>0</v>
      </c>
      <c r="DA33" s="136" t="n">
        <v>-0.305</v>
      </c>
      <c r="DB33" s="136" t="n">
        <v>0</v>
      </c>
      <c r="DC33" s="136" t="n">
        <v>0.35</v>
      </c>
      <c r="DE33" s="136" t="n">
        <v>-0.0525</v>
      </c>
      <c r="DF33" s="136" t="n">
        <v>0.0075</v>
      </c>
      <c r="DG33" s="136" t="n">
        <v>0.005</v>
      </c>
      <c r="DH33" s="136" t="n">
        <v>0.005</v>
      </c>
      <c r="DI33" s="136" t="n">
        <v>-0.025</v>
      </c>
      <c r="DJ33" s="136" t="n">
        <v>0.0025</v>
      </c>
      <c r="DK33" s="136" t="n">
        <v>-0.1225</v>
      </c>
      <c r="DL33" s="136" t="n">
        <v>0.0025</v>
      </c>
      <c r="DM33" s="136" t="n">
        <v>-0.0675</v>
      </c>
      <c r="DN33" s="136" t="n">
        <v>0</v>
      </c>
      <c r="DO33" s="136" t="n">
        <v>-0.0875</v>
      </c>
      <c r="DP33" s="136" t="n">
        <v>0.0025</v>
      </c>
      <c r="DQ33" s="136" t="n">
        <v>-0.1425</v>
      </c>
      <c r="DR33" s="136" t="n">
        <v>-0.005</v>
      </c>
      <c r="DS33" s="136" t="n">
        <v>1.06</v>
      </c>
      <c r="DT33" s="136" t="n">
        <v>0.05</v>
      </c>
      <c r="DU33" s="136" t="n">
        <v>0.08</v>
      </c>
      <c r="DV33" s="136" t="n">
        <v>0</v>
      </c>
    </row>
    <row r="34" customFormat="false" ht="12.75" hidden="false" customHeight="false" outlineLevel="0" collapsed="false">
      <c r="D34" s="171" t="n">
        <v>37681</v>
      </c>
      <c r="F34" s="174" t="n">
        <v>3.281</v>
      </c>
      <c r="G34" s="175" t="n">
        <v>0.0269541378866576</v>
      </c>
      <c r="H34" s="174" t="n">
        <v>0.4875</v>
      </c>
      <c r="I34" s="174" t="n">
        <v>0.83</v>
      </c>
      <c r="J34" s="174" t="n">
        <v>0.88</v>
      </c>
      <c r="K34" s="174" t="n">
        <v>0.83</v>
      </c>
      <c r="L34" s="172" t="n">
        <v>0.83</v>
      </c>
      <c r="M34" s="172" t="n">
        <v>0.93</v>
      </c>
      <c r="N34" s="174" t="n">
        <v>1.08</v>
      </c>
      <c r="O34" s="174" t="n">
        <v>0.83</v>
      </c>
      <c r="P34" s="174" t="n">
        <v>0.83</v>
      </c>
      <c r="Q34" s="174" t="n">
        <v>1.03</v>
      </c>
      <c r="R34" s="175" t="n">
        <v>0.83</v>
      </c>
      <c r="S34" s="175" t="n">
        <v>0.83</v>
      </c>
      <c r="T34" s="174" t="n">
        <v>0.83</v>
      </c>
      <c r="U34" s="174" t="n">
        <v>1.88</v>
      </c>
      <c r="V34" s="174" t="n">
        <v>0.93</v>
      </c>
      <c r="W34" s="174" t="n">
        <v>0</v>
      </c>
      <c r="X34" s="174" t="n">
        <v>0.03</v>
      </c>
      <c r="Y34" s="174" t="n">
        <v>0.13</v>
      </c>
      <c r="Z34" s="174" t="n">
        <v>0.025</v>
      </c>
      <c r="AA34" s="174" t="n">
        <v>0.37</v>
      </c>
      <c r="AB34" s="174" t="n">
        <v>0</v>
      </c>
      <c r="AC34" s="174" t="n">
        <v>0.36</v>
      </c>
      <c r="AD34" s="174" t="n">
        <v>0</v>
      </c>
      <c r="AE34" s="174" t="n">
        <v>0.37</v>
      </c>
      <c r="AF34" s="174" t="n">
        <v>0</v>
      </c>
      <c r="AG34" s="174" t="n">
        <v>0.205</v>
      </c>
      <c r="AH34" s="174" t="n">
        <v>0</v>
      </c>
      <c r="AI34" s="174" t="n">
        <v>0.17076</v>
      </c>
      <c r="AJ34" s="174" t="n">
        <v>0</v>
      </c>
      <c r="AK34" s="174" t="n">
        <v>0.13</v>
      </c>
      <c r="AL34" s="174" t="n">
        <v>0.04</v>
      </c>
      <c r="AM34" s="174" t="n">
        <v>-0.0925</v>
      </c>
      <c r="AN34" s="174" t="n">
        <v>0.002</v>
      </c>
      <c r="AO34" s="174" t="n">
        <v>-0.43</v>
      </c>
      <c r="AP34" s="174" t="n">
        <v>0.155</v>
      </c>
      <c r="AQ34" s="174" t="n">
        <v>-0.0725</v>
      </c>
      <c r="AR34" s="174" t="n">
        <v>0.005</v>
      </c>
      <c r="AS34" s="174" t="n">
        <v>-0.145</v>
      </c>
      <c r="AT34" s="174" t="n">
        <v>-0.005</v>
      </c>
      <c r="AU34" s="174" t="n">
        <v>-0.105</v>
      </c>
      <c r="AV34" s="174" t="n">
        <v>-0.01</v>
      </c>
      <c r="AW34" s="174" t="n">
        <v>-0.0875</v>
      </c>
      <c r="AX34" s="174" t="n">
        <v>0.0025</v>
      </c>
      <c r="AY34" s="175" t="n">
        <v>0.21</v>
      </c>
      <c r="AZ34" s="175" t="n">
        <v>0</v>
      </c>
      <c r="BA34" s="175" t="n">
        <v>-0.22</v>
      </c>
      <c r="BB34" s="174" t="n">
        <v>0</v>
      </c>
      <c r="BC34" s="174" t="n">
        <v>-0.1475</v>
      </c>
      <c r="BD34" s="174" t="n">
        <v>0</v>
      </c>
      <c r="BE34" s="174" t="n">
        <v>0.02</v>
      </c>
      <c r="BF34" s="174" t="n">
        <v>0.02</v>
      </c>
      <c r="BG34" s="174" t="n">
        <v>-0.1275</v>
      </c>
      <c r="BH34" s="174" t="n">
        <v>0</v>
      </c>
      <c r="BI34" s="174" t="n">
        <v>0.045</v>
      </c>
      <c r="BJ34" s="136" t="n">
        <v>0.04</v>
      </c>
      <c r="BK34" s="136" t="n">
        <v>0.02</v>
      </c>
      <c r="BL34" s="136" t="n">
        <v>0.02</v>
      </c>
      <c r="BM34" s="136" t="n">
        <v>-0.24</v>
      </c>
      <c r="BN34" s="136" t="n">
        <v>0</v>
      </c>
      <c r="BO34" s="136" t="n">
        <v>-0.31</v>
      </c>
      <c r="BP34" s="136" t="n">
        <v>0.0275</v>
      </c>
      <c r="BQ34" s="136" t="n">
        <v>0.2</v>
      </c>
      <c r="BR34" s="136" t="n">
        <v>0.04</v>
      </c>
      <c r="BS34" s="136" t="n">
        <v>-0.1475</v>
      </c>
      <c r="BT34" s="136" t="n">
        <v>0</v>
      </c>
      <c r="BU34" s="136" t="n">
        <v>0</v>
      </c>
      <c r="BV34" s="136" t="n">
        <v>0.02</v>
      </c>
      <c r="BW34" s="136" t="n">
        <v>0.02</v>
      </c>
      <c r="BX34" s="136" t="n">
        <v>0</v>
      </c>
      <c r="BY34" s="136" t="n">
        <v>-0.025</v>
      </c>
      <c r="BZ34" s="136" t="n">
        <v>0.0575</v>
      </c>
      <c r="CA34" s="136" t="n">
        <v>0.195</v>
      </c>
      <c r="CB34" s="136" t="n">
        <v>0.005</v>
      </c>
      <c r="CC34" s="136" t="n">
        <v>-0.025</v>
      </c>
      <c r="CD34" s="136" t="n">
        <v>0.0025</v>
      </c>
      <c r="CE34" s="136" t="n">
        <v>0.0025</v>
      </c>
      <c r="CF34" s="136" t="n">
        <v>0</v>
      </c>
      <c r="CG34" s="136" t="n">
        <v>-0.025</v>
      </c>
      <c r="CH34" s="136" t="n">
        <v>0.0025</v>
      </c>
      <c r="CI34" s="136" t="n">
        <v>-0.125</v>
      </c>
      <c r="CJ34" s="136" t="n">
        <v>-0.005</v>
      </c>
      <c r="CK34" s="136" t="n">
        <v>0.075</v>
      </c>
      <c r="CL34" s="136" t="n">
        <v>0</v>
      </c>
      <c r="CM34" s="136" t="n">
        <v>-0.0725</v>
      </c>
      <c r="CN34" s="136" t="n">
        <v>0.01</v>
      </c>
      <c r="CO34" s="136" t="n">
        <v>-0.0175</v>
      </c>
      <c r="CP34" s="136" t="n">
        <v>0.0075</v>
      </c>
      <c r="CQ34" s="136" t="n">
        <v>0.0225</v>
      </c>
      <c r="CR34" s="136" t="n">
        <v>0.01</v>
      </c>
      <c r="CS34" s="136" t="n">
        <v>0.65</v>
      </c>
      <c r="CT34" s="136" t="n">
        <v>0.1</v>
      </c>
      <c r="CU34" s="136" t="n">
        <v>-0.24</v>
      </c>
      <c r="CV34" s="136" t="n">
        <v>0</v>
      </c>
      <c r="CW34" s="136" t="n">
        <v>0.33</v>
      </c>
      <c r="CX34" s="136" t="n">
        <v>0.02</v>
      </c>
      <c r="CY34" s="136" t="n">
        <v>-0.535</v>
      </c>
      <c r="CZ34" s="136" t="n">
        <v>0</v>
      </c>
      <c r="DA34" s="136" t="n">
        <v>-0.355</v>
      </c>
      <c r="DB34" s="136" t="n">
        <v>0</v>
      </c>
      <c r="DC34" s="136" t="n">
        <v>0.4</v>
      </c>
      <c r="DE34" s="136" t="n">
        <v>-0.0525</v>
      </c>
      <c r="DF34" s="136" t="n">
        <v>0.0075</v>
      </c>
      <c r="DG34" s="136" t="n">
        <v>0.005</v>
      </c>
      <c r="DH34" s="136" t="n">
        <v>0.005</v>
      </c>
      <c r="DI34" s="136" t="n">
        <v>-0.025</v>
      </c>
      <c r="DJ34" s="136" t="n">
        <v>0.0025</v>
      </c>
      <c r="DK34" s="136" t="n">
        <v>-0.1125</v>
      </c>
      <c r="DL34" s="136" t="n">
        <v>0.0025</v>
      </c>
      <c r="DM34" s="136" t="n">
        <v>-0.0675</v>
      </c>
      <c r="DN34" s="136" t="n">
        <v>0</v>
      </c>
      <c r="DO34" s="136" t="n">
        <v>-0.0875</v>
      </c>
      <c r="DP34" s="136" t="n">
        <v>0.0025</v>
      </c>
      <c r="DQ34" s="136" t="n">
        <v>-0.1325</v>
      </c>
      <c r="DR34" s="136" t="n">
        <v>-0.005</v>
      </c>
      <c r="DS34" s="136" t="n">
        <v>0.545</v>
      </c>
      <c r="DT34" s="136" t="n">
        <v>0.05</v>
      </c>
      <c r="DU34" s="136" t="n">
        <v>0.075</v>
      </c>
      <c r="DV34" s="136" t="n">
        <v>0</v>
      </c>
    </row>
    <row r="35" customFormat="false" ht="12.75" hidden="false" customHeight="false" outlineLevel="0" collapsed="false">
      <c r="D35" s="135" t="n">
        <v>37712</v>
      </c>
      <c r="F35" s="174" t="n">
        <v>3.126</v>
      </c>
      <c r="G35" s="175" t="n">
        <v>0.0279745964320606</v>
      </c>
      <c r="H35" s="174" t="n">
        <v>0.3875</v>
      </c>
      <c r="I35" s="174" t="n">
        <v>0.43</v>
      </c>
      <c r="J35" s="174" t="n">
        <v>0.48</v>
      </c>
      <c r="K35" s="174" t="n">
        <v>0.43</v>
      </c>
      <c r="L35" s="172" t="n">
        <v>0.48</v>
      </c>
      <c r="M35" s="172" t="n">
        <v>0.48</v>
      </c>
      <c r="N35" s="174" t="n">
        <v>0.48</v>
      </c>
      <c r="O35" s="174" t="n">
        <v>0.48</v>
      </c>
      <c r="P35" s="174" t="n">
        <v>0.48</v>
      </c>
      <c r="Q35" s="174" t="n">
        <v>0.53</v>
      </c>
      <c r="R35" s="175" t="n">
        <v>0.43</v>
      </c>
      <c r="S35" s="175" t="n">
        <v>0.48</v>
      </c>
      <c r="T35" s="174" t="n">
        <v>0.43</v>
      </c>
      <c r="U35" s="174" t="n">
        <v>0.48</v>
      </c>
      <c r="V35" s="174" t="n">
        <v>0.58</v>
      </c>
      <c r="W35" s="174" t="n">
        <v>-0.09</v>
      </c>
      <c r="X35" s="174" t="n">
        <v>0</v>
      </c>
      <c r="Y35" s="174" t="n">
        <v>0.035</v>
      </c>
      <c r="Z35" s="174" t="n">
        <v>0.005</v>
      </c>
      <c r="AA35" s="174" t="n">
        <v>0.165</v>
      </c>
      <c r="AB35" s="174" t="n">
        <v>0</v>
      </c>
      <c r="AC35" s="174" t="n">
        <v>0.13</v>
      </c>
      <c r="AD35" s="174" t="n">
        <v>0</v>
      </c>
      <c r="AE35" s="174" t="n">
        <v>0.165</v>
      </c>
      <c r="AF35" s="174" t="n">
        <v>0</v>
      </c>
      <c r="AG35" s="174" t="n">
        <v>0.12</v>
      </c>
      <c r="AH35" s="174" t="n">
        <v>0</v>
      </c>
      <c r="AI35" s="174" t="n">
        <v>0.13</v>
      </c>
      <c r="AJ35" s="174" t="n">
        <v>0</v>
      </c>
      <c r="AK35" s="174" t="n">
        <v>0.035</v>
      </c>
      <c r="AL35" s="174" t="n">
        <v>0.04</v>
      </c>
      <c r="AM35" s="174" t="n">
        <v>-0.0775</v>
      </c>
      <c r="AN35" s="174" t="n">
        <v>0.009</v>
      </c>
      <c r="AO35" s="174" t="n">
        <v>-0.435</v>
      </c>
      <c r="AP35" s="174" t="n">
        <v>0.155</v>
      </c>
      <c r="AQ35" s="174" t="n">
        <v>-0.0725</v>
      </c>
      <c r="AR35" s="174" t="n">
        <v>0</v>
      </c>
      <c r="AS35" s="174" t="n">
        <v>-0.15</v>
      </c>
      <c r="AT35" s="174" t="n">
        <v>-0.015</v>
      </c>
      <c r="AU35" s="174" t="n">
        <v>-0.11</v>
      </c>
      <c r="AV35" s="174" t="n">
        <v>0.02</v>
      </c>
      <c r="AW35" s="174" t="n">
        <v>-0.095</v>
      </c>
      <c r="AX35" s="174" t="n">
        <v>0.0075</v>
      </c>
      <c r="AY35" s="175" t="n">
        <v>0.125</v>
      </c>
      <c r="AZ35" s="175" t="n">
        <v>0</v>
      </c>
      <c r="BA35" s="175" t="n">
        <v>-0.26</v>
      </c>
      <c r="BB35" s="174" t="n">
        <v>0.0025</v>
      </c>
      <c r="BC35" s="174" t="n">
        <v>-0.105</v>
      </c>
      <c r="BD35" s="174" t="n">
        <v>0.005</v>
      </c>
      <c r="BE35" s="174" t="n">
        <v>0.14</v>
      </c>
      <c r="BF35" s="174" t="n">
        <v>0.02</v>
      </c>
      <c r="BG35" s="174" t="n">
        <v>-0.0825</v>
      </c>
      <c r="BH35" s="174" t="n">
        <v>0</v>
      </c>
      <c r="BI35" s="174" t="n">
        <v>0.08</v>
      </c>
      <c r="BJ35" s="136" t="n">
        <v>0.03</v>
      </c>
      <c r="BK35" s="136" t="n">
        <v>0.14</v>
      </c>
      <c r="BL35" s="136" t="n">
        <v>0.02</v>
      </c>
      <c r="BM35" s="136" t="n">
        <v>-0.205</v>
      </c>
      <c r="BN35" s="136" t="n">
        <v>0</v>
      </c>
      <c r="BO35" s="136" t="n">
        <v>-0.435</v>
      </c>
      <c r="BP35" s="136" t="n">
        <v>0.02</v>
      </c>
      <c r="BQ35" s="136" t="n">
        <v>0.4</v>
      </c>
      <c r="BR35" s="136" t="n">
        <v>0.02</v>
      </c>
      <c r="BS35" s="136" t="n">
        <v>-0.105</v>
      </c>
      <c r="BT35" s="136" t="n">
        <v>0.005</v>
      </c>
      <c r="BU35" s="136" t="n">
        <v>0.2</v>
      </c>
      <c r="BV35" s="136" t="n">
        <v>0.01</v>
      </c>
      <c r="BW35" s="136" t="n">
        <v>0.14</v>
      </c>
      <c r="BX35" s="136" t="n">
        <v>0</v>
      </c>
      <c r="BY35" s="136" t="n">
        <v>-0.025</v>
      </c>
      <c r="BZ35" s="136" t="n">
        <v>0.0575</v>
      </c>
      <c r="CA35" s="136" t="n">
        <v>0.145</v>
      </c>
      <c r="CB35" s="136" t="n">
        <v>0.005</v>
      </c>
      <c r="CC35" s="136" t="n">
        <v>-0.025</v>
      </c>
      <c r="CD35" s="136" t="n">
        <v>0.0025</v>
      </c>
      <c r="CE35" s="136" t="n">
        <v>0.0025</v>
      </c>
      <c r="CF35" s="136" t="n">
        <v>0</v>
      </c>
      <c r="CG35" s="136" t="n">
        <v>-0.025</v>
      </c>
      <c r="CH35" s="136" t="n">
        <v>0.0025</v>
      </c>
      <c r="CI35" s="136" t="n">
        <v>-0.145</v>
      </c>
      <c r="CJ35" s="136" t="n">
        <v>0</v>
      </c>
      <c r="CK35" s="136" t="n">
        <v>0.0775</v>
      </c>
      <c r="CL35" s="136" t="n">
        <v>0</v>
      </c>
      <c r="CM35" s="136" t="n">
        <v>-0.0725</v>
      </c>
      <c r="CN35" s="136" t="n">
        <v>0.0075</v>
      </c>
      <c r="CO35" s="136" t="n">
        <v>-0.0175</v>
      </c>
      <c r="CP35" s="136" t="n">
        <v>0.005</v>
      </c>
      <c r="CQ35" s="136" t="n">
        <v>0.0225</v>
      </c>
      <c r="CR35" s="136" t="n">
        <v>0.0075</v>
      </c>
      <c r="CS35" s="136" t="n">
        <v>0.38</v>
      </c>
      <c r="CT35" s="136" t="n">
        <v>0.02</v>
      </c>
      <c r="CU35" s="136" t="n">
        <v>-0.205</v>
      </c>
      <c r="CV35" s="136" t="n">
        <v>0</v>
      </c>
      <c r="CW35" s="136" t="n">
        <v>0.195</v>
      </c>
      <c r="CX35" s="136" t="n">
        <v>0.0075</v>
      </c>
      <c r="CY35" s="136" t="n">
        <v>-0.705</v>
      </c>
      <c r="CZ35" s="136" t="n">
        <v>0</v>
      </c>
      <c r="DA35" s="136" t="n">
        <v>-0.525</v>
      </c>
      <c r="DB35" s="136" t="n">
        <v>0</v>
      </c>
      <c r="DC35" s="136" t="n">
        <v>0.6</v>
      </c>
      <c r="DE35" s="136" t="n">
        <v>-0.055</v>
      </c>
      <c r="DF35" s="136" t="n">
        <v>0.0075</v>
      </c>
      <c r="DG35" s="136" t="n">
        <v>0.01</v>
      </c>
      <c r="DH35" s="136" t="n">
        <v>0.005</v>
      </c>
      <c r="DI35" s="136" t="n">
        <v>-0.0225</v>
      </c>
      <c r="DJ35" s="136" t="n">
        <v>0.005</v>
      </c>
      <c r="DK35" s="136" t="n">
        <v>-0.13</v>
      </c>
      <c r="DL35" s="136" t="n">
        <v>0.005</v>
      </c>
      <c r="DM35" s="136" t="n">
        <v>-0.065</v>
      </c>
      <c r="DN35" s="136" t="n">
        <v>0</v>
      </c>
      <c r="DO35" s="136" t="n">
        <v>-0.0875</v>
      </c>
      <c r="DP35" s="136" t="n">
        <v>0</v>
      </c>
      <c r="DQ35" s="136" t="n">
        <v>-0.16</v>
      </c>
      <c r="DR35" s="136" t="n">
        <v>-0.005</v>
      </c>
      <c r="DS35" s="136" t="n">
        <v>0.36</v>
      </c>
      <c r="DT35" s="136" t="n">
        <v>0.005</v>
      </c>
      <c r="DU35" s="136" t="n">
        <v>-0.045</v>
      </c>
      <c r="DV35" s="136" t="n">
        <v>0</v>
      </c>
    </row>
    <row r="36" customFormat="false" ht="12.75" hidden="false" customHeight="false" outlineLevel="0" collapsed="false">
      <c r="D36" s="135" t="n">
        <v>37742</v>
      </c>
      <c r="F36" s="174" t="n">
        <v>3.127</v>
      </c>
      <c r="G36" s="175" t="n">
        <v>0.0289631800763801</v>
      </c>
      <c r="H36" s="174" t="n">
        <v>0.3725</v>
      </c>
      <c r="I36" s="174" t="n">
        <v>0.48</v>
      </c>
      <c r="J36" s="174" t="n">
        <v>0.53</v>
      </c>
      <c r="K36" s="174" t="n">
        <v>0.43</v>
      </c>
      <c r="L36" s="172" t="n">
        <v>0.43</v>
      </c>
      <c r="M36" s="172" t="n">
        <v>0.48</v>
      </c>
      <c r="N36" s="174" t="n">
        <v>0.53</v>
      </c>
      <c r="O36" s="174" t="n">
        <v>0.48</v>
      </c>
      <c r="P36" s="174" t="n">
        <v>0.43</v>
      </c>
      <c r="Q36" s="174" t="n">
        <v>0.48</v>
      </c>
      <c r="R36" s="175" t="n">
        <v>0.48</v>
      </c>
      <c r="S36" s="175" t="n">
        <v>0.53</v>
      </c>
      <c r="T36" s="174" t="n">
        <v>0.48</v>
      </c>
      <c r="U36" s="174" t="n">
        <v>0.53</v>
      </c>
      <c r="V36" s="174" t="n">
        <v>0.53</v>
      </c>
      <c r="W36" s="174" t="n">
        <v>-0.09</v>
      </c>
      <c r="X36" s="174" t="n">
        <v>0</v>
      </c>
      <c r="Y36" s="174" t="n">
        <v>0.035</v>
      </c>
      <c r="Z36" s="174" t="n">
        <v>0.005</v>
      </c>
      <c r="AA36" s="174" t="n">
        <v>0.165</v>
      </c>
      <c r="AB36" s="174" t="n">
        <v>0</v>
      </c>
      <c r="AC36" s="174" t="n">
        <v>0.13</v>
      </c>
      <c r="AD36" s="174" t="n">
        <v>0</v>
      </c>
      <c r="AE36" s="174" t="n">
        <v>0.165</v>
      </c>
      <c r="AF36" s="174" t="n">
        <v>0</v>
      </c>
      <c r="AG36" s="174" t="n">
        <v>0.12</v>
      </c>
      <c r="AH36" s="174" t="n">
        <v>0</v>
      </c>
      <c r="AI36" s="174" t="n">
        <v>0.13</v>
      </c>
      <c r="AJ36" s="174" t="n">
        <v>0</v>
      </c>
      <c r="AK36" s="174" t="n">
        <v>0.035</v>
      </c>
      <c r="AL36" s="174" t="n">
        <v>0.04</v>
      </c>
      <c r="AM36" s="174" t="n">
        <v>-0.0775</v>
      </c>
      <c r="AN36" s="174" t="n">
        <v>0.009</v>
      </c>
      <c r="AO36" s="174" t="n">
        <v>-0.435</v>
      </c>
      <c r="AP36" s="174" t="n">
        <v>0.155</v>
      </c>
      <c r="AQ36" s="174" t="n">
        <v>-0.0725</v>
      </c>
      <c r="AR36" s="174" t="n">
        <v>0</v>
      </c>
      <c r="AS36" s="174" t="n">
        <v>-0.15</v>
      </c>
      <c r="AT36" s="174" t="n">
        <v>-0.015</v>
      </c>
      <c r="AU36" s="174" t="n">
        <v>-0.11</v>
      </c>
      <c r="AV36" s="174" t="n">
        <v>0.02</v>
      </c>
      <c r="AW36" s="174" t="n">
        <v>-0.095</v>
      </c>
      <c r="AX36" s="174" t="n">
        <v>0.0075</v>
      </c>
      <c r="AY36" s="175" t="n">
        <v>0.125</v>
      </c>
      <c r="AZ36" s="175" t="n">
        <v>0</v>
      </c>
      <c r="BA36" s="175" t="n">
        <v>-0.26</v>
      </c>
      <c r="BB36" s="174" t="n">
        <v>0.0025</v>
      </c>
      <c r="BC36" s="174" t="n">
        <v>-0.105</v>
      </c>
      <c r="BD36" s="174" t="n">
        <v>0.005</v>
      </c>
      <c r="BE36" s="174" t="n">
        <v>0.14</v>
      </c>
      <c r="BF36" s="174" t="n">
        <v>0.02</v>
      </c>
      <c r="BG36" s="174" t="n">
        <v>-0.0825</v>
      </c>
      <c r="BH36" s="174" t="n">
        <v>0</v>
      </c>
      <c r="BI36" s="174" t="n">
        <v>0.08</v>
      </c>
      <c r="BJ36" s="136" t="n">
        <v>0.03</v>
      </c>
      <c r="BK36" s="136" t="n">
        <v>0.14</v>
      </c>
      <c r="BL36" s="136" t="n">
        <v>0.02</v>
      </c>
      <c r="BM36" s="136" t="n">
        <v>-0.205</v>
      </c>
      <c r="BN36" s="136" t="n">
        <v>0</v>
      </c>
      <c r="BO36" s="136" t="n">
        <v>-0.435</v>
      </c>
      <c r="BP36" s="136" t="n">
        <v>0.02</v>
      </c>
      <c r="BQ36" s="136" t="n">
        <v>0.4</v>
      </c>
      <c r="BR36" s="136" t="n">
        <v>0.02</v>
      </c>
      <c r="BS36" s="136" t="n">
        <v>-0.105</v>
      </c>
      <c r="BT36" s="136" t="n">
        <v>0.005</v>
      </c>
      <c r="BU36" s="136" t="n">
        <v>0.2</v>
      </c>
      <c r="BV36" s="136" t="n">
        <v>0.01</v>
      </c>
      <c r="BW36" s="136" t="n">
        <v>0.14</v>
      </c>
      <c r="BX36" s="136" t="n">
        <v>0</v>
      </c>
      <c r="BY36" s="136" t="n">
        <v>-0.025</v>
      </c>
      <c r="BZ36" s="136" t="n">
        <v>0.0575</v>
      </c>
      <c r="CA36" s="136" t="n">
        <v>0.125</v>
      </c>
      <c r="CB36" s="136" t="n">
        <v>0.005</v>
      </c>
      <c r="CC36" s="136" t="n">
        <v>-0.025</v>
      </c>
      <c r="CD36" s="136" t="n">
        <v>0.0025</v>
      </c>
      <c r="CE36" s="136" t="n">
        <v>0.0025</v>
      </c>
      <c r="CF36" s="136" t="n">
        <v>0</v>
      </c>
      <c r="CG36" s="136" t="n">
        <v>-0.025</v>
      </c>
      <c r="CH36" s="136" t="n">
        <v>0.0025</v>
      </c>
      <c r="CI36" s="136" t="n">
        <v>-0.1325</v>
      </c>
      <c r="CJ36" s="136" t="n">
        <v>0</v>
      </c>
      <c r="CK36" s="136" t="n">
        <v>0.0775</v>
      </c>
      <c r="CL36" s="136" t="n">
        <v>0</v>
      </c>
      <c r="CM36" s="136" t="n">
        <v>-0.0725</v>
      </c>
      <c r="CN36" s="136" t="n">
        <v>0.0075</v>
      </c>
      <c r="CO36" s="136" t="n">
        <v>-0.0175</v>
      </c>
      <c r="CP36" s="136" t="n">
        <v>0.005</v>
      </c>
      <c r="CQ36" s="136" t="n">
        <v>0.0225</v>
      </c>
      <c r="CR36" s="136" t="n">
        <v>0.0075</v>
      </c>
      <c r="CS36" s="136" t="n">
        <v>0.33</v>
      </c>
      <c r="CT36" s="136" t="n">
        <v>0.02</v>
      </c>
      <c r="CU36" s="136" t="n">
        <v>-0.205</v>
      </c>
      <c r="CV36" s="136" t="n">
        <v>0</v>
      </c>
      <c r="CW36" s="136" t="n">
        <v>0.135</v>
      </c>
      <c r="CX36" s="136" t="n">
        <v>0.0075</v>
      </c>
      <c r="CY36" s="136" t="n">
        <v>-0.705</v>
      </c>
      <c r="CZ36" s="136" t="n">
        <v>0</v>
      </c>
      <c r="DA36" s="136" t="n">
        <v>-0.525</v>
      </c>
      <c r="DB36" s="136" t="n">
        <v>0</v>
      </c>
      <c r="DC36" s="136" t="n">
        <v>0.75</v>
      </c>
      <c r="DE36" s="136" t="n">
        <v>-0.055</v>
      </c>
      <c r="DF36" s="136" t="n">
        <v>0.0075</v>
      </c>
      <c r="DG36" s="136" t="n">
        <v>0.01</v>
      </c>
      <c r="DH36" s="136" t="n">
        <v>0.005</v>
      </c>
      <c r="DI36" s="136" t="n">
        <v>-0.0225</v>
      </c>
      <c r="DJ36" s="136" t="n">
        <v>0.005</v>
      </c>
      <c r="DK36" s="136" t="n">
        <v>-0.1075</v>
      </c>
      <c r="DL36" s="136" t="n">
        <v>0.005</v>
      </c>
      <c r="DM36" s="136" t="n">
        <v>-0.065</v>
      </c>
      <c r="DN36" s="136" t="n">
        <v>0</v>
      </c>
      <c r="DO36" s="136" t="n">
        <v>-0.0875</v>
      </c>
      <c r="DP36" s="136" t="n">
        <v>0</v>
      </c>
      <c r="DQ36" s="136" t="n">
        <v>-0.1375</v>
      </c>
      <c r="DR36" s="136" t="n">
        <v>-0.005</v>
      </c>
      <c r="DS36" s="136" t="n">
        <v>0.325</v>
      </c>
      <c r="DT36" s="136" t="n">
        <v>0.005</v>
      </c>
      <c r="DU36" s="136" t="n">
        <v>-0.045</v>
      </c>
      <c r="DV36" s="136" t="n">
        <v>0</v>
      </c>
    </row>
    <row r="37" customFormat="false" ht="12.75" hidden="false" customHeight="false" outlineLevel="0" collapsed="false">
      <c r="D37" s="135" t="n">
        <v>37773</v>
      </c>
      <c r="F37" s="174" t="n">
        <v>3.162</v>
      </c>
      <c r="G37" s="175" t="n">
        <v>0.0299847168551968</v>
      </c>
      <c r="H37" s="174" t="n">
        <v>0.3725</v>
      </c>
      <c r="I37" s="174" t="n">
        <v>0.48</v>
      </c>
      <c r="J37" s="174" t="n">
        <v>0.53</v>
      </c>
      <c r="K37" s="174" t="n">
        <v>0.43</v>
      </c>
      <c r="L37" s="172" t="n">
        <v>0.53</v>
      </c>
      <c r="M37" s="172" t="n">
        <v>0.48</v>
      </c>
      <c r="N37" s="174" t="n">
        <v>0.53</v>
      </c>
      <c r="O37" s="174" t="n">
        <v>0.53</v>
      </c>
      <c r="P37" s="174" t="n">
        <v>0.53</v>
      </c>
      <c r="Q37" s="174" t="n">
        <v>0.53</v>
      </c>
      <c r="R37" s="175" t="n">
        <v>0.48</v>
      </c>
      <c r="S37" s="175" t="n">
        <v>0.53</v>
      </c>
      <c r="T37" s="174" t="n">
        <v>0.48</v>
      </c>
      <c r="U37" s="174" t="n">
        <v>0.53</v>
      </c>
      <c r="V37" s="174" t="n">
        <v>0.63</v>
      </c>
      <c r="W37" s="174" t="n">
        <v>-0.09</v>
      </c>
      <c r="X37" s="174" t="n">
        <v>0</v>
      </c>
      <c r="Y37" s="174" t="n">
        <v>0.035</v>
      </c>
      <c r="Z37" s="174" t="n">
        <v>0.005</v>
      </c>
      <c r="AA37" s="174" t="n">
        <v>0.165</v>
      </c>
      <c r="AB37" s="174" t="n">
        <v>0</v>
      </c>
      <c r="AC37" s="174" t="n">
        <v>0.13</v>
      </c>
      <c r="AD37" s="174" t="n">
        <v>0</v>
      </c>
      <c r="AE37" s="174" t="n">
        <v>0.165</v>
      </c>
      <c r="AF37" s="174" t="n">
        <v>0</v>
      </c>
      <c r="AG37" s="174" t="n">
        <v>0.12</v>
      </c>
      <c r="AH37" s="174" t="n">
        <v>0</v>
      </c>
      <c r="AI37" s="174" t="n">
        <v>0.13</v>
      </c>
      <c r="AJ37" s="174" t="n">
        <v>0</v>
      </c>
      <c r="AK37" s="174" t="n">
        <v>0.035</v>
      </c>
      <c r="AL37" s="174" t="n">
        <v>0.04</v>
      </c>
      <c r="AM37" s="174" t="n">
        <v>-0.0775</v>
      </c>
      <c r="AN37" s="174" t="n">
        <v>0.009</v>
      </c>
      <c r="AO37" s="174" t="n">
        <v>-0.435</v>
      </c>
      <c r="AP37" s="174" t="n">
        <v>0.155</v>
      </c>
      <c r="AQ37" s="174" t="n">
        <v>-0.0725</v>
      </c>
      <c r="AR37" s="174" t="n">
        <v>0</v>
      </c>
      <c r="AS37" s="174" t="n">
        <v>-0.15</v>
      </c>
      <c r="AT37" s="174" t="n">
        <v>-0.015</v>
      </c>
      <c r="AU37" s="174" t="n">
        <v>-0.11</v>
      </c>
      <c r="AV37" s="174" t="n">
        <v>0.02</v>
      </c>
      <c r="AW37" s="174" t="n">
        <v>-0.095</v>
      </c>
      <c r="AX37" s="174" t="n">
        <v>0.0075</v>
      </c>
      <c r="AY37" s="175" t="n">
        <v>0.125</v>
      </c>
      <c r="AZ37" s="175" t="n">
        <v>0</v>
      </c>
      <c r="BA37" s="175" t="n">
        <v>-0.26</v>
      </c>
      <c r="BB37" s="174" t="n">
        <v>0.0025</v>
      </c>
      <c r="BC37" s="174" t="n">
        <v>-0.105</v>
      </c>
      <c r="BD37" s="174" t="n">
        <v>0.005</v>
      </c>
      <c r="BE37" s="174" t="n">
        <v>0.14</v>
      </c>
      <c r="BF37" s="174" t="n">
        <v>0.02</v>
      </c>
      <c r="BG37" s="174" t="n">
        <v>-0.0825</v>
      </c>
      <c r="BH37" s="174" t="n">
        <v>0</v>
      </c>
      <c r="BI37" s="174" t="n">
        <v>0.08</v>
      </c>
      <c r="BJ37" s="136" t="n">
        <v>0.03</v>
      </c>
      <c r="BK37" s="136" t="n">
        <v>0.14</v>
      </c>
      <c r="BL37" s="136" t="n">
        <v>0.02</v>
      </c>
      <c r="BM37" s="136" t="n">
        <v>-0.205</v>
      </c>
      <c r="BN37" s="136" t="n">
        <v>0</v>
      </c>
      <c r="BO37" s="136" t="n">
        <v>-0.435</v>
      </c>
      <c r="BP37" s="136" t="n">
        <v>0.02</v>
      </c>
      <c r="BQ37" s="136" t="n">
        <v>0.4</v>
      </c>
      <c r="BR37" s="136" t="n">
        <v>0.02</v>
      </c>
      <c r="BS37" s="136" t="n">
        <v>-0.105</v>
      </c>
      <c r="BT37" s="136" t="n">
        <v>0.005</v>
      </c>
      <c r="BU37" s="136" t="n">
        <v>0.2</v>
      </c>
      <c r="BV37" s="136" t="n">
        <v>0.01</v>
      </c>
      <c r="BW37" s="136" t="n">
        <v>0.14</v>
      </c>
      <c r="BX37" s="136" t="n">
        <v>0</v>
      </c>
      <c r="BY37" s="136" t="n">
        <v>-0.025</v>
      </c>
      <c r="BZ37" s="136" t="n">
        <v>0.0575</v>
      </c>
      <c r="CA37" s="136" t="n">
        <v>0.145</v>
      </c>
      <c r="CB37" s="136" t="n">
        <v>0.005</v>
      </c>
      <c r="CC37" s="136" t="n">
        <v>-0.025</v>
      </c>
      <c r="CD37" s="136" t="n">
        <v>0.0025</v>
      </c>
      <c r="CE37" s="136" t="n">
        <v>0.0025</v>
      </c>
      <c r="CF37" s="136" t="n">
        <v>0</v>
      </c>
      <c r="CG37" s="136" t="n">
        <v>-0.025</v>
      </c>
      <c r="CH37" s="136" t="n">
        <v>0.0025</v>
      </c>
      <c r="CI37" s="136" t="n">
        <v>-0.09</v>
      </c>
      <c r="CJ37" s="136" t="n">
        <v>0</v>
      </c>
      <c r="CK37" s="136" t="n">
        <v>0.0775</v>
      </c>
      <c r="CL37" s="136" t="n">
        <v>0</v>
      </c>
      <c r="CM37" s="136" t="n">
        <v>-0.0725</v>
      </c>
      <c r="CN37" s="136" t="n">
        <v>0.0075</v>
      </c>
      <c r="CO37" s="136" t="n">
        <v>-0.0175</v>
      </c>
      <c r="CP37" s="136" t="n">
        <v>0.005</v>
      </c>
      <c r="CQ37" s="136" t="n">
        <v>0.0225</v>
      </c>
      <c r="CR37" s="136" t="n">
        <v>0.0075</v>
      </c>
      <c r="CS37" s="136" t="n">
        <v>0.37</v>
      </c>
      <c r="CT37" s="136" t="n">
        <v>0.035</v>
      </c>
      <c r="CU37" s="136" t="n">
        <v>-0.205</v>
      </c>
      <c r="CV37" s="136" t="n">
        <v>0</v>
      </c>
      <c r="CW37" s="136" t="n">
        <v>0.165</v>
      </c>
      <c r="CX37" s="136" t="n">
        <v>0.0075</v>
      </c>
      <c r="CY37" s="136" t="n">
        <v>-0.705</v>
      </c>
      <c r="CZ37" s="136" t="n">
        <v>0</v>
      </c>
      <c r="DA37" s="136" t="n">
        <v>-0.525</v>
      </c>
      <c r="DB37" s="136" t="n">
        <v>0</v>
      </c>
      <c r="DC37" s="136" t="n">
        <v>0.85</v>
      </c>
      <c r="DE37" s="136" t="n">
        <v>-0.0525</v>
      </c>
      <c r="DF37" s="136" t="n">
        <v>0.0075</v>
      </c>
      <c r="DG37" s="136" t="n">
        <v>0.0125</v>
      </c>
      <c r="DH37" s="136" t="n">
        <v>0.005</v>
      </c>
      <c r="DI37" s="136" t="n">
        <v>-0.02</v>
      </c>
      <c r="DJ37" s="136" t="n">
        <v>0.005</v>
      </c>
      <c r="DK37" s="136" t="n">
        <v>-0.055</v>
      </c>
      <c r="DL37" s="136" t="n">
        <v>0.005</v>
      </c>
      <c r="DM37" s="136" t="n">
        <v>-0.065</v>
      </c>
      <c r="DN37" s="136" t="n">
        <v>0</v>
      </c>
      <c r="DO37" s="136" t="n">
        <v>-0.0875</v>
      </c>
      <c r="DP37" s="136" t="n">
        <v>0</v>
      </c>
      <c r="DQ37" s="136" t="n">
        <v>-0.085</v>
      </c>
      <c r="DR37" s="136" t="n">
        <v>-0.005</v>
      </c>
      <c r="DS37" s="136" t="n">
        <v>0.335</v>
      </c>
      <c r="DT37" s="136" t="n">
        <v>0.005</v>
      </c>
      <c r="DU37" s="136" t="n">
        <v>-0.045</v>
      </c>
      <c r="DV37" s="136" t="n">
        <v>0</v>
      </c>
    </row>
    <row r="38" customFormat="false" ht="12.75" hidden="false" customHeight="false" outlineLevel="0" collapsed="false">
      <c r="D38" s="135" t="n">
        <v>37803</v>
      </c>
      <c r="F38" s="174" t="n">
        <v>3.204</v>
      </c>
      <c r="G38" s="175" t="n">
        <v>0.0309652793004798</v>
      </c>
      <c r="H38" s="174" t="n">
        <v>0.3725</v>
      </c>
      <c r="I38" s="174" t="n">
        <v>0.53</v>
      </c>
      <c r="J38" s="174" t="n">
        <v>0.53</v>
      </c>
      <c r="K38" s="174" t="n">
        <v>0.43</v>
      </c>
      <c r="L38" s="172" t="n">
        <v>0.53</v>
      </c>
      <c r="M38" s="172" t="n">
        <v>0.53</v>
      </c>
      <c r="N38" s="174" t="n">
        <v>0.53</v>
      </c>
      <c r="O38" s="174" t="n">
        <v>0.53</v>
      </c>
      <c r="P38" s="174" t="n">
        <v>0.53</v>
      </c>
      <c r="Q38" s="174" t="n">
        <v>0.53</v>
      </c>
      <c r="R38" s="175" t="n">
        <v>0.53</v>
      </c>
      <c r="S38" s="175" t="n">
        <v>0.58</v>
      </c>
      <c r="T38" s="174" t="n">
        <v>0.53</v>
      </c>
      <c r="U38" s="174" t="n">
        <v>0.53</v>
      </c>
      <c r="V38" s="174" t="n">
        <v>0.63</v>
      </c>
      <c r="W38" s="174" t="n">
        <v>-0.09</v>
      </c>
      <c r="X38" s="174" t="n">
        <v>0</v>
      </c>
      <c r="Y38" s="174" t="n">
        <v>0.035</v>
      </c>
      <c r="Z38" s="174" t="n">
        <v>0.005</v>
      </c>
      <c r="AA38" s="174" t="n">
        <v>0.165</v>
      </c>
      <c r="AB38" s="174" t="n">
        <v>0</v>
      </c>
      <c r="AC38" s="174" t="n">
        <v>0.13</v>
      </c>
      <c r="AD38" s="174" t="n">
        <v>0</v>
      </c>
      <c r="AE38" s="174" t="n">
        <v>0.165</v>
      </c>
      <c r="AF38" s="174" t="n">
        <v>0</v>
      </c>
      <c r="AG38" s="174" t="n">
        <v>0.12</v>
      </c>
      <c r="AH38" s="174" t="n">
        <v>0</v>
      </c>
      <c r="AI38" s="174" t="n">
        <v>0.13</v>
      </c>
      <c r="AJ38" s="174" t="n">
        <v>0</v>
      </c>
      <c r="AK38" s="174" t="n">
        <v>0.035</v>
      </c>
      <c r="AL38" s="174" t="n">
        <v>0.04</v>
      </c>
      <c r="AM38" s="174" t="n">
        <v>-0.0775</v>
      </c>
      <c r="AN38" s="174" t="n">
        <v>0.009</v>
      </c>
      <c r="AO38" s="174" t="n">
        <v>-0.435</v>
      </c>
      <c r="AP38" s="174" t="n">
        <v>0.155</v>
      </c>
      <c r="AQ38" s="174" t="n">
        <v>-0.0725</v>
      </c>
      <c r="AR38" s="174" t="n">
        <v>0</v>
      </c>
      <c r="AS38" s="174" t="n">
        <v>-0.15</v>
      </c>
      <c r="AT38" s="174" t="n">
        <v>-0.015</v>
      </c>
      <c r="AU38" s="174" t="n">
        <v>-0.11</v>
      </c>
      <c r="AV38" s="174" t="n">
        <v>0.02</v>
      </c>
      <c r="AW38" s="174" t="n">
        <v>-0.095</v>
      </c>
      <c r="AX38" s="174" t="n">
        <v>0.0075</v>
      </c>
      <c r="AY38" s="175" t="n">
        <v>0.125</v>
      </c>
      <c r="AZ38" s="175" t="n">
        <v>0</v>
      </c>
      <c r="BA38" s="175" t="n">
        <v>-0.26</v>
      </c>
      <c r="BB38" s="174" t="n">
        <v>0.0025</v>
      </c>
      <c r="BC38" s="174" t="n">
        <v>-0.105</v>
      </c>
      <c r="BD38" s="174" t="n">
        <v>0.005</v>
      </c>
      <c r="BE38" s="174" t="n">
        <v>0.14</v>
      </c>
      <c r="BF38" s="174" t="n">
        <v>0.02</v>
      </c>
      <c r="BG38" s="174" t="n">
        <v>-0.0825</v>
      </c>
      <c r="BH38" s="174" t="n">
        <v>0</v>
      </c>
      <c r="BI38" s="174" t="n">
        <v>0.08</v>
      </c>
      <c r="BJ38" s="136" t="n">
        <v>0.03</v>
      </c>
      <c r="BK38" s="136" t="n">
        <v>0.14</v>
      </c>
      <c r="BL38" s="136" t="n">
        <v>0.02</v>
      </c>
      <c r="BM38" s="136" t="n">
        <v>-0.205</v>
      </c>
      <c r="BN38" s="136" t="n">
        <v>0</v>
      </c>
      <c r="BO38" s="136" t="n">
        <v>-0.435</v>
      </c>
      <c r="BP38" s="136" t="n">
        <v>0.02</v>
      </c>
      <c r="BQ38" s="136" t="n">
        <v>0.4</v>
      </c>
      <c r="BR38" s="136" t="n">
        <v>0.02</v>
      </c>
      <c r="BS38" s="136" t="n">
        <v>-0.105</v>
      </c>
      <c r="BT38" s="136" t="n">
        <v>0.005</v>
      </c>
      <c r="BU38" s="136" t="n">
        <v>0.2</v>
      </c>
      <c r="BV38" s="136" t="n">
        <v>0.01</v>
      </c>
      <c r="BW38" s="136" t="n">
        <v>0.14</v>
      </c>
      <c r="BX38" s="136" t="n">
        <v>0</v>
      </c>
      <c r="BY38" s="136" t="n">
        <v>-0.025</v>
      </c>
      <c r="BZ38" s="136" t="n">
        <v>0.0575</v>
      </c>
      <c r="CA38" s="136" t="n">
        <v>0.15</v>
      </c>
      <c r="CB38" s="136" t="n">
        <v>0.005</v>
      </c>
      <c r="CC38" s="136" t="n">
        <v>-0.025</v>
      </c>
      <c r="CD38" s="136" t="n">
        <v>0.0025</v>
      </c>
      <c r="CE38" s="136" t="n">
        <v>0.0025</v>
      </c>
      <c r="CF38" s="136" t="n">
        <v>0</v>
      </c>
      <c r="CG38" s="136" t="n">
        <v>-0.025</v>
      </c>
      <c r="CH38" s="136" t="n">
        <v>0.0025</v>
      </c>
      <c r="CI38" s="136" t="n">
        <v>-0.0875</v>
      </c>
      <c r="CJ38" s="136" t="n">
        <v>0</v>
      </c>
      <c r="CK38" s="136" t="n">
        <v>0.0775</v>
      </c>
      <c r="CL38" s="136" t="n">
        <v>0</v>
      </c>
      <c r="CM38" s="136" t="n">
        <v>-0.0725</v>
      </c>
      <c r="CN38" s="136" t="n">
        <v>0.0075</v>
      </c>
      <c r="CO38" s="136" t="n">
        <v>-0.0175</v>
      </c>
      <c r="CP38" s="136" t="n">
        <v>0.005</v>
      </c>
      <c r="CQ38" s="136" t="n">
        <v>0.0225</v>
      </c>
      <c r="CR38" s="136" t="n">
        <v>0.0075</v>
      </c>
      <c r="CS38" s="136" t="n">
        <v>0.41</v>
      </c>
      <c r="CT38" s="136" t="n">
        <v>0.035</v>
      </c>
      <c r="CU38" s="136" t="n">
        <v>-0.205</v>
      </c>
      <c r="CV38" s="136" t="n">
        <v>0</v>
      </c>
      <c r="CW38" s="136" t="n">
        <v>0.205</v>
      </c>
      <c r="CX38" s="136" t="n">
        <v>0.0075</v>
      </c>
      <c r="CY38" s="136" t="n">
        <v>-0.705</v>
      </c>
      <c r="CZ38" s="136" t="n">
        <v>0</v>
      </c>
      <c r="DA38" s="136" t="n">
        <v>-0.525</v>
      </c>
      <c r="DB38" s="136" t="n">
        <v>0</v>
      </c>
      <c r="DC38" s="136" t="n">
        <v>1.05</v>
      </c>
      <c r="DE38" s="136" t="n">
        <v>-0.0525</v>
      </c>
      <c r="DF38" s="136" t="n">
        <v>0.0075</v>
      </c>
      <c r="DG38" s="136" t="n">
        <v>0.0125</v>
      </c>
      <c r="DH38" s="136" t="n">
        <v>0.005</v>
      </c>
      <c r="DI38" s="136" t="n">
        <v>-0.02</v>
      </c>
      <c r="DJ38" s="136" t="n">
        <v>0.005</v>
      </c>
      <c r="DK38" s="136" t="n">
        <v>-0.065</v>
      </c>
      <c r="DL38" s="136" t="n">
        <v>0.005</v>
      </c>
      <c r="DM38" s="136" t="n">
        <v>-0.065</v>
      </c>
      <c r="DN38" s="136" t="n">
        <v>0</v>
      </c>
      <c r="DO38" s="136" t="n">
        <v>-0.0875</v>
      </c>
      <c r="DP38" s="136" t="n">
        <v>0</v>
      </c>
      <c r="DQ38" s="136" t="n">
        <v>-0.095</v>
      </c>
      <c r="DR38" s="136" t="n">
        <v>-0.005</v>
      </c>
      <c r="DS38" s="136" t="n">
        <v>0.35</v>
      </c>
      <c r="DT38" s="136" t="n">
        <v>0.005</v>
      </c>
      <c r="DU38" s="136" t="n">
        <v>-0.045</v>
      </c>
      <c r="DV38" s="136" t="n">
        <v>0</v>
      </c>
    </row>
    <row r="39" customFormat="false" ht="12.75" hidden="false" customHeight="false" outlineLevel="0" collapsed="false">
      <c r="D39" s="135" t="n">
        <v>37834</v>
      </c>
      <c r="F39" s="174" t="n">
        <v>3.246</v>
      </c>
      <c r="G39" s="175" t="n">
        <v>0.0319670833322725</v>
      </c>
      <c r="H39" s="174" t="n">
        <v>0.3725</v>
      </c>
      <c r="I39" s="174" t="n">
        <v>0.58</v>
      </c>
      <c r="J39" s="174" t="n">
        <v>0.58</v>
      </c>
      <c r="K39" s="174" t="n">
        <v>0.53</v>
      </c>
      <c r="L39" s="172" t="n">
        <v>0.63</v>
      </c>
      <c r="M39" s="172" t="n">
        <v>0.58</v>
      </c>
      <c r="N39" s="174" t="n">
        <v>0.63</v>
      </c>
      <c r="O39" s="174" t="n">
        <v>0.58</v>
      </c>
      <c r="P39" s="174" t="n">
        <v>0.63</v>
      </c>
      <c r="Q39" s="174" t="n">
        <v>0.48</v>
      </c>
      <c r="R39" s="175" t="n">
        <v>0.58</v>
      </c>
      <c r="S39" s="175" t="n">
        <v>0.63</v>
      </c>
      <c r="T39" s="174" t="n">
        <v>0.58</v>
      </c>
      <c r="U39" s="174" t="n">
        <v>0.63</v>
      </c>
      <c r="V39" s="174" t="n">
        <v>0.73</v>
      </c>
      <c r="W39" s="174" t="n">
        <v>-0.09</v>
      </c>
      <c r="X39" s="174" t="n">
        <v>0</v>
      </c>
      <c r="Y39" s="174" t="n">
        <v>0.035</v>
      </c>
      <c r="Z39" s="174" t="n">
        <v>0.005</v>
      </c>
      <c r="AA39" s="174" t="n">
        <v>0.165</v>
      </c>
      <c r="AB39" s="174" t="n">
        <v>0</v>
      </c>
      <c r="AC39" s="174" t="n">
        <v>0.13</v>
      </c>
      <c r="AD39" s="174" t="n">
        <v>0</v>
      </c>
      <c r="AE39" s="174" t="n">
        <v>0.165</v>
      </c>
      <c r="AF39" s="174" t="n">
        <v>0</v>
      </c>
      <c r="AG39" s="174" t="n">
        <v>0.12</v>
      </c>
      <c r="AH39" s="174" t="n">
        <v>0</v>
      </c>
      <c r="AI39" s="174" t="n">
        <v>0.13</v>
      </c>
      <c r="AJ39" s="174" t="n">
        <v>0</v>
      </c>
      <c r="AK39" s="174" t="n">
        <v>0.035</v>
      </c>
      <c r="AL39" s="174" t="n">
        <v>0.04</v>
      </c>
      <c r="AM39" s="174" t="n">
        <v>-0.0775</v>
      </c>
      <c r="AN39" s="174" t="n">
        <v>0.009</v>
      </c>
      <c r="AO39" s="174" t="n">
        <v>-0.435</v>
      </c>
      <c r="AP39" s="174" t="n">
        <v>0.155</v>
      </c>
      <c r="AQ39" s="174" t="n">
        <v>-0.0725</v>
      </c>
      <c r="AR39" s="174" t="n">
        <v>0</v>
      </c>
      <c r="AS39" s="174" t="n">
        <v>-0.15</v>
      </c>
      <c r="AT39" s="174" t="n">
        <v>-0.015</v>
      </c>
      <c r="AU39" s="174" t="n">
        <v>-0.11</v>
      </c>
      <c r="AV39" s="174" t="n">
        <v>0.02</v>
      </c>
      <c r="AW39" s="174" t="n">
        <v>-0.095</v>
      </c>
      <c r="AX39" s="174" t="n">
        <v>0.0075</v>
      </c>
      <c r="AY39" s="175" t="n">
        <v>0.125</v>
      </c>
      <c r="AZ39" s="175" t="n">
        <v>0</v>
      </c>
      <c r="BA39" s="175" t="n">
        <v>-0.26</v>
      </c>
      <c r="BB39" s="174" t="n">
        <v>0.0025</v>
      </c>
      <c r="BC39" s="174" t="n">
        <v>-0.105</v>
      </c>
      <c r="BD39" s="174" t="n">
        <v>0.005</v>
      </c>
      <c r="BE39" s="174" t="n">
        <v>0.14</v>
      </c>
      <c r="BF39" s="174" t="n">
        <v>0.02</v>
      </c>
      <c r="BG39" s="174" t="n">
        <v>-0.0825</v>
      </c>
      <c r="BH39" s="174" t="n">
        <v>0</v>
      </c>
      <c r="BI39" s="174" t="n">
        <v>0.08</v>
      </c>
      <c r="BJ39" s="136" t="n">
        <v>0.03</v>
      </c>
      <c r="BK39" s="136" t="n">
        <v>0.14</v>
      </c>
      <c r="BL39" s="136" t="n">
        <v>0.02</v>
      </c>
      <c r="BM39" s="136" t="n">
        <v>-0.205</v>
      </c>
      <c r="BN39" s="136" t="n">
        <v>0</v>
      </c>
      <c r="BO39" s="136" t="n">
        <v>-0.435</v>
      </c>
      <c r="BP39" s="136" t="n">
        <v>0.02</v>
      </c>
      <c r="BQ39" s="136" t="n">
        <v>0.4</v>
      </c>
      <c r="BR39" s="136" t="n">
        <v>0.02</v>
      </c>
      <c r="BS39" s="136" t="n">
        <v>-0.105</v>
      </c>
      <c r="BT39" s="136" t="n">
        <v>0.005</v>
      </c>
      <c r="BU39" s="136" t="n">
        <v>0.2</v>
      </c>
      <c r="BV39" s="136" t="n">
        <v>0.01</v>
      </c>
      <c r="BW39" s="136" t="n">
        <v>0.14</v>
      </c>
      <c r="BX39" s="136" t="n">
        <v>0</v>
      </c>
      <c r="BY39" s="136" t="n">
        <v>-0.025</v>
      </c>
      <c r="BZ39" s="136" t="n">
        <v>0.0575</v>
      </c>
      <c r="CA39" s="136" t="n">
        <v>0.15</v>
      </c>
      <c r="CB39" s="136" t="n">
        <v>0.005</v>
      </c>
      <c r="CC39" s="136" t="n">
        <v>-0.025</v>
      </c>
      <c r="CD39" s="136" t="n">
        <v>0.0025</v>
      </c>
      <c r="CE39" s="136" t="n">
        <v>0.0025</v>
      </c>
      <c r="CF39" s="136" t="n">
        <v>0</v>
      </c>
      <c r="CG39" s="136" t="n">
        <v>-0.025</v>
      </c>
      <c r="CH39" s="136" t="n">
        <v>0.0025</v>
      </c>
      <c r="CI39" s="136" t="n">
        <v>-0.085</v>
      </c>
      <c r="CJ39" s="136" t="n">
        <v>0</v>
      </c>
      <c r="CK39" s="136" t="n">
        <v>0.0775</v>
      </c>
      <c r="CL39" s="136" t="n">
        <v>0</v>
      </c>
      <c r="CM39" s="136" t="n">
        <v>-0.0725</v>
      </c>
      <c r="CN39" s="136" t="n">
        <v>0.0075</v>
      </c>
      <c r="CO39" s="136" t="n">
        <v>-0.0175</v>
      </c>
      <c r="CP39" s="136" t="n">
        <v>0.005</v>
      </c>
      <c r="CQ39" s="136" t="n">
        <v>0.0225</v>
      </c>
      <c r="CR39" s="136" t="n">
        <v>0.0075</v>
      </c>
      <c r="CS39" s="136" t="n">
        <v>0.41</v>
      </c>
      <c r="CT39" s="136" t="n">
        <v>0.01</v>
      </c>
      <c r="CU39" s="136" t="n">
        <v>-0.205</v>
      </c>
      <c r="CV39" s="136" t="n">
        <v>0</v>
      </c>
      <c r="CW39" s="136" t="n">
        <v>0.205</v>
      </c>
      <c r="CX39" s="136" t="n">
        <v>0.0075</v>
      </c>
      <c r="CY39" s="136" t="n">
        <v>-0.705</v>
      </c>
      <c r="CZ39" s="136" t="n">
        <v>0</v>
      </c>
      <c r="DA39" s="136" t="n">
        <v>-0.525</v>
      </c>
      <c r="DB39" s="136" t="n">
        <v>0</v>
      </c>
      <c r="DC39" s="136" t="n">
        <v>1.05</v>
      </c>
      <c r="DE39" s="136" t="n">
        <v>-0.0525</v>
      </c>
      <c r="DF39" s="136" t="n">
        <v>0.0075</v>
      </c>
      <c r="DG39" s="136" t="n">
        <v>0.0125</v>
      </c>
      <c r="DH39" s="136" t="n">
        <v>0.005</v>
      </c>
      <c r="DI39" s="136" t="n">
        <v>-0.02</v>
      </c>
      <c r="DJ39" s="136" t="n">
        <v>0.005</v>
      </c>
      <c r="DK39" s="136" t="n">
        <v>-0.06</v>
      </c>
      <c r="DL39" s="136" t="n">
        <v>0.005</v>
      </c>
      <c r="DM39" s="136" t="n">
        <v>-0.065</v>
      </c>
      <c r="DN39" s="136" t="n">
        <v>0</v>
      </c>
      <c r="DO39" s="136" t="n">
        <v>-0.0875</v>
      </c>
      <c r="DP39" s="136" t="n">
        <v>0</v>
      </c>
      <c r="DQ39" s="136" t="n">
        <v>-0.09</v>
      </c>
      <c r="DR39" s="136" t="n">
        <v>-0.005</v>
      </c>
      <c r="DS39" s="136" t="n">
        <v>0.35</v>
      </c>
      <c r="DT39" s="136" t="n">
        <v>-0.005</v>
      </c>
      <c r="DU39" s="136" t="n">
        <v>-0.045</v>
      </c>
      <c r="DV39" s="136" t="n">
        <v>0</v>
      </c>
    </row>
    <row r="40" customFormat="false" ht="12.75" hidden="false" customHeight="false" outlineLevel="0" collapsed="false">
      <c r="D40" s="135" t="n">
        <v>37865</v>
      </c>
      <c r="F40" s="174" t="n">
        <v>3.241</v>
      </c>
      <c r="G40" s="175" t="n">
        <v>0.032968887702129</v>
      </c>
      <c r="H40" s="174" t="n">
        <v>0.37</v>
      </c>
      <c r="I40" s="174" t="n">
        <v>0.58</v>
      </c>
      <c r="J40" s="174" t="n">
        <v>0.58</v>
      </c>
      <c r="K40" s="174" t="n">
        <v>0.58</v>
      </c>
      <c r="L40" s="172" t="n">
        <v>0.58</v>
      </c>
      <c r="M40" s="172" t="n">
        <v>0.58</v>
      </c>
      <c r="N40" s="174" t="n">
        <v>0.63</v>
      </c>
      <c r="O40" s="174" t="n">
        <v>0.63</v>
      </c>
      <c r="P40" s="174" t="n">
        <v>0.58</v>
      </c>
      <c r="Q40" s="174" t="n">
        <v>0.53</v>
      </c>
      <c r="R40" s="175" t="n">
        <v>0.58</v>
      </c>
      <c r="S40" s="175" t="n">
        <v>0.63</v>
      </c>
      <c r="T40" s="174" t="n">
        <v>0.58</v>
      </c>
      <c r="U40" s="174" t="n">
        <v>0.63</v>
      </c>
      <c r="V40" s="174" t="n">
        <v>0.68</v>
      </c>
      <c r="W40" s="174" t="n">
        <v>-0.09</v>
      </c>
      <c r="X40" s="174" t="n">
        <v>0</v>
      </c>
      <c r="Y40" s="174" t="n">
        <v>0.035</v>
      </c>
      <c r="Z40" s="174" t="n">
        <v>0.005</v>
      </c>
      <c r="AA40" s="174" t="n">
        <v>0.165</v>
      </c>
      <c r="AB40" s="174" t="n">
        <v>0</v>
      </c>
      <c r="AC40" s="174" t="n">
        <v>0.13</v>
      </c>
      <c r="AD40" s="174" t="n">
        <v>0</v>
      </c>
      <c r="AE40" s="174" t="n">
        <v>0.165</v>
      </c>
      <c r="AF40" s="174" t="n">
        <v>0</v>
      </c>
      <c r="AG40" s="174" t="n">
        <v>0.12</v>
      </c>
      <c r="AH40" s="174" t="n">
        <v>0</v>
      </c>
      <c r="AI40" s="174" t="n">
        <v>0.13</v>
      </c>
      <c r="AJ40" s="174" t="n">
        <v>0</v>
      </c>
      <c r="AK40" s="174" t="n">
        <v>0.035</v>
      </c>
      <c r="AL40" s="174" t="n">
        <v>0.04</v>
      </c>
      <c r="AM40" s="174" t="n">
        <v>-0.0775</v>
      </c>
      <c r="AN40" s="174" t="n">
        <v>0.009</v>
      </c>
      <c r="AO40" s="174" t="n">
        <v>-0.435</v>
      </c>
      <c r="AP40" s="174" t="n">
        <v>0.155</v>
      </c>
      <c r="AQ40" s="174" t="n">
        <v>-0.0725</v>
      </c>
      <c r="AR40" s="174" t="n">
        <v>0</v>
      </c>
      <c r="AS40" s="174" t="n">
        <v>-0.15</v>
      </c>
      <c r="AT40" s="174" t="n">
        <v>-0.015</v>
      </c>
      <c r="AU40" s="174" t="n">
        <v>-0.11</v>
      </c>
      <c r="AV40" s="174" t="n">
        <v>0.02</v>
      </c>
      <c r="AW40" s="174" t="n">
        <v>-0.095</v>
      </c>
      <c r="AX40" s="174" t="n">
        <v>0.0075</v>
      </c>
      <c r="AY40" s="175" t="n">
        <v>0.125</v>
      </c>
      <c r="AZ40" s="175" t="n">
        <v>0</v>
      </c>
      <c r="BA40" s="175" t="n">
        <v>-0.26</v>
      </c>
      <c r="BB40" s="174" t="n">
        <v>0.0025</v>
      </c>
      <c r="BC40" s="174" t="n">
        <v>-0.105</v>
      </c>
      <c r="BD40" s="174" t="n">
        <v>0.005</v>
      </c>
      <c r="BE40" s="174" t="n">
        <v>0.14</v>
      </c>
      <c r="BF40" s="174" t="n">
        <v>0.02</v>
      </c>
      <c r="BG40" s="174" t="n">
        <v>-0.0825</v>
      </c>
      <c r="BH40" s="174" t="n">
        <v>0</v>
      </c>
      <c r="BI40" s="174" t="n">
        <v>0.08</v>
      </c>
      <c r="BJ40" s="136" t="n">
        <v>0.03</v>
      </c>
      <c r="BK40" s="136" t="n">
        <v>0.14</v>
      </c>
      <c r="BL40" s="136" t="n">
        <v>0.02</v>
      </c>
      <c r="BM40" s="136" t="n">
        <v>-0.205</v>
      </c>
      <c r="BN40" s="136" t="n">
        <v>0</v>
      </c>
      <c r="BO40" s="136" t="n">
        <v>-0.435</v>
      </c>
      <c r="BP40" s="136" t="n">
        <v>0.02</v>
      </c>
      <c r="BQ40" s="136" t="n">
        <v>0.4</v>
      </c>
      <c r="BR40" s="136" t="n">
        <v>0.02</v>
      </c>
      <c r="BS40" s="136" t="n">
        <v>-0.105</v>
      </c>
      <c r="BT40" s="136" t="n">
        <v>0.005</v>
      </c>
      <c r="BU40" s="136" t="n">
        <v>0.2</v>
      </c>
      <c r="BV40" s="136" t="n">
        <v>0.01</v>
      </c>
      <c r="BW40" s="136" t="n">
        <v>0.14</v>
      </c>
      <c r="BX40" s="136" t="n">
        <v>0</v>
      </c>
      <c r="BY40" s="136" t="n">
        <v>-0.025</v>
      </c>
      <c r="BZ40" s="136" t="n">
        <v>0.0575</v>
      </c>
      <c r="CA40" s="136" t="n">
        <v>0.125</v>
      </c>
      <c r="CB40" s="136" t="n">
        <v>0.005</v>
      </c>
      <c r="CC40" s="136" t="n">
        <v>-0.025</v>
      </c>
      <c r="CD40" s="136" t="n">
        <v>0.0025</v>
      </c>
      <c r="CE40" s="136" t="n">
        <v>0.0025</v>
      </c>
      <c r="CF40" s="136" t="n">
        <v>0</v>
      </c>
      <c r="CG40" s="136" t="n">
        <v>-0.025</v>
      </c>
      <c r="CH40" s="136" t="n">
        <v>0.0025</v>
      </c>
      <c r="CI40" s="136" t="n">
        <v>-0.09</v>
      </c>
      <c r="CJ40" s="136" t="n">
        <v>0</v>
      </c>
      <c r="CK40" s="136" t="n">
        <v>0.0775</v>
      </c>
      <c r="CL40" s="136" t="n">
        <v>0</v>
      </c>
      <c r="CM40" s="136" t="n">
        <v>-0.0725</v>
      </c>
      <c r="CN40" s="136" t="n">
        <v>0.0075</v>
      </c>
      <c r="CO40" s="136" t="n">
        <v>-0.0175</v>
      </c>
      <c r="CP40" s="136" t="n">
        <v>0.005</v>
      </c>
      <c r="CQ40" s="136" t="n">
        <v>0.0225</v>
      </c>
      <c r="CR40" s="136" t="n">
        <v>0.0075</v>
      </c>
      <c r="CS40" s="136" t="n">
        <v>0.36</v>
      </c>
      <c r="CT40" s="136" t="n">
        <v>0.01</v>
      </c>
      <c r="CU40" s="136" t="n">
        <v>-0.205</v>
      </c>
      <c r="CV40" s="136" t="n">
        <v>0</v>
      </c>
      <c r="CW40" s="136" t="n">
        <v>0.145</v>
      </c>
      <c r="CX40" s="136" t="n">
        <v>0.0075</v>
      </c>
      <c r="CY40" s="136" t="n">
        <v>-0.705</v>
      </c>
      <c r="CZ40" s="136" t="n">
        <v>0</v>
      </c>
      <c r="DA40" s="136" t="n">
        <v>-0.525</v>
      </c>
      <c r="DB40" s="136" t="n">
        <v>0</v>
      </c>
      <c r="DC40" s="136" t="n">
        <v>0.75</v>
      </c>
      <c r="DE40" s="136" t="n">
        <v>-0.0575</v>
      </c>
      <c r="DF40" s="136" t="n">
        <v>0.0075</v>
      </c>
      <c r="DG40" s="136" t="n">
        <v>0.0075</v>
      </c>
      <c r="DH40" s="136" t="n">
        <v>0.005</v>
      </c>
      <c r="DI40" s="136" t="n">
        <v>-0.025</v>
      </c>
      <c r="DJ40" s="136" t="n">
        <v>0.005</v>
      </c>
      <c r="DK40" s="136" t="n">
        <v>-0.07</v>
      </c>
      <c r="DL40" s="136" t="n">
        <v>0.005</v>
      </c>
      <c r="DM40" s="136" t="n">
        <v>-0.065</v>
      </c>
      <c r="DN40" s="136" t="n">
        <v>0</v>
      </c>
      <c r="DO40" s="136" t="n">
        <v>-0.0875</v>
      </c>
      <c r="DP40" s="136" t="n">
        <v>0</v>
      </c>
      <c r="DQ40" s="136" t="n">
        <v>-0.1</v>
      </c>
      <c r="DR40" s="136" t="n">
        <v>-0.005</v>
      </c>
      <c r="DS40" s="136" t="n">
        <v>0.315</v>
      </c>
      <c r="DT40" s="136" t="n">
        <v>-0.005</v>
      </c>
      <c r="DU40" s="136" t="n">
        <v>-0.045</v>
      </c>
      <c r="DV40" s="136" t="n">
        <v>0</v>
      </c>
    </row>
    <row r="41" customFormat="false" ht="12.75" hidden="false" customHeight="false" outlineLevel="0" collapsed="false">
      <c r="D41" s="135" t="n">
        <v>37895</v>
      </c>
      <c r="F41" s="174" t="n">
        <v>3.267</v>
      </c>
      <c r="G41" s="175" t="n">
        <v>0.0339067018220711</v>
      </c>
      <c r="H41" s="174" t="n">
        <v>0.3725</v>
      </c>
      <c r="I41" s="174" t="n">
        <v>0.63</v>
      </c>
      <c r="J41" s="174" t="n">
        <v>0.63</v>
      </c>
      <c r="K41" s="174" t="n">
        <v>0.58</v>
      </c>
      <c r="L41" s="172" t="n">
        <v>0.63</v>
      </c>
      <c r="M41" s="172" t="n">
        <v>0.63</v>
      </c>
      <c r="N41" s="174" t="n">
        <v>0.68</v>
      </c>
      <c r="O41" s="174" t="n">
        <v>0.68</v>
      </c>
      <c r="P41" s="174" t="n">
        <v>0.63</v>
      </c>
      <c r="Q41" s="174" t="n">
        <v>0.53</v>
      </c>
      <c r="R41" s="175" t="n">
        <v>0.63</v>
      </c>
      <c r="S41" s="175" t="n">
        <v>0.68</v>
      </c>
      <c r="T41" s="174" t="n">
        <v>0.63</v>
      </c>
      <c r="U41" s="174" t="n">
        <v>0.68</v>
      </c>
      <c r="V41" s="174" t="n">
        <v>0.73</v>
      </c>
      <c r="W41" s="174" t="n">
        <v>-0.09</v>
      </c>
      <c r="X41" s="174" t="n">
        <v>0</v>
      </c>
      <c r="Y41" s="174" t="n">
        <v>0.035</v>
      </c>
      <c r="Z41" s="174" t="n">
        <v>0.005</v>
      </c>
      <c r="AA41" s="174" t="n">
        <v>0.165</v>
      </c>
      <c r="AB41" s="174" t="n">
        <v>0</v>
      </c>
      <c r="AC41" s="174" t="n">
        <v>0.13</v>
      </c>
      <c r="AD41" s="174" t="n">
        <v>0</v>
      </c>
      <c r="AE41" s="174" t="n">
        <v>0.165</v>
      </c>
      <c r="AF41" s="174" t="n">
        <v>0</v>
      </c>
      <c r="AG41" s="174" t="n">
        <v>0.12</v>
      </c>
      <c r="AH41" s="174" t="n">
        <v>0</v>
      </c>
      <c r="AI41" s="174" t="n">
        <v>0.13</v>
      </c>
      <c r="AJ41" s="174" t="n">
        <v>0</v>
      </c>
      <c r="AK41" s="174" t="n">
        <v>0.035</v>
      </c>
      <c r="AL41" s="174" t="n">
        <v>0.04</v>
      </c>
      <c r="AM41" s="174" t="n">
        <v>-0.0775</v>
      </c>
      <c r="AN41" s="174" t="n">
        <v>0.009</v>
      </c>
      <c r="AO41" s="174" t="n">
        <v>-0.435</v>
      </c>
      <c r="AP41" s="174" t="n">
        <v>0.155</v>
      </c>
      <c r="AQ41" s="174" t="n">
        <v>-0.0725</v>
      </c>
      <c r="AR41" s="174" t="n">
        <v>0</v>
      </c>
      <c r="AS41" s="174" t="n">
        <v>-0.15</v>
      </c>
      <c r="AT41" s="174" t="n">
        <v>-0.015</v>
      </c>
      <c r="AU41" s="174" t="n">
        <v>-0.11</v>
      </c>
      <c r="AV41" s="174" t="n">
        <v>0.02</v>
      </c>
      <c r="AW41" s="174" t="n">
        <v>-0.095</v>
      </c>
      <c r="AX41" s="174" t="n">
        <v>0.0075</v>
      </c>
      <c r="AY41" s="175" t="n">
        <v>0.125</v>
      </c>
      <c r="AZ41" s="175" t="n">
        <v>0</v>
      </c>
      <c r="BA41" s="175" t="n">
        <v>-0.26</v>
      </c>
      <c r="BB41" s="174" t="n">
        <v>0.0025</v>
      </c>
      <c r="BC41" s="174" t="n">
        <v>-0.105</v>
      </c>
      <c r="BD41" s="174" t="n">
        <v>0.005</v>
      </c>
      <c r="BE41" s="174" t="n">
        <v>0.14</v>
      </c>
      <c r="BF41" s="174" t="n">
        <v>0.02</v>
      </c>
      <c r="BG41" s="174" t="n">
        <v>-0.0825</v>
      </c>
      <c r="BH41" s="174" t="n">
        <v>0</v>
      </c>
      <c r="BI41" s="174" t="n">
        <v>0.08</v>
      </c>
      <c r="BJ41" s="136" t="n">
        <v>0.03</v>
      </c>
      <c r="BK41" s="136" t="n">
        <v>0.14</v>
      </c>
      <c r="BL41" s="136" t="n">
        <v>0.02</v>
      </c>
      <c r="BM41" s="136" t="n">
        <v>-0.205</v>
      </c>
      <c r="BN41" s="136" t="n">
        <v>0</v>
      </c>
      <c r="BO41" s="136" t="n">
        <v>-0.435</v>
      </c>
      <c r="BP41" s="136" t="n">
        <v>0.02</v>
      </c>
      <c r="BQ41" s="136" t="n">
        <v>0.4</v>
      </c>
      <c r="BR41" s="136" t="n">
        <v>0.02</v>
      </c>
      <c r="BS41" s="136" t="n">
        <v>-0.105</v>
      </c>
      <c r="BT41" s="136" t="n">
        <v>0.005</v>
      </c>
      <c r="BU41" s="136" t="n">
        <v>0.2</v>
      </c>
      <c r="BV41" s="136" t="n">
        <v>0.01</v>
      </c>
      <c r="BW41" s="136" t="n">
        <v>0.14</v>
      </c>
      <c r="BX41" s="136" t="n">
        <v>0</v>
      </c>
      <c r="BY41" s="136" t="n">
        <v>-0.025</v>
      </c>
      <c r="BZ41" s="136" t="n">
        <v>0.0575</v>
      </c>
      <c r="CA41" s="136" t="n">
        <v>0.145</v>
      </c>
      <c r="CB41" s="136" t="n">
        <v>0.005</v>
      </c>
      <c r="CC41" s="136" t="n">
        <v>-0.025</v>
      </c>
      <c r="CD41" s="136" t="n">
        <v>0.0025</v>
      </c>
      <c r="CE41" s="136" t="n">
        <v>0.0025</v>
      </c>
      <c r="CF41" s="136" t="n">
        <v>0</v>
      </c>
      <c r="CG41" s="136" t="n">
        <v>-0.025</v>
      </c>
      <c r="CH41" s="136" t="n">
        <v>0.0025</v>
      </c>
      <c r="CI41" s="136" t="n">
        <v>-0.0925</v>
      </c>
      <c r="CJ41" s="136" t="n">
        <v>0</v>
      </c>
      <c r="CK41" s="136" t="n">
        <v>0.0775</v>
      </c>
      <c r="CL41" s="136" t="n">
        <v>0</v>
      </c>
      <c r="CM41" s="136" t="n">
        <v>-0.0725</v>
      </c>
      <c r="CN41" s="136" t="n">
        <v>0.0075</v>
      </c>
      <c r="CO41" s="136" t="n">
        <v>-0.0175</v>
      </c>
      <c r="CP41" s="136" t="n">
        <v>0.005</v>
      </c>
      <c r="CQ41" s="136" t="n">
        <v>0.0225</v>
      </c>
      <c r="CR41" s="136" t="n">
        <v>0.0075</v>
      </c>
      <c r="CS41" s="136" t="n">
        <v>0.4</v>
      </c>
      <c r="CT41" s="136" t="n">
        <v>0.01</v>
      </c>
      <c r="CU41" s="136" t="n">
        <v>-0.205</v>
      </c>
      <c r="CV41" s="136" t="n">
        <v>0</v>
      </c>
      <c r="CW41" s="136" t="n">
        <v>0.175</v>
      </c>
      <c r="CX41" s="136" t="n">
        <v>0.0075</v>
      </c>
      <c r="CY41" s="136" t="n">
        <v>-0.705</v>
      </c>
      <c r="CZ41" s="136" t="n">
        <v>0</v>
      </c>
      <c r="DA41" s="136" t="n">
        <v>-0.525</v>
      </c>
      <c r="DB41" s="136" t="n">
        <v>0</v>
      </c>
      <c r="DC41" s="136" t="n">
        <v>0.45</v>
      </c>
      <c r="DE41" s="136" t="n">
        <v>-0.0575</v>
      </c>
      <c r="DF41" s="136" t="n">
        <v>0.0075</v>
      </c>
      <c r="DG41" s="136" t="n">
        <v>0.0075</v>
      </c>
      <c r="DH41" s="136" t="n">
        <v>0.005</v>
      </c>
      <c r="DI41" s="136" t="n">
        <v>-0.025</v>
      </c>
      <c r="DJ41" s="136" t="n">
        <v>0.005</v>
      </c>
      <c r="DK41" s="136" t="n">
        <v>-0.0575</v>
      </c>
      <c r="DL41" s="136" t="n">
        <v>0.005</v>
      </c>
      <c r="DM41" s="136" t="n">
        <v>-0.065</v>
      </c>
      <c r="DN41" s="136" t="n">
        <v>0</v>
      </c>
      <c r="DO41" s="136" t="n">
        <v>-0.0875</v>
      </c>
      <c r="DP41" s="136" t="n">
        <v>0</v>
      </c>
      <c r="DQ41" s="136" t="n">
        <v>-0.0875</v>
      </c>
      <c r="DR41" s="136" t="n">
        <v>-0.005</v>
      </c>
      <c r="DS41" s="136" t="n">
        <v>0.36</v>
      </c>
      <c r="DT41" s="136" t="n">
        <v>-0.005</v>
      </c>
      <c r="DU41" s="136" t="n">
        <v>-0.045</v>
      </c>
      <c r="DV41" s="136" t="n">
        <v>0</v>
      </c>
    </row>
    <row r="42" customFormat="false" ht="12.75" hidden="false" customHeight="false" outlineLevel="0" collapsed="false">
      <c r="D42" s="135" t="n">
        <v>37926</v>
      </c>
      <c r="F42" s="174" t="n">
        <v>3.402</v>
      </c>
      <c r="G42" s="175" t="n">
        <v>0.0348361539671314</v>
      </c>
      <c r="H42" s="174" t="n">
        <v>0.37</v>
      </c>
      <c r="I42" s="174" t="n">
        <v>0.83</v>
      </c>
      <c r="J42" s="174" t="n">
        <v>0.88</v>
      </c>
      <c r="K42" s="174" t="n">
        <v>0.83</v>
      </c>
      <c r="L42" s="172" t="n">
        <v>0.83</v>
      </c>
      <c r="M42" s="172" t="n">
        <v>0.93</v>
      </c>
      <c r="N42" s="174" t="n">
        <v>0.98</v>
      </c>
      <c r="O42" s="174" t="n">
        <v>0.88</v>
      </c>
      <c r="P42" s="174" t="n">
        <v>0.83</v>
      </c>
      <c r="Q42" s="174" t="n">
        <v>0.98</v>
      </c>
      <c r="R42" s="175" t="n">
        <v>0.83</v>
      </c>
      <c r="S42" s="175" t="n">
        <v>0.83</v>
      </c>
      <c r="T42" s="174" t="n">
        <v>0.83</v>
      </c>
      <c r="U42" s="174" t="n">
        <v>0.98</v>
      </c>
      <c r="V42" s="174" t="n">
        <v>0.93</v>
      </c>
      <c r="W42" s="174" t="n">
        <v>0</v>
      </c>
      <c r="X42" s="174" t="n">
        <v>0.03</v>
      </c>
      <c r="Y42" s="174" t="n">
        <v>0.125</v>
      </c>
      <c r="Z42" s="174" t="n">
        <v>0.02</v>
      </c>
      <c r="AA42" s="174" t="n">
        <v>0.37</v>
      </c>
      <c r="AB42" s="174" t="n">
        <v>0</v>
      </c>
      <c r="AC42" s="174" t="n">
        <v>0.36</v>
      </c>
      <c r="AD42" s="174" t="n">
        <v>0</v>
      </c>
      <c r="AE42" s="174" t="n">
        <v>0.37</v>
      </c>
      <c r="AF42" s="174" t="n">
        <v>0</v>
      </c>
      <c r="AG42" s="174" t="n">
        <v>0.22</v>
      </c>
      <c r="AH42" s="174" t="n">
        <v>0</v>
      </c>
      <c r="AI42" s="174" t="n">
        <v>0.18976</v>
      </c>
      <c r="AJ42" s="174" t="n">
        <v>0</v>
      </c>
      <c r="AK42" s="174" t="n">
        <v>0.125</v>
      </c>
      <c r="AL42" s="174" t="n">
        <v>0.035</v>
      </c>
      <c r="AM42" s="174" t="n">
        <v>-0.0925</v>
      </c>
      <c r="AN42" s="174" t="n">
        <v>0.004</v>
      </c>
      <c r="AO42" s="174" t="n">
        <v>-0.395</v>
      </c>
      <c r="AP42" s="174" t="n">
        <v>0.155</v>
      </c>
      <c r="AQ42" s="174" t="n">
        <v>-0.0725</v>
      </c>
      <c r="AR42" s="174" t="n">
        <v>0.005</v>
      </c>
      <c r="AS42" s="174" t="n">
        <v>-0.15</v>
      </c>
      <c r="AT42" s="174" t="n">
        <v>-0.005</v>
      </c>
      <c r="AU42" s="174" t="n">
        <v>-0.11</v>
      </c>
      <c r="AV42" s="174" t="n">
        <v>-0.01</v>
      </c>
      <c r="AW42" s="174" t="n">
        <v>-0.095</v>
      </c>
      <c r="AX42" s="174" t="n">
        <v>0.005</v>
      </c>
      <c r="AY42" s="175" t="n">
        <v>0.145</v>
      </c>
      <c r="AZ42" s="175" t="n">
        <v>0</v>
      </c>
      <c r="BA42" s="175" t="n">
        <v>-0.18</v>
      </c>
      <c r="BB42" s="174" t="n">
        <v>0.005</v>
      </c>
      <c r="BC42" s="174" t="n">
        <v>-0.1025</v>
      </c>
      <c r="BD42" s="174" t="n">
        <v>0.005</v>
      </c>
      <c r="BE42" s="174" t="n">
        <v>0.17</v>
      </c>
      <c r="BF42" s="174" t="n">
        <v>0.03</v>
      </c>
      <c r="BG42" s="174" t="n">
        <v>-0.0825</v>
      </c>
      <c r="BH42" s="174" t="n">
        <v>0</v>
      </c>
      <c r="BI42" s="174" t="n">
        <v>0.1</v>
      </c>
      <c r="BJ42" s="136" t="n">
        <v>0.04</v>
      </c>
      <c r="BK42" s="136" t="n">
        <v>0.17</v>
      </c>
      <c r="BL42" s="136" t="n">
        <v>0.03</v>
      </c>
      <c r="BM42" s="136" t="n">
        <v>0.15</v>
      </c>
      <c r="BN42" s="136" t="n">
        <v>0</v>
      </c>
      <c r="BO42" s="136" t="n">
        <v>-0.25</v>
      </c>
      <c r="BP42" s="136" t="n">
        <v>0.03</v>
      </c>
      <c r="BQ42" s="136" t="n">
        <v>0.46</v>
      </c>
      <c r="BR42" s="136" t="n">
        <v>0.03</v>
      </c>
      <c r="BS42" s="136" t="n">
        <v>-0.1025</v>
      </c>
      <c r="BT42" s="136" t="n">
        <v>0.005</v>
      </c>
      <c r="BU42" s="136" t="n">
        <v>0.26</v>
      </c>
      <c r="BV42" s="136" t="n">
        <v>0.01</v>
      </c>
      <c r="BW42" s="136" t="n">
        <v>0.17</v>
      </c>
      <c r="BX42" s="136" t="n">
        <v>0</v>
      </c>
      <c r="BY42" s="136" t="n">
        <v>-0.025</v>
      </c>
      <c r="BZ42" s="136" t="n">
        <v>0.0575</v>
      </c>
      <c r="CA42" s="136" t="n">
        <v>0.195</v>
      </c>
      <c r="CB42" s="136" t="n">
        <v>0.005</v>
      </c>
      <c r="CC42" s="136" t="n">
        <v>-0.025</v>
      </c>
      <c r="CD42" s="136" t="n">
        <v>0.0025</v>
      </c>
      <c r="CE42" s="136" t="n">
        <v>0.0025</v>
      </c>
      <c r="CF42" s="136" t="n">
        <v>0</v>
      </c>
      <c r="CG42" s="136" t="n">
        <v>-0.025</v>
      </c>
      <c r="CH42" s="136" t="n">
        <v>0.0025</v>
      </c>
      <c r="CI42" s="136" t="n">
        <v>-0.0975</v>
      </c>
      <c r="CJ42" s="136" t="n">
        <v>0.0025</v>
      </c>
      <c r="CK42" s="136" t="n">
        <v>0.075</v>
      </c>
      <c r="CL42" s="136" t="n">
        <v>0.0025</v>
      </c>
      <c r="CM42" s="136" t="n">
        <v>-0.0675</v>
      </c>
      <c r="CN42" s="136" t="n">
        <v>0.01</v>
      </c>
      <c r="CO42" s="136" t="n">
        <v>-0.0125</v>
      </c>
      <c r="CP42" s="136" t="n">
        <v>0.0075</v>
      </c>
      <c r="CQ42" s="136" t="n">
        <v>0.0275</v>
      </c>
      <c r="CR42" s="136" t="n">
        <v>0.01</v>
      </c>
      <c r="CS42" s="136" t="n">
        <v>0.64</v>
      </c>
      <c r="CT42" s="136" t="n">
        <v>0.055</v>
      </c>
      <c r="CU42" s="136" t="n">
        <v>0.15</v>
      </c>
      <c r="CV42" s="136" t="n">
        <v>0</v>
      </c>
      <c r="CW42" s="136" t="n">
        <v>0.25</v>
      </c>
      <c r="CX42" s="136" t="n">
        <v>0.02</v>
      </c>
      <c r="CY42" s="136" t="n">
        <v>-0.51</v>
      </c>
      <c r="CZ42" s="136" t="n">
        <v>0</v>
      </c>
      <c r="DA42" s="136" t="n">
        <v>-0.33</v>
      </c>
      <c r="DB42" s="136" t="n">
        <v>0</v>
      </c>
      <c r="DC42" s="136" t="n">
        <v>0.45</v>
      </c>
      <c r="DE42" s="136" t="n">
        <v>-0.05</v>
      </c>
      <c r="DF42" s="136" t="n">
        <v>0.0075</v>
      </c>
      <c r="DG42" s="136" t="n">
        <v>0.005</v>
      </c>
      <c r="DH42" s="136" t="n">
        <v>0.0075</v>
      </c>
      <c r="DI42" s="136" t="n">
        <v>-0.02</v>
      </c>
      <c r="DJ42" s="136" t="n">
        <v>0.0025</v>
      </c>
      <c r="DK42" s="136" t="n">
        <v>-0.075</v>
      </c>
      <c r="DL42" s="136" t="n">
        <v>0.0025</v>
      </c>
      <c r="DM42" s="136" t="n">
        <v>-0.0675</v>
      </c>
      <c r="DN42" s="136" t="n">
        <v>0.0025</v>
      </c>
      <c r="DO42" s="136" t="n">
        <v>-0.09</v>
      </c>
      <c r="DP42" s="136" t="n">
        <v>0.0025</v>
      </c>
      <c r="DQ42" s="136" t="n">
        <v>-0.105</v>
      </c>
      <c r="DR42" s="136" t="n">
        <v>-0.005</v>
      </c>
      <c r="DS42" s="136" t="n">
        <v>0.46</v>
      </c>
      <c r="DT42" s="136" t="n">
        <v>0.05</v>
      </c>
      <c r="DU42" s="136" t="n">
        <v>0.065</v>
      </c>
      <c r="DV42" s="136" t="n">
        <v>0</v>
      </c>
    </row>
    <row r="43" customFormat="false" ht="12.75" hidden="false" customHeight="false" outlineLevel="0" collapsed="false">
      <c r="D43" s="135" t="n">
        <v>37956</v>
      </c>
      <c r="F43" s="174" t="n">
        <v>3.537</v>
      </c>
      <c r="G43" s="175" t="n">
        <v>0.0357356240616102</v>
      </c>
      <c r="H43" s="174" t="n">
        <v>0.37</v>
      </c>
      <c r="I43" s="174" t="n">
        <v>1.03</v>
      </c>
      <c r="J43" s="174" t="n">
        <v>1.08</v>
      </c>
      <c r="K43" s="174" t="n">
        <v>1.03</v>
      </c>
      <c r="L43" s="172" t="n">
        <v>1.03</v>
      </c>
      <c r="M43" s="172" t="n">
        <v>1.18</v>
      </c>
      <c r="N43" s="174" t="n">
        <v>1.28</v>
      </c>
      <c r="O43" s="174" t="n">
        <v>1.08</v>
      </c>
      <c r="P43" s="174" t="n">
        <v>1.03</v>
      </c>
      <c r="Q43" s="174" t="n">
        <v>1.38</v>
      </c>
      <c r="R43" s="175" t="n">
        <v>1.03</v>
      </c>
      <c r="S43" s="175" t="n">
        <v>1.13</v>
      </c>
      <c r="T43" s="174" t="n">
        <v>1.03</v>
      </c>
      <c r="U43" s="174" t="n">
        <v>1.28</v>
      </c>
      <c r="V43" s="174" t="n">
        <v>1.13</v>
      </c>
      <c r="W43" s="174" t="n">
        <v>0.005</v>
      </c>
      <c r="X43" s="174" t="n">
        <v>0.03</v>
      </c>
      <c r="Y43" s="174" t="n">
        <v>0.125</v>
      </c>
      <c r="Z43" s="174" t="n">
        <v>0.02</v>
      </c>
      <c r="AA43" s="174" t="n">
        <v>0.37</v>
      </c>
      <c r="AB43" s="174" t="n">
        <v>0</v>
      </c>
      <c r="AC43" s="174" t="n">
        <v>0.36</v>
      </c>
      <c r="AD43" s="174" t="n">
        <v>0</v>
      </c>
      <c r="AE43" s="174" t="n">
        <v>0.37</v>
      </c>
      <c r="AF43" s="174" t="n">
        <v>0</v>
      </c>
      <c r="AG43" s="174" t="n">
        <v>0.22</v>
      </c>
      <c r="AH43" s="174" t="n">
        <v>0</v>
      </c>
      <c r="AI43" s="174" t="n">
        <v>0.19424</v>
      </c>
      <c r="AJ43" s="174" t="n">
        <v>0</v>
      </c>
      <c r="AK43" s="174" t="n">
        <v>0.125</v>
      </c>
      <c r="AL43" s="174" t="n">
        <v>0.035</v>
      </c>
      <c r="AM43" s="174" t="n">
        <v>-0.095</v>
      </c>
      <c r="AN43" s="174" t="n">
        <v>0.004</v>
      </c>
      <c r="AO43" s="174" t="n">
        <v>-0.395</v>
      </c>
      <c r="AP43" s="174" t="n">
        <v>0.155</v>
      </c>
      <c r="AQ43" s="174" t="n">
        <v>-0.075</v>
      </c>
      <c r="AR43" s="174" t="n">
        <v>0.005</v>
      </c>
      <c r="AS43" s="174" t="n">
        <v>-0.1525</v>
      </c>
      <c r="AT43" s="174" t="n">
        <v>-0.005</v>
      </c>
      <c r="AU43" s="174" t="n">
        <v>-0.1125</v>
      </c>
      <c r="AV43" s="174" t="n">
        <v>-0.01</v>
      </c>
      <c r="AW43" s="174" t="n">
        <v>-0.095</v>
      </c>
      <c r="AX43" s="174" t="n">
        <v>0.005</v>
      </c>
      <c r="AY43" s="175" t="n">
        <v>0.145</v>
      </c>
      <c r="AZ43" s="175" t="n">
        <v>0</v>
      </c>
      <c r="BA43" s="175" t="n">
        <v>-0.18</v>
      </c>
      <c r="BB43" s="174" t="n">
        <v>0.005</v>
      </c>
      <c r="BC43" s="174" t="n">
        <v>-0.1025</v>
      </c>
      <c r="BD43" s="174" t="n">
        <v>0.005</v>
      </c>
      <c r="BE43" s="174" t="n">
        <v>0.17</v>
      </c>
      <c r="BF43" s="174" t="n">
        <v>0.03</v>
      </c>
      <c r="BG43" s="174" t="n">
        <v>-0.0825</v>
      </c>
      <c r="BH43" s="174" t="n">
        <v>0</v>
      </c>
      <c r="BI43" s="174" t="n">
        <v>0.1</v>
      </c>
      <c r="BJ43" s="136" t="n">
        <v>0.04</v>
      </c>
      <c r="BK43" s="136" t="n">
        <v>0.17</v>
      </c>
      <c r="BL43" s="136" t="n">
        <v>0.03</v>
      </c>
      <c r="BM43" s="136" t="n">
        <v>0.49</v>
      </c>
      <c r="BN43" s="136" t="n">
        <v>0</v>
      </c>
      <c r="BO43" s="136" t="n">
        <v>-0.25</v>
      </c>
      <c r="BP43" s="136" t="n">
        <v>0.03</v>
      </c>
      <c r="BQ43" s="136" t="n">
        <v>0.47</v>
      </c>
      <c r="BR43" s="136" t="n">
        <v>0.03</v>
      </c>
      <c r="BS43" s="136" t="n">
        <v>-0.1025</v>
      </c>
      <c r="BT43" s="136" t="n">
        <v>0.005</v>
      </c>
      <c r="BU43" s="136" t="n">
        <v>0.27</v>
      </c>
      <c r="BV43" s="136" t="n">
        <v>0.01</v>
      </c>
      <c r="BW43" s="136" t="n">
        <v>0.17</v>
      </c>
      <c r="BX43" s="136" t="n">
        <v>0</v>
      </c>
      <c r="BY43" s="136" t="n">
        <v>-0.025</v>
      </c>
      <c r="BZ43" s="136" t="n">
        <v>0.0575</v>
      </c>
      <c r="CA43" s="136" t="n">
        <v>0.215</v>
      </c>
      <c r="CB43" s="136" t="n">
        <v>0.005</v>
      </c>
      <c r="CC43" s="136" t="n">
        <v>-0.025</v>
      </c>
      <c r="CD43" s="136" t="n">
        <v>0.0025</v>
      </c>
      <c r="CE43" s="136" t="n">
        <v>0.0025</v>
      </c>
      <c r="CF43" s="136" t="n">
        <v>0</v>
      </c>
      <c r="CG43" s="136" t="n">
        <v>-0.025</v>
      </c>
      <c r="CH43" s="136" t="n">
        <v>0.0025</v>
      </c>
      <c r="CI43" s="136" t="n">
        <v>-0.125</v>
      </c>
      <c r="CJ43" s="136" t="n">
        <v>0.0025</v>
      </c>
      <c r="CK43" s="136" t="n">
        <v>0.075</v>
      </c>
      <c r="CL43" s="136" t="n">
        <v>0.0025</v>
      </c>
      <c r="CM43" s="136" t="n">
        <v>-0.0675</v>
      </c>
      <c r="CN43" s="136" t="n">
        <v>0.01</v>
      </c>
      <c r="CO43" s="136" t="n">
        <v>-0.0125</v>
      </c>
      <c r="CP43" s="136" t="n">
        <v>0.0075</v>
      </c>
      <c r="CQ43" s="136" t="n">
        <v>0.0275</v>
      </c>
      <c r="CR43" s="136" t="n">
        <v>0.01</v>
      </c>
      <c r="CS43" s="136" t="n">
        <v>0.89</v>
      </c>
      <c r="CT43" s="136" t="n">
        <v>0.25</v>
      </c>
      <c r="CU43" s="136" t="n">
        <v>0.49</v>
      </c>
      <c r="CV43" s="136" t="n">
        <v>0</v>
      </c>
      <c r="CW43" s="136" t="n">
        <v>0.33</v>
      </c>
      <c r="CX43" s="136" t="n">
        <v>0.02</v>
      </c>
      <c r="CY43" s="136" t="n">
        <v>-0.51</v>
      </c>
      <c r="CZ43" s="136" t="n">
        <v>0</v>
      </c>
      <c r="DA43" s="136" t="n">
        <v>-0.33</v>
      </c>
      <c r="DB43" s="136" t="n">
        <v>0</v>
      </c>
      <c r="DC43" s="136" t="n">
        <v>0.4</v>
      </c>
      <c r="DE43" s="136" t="n">
        <v>-0.05</v>
      </c>
      <c r="DF43" s="136" t="n">
        <v>0.0075</v>
      </c>
      <c r="DG43" s="136" t="n">
        <v>0.005</v>
      </c>
      <c r="DH43" s="136" t="n">
        <v>0.0075</v>
      </c>
      <c r="DI43" s="136" t="n">
        <v>-0.02</v>
      </c>
      <c r="DJ43" s="136" t="n">
        <v>0.0025</v>
      </c>
      <c r="DK43" s="136" t="n">
        <v>-0.1025</v>
      </c>
      <c r="DL43" s="136" t="n">
        <v>0.0025</v>
      </c>
      <c r="DM43" s="136" t="n">
        <v>-0.0675</v>
      </c>
      <c r="DN43" s="136" t="n">
        <v>0.0025</v>
      </c>
      <c r="DO43" s="136" t="n">
        <v>-0.0875</v>
      </c>
      <c r="DP43" s="136" t="n">
        <v>0.0025</v>
      </c>
      <c r="DQ43" s="136" t="n">
        <v>-0.1325</v>
      </c>
      <c r="DR43" s="136" t="n">
        <v>-0.005</v>
      </c>
      <c r="DS43" s="136" t="n">
        <v>0.78</v>
      </c>
      <c r="DT43" s="136" t="n">
        <v>0.05</v>
      </c>
      <c r="DU43" s="136" t="n">
        <v>0.065</v>
      </c>
      <c r="DV43" s="136" t="n">
        <v>0</v>
      </c>
    </row>
    <row r="44" customFormat="false" ht="12.75" hidden="false" customHeight="false" outlineLevel="0" collapsed="false">
      <c r="D44" s="135" t="n">
        <v>37987</v>
      </c>
      <c r="F44" s="174" t="n">
        <v>3.597</v>
      </c>
      <c r="G44" s="175" t="n">
        <v>0.0366293995889575</v>
      </c>
      <c r="H44" s="174" t="n">
        <v>0.37</v>
      </c>
      <c r="I44" s="174" t="n">
        <v>1</v>
      </c>
      <c r="J44" s="174" t="n">
        <v>1.05</v>
      </c>
      <c r="K44" s="174" t="n">
        <v>1</v>
      </c>
      <c r="L44" s="172" t="n">
        <v>1</v>
      </c>
      <c r="M44" s="172" t="n">
        <v>1.15</v>
      </c>
      <c r="N44" s="174" t="n">
        <v>1.45</v>
      </c>
      <c r="O44" s="174" t="n">
        <v>1.05</v>
      </c>
      <c r="P44" s="174" t="n">
        <v>1</v>
      </c>
      <c r="Q44" s="174" t="n">
        <v>1.35</v>
      </c>
      <c r="R44" s="175" t="n">
        <v>1</v>
      </c>
      <c r="S44" s="175" t="n">
        <v>1.1</v>
      </c>
      <c r="T44" s="174" t="n">
        <v>1</v>
      </c>
      <c r="U44" s="174" t="n">
        <v>1.45</v>
      </c>
      <c r="V44" s="174" t="n">
        <v>1.1</v>
      </c>
      <c r="W44" s="174" t="n">
        <v>0.025</v>
      </c>
      <c r="X44" s="174" t="n">
        <v>0.03</v>
      </c>
      <c r="Y44" s="174" t="n">
        <v>0.125</v>
      </c>
      <c r="Z44" s="174" t="n">
        <v>0.02</v>
      </c>
      <c r="AA44" s="174" t="n">
        <v>0.37</v>
      </c>
      <c r="AB44" s="174" t="n">
        <v>0</v>
      </c>
      <c r="AC44" s="174" t="n">
        <v>0.36</v>
      </c>
      <c r="AD44" s="174" t="n">
        <v>0</v>
      </c>
      <c r="AE44" s="174" t="n">
        <v>0.37</v>
      </c>
      <c r="AF44" s="174" t="n">
        <v>0</v>
      </c>
      <c r="AG44" s="174" t="n">
        <v>0.22</v>
      </c>
      <c r="AH44" s="174" t="n">
        <v>0</v>
      </c>
      <c r="AI44" s="174" t="n">
        <v>0.19776</v>
      </c>
      <c r="AJ44" s="174" t="n">
        <v>0</v>
      </c>
      <c r="AK44" s="174" t="n">
        <v>0.125</v>
      </c>
      <c r="AL44" s="174" t="n">
        <v>0.035</v>
      </c>
      <c r="AM44" s="174" t="n">
        <v>-0.095</v>
      </c>
      <c r="AN44" s="174" t="n">
        <v>0.004</v>
      </c>
      <c r="AO44" s="174" t="n">
        <v>-0.395</v>
      </c>
      <c r="AP44" s="174" t="n">
        <v>0.155</v>
      </c>
      <c r="AQ44" s="174" t="n">
        <v>-0.075</v>
      </c>
      <c r="AR44" s="174" t="n">
        <v>0.005</v>
      </c>
      <c r="AS44" s="174" t="n">
        <v>-0.155</v>
      </c>
      <c r="AT44" s="174" t="n">
        <v>-0.005</v>
      </c>
      <c r="AU44" s="174" t="n">
        <v>-0.115</v>
      </c>
      <c r="AV44" s="174" t="n">
        <v>-0.01</v>
      </c>
      <c r="AW44" s="174" t="n">
        <v>-0.095</v>
      </c>
      <c r="AX44" s="174" t="n">
        <v>0.005</v>
      </c>
      <c r="AY44" s="175" t="n">
        <v>0.145</v>
      </c>
      <c r="AZ44" s="175" t="n">
        <v>0</v>
      </c>
      <c r="BA44" s="175" t="n">
        <v>-0.18</v>
      </c>
      <c r="BB44" s="174" t="n">
        <v>0.005</v>
      </c>
      <c r="BC44" s="174" t="n">
        <v>-0.0875</v>
      </c>
      <c r="BD44" s="174" t="n">
        <v>0.005</v>
      </c>
      <c r="BE44" s="174" t="n">
        <v>0.17</v>
      </c>
      <c r="BF44" s="174" t="n">
        <v>0.03</v>
      </c>
      <c r="BG44" s="174" t="n">
        <v>-0.07</v>
      </c>
      <c r="BH44" s="174" t="n">
        <v>0</v>
      </c>
      <c r="BI44" s="174" t="n">
        <v>0.1</v>
      </c>
      <c r="BJ44" s="136" t="n">
        <v>0.04</v>
      </c>
      <c r="BK44" s="136" t="n">
        <v>0.17</v>
      </c>
      <c r="BL44" s="136" t="n">
        <v>0.03</v>
      </c>
      <c r="BM44" s="136" t="n">
        <v>0.52</v>
      </c>
      <c r="BN44" s="136" t="n">
        <v>0</v>
      </c>
      <c r="BO44" s="136" t="n">
        <v>-0.25</v>
      </c>
      <c r="BP44" s="136" t="n">
        <v>0.03</v>
      </c>
      <c r="BQ44" s="136" t="n">
        <v>0.5</v>
      </c>
      <c r="BR44" s="136" t="n">
        <v>0.03</v>
      </c>
      <c r="BS44" s="136" t="n">
        <v>-0.0875</v>
      </c>
      <c r="BT44" s="136" t="n">
        <v>0.005</v>
      </c>
      <c r="BU44" s="136" t="n">
        <v>0.3</v>
      </c>
      <c r="BV44" s="136" t="n">
        <v>0.01</v>
      </c>
      <c r="BW44" s="136" t="n">
        <v>0.17</v>
      </c>
      <c r="BX44" s="136" t="n">
        <v>0</v>
      </c>
      <c r="BY44" s="136" t="n">
        <v>-0.025</v>
      </c>
      <c r="BZ44" s="136" t="n">
        <v>0.0575</v>
      </c>
      <c r="CA44" s="136" t="n">
        <v>0.235</v>
      </c>
      <c r="CB44" s="136" t="n">
        <v>0.005</v>
      </c>
      <c r="CC44" s="136" t="n">
        <v>-0.025</v>
      </c>
      <c r="CD44" s="136" t="n">
        <v>0.0025</v>
      </c>
      <c r="CE44" s="136" t="n">
        <v>0.0025</v>
      </c>
      <c r="CF44" s="136" t="n">
        <v>0</v>
      </c>
      <c r="CG44" s="136" t="n">
        <v>-0.025</v>
      </c>
      <c r="CH44" s="136" t="n">
        <v>0.0025</v>
      </c>
      <c r="CI44" s="136" t="n">
        <v>-0.1225</v>
      </c>
      <c r="CJ44" s="136" t="n">
        <v>0.0025</v>
      </c>
      <c r="CK44" s="136" t="n">
        <v>0.075</v>
      </c>
      <c r="CL44" s="136" t="n">
        <v>0.0025</v>
      </c>
      <c r="CM44" s="136" t="n">
        <v>-0.0675</v>
      </c>
      <c r="CN44" s="136" t="n">
        <v>0.01</v>
      </c>
      <c r="CO44" s="136" t="n">
        <v>-0.0125</v>
      </c>
      <c r="CP44" s="136" t="n">
        <v>0.0075</v>
      </c>
      <c r="CQ44" s="136" t="n">
        <v>0.0275</v>
      </c>
      <c r="CR44" s="136" t="n">
        <v>0.01</v>
      </c>
      <c r="CS44" s="136" t="n">
        <v>1.52</v>
      </c>
      <c r="CT44" s="136" t="n">
        <v>0.45</v>
      </c>
      <c r="CU44" s="136" t="n">
        <v>0.52</v>
      </c>
      <c r="CV44" s="136" t="n">
        <v>0</v>
      </c>
      <c r="CW44" s="136" t="n">
        <v>0.38</v>
      </c>
      <c r="CX44" s="136" t="n">
        <v>0.02</v>
      </c>
      <c r="CY44" s="136" t="n">
        <v>-0.51</v>
      </c>
      <c r="CZ44" s="136" t="n">
        <v>0</v>
      </c>
      <c r="DA44" s="136" t="n">
        <v>-0.33</v>
      </c>
      <c r="DB44" s="136" t="n">
        <v>0</v>
      </c>
      <c r="DC44" s="136" t="n">
        <v>0.35</v>
      </c>
      <c r="DE44" s="136" t="n">
        <v>-0.05</v>
      </c>
      <c r="DF44" s="136" t="n">
        <v>0.0075</v>
      </c>
      <c r="DG44" s="136" t="n">
        <v>0.005</v>
      </c>
      <c r="DH44" s="136" t="n">
        <v>0.0075</v>
      </c>
      <c r="DI44" s="136" t="n">
        <v>-0.02</v>
      </c>
      <c r="DJ44" s="136" t="n">
        <v>0.0025</v>
      </c>
      <c r="DK44" s="136" t="n">
        <v>-0.1175</v>
      </c>
      <c r="DL44" s="136" t="n">
        <v>0.0025</v>
      </c>
      <c r="DM44" s="136" t="n">
        <v>-0.0675</v>
      </c>
      <c r="DN44" s="136" t="n">
        <v>0.0025</v>
      </c>
      <c r="DO44" s="136" t="n">
        <v>-0.09</v>
      </c>
      <c r="DP44" s="136" t="n">
        <v>0.0025</v>
      </c>
      <c r="DQ44" s="136" t="n">
        <v>-0.1475</v>
      </c>
      <c r="DR44" s="136" t="n">
        <v>-0.005</v>
      </c>
      <c r="DS44" s="136" t="n">
        <v>1.04</v>
      </c>
      <c r="DT44" s="136" t="n">
        <v>0.05</v>
      </c>
      <c r="DU44" s="136" t="n">
        <v>0.065</v>
      </c>
      <c r="DV44" s="136" t="n">
        <v>0</v>
      </c>
    </row>
    <row r="45" customFormat="false" ht="12.75" hidden="false" customHeight="false" outlineLevel="0" collapsed="false">
      <c r="D45" s="135" t="n">
        <v>38018</v>
      </c>
      <c r="F45" s="174" t="n">
        <v>3.512</v>
      </c>
      <c r="G45" s="175" t="n">
        <v>0.0374851197051385</v>
      </c>
      <c r="H45" s="174" t="n">
        <v>0.37</v>
      </c>
      <c r="I45" s="174" t="n">
        <v>1</v>
      </c>
      <c r="J45" s="174" t="n">
        <v>1.05</v>
      </c>
      <c r="K45" s="174" t="n">
        <v>1</v>
      </c>
      <c r="L45" s="172" t="n">
        <v>1</v>
      </c>
      <c r="M45" s="172" t="n">
        <v>1.15</v>
      </c>
      <c r="N45" s="174" t="n">
        <v>1.45</v>
      </c>
      <c r="O45" s="174" t="n">
        <v>1.05</v>
      </c>
      <c r="P45" s="174" t="n">
        <v>1</v>
      </c>
      <c r="Q45" s="174" t="n">
        <v>1.35</v>
      </c>
      <c r="R45" s="175" t="n">
        <v>1</v>
      </c>
      <c r="S45" s="175" t="n">
        <v>1.1</v>
      </c>
      <c r="T45" s="174" t="n">
        <v>1</v>
      </c>
      <c r="U45" s="174" t="n">
        <v>1.45</v>
      </c>
      <c r="V45" s="174" t="n">
        <v>1.1</v>
      </c>
      <c r="W45" s="174" t="n">
        <v>0.02</v>
      </c>
      <c r="X45" s="174" t="n">
        <v>0.03</v>
      </c>
      <c r="Y45" s="174" t="n">
        <v>0.125</v>
      </c>
      <c r="Z45" s="174" t="n">
        <v>0.02</v>
      </c>
      <c r="AA45" s="174" t="n">
        <v>0.37</v>
      </c>
      <c r="AB45" s="174" t="n">
        <v>0</v>
      </c>
      <c r="AC45" s="174" t="n">
        <v>0.36</v>
      </c>
      <c r="AD45" s="174" t="n">
        <v>0</v>
      </c>
      <c r="AE45" s="174" t="n">
        <v>0.37</v>
      </c>
      <c r="AF45" s="174" t="n">
        <v>0</v>
      </c>
      <c r="AG45" s="174" t="n">
        <v>0.22</v>
      </c>
      <c r="AH45" s="174" t="n">
        <v>0</v>
      </c>
      <c r="AI45" s="174" t="n">
        <v>0.193568</v>
      </c>
      <c r="AJ45" s="174" t="n">
        <v>0</v>
      </c>
      <c r="AK45" s="174" t="n">
        <v>0.125</v>
      </c>
      <c r="AL45" s="174" t="n">
        <v>0.035</v>
      </c>
      <c r="AM45" s="174" t="n">
        <v>-0.095</v>
      </c>
      <c r="AN45" s="174" t="n">
        <v>0.004</v>
      </c>
      <c r="AO45" s="174" t="n">
        <v>-0.395</v>
      </c>
      <c r="AP45" s="174" t="n">
        <v>0.155</v>
      </c>
      <c r="AQ45" s="174" t="n">
        <v>-0.075</v>
      </c>
      <c r="AR45" s="174" t="n">
        <v>0.005</v>
      </c>
      <c r="AS45" s="174" t="n">
        <v>-0.1475</v>
      </c>
      <c r="AT45" s="174" t="n">
        <v>-0.005</v>
      </c>
      <c r="AU45" s="174" t="n">
        <v>-0.1075</v>
      </c>
      <c r="AV45" s="174" t="n">
        <v>-0.01</v>
      </c>
      <c r="AW45" s="174" t="n">
        <v>-0.095</v>
      </c>
      <c r="AX45" s="174" t="n">
        <v>0.005</v>
      </c>
      <c r="AY45" s="175" t="n">
        <v>0.145</v>
      </c>
      <c r="AZ45" s="175" t="n">
        <v>0</v>
      </c>
      <c r="BA45" s="175" t="n">
        <v>-0.18</v>
      </c>
      <c r="BB45" s="174" t="n">
        <v>0.005</v>
      </c>
      <c r="BC45" s="174" t="n">
        <v>-0.0875</v>
      </c>
      <c r="BD45" s="174" t="n">
        <v>0.005</v>
      </c>
      <c r="BE45" s="174" t="n">
        <v>0.17</v>
      </c>
      <c r="BF45" s="174" t="n">
        <v>0.03</v>
      </c>
      <c r="BG45" s="174" t="n">
        <v>-0.07</v>
      </c>
      <c r="BH45" s="174" t="n">
        <v>0</v>
      </c>
      <c r="BI45" s="174" t="n">
        <v>0.1</v>
      </c>
      <c r="BJ45" s="136" t="n">
        <v>0.04</v>
      </c>
      <c r="BK45" s="136" t="n">
        <v>0.17</v>
      </c>
      <c r="BL45" s="136" t="n">
        <v>0.03</v>
      </c>
      <c r="BM45" s="136" t="n">
        <v>0.2</v>
      </c>
      <c r="BN45" s="136" t="n">
        <v>0</v>
      </c>
      <c r="BO45" s="136" t="n">
        <v>-0.25</v>
      </c>
      <c r="BP45" s="136" t="n">
        <v>0.03</v>
      </c>
      <c r="BQ45" s="136" t="n">
        <v>0.46</v>
      </c>
      <c r="BR45" s="136" t="n">
        <v>0.03</v>
      </c>
      <c r="BS45" s="136" t="n">
        <v>-0.0875</v>
      </c>
      <c r="BT45" s="136" t="n">
        <v>0.005</v>
      </c>
      <c r="BU45" s="136" t="n">
        <v>0.26</v>
      </c>
      <c r="BV45" s="136" t="n">
        <v>0.01</v>
      </c>
      <c r="BW45" s="136" t="n">
        <v>0.17</v>
      </c>
      <c r="BX45" s="136" t="n">
        <v>0</v>
      </c>
      <c r="BY45" s="136" t="n">
        <v>-0.025</v>
      </c>
      <c r="BZ45" s="136" t="n">
        <v>0.0575</v>
      </c>
      <c r="CA45" s="136" t="n">
        <v>0.235</v>
      </c>
      <c r="CB45" s="136" t="n">
        <v>0.005</v>
      </c>
      <c r="CC45" s="136" t="n">
        <v>-0.025</v>
      </c>
      <c r="CD45" s="136" t="n">
        <v>0.0025</v>
      </c>
      <c r="CE45" s="136" t="n">
        <v>0.0025</v>
      </c>
      <c r="CF45" s="136" t="n">
        <v>0</v>
      </c>
      <c r="CG45" s="136" t="n">
        <v>-0.025</v>
      </c>
      <c r="CH45" s="136" t="n">
        <v>0.0025</v>
      </c>
      <c r="CI45" s="136" t="n">
        <v>-0.1225</v>
      </c>
      <c r="CJ45" s="136" t="n">
        <v>0.0025</v>
      </c>
      <c r="CK45" s="136" t="n">
        <v>0.075</v>
      </c>
      <c r="CL45" s="136" t="n">
        <v>0.0025</v>
      </c>
      <c r="CM45" s="136" t="n">
        <v>-0.0675</v>
      </c>
      <c r="CN45" s="136" t="n">
        <v>0.01</v>
      </c>
      <c r="CO45" s="136" t="n">
        <v>-0.0125</v>
      </c>
      <c r="CP45" s="136" t="n">
        <v>0.0075</v>
      </c>
      <c r="CQ45" s="136" t="n">
        <v>0.0275</v>
      </c>
      <c r="CR45" s="136" t="n">
        <v>0.01</v>
      </c>
      <c r="CS45" s="136" t="n">
        <v>1.52</v>
      </c>
      <c r="CT45" s="136" t="n">
        <v>0.45</v>
      </c>
      <c r="CU45" s="136" t="n">
        <v>0.2</v>
      </c>
      <c r="CV45" s="136" t="n">
        <v>0</v>
      </c>
      <c r="CW45" s="136" t="n">
        <v>0.38</v>
      </c>
      <c r="CX45" s="136" t="n">
        <v>0.02</v>
      </c>
      <c r="CY45" s="136" t="n">
        <v>-0.51</v>
      </c>
      <c r="CZ45" s="136" t="n">
        <v>0</v>
      </c>
      <c r="DA45" s="136" t="n">
        <v>-0.33</v>
      </c>
      <c r="DB45" s="136" t="n">
        <v>0</v>
      </c>
      <c r="DC45" s="136" t="n">
        <v>0.35</v>
      </c>
      <c r="DE45" s="136" t="n">
        <v>-0.05</v>
      </c>
      <c r="DF45" s="136" t="n">
        <v>0.0075</v>
      </c>
      <c r="DG45" s="136" t="n">
        <v>0.005</v>
      </c>
      <c r="DH45" s="136" t="n">
        <v>0.0075</v>
      </c>
      <c r="DI45" s="136" t="n">
        <v>-0.02</v>
      </c>
      <c r="DJ45" s="136" t="n">
        <v>0.0025</v>
      </c>
      <c r="DK45" s="136" t="n">
        <v>-0.1075</v>
      </c>
      <c r="DL45" s="136" t="n">
        <v>0.0025</v>
      </c>
      <c r="DM45" s="136" t="n">
        <v>-0.0675</v>
      </c>
      <c r="DN45" s="136" t="n">
        <v>0.0025</v>
      </c>
      <c r="DO45" s="136" t="n">
        <v>-0.09</v>
      </c>
      <c r="DP45" s="136" t="n">
        <v>0.0025</v>
      </c>
      <c r="DQ45" s="136" t="n">
        <v>-0.1375</v>
      </c>
      <c r="DR45" s="136" t="n">
        <v>-0.005</v>
      </c>
      <c r="DS45" s="136" t="n">
        <v>1.04</v>
      </c>
      <c r="DT45" s="136" t="n">
        <v>0.05</v>
      </c>
      <c r="DU45" s="136" t="n">
        <v>0.065</v>
      </c>
      <c r="DV45" s="136" t="n">
        <v>0</v>
      </c>
    </row>
    <row r="46" customFormat="false" ht="12.75" hidden="false" customHeight="false" outlineLevel="0" collapsed="false">
      <c r="D46" s="135" t="n">
        <v>38047</v>
      </c>
      <c r="F46" s="174" t="n">
        <v>3.382</v>
      </c>
      <c r="G46" s="175" t="n">
        <v>0.0382856322945879</v>
      </c>
      <c r="H46" s="174" t="n">
        <v>0.355</v>
      </c>
      <c r="I46" s="174" t="n">
        <v>0.75</v>
      </c>
      <c r="J46" s="174" t="n">
        <v>0.8</v>
      </c>
      <c r="K46" s="174" t="n">
        <v>0.75</v>
      </c>
      <c r="L46" s="172" t="n">
        <v>0.75</v>
      </c>
      <c r="M46" s="172" t="n">
        <v>0.85</v>
      </c>
      <c r="N46" s="174" t="n">
        <v>1</v>
      </c>
      <c r="O46" s="174" t="n">
        <v>0.75</v>
      </c>
      <c r="P46" s="174" t="n">
        <v>0.75</v>
      </c>
      <c r="Q46" s="174" t="n">
        <v>0.95</v>
      </c>
      <c r="R46" s="175" t="n">
        <v>0.75</v>
      </c>
      <c r="S46" s="175" t="n">
        <v>0.75</v>
      </c>
      <c r="T46" s="174" t="n">
        <v>0.75</v>
      </c>
      <c r="U46" s="174" t="n">
        <v>1</v>
      </c>
      <c r="V46" s="174" t="n">
        <v>0.85</v>
      </c>
      <c r="W46" s="174" t="n">
        <v>0</v>
      </c>
      <c r="X46" s="174" t="n">
        <v>0.03</v>
      </c>
      <c r="Y46" s="174" t="n">
        <v>0.125</v>
      </c>
      <c r="Z46" s="174" t="n">
        <v>0.02</v>
      </c>
      <c r="AA46" s="174" t="n">
        <v>0.37</v>
      </c>
      <c r="AB46" s="174" t="n">
        <v>0</v>
      </c>
      <c r="AC46" s="174" t="n">
        <v>0.36</v>
      </c>
      <c r="AD46" s="174" t="n">
        <v>0</v>
      </c>
      <c r="AE46" s="174" t="n">
        <v>0.37</v>
      </c>
      <c r="AF46" s="174" t="n">
        <v>0</v>
      </c>
      <c r="AG46" s="174" t="n">
        <v>0.22</v>
      </c>
      <c r="AH46" s="174" t="n">
        <v>0</v>
      </c>
      <c r="AI46" s="174" t="n">
        <v>0.189408</v>
      </c>
      <c r="AJ46" s="174" t="n">
        <v>0</v>
      </c>
      <c r="AK46" s="174" t="n">
        <v>0.125</v>
      </c>
      <c r="AL46" s="174" t="n">
        <v>0.035</v>
      </c>
      <c r="AM46" s="174" t="n">
        <v>-0.095</v>
      </c>
      <c r="AN46" s="174" t="n">
        <v>0.004</v>
      </c>
      <c r="AO46" s="174" t="n">
        <v>-0.395</v>
      </c>
      <c r="AP46" s="174" t="n">
        <v>0.155</v>
      </c>
      <c r="AQ46" s="174" t="n">
        <v>-0.075</v>
      </c>
      <c r="AR46" s="174" t="n">
        <v>0.005</v>
      </c>
      <c r="AS46" s="174" t="n">
        <v>-0.145</v>
      </c>
      <c r="AT46" s="174" t="n">
        <v>-0.005</v>
      </c>
      <c r="AU46" s="174" t="n">
        <v>-0.105</v>
      </c>
      <c r="AV46" s="174" t="n">
        <v>-0.01</v>
      </c>
      <c r="AW46" s="174" t="n">
        <v>-0.095</v>
      </c>
      <c r="AX46" s="174" t="n">
        <v>0.005</v>
      </c>
      <c r="AY46" s="175" t="n">
        <v>0.145</v>
      </c>
      <c r="AZ46" s="175" t="n">
        <v>0</v>
      </c>
      <c r="BA46" s="175" t="n">
        <v>-0.18</v>
      </c>
      <c r="BB46" s="174" t="n">
        <v>0.005</v>
      </c>
      <c r="BC46" s="174" t="n">
        <v>-0.0875</v>
      </c>
      <c r="BD46" s="174" t="n">
        <v>0.005</v>
      </c>
      <c r="BE46" s="174" t="n">
        <v>0.17</v>
      </c>
      <c r="BF46" s="174" t="n">
        <v>0.03</v>
      </c>
      <c r="BG46" s="174" t="n">
        <v>-0.07</v>
      </c>
      <c r="BH46" s="174" t="n">
        <v>0</v>
      </c>
      <c r="BI46" s="174" t="n">
        <v>0.1</v>
      </c>
      <c r="BJ46" s="136" t="n">
        <v>0.04</v>
      </c>
      <c r="BK46" s="136" t="n">
        <v>0.17</v>
      </c>
      <c r="BL46" s="136" t="n">
        <v>0.03</v>
      </c>
      <c r="BM46" s="136" t="n">
        <v>-0.11</v>
      </c>
      <c r="BN46" s="136" t="n">
        <v>0</v>
      </c>
      <c r="BO46" s="136" t="n">
        <v>-0.25</v>
      </c>
      <c r="BP46" s="136" t="n">
        <v>0.03</v>
      </c>
      <c r="BQ46" s="136" t="n">
        <v>0.34</v>
      </c>
      <c r="BR46" s="136" t="n">
        <v>0.03</v>
      </c>
      <c r="BS46" s="136" t="n">
        <v>-0.0875</v>
      </c>
      <c r="BT46" s="136" t="n">
        <v>0.005</v>
      </c>
      <c r="BU46" s="136" t="n">
        <v>0.14</v>
      </c>
      <c r="BV46" s="136" t="n">
        <v>0.01</v>
      </c>
      <c r="BW46" s="136" t="n">
        <v>0.17</v>
      </c>
      <c r="BX46" s="136" t="n">
        <v>0</v>
      </c>
      <c r="BY46" s="136" t="n">
        <v>-0.025</v>
      </c>
      <c r="BZ46" s="136" t="n">
        <v>0.0575</v>
      </c>
      <c r="CA46" s="136" t="n">
        <v>0.195</v>
      </c>
      <c r="CB46" s="136" t="n">
        <v>0.005</v>
      </c>
      <c r="CC46" s="136" t="n">
        <v>-0.025</v>
      </c>
      <c r="CD46" s="136" t="n">
        <v>0.0025</v>
      </c>
      <c r="CE46" s="136" t="n">
        <v>0.0025</v>
      </c>
      <c r="CF46" s="136" t="n">
        <v>0</v>
      </c>
      <c r="CG46" s="136" t="n">
        <v>-0.025</v>
      </c>
      <c r="CH46" s="136" t="n">
        <v>0.0025</v>
      </c>
      <c r="CI46" s="136" t="n">
        <v>-0.1225</v>
      </c>
      <c r="CJ46" s="136" t="n">
        <v>0.0025</v>
      </c>
      <c r="CK46" s="136" t="n">
        <v>0.075</v>
      </c>
      <c r="CL46" s="136" t="n">
        <v>0.0025</v>
      </c>
      <c r="CM46" s="136" t="n">
        <v>-0.0675</v>
      </c>
      <c r="CN46" s="136" t="n">
        <v>0.01</v>
      </c>
      <c r="CO46" s="136" t="n">
        <v>-0.0125</v>
      </c>
      <c r="CP46" s="136" t="n">
        <v>0.0075</v>
      </c>
      <c r="CQ46" s="136" t="n">
        <v>0.0275</v>
      </c>
      <c r="CR46" s="136" t="n">
        <v>0.01</v>
      </c>
      <c r="CS46" s="136" t="n">
        <v>0.63</v>
      </c>
      <c r="CT46" s="136" t="n">
        <v>0.1</v>
      </c>
      <c r="CU46" s="136" t="n">
        <v>-0.11</v>
      </c>
      <c r="CV46" s="136" t="n">
        <v>0</v>
      </c>
      <c r="CW46" s="136" t="n">
        <v>0.33</v>
      </c>
      <c r="CX46" s="136" t="n">
        <v>0.02</v>
      </c>
      <c r="CY46" s="136" t="n">
        <v>-0.51</v>
      </c>
      <c r="CZ46" s="136" t="n">
        <v>0</v>
      </c>
      <c r="DA46" s="136" t="n">
        <v>-0.33</v>
      </c>
      <c r="DB46" s="136" t="n">
        <v>0</v>
      </c>
      <c r="DC46" s="136" t="n">
        <v>0.4</v>
      </c>
      <c r="DE46" s="136" t="n">
        <v>-0.05</v>
      </c>
      <c r="DF46" s="136" t="n">
        <v>0.0075</v>
      </c>
      <c r="DG46" s="136" t="n">
        <v>0.005</v>
      </c>
      <c r="DH46" s="136" t="n">
        <v>0.0075</v>
      </c>
      <c r="DI46" s="136" t="n">
        <v>-0.02</v>
      </c>
      <c r="DJ46" s="136" t="n">
        <v>0.0025</v>
      </c>
      <c r="DK46" s="136" t="n">
        <v>-0.0975</v>
      </c>
      <c r="DL46" s="136" t="n">
        <v>0.0025</v>
      </c>
      <c r="DM46" s="136" t="n">
        <v>-0.0675</v>
      </c>
      <c r="DN46" s="136" t="n">
        <v>0.0025</v>
      </c>
      <c r="DO46" s="136" t="n">
        <v>-0.09</v>
      </c>
      <c r="DP46" s="136" t="n">
        <v>0.0025</v>
      </c>
      <c r="DQ46" s="136" t="n">
        <v>-0.1275</v>
      </c>
      <c r="DR46" s="136" t="n">
        <v>-0.005</v>
      </c>
      <c r="DS46" s="136" t="n">
        <v>0.54</v>
      </c>
      <c r="DT46" s="136" t="n">
        <v>0.05</v>
      </c>
      <c r="DU46" s="136" t="n">
        <v>0.065</v>
      </c>
      <c r="DV46" s="136" t="n">
        <v>0</v>
      </c>
    </row>
    <row r="47" customFormat="false" ht="12.75" hidden="false" customHeight="false" outlineLevel="0" collapsed="false">
      <c r="D47" s="135" t="n">
        <v>38078</v>
      </c>
      <c r="F47" s="174" t="n">
        <v>3.197</v>
      </c>
      <c r="G47" s="175" t="n">
        <v>0.0390847146165725</v>
      </c>
      <c r="H47" s="174" t="n">
        <v>0.33</v>
      </c>
      <c r="I47" s="174" t="n">
        <v>0.4</v>
      </c>
      <c r="J47" s="174" t="n">
        <v>0.45</v>
      </c>
      <c r="K47" s="174" t="n">
        <v>0.4</v>
      </c>
      <c r="L47" s="172" t="n">
        <v>0.45</v>
      </c>
      <c r="M47" s="172" t="n">
        <v>0.45</v>
      </c>
      <c r="N47" s="174" t="n">
        <v>0.45</v>
      </c>
      <c r="O47" s="174" t="n">
        <v>0.45</v>
      </c>
      <c r="P47" s="174" t="n">
        <v>0.45</v>
      </c>
      <c r="Q47" s="174" t="n">
        <v>0.5</v>
      </c>
      <c r="R47" s="175" t="n">
        <v>0.4</v>
      </c>
      <c r="S47" s="175" t="n">
        <v>0.45</v>
      </c>
      <c r="T47" s="174" t="n">
        <v>0.4</v>
      </c>
      <c r="U47" s="174" t="n">
        <v>0.45</v>
      </c>
      <c r="V47" s="174" t="n">
        <v>0.55</v>
      </c>
      <c r="W47" s="174" t="n">
        <v>-0.09</v>
      </c>
      <c r="X47" s="174" t="n">
        <v>0</v>
      </c>
      <c r="Y47" s="174" t="n">
        <v>0.04</v>
      </c>
      <c r="Z47" s="174" t="n">
        <v>0.005</v>
      </c>
      <c r="AA47" s="174" t="n">
        <v>0.18</v>
      </c>
      <c r="AB47" s="174" t="n">
        <v>0</v>
      </c>
      <c r="AC47" s="174" t="n">
        <v>0.145</v>
      </c>
      <c r="AD47" s="174" t="n">
        <v>0</v>
      </c>
      <c r="AE47" s="174" t="n">
        <v>0.18</v>
      </c>
      <c r="AF47" s="174" t="n">
        <v>0</v>
      </c>
      <c r="AG47" s="174" t="n">
        <v>0.135</v>
      </c>
      <c r="AH47" s="174" t="n">
        <v>0</v>
      </c>
      <c r="AI47" s="174" t="n">
        <v>0.145</v>
      </c>
      <c r="AJ47" s="174" t="n">
        <v>0</v>
      </c>
      <c r="AK47" s="174" t="n">
        <v>0.04</v>
      </c>
      <c r="AL47" s="174" t="n">
        <v>0.04</v>
      </c>
      <c r="AM47" s="174" t="n">
        <v>-0.07</v>
      </c>
      <c r="AN47" s="174" t="n">
        <v>0.011</v>
      </c>
      <c r="AO47" s="174" t="n">
        <v>-0.43</v>
      </c>
      <c r="AP47" s="174" t="n">
        <v>0.155</v>
      </c>
      <c r="AQ47" s="174" t="n">
        <v>-0.065</v>
      </c>
      <c r="AR47" s="174" t="n">
        <v>0</v>
      </c>
      <c r="AS47" s="174" t="n">
        <v>-0.15</v>
      </c>
      <c r="AT47" s="174" t="n">
        <v>-0.015</v>
      </c>
      <c r="AU47" s="174" t="n">
        <v>-0.11</v>
      </c>
      <c r="AV47" s="174" t="n">
        <v>0.02</v>
      </c>
      <c r="AW47" s="174" t="n">
        <v>-0.095</v>
      </c>
      <c r="AX47" s="174" t="n">
        <v>0.01</v>
      </c>
      <c r="AY47" s="175" t="n">
        <v>0.125</v>
      </c>
      <c r="AZ47" s="175" t="n">
        <v>0</v>
      </c>
      <c r="BA47" s="175" t="n">
        <v>-0.22</v>
      </c>
      <c r="BB47" s="174" t="n">
        <v>0.0025</v>
      </c>
      <c r="BC47" s="174" t="n">
        <v>-0.0875</v>
      </c>
      <c r="BD47" s="174" t="n">
        <v>0.005</v>
      </c>
      <c r="BE47" s="174" t="n">
        <v>0.21</v>
      </c>
      <c r="BF47" s="174" t="n">
        <v>0.03</v>
      </c>
      <c r="BG47" s="174" t="n">
        <v>-0.07</v>
      </c>
      <c r="BH47" s="174" t="n">
        <v>0</v>
      </c>
      <c r="BI47" s="174" t="n">
        <v>0.075</v>
      </c>
      <c r="BJ47" s="136" t="n">
        <v>0.03</v>
      </c>
      <c r="BK47" s="136" t="n">
        <v>0.21</v>
      </c>
      <c r="BL47" s="136" t="n">
        <v>0.03</v>
      </c>
      <c r="BM47" s="136" t="n">
        <v>-0.25</v>
      </c>
      <c r="BN47" s="136" t="n">
        <v>0</v>
      </c>
      <c r="BO47" s="136" t="n">
        <v>-0.42</v>
      </c>
      <c r="BP47" s="136" t="n">
        <v>0.02</v>
      </c>
      <c r="BQ47" s="136" t="n">
        <v>0.5</v>
      </c>
      <c r="BR47" s="136" t="n">
        <v>0.03</v>
      </c>
      <c r="BS47" s="136" t="n">
        <v>-0.0875</v>
      </c>
      <c r="BT47" s="136" t="n">
        <v>0.005</v>
      </c>
      <c r="BU47" s="136" t="n">
        <v>0.3</v>
      </c>
      <c r="BV47" s="136" t="n">
        <v>0</v>
      </c>
      <c r="BW47" s="136" t="n">
        <v>0.21</v>
      </c>
      <c r="BX47" s="136" t="n">
        <v>0</v>
      </c>
      <c r="BY47" s="136" t="n">
        <v>-0.025</v>
      </c>
      <c r="BZ47" s="136" t="n">
        <v>0.0575</v>
      </c>
      <c r="CA47" s="136" t="n">
        <v>0.145</v>
      </c>
      <c r="CB47" s="136" t="n">
        <v>0.005</v>
      </c>
      <c r="CC47" s="136" t="n">
        <v>-0.025</v>
      </c>
      <c r="CD47" s="136" t="n">
        <v>0.0025</v>
      </c>
      <c r="CE47" s="136" t="n">
        <v>0.0025</v>
      </c>
      <c r="CF47" s="136" t="n">
        <v>0</v>
      </c>
      <c r="CG47" s="136" t="n">
        <v>-0.025</v>
      </c>
      <c r="CH47" s="136" t="n">
        <v>0.0025</v>
      </c>
      <c r="CI47" s="136" t="n">
        <v>-0.1425</v>
      </c>
      <c r="CJ47" s="136" t="n">
        <v>0.0025</v>
      </c>
      <c r="CK47" s="136" t="n">
        <v>0.0775</v>
      </c>
      <c r="CL47" s="136" t="n">
        <v>0.0025</v>
      </c>
      <c r="CM47" s="136" t="n">
        <v>-0.0725</v>
      </c>
      <c r="CN47" s="136" t="n">
        <v>0.0075</v>
      </c>
      <c r="CO47" s="136" t="n">
        <v>-0.0175</v>
      </c>
      <c r="CP47" s="136" t="n">
        <v>0.005</v>
      </c>
      <c r="CQ47" s="136" t="n">
        <v>0.0225</v>
      </c>
      <c r="CR47" s="136" t="n">
        <v>0.0075</v>
      </c>
      <c r="CS47" s="136" t="n">
        <v>0.38</v>
      </c>
      <c r="CT47" s="136" t="n">
        <v>0.02</v>
      </c>
      <c r="CU47" s="136" t="n">
        <v>-0.25</v>
      </c>
      <c r="CV47" s="136" t="n">
        <v>0</v>
      </c>
      <c r="CW47" s="136" t="n">
        <v>0.195</v>
      </c>
      <c r="CX47" s="136" t="n">
        <v>0.0075</v>
      </c>
      <c r="CY47" s="136" t="n">
        <v>-0.69</v>
      </c>
      <c r="CZ47" s="136" t="n">
        <v>0</v>
      </c>
      <c r="DA47" s="136" t="n">
        <v>-0.51</v>
      </c>
      <c r="DB47" s="136" t="n">
        <v>0</v>
      </c>
      <c r="DC47" s="136" t="n">
        <v>0.6</v>
      </c>
      <c r="DE47" s="136" t="n">
        <v>-0.0525</v>
      </c>
      <c r="DF47" s="136" t="n">
        <v>0.0075</v>
      </c>
      <c r="DG47" s="136" t="n">
        <v>0.01</v>
      </c>
      <c r="DH47" s="136" t="n">
        <v>0.005</v>
      </c>
      <c r="DI47" s="136" t="n">
        <v>-0.02</v>
      </c>
      <c r="DJ47" s="136" t="n">
        <v>0.0075</v>
      </c>
      <c r="DK47" s="136" t="n">
        <v>-0.1275</v>
      </c>
      <c r="DL47" s="136" t="n">
        <v>0.005</v>
      </c>
      <c r="DM47" s="136" t="n">
        <v>-0.065</v>
      </c>
      <c r="DN47" s="136" t="n">
        <v>0.0025</v>
      </c>
      <c r="DO47" s="136" t="n">
        <v>-0.085</v>
      </c>
      <c r="DP47" s="136" t="n">
        <v>0.0025</v>
      </c>
      <c r="DQ47" s="136" t="n">
        <v>-0.1575</v>
      </c>
      <c r="DR47" s="136" t="n">
        <v>-0.005</v>
      </c>
      <c r="DS47" s="136" t="n">
        <v>0.36</v>
      </c>
      <c r="DT47" s="136" t="n">
        <v>0.005</v>
      </c>
      <c r="DU47" s="136" t="n">
        <v>-0.04</v>
      </c>
      <c r="DV47" s="136" t="n">
        <v>0</v>
      </c>
    </row>
    <row r="48" customFormat="false" ht="12.75" hidden="false" customHeight="false" outlineLevel="0" collapsed="false">
      <c r="D48" s="135" t="n">
        <v>38108</v>
      </c>
      <c r="F48" s="174" t="n">
        <v>3.192</v>
      </c>
      <c r="G48" s="175" t="n">
        <v>0.0397995549683068</v>
      </c>
      <c r="H48" s="174" t="n">
        <v>0.325</v>
      </c>
      <c r="I48" s="174" t="n">
        <v>0.45</v>
      </c>
      <c r="J48" s="174" t="n">
        <v>0.5</v>
      </c>
      <c r="K48" s="174" t="n">
        <v>0.4</v>
      </c>
      <c r="L48" s="172" t="n">
        <v>0.4</v>
      </c>
      <c r="M48" s="172" t="n">
        <v>0.45</v>
      </c>
      <c r="N48" s="174" t="n">
        <v>0.5</v>
      </c>
      <c r="O48" s="174" t="n">
        <v>0.45</v>
      </c>
      <c r="P48" s="174" t="n">
        <v>0.4</v>
      </c>
      <c r="Q48" s="174" t="n">
        <v>0.45</v>
      </c>
      <c r="R48" s="175" t="n">
        <v>0.45</v>
      </c>
      <c r="S48" s="175" t="n">
        <v>0.5</v>
      </c>
      <c r="T48" s="174" t="n">
        <v>0.45</v>
      </c>
      <c r="U48" s="174" t="n">
        <v>0.5</v>
      </c>
      <c r="V48" s="174" t="n">
        <v>0.5</v>
      </c>
      <c r="W48" s="174" t="n">
        <v>-0.09</v>
      </c>
      <c r="X48" s="174" t="n">
        <v>0</v>
      </c>
      <c r="Y48" s="174" t="n">
        <v>0.04</v>
      </c>
      <c r="Z48" s="174" t="n">
        <v>0.005</v>
      </c>
      <c r="AA48" s="174" t="n">
        <v>0.18</v>
      </c>
      <c r="AB48" s="174" t="n">
        <v>0</v>
      </c>
      <c r="AC48" s="174" t="n">
        <v>0.145</v>
      </c>
      <c r="AD48" s="174" t="n">
        <v>0</v>
      </c>
      <c r="AE48" s="174" t="n">
        <v>0.18</v>
      </c>
      <c r="AF48" s="174" t="n">
        <v>0</v>
      </c>
      <c r="AG48" s="174" t="n">
        <v>0.135</v>
      </c>
      <c r="AH48" s="174" t="n">
        <v>0</v>
      </c>
      <c r="AI48" s="174" t="n">
        <v>0.145</v>
      </c>
      <c r="AJ48" s="174" t="n">
        <v>0</v>
      </c>
      <c r="AK48" s="174" t="n">
        <v>0.04</v>
      </c>
      <c r="AL48" s="174" t="n">
        <v>0.04</v>
      </c>
      <c r="AM48" s="174" t="n">
        <v>-0.07</v>
      </c>
      <c r="AN48" s="174" t="n">
        <v>0.011</v>
      </c>
      <c r="AO48" s="174" t="n">
        <v>-0.43</v>
      </c>
      <c r="AP48" s="174" t="n">
        <v>0.155</v>
      </c>
      <c r="AQ48" s="174" t="n">
        <v>-0.065</v>
      </c>
      <c r="AR48" s="174" t="n">
        <v>0</v>
      </c>
      <c r="AS48" s="174" t="n">
        <v>-0.15</v>
      </c>
      <c r="AT48" s="174" t="n">
        <v>-0.015</v>
      </c>
      <c r="AU48" s="174" t="n">
        <v>-0.11</v>
      </c>
      <c r="AV48" s="174" t="n">
        <v>0.02</v>
      </c>
      <c r="AW48" s="174" t="n">
        <v>-0.095</v>
      </c>
      <c r="AX48" s="174" t="n">
        <v>0.01</v>
      </c>
      <c r="AY48" s="175" t="n">
        <v>0.125</v>
      </c>
      <c r="AZ48" s="175" t="n">
        <v>0</v>
      </c>
      <c r="BA48" s="175" t="n">
        <v>-0.22</v>
      </c>
      <c r="BB48" s="174" t="n">
        <v>0.0025</v>
      </c>
      <c r="BC48" s="174" t="n">
        <v>-0.0875</v>
      </c>
      <c r="BD48" s="174" t="n">
        <v>0.005</v>
      </c>
      <c r="BE48" s="174" t="n">
        <v>0.21</v>
      </c>
      <c r="BF48" s="174" t="n">
        <v>0.03</v>
      </c>
      <c r="BG48" s="174" t="n">
        <v>-0.07</v>
      </c>
      <c r="BH48" s="174" t="n">
        <v>0</v>
      </c>
      <c r="BI48" s="174" t="n">
        <v>0.075</v>
      </c>
      <c r="BJ48" s="136" t="n">
        <v>0.03</v>
      </c>
      <c r="BK48" s="136" t="n">
        <v>0.21</v>
      </c>
      <c r="BL48" s="136" t="n">
        <v>0.03</v>
      </c>
      <c r="BM48" s="136" t="n">
        <v>-0.25</v>
      </c>
      <c r="BN48" s="136" t="n">
        <v>0</v>
      </c>
      <c r="BO48" s="136" t="n">
        <v>-0.42</v>
      </c>
      <c r="BP48" s="136" t="n">
        <v>0.02</v>
      </c>
      <c r="BQ48" s="136" t="n">
        <v>0.5</v>
      </c>
      <c r="BR48" s="136" t="n">
        <v>0.03</v>
      </c>
      <c r="BS48" s="136" t="n">
        <v>-0.0875</v>
      </c>
      <c r="BT48" s="136" t="n">
        <v>0.005</v>
      </c>
      <c r="BU48" s="136" t="n">
        <v>0.3</v>
      </c>
      <c r="BV48" s="136" t="n">
        <v>0</v>
      </c>
      <c r="BW48" s="136" t="n">
        <v>0.21</v>
      </c>
      <c r="BX48" s="136" t="n">
        <v>0</v>
      </c>
      <c r="BY48" s="136" t="n">
        <v>-0.025</v>
      </c>
      <c r="BZ48" s="136" t="n">
        <v>0.0575</v>
      </c>
      <c r="CA48" s="136" t="n">
        <v>0.125</v>
      </c>
      <c r="CB48" s="136" t="n">
        <v>0.005</v>
      </c>
      <c r="CC48" s="136" t="n">
        <v>-0.025</v>
      </c>
      <c r="CD48" s="136" t="n">
        <v>0.0025</v>
      </c>
      <c r="CE48" s="136" t="n">
        <v>0.0025</v>
      </c>
      <c r="CF48" s="136" t="n">
        <v>0</v>
      </c>
      <c r="CG48" s="136" t="n">
        <v>-0.025</v>
      </c>
      <c r="CH48" s="136" t="n">
        <v>0.0025</v>
      </c>
      <c r="CI48" s="136" t="n">
        <v>-0.13</v>
      </c>
      <c r="CJ48" s="136" t="n">
        <v>0.0025</v>
      </c>
      <c r="CK48" s="136" t="n">
        <v>0.0775</v>
      </c>
      <c r="CL48" s="136" t="n">
        <v>0.0025</v>
      </c>
      <c r="CM48" s="136" t="n">
        <v>-0.0725</v>
      </c>
      <c r="CN48" s="136" t="n">
        <v>0.0075</v>
      </c>
      <c r="CO48" s="136" t="n">
        <v>-0.0175</v>
      </c>
      <c r="CP48" s="136" t="n">
        <v>0.005</v>
      </c>
      <c r="CQ48" s="136" t="n">
        <v>0.0225</v>
      </c>
      <c r="CR48" s="136" t="n">
        <v>0.0075</v>
      </c>
      <c r="CS48" s="136" t="n">
        <v>0.33</v>
      </c>
      <c r="CT48" s="136" t="n">
        <v>0.02</v>
      </c>
      <c r="CU48" s="136" t="n">
        <v>-0.25</v>
      </c>
      <c r="CV48" s="136" t="n">
        <v>0</v>
      </c>
      <c r="CW48" s="136" t="n">
        <v>0.135</v>
      </c>
      <c r="CX48" s="136" t="n">
        <v>0.0075</v>
      </c>
      <c r="CY48" s="136" t="n">
        <v>-0.69</v>
      </c>
      <c r="CZ48" s="136" t="n">
        <v>0</v>
      </c>
      <c r="DA48" s="136" t="n">
        <v>-0.51</v>
      </c>
      <c r="DB48" s="136" t="n">
        <v>0</v>
      </c>
      <c r="DC48" s="136" t="n">
        <v>0.75</v>
      </c>
      <c r="DE48" s="136" t="n">
        <v>-0.0525</v>
      </c>
      <c r="DF48" s="136" t="n">
        <v>0.0075</v>
      </c>
      <c r="DG48" s="136" t="n">
        <v>0.01</v>
      </c>
      <c r="DH48" s="136" t="n">
        <v>0.005</v>
      </c>
      <c r="DI48" s="136" t="n">
        <v>-0.02</v>
      </c>
      <c r="DJ48" s="136" t="n">
        <v>0.0075</v>
      </c>
      <c r="DK48" s="136" t="n">
        <v>-0.105</v>
      </c>
      <c r="DL48" s="136" t="n">
        <v>0.005</v>
      </c>
      <c r="DM48" s="136" t="n">
        <v>-0.065</v>
      </c>
      <c r="DN48" s="136" t="n">
        <v>0.0025</v>
      </c>
      <c r="DO48" s="136" t="n">
        <v>-0.085</v>
      </c>
      <c r="DP48" s="136" t="n">
        <v>0.0025</v>
      </c>
      <c r="DQ48" s="136" t="n">
        <v>-0.135</v>
      </c>
      <c r="DR48" s="136" t="n">
        <v>-0.005</v>
      </c>
      <c r="DS48" s="136" t="n">
        <v>0.325</v>
      </c>
      <c r="DT48" s="136" t="n">
        <v>0.005</v>
      </c>
      <c r="DU48" s="136" t="n">
        <v>-0.04</v>
      </c>
      <c r="DV48" s="136" t="n">
        <v>0</v>
      </c>
    </row>
    <row r="49" customFormat="false" ht="12.75" hidden="false" customHeight="false" outlineLevel="0" collapsed="false">
      <c r="D49" s="135" t="n">
        <v>38139</v>
      </c>
      <c r="F49" s="174" t="n">
        <v>3.227</v>
      </c>
      <c r="G49" s="175" t="n">
        <v>0.0405382235118998</v>
      </c>
      <c r="H49" s="174" t="n">
        <v>0.32</v>
      </c>
      <c r="I49" s="174" t="n">
        <v>0.45</v>
      </c>
      <c r="J49" s="174" t="n">
        <v>0.5</v>
      </c>
      <c r="K49" s="174" t="n">
        <v>0.4</v>
      </c>
      <c r="L49" s="172" t="n">
        <v>0.5</v>
      </c>
      <c r="M49" s="172" t="n">
        <v>0.45</v>
      </c>
      <c r="N49" s="174" t="n">
        <v>0.5</v>
      </c>
      <c r="O49" s="174" t="n">
        <v>0.5</v>
      </c>
      <c r="P49" s="174" t="n">
        <v>0.5</v>
      </c>
      <c r="Q49" s="174" t="n">
        <v>0.5</v>
      </c>
      <c r="R49" s="175" t="n">
        <v>0.45</v>
      </c>
      <c r="S49" s="175" t="n">
        <v>0.5</v>
      </c>
      <c r="T49" s="174" t="n">
        <v>0.45</v>
      </c>
      <c r="U49" s="174" t="n">
        <v>0.5</v>
      </c>
      <c r="V49" s="174" t="n">
        <v>0.6</v>
      </c>
      <c r="W49" s="174" t="n">
        <v>-0.09</v>
      </c>
      <c r="X49" s="174" t="n">
        <v>0</v>
      </c>
      <c r="Y49" s="174" t="n">
        <v>0.04</v>
      </c>
      <c r="Z49" s="174" t="n">
        <v>0.005</v>
      </c>
      <c r="AA49" s="174" t="n">
        <v>0.18</v>
      </c>
      <c r="AB49" s="174" t="n">
        <v>0</v>
      </c>
      <c r="AC49" s="174" t="n">
        <v>0.145</v>
      </c>
      <c r="AD49" s="174" t="n">
        <v>0</v>
      </c>
      <c r="AE49" s="174" t="n">
        <v>0.18</v>
      </c>
      <c r="AF49" s="174" t="n">
        <v>0</v>
      </c>
      <c r="AG49" s="174" t="n">
        <v>0.135</v>
      </c>
      <c r="AH49" s="174" t="n">
        <v>0</v>
      </c>
      <c r="AI49" s="174" t="n">
        <v>0.145</v>
      </c>
      <c r="AJ49" s="174" t="n">
        <v>0</v>
      </c>
      <c r="AK49" s="174" t="n">
        <v>0.04</v>
      </c>
      <c r="AL49" s="174" t="n">
        <v>0.04</v>
      </c>
      <c r="AM49" s="174" t="n">
        <v>-0.07</v>
      </c>
      <c r="AN49" s="174" t="n">
        <v>0.011</v>
      </c>
      <c r="AO49" s="174" t="n">
        <v>-0.43</v>
      </c>
      <c r="AP49" s="174" t="n">
        <v>0.155</v>
      </c>
      <c r="AQ49" s="174" t="n">
        <v>-0.065</v>
      </c>
      <c r="AR49" s="174" t="n">
        <v>0</v>
      </c>
      <c r="AS49" s="174" t="n">
        <v>-0.15</v>
      </c>
      <c r="AT49" s="174" t="n">
        <v>-0.015</v>
      </c>
      <c r="AU49" s="174" t="n">
        <v>-0.11</v>
      </c>
      <c r="AV49" s="174" t="n">
        <v>0.02</v>
      </c>
      <c r="AW49" s="174" t="n">
        <v>-0.095</v>
      </c>
      <c r="AX49" s="174" t="n">
        <v>0.01</v>
      </c>
      <c r="AY49" s="175" t="n">
        <v>0.125</v>
      </c>
      <c r="AZ49" s="175" t="n">
        <v>0</v>
      </c>
      <c r="BA49" s="175" t="n">
        <v>-0.22</v>
      </c>
      <c r="BB49" s="174" t="n">
        <v>0.0025</v>
      </c>
      <c r="BC49" s="174" t="n">
        <v>-0.0875</v>
      </c>
      <c r="BD49" s="174" t="n">
        <v>0.005</v>
      </c>
      <c r="BE49" s="174" t="n">
        <v>0.21</v>
      </c>
      <c r="BF49" s="174" t="n">
        <v>0.03</v>
      </c>
      <c r="BG49" s="174" t="n">
        <v>-0.07</v>
      </c>
      <c r="BH49" s="174" t="n">
        <v>0</v>
      </c>
      <c r="BI49" s="174" t="n">
        <v>0.075</v>
      </c>
      <c r="BJ49" s="136" t="n">
        <v>0.03</v>
      </c>
      <c r="BK49" s="136" t="n">
        <v>0.21</v>
      </c>
      <c r="BL49" s="136" t="n">
        <v>0.03</v>
      </c>
      <c r="BM49" s="136" t="n">
        <v>-0.25</v>
      </c>
      <c r="BN49" s="136" t="n">
        <v>0</v>
      </c>
      <c r="BO49" s="136" t="n">
        <v>-0.42</v>
      </c>
      <c r="BP49" s="136" t="n">
        <v>0.02</v>
      </c>
      <c r="BQ49" s="136" t="n">
        <v>0.5</v>
      </c>
      <c r="BR49" s="136" t="n">
        <v>0.03</v>
      </c>
      <c r="BS49" s="136" t="n">
        <v>-0.0875</v>
      </c>
      <c r="BT49" s="136" t="n">
        <v>0.005</v>
      </c>
      <c r="BU49" s="136" t="n">
        <v>0.3</v>
      </c>
      <c r="BV49" s="136" t="n">
        <v>0</v>
      </c>
      <c r="BW49" s="136" t="n">
        <v>0.21</v>
      </c>
      <c r="BX49" s="136" t="n">
        <v>0</v>
      </c>
      <c r="BY49" s="136" t="n">
        <v>-0.025</v>
      </c>
      <c r="BZ49" s="136" t="n">
        <v>0.0575</v>
      </c>
      <c r="CA49" s="136" t="n">
        <v>0.145</v>
      </c>
      <c r="CB49" s="136" t="n">
        <v>0.005</v>
      </c>
      <c r="CC49" s="136" t="n">
        <v>-0.025</v>
      </c>
      <c r="CD49" s="136" t="n">
        <v>0.0025</v>
      </c>
      <c r="CE49" s="136" t="n">
        <v>0.0025</v>
      </c>
      <c r="CF49" s="136" t="n">
        <v>0</v>
      </c>
      <c r="CG49" s="136" t="n">
        <v>-0.025</v>
      </c>
      <c r="CH49" s="136" t="n">
        <v>0.0025</v>
      </c>
      <c r="CI49" s="136" t="n">
        <v>-0.0875</v>
      </c>
      <c r="CJ49" s="136" t="n">
        <v>0.0025</v>
      </c>
      <c r="CK49" s="136" t="n">
        <v>0.0775</v>
      </c>
      <c r="CL49" s="136" t="n">
        <v>0.0025</v>
      </c>
      <c r="CM49" s="136" t="n">
        <v>-0.0725</v>
      </c>
      <c r="CN49" s="136" t="n">
        <v>0.0075</v>
      </c>
      <c r="CO49" s="136" t="n">
        <v>-0.0175</v>
      </c>
      <c r="CP49" s="136" t="n">
        <v>0.005</v>
      </c>
      <c r="CQ49" s="136" t="n">
        <v>0.0225</v>
      </c>
      <c r="CR49" s="136" t="n">
        <v>0.0075</v>
      </c>
      <c r="CS49" s="136" t="n">
        <v>0.37</v>
      </c>
      <c r="CT49" s="136" t="n">
        <v>0.035</v>
      </c>
      <c r="CU49" s="136" t="n">
        <v>-0.25</v>
      </c>
      <c r="CV49" s="136" t="n">
        <v>0</v>
      </c>
      <c r="CW49" s="136" t="n">
        <v>0.165</v>
      </c>
      <c r="CX49" s="136" t="n">
        <v>0.0075</v>
      </c>
      <c r="CY49" s="136" t="n">
        <v>-0.69</v>
      </c>
      <c r="CZ49" s="136" t="n">
        <v>0</v>
      </c>
      <c r="DA49" s="136" t="n">
        <v>-0.51</v>
      </c>
      <c r="DB49" s="136" t="n">
        <v>0</v>
      </c>
      <c r="DC49" s="136" t="n">
        <v>0.85</v>
      </c>
      <c r="DE49" s="136" t="n">
        <v>-0.05</v>
      </c>
      <c r="DF49" s="136" t="n">
        <v>0.0075</v>
      </c>
      <c r="DG49" s="136" t="n">
        <v>0.0125</v>
      </c>
      <c r="DH49" s="136" t="n">
        <v>0.005</v>
      </c>
      <c r="DI49" s="136" t="n">
        <v>-0.0175</v>
      </c>
      <c r="DJ49" s="136" t="n">
        <v>0.0075</v>
      </c>
      <c r="DK49" s="136" t="n">
        <v>-0.0525</v>
      </c>
      <c r="DL49" s="136" t="n">
        <v>0.005</v>
      </c>
      <c r="DM49" s="136" t="n">
        <v>-0.065</v>
      </c>
      <c r="DN49" s="136" t="n">
        <v>0.0025</v>
      </c>
      <c r="DO49" s="136" t="n">
        <v>-0.085</v>
      </c>
      <c r="DP49" s="136" t="n">
        <v>0.0025</v>
      </c>
      <c r="DQ49" s="136" t="n">
        <v>-0.0825</v>
      </c>
      <c r="DR49" s="136" t="n">
        <v>-0.005</v>
      </c>
      <c r="DS49" s="136" t="n">
        <v>0.335</v>
      </c>
      <c r="DT49" s="136" t="n">
        <v>0.005</v>
      </c>
      <c r="DU49" s="136" t="n">
        <v>-0.04</v>
      </c>
      <c r="DV49" s="136" t="n">
        <v>0</v>
      </c>
    </row>
    <row r="50" customFormat="false" ht="12.75" hidden="false" customHeight="false" outlineLevel="0" collapsed="false">
      <c r="D50" s="135" t="n">
        <v>38169</v>
      </c>
      <c r="F50" s="174" t="n">
        <v>3.267</v>
      </c>
      <c r="G50" s="175" t="n">
        <v>0.0412152492802473</v>
      </c>
      <c r="H50" s="174" t="n">
        <v>0.32</v>
      </c>
      <c r="I50" s="174" t="n">
        <v>0.5</v>
      </c>
      <c r="J50" s="174" t="n">
        <v>0.5</v>
      </c>
      <c r="K50" s="174" t="n">
        <v>0.4</v>
      </c>
      <c r="L50" s="172" t="n">
        <v>0.5</v>
      </c>
      <c r="M50" s="172" t="n">
        <v>0.5</v>
      </c>
      <c r="N50" s="174" t="n">
        <v>0.5</v>
      </c>
      <c r="O50" s="174" t="n">
        <v>0.5</v>
      </c>
      <c r="P50" s="174" t="n">
        <v>0.5</v>
      </c>
      <c r="Q50" s="174" t="n">
        <v>0.5</v>
      </c>
      <c r="R50" s="175" t="n">
        <v>0.5</v>
      </c>
      <c r="S50" s="175" t="n">
        <v>0.55</v>
      </c>
      <c r="T50" s="174" t="n">
        <v>0.5</v>
      </c>
      <c r="U50" s="174" t="n">
        <v>0.5</v>
      </c>
      <c r="V50" s="174" t="n">
        <v>0.6</v>
      </c>
      <c r="W50" s="174" t="n">
        <v>-0.09</v>
      </c>
      <c r="X50" s="174" t="n">
        <v>0</v>
      </c>
      <c r="Y50" s="174" t="n">
        <v>0.04</v>
      </c>
      <c r="Z50" s="174" t="n">
        <v>0.005</v>
      </c>
      <c r="AA50" s="174" t="n">
        <v>0.18</v>
      </c>
      <c r="AB50" s="174" t="n">
        <v>0</v>
      </c>
      <c r="AC50" s="174" t="n">
        <v>0.145</v>
      </c>
      <c r="AD50" s="174" t="n">
        <v>0</v>
      </c>
      <c r="AE50" s="174" t="n">
        <v>0.18</v>
      </c>
      <c r="AF50" s="174" t="n">
        <v>0</v>
      </c>
      <c r="AG50" s="174" t="n">
        <v>0.135</v>
      </c>
      <c r="AH50" s="174" t="n">
        <v>0</v>
      </c>
      <c r="AI50" s="174" t="n">
        <v>0.145</v>
      </c>
      <c r="AJ50" s="174" t="n">
        <v>0</v>
      </c>
      <c r="AK50" s="174" t="n">
        <v>0.04</v>
      </c>
      <c r="AL50" s="174" t="n">
        <v>0.04</v>
      </c>
      <c r="AM50" s="174" t="n">
        <v>-0.07</v>
      </c>
      <c r="AN50" s="174" t="n">
        <v>0.011</v>
      </c>
      <c r="AO50" s="174" t="n">
        <v>-0.43</v>
      </c>
      <c r="AP50" s="174" t="n">
        <v>0.155</v>
      </c>
      <c r="AQ50" s="174" t="n">
        <v>-0.065</v>
      </c>
      <c r="AR50" s="174" t="n">
        <v>0</v>
      </c>
      <c r="AS50" s="174" t="n">
        <v>-0.15</v>
      </c>
      <c r="AT50" s="174" t="n">
        <v>-0.015</v>
      </c>
      <c r="AU50" s="174" t="n">
        <v>-0.11</v>
      </c>
      <c r="AV50" s="174" t="n">
        <v>0.02</v>
      </c>
      <c r="AW50" s="174" t="n">
        <v>-0.095</v>
      </c>
      <c r="AX50" s="174" t="n">
        <v>0.01</v>
      </c>
      <c r="AY50" s="175" t="n">
        <v>0.125</v>
      </c>
      <c r="AZ50" s="175" t="n">
        <v>0</v>
      </c>
      <c r="BA50" s="175" t="n">
        <v>-0.22</v>
      </c>
      <c r="BB50" s="174" t="n">
        <v>0.0025</v>
      </c>
      <c r="BC50" s="174" t="n">
        <v>-0.0875</v>
      </c>
      <c r="BD50" s="174" t="n">
        <v>0.005</v>
      </c>
      <c r="BE50" s="174" t="n">
        <v>0.21</v>
      </c>
      <c r="BF50" s="174" t="n">
        <v>0.03</v>
      </c>
      <c r="BG50" s="174" t="n">
        <v>-0.07</v>
      </c>
      <c r="BH50" s="174" t="n">
        <v>0</v>
      </c>
      <c r="BI50" s="174" t="n">
        <v>0.075</v>
      </c>
      <c r="BJ50" s="136" t="n">
        <v>0.03</v>
      </c>
      <c r="BK50" s="136" t="n">
        <v>0.21</v>
      </c>
      <c r="BL50" s="136" t="n">
        <v>0.03</v>
      </c>
      <c r="BM50" s="136" t="n">
        <v>-0.25</v>
      </c>
      <c r="BN50" s="136" t="n">
        <v>0</v>
      </c>
      <c r="BO50" s="136" t="n">
        <v>-0.42</v>
      </c>
      <c r="BP50" s="136" t="n">
        <v>0.02</v>
      </c>
      <c r="BQ50" s="136" t="n">
        <v>0.5</v>
      </c>
      <c r="BR50" s="136" t="n">
        <v>0.03</v>
      </c>
      <c r="BS50" s="136" t="n">
        <v>-0.0875</v>
      </c>
      <c r="BT50" s="136" t="n">
        <v>0.005</v>
      </c>
      <c r="BU50" s="136" t="n">
        <v>0.3</v>
      </c>
      <c r="BV50" s="136" t="n">
        <v>0</v>
      </c>
      <c r="BW50" s="136" t="n">
        <v>0.21</v>
      </c>
      <c r="BX50" s="136" t="n">
        <v>0</v>
      </c>
      <c r="BY50" s="136" t="n">
        <v>-0.025</v>
      </c>
      <c r="BZ50" s="136" t="n">
        <v>0.0575</v>
      </c>
      <c r="CA50" s="136" t="n">
        <v>0.15</v>
      </c>
      <c r="CB50" s="136" t="n">
        <v>0.005</v>
      </c>
      <c r="CC50" s="136" t="n">
        <v>-0.025</v>
      </c>
      <c r="CD50" s="136" t="n">
        <v>0.0025</v>
      </c>
      <c r="CE50" s="136" t="n">
        <v>0.0025</v>
      </c>
      <c r="CF50" s="136" t="n">
        <v>0</v>
      </c>
      <c r="CG50" s="136" t="n">
        <v>-0.025</v>
      </c>
      <c r="CH50" s="136" t="n">
        <v>0.0025</v>
      </c>
      <c r="CI50" s="136" t="n">
        <v>-0.085</v>
      </c>
      <c r="CJ50" s="136" t="n">
        <v>0.0025</v>
      </c>
      <c r="CK50" s="136" t="n">
        <v>0.0775</v>
      </c>
      <c r="CL50" s="136" t="n">
        <v>0.0025</v>
      </c>
      <c r="CM50" s="136" t="n">
        <v>-0.0725</v>
      </c>
      <c r="CN50" s="136" t="n">
        <v>0.0075</v>
      </c>
      <c r="CO50" s="136" t="n">
        <v>-0.0175</v>
      </c>
      <c r="CP50" s="136" t="n">
        <v>0.005</v>
      </c>
      <c r="CQ50" s="136" t="n">
        <v>0.0225</v>
      </c>
      <c r="CR50" s="136" t="n">
        <v>0.0075</v>
      </c>
      <c r="CS50" s="136" t="n">
        <v>0.41</v>
      </c>
      <c r="CT50" s="136" t="n">
        <v>0.035</v>
      </c>
      <c r="CU50" s="136" t="n">
        <v>-0.25</v>
      </c>
      <c r="CV50" s="136" t="n">
        <v>0</v>
      </c>
      <c r="CW50" s="136" t="n">
        <v>0.205</v>
      </c>
      <c r="CX50" s="136" t="n">
        <v>0.0075</v>
      </c>
      <c r="CY50" s="136" t="n">
        <v>-0.69</v>
      </c>
      <c r="CZ50" s="136" t="n">
        <v>0</v>
      </c>
      <c r="DA50" s="136" t="n">
        <v>-0.51</v>
      </c>
      <c r="DB50" s="136" t="n">
        <v>0</v>
      </c>
      <c r="DC50" s="136" t="n">
        <v>1.05</v>
      </c>
      <c r="DE50" s="136" t="n">
        <v>-0.05</v>
      </c>
      <c r="DF50" s="136" t="n">
        <v>0.0075</v>
      </c>
      <c r="DG50" s="136" t="n">
        <v>0.0125</v>
      </c>
      <c r="DH50" s="136" t="n">
        <v>0.005</v>
      </c>
      <c r="DI50" s="136" t="n">
        <v>-0.0175</v>
      </c>
      <c r="DJ50" s="136" t="n">
        <v>0.0075</v>
      </c>
      <c r="DK50" s="136" t="n">
        <v>-0.0625</v>
      </c>
      <c r="DL50" s="136" t="n">
        <v>0.005</v>
      </c>
      <c r="DM50" s="136" t="n">
        <v>-0.065</v>
      </c>
      <c r="DN50" s="136" t="n">
        <v>0.0025</v>
      </c>
      <c r="DO50" s="136" t="n">
        <v>-0.085</v>
      </c>
      <c r="DP50" s="136" t="n">
        <v>0.0025</v>
      </c>
      <c r="DQ50" s="136" t="n">
        <v>-0.0925</v>
      </c>
      <c r="DR50" s="136" t="n">
        <v>-0.005</v>
      </c>
      <c r="DS50" s="136" t="n">
        <v>0.35</v>
      </c>
      <c r="DT50" s="136" t="n">
        <v>0.005</v>
      </c>
      <c r="DU50" s="136" t="n">
        <v>-0.04</v>
      </c>
      <c r="DV50" s="136" t="n">
        <v>0</v>
      </c>
    </row>
    <row r="51" customFormat="false" ht="12.75" hidden="false" customHeight="false" outlineLevel="0" collapsed="false">
      <c r="D51" s="135" t="n">
        <v>38200</v>
      </c>
      <c r="F51" s="174" t="n">
        <v>3.307</v>
      </c>
      <c r="G51" s="175" t="n">
        <v>0.0418733656308259</v>
      </c>
      <c r="H51" s="174" t="n">
        <v>0.32</v>
      </c>
      <c r="I51" s="174" t="n">
        <v>0.55</v>
      </c>
      <c r="J51" s="174" t="n">
        <v>0.55</v>
      </c>
      <c r="K51" s="174" t="n">
        <v>0.5</v>
      </c>
      <c r="L51" s="172" t="n">
        <v>0.6</v>
      </c>
      <c r="M51" s="172" t="n">
        <v>0.55</v>
      </c>
      <c r="N51" s="174" t="n">
        <v>0.6</v>
      </c>
      <c r="O51" s="174" t="n">
        <v>0.55</v>
      </c>
      <c r="P51" s="174" t="n">
        <v>0.6</v>
      </c>
      <c r="Q51" s="174" t="n">
        <v>0.45</v>
      </c>
      <c r="R51" s="175" t="n">
        <v>0.55</v>
      </c>
      <c r="S51" s="175" t="n">
        <v>0.6</v>
      </c>
      <c r="T51" s="174" t="n">
        <v>0.55</v>
      </c>
      <c r="U51" s="174" t="n">
        <v>0.6</v>
      </c>
      <c r="V51" s="174" t="n">
        <v>0.7</v>
      </c>
      <c r="W51" s="174" t="n">
        <v>-0.09</v>
      </c>
      <c r="X51" s="174" t="n">
        <v>0</v>
      </c>
      <c r="Y51" s="174" t="n">
        <v>0.04</v>
      </c>
      <c r="Z51" s="174" t="n">
        <v>0.005</v>
      </c>
      <c r="AA51" s="174" t="n">
        <v>0.18</v>
      </c>
      <c r="AB51" s="174" t="n">
        <v>0</v>
      </c>
      <c r="AC51" s="174" t="n">
        <v>0.145</v>
      </c>
      <c r="AD51" s="174" t="n">
        <v>0</v>
      </c>
      <c r="AE51" s="174" t="n">
        <v>0.18</v>
      </c>
      <c r="AF51" s="174" t="n">
        <v>0</v>
      </c>
      <c r="AG51" s="174" t="n">
        <v>0.135</v>
      </c>
      <c r="AH51" s="174" t="n">
        <v>0</v>
      </c>
      <c r="AI51" s="174" t="n">
        <v>0.145</v>
      </c>
      <c r="AJ51" s="174" t="n">
        <v>0</v>
      </c>
      <c r="AK51" s="174" t="n">
        <v>0.04</v>
      </c>
      <c r="AL51" s="174" t="n">
        <v>0.04</v>
      </c>
      <c r="AM51" s="174" t="n">
        <v>-0.07</v>
      </c>
      <c r="AN51" s="174" t="n">
        <v>0.011</v>
      </c>
      <c r="AO51" s="174" t="n">
        <v>-0.43</v>
      </c>
      <c r="AP51" s="174" t="n">
        <v>0.155</v>
      </c>
      <c r="AQ51" s="174" t="n">
        <v>-0.065</v>
      </c>
      <c r="AR51" s="174" t="n">
        <v>0</v>
      </c>
      <c r="AS51" s="174" t="n">
        <v>-0.15</v>
      </c>
      <c r="AT51" s="174" t="n">
        <v>-0.015</v>
      </c>
      <c r="AU51" s="174" t="n">
        <v>-0.11</v>
      </c>
      <c r="AV51" s="174" t="n">
        <v>0.02</v>
      </c>
      <c r="AW51" s="174" t="n">
        <v>-0.095</v>
      </c>
      <c r="AX51" s="174" t="n">
        <v>0.01</v>
      </c>
      <c r="AY51" s="175" t="n">
        <v>0.125</v>
      </c>
      <c r="AZ51" s="175" t="n">
        <v>0</v>
      </c>
      <c r="BA51" s="175" t="n">
        <v>-0.22</v>
      </c>
      <c r="BB51" s="174" t="n">
        <v>0.0025</v>
      </c>
      <c r="BC51" s="174" t="n">
        <v>-0.0875</v>
      </c>
      <c r="BD51" s="174" t="n">
        <v>0.005</v>
      </c>
      <c r="BE51" s="174" t="n">
        <v>0.21</v>
      </c>
      <c r="BF51" s="174" t="n">
        <v>0.03</v>
      </c>
      <c r="BG51" s="174" t="n">
        <v>-0.07</v>
      </c>
      <c r="BH51" s="174" t="n">
        <v>0</v>
      </c>
      <c r="BI51" s="174" t="n">
        <v>0.075</v>
      </c>
      <c r="BJ51" s="136" t="n">
        <v>0.03</v>
      </c>
      <c r="BK51" s="136" t="n">
        <v>0.21</v>
      </c>
      <c r="BL51" s="136" t="n">
        <v>0.03</v>
      </c>
      <c r="BM51" s="136" t="n">
        <v>-0.25</v>
      </c>
      <c r="BN51" s="136" t="n">
        <v>0</v>
      </c>
      <c r="BO51" s="136" t="n">
        <v>-0.42</v>
      </c>
      <c r="BP51" s="136" t="n">
        <v>0.02</v>
      </c>
      <c r="BQ51" s="136" t="n">
        <v>0.5</v>
      </c>
      <c r="BR51" s="136" t="n">
        <v>0.03</v>
      </c>
      <c r="BS51" s="136" t="n">
        <v>-0.0875</v>
      </c>
      <c r="BT51" s="136" t="n">
        <v>0.005</v>
      </c>
      <c r="BU51" s="136" t="n">
        <v>0.3</v>
      </c>
      <c r="BV51" s="136" t="n">
        <v>0</v>
      </c>
      <c r="BW51" s="136" t="n">
        <v>0.21</v>
      </c>
      <c r="BX51" s="136" t="n">
        <v>0</v>
      </c>
      <c r="BY51" s="136" t="n">
        <v>-0.025</v>
      </c>
      <c r="BZ51" s="136" t="n">
        <v>0.0575</v>
      </c>
      <c r="CA51" s="136" t="n">
        <v>0.15</v>
      </c>
      <c r="CB51" s="136" t="n">
        <v>0.005</v>
      </c>
      <c r="CC51" s="136" t="n">
        <v>-0.025</v>
      </c>
      <c r="CD51" s="136" t="n">
        <v>0.0025</v>
      </c>
      <c r="CE51" s="136" t="n">
        <v>0.0025</v>
      </c>
      <c r="CF51" s="136" t="n">
        <v>0</v>
      </c>
      <c r="CG51" s="136" t="n">
        <v>-0.025</v>
      </c>
      <c r="CH51" s="136" t="n">
        <v>0.0025</v>
      </c>
      <c r="CI51" s="136" t="n">
        <v>-0.0825</v>
      </c>
      <c r="CJ51" s="136" t="n">
        <v>0.0025</v>
      </c>
      <c r="CK51" s="136" t="n">
        <v>0.0775</v>
      </c>
      <c r="CL51" s="136" t="n">
        <v>0.0025</v>
      </c>
      <c r="CM51" s="136" t="n">
        <v>-0.0725</v>
      </c>
      <c r="CN51" s="136" t="n">
        <v>0.0075</v>
      </c>
      <c r="CO51" s="136" t="n">
        <v>-0.0175</v>
      </c>
      <c r="CP51" s="136" t="n">
        <v>0.005</v>
      </c>
      <c r="CQ51" s="136" t="n">
        <v>0.0225</v>
      </c>
      <c r="CR51" s="136" t="n">
        <v>0.0075</v>
      </c>
      <c r="CS51" s="136" t="n">
        <v>0.41</v>
      </c>
      <c r="CT51" s="136" t="n">
        <v>0.01</v>
      </c>
      <c r="CU51" s="136" t="n">
        <v>-0.25</v>
      </c>
      <c r="CV51" s="136" t="n">
        <v>0</v>
      </c>
      <c r="CW51" s="136" t="n">
        <v>0.205</v>
      </c>
      <c r="CX51" s="136" t="n">
        <v>0.0075</v>
      </c>
      <c r="CY51" s="136" t="n">
        <v>-0.69</v>
      </c>
      <c r="CZ51" s="136" t="n">
        <v>0</v>
      </c>
      <c r="DA51" s="136" t="n">
        <v>-0.51</v>
      </c>
      <c r="DB51" s="136" t="n">
        <v>0</v>
      </c>
      <c r="DC51" s="136" t="n">
        <v>1.05</v>
      </c>
      <c r="DE51" s="136" t="n">
        <v>-0.05</v>
      </c>
      <c r="DF51" s="136" t="n">
        <v>0.0075</v>
      </c>
      <c r="DG51" s="136" t="n">
        <v>0.0125</v>
      </c>
      <c r="DH51" s="136" t="n">
        <v>0.005</v>
      </c>
      <c r="DI51" s="136" t="n">
        <v>-0.0175</v>
      </c>
      <c r="DJ51" s="136" t="n">
        <v>0.0075</v>
      </c>
      <c r="DK51" s="136" t="n">
        <v>-0.0575</v>
      </c>
      <c r="DL51" s="136" t="n">
        <v>0.005</v>
      </c>
      <c r="DM51" s="136" t="n">
        <v>-0.065</v>
      </c>
      <c r="DN51" s="136" t="n">
        <v>0.0025</v>
      </c>
      <c r="DO51" s="136" t="n">
        <v>-0.085</v>
      </c>
      <c r="DP51" s="136" t="n">
        <v>0.0025</v>
      </c>
      <c r="DQ51" s="136" t="n">
        <v>-0.0875</v>
      </c>
      <c r="DR51" s="136" t="n">
        <v>-0.005</v>
      </c>
      <c r="DS51" s="136" t="n">
        <v>0.35</v>
      </c>
      <c r="DT51" s="136" t="n">
        <v>-0.005</v>
      </c>
      <c r="DU51" s="136" t="n">
        <v>-0.04</v>
      </c>
      <c r="DV51" s="136" t="n">
        <v>0</v>
      </c>
    </row>
    <row r="52" customFormat="false" ht="12.75" hidden="false" customHeight="false" outlineLevel="0" collapsed="false">
      <c r="D52" s="135" t="n">
        <v>38231</v>
      </c>
      <c r="F52" s="174" t="n">
        <v>3.302</v>
      </c>
      <c r="G52" s="175" t="n">
        <v>0.0425314821265914</v>
      </c>
      <c r="H52" s="174" t="n">
        <v>0.32</v>
      </c>
      <c r="I52" s="174" t="n">
        <v>0.55</v>
      </c>
      <c r="J52" s="174" t="n">
        <v>0.55</v>
      </c>
      <c r="K52" s="174" t="n">
        <v>0.55</v>
      </c>
      <c r="L52" s="172" t="n">
        <v>0.55</v>
      </c>
      <c r="M52" s="172" t="n">
        <v>0.55</v>
      </c>
      <c r="N52" s="174" t="n">
        <v>0.6</v>
      </c>
      <c r="O52" s="174" t="n">
        <v>0.6</v>
      </c>
      <c r="P52" s="174" t="n">
        <v>0.55</v>
      </c>
      <c r="Q52" s="174" t="n">
        <v>0.5</v>
      </c>
      <c r="R52" s="175" t="n">
        <v>0.55</v>
      </c>
      <c r="S52" s="175" t="n">
        <v>0.6</v>
      </c>
      <c r="T52" s="174" t="n">
        <v>0.55</v>
      </c>
      <c r="U52" s="174" t="n">
        <v>0.6</v>
      </c>
      <c r="V52" s="174" t="n">
        <v>0.65</v>
      </c>
      <c r="W52" s="174" t="n">
        <v>-0.09</v>
      </c>
      <c r="X52" s="174" t="n">
        <v>0</v>
      </c>
      <c r="Y52" s="174" t="n">
        <v>0.04</v>
      </c>
      <c r="Z52" s="174" t="n">
        <v>0.005</v>
      </c>
      <c r="AA52" s="174" t="n">
        <v>0.18</v>
      </c>
      <c r="AB52" s="174" t="n">
        <v>0</v>
      </c>
      <c r="AC52" s="174" t="n">
        <v>0.145</v>
      </c>
      <c r="AD52" s="174" t="n">
        <v>0</v>
      </c>
      <c r="AE52" s="174" t="n">
        <v>0.18</v>
      </c>
      <c r="AF52" s="174" t="n">
        <v>0</v>
      </c>
      <c r="AG52" s="174" t="n">
        <v>0.135</v>
      </c>
      <c r="AH52" s="174" t="n">
        <v>0</v>
      </c>
      <c r="AI52" s="174" t="n">
        <v>0.145</v>
      </c>
      <c r="AJ52" s="174" t="n">
        <v>0</v>
      </c>
      <c r="AK52" s="174" t="n">
        <v>0.04</v>
      </c>
      <c r="AL52" s="174" t="n">
        <v>0.04</v>
      </c>
      <c r="AM52" s="174" t="n">
        <v>-0.07</v>
      </c>
      <c r="AN52" s="174" t="n">
        <v>0.011</v>
      </c>
      <c r="AO52" s="174" t="n">
        <v>-0.43</v>
      </c>
      <c r="AP52" s="174" t="n">
        <v>0.155</v>
      </c>
      <c r="AQ52" s="174" t="n">
        <v>-0.065</v>
      </c>
      <c r="AR52" s="174" t="n">
        <v>0</v>
      </c>
      <c r="AS52" s="174" t="n">
        <v>-0.15</v>
      </c>
      <c r="AT52" s="174" t="n">
        <v>-0.015</v>
      </c>
      <c r="AU52" s="174" t="n">
        <v>-0.11</v>
      </c>
      <c r="AV52" s="174" t="n">
        <v>0.02</v>
      </c>
      <c r="AW52" s="174" t="n">
        <v>-0.095</v>
      </c>
      <c r="AX52" s="174" t="n">
        <v>0.01</v>
      </c>
      <c r="AY52" s="175" t="n">
        <v>0.125</v>
      </c>
      <c r="AZ52" s="175" t="n">
        <v>0</v>
      </c>
      <c r="BA52" s="175" t="n">
        <v>-0.22</v>
      </c>
      <c r="BB52" s="174" t="n">
        <v>0.0025</v>
      </c>
      <c r="BC52" s="174" t="n">
        <v>-0.0875</v>
      </c>
      <c r="BD52" s="174" t="n">
        <v>0.005</v>
      </c>
      <c r="BE52" s="174" t="n">
        <v>0.21</v>
      </c>
      <c r="BF52" s="174" t="n">
        <v>0.03</v>
      </c>
      <c r="BG52" s="174" t="n">
        <v>-0.07</v>
      </c>
      <c r="BH52" s="174" t="n">
        <v>0</v>
      </c>
      <c r="BI52" s="174" t="n">
        <v>0.075</v>
      </c>
      <c r="BJ52" s="136" t="n">
        <v>0.03</v>
      </c>
      <c r="BK52" s="136" t="n">
        <v>0.21</v>
      </c>
      <c r="BL52" s="136" t="n">
        <v>0.03</v>
      </c>
      <c r="BM52" s="136" t="n">
        <v>-0.25</v>
      </c>
      <c r="BN52" s="136" t="n">
        <v>0</v>
      </c>
      <c r="BO52" s="136" t="n">
        <v>-0.42</v>
      </c>
      <c r="BP52" s="136" t="n">
        <v>0.02</v>
      </c>
      <c r="BQ52" s="136" t="n">
        <v>0.5</v>
      </c>
      <c r="BR52" s="136" t="n">
        <v>0.03</v>
      </c>
      <c r="BS52" s="136" t="n">
        <v>-0.0875</v>
      </c>
      <c r="BT52" s="136" t="n">
        <v>0.005</v>
      </c>
      <c r="BU52" s="136" t="n">
        <v>0.3</v>
      </c>
      <c r="BV52" s="136" t="n">
        <v>0</v>
      </c>
      <c r="BW52" s="136" t="n">
        <v>0.21</v>
      </c>
      <c r="BX52" s="136" t="n">
        <v>0</v>
      </c>
      <c r="BY52" s="136" t="n">
        <v>-0.025</v>
      </c>
      <c r="BZ52" s="136" t="n">
        <v>0.0575</v>
      </c>
      <c r="CA52" s="136" t="n">
        <v>0.125</v>
      </c>
      <c r="CB52" s="136" t="n">
        <v>0.005</v>
      </c>
      <c r="CC52" s="136" t="n">
        <v>-0.025</v>
      </c>
      <c r="CD52" s="136" t="n">
        <v>0.0025</v>
      </c>
      <c r="CE52" s="136" t="n">
        <v>0.0025</v>
      </c>
      <c r="CF52" s="136" t="n">
        <v>0</v>
      </c>
      <c r="CG52" s="136" t="n">
        <v>-0.025</v>
      </c>
      <c r="CH52" s="136" t="n">
        <v>0.0025</v>
      </c>
      <c r="CI52" s="136" t="n">
        <v>-0.0875</v>
      </c>
      <c r="CJ52" s="136" t="n">
        <v>0.0025</v>
      </c>
      <c r="CK52" s="136" t="n">
        <v>0.0775</v>
      </c>
      <c r="CL52" s="136" t="n">
        <v>0.0025</v>
      </c>
      <c r="CM52" s="136" t="n">
        <v>-0.0725</v>
      </c>
      <c r="CN52" s="136" t="n">
        <v>0.0075</v>
      </c>
      <c r="CO52" s="136" t="n">
        <v>-0.0175</v>
      </c>
      <c r="CP52" s="136" t="n">
        <v>0.005</v>
      </c>
      <c r="CQ52" s="136" t="n">
        <v>0.0225</v>
      </c>
      <c r="CR52" s="136" t="n">
        <v>0.0075</v>
      </c>
      <c r="CS52" s="136" t="n">
        <v>0.36</v>
      </c>
      <c r="CT52" s="136" t="n">
        <v>0.01</v>
      </c>
      <c r="CU52" s="136" t="n">
        <v>-0.25</v>
      </c>
      <c r="CV52" s="136" t="n">
        <v>0</v>
      </c>
      <c r="CW52" s="136" t="n">
        <v>0.145</v>
      </c>
      <c r="CX52" s="136" t="n">
        <v>0.0075</v>
      </c>
      <c r="CY52" s="136" t="n">
        <v>-0.69</v>
      </c>
      <c r="CZ52" s="136" t="n">
        <v>0</v>
      </c>
      <c r="DA52" s="136" t="n">
        <v>-0.51</v>
      </c>
      <c r="DB52" s="136" t="n">
        <v>0</v>
      </c>
      <c r="DC52" s="136" t="n">
        <v>0.75</v>
      </c>
      <c r="DE52" s="136" t="n">
        <v>-0.055</v>
      </c>
      <c r="DF52" s="136" t="n">
        <v>0.0075</v>
      </c>
      <c r="DG52" s="136" t="n">
        <v>0.0075</v>
      </c>
      <c r="DH52" s="136" t="n">
        <v>0.005</v>
      </c>
      <c r="DI52" s="136" t="n">
        <v>-0.0225</v>
      </c>
      <c r="DJ52" s="136" t="n">
        <v>0.0075</v>
      </c>
      <c r="DK52" s="136" t="n">
        <v>-0.0675</v>
      </c>
      <c r="DL52" s="136" t="n">
        <v>0.005</v>
      </c>
      <c r="DM52" s="136" t="n">
        <v>-0.065</v>
      </c>
      <c r="DN52" s="136" t="n">
        <v>0.0025</v>
      </c>
      <c r="DO52" s="136" t="n">
        <v>-0.085</v>
      </c>
      <c r="DP52" s="136" t="n">
        <v>0.0025</v>
      </c>
      <c r="DQ52" s="136" t="n">
        <v>-0.0975</v>
      </c>
      <c r="DR52" s="136" t="n">
        <v>-0.005</v>
      </c>
      <c r="DS52" s="136" t="n">
        <v>0.315</v>
      </c>
      <c r="DT52" s="136" t="n">
        <v>-0.005</v>
      </c>
      <c r="DU52" s="136" t="n">
        <v>-0.04</v>
      </c>
      <c r="DV52" s="136" t="n">
        <v>0</v>
      </c>
    </row>
    <row r="53" customFormat="false" ht="12.75" hidden="false" customHeight="false" outlineLevel="0" collapsed="false">
      <c r="D53" s="135" t="n">
        <v>38261</v>
      </c>
      <c r="F53" s="174" t="n">
        <v>3.327</v>
      </c>
      <c r="G53" s="175" t="n">
        <v>0.0431331290786572</v>
      </c>
      <c r="H53" s="174" t="n">
        <v>0.32</v>
      </c>
      <c r="I53" s="174" t="n">
        <v>0.6</v>
      </c>
      <c r="J53" s="174" t="n">
        <v>0.6</v>
      </c>
      <c r="K53" s="174" t="n">
        <v>0.55</v>
      </c>
      <c r="L53" s="172" t="n">
        <v>0.6</v>
      </c>
      <c r="M53" s="172" t="n">
        <v>0.6</v>
      </c>
      <c r="N53" s="174" t="n">
        <v>0.65</v>
      </c>
      <c r="O53" s="174" t="n">
        <v>0.65</v>
      </c>
      <c r="P53" s="174" t="n">
        <v>0.6</v>
      </c>
      <c r="Q53" s="174" t="n">
        <v>0.5</v>
      </c>
      <c r="R53" s="175" t="n">
        <v>0.6</v>
      </c>
      <c r="S53" s="175" t="n">
        <v>0.65</v>
      </c>
      <c r="T53" s="174" t="n">
        <v>0.6</v>
      </c>
      <c r="U53" s="174" t="n">
        <v>0.65</v>
      </c>
      <c r="V53" s="174" t="n">
        <v>0.7</v>
      </c>
      <c r="W53" s="174" t="n">
        <v>-0.09</v>
      </c>
      <c r="X53" s="174" t="n">
        <v>0</v>
      </c>
      <c r="Y53" s="174" t="n">
        <v>0.04</v>
      </c>
      <c r="Z53" s="174" t="n">
        <v>0.005</v>
      </c>
      <c r="AA53" s="174" t="n">
        <v>0.18</v>
      </c>
      <c r="AB53" s="174" t="n">
        <v>0</v>
      </c>
      <c r="AC53" s="174" t="n">
        <v>0.145</v>
      </c>
      <c r="AD53" s="174" t="n">
        <v>0</v>
      </c>
      <c r="AE53" s="174" t="n">
        <v>0.18</v>
      </c>
      <c r="AF53" s="174" t="n">
        <v>0</v>
      </c>
      <c r="AG53" s="174" t="n">
        <v>0.135</v>
      </c>
      <c r="AH53" s="174" t="n">
        <v>0</v>
      </c>
      <c r="AI53" s="174" t="n">
        <v>0.145</v>
      </c>
      <c r="AJ53" s="174" t="n">
        <v>0</v>
      </c>
      <c r="AK53" s="174" t="n">
        <v>0.04</v>
      </c>
      <c r="AL53" s="174" t="n">
        <v>0.04</v>
      </c>
      <c r="AM53" s="174" t="n">
        <v>-0.07</v>
      </c>
      <c r="AN53" s="174" t="n">
        <v>0.011</v>
      </c>
      <c r="AO53" s="174" t="n">
        <v>-0.43</v>
      </c>
      <c r="AP53" s="174" t="n">
        <v>0.155</v>
      </c>
      <c r="AQ53" s="174" t="n">
        <v>-0.065</v>
      </c>
      <c r="AR53" s="174" t="n">
        <v>0</v>
      </c>
      <c r="AS53" s="174" t="n">
        <v>-0.15</v>
      </c>
      <c r="AT53" s="174" t="n">
        <v>-0.015</v>
      </c>
      <c r="AU53" s="174" t="n">
        <v>-0.11</v>
      </c>
      <c r="AV53" s="174" t="n">
        <v>0.02</v>
      </c>
      <c r="AW53" s="174" t="n">
        <v>-0.095</v>
      </c>
      <c r="AX53" s="174" t="n">
        <v>0.01</v>
      </c>
      <c r="AY53" s="175" t="n">
        <v>0.125</v>
      </c>
      <c r="AZ53" s="175" t="n">
        <v>0</v>
      </c>
      <c r="BA53" s="175" t="n">
        <v>-0.22</v>
      </c>
      <c r="BB53" s="174" t="n">
        <v>0.0025</v>
      </c>
      <c r="BC53" s="174" t="n">
        <v>-0.0875</v>
      </c>
      <c r="BD53" s="174" t="n">
        <v>0.005</v>
      </c>
      <c r="BE53" s="174" t="n">
        <v>0.21</v>
      </c>
      <c r="BF53" s="174" t="n">
        <v>0.03</v>
      </c>
      <c r="BG53" s="174" t="n">
        <v>-0.07</v>
      </c>
      <c r="BH53" s="174" t="n">
        <v>0</v>
      </c>
      <c r="BI53" s="174" t="n">
        <v>0.075</v>
      </c>
      <c r="BJ53" s="136" t="n">
        <v>0.03</v>
      </c>
      <c r="BK53" s="136" t="n">
        <v>0.21</v>
      </c>
      <c r="BL53" s="136" t="n">
        <v>0.03</v>
      </c>
      <c r="BM53" s="136" t="n">
        <v>-0.25</v>
      </c>
      <c r="BN53" s="136" t="n">
        <v>0</v>
      </c>
      <c r="BO53" s="136" t="n">
        <v>-0.42</v>
      </c>
      <c r="BP53" s="136" t="n">
        <v>0.02</v>
      </c>
      <c r="BQ53" s="136" t="n">
        <v>0.5</v>
      </c>
      <c r="BR53" s="136" t="n">
        <v>0.03</v>
      </c>
      <c r="BS53" s="136" t="n">
        <v>-0.0875</v>
      </c>
      <c r="BT53" s="136" t="n">
        <v>0.005</v>
      </c>
      <c r="BU53" s="136" t="n">
        <v>0.3</v>
      </c>
      <c r="BV53" s="136" t="n">
        <v>0</v>
      </c>
      <c r="BW53" s="136" t="n">
        <v>0.21</v>
      </c>
      <c r="BX53" s="136" t="n">
        <v>0</v>
      </c>
      <c r="BY53" s="136" t="n">
        <v>-0.025</v>
      </c>
      <c r="BZ53" s="136" t="n">
        <v>0.0575</v>
      </c>
      <c r="CA53" s="136" t="n">
        <v>0.145</v>
      </c>
      <c r="CB53" s="136" t="n">
        <v>0.005</v>
      </c>
      <c r="CC53" s="136" t="n">
        <v>-0.025</v>
      </c>
      <c r="CD53" s="136" t="n">
        <v>0.0025</v>
      </c>
      <c r="CE53" s="136" t="n">
        <v>0.0025</v>
      </c>
      <c r="CF53" s="136" t="n">
        <v>0</v>
      </c>
      <c r="CG53" s="136" t="n">
        <v>-0.025</v>
      </c>
      <c r="CH53" s="136" t="n">
        <v>0.0025</v>
      </c>
      <c r="CI53" s="136" t="n">
        <v>-0.09</v>
      </c>
      <c r="CJ53" s="136" t="n">
        <v>0.0025</v>
      </c>
      <c r="CK53" s="136" t="n">
        <v>0.0775</v>
      </c>
      <c r="CL53" s="136" t="n">
        <v>0.0025</v>
      </c>
      <c r="CM53" s="136" t="n">
        <v>-0.0725</v>
      </c>
      <c r="CN53" s="136" t="n">
        <v>0.0075</v>
      </c>
      <c r="CO53" s="136" t="n">
        <v>-0.0175</v>
      </c>
      <c r="CP53" s="136" t="n">
        <v>0.005</v>
      </c>
      <c r="CQ53" s="136" t="n">
        <v>0.0225</v>
      </c>
      <c r="CR53" s="136" t="n">
        <v>0.0075</v>
      </c>
      <c r="CS53" s="136" t="n">
        <v>0.4</v>
      </c>
      <c r="CT53" s="136" t="n">
        <v>0.01</v>
      </c>
      <c r="CU53" s="136" t="n">
        <v>-0.25</v>
      </c>
      <c r="CV53" s="136" t="n">
        <v>0</v>
      </c>
      <c r="CW53" s="136" t="n">
        <v>0.175</v>
      </c>
      <c r="CX53" s="136" t="n">
        <v>0.0075</v>
      </c>
      <c r="CY53" s="136" t="n">
        <v>-0.69</v>
      </c>
      <c r="CZ53" s="136" t="n">
        <v>0</v>
      </c>
      <c r="DA53" s="136" t="n">
        <v>-0.51</v>
      </c>
      <c r="DB53" s="136" t="n">
        <v>0</v>
      </c>
      <c r="DC53" s="136" t="n">
        <v>0.45</v>
      </c>
      <c r="DE53" s="136" t="n">
        <v>-0.055</v>
      </c>
      <c r="DF53" s="136" t="n">
        <v>0.0075</v>
      </c>
      <c r="DG53" s="136" t="n">
        <v>0.0075</v>
      </c>
      <c r="DH53" s="136" t="n">
        <v>0.005</v>
      </c>
      <c r="DI53" s="136" t="n">
        <v>-0.0225</v>
      </c>
      <c r="DJ53" s="136" t="n">
        <v>0.0075</v>
      </c>
      <c r="DK53" s="136" t="n">
        <v>-0.055</v>
      </c>
      <c r="DL53" s="136" t="n">
        <v>0.005</v>
      </c>
      <c r="DM53" s="136" t="n">
        <v>-0.065</v>
      </c>
      <c r="DN53" s="136" t="n">
        <v>0.0025</v>
      </c>
      <c r="DO53" s="136" t="n">
        <v>-0.085</v>
      </c>
      <c r="DP53" s="136" t="n">
        <v>0.0025</v>
      </c>
      <c r="DQ53" s="136" t="n">
        <v>-0.085</v>
      </c>
      <c r="DR53" s="136" t="n">
        <v>-0.005</v>
      </c>
      <c r="DS53" s="136" t="n">
        <v>0.36</v>
      </c>
      <c r="DT53" s="136" t="n">
        <v>-0.005</v>
      </c>
      <c r="DU53" s="136" t="n">
        <v>-0.04</v>
      </c>
      <c r="DV53" s="136" t="n">
        <v>0</v>
      </c>
    </row>
    <row r="54" customFormat="false" ht="12.75" hidden="false" customHeight="false" outlineLevel="0" collapsed="false">
      <c r="D54" s="135" t="n">
        <v>38292</v>
      </c>
      <c r="F54" s="174" t="n">
        <v>3.479</v>
      </c>
      <c r="G54" s="175" t="n">
        <v>0.0437209690349563</v>
      </c>
      <c r="H54" s="174" t="n">
        <v>0.32</v>
      </c>
      <c r="I54" s="174" t="n">
        <v>0.8</v>
      </c>
      <c r="J54" s="174" t="n">
        <v>0.85</v>
      </c>
      <c r="K54" s="174" t="n">
        <v>0.8</v>
      </c>
      <c r="L54" s="172" t="n">
        <v>0.8</v>
      </c>
      <c r="M54" s="172" t="n">
        <v>0.9</v>
      </c>
      <c r="N54" s="174" t="n">
        <v>0.95</v>
      </c>
      <c r="O54" s="174" t="n">
        <v>0.85</v>
      </c>
      <c r="P54" s="174" t="n">
        <v>0.8</v>
      </c>
      <c r="Q54" s="174" t="n">
        <v>0.95</v>
      </c>
      <c r="R54" s="175" t="n">
        <v>0.8</v>
      </c>
      <c r="S54" s="175" t="n">
        <v>0.8</v>
      </c>
      <c r="T54" s="174" t="n">
        <v>0.8</v>
      </c>
      <c r="U54" s="174" t="n">
        <v>0.95</v>
      </c>
      <c r="V54" s="174" t="n">
        <v>0.9</v>
      </c>
      <c r="W54" s="174" t="n">
        <v>0</v>
      </c>
      <c r="X54" s="174" t="n">
        <v>0.03</v>
      </c>
      <c r="Y54" s="174" t="n">
        <v>0.125</v>
      </c>
      <c r="Z54" s="174" t="n">
        <v>0.02</v>
      </c>
      <c r="AA54" s="174" t="n">
        <v>0.38</v>
      </c>
      <c r="AB54" s="174" t="n">
        <v>0</v>
      </c>
      <c r="AC54" s="174" t="n">
        <v>0.38</v>
      </c>
      <c r="AD54" s="174" t="n">
        <v>0</v>
      </c>
      <c r="AE54" s="174" t="n">
        <v>0.38</v>
      </c>
      <c r="AF54" s="174" t="n">
        <v>0</v>
      </c>
      <c r="AG54" s="174" t="n">
        <v>0.22</v>
      </c>
      <c r="AH54" s="174" t="n">
        <v>0</v>
      </c>
      <c r="AI54" s="174" t="n">
        <v>0.192512</v>
      </c>
      <c r="AJ54" s="174" t="n">
        <v>0</v>
      </c>
      <c r="AK54" s="174" t="n">
        <v>0.125</v>
      </c>
      <c r="AL54" s="174" t="n">
        <v>0.035</v>
      </c>
      <c r="AM54" s="174" t="n">
        <v>-0.0725</v>
      </c>
      <c r="AN54" s="174" t="n">
        <v>0.006</v>
      </c>
      <c r="AO54" s="174" t="n">
        <v>-0.385</v>
      </c>
      <c r="AP54" s="174" t="n">
        <v>0.155</v>
      </c>
      <c r="AQ54" s="174" t="n">
        <v>-0.0525</v>
      </c>
      <c r="AR54" s="174" t="n">
        <v>0.005</v>
      </c>
      <c r="AS54" s="174" t="n">
        <v>-0.15</v>
      </c>
      <c r="AT54" s="174" t="n">
        <v>-0.005</v>
      </c>
      <c r="AU54" s="174" t="n">
        <v>-0.11</v>
      </c>
      <c r="AV54" s="174" t="n">
        <v>-0.01</v>
      </c>
      <c r="AW54" s="174" t="n">
        <v>-0.095</v>
      </c>
      <c r="AX54" s="174" t="n">
        <v>0.005</v>
      </c>
      <c r="AY54" s="175" t="n">
        <v>0.145</v>
      </c>
      <c r="AZ54" s="175" t="n">
        <v>0</v>
      </c>
      <c r="BA54" s="175" t="n">
        <v>-0.135</v>
      </c>
      <c r="BB54" s="174" t="n">
        <v>0.005</v>
      </c>
      <c r="BC54" s="174" t="n">
        <v>-0.085</v>
      </c>
      <c r="BD54" s="174" t="n">
        <v>0.005</v>
      </c>
      <c r="BE54" s="174" t="n">
        <v>0.2</v>
      </c>
      <c r="BF54" s="174" t="n">
        <v>0.03</v>
      </c>
      <c r="BG54" s="174" t="n">
        <v>-0.0675</v>
      </c>
      <c r="BH54" s="174" t="n">
        <v>0</v>
      </c>
      <c r="BI54" s="174" t="n">
        <v>0.15</v>
      </c>
      <c r="BJ54" s="136" t="n">
        <v>0.04</v>
      </c>
      <c r="BK54" s="136" t="n">
        <v>0.2</v>
      </c>
      <c r="BL54" s="136" t="n">
        <v>0.03</v>
      </c>
      <c r="BM54" s="136" t="n">
        <v>0.298</v>
      </c>
      <c r="BN54" s="136" t="n">
        <v>0</v>
      </c>
      <c r="BO54" s="136" t="n">
        <v>-0.27</v>
      </c>
      <c r="BP54" s="136" t="n">
        <v>0.035</v>
      </c>
      <c r="BQ54" s="136" t="n">
        <v>0.5</v>
      </c>
      <c r="BR54" s="136" t="n">
        <v>0.03</v>
      </c>
      <c r="BS54" s="136" t="n">
        <v>-0.085</v>
      </c>
      <c r="BT54" s="136" t="n">
        <v>0.005</v>
      </c>
      <c r="BU54" s="136" t="n">
        <v>0.3</v>
      </c>
      <c r="BV54" s="136" t="n">
        <v>0</v>
      </c>
      <c r="BW54" s="136" t="n">
        <v>0.2</v>
      </c>
      <c r="BX54" s="136" t="n">
        <v>0</v>
      </c>
      <c r="BY54" s="136" t="n">
        <v>-0.025</v>
      </c>
      <c r="BZ54" s="136" t="n">
        <v>0.0575</v>
      </c>
      <c r="CA54" s="136" t="n">
        <v>0.195</v>
      </c>
      <c r="CB54" s="136" t="n">
        <v>0.005</v>
      </c>
      <c r="CC54" s="136" t="n">
        <v>-0.025</v>
      </c>
      <c r="CD54" s="136" t="n">
        <v>0.0037</v>
      </c>
      <c r="CE54" s="136" t="n">
        <v>0.0025</v>
      </c>
      <c r="CF54" s="136" t="n">
        <v>0</v>
      </c>
      <c r="CG54" s="136" t="n">
        <v>-0.025</v>
      </c>
      <c r="CH54" s="136" t="n">
        <v>0.0037</v>
      </c>
      <c r="CI54" s="136" t="n">
        <v>-0.095</v>
      </c>
      <c r="CJ54" s="136" t="n">
        <v>0.0025</v>
      </c>
      <c r="CK54" s="136" t="n">
        <v>0.075</v>
      </c>
      <c r="CL54" s="136" t="n">
        <v>0.0025</v>
      </c>
      <c r="CM54" s="136" t="n">
        <v>-0.0675</v>
      </c>
      <c r="CN54" s="136" t="n">
        <v>0.01</v>
      </c>
      <c r="CO54" s="136" t="n">
        <v>-0.0125</v>
      </c>
      <c r="CP54" s="136" t="n">
        <v>0.0075</v>
      </c>
      <c r="CQ54" s="136" t="n">
        <v>0.0275</v>
      </c>
      <c r="CR54" s="136" t="n">
        <v>0.01</v>
      </c>
      <c r="CS54" s="136" t="n">
        <v>0.645</v>
      </c>
      <c r="CT54" s="136" t="n">
        <v>0.055</v>
      </c>
      <c r="CU54" s="136" t="n">
        <v>0.298</v>
      </c>
      <c r="CV54" s="136" t="n">
        <v>0</v>
      </c>
      <c r="CW54" s="136" t="n">
        <v>0.21</v>
      </c>
      <c r="CX54" s="136" t="n">
        <v>0.02</v>
      </c>
      <c r="CY54" s="136" t="n">
        <v>-0.53</v>
      </c>
      <c r="CZ54" s="136" t="n">
        <v>0</v>
      </c>
      <c r="DA54" s="136" t="n">
        <v>-0.35</v>
      </c>
      <c r="DB54" s="136" t="n">
        <v>0</v>
      </c>
      <c r="DC54" s="136" t="n">
        <v>0.45</v>
      </c>
      <c r="DE54" s="136" t="n">
        <v>-0.0475</v>
      </c>
      <c r="DF54" s="136" t="n">
        <v>0.0075</v>
      </c>
      <c r="DG54" s="136" t="n">
        <v>0.005</v>
      </c>
      <c r="DH54" s="136" t="n">
        <v>0.0075</v>
      </c>
      <c r="DI54" s="136" t="n">
        <v>-0.0225</v>
      </c>
      <c r="DJ54" s="136" t="n">
        <v>0.0025</v>
      </c>
      <c r="DK54" s="136" t="n">
        <v>-0.06</v>
      </c>
      <c r="DL54" s="136" t="n">
        <v>0.0025</v>
      </c>
      <c r="DM54" s="136" t="n">
        <v>-0.0675</v>
      </c>
      <c r="DN54" s="136" t="n">
        <v>0.0025</v>
      </c>
      <c r="DO54" s="136" t="n">
        <v>-0.09</v>
      </c>
      <c r="DP54" s="136" t="n">
        <v>0.0025</v>
      </c>
      <c r="DQ54" s="136" t="n">
        <v>-0.09</v>
      </c>
      <c r="DR54" s="136" t="n">
        <v>-0.005</v>
      </c>
      <c r="DS54" s="136" t="n">
        <v>0.46</v>
      </c>
      <c r="DT54" s="136" t="n">
        <v>0.05</v>
      </c>
      <c r="DU54" s="136" t="n">
        <v>0.06</v>
      </c>
      <c r="DV54" s="136" t="n">
        <v>0</v>
      </c>
    </row>
    <row r="55" customFormat="false" ht="12.75" hidden="false" customHeight="false" outlineLevel="0" collapsed="false">
      <c r="D55" s="135" t="n">
        <v>38322</v>
      </c>
      <c r="F55" s="174" t="n">
        <v>3.622</v>
      </c>
      <c r="G55" s="175" t="n">
        <v>0.044289846522211</v>
      </c>
      <c r="H55" s="174" t="n">
        <v>0.32</v>
      </c>
      <c r="I55" s="174" t="n">
        <v>1</v>
      </c>
      <c r="J55" s="174" t="n">
        <v>1.05</v>
      </c>
      <c r="K55" s="174" t="n">
        <v>1</v>
      </c>
      <c r="L55" s="172" t="n">
        <v>1</v>
      </c>
      <c r="M55" s="172" t="n">
        <v>1.15</v>
      </c>
      <c r="N55" s="174" t="n">
        <v>1.25</v>
      </c>
      <c r="O55" s="174" t="n">
        <v>1.05</v>
      </c>
      <c r="P55" s="174" t="n">
        <v>1</v>
      </c>
      <c r="Q55" s="174" t="n">
        <v>1.35</v>
      </c>
      <c r="R55" s="175" t="n">
        <v>1</v>
      </c>
      <c r="S55" s="175" t="n">
        <v>1.1</v>
      </c>
      <c r="T55" s="174" t="n">
        <v>1</v>
      </c>
      <c r="U55" s="174" t="n">
        <v>1.25</v>
      </c>
      <c r="V55" s="174" t="n">
        <v>1.1</v>
      </c>
      <c r="W55" s="174" t="n">
        <v>0.005</v>
      </c>
      <c r="X55" s="174" t="n">
        <v>0.03</v>
      </c>
      <c r="Y55" s="174" t="n">
        <v>0.125</v>
      </c>
      <c r="Z55" s="174" t="n">
        <v>0.02</v>
      </c>
      <c r="AA55" s="174" t="n">
        <v>0.38</v>
      </c>
      <c r="AB55" s="174" t="n">
        <v>0</v>
      </c>
      <c r="AC55" s="174" t="n">
        <v>0.38</v>
      </c>
      <c r="AD55" s="174" t="n">
        <v>0</v>
      </c>
      <c r="AE55" s="174" t="n">
        <v>0.38</v>
      </c>
      <c r="AF55" s="174" t="n">
        <v>0</v>
      </c>
      <c r="AG55" s="174" t="n">
        <v>0.22</v>
      </c>
      <c r="AH55" s="174" t="n">
        <v>0</v>
      </c>
      <c r="AI55" s="174" t="n">
        <v>0.2016</v>
      </c>
      <c r="AJ55" s="174" t="n">
        <v>0</v>
      </c>
      <c r="AK55" s="174" t="n">
        <v>0.125</v>
      </c>
      <c r="AL55" s="174" t="n">
        <v>0.035</v>
      </c>
      <c r="AM55" s="174" t="n">
        <v>-0.0725</v>
      </c>
      <c r="AN55" s="174" t="n">
        <v>0.006</v>
      </c>
      <c r="AO55" s="174" t="n">
        <v>-0.385</v>
      </c>
      <c r="AP55" s="174" t="n">
        <v>0.155</v>
      </c>
      <c r="AQ55" s="174" t="n">
        <v>-0.0525</v>
      </c>
      <c r="AR55" s="174" t="n">
        <v>0.005</v>
      </c>
      <c r="AS55" s="174" t="n">
        <v>-0.1525</v>
      </c>
      <c r="AT55" s="174" t="n">
        <v>-0.005</v>
      </c>
      <c r="AU55" s="174" t="n">
        <v>-0.1125</v>
      </c>
      <c r="AV55" s="174" t="n">
        <v>-0.01</v>
      </c>
      <c r="AW55" s="174" t="n">
        <v>-0.095</v>
      </c>
      <c r="AX55" s="174" t="n">
        <v>0.005</v>
      </c>
      <c r="AY55" s="175" t="n">
        <v>0.145</v>
      </c>
      <c r="AZ55" s="175" t="n">
        <v>0</v>
      </c>
      <c r="BA55" s="175" t="n">
        <v>-0.135</v>
      </c>
      <c r="BB55" s="174" t="n">
        <v>0.005</v>
      </c>
      <c r="BC55" s="174" t="n">
        <v>-0.085</v>
      </c>
      <c r="BD55" s="174" t="n">
        <v>0.005</v>
      </c>
      <c r="BE55" s="174" t="n">
        <v>0.2</v>
      </c>
      <c r="BF55" s="174" t="n">
        <v>0.03</v>
      </c>
      <c r="BG55" s="174" t="n">
        <v>-0.0675</v>
      </c>
      <c r="BH55" s="174" t="n">
        <v>0</v>
      </c>
      <c r="BI55" s="174" t="n">
        <v>0.15</v>
      </c>
      <c r="BJ55" s="136" t="n">
        <v>0.04</v>
      </c>
      <c r="BK55" s="136" t="n">
        <v>0.2</v>
      </c>
      <c r="BL55" s="136" t="n">
        <v>0.03</v>
      </c>
      <c r="BM55" s="136" t="n">
        <v>0.358</v>
      </c>
      <c r="BN55" s="136" t="n">
        <v>0</v>
      </c>
      <c r="BO55" s="136" t="n">
        <v>-0.27</v>
      </c>
      <c r="BP55" s="136" t="n">
        <v>0.035</v>
      </c>
      <c r="BQ55" s="136" t="n">
        <v>0.5</v>
      </c>
      <c r="BR55" s="136" t="n">
        <v>0.03</v>
      </c>
      <c r="BS55" s="136" t="n">
        <v>-0.085</v>
      </c>
      <c r="BT55" s="136" t="n">
        <v>0.005</v>
      </c>
      <c r="BU55" s="136" t="n">
        <v>0.3</v>
      </c>
      <c r="BV55" s="136" t="n">
        <v>0</v>
      </c>
      <c r="BW55" s="136" t="n">
        <v>0.2</v>
      </c>
      <c r="BX55" s="136" t="n">
        <v>0</v>
      </c>
      <c r="BY55" s="136" t="n">
        <v>-0.025</v>
      </c>
      <c r="BZ55" s="136" t="n">
        <v>0.0575</v>
      </c>
      <c r="CA55" s="136" t="n">
        <v>0.215</v>
      </c>
      <c r="CB55" s="136" t="n">
        <v>0.005</v>
      </c>
      <c r="CC55" s="136" t="n">
        <v>-0.025</v>
      </c>
      <c r="CD55" s="136" t="n">
        <v>0.0037</v>
      </c>
      <c r="CE55" s="136" t="n">
        <v>0.0025</v>
      </c>
      <c r="CF55" s="136" t="n">
        <v>0</v>
      </c>
      <c r="CG55" s="136" t="n">
        <v>-0.025</v>
      </c>
      <c r="CH55" s="136" t="n">
        <v>0.0037</v>
      </c>
      <c r="CI55" s="136" t="n">
        <v>-0.1225</v>
      </c>
      <c r="CJ55" s="136" t="n">
        <v>0.0025</v>
      </c>
      <c r="CK55" s="136" t="n">
        <v>0.075</v>
      </c>
      <c r="CL55" s="136" t="n">
        <v>0.0025</v>
      </c>
      <c r="CM55" s="136" t="n">
        <v>-0.0675</v>
      </c>
      <c r="CN55" s="136" t="n">
        <v>0.01</v>
      </c>
      <c r="CO55" s="136" t="n">
        <v>-0.0125</v>
      </c>
      <c r="CP55" s="136" t="n">
        <v>0.0075</v>
      </c>
      <c r="CQ55" s="136" t="n">
        <v>0.0275</v>
      </c>
      <c r="CR55" s="136" t="n">
        <v>0.01</v>
      </c>
      <c r="CS55" s="136" t="n">
        <v>0.9</v>
      </c>
      <c r="CT55" s="136" t="n">
        <v>0.25</v>
      </c>
      <c r="CU55" s="136" t="n">
        <v>0.358</v>
      </c>
      <c r="CV55" s="136" t="n">
        <v>0</v>
      </c>
      <c r="CW55" s="136" t="n">
        <v>0.29</v>
      </c>
      <c r="CX55" s="136" t="n">
        <v>0.02</v>
      </c>
      <c r="CY55" s="136" t="n">
        <v>-0.53</v>
      </c>
      <c r="CZ55" s="136" t="n">
        <v>0</v>
      </c>
      <c r="DA55" s="136" t="n">
        <v>-0.35</v>
      </c>
      <c r="DB55" s="136" t="n">
        <v>0</v>
      </c>
      <c r="DC55" s="136" t="n">
        <v>0.4</v>
      </c>
      <c r="DE55" s="136" t="n">
        <v>-0.0475</v>
      </c>
      <c r="DF55" s="136" t="n">
        <v>0.0075</v>
      </c>
      <c r="DG55" s="136" t="n">
        <v>0.005</v>
      </c>
      <c r="DH55" s="136" t="n">
        <v>0.0075</v>
      </c>
      <c r="DI55" s="136" t="n">
        <v>-0.0225</v>
      </c>
      <c r="DJ55" s="136" t="n">
        <v>0.0025</v>
      </c>
      <c r="DK55" s="136" t="n">
        <v>-0.0875</v>
      </c>
      <c r="DL55" s="136" t="n">
        <v>0.0025</v>
      </c>
      <c r="DM55" s="136" t="n">
        <v>-0.0675</v>
      </c>
      <c r="DN55" s="136" t="n">
        <v>0.0025</v>
      </c>
      <c r="DO55" s="136" t="n">
        <v>-0.0875</v>
      </c>
      <c r="DP55" s="136" t="n">
        <v>0.0025</v>
      </c>
      <c r="DQ55" s="136" t="n">
        <v>-0.1175</v>
      </c>
      <c r="DR55" s="136" t="n">
        <v>-0.005</v>
      </c>
      <c r="DS55" s="136" t="n">
        <v>0.77</v>
      </c>
      <c r="DT55" s="136" t="n">
        <v>0.05</v>
      </c>
      <c r="DU55" s="136" t="n">
        <v>0.06</v>
      </c>
      <c r="DV55" s="136" t="n">
        <v>0</v>
      </c>
    </row>
    <row r="56" customFormat="false" ht="12.75" hidden="false" customHeight="false" outlineLevel="0" collapsed="false">
      <c r="D56" s="135" t="n">
        <v>38353</v>
      </c>
      <c r="F56" s="174" t="n">
        <v>3.682</v>
      </c>
      <c r="G56" s="175" t="n">
        <v>0.0448548874957364</v>
      </c>
      <c r="H56" s="174" t="n">
        <v>0.32</v>
      </c>
      <c r="I56" s="174" t="n">
        <v>1</v>
      </c>
      <c r="J56" s="174" t="n">
        <v>1.05</v>
      </c>
      <c r="K56" s="174" t="n">
        <v>1</v>
      </c>
      <c r="L56" s="172" t="n">
        <v>1</v>
      </c>
      <c r="M56" s="172" t="n">
        <v>1.15</v>
      </c>
      <c r="N56" s="174" t="n">
        <v>1.45</v>
      </c>
      <c r="O56" s="174" t="n">
        <v>1.05</v>
      </c>
      <c r="P56" s="174" t="n">
        <v>1</v>
      </c>
      <c r="Q56" s="174" t="n">
        <v>1.35</v>
      </c>
      <c r="R56" s="175" t="n">
        <v>1</v>
      </c>
      <c r="S56" s="175" t="n">
        <v>1.1</v>
      </c>
      <c r="T56" s="174" t="n">
        <v>1</v>
      </c>
      <c r="U56" s="174" t="n">
        <v>1.45</v>
      </c>
      <c r="V56" s="174" t="n">
        <v>1.1</v>
      </c>
      <c r="W56" s="174" t="n">
        <v>0.025</v>
      </c>
      <c r="X56" s="174" t="n">
        <v>0.03</v>
      </c>
      <c r="Y56" s="174" t="n">
        <v>0.125</v>
      </c>
      <c r="Z56" s="174" t="n">
        <v>0.02</v>
      </c>
      <c r="AA56" s="174" t="n">
        <v>0.38</v>
      </c>
      <c r="AB56" s="174" t="n">
        <v>0</v>
      </c>
      <c r="AC56" s="174" t="n">
        <v>0.38</v>
      </c>
      <c r="AD56" s="174" t="n">
        <v>0</v>
      </c>
      <c r="AE56" s="174" t="n">
        <v>0.38</v>
      </c>
      <c r="AF56" s="174" t="n">
        <v>0</v>
      </c>
      <c r="AG56" s="174" t="n">
        <v>0.22</v>
      </c>
      <c r="AH56" s="174" t="n">
        <v>0</v>
      </c>
      <c r="AI56" s="174" t="n">
        <v>0.20304</v>
      </c>
      <c r="AJ56" s="174" t="n">
        <v>0</v>
      </c>
      <c r="AK56" s="174" t="n">
        <v>0.125</v>
      </c>
      <c r="AL56" s="174" t="n">
        <v>0.035</v>
      </c>
      <c r="AM56" s="174" t="n">
        <v>-0.0725</v>
      </c>
      <c r="AN56" s="174" t="n">
        <v>0.006</v>
      </c>
      <c r="AO56" s="174" t="n">
        <v>-0.385</v>
      </c>
      <c r="AP56" s="174" t="n">
        <v>0.155</v>
      </c>
      <c r="AQ56" s="174" t="n">
        <v>-0.0525</v>
      </c>
      <c r="AR56" s="174" t="n">
        <v>0.005</v>
      </c>
      <c r="AS56" s="174" t="n">
        <v>-0.155</v>
      </c>
      <c r="AT56" s="174" t="n">
        <v>-0.005</v>
      </c>
      <c r="AU56" s="174" t="n">
        <v>-0.115</v>
      </c>
      <c r="AV56" s="174" t="n">
        <v>-0.01</v>
      </c>
      <c r="AW56" s="174" t="n">
        <v>-0.09</v>
      </c>
      <c r="AX56" s="174" t="n">
        <v>0.005</v>
      </c>
      <c r="AY56" s="175" t="n">
        <v>0.145</v>
      </c>
      <c r="AZ56" s="175" t="n">
        <v>0</v>
      </c>
      <c r="BA56" s="175" t="n">
        <v>-0.135</v>
      </c>
      <c r="BB56" s="174" t="n">
        <v>0.005</v>
      </c>
      <c r="BC56" s="174" t="n">
        <v>-0.085</v>
      </c>
      <c r="BD56" s="174" t="n">
        <v>0.005</v>
      </c>
      <c r="BE56" s="174" t="n">
        <v>0.2</v>
      </c>
      <c r="BF56" s="174" t="n">
        <v>0.03</v>
      </c>
      <c r="BG56" s="174" t="n">
        <v>-0.0675</v>
      </c>
      <c r="BH56" s="174" t="n">
        <v>0</v>
      </c>
      <c r="BI56" s="174" t="n">
        <v>0.15</v>
      </c>
      <c r="BJ56" s="136" t="n">
        <v>0.04</v>
      </c>
      <c r="BK56" s="136" t="n">
        <v>0.2</v>
      </c>
      <c r="BL56" s="136" t="n">
        <v>0.03</v>
      </c>
      <c r="BM56" s="136" t="n">
        <v>0.428</v>
      </c>
      <c r="BN56" s="136" t="n">
        <v>0</v>
      </c>
      <c r="BO56" s="136" t="n">
        <v>-0.27</v>
      </c>
      <c r="BP56" s="136" t="n">
        <v>0.035</v>
      </c>
      <c r="BQ56" s="136" t="n">
        <v>0.5</v>
      </c>
      <c r="BR56" s="136" t="n">
        <v>0.03</v>
      </c>
      <c r="BS56" s="136" t="n">
        <v>-0.085</v>
      </c>
      <c r="BT56" s="136" t="n">
        <v>0.005</v>
      </c>
      <c r="BU56" s="136" t="n">
        <v>0.3</v>
      </c>
      <c r="BV56" s="136" t="n">
        <v>0</v>
      </c>
      <c r="BW56" s="136" t="n">
        <v>0.2</v>
      </c>
      <c r="BX56" s="136" t="n">
        <v>0</v>
      </c>
      <c r="BY56" s="136" t="n">
        <v>-0.025</v>
      </c>
      <c r="BZ56" s="136" t="n">
        <v>0.0575</v>
      </c>
      <c r="CA56" s="136" t="n">
        <v>0.235</v>
      </c>
      <c r="CB56" s="136" t="n">
        <v>0.005</v>
      </c>
      <c r="CC56" s="136" t="n">
        <v>-0.025</v>
      </c>
      <c r="CD56" s="136" t="n">
        <v>0.0037</v>
      </c>
      <c r="CE56" s="136" t="n">
        <v>0.0025</v>
      </c>
      <c r="CF56" s="136" t="n">
        <v>0</v>
      </c>
      <c r="CG56" s="136" t="n">
        <v>-0.025</v>
      </c>
      <c r="CH56" s="136" t="n">
        <v>0.0037</v>
      </c>
      <c r="CI56" s="136" t="n">
        <v>-0.1205</v>
      </c>
      <c r="CJ56" s="136" t="n">
        <v>0.0025</v>
      </c>
      <c r="CK56" s="136" t="n">
        <v>0.075</v>
      </c>
      <c r="CL56" s="136" t="n">
        <v>0.0025</v>
      </c>
      <c r="CM56" s="136" t="n">
        <v>-0.0675</v>
      </c>
      <c r="CN56" s="136" t="n">
        <v>0.01</v>
      </c>
      <c r="CO56" s="136" t="n">
        <v>-0.0125</v>
      </c>
      <c r="CP56" s="136" t="n">
        <v>0.0075</v>
      </c>
      <c r="CQ56" s="136" t="n">
        <v>0.0275</v>
      </c>
      <c r="CR56" s="136" t="n">
        <v>0.01</v>
      </c>
      <c r="CS56" s="136" t="n">
        <v>1.535</v>
      </c>
      <c r="CT56" s="136" t="n">
        <v>0.45</v>
      </c>
      <c r="CU56" s="136" t="n">
        <v>0.428</v>
      </c>
      <c r="CV56" s="136" t="n">
        <v>0</v>
      </c>
      <c r="CW56" s="136" t="n">
        <v>0.34</v>
      </c>
      <c r="CX56" s="136" t="n">
        <v>0.02</v>
      </c>
      <c r="CY56" s="136" t="n">
        <v>-0.53</v>
      </c>
      <c r="CZ56" s="136" t="n">
        <v>0</v>
      </c>
      <c r="DA56" s="136" t="n">
        <v>-0.35</v>
      </c>
      <c r="DB56" s="136" t="n">
        <v>0</v>
      </c>
      <c r="DC56" s="136" t="n">
        <v>0.35</v>
      </c>
      <c r="DE56" s="136" t="n">
        <v>-0.0475</v>
      </c>
      <c r="DF56" s="136" t="n">
        <v>0.0075</v>
      </c>
      <c r="DG56" s="136" t="n">
        <v>0.005</v>
      </c>
      <c r="DH56" s="136" t="n">
        <v>0.0075</v>
      </c>
      <c r="DI56" s="136" t="n">
        <v>-0.0225</v>
      </c>
      <c r="DJ56" s="136" t="n">
        <v>0.0025</v>
      </c>
      <c r="DK56" s="136" t="n">
        <v>-0.1025</v>
      </c>
      <c r="DL56" s="136" t="n">
        <v>0.0025</v>
      </c>
      <c r="DM56" s="136" t="n">
        <v>-0.0675</v>
      </c>
      <c r="DN56" s="136" t="n">
        <v>0.0025</v>
      </c>
      <c r="DO56" s="136" t="n">
        <v>-0.0875</v>
      </c>
      <c r="DP56" s="136" t="n">
        <v>0.0025</v>
      </c>
      <c r="DQ56" s="136" t="n">
        <v>-0.1325</v>
      </c>
      <c r="DR56" s="136" t="n">
        <v>-0.005</v>
      </c>
      <c r="DS56" s="136" t="n">
        <v>1.04</v>
      </c>
      <c r="DT56" s="136" t="n">
        <v>0.05</v>
      </c>
      <c r="DU56" s="136" t="n">
        <v>0.06</v>
      </c>
      <c r="DV56" s="136" t="n">
        <v>0</v>
      </c>
    </row>
    <row r="57" customFormat="false" ht="12.75" hidden="false" customHeight="false" outlineLevel="0" collapsed="false">
      <c r="D57" s="135" t="n">
        <v>38384</v>
      </c>
      <c r="F57" s="174" t="n">
        <v>3.597</v>
      </c>
      <c r="G57" s="175" t="n">
        <v>0.0454011527523237</v>
      </c>
      <c r="H57" s="174" t="n">
        <v>0.3175</v>
      </c>
      <c r="I57" s="174" t="n">
        <v>1</v>
      </c>
      <c r="J57" s="174" t="n">
        <v>1.05</v>
      </c>
      <c r="K57" s="174" t="n">
        <v>1</v>
      </c>
      <c r="L57" s="172" t="n">
        <v>1</v>
      </c>
      <c r="M57" s="172" t="n">
        <v>1.15</v>
      </c>
      <c r="N57" s="174" t="n">
        <v>1.45</v>
      </c>
      <c r="O57" s="174" t="n">
        <v>1.05</v>
      </c>
      <c r="P57" s="174" t="n">
        <v>1</v>
      </c>
      <c r="Q57" s="174" t="n">
        <v>1.35</v>
      </c>
      <c r="R57" s="175" t="n">
        <v>1</v>
      </c>
      <c r="S57" s="175" t="n">
        <v>1.1</v>
      </c>
      <c r="T57" s="174" t="n">
        <v>1</v>
      </c>
      <c r="U57" s="174" t="n">
        <v>1.45</v>
      </c>
      <c r="V57" s="174" t="n">
        <v>1.1</v>
      </c>
      <c r="W57" s="174" t="n">
        <v>0.02</v>
      </c>
      <c r="X57" s="174" t="n">
        <v>0.03</v>
      </c>
      <c r="Y57" s="174" t="n">
        <v>0.125</v>
      </c>
      <c r="Z57" s="174" t="n">
        <v>0.02</v>
      </c>
      <c r="AA57" s="174" t="n">
        <v>0.38</v>
      </c>
      <c r="AB57" s="174" t="n">
        <v>0</v>
      </c>
      <c r="AC57" s="174" t="n">
        <v>0.38</v>
      </c>
      <c r="AD57" s="174" t="n">
        <v>0</v>
      </c>
      <c r="AE57" s="174" t="n">
        <v>0.38</v>
      </c>
      <c r="AF57" s="174" t="n">
        <v>0</v>
      </c>
      <c r="AG57" s="174" t="n">
        <v>0.22</v>
      </c>
      <c r="AH57" s="174" t="n">
        <v>0</v>
      </c>
      <c r="AI57" s="174" t="n">
        <v>0.20048</v>
      </c>
      <c r="AJ57" s="174" t="n">
        <v>0</v>
      </c>
      <c r="AK57" s="174" t="n">
        <v>0.125</v>
      </c>
      <c r="AL57" s="174" t="n">
        <v>0.035</v>
      </c>
      <c r="AM57" s="174" t="n">
        <v>-0.0725</v>
      </c>
      <c r="AN57" s="174" t="n">
        <v>0.006</v>
      </c>
      <c r="AO57" s="174" t="n">
        <v>-0.385</v>
      </c>
      <c r="AP57" s="174" t="n">
        <v>0.155</v>
      </c>
      <c r="AQ57" s="174" t="n">
        <v>-0.0525</v>
      </c>
      <c r="AR57" s="174" t="n">
        <v>0.005</v>
      </c>
      <c r="AS57" s="174" t="n">
        <v>-0.1475</v>
      </c>
      <c r="AT57" s="174" t="n">
        <v>-0.005</v>
      </c>
      <c r="AU57" s="174" t="n">
        <v>-0.1075</v>
      </c>
      <c r="AV57" s="174" t="n">
        <v>-0.01</v>
      </c>
      <c r="AW57" s="174" t="n">
        <v>-0.09</v>
      </c>
      <c r="AX57" s="174" t="n">
        <v>0.005</v>
      </c>
      <c r="AY57" s="175" t="n">
        <v>0.145</v>
      </c>
      <c r="AZ57" s="175" t="n">
        <v>0</v>
      </c>
      <c r="BA57" s="175" t="n">
        <v>-0.135</v>
      </c>
      <c r="BB57" s="174" t="n">
        <v>0.005</v>
      </c>
      <c r="BC57" s="174" t="n">
        <v>-0.085</v>
      </c>
      <c r="BD57" s="174" t="n">
        <v>0.005</v>
      </c>
      <c r="BE57" s="174" t="n">
        <v>0.2</v>
      </c>
      <c r="BF57" s="174" t="n">
        <v>0.03</v>
      </c>
      <c r="BG57" s="174" t="n">
        <v>-0.0675</v>
      </c>
      <c r="BH57" s="174" t="n">
        <v>0</v>
      </c>
      <c r="BI57" s="174" t="n">
        <v>0.15</v>
      </c>
      <c r="BJ57" s="136" t="n">
        <v>0.04</v>
      </c>
      <c r="BK57" s="136" t="n">
        <v>0.2</v>
      </c>
      <c r="BL57" s="136" t="n">
        <v>0.03</v>
      </c>
      <c r="BM57" s="136" t="n">
        <v>0.298</v>
      </c>
      <c r="BN57" s="136" t="n">
        <v>0</v>
      </c>
      <c r="BO57" s="136" t="n">
        <v>-0.27</v>
      </c>
      <c r="BP57" s="136" t="n">
        <v>0.035</v>
      </c>
      <c r="BQ57" s="136" t="n">
        <v>0.5</v>
      </c>
      <c r="BR57" s="136" t="n">
        <v>0.03</v>
      </c>
      <c r="BS57" s="136" t="n">
        <v>-0.085</v>
      </c>
      <c r="BT57" s="136" t="n">
        <v>0.005</v>
      </c>
      <c r="BU57" s="136" t="n">
        <v>0.3</v>
      </c>
      <c r="BV57" s="136" t="n">
        <v>0</v>
      </c>
      <c r="BW57" s="136" t="n">
        <v>0.2</v>
      </c>
      <c r="BX57" s="136" t="n">
        <v>0</v>
      </c>
      <c r="BY57" s="136" t="n">
        <v>-0.025</v>
      </c>
      <c r="BZ57" s="136" t="n">
        <v>0.0575</v>
      </c>
      <c r="CA57" s="136" t="n">
        <v>0.235</v>
      </c>
      <c r="CB57" s="136" t="n">
        <v>0.005</v>
      </c>
      <c r="CC57" s="136" t="n">
        <v>-0.025</v>
      </c>
      <c r="CD57" s="136" t="n">
        <v>0.0037</v>
      </c>
      <c r="CE57" s="136" t="n">
        <v>0.0025</v>
      </c>
      <c r="CF57" s="136" t="n">
        <v>0</v>
      </c>
      <c r="CG57" s="136" t="n">
        <v>-0.025</v>
      </c>
      <c r="CH57" s="136" t="n">
        <v>0.0037</v>
      </c>
      <c r="CI57" s="136" t="n">
        <v>-0.1205</v>
      </c>
      <c r="CJ57" s="136" t="n">
        <v>0.0025</v>
      </c>
      <c r="CK57" s="136" t="n">
        <v>0.075</v>
      </c>
      <c r="CL57" s="136" t="n">
        <v>0.0025</v>
      </c>
      <c r="CM57" s="136" t="n">
        <v>-0.0675</v>
      </c>
      <c r="CN57" s="136" t="n">
        <v>0.01</v>
      </c>
      <c r="CO57" s="136" t="n">
        <v>-0.0125</v>
      </c>
      <c r="CP57" s="136" t="n">
        <v>0.0075</v>
      </c>
      <c r="CQ57" s="136" t="n">
        <v>0.0275</v>
      </c>
      <c r="CR57" s="136" t="n">
        <v>0.01</v>
      </c>
      <c r="CS57" s="136" t="n">
        <v>1.535</v>
      </c>
      <c r="CT57" s="136" t="n">
        <v>0.45</v>
      </c>
      <c r="CU57" s="136" t="n">
        <v>0.298</v>
      </c>
      <c r="CV57" s="136" t="n">
        <v>0</v>
      </c>
      <c r="CW57" s="136" t="n">
        <v>0.34</v>
      </c>
      <c r="CX57" s="136" t="n">
        <v>0.02</v>
      </c>
      <c r="CY57" s="136" t="n">
        <v>-0.53</v>
      </c>
      <c r="CZ57" s="136" t="n">
        <v>0</v>
      </c>
      <c r="DA57" s="136" t="n">
        <v>-0.35</v>
      </c>
      <c r="DB57" s="136" t="n">
        <v>0</v>
      </c>
      <c r="DC57" s="136" t="n">
        <v>0.35</v>
      </c>
      <c r="DE57" s="136" t="n">
        <v>-0.0475</v>
      </c>
      <c r="DF57" s="136" t="n">
        <v>0.0075</v>
      </c>
      <c r="DG57" s="136" t="n">
        <v>0.005</v>
      </c>
      <c r="DH57" s="136" t="n">
        <v>0.0075</v>
      </c>
      <c r="DI57" s="136" t="n">
        <v>-0.0225</v>
      </c>
      <c r="DJ57" s="136" t="n">
        <v>0.0025</v>
      </c>
      <c r="DK57" s="136" t="n">
        <v>-0.0925</v>
      </c>
      <c r="DL57" s="136" t="n">
        <v>0.0025</v>
      </c>
      <c r="DM57" s="136" t="n">
        <v>-0.0675</v>
      </c>
      <c r="DN57" s="136" t="n">
        <v>0.0025</v>
      </c>
      <c r="DO57" s="136" t="n">
        <v>-0.0875</v>
      </c>
      <c r="DP57" s="136" t="n">
        <v>0.0025</v>
      </c>
      <c r="DQ57" s="136" t="n">
        <v>-0.1225</v>
      </c>
      <c r="DR57" s="136" t="n">
        <v>-0.005</v>
      </c>
      <c r="DS57" s="136" t="n">
        <v>1.04</v>
      </c>
      <c r="DT57" s="136" t="n">
        <v>0.05</v>
      </c>
      <c r="DU57" s="136" t="n">
        <v>0.06</v>
      </c>
      <c r="DV57" s="136" t="n">
        <v>0</v>
      </c>
    </row>
    <row r="58" customFormat="false" ht="12.75" hidden="false" customHeight="false" outlineLevel="0" collapsed="false">
      <c r="D58" s="135" t="n">
        <v>38412</v>
      </c>
      <c r="F58" s="174" t="n">
        <v>3.467</v>
      </c>
      <c r="G58" s="175" t="n">
        <v>0.0458945537150708</v>
      </c>
      <c r="H58" s="174" t="n">
        <v>0.3075</v>
      </c>
      <c r="I58" s="174" t="n">
        <v>0.75</v>
      </c>
      <c r="J58" s="174" t="n">
        <v>0.8</v>
      </c>
      <c r="K58" s="174" t="n">
        <v>0.75</v>
      </c>
      <c r="L58" s="172" t="n">
        <v>0.75</v>
      </c>
      <c r="M58" s="172" t="n">
        <v>0.85</v>
      </c>
      <c r="N58" s="174" t="n">
        <v>1</v>
      </c>
      <c r="O58" s="174" t="n">
        <v>0.75</v>
      </c>
      <c r="P58" s="174" t="n">
        <v>0.75</v>
      </c>
      <c r="Q58" s="174" t="n">
        <v>0.95</v>
      </c>
      <c r="R58" s="175" t="n">
        <v>0.75</v>
      </c>
      <c r="S58" s="175" t="n">
        <v>0.75</v>
      </c>
      <c r="T58" s="174" t="n">
        <v>0.75</v>
      </c>
      <c r="U58" s="174" t="n">
        <v>1</v>
      </c>
      <c r="V58" s="174" t="n">
        <v>0.85</v>
      </c>
      <c r="W58" s="174" t="n">
        <v>0</v>
      </c>
      <c r="X58" s="174" t="n">
        <v>0.03</v>
      </c>
      <c r="Y58" s="174" t="n">
        <v>0.125</v>
      </c>
      <c r="Z58" s="174" t="n">
        <v>0.02</v>
      </c>
      <c r="AA58" s="174" t="n">
        <v>0.38</v>
      </c>
      <c r="AB58" s="174" t="n">
        <v>0</v>
      </c>
      <c r="AC58" s="174" t="n">
        <v>0.38</v>
      </c>
      <c r="AD58" s="174" t="n">
        <v>0</v>
      </c>
      <c r="AE58" s="174" t="n">
        <v>0.38</v>
      </c>
      <c r="AF58" s="174" t="n">
        <v>0</v>
      </c>
      <c r="AG58" s="174" t="n">
        <v>0.22</v>
      </c>
      <c r="AH58" s="174" t="n">
        <v>0</v>
      </c>
      <c r="AI58" s="174" t="n">
        <v>0.19632</v>
      </c>
      <c r="AJ58" s="174" t="n">
        <v>0</v>
      </c>
      <c r="AK58" s="174" t="n">
        <v>0.125</v>
      </c>
      <c r="AL58" s="174" t="n">
        <v>0.035</v>
      </c>
      <c r="AM58" s="174" t="n">
        <v>-0.0725</v>
      </c>
      <c r="AN58" s="174" t="n">
        <v>0.006</v>
      </c>
      <c r="AO58" s="174" t="n">
        <v>-0.385</v>
      </c>
      <c r="AP58" s="174" t="n">
        <v>0.155</v>
      </c>
      <c r="AQ58" s="174" t="n">
        <v>-0.0525</v>
      </c>
      <c r="AR58" s="174" t="n">
        <v>0.005</v>
      </c>
      <c r="AS58" s="174" t="n">
        <v>-0.145</v>
      </c>
      <c r="AT58" s="174" t="n">
        <v>-0.005</v>
      </c>
      <c r="AU58" s="174" t="n">
        <v>-0.105</v>
      </c>
      <c r="AV58" s="174" t="n">
        <v>-0.01</v>
      </c>
      <c r="AW58" s="174" t="n">
        <v>-0.09</v>
      </c>
      <c r="AX58" s="174" t="n">
        <v>0.005</v>
      </c>
      <c r="AY58" s="175" t="n">
        <v>0.145</v>
      </c>
      <c r="AZ58" s="175" t="n">
        <v>0</v>
      </c>
      <c r="BA58" s="175" t="n">
        <v>-0.135</v>
      </c>
      <c r="BB58" s="174" t="n">
        <v>0.005</v>
      </c>
      <c r="BC58" s="174" t="n">
        <v>-0.085</v>
      </c>
      <c r="BD58" s="174" t="n">
        <v>0.005</v>
      </c>
      <c r="BE58" s="174" t="n">
        <v>0.2</v>
      </c>
      <c r="BF58" s="174" t="n">
        <v>0.03</v>
      </c>
      <c r="BG58" s="174" t="n">
        <v>-0.0675</v>
      </c>
      <c r="BH58" s="174" t="n">
        <v>0</v>
      </c>
      <c r="BI58" s="174" t="n">
        <v>0.15</v>
      </c>
      <c r="BJ58" s="136" t="n">
        <v>0.04</v>
      </c>
      <c r="BK58" s="136" t="n">
        <v>0.2</v>
      </c>
      <c r="BL58" s="136" t="n">
        <v>0.03</v>
      </c>
      <c r="BM58" s="136" t="n">
        <v>0.118</v>
      </c>
      <c r="BN58" s="136" t="n">
        <v>0</v>
      </c>
      <c r="BO58" s="136" t="n">
        <v>-0.27</v>
      </c>
      <c r="BP58" s="136" t="n">
        <v>0.035</v>
      </c>
      <c r="BQ58" s="136" t="n">
        <v>0.5</v>
      </c>
      <c r="BR58" s="136" t="n">
        <v>0.03</v>
      </c>
      <c r="BS58" s="136" t="n">
        <v>-0.085</v>
      </c>
      <c r="BT58" s="136" t="n">
        <v>0.005</v>
      </c>
      <c r="BU58" s="136" t="n">
        <v>0.3</v>
      </c>
      <c r="BV58" s="136" t="n">
        <v>0</v>
      </c>
      <c r="BW58" s="136" t="n">
        <v>0.2</v>
      </c>
      <c r="BX58" s="136" t="n">
        <v>0</v>
      </c>
      <c r="BY58" s="136" t="n">
        <v>-0.025</v>
      </c>
      <c r="BZ58" s="136" t="n">
        <v>0.0575</v>
      </c>
      <c r="CA58" s="136" t="n">
        <v>0.195</v>
      </c>
      <c r="CB58" s="136" t="n">
        <v>0.005</v>
      </c>
      <c r="CC58" s="136" t="n">
        <v>-0.025</v>
      </c>
      <c r="CD58" s="136" t="n">
        <v>0.0037</v>
      </c>
      <c r="CE58" s="136" t="n">
        <v>0.0025</v>
      </c>
      <c r="CF58" s="136" t="n">
        <v>0</v>
      </c>
      <c r="CG58" s="136" t="n">
        <v>-0.025</v>
      </c>
      <c r="CH58" s="136" t="n">
        <v>0.0037</v>
      </c>
      <c r="CI58" s="136" t="n">
        <v>-0.1205</v>
      </c>
      <c r="CJ58" s="136" t="n">
        <v>0.0025</v>
      </c>
      <c r="CK58" s="136" t="n">
        <v>0.075</v>
      </c>
      <c r="CL58" s="136" t="n">
        <v>0.0025</v>
      </c>
      <c r="CM58" s="136" t="n">
        <v>-0.0675</v>
      </c>
      <c r="CN58" s="136" t="n">
        <v>0.01</v>
      </c>
      <c r="CO58" s="136" t="n">
        <v>-0.0125</v>
      </c>
      <c r="CP58" s="136" t="n">
        <v>0.0075</v>
      </c>
      <c r="CQ58" s="136" t="n">
        <v>0.0275</v>
      </c>
      <c r="CR58" s="136" t="n">
        <v>0.01</v>
      </c>
      <c r="CS58" s="136" t="n">
        <v>0.635</v>
      </c>
      <c r="CT58" s="136" t="n">
        <v>0.1</v>
      </c>
      <c r="CU58" s="136" t="n">
        <v>0.118</v>
      </c>
      <c r="CV58" s="136" t="n">
        <v>0</v>
      </c>
      <c r="CW58" s="136" t="n">
        <v>0.29</v>
      </c>
      <c r="CX58" s="136" t="n">
        <v>0.02</v>
      </c>
      <c r="CY58" s="136" t="n">
        <v>-0.53</v>
      </c>
      <c r="CZ58" s="136" t="n">
        <v>0</v>
      </c>
      <c r="DA58" s="136" t="n">
        <v>-0.35</v>
      </c>
      <c r="DB58" s="136" t="n">
        <v>0</v>
      </c>
      <c r="DC58" s="136" t="n">
        <v>0.4</v>
      </c>
      <c r="DE58" s="136" t="n">
        <v>-0.0475</v>
      </c>
      <c r="DF58" s="136" t="n">
        <v>0.0075</v>
      </c>
      <c r="DG58" s="136" t="n">
        <v>0.005</v>
      </c>
      <c r="DH58" s="136" t="n">
        <v>0.0075</v>
      </c>
      <c r="DI58" s="136" t="n">
        <v>-0.0225</v>
      </c>
      <c r="DJ58" s="136" t="n">
        <v>0.0025</v>
      </c>
      <c r="DK58" s="136" t="n">
        <v>-0.0825</v>
      </c>
      <c r="DL58" s="136" t="n">
        <v>0.0025</v>
      </c>
      <c r="DM58" s="136" t="n">
        <v>-0.0675</v>
      </c>
      <c r="DN58" s="136" t="n">
        <v>0.0025</v>
      </c>
      <c r="DO58" s="136" t="n">
        <v>-0.0875</v>
      </c>
      <c r="DP58" s="136" t="n">
        <v>0.0025</v>
      </c>
      <c r="DQ58" s="136" t="n">
        <v>-0.1125</v>
      </c>
      <c r="DR58" s="136" t="n">
        <v>-0.005</v>
      </c>
      <c r="DS58" s="136" t="n">
        <v>0.54</v>
      </c>
      <c r="DT58" s="136" t="n">
        <v>0.05</v>
      </c>
      <c r="DU58" s="136" t="n">
        <v>0.06</v>
      </c>
      <c r="DV58" s="136" t="n">
        <v>0</v>
      </c>
    </row>
    <row r="59" customFormat="false" ht="12.75" hidden="false" customHeight="false" outlineLevel="0" collapsed="false">
      <c r="D59" s="135" t="n">
        <v>38443</v>
      </c>
      <c r="F59" s="174" t="n">
        <v>3.282</v>
      </c>
      <c r="G59" s="175" t="n">
        <v>0.0464010564150716</v>
      </c>
      <c r="H59" s="174" t="n">
        <v>0.2975</v>
      </c>
      <c r="I59" s="174" t="n">
        <v>0.4</v>
      </c>
      <c r="J59" s="174" t="n">
        <v>0.45</v>
      </c>
      <c r="K59" s="174" t="n">
        <v>0.4</v>
      </c>
      <c r="L59" s="172" t="n">
        <v>0.45</v>
      </c>
      <c r="M59" s="172" t="n">
        <v>0.45</v>
      </c>
      <c r="N59" s="174" t="n">
        <v>0.45</v>
      </c>
      <c r="O59" s="174" t="n">
        <v>0.45</v>
      </c>
      <c r="P59" s="174" t="n">
        <v>0.45</v>
      </c>
      <c r="Q59" s="174" t="n">
        <v>0.5</v>
      </c>
      <c r="R59" s="175" t="n">
        <v>0.4</v>
      </c>
      <c r="S59" s="175" t="n">
        <v>0.45</v>
      </c>
      <c r="T59" s="174" t="n">
        <v>0.4</v>
      </c>
      <c r="U59" s="174" t="n">
        <v>0.45</v>
      </c>
      <c r="V59" s="174" t="n">
        <v>0.55</v>
      </c>
      <c r="W59" s="174" t="n">
        <v>-0.09</v>
      </c>
      <c r="X59" s="174" t="n">
        <v>0</v>
      </c>
      <c r="Y59" s="174" t="n">
        <v>0.04</v>
      </c>
      <c r="Z59" s="174" t="n">
        <v>0.005</v>
      </c>
      <c r="AA59" s="174" t="n">
        <v>0.175</v>
      </c>
      <c r="AB59" s="174" t="n">
        <v>0</v>
      </c>
      <c r="AC59" s="174" t="n">
        <v>0.145</v>
      </c>
      <c r="AD59" s="174" t="n">
        <v>0</v>
      </c>
      <c r="AE59" s="174" t="n">
        <v>0.175</v>
      </c>
      <c r="AF59" s="174" t="n">
        <v>0</v>
      </c>
      <c r="AG59" s="174" t="n">
        <v>0.13</v>
      </c>
      <c r="AH59" s="174" t="n">
        <v>0</v>
      </c>
      <c r="AI59" s="174" t="n">
        <v>0.14</v>
      </c>
      <c r="AJ59" s="174" t="n">
        <v>0</v>
      </c>
      <c r="AK59" s="174" t="n">
        <v>0.04</v>
      </c>
      <c r="AL59" s="174" t="n">
        <v>0.04</v>
      </c>
      <c r="AM59" s="174" t="n">
        <v>-0.0675</v>
      </c>
      <c r="AN59" s="174" t="n">
        <v>0.013</v>
      </c>
      <c r="AO59" s="174" t="n">
        <v>-0.42</v>
      </c>
      <c r="AP59" s="174" t="n">
        <v>0.155</v>
      </c>
      <c r="AQ59" s="174" t="n">
        <v>-0.0625</v>
      </c>
      <c r="AR59" s="174" t="n">
        <v>0</v>
      </c>
      <c r="AS59" s="174" t="n">
        <v>-0.15</v>
      </c>
      <c r="AT59" s="174" t="n">
        <v>-0.015</v>
      </c>
      <c r="AU59" s="174" t="n">
        <v>-0.11</v>
      </c>
      <c r="AV59" s="174" t="n">
        <v>0.02</v>
      </c>
      <c r="AW59" s="174" t="n">
        <v>-0.09</v>
      </c>
      <c r="AX59" s="174" t="n">
        <v>0.01</v>
      </c>
      <c r="AY59" s="175" t="n">
        <v>0.115</v>
      </c>
      <c r="AZ59" s="175" t="n">
        <v>0</v>
      </c>
      <c r="BA59" s="175" t="n">
        <v>-0.2</v>
      </c>
      <c r="BB59" s="174" t="n">
        <v>0.0025</v>
      </c>
      <c r="BC59" s="174" t="n">
        <v>-0.085</v>
      </c>
      <c r="BD59" s="174" t="n">
        <v>0.005</v>
      </c>
      <c r="BE59" s="174" t="n">
        <v>0.23</v>
      </c>
      <c r="BF59" s="174" t="n">
        <v>0.03</v>
      </c>
      <c r="BG59" s="174" t="n">
        <v>-0.0675</v>
      </c>
      <c r="BH59" s="174" t="n">
        <v>0</v>
      </c>
      <c r="BI59" s="174" t="n">
        <v>0.06</v>
      </c>
      <c r="BJ59" s="136" t="n">
        <v>0.03</v>
      </c>
      <c r="BK59" s="136" t="n">
        <v>0.23</v>
      </c>
      <c r="BL59" s="136" t="n">
        <v>0.03</v>
      </c>
      <c r="BM59" s="136" t="n">
        <v>-0.2</v>
      </c>
      <c r="BN59" s="136" t="n">
        <v>0</v>
      </c>
      <c r="BO59" s="136" t="n">
        <v>-0.42</v>
      </c>
      <c r="BP59" s="136" t="n">
        <v>0.02</v>
      </c>
      <c r="BQ59" s="136" t="n">
        <v>0.5</v>
      </c>
      <c r="BR59" s="136" t="n">
        <v>0.03</v>
      </c>
      <c r="BS59" s="136" t="n">
        <v>-0.085</v>
      </c>
      <c r="BT59" s="136" t="n">
        <v>0.005</v>
      </c>
      <c r="BU59" s="136" t="n">
        <v>0.3</v>
      </c>
      <c r="BV59" s="136" t="n">
        <v>0</v>
      </c>
      <c r="BW59" s="136" t="n">
        <v>0.23</v>
      </c>
      <c r="BX59" s="136" t="n">
        <v>0</v>
      </c>
      <c r="BY59" s="136" t="n">
        <v>-0.025</v>
      </c>
      <c r="BZ59" s="136" t="n">
        <v>0.0575</v>
      </c>
      <c r="CA59" s="136" t="n">
        <v>0.145</v>
      </c>
      <c r="CB59" s="136" t="n">
        <v>0.005</v>
      </c>
      <c r="CC59" s="136" t="n">
        <v>-0.025</v>
      </c>
      <c r="CD59" s="136" t="n">
        <v>0.0035</v>
      </c>
      <c r="CE59" s="136" t="n">
        <v>0.0025</v>
      </c>
      <c r="CF59" s="136" t="n">
        <v>0</v>
      </c>
      <c r="CG59" s="136" t="n">
        <v>-0.025</v>
      </c>
      <c r="CH59" s="136" t="n">
        <v>0.0035</v>
      </c>
      <c r="CI59" s="136" t="n">
        <v>-0.1405</v>
      </c>
      <c r="CJ59" s="136" t="n">
        <v>0.0025</v>
      </c>
      <c r="CK59" s="136" t="n">
        <v>0.0775</v>
      </c>
      <c r="CL59" s="136" t="n">
        <v>0.0025</v>
      </c>
      <c r="CM59" s="136" t="n">
        <v>-0.0725</v>
      </c>
      <c r="CN59" s="136" t="n">
        <v>0.0075</v>
      </c>
      <c r="CO59" s="136" t="n">
        <v>-0.0175</v>
      </c>
      <c r="CP59" s="136" t="n">
        <v>0.005</v>
      </c>
      <c r="CQ59" s="136" t="n">
        <v>0.0225</v>
      </c>
      <c r="CR59" s="136" t="n">
        <v>0.0075</v>
      </c>
      <c r="CS59" s="136" t="n">
        <v>0.38</v>
      </c>
      <c r="CT59" s="136" t="n">
        <v>0.02</v>
      </c>
      <c r="CU59" s="136" t="n">
        <v>-0.2</v>
      </c>
      <c r="CV59" s="136" t="n">
        <v>0</v>
      </c>
      <c r="CW59" s="136" t="n">
        <v>0.195</v>
      </c>
      <c r="CX59" s="136" t="n">
        <v>0.0075</v>
      </c>
      <c r="CY59" s="136" t="n">
        <v>-0.68</v>
      </c>
      <c r="CZ59" s="136" t="n">
        <v>0</v>
      </c>
      <c r="DA59" s="136" t="n">
        <v>-0.5</v>
      </c>
      <c r="DB59" s="136" t="n">
        <v>0</v>
      </c>
      <c r="DC59" s="136" t="n">
        <v>0.6</v>
      </c>
      <c r="DE59" s="136" t="n">
        <v>-0.0525</v>
      </c>
      <c r="DF59" s="136" t="n">
        <v>0.0075</v>
      </c>
      <c r="DG59" s="136" t="n">
        <v>0.01</v>
      </c>
      <c r="DH59" s="136" t="n">
        <v>0.0075</v>
      </c>
      <c r="DI59" s="136" t="n">
        <v>-0.0175</v>
      </c>
      <c r="DJ59" s="136" t="n">
        <v>0.0075</v>
      </c>
      <c r="DK59" s="136" t="n">
        <v>-0.1255</v>
      </c>
      <c r="DL59" s="136" t="n">
        <v>0.005</v>
      </c>
      <c r="DM59" s="136" t="n">
        <v>-0.065</v>
      </c>
      <c r="DN59" s="136" t="n">
        <v>0.0025</v>
      </c>
      <c r="DO59" s="136" t="n">
        <v>-0.085</v>
      </c>
      <c r="DP59" s="136" t="n">
        <v>0.0025</v>
      </c>
      <c r="DQ59" s="136" t="n">
        <v>-0.1555</v>
      </c>
      <c r="DR59" s="136" t="n">
        <v>-0.005</v>
      </c>
      <c r="DS59" s="136" t="n">
        <v>0.36</v>
      </c>
      <c r="DT59" s="136" t="n">
        <v>0.005</v>
      </c>
      <c r="DU59" s="136" t="n">
        <v>-0.12</v>
      </c>
      <c r="DV59" s="136" t="n">
        <v>0</v>
      </c>
    </row>
    <row r="60" customFormat="false" ht="12.75" hidden="false" customHeight="false" outlineLevel="0" collapsed="false">
      <c r="D60" s="135" t="n">
        <v>38473</v>
      </c>
      <c r="F60" s="174" t="n">
        <v>3.277</v>
      </c>
      <c r="G60" s="175" t="n">
        <v>0.0468566770502532</v>
      </c>
      <c r="H60" s="174" t="n">
        <v>0.29</v>
      </c>
      <c r="I60" s="174" t="n">
        <v>0.45</v>
      </c>
      <c r="J60" s="174" t="n">
        <v>0.5</v>
      </c>
      <c r="K60" s="174" t="n">
        <v>0.4</v>
      </c>
      <c r="L60" s="172" t="n">
        <v>0.4</v>
      </c>
      <c r="M60" s="172" t="n">
        <v>0.45</v>
      </c>
      <c r="N60" s="174" t="n">
        <v>0.5</v>
      </c>
      <c r="O60" s="174" t="n">
        <v>0.45</v>
      </c>
      <c r="P60" s="174" t="n">
        <v>0.4</v>
      </c>
      <c r="Q60" s="174" t="n">
        <v>0.45</v>
      </c>
      <c r="R60" s="175" t="n">
        <v>0.45</v>
      </c>
      <c r="S60" s="175" t="n">
        <v>0.5</v>
      </c>
      <c r="T60" s="174" t="n">
        <v>0.45</v>
      </c>
      <c r="U60" s="174" t="n">
        <v>0.5</v>
      </c>
      <c r="V60" s="174" t="n">
        <v>0.5</v>
      </c>
      <c r="W60" s="174" t="n">
        <v>-0.09</v>
      </c>
      <c r="X60" s="174" t="n">
        <v>0</v>
      </c>
      <c r="Y60" s="174" t="n">
        <v>0.04</v>
      </c>
      <c r="Z60" s="174" t="n">
        <v>0.005</v>
      </c>
      <c r="AA60" s="174" t="n">
        <v>0.175</v>
      </c>
      <c r="AB60" s="174" t="n">
        <v>0</v>
      </c>
      <c r="AC60" s="174" t="n">
        <v>0.145</v>
      </c>
      <c r="AD60" s="174" t="n">
        <v>0</v>
      </c>
      <c r="AE60" s="174" t="n">
        <v>0.175</v>
      </c>
      <c r="AF60" s="174" t="n">
        <v>0</v>
      </c>
      <c r="AG60" s="174" t="n">
        <v>0.13</v>
      </c>
      <c r="AH60" s="174" t="n">
        <v>0</v>
      </c>
      <c r="AI60" s="174" t="n">
        <v>0.14</v>
      </c>
      <c r="AJ60" s="174" t="n">
        <v>0</v>
      </c>
      <c r="AK60" s="174" t="n">
        <v>0.04</v>
      </c>
      <c r="AL60" s="174" t="n">
        <v>0.04</v>
      </c>
      <c r="AM60" s="174" t="n">
        <v>-0.0675</v>
      </c>
      <c r="AN60" s="174" t="n">
        <v>0.013</v>
      </c>
      <c r="AO60" s="174" t="n">
        <v>-0.42</v>
      </c>
      <c r="AP60" s="174" t="n">
        <v>0.155</v>
      </c>
      <c r="AQ60" s="174" t="n">
        <v>-0.0625</v>
      </c>
      <c r="AR60" s="174" t="n">
        <v>0</v>
      </c>
      <c r="AS60" s="174" t="n">
        <v>-0.15</v>
      </c>
      <c r="AT60" s="174" t="n">
        <v>-0.015</v>
      </c>
      <c r="AU60" s="174" t="n">
        <v>-0.11</v>
      </c>
      <c r="AV60" s="174" t="n">
        <v>0.02</v>
      </c>
      <c r="AW60" s="174" t="n">
        <v>-0.09</v>
      </c>
      <c r="AX60" s="174" t="n">
        <v>0.01</v>
      </c>
      <c r="AY60" s="175" t="n">
        <v>0.115</v>
      </c>
      <c r="AZ60" s="175" t="n">
        <v>0</v>
      </c>
      <c r="BA60" s="175" t="n">
        <v>-0.2</v>
      </c>
      <c r="BB60" s="174" t="n">
        <v>0.0025</v>
      </c>
      <c r="BC60" s="174" t="n">
        <v>-0.085</v>
      </c>
      <c r="BD60" s="174" t="n">
        <v>0.005</v>
      </c>
      <c r="BE60" s="174" t="n">
        <v>0.23</v>
      </c>
      <c r="BF60" s="174" t="n">
        <v>0.03</v>
      </c>
      <c r="BG60" s="174" t="n">
        <v>-0.0675</v>
      </c>
      <c r="BH60" s="174" t="n">
        <v>0</v>
      </c>
      <c r="BI60" s="174" t="n">
        <v>0.06</v>
      </c>
      <c r="BJ60" s="136" t="n">
        <v>0.03</v>
      </c>
      <c r="BK60" s="136" t="n">
        <v>0.23</v>
      </c>
      <c r="BL60" s="136" t="n">
        <v>0.03</v>
      </c>
      <c r="BM60" s="136" t="n">
        <v>-0.2</v>
      </c>
      <c r="BN60" s="136" t="n">
        <v>0</v>
      </c>
      <c r="BO60" s="136" t="n">
        <v>-0.42</v>
      </c>
      <c r="BP60" s="136" t="n">
        <v>0.02</v>
      </c>
      <c r="BQ60" s="136" t="n">
        <v>0.5</v>
      </c>
      <c r="BR60" s="136" t="n">
        <v>0.03</v>
      </c>
      <c r="BS60" s="136" t="n">
        <v>-0.085</v>
      </c>
      <c r="BT60" s="136" t="n">
        <v>0.005</v>
      </c>
      <c r="BU60" s="136" t="n">
        <v>0.3</v>
      </c>
      <c r="BV60" s="136" t="n">
        <v>0</v>
      </c>
      <c r="BW60" s="136" t="n">
        <v>0.23</v>
      </c>
      <c r="BX60" s="136" t="n">
        <v>0</v>
      </c>
      <c r="BY60" s="136" t="n">
        <v>-0.025</v>
      </c>
      <c r="BZ60" s="136" t="n">
        <v>0.0575</v>
      </c>
      <c r="CA60" s="136" t="n">
        <v>0.125</v>
      </c>
      <c r="CB60" s="136" t="n">
        <v>0.005</v>
      </c>
      <c r="CC60" s="136" t="n">
        <v>-0.025</v>
      </c>
      <c r="CD60" s="136" t="n">
        <v>0.0035</v>
      </c>
      <c r="CE60" s="136" t="n">
        <v>0.0025</v>
      </c>
      <c r="CF60" s="136" t="n">
        <v>0</v>
      </c>
      <c r="CG60" s="136" t="n">
        <v>-0.025</v>
      </c>
      <c r="CH60" s="136" t="n">
        <v>0.0035</v>
      </c>
      <c r="CI60" s="136" t="n">
        <v>-0.128</v>
      </c>
      <c r="CJ60" s="136" t="n">
        <v>0.0025</v>
      </c>
      <c r="CK60" s="136" t="n">
        <v>0.0775</v>
      </c>
      <c r="CL60" s="136" t="n">
        <v>0.0025</v>
      </c>
      <c r="CM60" s="136" t="n">
        <v>-0.0725</v>
      </c>
      <c r="CN60" s="136" t="n">
        <v>0.0075</v>
      </c>
      <c r="CO60" s="136" t="n">
        <v>-0.0175</v>
      </c>
      <c r="CP60" s="136" t="n">
        <v>0.005</v>
      </c>
      <c r="CQ60" s="136" t="n">
        <v>0.0225</v>
      </c>
      <c r="CR60" s="136" t="n">
        <v>0.0075</v>
      </c>
      <c r="CS60" s="136" t="n">
        <v>0.33</v>
      </c>
      <c r="CT60" s="136" t="n">
        <v>0.02</v>
      </c>
      <c r="CU60" s="136" t="n">
        <v>-0.2</v>
      </c>
      <c r="CV60" s="136" t="n">
        <v>0</v>
      </c>
      <c r="CW60" s="136" t="n">
        <v>0.135</v>
      </c>
      <c r="CX60" s="136" t="n">
        <v>0.0075</v>
      </c>
      <c r="CY60" s="136" t="n">
        <v>-0.68</v>
      </c>
      <c r="CZ60" s="136" t="n">
        <v>0</v>
      </c>
      <c r="DA60" s="136" t="n">
        <v>-0.5</v>
      </c>
      <c r="DB60" s="136" t="n">
        <v>0</v>
      </c>
      <c r="DC60" s="136" t="n">
        <v>0.75</v>
      </c>
      <c r="DE60" s="136" t="n">
        <v>-0.0525</v>
      </c>
      <c r="DF60" s="136" t="n">
        <v>0.0075</v>
      </c>
      <c r="DG60" s="136" t="n">
        <v>0.01</v>
      </c>
      <c r="DH60" s="136" t="n">
        <v>0.0075</v>
      </c>
      <c r="DI60" s="136" t="n">
        <v>-0.0175</v>
      </c>
      <c r="DJ60" s="136" t="n">
        <v>0.0075</v>
      </c>
      <c r="DK60" s="136" t="n">
        <v>-0.103</v>
      </c>
      <c r="DL60" s="136" t="n">
        <v>0.005</v>
      </c>
      <c r="DM60" s="136" t="n">
        <v>-0.065</v>
      </c>
      <c r="DN60" s="136" t="n">
        <v>0.0025</v>
      </c>
      <c r="DO60" s="136" t="n">
        <v>-0.085</v>
      </c>
      <c r="DP60" s="136" t="n">
        <v>0.0025</v>
      </c>
      <c r="DQ60" s="136" t="n">
        <v>-0.133</v>
      </c>
      <c r="DR60" s="136" t="n">
        <v>-0.005</v>
      </c>
      <c r="DS60" s="136" t="n">
        <v>0.325</v>
      </c>
      <c r="DT60" s="136" t="n">
        <v>0.005</v>
      </c>
      <c r="DU60" s="136" t="n">
        <v>-0.12</v>
      </c>
      <c r="DV60" s="136" t="n">
        <v>0</v>
      </c>
    </row>
    <row r="61" customFormat="false" ht="12.75" hidden="false" customHeight="false" outlineLevel="0" collapsed="false">
      <c r="D61" s="135" t="n">
        <v>38504</v>
      </c>
      <c r="F61" s="174" t="n">
        <v>3.312</v>
      </c>
      <c r="G61" s="175" t="n">
        <v>0.0473274851128664</v>
      </c>
      <c r="H61" s="174" t="n">
        <v>0.29</v>
      </c>
      <c r="I61" s="174" t="n">
        <v>0.45</v>
      </c>
      <c r="J61" s="174" t="n">
        <v>0.5</v>
      </c>
      <c r="K61" s="174" t="n">
        <v>0.4</v>
      </c>
      <c r="L61" s="172" t="n">
        <v>0.5</v>
      </c>
      <c r="M61" s="172" t="n">
        <v>0.45</v>
      </c>
      <c r="N61" s="174" t="n">
        <v>0.5</v>
      </c>
      <c r="O61" s="174" t="n">
        <v>0.5</v>
      </c>
      <c r="P61" s="174" t="n">
        <v>0.5</v>
      </c>
      <c r="Q61" s="174" t="n">
        <v>0.5</v>
      </c>
      <c r="R61" s="175" t="n">
        <v>0.45</v>
      </c>
      <c r="S61" s="175" t="n">
        <v>0.5</v>
      </c>
      <c r="T61" s="174" t="n">
        <v>0.45</v>
      </c>
      <c r="U61" s="174" t="n">
        <v>0.5</v>
      </c>
      <c r="V61" s="174" t="n">
        <v>0.6</v>
      </c>
      <c r="W61" s="174" t="n">
        <v>-0.09</v>
      </c>
      <c r="X61" s="174" t="n">
        <v>0</v>
      </c>
      <c r="Y61" s="174" t="n">
        <v>0.04</v>
      </c>
      <c r="Z61" s="174" t="n">
        <v>0.005</v>
      </c>
      <c r="AA61" s="174" t="n">
        <v>0.175</v>
      </c>
      <c r="AB61" s="174" t="n">
        <v>0</v>
      </c>
      <c r="AC61" s="174" t="n">
        <v>0.145</v>
      </c>
      <c r="AD61" s="174" t="n">
        <v>0</v>
      </c>
      <c r="AE61" s="174" t="n">
        <v>0.175</v>
      </c>
      <c r="AF61" s="174" t="n">
        <v>0</v>
      </c>
      <c r="AG61" s="174" t="n">
        <v>0.13</v>
      </c>
      <c r="AH61" s="174" t="n">
        <v>0</v>
      </c>
      <c r="AI61" s="174" t="n">
        <v>0.14</v>
      </c>
      <c r="AJ61" s="174" t="n">
        <v>0</v>
      </c>
      <c r="AK61" s="174" t="n">
        <v>0.04</v>
      </c>
      <c r="AL61" s="174" t="n">
        <v>0.04</v>
      </c>
      <c r="AM61" s="174" t="n">
        <v>-0.0675</v>
      </c>
      <c r="AN61" s="174" t="n">
        <v>0.013</v>
      </c>
      <c r="AO61" s="174" t="n">
        <v>-0.42</v>
      </c>
      <c r="AP61" s="174" t="n">
        <v>0.155</v>
      </c>
      <c r="AQ61" s="174" t="n">
        <v>-0.0625</v>
      </c>
      <c r="AR61" s="174" t="n">
        <v>0</v>
      </c>
      <c r="AS61" s="174" t="n">
        <v>-0.15</v>
      </c>
      <c r="AT61" s="174" t="n">
        <v>-0.015</v>
      </c>
      <c r="AU61" s="174" t="n">
        <v>-0.11</v>
      </c>
      <c r="AV61" s="174" t="n">
        <v>0.02</v>
      </c>
      <c r="AW61" s="174" t="n">
        <v>-0.09</v>
      </c>
      <c r="AX61" s="174" t="n">
        <v>0.01</v>
      </c>
      <c r="AY61" s="175" t="n">
        <v>0.115</v>
      </c>
      <c r="AZ61" s="175" t="n">
        <v>0</v>
      </c>
      <c r="BA61" s="175" t="n">
        <v>-0.2</v>
      </c>
      <c r="BB61" s="174" t="n">
        <v>0.0025</v>
      </c>
      <c r="BC61" s="174" t="n">
        <v>-0.085</v>
      </c>
      <c r="BD61" s="174" t="n">
        <v>0.005</v>
      </c>
      <c r="BE61" s="174" t="n">
        <v>0.23</v>
      </c>
      <c r="BF61" s="174" t="n">
        <v>0.03</v>
      </c>
      <c r="BG61" s="174" t="n">
        <v>-0.0675</v>
      </c>
      <c r="BH61" s="174" t="n">
        <v>0</v>
      </c>
      <c r="BI61" s="174" t="n">
        <v>0.06</v>
      </c>
      <c r="BJ61" s="136" t="n">
        <v>0.03</v>
      </c>
      <c r="BK61" s="136" t="n">
        <v>0.23</v>
      </c>
      <c r="BL61" s="136" t="n">
        <v>0.03</v>
      </c>
      <c r="BM61" s="136" t="n">
        <v>-0.2</v>
      </c>
      <c r="BN61" s="136" t="n">
        <v>0</v>
      </c>
      <c r="BO61" s="136" t="n">
        <v>-0.42</v>
      </c>
      <c r="BP61" s="136" t="n">
        <v>0.02</v>
      </c>
      <c r="BQ61" s="136" t="n">
        <v>0.5</v>
      </c>
      <c r="BR61" s="136" t="n">
        <v>0.03</v>
      </c>
      <c r="BS61" s="136" t="n">
        <v>-0.085</v>
      </c>
      <c r="BT61" s="136" t="n">
        <v>0.005</v>
      </c>
      <c r="BU61" s="136" t="n">
        <v>0.3</v>
      </c>
      <c r="BV61" s="136" t="n">
        <v>0</v>
      </c>
      <c r="BW61" s="136" t="n">
        <v>0.23</v>
      </c>
      <c r="BX61" s="136" t="n">
        <v>0</v>
      </c>
      <c r="BY61" s="136" t="n">
        <v>-0.025</v>
      </c>
      <c r="BZ61" s="136" t="n">
        <v>0.0575</v>
      </c>
      <c r="CA61" s="136" t="n">
        <v>0.145</v>
      </c>
      <c r="CB61" s="136" t="n">
        <v>0.005</v>
      </c>
      <c r="CC61" s="136" t="n">
        <v>-0.025</v>
      </c>
      <c r="CD61" s="136" t="n">
        <v>0.0035</v>
      </c>
      <c r="CE61" s="136" t="n">
        <v>0.0025</v>
      </c>
      <c r="CF61" s="136" t="n">
        <v>0</v>
      </c>
      <c r="CG61" s="136" t="n">
        <v>-0.025</v>
      </c>
      <c r="CH61" s="136" t="n">
        <v>0.0035</v>
      </c>
      <c r="CI61" s="136" t="n">
        <v>-0.0855</v>
      </c>
      <c r="CJ61" s="136" t="n">
        <v>0.0025</v>
      </c>
      <c r="CK61" s="136" t="n">
        <v>0.0775</v>
      </c>
      <c r="CL61" s="136" t="n">
        <v>0.0025</v>
      </c>
      <c r="CM61" s="136" t="n">
        <v>-0.0725</v>
      </c>
      <c r="CN61" s="136" t="n">
        <v>0.0075</v>
      </c>
      <c r="CO61" s="136" t="n">
        <v>-0.0175</v>
      </c>
      <c r="CP61" s="136" t="n">
        <v>0.005</v>
      </c>
      <c r="CQ61" s="136" t="n">
        <v>0.0225</v>
      </c>
      <c r="CR61" s="136" t="n">
        <v>0.0075</v>
      </c>
      <c r="CS61" s="136" t="n">
        <v>0.37</v>
      </c>
      <c r="CT61" s="136" t="n">
        <v>0.035</v>
      </c>
      <c r="CU61" s="136" t="n">
        <v>-0.2</v>
      </c>
      <c r="CV61" s="136" t="n">
        <v>0</v>
      </c>
      <c r="CW61" s="136" t="n">
        <v>0.165</v>
      </c>
      <c r="CX61" s="136" t="n">
        <v>0.0075</v>
      </c>
      <c r="CY61" s="136" t="n">
        <v>-0.68</v>
      </c>
      <c r="CZ61" s="136" t="n">
        <v>0</v>
      </c>
      <c r="DA61" s="136" t="n">
        <v>-0.5</v>
      </c>
      <c r="DB61" s="136" t="n">
        <v>0</v>
      </c>
      <c r="DC61" s="136" t="n">
        <v>0.85</v>
      </c>
      <c r="DE61" s="136" t="n">
        <v>-0.05</v>
      </c>
      <c r="DF61" s="136" t="n">
        <v>0.0075</v>
      </c>
      <c r="DG61" s="136" t="n">
        <v>0.0125</v>
      </c>
      <c r="DH61" s="136" t="n">
        <v>0.0075</v>
      </c>
      <c r="DI61" s="136" t="n">
        <v>-0.015</v>
      </c>
      <c r="DJ61" s="136" t="n">
        <v>0.0075</v>
      </c>
      <c r="DK61" s="136" t="n">
        <v>-0.0505</v>
      </c>
      <c r="DL61" s="136" t="n">
        <v>0.005</v>
      </c>
      <c r="DM61" s="136" t="n">
        <v>-0.065</v>
      </c>
      <c r="DN61" s="136" t="n">
        <v>0.0025</v>
      </c>
      <c r="DO61" s="136" t="n">
        <v>-0.085</v>
      </c>
      <c r="DP61" s="136" t="n">
        <v>0.0025</v>
      </c>
      <c r="DQ61" s="136" t="n">
        <v>-0.0805</v>
      </c>
      <c r="DR61" s="136" t="n">
        <v>-0.005</v>
      </c>
      <c r="DS61" s="136" t="n">
        <v>0.335</v>
      </c>
      <c r="DT61" s="136" t="n">
        <v>0.005</v>
      </c>
      <c r="DU61" s="136" t="n">
        <v>-0.12</v>
      </c>
      <c r="DV61" s="136" t="n">
        <v>0</v>
      </c>
    </row>
    <row r="62" customFormat="false" ht="12.75" hidden="false" customHeight="false" outlineLevel="0" collapsed="false">
      <c r="D62" s="135" t="n">
        <v>38534</v>
      </c>
      <c r="F62" s="174" t="n">
        <v>3.352</v>
      </c>
      <c r="G62" s="175" t="n">
        <v>0.047760481058801</v>
      </c>
      <c r="H62" s="174" t="n">
        <v>0.285</v>
      </c>
      <c r="I62" s="174" t="n">
        <v>0.5</v>
      </c>
      <c r="J62" s="174" t="n">
        <v>0.5</v>
      </c>
      <c r="K62" s="174" t="n">
        <v>0.4</v>
      </c>
      <c r="L62" s="172" t="n">
        <v>0.5</v>
      </c>
      <c r="M62" s="172" t="n">
        <v>0.5</v>
      </c>
      <c r="N62" s="174" t="n">
        <v>0.5</v>
      </c>
      <c r="O62" s="174" t="n">
        <v>0.5</v>
      </c>
      <c r="P62" s="174" t="n">
        <v>0.5</v>
      </c>
      <c r="Q62" s="174" t="n">
        <v>0.5</v>
      </c>
      <c r="R62" s="175" t="n">
        <v>0.5</v>
      </c>
      <c r="S62" s="175" t="n">
        <v>0.55</v>
      </c>
      <c r="T62" s="174" t="n">
        <v>0.5</v>
      </c>
      <c r="U62" s="174" t="n">
        <v>0.5</v>
      </c>
      <c r="V62" s="174" t="n">
        <v>0.6</v>
      </c>
      <c r="W62" s="174" t="n">
        <v>-0.09</v>
      </c>
      <c r="X62" s="174" t="n">
        <v>0</v>
      </c>
      <c r="Y62" s="174" t="n">
        <v>0.04</v>
      </c>
      <c r="Z62" s="174" t="n">
        <v>0.005</v>
      </c>
      <c r="AA62" s="174" t="n">
        <v>0.175</v>
      </c>
      <c r="AB62" s="174" t="n">
        <v>0</v>
      </c>
      <c r="AC62" s="174" t="n">
        <v>0.145</v>
      </c>
      <c r="AD62" s="174" t="n">
        <v>0</v>
      </c>
      <c r="AE62" s="174" t="n">
        <v>0.175</v>
      </c>
      <c r="AF62" s="174" t="n">
        <v>0</v>
      </c>
      <c r="AG62" s="174" t="n">
        <v>0.13</v>
      </c>
      <c r="AH62" s="174" t="n">
        <v>0</v>
      </c>
      <c r="AI62" s="174" t="n">
        <v>0.14</v>
      </c>
      <c r="AJ62" s="174" t="n">
        <v>0</v>
      </c>
      <c r="AK62" s="174" t="n">
        <v>0.04</v>
      </c>
      <c r="AL62" s="174" t="n">
        <v>0.04</v>
      </c>
      <c r="AM62" s="174" t="n">
        <v>-0.0675</v>
      </c>
      <c r="AN62" s="174" t="n">
        <v>0.013</v>
      </c>
      <c r="AO62" s="174" t="n">
        <v>-0.42</v>
      </c>
      <c r="AP62" s="174" t="n">
        <v>0.155</v>
      </c>
      <c r="AQ62" s="174" t="n">
        <v>-0.0625</v>
      </c>
      <c r="AR62" s="174" t="n">
        <v>0</v>
      </c>
      <c r="AS62" s="174" t="n">
        <v>-0.15</v>
      </c>
      <c r="AT62" s="174" t="n">
        <v>-0.015</v>
      </c>
      <c r="AU62" s="174" t="n">
        <v>-0.11</v>
      </c>
      <c r="AV62" s="174" t="n">
        <v>0.02</v>
      </c>
      <c r="AW62" s="174" t="n">
        <v>-0.09</v>
      </c>
      <c r="AX62" s="174" t="n">
        <v>0.01</v>
      </c>
      <c r="AY62" s="175" t="n">
        <v>0.115</v>
      </c>
      <c r="AZ62" s="175" t="n">
        <v>0</v>
      </c>
      <c r="BA62" s="175" t="n">
        <v>-0.2</v>
      </c>
      <c r="BB62" s="174" t="n">
        <v>0.0025</v>
      </c>
      <c r="BC62" s="174" t="n">
        <v>-0.085</v>
      </c>
      <c r="BD62" s="174" t="n">
        <v>0.005</v>
      </c>
      <c r="BE62" s="174" t="n">
        <v>0.23</v>
      </c>
      <c r="BF62" s="174" t="n">
        <v>0.03</v>
      </c>
      <c r="BG62" s="174" t="n">
        <v>-0.0675</v>
      </c>
      <c r="BH62" s="174" t="n">
        <v>0</v>
      </c>
      <c r="BI62" s="174" t="n">
        <v>0.06</v>
      </c>
      <c r="BJ62" s="136" t="n">
        <v>0.03</v>
      </c>
      <c r="BK62" s="136" t="n">
        <v>0.23</v>
      </c>
      <c r="BL62" s="136" t="n">
        <v>0.03</v>
      </c>
      <c r="BM62" s="136" t="n">
        <v>-0.2</v>
      </c>
      <c r="BN62" s="136" t="n">
        <v>0</v>
      </c>
      <c r="BO62" s="136" t="n">
        <v>-0.42</v>
      </c>
      <c r="BP62" s="136" t="n">
        <v>0.02</v>
      </c>
      <c r="BQ62" s="136" t="n">
        <v>0.5</v>
      </c>
      <c r="BR62" s="136" t="n">
        <v>0.03</v>
      </c>
      <c r="BS62" s="136" t="n">
        <v>-0.085</v>
      </c>
      <c r="BT62" s="136" t="n">
        <v>0.005</v>
      </c>
      <c r="BU62" s="136" t="n">
        <v>0.3</v>
      </c>
      <c r="BV62" s="136" t="n">
        <v>0</v>
      </c>
      <c r="BW62" s="136" t="n">
        <v>0.23</v>
      </c>
      <c r="BX62" s="136" t="n">
        <v>0</v>
      </c>
      <c r="BY62" s="136" t="n">
        <v>-0.025</v>
      </c>
      <c r="BZ62" s="136" t="n">
        <v>0.0575</v>
      </c>
      <c r="CA62" s="136" t="n">
        <v>0.15</v>
      </c>
      <c r="CB62" s="136" t="n">
        <v>0.005</v>
      </c>
      <c r="CC62" s="136" t="n">
        <v>-0.025</v>
      </c>
      <c r="CD62" s="136" t="n">
        <v>0.0035</v>
      </c>
      <c r="CE62" s="136" t="n">
        <v>0.0025</v>
      </c>
      <c r="CF62" s="136" t="n">
        <v>0</v>
      </c>
      <c r="CG62" s="136" t="n">
        <v>-0.025</v>
      </c>
      <c r="CH62" s="136" t="n">
        <v>0.0035</v>
      </c>
      <c r="CI62" s="136" t="n">
        <v>-0.083</v>
      </c>
      <c r="CJ62" s="136" t="n">
        <v>0.0025</v>
      </c>
      <c r="CK62" s="136" t="n">
        <v>0.0775</v>
      </c>
      <c r="CL62" s="136" t="n">
        <v>0.0025</v>
      </c>
      <c r="CM62" s="136" t="n">
        <v>-0.0725</v>
      </c>
      <c r="CN62" s="136" t="n">
        <v>0.0075</v>
      </c>
      <c r="CO62" s="136" t="n">
        <v>-0.0175</v>
      </c>
      <c r="CP62" s="136" t="n">
        <v>0.005</v>
      </c>
      <c r="CQ62" s="136" t="n">
        <v>0.0225</v>
      </c>
      <c r="CR62" s="136" t="n">
        <v>0.0075</v>
      </c>
      <c r="CS62" s="136" t="n">
        <v>0.41</v>
      </c>
      <c r="CT62" s="136" t="n">
        <v>0.035</v>
      </c>
      <c r="CU62" s="136" t="n">
        <v>-0.2</v>
      </c>
      <c r="CV62" s="136" t="n">
        <v>0</v>
      </c>
      <c r="CW62" s="136" t="n">
        <v>0.205</v>
      </c>
      <c r="CX62" s="136" t="n">
        <v>0.0075</v>
      </c>
      <c r="CY62" s="136" t="n">
        <v>-0.68</v>
      </c>
      <c r="CZ62" s="136" t="n">
        <v>0</v>
      </c>
      <c r="DA62" s="136" t="n">
        <v>-0.5</v>
      </c>
      <c r="DB62" s="136" t="n">
        <v>0</v>
      </c>
      <c r="DC62" s="136" t="n">
        <v>1.05</v>
      </c>
      <c r="DE62" s="136" t="n">
        <v>-0.05</v>
      </c>
      <c r="DF62" s="136" t="n">
        <v>0.0075</v>
      </c>
      <c r="DG62" s="136" t="n">
        <v>0.0125</v>
      </c>
      <c r="DH62" s="136" t="n">
        <v>0.0075</v>
      </c>
      <c r="DI62" s="136" t="n">
        <v>-0.015</v>
      </c>
      <c r="DJ62" s="136" t="n">
        <v>0.0075</v>
      </c>
      <c r="DK62" s="136" t="n">
        <v>-0.0605</v>
      </c>
      <c r="DL62" s="136" t="n">
        <v>0.005</v>
      </c>
      <c r="DM62" s="136" t="n">
        <v>-0.065</v>
      </c>
      <c r="DN62" s="136" t="n">
        <v>0.0025</v>
      </c>
      <c r="DO62" s="136" t="n">
        <v>-0.085</v>
      </c>
      <c r="DP62" s="136" t="n">
        <v>0.0025</v>
      </c>
      <c r="DQ62" s="136" t="n">
        <v>-0.0905</v>
      </c>
      <c r="DR62" s="136" t="n">
        <v>-0.005</v>
      </c>
      <c r="DS62" s="136" t="n">
        <v>0.35</v>
      </c>
      <c r="DT62" s="136" t="n">
        <v>0.005</v>
      </c>
      <c r="DU62" s="136" t="n">
        <v>-0.12</v>
      </c>
      <c r="DV62" s="136" t="n">
        <v>0</v>
      </c>
    </row>
    <row r="63" customFormat="false" ht="12.75" hidden="false" customHeight="false" outlineLevel="0" collapsed="false">
      <c r="D63" s="135" t="n">
        <v>38565</v>
      </c>
      <c r="F63" s="174" t="n">
        <v>3.392</v>
      </c>
      <c r="G63" s="175" t="n">
        <v>0.0481861434694211</v>
      </c>
      <c r="H63" s="174" t="n">
        <v>0.285</v>
      </c>
      <c r="I63" s="174" t="n">
        <v>0.55</v>
      </c>
      <c r="J63" s="174" t="n">
        <v>0.55</v>
      </c>
      <c r="K63" s="174" t="n">
        <v>0.5</v>
      </c>
      <c r="L63" s="172" t="n">
        <v>0.6</v>
      </c>
      <c r="M63" s="172" t="n">
        <v>0.55</v>
      </c>
      <c r="N63" s="174" t="n">
        <v>0.6</v>
      </c>
      <c r="O63" s="174" t="n">
        <v>0.55</v>
      </c>
      <c r="P63" s="174" t="n">
        <v>0.6</v>
      </c>
      <c r="Q63" s="174" t="n">
        <v>0.45</v>
      </c>
      <c r="R63" s="175" t="n">
        <v>0.55</v>
      </c>
      <c r="S63" s="175" t="n">
        <v>0.6</v>
      </c>
      <c r="T63" s="174" t="n">
        <v>0.55</v>
      </c>
      <c r="U63" s="174" t="n">
        <v>0.6</v>
      </c>
      <c r="V63" s="174" t="n">
        <v>0.7</v>
      </c>
      <c r="W63" s="174" t="n">
        <v>-0.09</v>
      </c>
      <c r="X63" s="174" t="n">
        <v>0</v>
      </c>
      <c r="Y63" s="174" t="n">
        <v>0.04</v>
      </c>
      <c r="Z63" s="174" t="n">
        <v>0.005</v>
      </c>
      <c r="AA63" s="174" t="n">
        <v>0.175</v>
      </c>
      <c r="AB63" s="174" t="n">
        <v>0</v>
      </c>
      <c r="AC63" s="174" t="n">
        <v>0.145</v>
      </c>
      <c r="AD63" s="174" t="n">
        <v>0</v>
      </c>
      <c r="AE63" s="174" t="n">
        <v>0.175</v>
      </c>
      <c r="AF63" s="174" t="n">
        <v>0</v>
      </c>
      <c r="AG63" s="174" t="n">
        <v>0.13</v>
      </c>
      <c r="AH63" s="174" t="n">
        <v>0</v>
      </c>
      <c r="AI63" s="174" t="n">
        <v>0.14</v>
      </c>
      <c r="AJ63" s="174" t="n">
        <v>0</v>
      </c>
      <c r="AK63" s="174" t="n">
        <v>0.04</v>
      </c>
      <c r="AL63" s="174" t="n">
        <v>0.04</v>
      </c>
      <c r="AM63" s="174" t="n">
        <v>-0.0675</v>
      </c>
      <c r="AN63" s="174" t="n">
        <v>0.013</v>
      </c>
      <c r="AO63" s="174" t="n">
        <v>-0.42</v>
      </c>
      <c r="AP63" s="174" t="n">
        <v>0.155</v>
      </c>
      <c r="AQ63" s="174" t="n">
        <v>-0.0625</v>
      </c>
      <c r="AR63" s="174" t="n">
        <v>0</v>
      </c>
      <c r="AS63" s="174" t="n">
        <v>-0.15</v>
      </c>
      <c r="AT63" s="174" t="n">
        <v>-0.015</v>
      </c>
      <c r="AU63" s="174" t="n">
        <v>-0.11</v>
      </c>
      <c r="AV63" s="174" t="n">
        <v>0.02</v>
      </c>
      <c r="AW63" s="174" t="n">
        <v>-0.09</v>
      </c>
      <c r="AX63" s="174" t="n">
        <v>0.01</v>
      </c>
      <c r="AY63" s="175" t="n">
        <v>0.115</v>
      </c>
      <c r="AZ63" s="175" t="n">
        <v>0</v>
      </c>
      <c r="BA63" s="175" t="n">
        <v>-0.2</v>
      </c>
      <c r="BB63" s="174" t="n">
        <v>0.0025</v>
      </c>
      <c r="BC63" s="174" t="n">
        <v>-0.085</v>
      </c>
      <c r="BD63" s="174" t="n">
        <v>0.005</v>
      </c>
      <c r="BE63" s="174" t="n">
        <v>0.23</v>
      </c>
      <c r="BF63" s="174" t="n">
        <v>0.03</v>
      </c>
      <c r="BG63" s="174" t="n">
        <v>-0.0675</v>
      </c>
      <c r="BH63" s="174" t="n">
        <v>0</v>
      </c>
      <c r="BI63" s="174" t="n">
        <v>0.06</v>
      </c>
      <c r="BJ63" s="136" t="n">
        <v>0.03</v>
      </c>
      <c r="BK63" s="136" t="n">
        <v>0.23</v>
      </c>
      <c r="BL63" s="136" t="n">
        <v>0.03</v>
      </c>
      <c r="BM63" s="136" t="n">
        <v>-0.2</v>
      </c>
      <c r="BN63" s="136" t="n">
        <v>0</v>
      </c>
      <c r="BO63" s="136" t="n">
        <v>-0.42</v>
      </c>
      <c r="BP63" s="136" t="n">
        <v>0.02</v>
      </c>
      <c r="BQ63" s="136" t="n">
        <v>0.5</v>
      </c>
      <c r="BR63" s="136" t="n">
        <v>0.03</v>
      </c>
      <c r="BS63" s="136" t="n">
        <v>-0.085</v>
      </c>
      <c r="BT63" s="136" t="n">
        <v>0.005</v>
      </c>
      <c r="BU63" s="136" t="n">
        <v>0.3</v>
      </c>
      <c r="BV63" s="136" t="n">
        <v>0</v>
      </c>
      <c r="BW63" s="136" t="n">
        <v>0.23</v>
      </c>
      <c r="BX63" s="136" t="n">
        <v>0</v>
      </c>
      <c r="BY63" s="136" t="n">
        <v>-0.025</v>
      </c>
      <c r="BZ63" s="136" t="n">
        <v>0.0575</v>
      </c>
      <c r="CA63" s="136" t="n">
        <v>0.15</v>
      </c>
      <c r="CB63" s="136" t="n">
        <v>0.005</v>
      </c>
      <c r="CC63" s="136" t="n">
        <v>-0.025</v>
      </c>
      <c r="CD63" s="136" t="n">
        <v>0.0035</v>
      </c>
      <c r="CE63" s="136" t="n">
        <v>0.0025</v>
      </c>
      <c r="CF63" s="136" t="n">
        <v>0</v>
      </c>
      <c r="CG63" s="136" t="n">
        <v>-0.025</v>
      </c>
      <c r="CH63" s="136" t="n">
        <v>0.0035</v>
      </c>
      <c r="CI63" s="136" t="n">
        <v>-0.0805</v>
      </c>
      <c r="CJ63" s="136" t="n">
        <v>0.0025</v>
      </c>
      <c r="CK63" s="136" t="n">
        <v>0.0775</v>
      </c>
      <c r="CL63" s="136" t="n">
        <v>0.0025</v>
      </c>
      <c r="CM63" s="136" t="n">
        <v>-0.0725</v>
      </c>
      <c r="CN63" s="136" t="n">
        <v>0.0075</v>
      </c>
      <c r="CO63" s="136" t="n">
        <v>-0.0175</v>
      </c>
      <c r="CP63" s="136" t="n">
        <v>0.005</v>
      </c>
      <c r="CQ63" s="136" t="n">
        <v>0.0225</v>
      </c>
      <c r="CR63" s="136" t="n">
        <v>0.0075</v>
      </c>
      <c r="CS63" s="136" t="n">
        <v>0.41</v>
      </c>
      <c r="CT63" s="136" t="n">
        <v>0.01</v>
      </c>
      <c r="CU63" s="136" t="n">
        <v>-0.2</v>
      </c>
      <c r="CV63" s="136" t="n">
        <v>0</v>
      </c>
      <c r="CW63" s="136" t="n">
        <v>0.205</v>
      </c>
      <c r="CX63" s="136" t="n">
        <v>0.0075</v>
      </c>
      <c r="CY63" s="136" t="n">
        <v>-0.68</v>
      </c>
      <c r="CZ63" s="136" t="n">
        <v>0</v>
      </c>
      <c r="DA63" s="136" t="n">
        <v>-0.5</v>
      </c>
      <c r="DB63" s="136" t="n">
        <v>0</v>
      </c>
      <c r="DC63" s="136" t="n">
        <v>1.05</v>
      </c>
      <c r="DE63" s="136" t="n">
        <v>-0.05</v>
      </c>
      <c r="DF63" s="136" t="n">
        <v>0.0075</v>
      </c>
      <c r="DG63" s="136" t="n">
        <v>0.0125</v>
      </c>
      <c r="DH63" s="136" t="n">
        <v>0.0075</v>
      </c>
      <c r="DI63" s="136" t="n">
        <v>-0.015</v>
      </c>
      <c r="DJ63" s="136" t="n">
        <v>0.0075</v>
      </c>
      <c r="DK63" s="136" t="n">
        <v>-0.0555</v>
      </c>
      <c r="DL63" s="136" t="n">
        <v>0.005</v>
      </c>
      <c r="DM63" s="136" t="n">
        <v>-0.065</v>
      </c>
      <c r="DN63" s="136" t="n">
        <v>0.0025</v>
      </c>
      <c r="DO63" s="136" t="n">
        <v>-0.085</v>
      </c>
      <c r="DP63" s="136" t="n">
        <v>0.0025</v>
      </c>
      <c r="DQ63" s="136" t="n">
        <v>-0.0855</v>
      </c>
      <c r="DR63" s="136" t="n">
        <v>-0.005</v>
      </c>
      <c r="DS63" s="136" t="n">
        <v>0.35</v>
      </c>
      <c r="DT63" s="136" t="n">
        <v>-0.005</v>
      </c>
      <c r="DU63" s="136" t="n">
        <v>-0.12</v>
      </c>
      <c r="DV63" s="136" t="n">
        <v>0</v>
      </c>
    </row>
    <row r="64" customFormat="false" ht="12.75" hidden="false" customHeight="false" outlineLevel="0" collapsed="false">
      <c r="D64" s="135" t="n">
        <v>38596</v>
      </c>
      <c r="F64" s="174" t="n">
        <v>3.387</v>
      </c>
      <c r="G64" s="175" t="n">
        <v>0.0486118059405909</v>
      </c>
      <c r="H64" s="174" t="n">
        <v>0.285</v>
      </c>
      <c r="I64" s="174" t="n">
        <v>0.55</v>
      </c>
      <c r="J64" s="174" t="n">
        <v>0.55</v>
      </c>
      <c r="K64" s="174" t="n">
        <v>0.55</v>
      </c>
      <c r="L64" s="172" t="n">
        <v>0.55</v>
      </c>
      <c r="M64" s="172" t="n">
        <v>0.55</v>
      </c>
      <c r="N64" s="174" t="n">
        <v>0.6</v>
      </c>
      <c r="O64" s="174" t="n">
        <v>0.6</v>
      </c>
      <c r="P64" s="174" t="n">
        <v>0.55</v>
      </c>
      <c r="Q64" s="174" t="n">
        <v>0.5</v>
      </c>
      <c r="R64" s="175" t="n">
        <v>0.55</v>
      </c>
      <c r="S64" s="175" t="n">
        <v>0.6</v>
      </c>
      <c r="T64" s="174" t="n">
        <v>0.55</v>
      </c>
      <c r="U64" s="174" t="n">
        <v>0.6</v>
      </c>
      <c r="V64" s="174" t="n">
        <v>0.65</v>
      </c>
      <c r="W64" s="174" t="n">
        <v>-0.09</v>
      </c>
      <c r="X64" s="174" t="n">
        <v>0</v>
      </c>
      <c r="Y64" s="174" t="n">
        <v>0.04</v>
      </c>
      <c r="Z64" s="174" t="n">
        <v>0.005</v>
      </c>
      <c r="AA64" s="174" t="n">
        <v>0.175</v>
      </c>
      <c r="AB64" s="174" t="n">
        <v>0</v>
      </c>
      <c r="AC64" s="174" t="n">
        <v>0.145</v>
      </c>
      <c r="AD64" s="174" t="n">
        <v>0</v>
      </c>
      <c r="AE64" s="174" t="n">
        <v>0.175</v>
      </c>
      <c r="AF64" s="174" t="n">
        <v>0</v>
      </c>
      <c r="AG64" s="174" t="n">
        <v>0.13</v>
      </c>
      <c r="AH64" s="174" t="n">
        <v>0</v>
      </c>
      <c r="AI64" s="174" t="n">
        <v>0.14</v>
      </c>
      <c r="AJ64" s="174" t="n">
        <v>0</v>
      </c>
      <c r="AK64" s="174" t="n">
        <v>0.04</v>
      </c>
      <c r="AL64" s="174" t="n">
        <v>0.04</v>
      </c>
      <c r="AM64" s="174" t="n">
        <v>-0.0675</v>
      </c>
      <c r="AN64" s="174" t="n">
        <v>0.013</v>
      </c>
      <c r="AO64" s="174" t="n">
        <v>-0.42</v>
      </c>
      <c r="AP64" s="174" t="n">
        <v>0.155</v>
      </c>
      <c r="AQ64" s="174" t="n">
        <v>-0.0625</v>
      </c>
      <c r="AR64" s="174" t="n">
        <v>0</v>
      </c>
      <c r="AS64" s="174" t="n">
        <v>-0.15</v>
      </c>
      <c r="AT64" s="174" t="n">
        <v>-0.015</v>
      </c>
      <c r="AU64" s="174" t="n">
        <v>-0.11</v>
      </c>
      <c r="AV64" s="174" t="n">
        <v>0.02</v>
      </c>
      <c r="AW64" s="174" t="n">
        <v>-0.09</v>
      </c>
      <c r="AX64" s="174" t="n">
        <v>0.01</v>
      </c>
      <c r="AY64" s="175" t="n">
        <v>0.115</v>
      </c>
      <c r="AZ64" s="175" t="n">
        <v>0</v>
      </c>
      <c r="BA64" s="175" t="n">
        <v>-0.2</v>
      </c>
      <c r="BB64" s="174" t="n">
        <v>0.0025</v>
      </c>
      <c r="BC64" s="174" t="n">
        <v>-0.085</v>
      </c>
      <c r="BD64" s="174" t="n">
        <v>0.005</v>
      </c>
      <c r="BE64" s="174" t="n">
        <v>0.23</v>
      </c>
      <c r="BF64" s="174" t="n">
        <v>0.03</v>
      </c>
      <c r="BG64" s="174" t="n">
        <v>-0.0675</v>
      </c>
      <c r="BH64" s="174" t="n">
        <v>0</v>
      </c>
      <c r="BI64" s="174" t="n">
        <v>0.06</v>
      </c>
      <c r="BJ64" s="136" t="n">
        <v>0.03</v>
      </c>
      <c r="BK64" s="136" t="n">
        <v>0.23</v>
      </c>
      <c r="BL64" s="136" t="n">
        <v>0.03</v>
      </c>
      <c r="BM64" s="136" t="n">
        <v>-0.2</v>
      </c>
      <c r="BN64" s="136" t="n">
        <v>0</v>
      </c>
      <c r="BO64" s="136" t="n">
        <v>-0.42</v>
      </c>
      <c r="BP64" s="136" t="n">
        <v>0.02</v>
      </c>
      <c r="BQ64" s="136" t="n">
        <v>0.5</v>
      </c>
      <c r="BR64" s="136" t="n">
        <v>0.03</v>
      </c>
      <c r="BS64" s="136" t="n">
        <v>-0.085</v>
      </c>
      <c r="BT64" s="136" t="n">
        <v>0.005</v>
      </c>
      <c r="BU64" s="136" t="n">
        <v>0.3</v>
      </c>
      <c r="BV64" s="136" t="n">
        <v>0</v>
      </c>
      <c r="BW64" s="136" t="n">
        <v>0.23</v>
      </c>
      <c r="BX64" s="136" t="n">
        <v>0</v>
      </c>
      <c r="BY64" s="136" t="n">
        <v>-0.025</v>
      </c>
      <c r="BZ64" s="136" t="n">
        <v>0.0575</v>
      </c>
      <c r="CA64" s="136" t="n">
        <v>0.125</v>
      </c>
      <c r="CB64" s="136" t="n">
        <v>0.005</v>
      </c>
      <c r="CC64" s="136" t="n">
        <v>-0.025</v>
      </c>
      <c r="CD64" s="136" t="n">
        <v>0.0035</v>
      </c>
      <c r="CE64" s="136" t="n">
        <v>0.0025</v>
      </c>
      <c r="CF64" s="136" t="n">
        <v>0</v>
      </c>
      <c r="CG64" s="136" t="n">
        <v>-0.025</v>
      </c>
      <c r="CH64" s="136" t="n">
        <v>0.0035</v>
      </c>
      <c r="CI64" s="136" t="n">
        <v>-0.0855</v>
      </c>
      <c r="CJ64" s="136" t="n">
        <v>0.0025</v>
      </c>
      <c r="CK64" s="136" t="n">
        <v>0.0775</v>
      </c>
      <c r="CL64" s="136" t="n">
        <v>0.0025</v>
      </c>
      <c r="CM64" s="136" t="n">
        <v>-0.0725</v>
      </c>
      <c r="CN64" s="136" t="n">
        <v>0.0075</v>
      </c>
      <c r="CO64" s="136" t="n">
        <v>-0.0175</v>
      </c>
      <c r="CP64" s="136" t="n">
        <v>0.005</v>
      </c>
      <c r="CQ64" s="136" t="n">
        <v>0.0225</v>
      </c>
      <c r="CR64" s="136" t="n">
        <v>0.0075</v>
      </c>
      <c r="CS64" s="136" t="n">
        <v>0.36</v>
      </c>
      <c r="CT64" s="136" t="n">
        <v>0.01</v>
      </c>
      <c r="CU64" s="136" t="n">
        <v>-0.2</v>
      </c>
      <c r="CV64" s="136" t="n">
        <v>0</v>
      </c>
      <c r="CW64" s="136" t="n">
        <v>0.145</v>
      </c>
      <c r="CX64" s="136" t="n">
        <v>0.0075</v>
      </c>
      <c r="CY64" s="136" t="n">
        <v>-0.68</v>
      </c>
      <c r="CZ64" s="136" t="n">
        <v>0</v>
      </c>
      <c r="DA64" s="136" t="n">
        <v>-0.5</v>
      </c>
      <c r="DB64" s="136" t="n">
        <v>0</v>
      </c>
      <c r="DC64" s="136" t="n">
        <v>0.75</v>
      </c>
      <c r="DE64" s="136" t="n">
        <v>-0.055</v>
      </c>
      <c r="DF64" s="136" t="n">
        <v>0.0075</v>
      </c>
      <c r="DG64" s="136" t="n">
        <v>0.0075</v>
      </c>
      <c r="DH64" s="136" t="n">
        <v>0.0075</v>
      </c>
      <c r="DI64" s="136" t="n">
        <v>-0.02</v>
      </c>
      <c r="DJ64" s="136" t="n">
        <v>0.0075</v>
      </c>
      <c r="DK64" s="136" t="n">
        <v>-0.0655</v>
      </c>
      <c r="DL64" s="136" t="n">
        <v>0.005</v>
      </c>
      <c r="DM64" s="136" t="n">
        <v>-0.065</v>
      </c>
      <c r="DN64" s="136" t="n">
        <v>0.0025</v>
      </c>
      <c r="DO64" s="136" t="n">
        <v>-0.085</v>
      </c>
      <c r="DP64" s="136" t="n">
        <v>0.0025</v>
      </c>
      <c r="DQ64" s="136" t="n">
        <v>-0.0955</v>
      </c>
      <c r="DR64" s="136" t="n">
        <v>-0.005</v>
      </c>
      <c r="DS64" s="136" t="n">
        <v>0.315</v>
      </c>
      <c r="DT64" s="136" t="n">
        <v>-0.005</v>
      </c>
      <c r="DU64" s="136" t="n">
        <v>-0.12</v>
      </c>
      <c r="DV64" s="136" t="n">
        <v>0</v>
      </c>
    </row>
    <row r="65" customFormat="false" ht="12.75" hidden="false" customHeight="false" outlineLevel="0" collapsed="false">
      <c r="D65" s="135" t="n">
        <v>38626</v>
      </c>
      <c r="F65" s="174" t="n">
        <v>3.412</v>
      </c>
      <c r="G65" s="175" t="n">
        <v>0.0490091513549218</v>
      </c>
      <c r="H65" s="174" t="n">
        <v>0.285</v>
      </c>
      <c r="I65" s="174" t="n">
        <v>0.6</v>
      </c>
      <c r="J65" s="174" t="n">
        <v>0.6</v>
      </c>
      <c r="K65" s="174" t="n">
        <v>0.55</v>
      </c>
      <c r="L65" s="172" t="n">
        <v>0.6</v>
      </c>
      <c r="M65" s="172" t="n">
        <v>0.6</v>
      </c>
      <c r="N65" s="174" t="n">
        <v>0.65</v>
      </c>
      <c r="O65" s="174" t="n">
        <v>0.65</v>
      </c>
      <c r="P65" s="174" t="n">
        <v>0.6</v>
      </c>
      <c r="Q65" s="174" t="n">
        <v>0.5</v>
      </c>
      <c r="R65" s="175" t="n">
        <v>0.6</v>
      </c>
      <c r="S65" s="175" t="n">
        <v>0.65</v>
      </c>
      <c r="T65" s="174" t="n">
        <v>0.6</v>
      </c>
      <c r="U65" s="174" t="n">
        <v>0.65</v>
      </c>
      <c r="V65" s="174" t="n">
        <v>0.7</v>
      </c>
      <c r="W65" s="174" t="n">
        <v>-0.09</v>
      </c>
      <c r="X65" s="174" t="n">
        <v>0</v>
      </c>
      <c r="Y65" s="174" t="n">
        <v>0.04</v>
      </c>
      <c r="Z65" s="174" t="n">
        <v>0.005</v>
      </c>
      <c r="AA65" s="174" t="n">
        <v>0.175</v>
      </c>
      <c r="AB65" s="174" t="n">
        <v>0</v>
      </c>
      <c r="AC65" s="174" t="n">
        <v>0.145</v>
      </c>
      <c r="AD65" s="174" t="n">
        <v>0</v>
      </c>
      <c r="AE65" s="174" t="n">
        <v>0.175</v>
      </c>
      <c r="AF65" s="174" t="n">
        <v>0</v>
      </c>
      <c r="AG65" s="174" t="n">
        <v>0.13</v>
      </c>
      <c r="AH65" s="174" t="n">
        <v>0</v>
      </c>
      <c r="AI65" s="174" t="n">
        <v>0.14</v>
      </c>
      <c r="AJ65" s="174" t="n">
        <v>0</v>
      </c>
      <c r="AK65" s="174" t="n">
        <v>0.04</v>
      </c>
      <c r="AL65" s="174" t="n">
        <v>0.04</v>
      </c>
      <c r="AM65" s="174" t="n">
        <v>-0.0675</v>
      </c>
      <c r="AN65" s="174" t="n">
        <v>0.013</v>
      </c>
      <c r="AO65" s="174" t="n">
        <v>-0.42</v>
      </c>
      <c r="AP65" s="174" t="n">
        <v>0.155</v>
      </c>
      <c r="AQ65" s="174" t="n">
        <v>-0.0625</v>
      </c>
      <c r="AR65" s="174" t="n">
        <v>0</v>
      </c>
      <c r="AS65" s="174" t="n">
        <v>-0.15</v>
      </c>
      <c r="AT65" s="174" t="n">
        <v>-0.015</v>
      </c>
      <c r="AU65" s="174" t="n">
        <v>-0.11</v>
      </c>
      <c r="AV65" s="174" t="n">
        <v>0.02</v>
      </c>
      <c r="AW65" s="174" t="n">
        <v>-0.09</v>
      </c>
      <c r="AX65" s="174" t="n">
        <v>0.01</v>
      </c>
      <c r="AY65" s="175" t="n">
        <v>0.115</v>
      </c>
      <c r="AZ65" s="175" t="n">
        <v>0</v>
      </c>
      <c r="BA65" s="175" t="n">
        <v>-0.2</v>
      </c>
      <c r="BB65" s="174" t="n">
        <v>0.0025</v>
      </c>
      <c r="BC65" s="174" t="n">
        <v>-0.085</v>
      </c>
      <c r="BD65" s="174" t="n">
        <v>0.005</v>
      </c>
      <c r="BE65" s="174" t="n">
        <v>0.23</v>
      </c>
      <c r="BF65" s="174" t="n">
        <v>0.03</v>
      </c>
      <c r="BG65" s="174" t="n">
        <v>-0.0675</v>
      </c>
      <c r="BH65" s="174" t="n">
        <v>0</v>
      </c>
      <c r="BI65" s="174" t="n">
        <v>0.06</v>
      </c>
      <c r="BJ65" s="136" t="n">
        <v>0.03</v>
      </c>
      <c r="BK65" s="136" t="n">
        <v>0.23</v>
      </c>
      <c r="BL65" s="136" t="n">
        <v>0.03</v>
      </c>
      <c r="BM65" s="136" t="n">
        <v>-0.2</v>
      </c>
      <c r="BN65" s="136" t="n">
        <v>0</v>
      </c>
      <c r="BO65" s="136" t="n">
        <v>-0.42</v>
      </c>
      <c r="BP65" s="136" t="n">
        <v>0.02</v>
      </c>
      <c r="BQ65" s="136" t="n">
        <v>0.5</v>
      </c>
      <c r="BR65" s="136" t="n">
        <v>0.03</v>
      </c>
      <c r="BS65" s="136" t="n">
        <v>-0.085</v>
      </c>
      <c r="BT65" s="136" t="n">
        <v>0.005</v>
      </c>
      <c r="BU65" s="136" t="n">
        <v>0.3</v>
      </c>
      <c r="BV65" s="136" t="n">
        <v>0</v>
      </c>
      <c r="BW65" s="136" t="n">
        <v>0.23</v>
      </c>
      <c r="BX65" s="136" t="n">
        <v>0</v>
      </c>
      <c r="BY65" s="136" t="n">
        <v>-0.025</v>
      </c>
      <c r="BZ65" s="136" t="n">
        <v>0.0575</v>
      </c>
      <c r="CA65" s="136" t="n">
        <v>0.145</v>
      </c>
      <c r="CB65" s="136" t="n">
        <v>0.005</v>
      </c>
      <c r="CC65" s="136" t="n">
        <v>-0.025</v>
      </c>
      <c r="CD65" s="136" t="n">
        <v>0.0035</v>
      </c>
      <c r="CE65" s="136" t="n">
        <v>0.0025</v>
      </c>
      <c r="CF65" s="136" t="n">
        <v>0</v>
      </c>
      <c r="CG65" s="136" t="n">
        <v>-0.025</v>
      </c>
      <c r="CH65" s="136" t="n">
        <v>0.0035</v>
      </c>
      <c r="CI65" s="136" t="n">
        <v>-0.088</v>
      </c>
      <c r="CJ65" s="136" t="n">
        <v>0.0025</v>
      </c>
      <c r="CK65" s="136" t="n">
        <v>0.0775</v>
      </c>
      <c r="CL65" s="136" t="n">
        <v>0.0025</v>
      </c>
      <c r="CM65" s="136" t="n">
        <v>-0.0725</v>
      </c>
      <c r="CN65" s="136" t="n">
        <v>0.0075</v>
      </c>
      <c r="CO65" s="136" t="n">
        <v>-0.0175</v>
      </c>
      <c r="CP65" s="136" t="n">
        <v>0.005</v>
      </c>
      <c r="CQ65" s="136" t="n">
        <v>0.0225</v>
      </c>
      <c r="CR65" s="136" t="n">
        <v>0.0075</v>
      </c>
      <c r="CS65" s="136" t="n">
        <v>0.4</v>
      </c>
      <c r="CT65" s="136" t="n">
        <v>0.01</v>
      </c>
      <c r="CU65" s="136" t="n">
        <v>-0.2</v>
      </c>
      <c r="CV65" s="136" t="n">
        <v>0</v>
      </c>
      <c r="CW65" s="136" t="n">
        <v>0.175</v>
      </c>
      <c r="CX65" s="136" t="n">
        <v>0.0075</v>
      </c>
      <c r="CY65" s="136" t="n">
        <v>-0.68</v>
      </c>
      <c r="CZ65" s="136" t="n">
        <v>0</v>
      </c>
      <c r="DA65" s="136" t="n">
        <v>-0.5</v>
      </c>
      <c r="DB65" s="136" t="n">
        <v>0</v>
      </c>
      <c r="DC65" s="136" t="n">
        <v>0.45</v>
      </c>
      <c r="DE65" s="136" t="n">
        <v>-0.055</v>
      </c>
      <c r="DF65" s="136" t="n">
        <v>0.0075</v>
      </c>
      <c r="DG65" s="136" t="n">
        <v>0.0075</v>
      </c>
      <c r="DH65" s="136" t="n">
        <v>0.0075</v>
      </c>
      <c r="DI65" s="136" t="n">
        <v>-0.02</v>
      </c>
      <c r="DJ65" s="136" t="n">
        <v>0.0075</v>
      </c>
      <c r="DK65" s="136" t="n">
        <v>-0.053</v>
      </c>
      <c r="DL65" s="136" t="n">
        <v>0.005</v>
      </c>
      <c r="DM65" s="136" t="n">
        <v>-0.065</v>
      </c>
      <c r="DN65" s="136" t="n">
        <v>0.0025</v>
      </c>
      <c r="DO65" s="136" t="n">
        <v>-0.085</v>
      </c>
      <c r="DP65" s="136" t="n">
        <v>0.0025</v>
      </c>
      <c r="DQ65" s="136" t="n">
        <v>-0.083</v>
      </c>
      <c r="DR65" s="136" t="n">
        <v>-0.005</v>
      </c>
      <c r="DS65" s="136" t="n">
        <v>0.36</v>
      </c>
      <c r="DT65" s="136" t="n">
        <v>-0.005</v>
      </c>
      <c r="DU65" s="136" t="n">
        <v>-0.12</v>
      </c>
      <c r="DV65" s="136" t="n">
        <v>0</v>
      </c>
    </row>
    <row r="66" customFormat="false" ht="12.75" hidden="false" customHeight="false" outlineLevel="0" collapsed="false">
      <c r="D66" s="135" t="n">
        <v>38657</v>
      </c>
      <c r="F66" s="174" t="n">
        <v>3.564</v>
      </c>
      <c r="G66" s="175" t="n">
        <v>0.0493920179871608</v>
      </c>
      <c r="H66" s="174" t="n">
        <v>0.285</v>
      </c>
      <c r="I66" s="174" t="n">
        <v>0.8</v>
      </c>
      <c r="J66" s="174" t="n">
        <v>0.85</v>
      </c>
      <c r="K66" s="174" t="n">
        <v>0.8</v>
      </c>
      <c r="L66" s="172" t="n">
        <v>0.8</v>
      </c>
      <c r="M66" s="172" t="n">
        <v>0.9</v>
      </c>
      <c r="N66" s="174" t="n">
        <v>0.95</v>
      </c>
      <c r="O66" s="174" t="n">
        <v>0.85</v>
      </c>
      <c r="P66" s="174" t="n">
        <v>0.8</v>
      </c>
      <c r="Q66" s="174" t="n">
        <v>0.95</v>
      </c>
      <c r="R66" s="175" t="n">
        <v>0.8</v>
      </c>
      <c r="S66" s="175" t="n">
        <v>0.8</v>
      </c>
      <c r="T66" s="174" t="n">
        <v>0.8</v>
      </c>
      <c r="U66" s="174" t="n">
        <v>0.95</v>
      </c>
      <c r="V66" s="174" t="n">
        <v>0.9</v>
      </c>
      <c r="W66" s="174" t="n">
        <v>0</v>
      </c>
      <c r="X66" s="174" t="n">
        <v>0.03</v>
      </c>
      <c r="Y66" s="174" t="n">
        <v>0.125</v>
      </c>
      <c r="Z66" s="174" t="n">
        <v>0.02</v>
      </c>
      <c r="AA66" s="174" t="n">
        <v>0.38</v>
      </c>
      <c r="AB66" s="174" t="n">
        <v>0</v>
      </c>
      <c r="AC66" s="174" t="n">
        <v>0.38</v>
      </c>
      <c r="AD66" s="174" t="n">
        <v>0</v>
      </c>
      <c r="AE66" s="174" t="n">
        <v>0.38</v>
      </c>
      <c r="AF66" s="174" t="n">
        <v>0</v>
      </c>
      <c r="AG66" s="174" t="n">
        <v>0.22</v>
      </c>
      <c r="AH66" s="174" t="n">
        <v>0</v>
      </c>
      <c r="AI66" s="174" t="n">
        <v>0.19904</v>
      </c>
      <c r="AJ66" s="174" t="n">
        <v>0</v>
      </c>
      <c r="AK66" s="174" t="n">
        <v>0.125</v>
      </c>
      <c r="AL66" s="174" t="n">
        <v>0.035</v>
      </c>
      <c r="AM66" s="174" t="n">
        <v>-0.08</v>
      </c>
      <c r="AN66" s="174" t="n">
        <v>0.008</v>
      </c>
      <c r="AO66" s="174" t="n">
        <v>-0.385</v>
      </c>
      <c r="AP66" s="174" t="n">
        <v>0.155</v>
      </c>
      <c r="AQ66" s="174" t="n">
        <v>-0.06</v>
      </c>
      <c r="AR66" s="174" t="n">
        <v>0.005</v>
      </c>
      <c r="AS66" s="174" t="n">
        <v>-0.15</v>
      </c>
      <c r="AT66" s="174" t="n">
        <v>-0.005</v>
      </c>
      <c r="AU66" s="174" t="n">
        <v>-0.11</v>
      </c>
      <c r="AV66" s="174" t="n">
        <v>-0.01</v>
      </c>
      <c r="AW66" s="174" t="n">
        <v>-0.09</v>
      </c>
      <c r="AX66" s="174" t="n">
        <v>0.005</v>
      </c>
      <c r="AY66" s="175" t="n">
        <v>0.155</v>
      </c>
      <c r="AZ66" s="175" t="n">
        <v>0</v>
      </c>
      <c r="BA66" s="175" t="n">
        <v>-0.13</v>
      </c>
      <c r="BB66" s="174" t="n">
        <v>0.005</v>
      </c>
      <c r="BC66" s="174" t="n">
        <v>-0.085</v>
      </c>
      <c r="BD66" s="174" t="n">
        <v>0.005</v>
      </c>
      <c r="BE66" s="174" t="n">
        <v>0.24</v>
      </c>
      <c r="BF66" s="174" t="n">
        <v>0.032</v>
      </c>
      <c r="BG66" s="174" t="n">
        <v>-0.0675</v>
      </c>
      <c r="BH66" s="174" t="n">
        <v>0</v>
      </c>
      <c r="BI66" s="174" t="n">
        <v>0.15</v>
      </c>
      <c r="BJ66" s="136" t="n">
        <v>0.03</v>
      </c>
      <c r="BK66" s="136" t="n">
        <v>0.24</v>
      </c>
      <c r="BL66" s="136" t="n">
        <v>0.032</v>
      </c>
      <c r="BM66" s="136" t="n">
        <v>0.298</v>
      </c>
      <c r="BN66" s="136" t="n">
        <v>0</v>
      </c>
      <c r="BO66" s="136" t="n">
        <v>-0.26</v>
      </c>
      <c r="BP66" s="136" t="n">
        <v>0.035</v>
      </c>
      <c r="BQ66" s="136" t="n">
        <v>0.5</v>
      </c>
      <c r="BR66" s="136" t="n">
        <v>0.032</v>
      </c>
      <c r="BS66" s="136" t="n">
        <v>-0.085</v>
      </c>
      <c r="BT66" s="136" t="n">
        <v>0.005</v>
      </c>
      <c r="BU66" s="136" t="n">
        <v>0.3</v>
      </c>
      <c r="BV66" s="136" t="n">
        <v>0</v>
      </c>
      <c r="BW66" s="136" t="n">
        <v>0.24</v>
      </c>
      <c r="BX66" s="136" t="n">
        <v>0</v>
      </c>
      <c r="BY66" s="136" t="n">
        <v>-0.025</v>
      </c>
      <c r="BZ66" s="136" t="n">
        <v>0.0575</v>
      </c>
      <c r="CA66" s="136" t="n">
        <v>0.195</v>
      </c>
      <c r="CB66" s="136" t="n">
        <v>0.005</v>
      </c>
      <c r="CC66" s="136" t="n">
        <v>-0.025</v>
      </c>
      <c r="CD66" s="136" t="n">
        <v>0.0037</v>
      </c>
      <c r="CE66" s="136" t="n">
        <v>0.0025</v>
      </c>
      <c r="CF66" s="136" t="n">
        <v>0</v>
      </c>
      <c r="CG66" s="136" t="n">
        <v>-0.025</v>
      </c>
      <c r="CH66" s="136" t="n">
        <v>0.0037</v>
      </c>
      <c r="CI66" s="136" t="n">
        <v>-0.093</v>
      </c>
      <c r="CJ66" s="136" t="n">
        <v>0.0025</v>
      </c>
      <c r="CK66" s="136" t="n">
        <v>0.075</v>
      </c>
      <c r="CL66" s="136" t="n">
        <v>0.0025</v>
      </c>
      <c r="CM66" s="136" t="n">
        <v>-0.0665</v>
      </c>
      <c r="CN66" s="136" t="n">
        <v>0.01</v>
      </c>
      <c r="CO66" s="136" t="n">
        <v>-0.0115</v>
      </c>
      <c r="CP66" s="136" t="n">
        <v>0.0075</v>
      </c>
      <c r="CQ66" s="136" t="n">
        <v>0.0285</v>
      </c>
      <c r="CR66" s="136" t="n">
        <v>0.01</v>
      </c>
      <c r="CS66" s="136" t="n">
        <v>0.65</v>
      </c>
      <c r="CT66" s="136" t="n">
        <v>0.055</v>
      </c>
      <c r="CU66" s="136" t="n">
        <v>0.298</v>
      </c>
      <c r="CV66" s="136" t="n">
        <v>0</v>
      </c>
      <c r="CW66" s="136" t="n">
        <v>0.21</v>
      </c>
      <c r="CX66" s="136" t="n">
        <v>0.02</v>
      </c>
      <c r="CY66" s="136" t="n">
        <v>-0.52</v>
      </c>
      <c r="CZ66" s="136" t="n">
        <v>0</v>
      </c>
      <c r="DA66" s="136" t="n">
        <v>-0.34</v>
      </c>
      <c r="DB66" s="136" t="n">
        <v>0</v>
      </c>
      <c r="DC66" s="136" t="n">
        <v>0.45</v>
      </c>
      <c r="DE66" s="136" t="n">
        <v>-0.0475</v>
      </c>
      <c r="DF66" s="136" t="n">
        <v>0.0125</v>
      </c>
      <c r="DG66" s="136" t="n">
        <v>0.005</v>
      </c>
      <c r="DH66" s="136" t="n">
        <v>0.0075</v>
      </c>
      <c r="DI66" s="136" t="n">
        <v>-0.0175</v>
      </c>
      <c r="DJ66" s="136" t="n">
        <v>0.0025</v>
      </c>
      <c r="DK66" s="136" t="n">
        <v>-0.058</v>
      </c>
      <c r="DL66" s="136" t="n">
        <v>0.0025</v>
      </c>
      <c r="DM66" s="136" t="n">
        <v>-0.0675</v>
      </c>
      <c r="DN66" s="136" t="n">
        <v>0.0025</v>
      </c>
      <c r="DO66" s="136" t="n">
        <v>-0.0875</v>
      </c>
      <c r="DP66" s="136" t="n">
        <v>0.0025</v>
      </c>
      <c r="DQ66" s="136" t="n">
        <v>-0.088</v>
      </c>
      <c r="DR66" s="136" t="n">
        <v>-0.005</v>
      </c>
      <c r="DS66" s="136" t="n">
        <v>0.46</v>
      </c>
      <c r="DT66" s="136" t="n">
        <v>0.05</v>
      </c>
      <c r="DU66" s="136" t="n">
        <v>0.083475</v>
      </c>
      <c r="DV66" s="136" t="n">
        <v>0</v>
      </c>
    </row>
    <row r="67" customFormat="false" ht="12.75" hidden="false" customHeight="false" outlineLevel="0" collapsed="false">
      <c r="D67" s="135" t="n">
        <v>38687</v>
      </c>
      <c r="F67" s="174" t="n">
        <v>3.707</v>
      </c>
      <c r="G67" s="175" t="n">
        <v>0.0497625341294907</v>
      </c>
      <c r="H67" s="174" t="n">
        <v>0.285</v>
      </c>
      <c r="I67" s="174" t="n">
        <v>1</v>
      </c>
      <c r="J67" s="174" t="n">
        <v>1.05</v>
      </c>
      <c r="K67" s="174" t="n">
        <v>1</v>
      </c>
      <c r="L67" s="172" t="n">
        <v>1</v>
      </c>
      <c r="M67" s="172" t="n">
        <v>1.15</v>
      </c>
      <c r="N67" s="174" t="n">
        <v>1.25</v>
      </c>
      <c r="O67" s="174" t="n">
        <v>1.05</v>
      </c>
      <c r="P67" s="174" t="n">
        <v>1</v>
      </c>
      <c r="Q67" s="174" t="n">
        <v>1.35</v>
      </c>
      <c r="R67" s="175" t="n">
        <v>1</v>
      </c>
      <c r="S67" s="175" t="n">
        <v>1.1</v>
      </c>
      <c r="T67" s="174" t="n">
        <v>1</v>
      </c>
      <c r="U67" s="174" t="n">
        <v>1.25</v>
      </c>
      <c r="V67" s="174" t="n">
        <v>1.1</v>
      </c>
      <c r="W67" s="174" t="n">
        <v>0.005</v>
      </c>
      <c r="X67" s="174" t="n">
        <v>0.03</v>
      </c>
      <c r="Y67" s="174" t="n">
        <v>0.125</v>
      </c>
      <c r="Z67" s="174" t="n">
        <v>0.02</v>
      </c>
      <c r="AA67" s="174" t="n">
        <v>0.38</v>
      </c>
      <c r="AB67" s="174" t="n">
        <v>0</v>
      </c>
      <c r="AC67" s="174" t="n">
        <v>0.38</v>
      </c>
      <c r="AD67" s="174" t="n">
        <v>0</v>
      </c>
      <c r="AE67" s="174" t="n">
        <v>0.38</v>
      </c>
      <c r="AF67" s="174" t="n">
        <v>0</v>
      </c>
      <c r="AG67" s="174" t="n">
        <v>0.22</v>
      </c>
      <c r="AH67" s="174" t="n">
        <v>0</v>
      </c>
      <c r="AI67" s="174" t="n">
        <v>0.20416</v>
      </c>
      <c r="AJ67" s="174" t="n">
        <v>0</v>
      </c>
      <c r="AK67" s="174" t="n">
        <v>0.125</v>
      </c>
      <c r="AL67" s="174" t="n">
        <v>0.035</v>
      </c>
      <c r="AM67" s="174" t="n">
        <v>-0.08</v>
      </c>
      <c r="AN67" s="174" t="n">
        <v>0.008</v>
      </c>
      <c r="AO67" s="174" t="n">
        <v>-0.385</v>
      </c>
      <c r="AP67" s="174" t="n">
        <v>0.155</v>
      </c>
      <c r="AQ67" s="174" t="n">
        <v>-0.06</v>
      </c>
      <c r="AR67" s="174" t="n">
        <v>0.005</v>
      </c>
      <c r="AS67" s="174" t="n">
        <v>-0.1525</v>
      </c>
      <c r="AT67" s="174" t="n">
        <v>-0.005</v>
      </c>
      <c r="AU67" s="174" t="n">
        <v>-0.1125</v>
      </c>
      <c r="AV67" s="174" t="n">
        <v>-0.01</v>
      </c>
      <c r="AW67" s="174" t="n">
        <v>-0.09</v>
      </c>
      <c r="AX67" s="174" t="n">
        <v>0.005</v>
      </c>
      <c r="AY67" s="175" t="n">
        <v>0.155</v>
      </c>
      <c r="AZ67" s="175" t="n">
        <v>0</v>
      </c>
      <c r="BA67" s="175" t="n">
        <v>-0.13</v>
      </c>
      <c r="BB67" s="174" t="n">
        <v>0.005</v>
      </c>
      <c r="BC67" s="174" t="n">
        <v>-0.085</v>
      </c>
      <c r="BD67" s="174" t="n">
        <v>0.005</v>
      </c>
      <c r="BE67" s="174" t="n">
        <v>0.24</v>
      </c>
      <c r="BF67" s="174" t="n">
        <v>0.032</v>
      </c>
      <c r="BG67" s="174" t="n">
        <v>-0.0675</v>
      </c>
      <c r="BH67" s="174" t="n">
        <v>0</v>
      </c>
      <c r="BI67" s="174" t="n">
        <v>0.15</v>
      </c>
      <c r="BJ67" s="136" t="n">
        <v>0.03</v>
      </c>
      <c r="BK67" s="136" t="n">
        <v>0.24</v>
      </c>
      <c r="BL67" s="136" t="n">
        <v>0.032</v>
      </c>
      <c r="BM67" s="136" t="n">
        <v>0.358</v>
      </c>
      <c r="BN67" s="136" t="n">
        <v>0</v>
      </c>
      <c r="BO67" s="136" t="n">
        <v>-0.26</v>
      </c>
      <c r="BP67" s="136" t="n">
        <v>0.035</v>
      </c>
      <c r="BQ67" s="136" t="n">
        <v>0.5</v>
      </c>
      <c r="BR67" s="136" t="n">
        <v>0.032</v>
      </c>
      <c r="BS67" s="136" t="n">
        <v>-0.085</v>
      </c>
      <c r="BT67" s="136" t="n">
        <v>0.005</v>
      </c>
      <c r="BU67" s="136" t="n">
        <v>0.3</v>
      </c>
      <c r="BV67" s="136" t="n">
        <v>0</v>
      </c>
      <c r="BW67" s="136" t="n">
        <v>0.24</v>
      </c>
      <c r="BX67" s="136" t="n">
        <v>0</v>
      </c>
      <c r="BY67" s="136" t="n">
        <v>-0.025</v>
      </c>
      <c r="BZ67" s="136" t="n">
        <v>0.0575</v>
      </c>
      <c r="CA67" s="136" t="n">
        <v>0.215</v>
      </c>
      <c r="CB67" s="136" t="n">
        <v>0.005</v>
      </c>
      <c r="CC67" s="136" t="n">
        <v>-0.025</v>
      </c>
      <c r="CD67" s="136" t="n">
        <v>0.0037</v>
      </c>
      <c r="CE67" s="136" t="n">
        <v>0.0025</v>
      </c>
      <c r="CF67" s="136" t="n">
        <v>0</v>
      </c>
      <c r="CG67" s="136" t="n">
        <v>-0.025</v>
      </c>
      <c r="CH67" s="136" t="n">
        <v>0.0037</v>
      </c>
      <c r="CI67" s="136" t="n">
        <v>-0.1205</v>
      </c>
      <c r="CJ67" s="136" t="n">
        <v>0.0025</v>
      </c>
      <c r="CK67" s="136" t="n">
        <v>0.075</v>
      </c>
      <c r="CL67" s="136" t="n">
        <v>0.0025</v>
      </c>
      <c r="CM67" s="136" t="n">
        <v>-0.0665</v>
      </c>
      <c r="CN67" s="136" t="n">
        <v>0.01</v>
      </c>
      <c r="CO67" s="136" t="n">
        <v>-0.0115</v>
      </c>
      <c r="CP67" s="136" t="n">
        <v>0.0075</v>
      </c>
      <c r="CQ67" s="136" t="n">
        <v>0.0285</v>
      </c>
      <c r="CR67" s="136" t="n">
        <v>0.01</v>
      </c>
      <c r="CS67" s="136" t="n">
        <v>0.98</v>
      </c>
      <c r="CT67" s="136" t="n">
        <v>0.25</v>
      </c>
      <c r="CU67" s="136" t="n">
        <v>0.358</v>
      </c>
      <c r="CV67" s="136" t="n">
        <v>0</v>
      </c>
      <c r="CW67" s="136" t="n">
        <v>0.29</v>
      </c>
      <c r="CX67" s="136" t="n">
        <v>0.02</v>
      </c>
      <c r="CY67" s="136" t="n">
        <v>-0.52</v>
      </c>
      <c r="CZ67" s="136" t="n">
        <v>0</v>
      </c>
      <c r="DA67" s="136" t="n">
        <v>-0.34</v>
      </c>
      <c r="DB67" s="136" t="n">
        <v>0</v>
      </c>
      <c r="DC67" s="136" t="n">
        <v>0.4</v>
      </c>
      <c r="DE67" s="136" t="n">
        <v>-0.0475</v>
      </c>
      <c r="DF67" s="136" t="n">
        <v>0.0125</v>
      </c>
      <c r="DG67" s="136" t="n">
        <v>0.005</v>
      </c>
      <c r="DH67" s="136" t="n">
        <v>0.0075</v>
      </c>
      <c r="DI67" s="136" t="n">
        <v>-0.0175</v>
      </c>
      <c r="DJ67" s="136" t="n">
        <v>0.0025</v>
      </c>
      <c r="DK67" s="136" t="n">
        <v>-0.0855</v>
      </c>
      <c r="DL67" s="136" t="n">
        <v>0.0025</v>
      </c>
      <c r="DM67" s="136" t="n">
        <v>-0.0675</v>
      </c>
      <c r="DN67" s="136" t="n">
        <v>0.0025</v>
      </c>
      <c r="DO67" s="136" t="n">
        <v>-0.0875</v>
      </c>
      <c r="DP67" s="136" t="n">
        <v>0.0025</v>
      </c>
      <c r="DQ67" s="136" t="n">
        <v>-0.1155</v>
      </c>
      <c r="DR67" s="136" t="n">
        <v>-0.005</v>
      </c>
      <c r="DS67" s="136" t="n">
        <v>0.77</v>
      </c>
      <c r="DT67" s="136" t="n">
        <v>0.05</v>
      </c>
      <c r="DU67" s="136" t="n">
        <v>0.081715</v>
      </c>
      <c r="DV67" s="136" t="n">
        <v>0</v>
      </c>
    </row>
    <row r="68" customFormat="false" ht="12.75" hidden="false" customHeight="false" outlineLevel="0" collapsed="false">
      <c r="D68" s="135" t="n">
        <v>38718</v>
      </c>
      <c r="F68" s="174" t="n">
        <v>3.762</v>
      </c>
      <c r="G68" s="175" t="n">
        <v>0.0501238670100874</v>
      </c>
      <c r="H68" s="174" t="n">
        <v>0.285</v>
      </c>
      <c r="I68" s="174" t="n">
        <v>1</v>
      </c>
      <c r="J68" s="174" t="n">
        <v>1.05</v>
      </c>
      <c r="K68" s="174" t="n">
        <v>1</v>
      </c>
      <c r="L68" s="172" t="n">
        <v>1</v>
      </c>
      <c r="M68" s="172" t="n">
        <v>1.15</v>
      </c>
      <c r="N68" s="174" t="n">
        <v>1.45</v>
      </c>
      <c r="O68" s="174" t="n">
        <v>1.05</v>
      </c>
      <c r="P68" s="174" t="n">
        <v>1</v>
      </c>
      <c r="Q68" s="174" t="n">
        <v>1.35</v>
      </c>
      <c r="R68" s="175" t="n">
        <v>1</v>
      </c>
      <c r="S68" s="175" t="n">
        <v>1.1</v>
      </c>
      <c r="T68" s="174" t="n">
        <v>1</v>
      </c>
      <c r="U68" s="174" t="n">
        <v>1.45</v>
      </c>
      <c r="V68" s="174" t="n">
        <v>1.1</v>
      </c>
      <c r="W68" s="174" t="n">
        <v>0.025</v>
      </c>
      <c r="X68" s="174" t="n">
        <v>0.03</v>
      </c>
      <c r="Y68" s="174" t="n">
        <v>0.125</v>
      </c>
      <c r="Z68" s="174" t="n">
        <v>0.02</v>
      </c>
      <c r="AA68" s="174" t="n">
        <v>0.38</v>
      </c>
      <c r="AB68" s="174" t="n">
        <v>0</v>
      </c>
      <c r="AC68" s="174" t="n">
        <v>0.38</v>
      </c>
      <c r="AD68" s="174" t="n">
        <v>0</v>
      </c>
      <c r="AE68" s="174" t="n">
        <v>0.38</v>
      </c>
      <c r="AF68" s="174" t="n">
        <v>0</v>
      </c>
      <c r="AG68" s="174" t="n">
        <v>0.22</v>
      </c>
      <c r="AH68" s="174" t="n">
        <v>0</v>
      </c>
      <c r="AI68" s="174" t="n">
        <v>0.20568</v>
      </c>
      <c r="AJ68" s="174" t="n">
        <v>0</v>
      </c>
      <c r="AK68" s="174" t="n">
        <v>0.125</v>
      </c>
      <c r="AL68" s="174" t="n">
        <v>0.035</v>
      </c>
      <c r="AM68" s="174" t="n">
        <v>-0.08</v>
      </c>
      <c r="AN68" s="174" t="n">
        <v>0.008</v>
      </c>
      <c r="AO68" s="174" t="n">
        <v>-0.385</v>
      </c>
      <c r="AP68" s="174" t="n">
        <v>0.155</v>
      </c>
      <c r="AQ68" s="174" t="n">
        <v>-0.06</v>
      </c>
      <c r="AR68" s="174" t="n">
        <v>0.005</v>
      </c>
      <c r="AS68" s="174" t="n">
        <v>-0.155</v>
      </c>
      <c r="AT68" s="174" t="n">
        <v>-0.005</v>
      </c>
      <c r="AU68" s="174" t="n">
        <v>-0.115</v>
      </c>
      <c r="AV68" s="174" t="n">
        <v>-0.01</v>
      </c>
      <c r="AW68" s="174" t="n">
        <v>-0.07</v>
      </c>
      <c r="AX68" s="174" t="n">
        <v>0.005</v>
      </c>
      <c r="AY68" s="175" t="n">
        <v>0.155</v>
      </c>
      <c r="AZ68" s="175" t="n">
        <v>0</v>
      </c>
      <c r="BA68" s="175" t="n">
        <v>-0.13</v>
      </c>
      <c r="BB68" s="174" t="n">
        <v>0.005</v>
      </c>
      <c r="BC68" s="174" t="n">
        <v>-0.075</v>
      </c>
      <c r="BD68" s="174" t="n">
        <v>0.005</v>
      </c>
      <c r="BE68" s="174" t="n">
        <v>0.24</v>
      </c>
      <c r="BF68" s="174" t="n">
        <v>0.032</v>
      </c>
      <c r="BG68" s="174" t="n">
        <v>-0.065</v>
      </c>
      <c r="BH68" s="174" t="n">
        <v>0</v>
      </c>
      <c r="BI68" s="174" t="n">
        <v>0.15</v>
      </c>
      <c r="BJ68" s="136" t="n">
        <v>0.03</v>
      </c>
      <c r="BK68" s="136" t="n">
        <v>0.24</v>
      </c>
      <c r="BL68" s="136" t="n">
        <v>0.032</v>
      </c>
      <c r="BM68" s="136" t="n">
        <v>0.428</v>
      </c>
      <c r="BN68" s="136" t="n">
        <v>0</v>
      </c>
      <c r="BO68" s="136" t="n">
        <v>-0.26</v>
      </c>
      <c r="BP68" s="136" t="n">
        <v>0.035</v>
      </c>
      <c r="BQ68" s="136" t="n">
        <v>0.5</v>
      </c>
      <c r="BR68" s="136" t="n">
        <v>0.032</v>
      </c>
      <c r="BS68" s="136" t="n">
        <v>-0.075</v>
      </c>
      <c r="BT68" s="136" t="n">
        <v>0.005</v>
      </c>
      <c r="BU68" s="136" t="n">
        <v>0.3</v>
      </c>
      <c r="BV68" s="136" t="n">
        <v>0</v>
      </c>
      <c r="BW68" s="136" t="n">
        <v>0.24</v>
      </c>
      <c r="BX68" s="136" t="n">
        <v>0</v>
      </c>
      <c r="BY68" s="136" t="n">
        <v>-0.023</v>
      </c>
      <c r="BZ68" s="136" t="n">
        <v>0.0575</v>
      </c>
      <c r="CA68" s="136" t="n">
        <v>0.235</v>
      </c>
      <c r="CB68" s="136" t="n">
        <v>0.005</v>
      </c>
      <c r="CC68" s="136" t="n">
        <v>-0.023</v>
      </c>
      <c r="CD68" s="136" t="n">
        <v>0.0037</v>
      </c>
      <c r="CE68" s="136" t="n">
        <v>0.0025</v>
      </c>
      <c r="CF68" s="136" t="n">
        <v>0</v>
      </c>
      <c r="CG68" s="136" t="n">
        <v>-0.023</v>
      </c>
      <c r="CH68" s="136" t="n">
        <v>0.0037</v>
      </c>
      <c r="CI68" s="136" t="n">
        <v>-0.1185</v>
      </c>
      <c r="CJ68" s="136" t="n">
        <v>0.0025</v>
      </c>
      <c r="CK68" s="136" t="n">
        <v>0.075</v>
      </c>
      <c r="CL68" s="136" t="n">
        <v>0.0025</v>
      </c>
      <c r="CM68" s="136" t="n">
        <v>-0.0665</v>
      </c>
      <c r="CN68" s="136" t="n">
        <v>0.01</v>
      </c>
      <c r="CO68" s="136" t="n">
        <v>-0.0115</v>
      </c>
      <c r="CP68" s="136" t="n">
        <v>0.0075</v>
      </c>
      <c r="CQ68" s="136" t="n">
        <v>0.0285</v>
      </c>
      <c r="CR68" s="136" t="n">
        <v>0.01</v>
      </c>
      <c r="CS68" s="136" t="n">
        <v>1.6</v>
      </c>
      <c r="CT68" s="136" t="n">
        <v>0.45</v>
      </c>
      <c r="CU68" s="136" t="n">
        <v>0.428</v>
      </c>
      <c r="CV68" s="136" t="n">
        <v>0</v>
      </c>
      <c r="CW68" s="136" t="n">
        <v>0.34</v>
      </c>
      <c r="CX68" s="136" t="n">
        <v>0.02</v>
      </c>
      <c r="CY68" s="136" t="n">
        <v>-0.52</v>
      </c>
      <c r="CZ68" s="136" t="n">
        <v>0</v>
      </c>
      <c r="DA68" s="136" t="n">
        <v>-0.34</v>
      </c>
      <c r="DB68" s="136" t="n">
        <v>0</v>
      </c>
      <c r="DC68" s="136" t="n">
        <v>0.35</v>
      </c>
      <c r="DE68" s="136" t="n">
        <v>-0.0475</v>
      </c>
      <c r="DF68" s="136" t="n">
        <v>0.0125</v>
      </c>
      <c r="DG68" s="136" t="n">
        <v>0.005</v>
      </c>
      <c r="DH68" s="136" t="n">
        <v>0.0075</v>
      </c>
      <c r="DI68" s="136" t="n">
        <v>-0.0175</v>
      </c>
      <c r="DJ68" s="136" t="n">
        <v>0.0025</v>
      </c>
      <c r="DK68" s="136" t="n">
        <v>-0.1005</v>
      </c>
      <c r="DL68" s="136" t="n">
        <v>0.0025</v>
      </c>
      <c r="DM68" s="136" t="n">
        <v>-0.0675</v>
      </c>
      <c r="DN68" s="136" t="n">
        <v>0.0025</v>
      </c>
      <c r="DO68" s="136" t="n">
        <v>-0.0875</v>
      </c>
      <c r="DP68" s="136" t="n">
        <v>0.0025</v>
      </c>
      <c r="DQ68" s="136" t="n">
        <v>-0.1305</v>
      </c>
      <c r="DR68" s="136" t="n">
        <v>-0.005</v>
      </c>
      <c r="DS68" s="136" t="n">
        <v>1.04</v>
      </c>
      <c r="DT68" s="136" t="n">
        <v>0.05</v>
      </c>
      <c r="DU68" s="136" t="n">
        <v>0.0811925</v>
      </c>
      <c r="DV68" s="136" t="n">
        <v>0</v>
      </c>
    </row>
    <row r="69" customFormat="false" ht="12.75" hidden="false" customHeight="false" outlineLevel="0" collapsed="false">
      <c r="D69" s="135" t="n">
        <v>38749</v>
      </c>
      <c r="F69" s="174" t="n">
        <v>3.677</v>
      </c>
      <c r="G69" s="175" t="n">
        <v>0.0504460474790935</v>
      </c>
      <c r="H69" s="174" t="n">
        <v>0.28</v>
      </c>
      <c r="I69" s="174" t="n">
        <v>1</v>
      </c>
      <c r="J69" s="174" t="n">
        <v>1.05</v>
      </c>
      <c r="K69" s="174" t="n">
        <v>1</v>
      </c>
      <c r="L69" s="172" t="n">
        <v>1</v>
      </c>
      <c r="M69" s="172" t="n">
        <v>1.15</v>
      </c>
      <c r="N69" s="174" t="n">
        <v>1.45</v>
      </c>
      <c r="O69" s="174" t="n">
        <v>1.05</v>
      </c>
      <c r="P69" s="174" t="n">
        <v>1</v>
      </c>
      <c r="Q69" s="174" t="n">
        <v>1.35</v>
      </c>
      <c r="R69" s="175" t="n">
        <v>1</v>
      </c>
      <c r="S69" s="175" t="n">
        <v>1.1</v>
      </c>
      <c r="T69" s="174" t="n">
        <v>1</v>
      </c>
      <c r="U69" s="174" t="n">
        <v>1.45</v>
      </c>
      <c r="V69" s="174" t="n">
        <v>1.1</v>
      </c>
      <c r="W69" s="174" t="n">
        <v>0.02</v>
      </c>
      <c r="X69" s="174" t="n">
        <v>0.03</v>
      </c>
      <c r="Y69" s="174" t="n">
        <v>0.125</v>
      </c>
      <c r="Z69" s="174" t="n">
        <v>0.02</v>
      </c>
      <c r="AA69" s="174" t="n">
        <v>0.38</v>
      </c>
      <c r="AB69" s="174" t="n">
        <v>0</v>
      </c>
      <c r="AC69" s="174" t="n">
        <v>0.38</v>
      </c>
      <c r="AD69" s="174" t="n">
        <v>0</v>
      </c>
      <c r="AE69" s="174" t="n">
        <v>0.38</v>
      </c>
      <c r="AF69" s="174" t="n">
        <v>0</v>
      </c>
      <c r="AG69" s="174" t="n">
        <v>0.22</v>
      </c>
      <c r="AH69" s="174" t="n">
        <v>0</v>
      </c>
      <c r="AI69" s="174" t="n">
        <v>0.20312</v>
      </c>
      <c r="AJ69" s="174" t="n">
        <v>0</v>
      </c>
      <c r="AK69" s="174" t="n">
        <v>0.125</v>
      </c>
      <c r="AL69" s="174" t="n">
        <v>0.035</v>
      </c>
      <c r="AM69" s="174" t="n">
        <v>-0.08</v>
      </c>
      <c r="AN69" s="174" t="n">
        <v>0.008</v>
      </c>
      <c r="AO69" s="174" t="n">
        <v>-0.385</v>
      </c>
      <c r="AP69" s="174" t="n">
        <v>0.155</v>
      </c>
      <c r="AQ69" s="174" t="n">
        <v>-0.06</v>
      </c>
      <c r="AR69" s="174" t="n">
        <v>0.005</v>
      </c>
      <c r="AS69" s="174" t="n">
        <v>-0.1475</v>
      </c>
      <c r="AT69" s="174" t="n">
        <v>-0.005</v>
      </c>
      <c r="AU69" s="174" t="n">
        <v>-0.1075</v>
      </c>
      <c r="AV69" s="174" t="n">
        <v>-0.01</v>
      </c>
      <c r="AW69" s="174" t="n">
        <v>-0.07</v>
      </c>
      <c r="AX69" s="174" t="n">
        <v>0.005</v>
      </c>
      <c r="AY69" s="175" t="n">
        <v>0.155</v>
      </c>
      <c r="AZ69" s="175" t="n">
        <v>0</v>
      </c>
      <c r="BA69" s="175" t="n">
        <v>-0.13</v>
      </c>
      <c r="BB69" s="174" t="n">
        <v>0.005</v>
      </c>
      <c r="BC69" s="174" t="n">
        <v>-0.075</v>
      </c>
      <c r="BD69" s="174" t="n">
        <v>0.005</v>
      </c>
      <c r="BE69" s="174" t="n">
        <v>0.24</v>
      </c>
      <c r="BF69" s="174" t="n">
        <v>0.032</v>
      </c>
      <c r="BG69" s="174" t="n">
        <v>-0.065</v>
      </c>
      <c r="BH69" s="174" t="n">
        <v>0</v>
      </c>
      <c r="BI69" s="174" t="n">
        <v>0.15</v>
      </c>
      <c r="BJ69" s="136" t="n">
        <v>0.03</v>
      </c>
      <c r="BK69" s="136" t="n">
        <v>0.24</v>
      </c>
      <c r="BL69" s="136" t="n">
        <v>0.032</v>
      </c>
      <c r="BM69" s="136" t="n">
        <v>0.298</v>
      </c>
      <c r="BN69" s="136" t="n">
        <v>0</v>
      </c>
      <c r="BO69" s="136" t="n">
        <v>-0.26</v>
      </c>
      <c r="BP69" s="136" t="n">
        <v>0.035</v>
      </c>
      <c r="BQ69" s="136" t="n">
        <v>0.5</v>
      </c>
      <c r="BR69" s="136" t="n">
        <v>0.032</v>
      </c>
      <c r="BS69" s="136" t="n">
        <v>-0.075</v>
      </c>
      <c r="BT69" s="136" t="n">
        <v>0.005</v>
      </c>
      <c r="BU69" s="136" t="n">
        <v>0.3</v>
      </c>
      <c r="BV69" s="136" t="n">
        <v>0</v>
      </c>
      <c r="BW69" s="136" t="n">
        <v>0.24</v>
      </c>
      <c r="BX69" s="136" t="n">
        <v>0</v>
      </c>
      <c r="BY69" s="136" t="n">
        <v>-0.023</v>
      </c>
      <c r="BZ69" s="136" t="n">
        <v>0.0575</v>
      </c>
      <c r="CA69" s="136" t="n">
        <v>0.235</v>
      </c>
      <c r="CB69" s="136" t="n">
        <v>0.005</v>
      </c>
      <c r="CC69" s="136" t="n">
        <v>-0.023</v>
      </c>
      <c r="CD69" s="136" t="n">
        <v>0.0037</v>
      </c>
      <c r="CE69" s="136" t="n">
        <v>0.0025</v>
      </c>
      <c r="CF69" s="136" t="n">
        <v>0</v>
      </c>
      <c r="CG69" s="136" t="n">
        <v>-0.023</v>
      </c>
      <c r="CH69" s="136" t="n">
        <v>0.0037</v>
      </c>
      <c r="CI69" s="136" t="n">
        <v>-0.1185</v>
      </c>
      <c r="CJ69" s="136" t="n">
        <v>0.0025</v>
      </c>
      <c r="CK69" s="136" t="n">
        <v>0.075</v>
      </c>
      <c r="CL69" s="136" t="n">
        <v>0.0025</v>
      </c>
      <c r="CM69" s="136" t="n">
        <v>-0.0665</v>
      </c>
      <c r="CN69" s="136" t="n">
        <v>0.01</v>
      </c>
      <c r="CO69" s="136" t="n">
        <v>-0.0115</v>
      </c>
      <c r="CP69" s="136" t="n">
        <v>0.0075</v>
      </c>
      <c r="CQ69" s="136" t="n">
        <v>0.0285</v>
      </c>
      <c r="CR69" s="136" t="n">
        <v>0.01</v>
      </c>
      <c r="CS69" s="136" t="n">
        <v>1.6</v>
      </c>
      <c r="CT69" s="136" t="n">
        <v>0.45</v>
      </c>
      <c r="CU69" s="136" t="n">
        <v>0.298</v>
      </c>
      <c r="CV69" s="136" t="n">
        <v>0</v>
      </c>
      <c r="CW69" s="136" t="n">
        <v>0.34</v>
      </c>
      <c r="CX69" s="136" t="n">
        <v>0.02</v>
      </c>
      <c r="CY69" s="136" t="n">
        <v>-0.52</v>
      </c>
      <c r="CZ69" s="136" t="n">
        <v>0</v>
      </c>
      <c r="DA69" s="136" t="n">
        <v>-0.34</v>
      </c>
      <c r="DB69" s="136" t="n">
        <v>0</v>
      </c>
      <c r="DC69" s="136" t="n">
        <v>0.35</v>
      </c>
      <c r="DE69" s="136" t="n">
        <v>-0.0475</v>
      </c>
      <c r="DF69" s="136" t="n">
        <v>0.0125</v>
      </c>
      <c r="DG69" s="136" t="n">
        <v>0.005</v>
      </c>
      <c r="DH69" s="136" t="n">
        <v>0.0075</v>
      </c>
      <c r="DI69" s="136" t="n">
        <v>-0.0175</v>
      </c>
      <c r="DJ69" s="136" t="n">
        <v>0.0025</v>
      </c>
      <c r="DK69" s="136" t="n">
        <v>-0.0905</v>
      </c>
      <c r="DL69" s="136" t="n">
        <v>0.0025</v>
      </c>
      <c r="DM69" s="136" t="n">
        <v>-0.0675</v>
      </c>
      <c r="DN69" s="136" t="n">
        <v>0.0025</v>
      </c>
      <c r="DO69" s="136" t="n">
        <v>-0.0875</v>
      </c>
      <c r="DP69" s="136" t="n">
        <v>0.0025</v>
      </c>
      <c r="DQ69" s="136" t="n">
        <v>-0.1205</v>
      </c>
      <c r="DR69" s="136" t="n">
        <v>-0.005</v>
      </c>
      <c r="DS69" s="136" t="n">
        <v>1.04</v>
      </c>
      <c r="DT69" s="136" t="n">
        <v>0.05</v>
      </c>
      <c r="DU69" s="136" t="n">
        <v>0.0820725</v>
      </c>
      <c r="DV69" s="136" t="n">
        <v>0</v>
      </c>
    </row>
    <row r="70" customFormat="false" ht="12.75" hidden="false" customHeight="false" outlineLevel="0" collapsed="false">
      <c r="D70" s="135" t="n">
        <v>38777</v>
      </c>
      <c r="F70" s="174" t="n">
        <v>3.547</v>
      </c>
      <c r="G70" s="175" t="n">
        <v>0.0507370492228172</v>
      </c>
      <c r="H70" s="174" t="n">
        <v>0.27</v>
      </c>
      <c r="I70" s="174" t="n">
        <v>0.75</v>
      </c>
      <c r="J70" s="174" t="n">
        <v>0.8</v>
      </c>
      <c r="K70" s="174" t="n">
        <v>0.75</v>
      </c>
      <c r="L70" s="172" t="n">
        <v>0.75</v>
      </c>
      <c r="M70" s="172" t="n">
        <v>0.85</v>
      </c>
      <c r="N70" s="174" t="n">
        <v>1</v>
      </c>
      <c r="O70" s="174" t="n">
        <v>0.75</v>
      </c>
      <c r="P70" s="174" t="n">
        <v>0.75</v>
      </c>
      <c r="Q70" s="174" t="n">
        <v>0.95</v>
      </c>
      <c r="R70" s="175" t="n">
        <v>0.75</v>
      </c>
      <c r="S70" s="175" t="n">
        <v>0.75</v>
      </c>
      <c r="T70" s="174" t="n">
        <v>0.75</v>
      </c>
      <c r="U70" s="174" t="n">
        <v>1</v>
      </c>
      <c r="V70" s="174" t="n">
        <v>0.85</v>
      </c>
      <c r="W70" s="174" t="n">
        <v>0</v>
      </c>
      <c r="X70" s="174" t="n">
        <v>0.03</v>
      </c>
      <c r="Y70" s="174" t="n">
        <v>0.125</v>
      </c>
      <c r="Z70" s="174" t="n">
        <v>0.02</v>
      </c>
      <c r="AA70" s="174" t="n">
        <v>0.38</v>
      </c>
      <c r="AB70" s="174" t="n">
        <v>0</v>
      </c>
      <c r="AC70" s="174" t="n">
        <v>0.38</v>
      </c>
      <c r="AD70" s="174" t="n">
        <v>0</v>
      </c>
      <c r="AE70" s="174" t="n">
        <v>0.38</v>
      </c>
      <c r="AF70" s="174" t="n">
        <v>0</v>
      </c>
      <c r="AG70" s="174" t="n">
        <v>0.22</v>
      </c>
      <c r="AH70" s="174" t="n">
        <v>0</v>
      </c>
      <c r="AI70" s="174" t="n">
        <v>0.19896</v>
      </c>
      <c r="AJ70" s="174" t="n">
        <v>0</v>
      </c>
      <c r="AK70" s="174" t="n">
        <v>0.125</v>
      </c>
      <c r="AL70" s="174" t="n">
        <v>0.035</v>
      </c>
      <c r="AM70" s="174" t="n">
        <v>-0.08</v>
      </c>
      <c r="AN70" s="174" t="n">
        <v>0.008</v>
      </c>
      <c r="AO70" s="174" t="n">
        <v>-0.385</v>
      </c>
      <c r="AP70" s="174" t="n">
        <v>0.155</v>
      </c>
      <c r="AQ70" s="174" t="n">
        <v>-0.06</v>
      </c>
      <c r="AR70" s="174" t="n">
        <v>0.005</v>
      </c>
      <c r="AS70" s="174" t="n">
        <v>-0.145</v>
      </c>
      <c r="AT70" s="174" t="n">
        <v>-0.005</v>
      </c>
      <c r="AU70" s="174" t="n">
        <v>-0.105</v>
      </c>
      <c r="AV70" s="174" t="n">
        <v>-0.01</v>
      </c>
      <c r="AW70" s="174" t="n">
        <v>-0.07</v>
      </c>
      <c r="AX70" s="174" t="n">
        <v>0.005</v>
      </c>
      <c r="AY70" s="175" t="n">
        <v>0.155</v>
      </c>
      <c r="AZ70" s="175" t="n">
        <v>0</v>
      </c>
      <c r="BA70" s="175" t="n">
        <v>-0.13</v>
      </c>
      <c r="BB70" s="174" t="n">
        <v>0.005</v>
      </c>
      <c r="BC70" s="174" t="n">
        <v>-0.075</v>
      </c>
      <c r="BD70" s="174" t="n">
        <v>0.005</v>
      </c>
      <c r="BE70" s="174" t="n">
        <v>0.24</v>
      </c>
      <c r="BF70" s="174" t="n">
        <v>0.032</v>
      </c>
      <c r="BG70" s="174" t="n">
        <v>-0.065</v>
      </c>
      <c r="BH70" s="174" t="n">
        <v>0</v>
      </c>
      <c r="BI70" s="174" t="n">
        <v>0.15</v>
      </c>
      <c r="BJ70" s="136" t="n">
        <v>0.03</v>
      </c>
      <c r="BK70" s="136" t="n">
        <v>0.24</v>
      </c>
      <c r="BL70" s="136" t="n">
        <v>0.032</v>
      </c>
      <c r="BM70" s="136" t="n">
        <v>0.118</v>
      </c>
      <c r="BN70" s="136" t="n">
        <v>0</v>
      </c>
      <c r="BO70" s="136" t="n">
        <v>-0.26</v>
      </c>
      <c r="BP70" s="136" t="n">
        <v>0.035</v>
      </c>
      <c r="BQ70" s="136" t="n">
        <v>0.5</v>
      </c>
      <c r="BR70" s="136" t="n">
        <v>0.032</v>
      </c>
      <c r="BS70" s="136" t="n">
        <v>-0.075</v>
      </c>
      <c r="BT70" s="136" t="n">
        <v>0.005</v>
      </c>
      <c r="BU70" s="136" t="n">
        <v>0.3</v>
      </c>
      <c r="BV70" s="136" t="n">
        <v>0</v>
      </c>
      <c r="BW70" s="136" t="n">
        <v>0.24</v>
      </c>
      <c r="BX70" s="136" t="n">
        <v>0</v>
      </c>
      <c r="BY70" s="136" t="n">
        <v>-0.023</v>
      </c>
      <c r="BZ70" s="136" t="n">
        <v>0.0575</v>
      </c>
      <c r="CA70" s="136" t="n">
        <v>0.195</v>
      </c>
      <c r="CB70" s="136" t="n">
        <v>0.005</v>
      </c>
      <c r="CC70" s="136" t="n">
        <v>-0.023</v>
      </c>
      <c r="CD70" s="136" t="n">
        <v>0.0037</v>
      </c>
      <c r="CE70" s="136" t="n">
        <v>0.0025</v>
      </c>
      <c r="CF70" s="136" t="n">
        <v>0</v>
      </c>
      <c r="CG70" s="136" t="n">
        <v>-0.023</v>
      </c>
      <c r="CH70" s="136" t="n">
        <v>0.0037</v>
      </c>
      <c r="CI70" s="136" t="n">
        <v>-0.1185</v>
      </c>
      <c r="CJ70" s="136" t="n">
        <v>0.0025</v>
      </c>
      <c r="CK70" s="136" t="n">
        <v>0.075</v>
      </c>
      <c r="CL70" s="136" t="n">
        <v>0.0025</v>
      </c>
      <c r="CM70" s="136" t="n">
        <v>-0.0665</v>
      </c>
      <c r="CN70" s="136" t="n">
        <v>0.01</v>
      </c>
      <c r="CO70" s="136" t="n">
        <v>-0.0115</v>
      </c>
      <c r="CP70" s="136" t="n">
        <v>0.0075</v>
      </c>
      <c r="CQ70" s="136" t="n">
        <v>0.0285</v>
      </c>
      <c r="CR70" s="136" t="n">
        <v>0.01</v>
      </c>
      <c r="CS70" s="136" t="n">
        <v>0.64</v>
      </c>
      <c r="CT70" s="136" t="n">
        <v>0.1</v>
      </c>
      <c r="CU70" s="136" t="n">
        <v>0.118</v>
      </c>
      <c r="CV70" s="136" t="n">
        <v>0</v>
      </c>
      <c r="CW70" s="136" t="n">
        <v>0.29</v>
      </c>
      <c r="CX70" s="136" t="n">
        <v>0.02</v>
      </c>
      <c r="CY70" s="136" t="n">
        <v>-0.52</v>
      </c>
      <c r="CZ70" s="136" t="n">
        <v>0</v>
      </c>
      <c r="DA70" s="136" t="n">
        <v>-0.34</v>
      </c>
      <c r="DB70" s="136" t="n">
        <v>0</v>
      </c>
      <c r="DC70" s="136" t="n">
        <v>0.4</v>
      </c>
      <c r="DE70" s="136" t="n">
        <v>-0.0475</v>
      </c>
      <c r="DF70" s="136" t="n">
        <v>0.0125</v>
      </c>
      <c r="DG70" s="136" t="n">
        <v>0.01</v>
      </c>
      <c r="DH70" s="136" t="n">
        <v>0.0075</v>
      </c>
      <c r="DI70" s="136" t="n">
        <v>-0.0125</v>
      </c>
      <c r="DJ70" s="136" t="n">
        <v>0.0025</v>
      </c>
      <c r="DK70" s="136" t="n">
        <v>-0.0805</v>
      </c>
      <c r="DL70" s="136" t="n">
        <v>0.0025</v>
      </c>
      <c r="DM70" s="136" t="n">
        <v>-0.0675</v>
      </c>
      <c r="DN70" s="136" t="n">
        <v>0.0025</v>
      </c>
      <c r="DO70" s="136" t="n">
        <v>-0.0875</v>
      </c>
      <c r="DP70" s="136" t="n">
        <v>0.0025</v>
      </c>
      <c r="DQ70" s="136" t="n">
        <v>-0.1105</v>
      </c>
      <c r="DR70" s="136" t="n">
        <v>-0.005</v>
      </c>
      <c r="DS70" s="136" t="n">
        <v>0.54</v>
      </c>
      <c r="DT70" s="136" t="n">
        <v>0.05</v>
      </c>
      <c r="DU70" s="136" t="n">
        <v>0.0835025</v>
      </c>
      <c r="DV70" s="136" t="n">
        <v>0</v>
      </c>
    </row>
    <row r="71" customFormat="false" ht="12.75" hidden="false" customHeight="false" outlineLevel="0" collapsed="false">
      <c r="D71" s="135" t="n">
        <v>38808</v>
      </c>
      <c r="F71" s="174" t="n">
        <v>3.362</v>
      </c>
      <c r="G71" s="175" t="n">
        <v>0.0510592297577648</v>
      </c>
      <c r="H71" s="174" t="n">
        <v>0.25</v>
      </c>
      <c r="I71" s="174" t="n">
        <v>0.4</v>
      </c>
      <c r="J71" s="174" t="n">
        <v>0.45</v>
      </c>
      <c r="K71" s="174" t="n">
        <v>0.4</v>
      </c>
      <c r="L71" s="172" t="n">
        <v>0.45</v>
      </c>
      <c r="M71" s="172" t="n">
        <v>0.45</v>
      </c>
      <c r="N71" s="174" t="n">
        <v>0.45</v>
      </c>
      <c r="O71" s="174" t="n">
        <v>0.45</v>
      </c>
      <c r="P71" s="174" t="n">
        <v>0.45</v>
      </c>
      <c r="Q71" s="174" t="n">
        <v>0.5</v>
      </c>
      <c r="R71" s="175" t="n">
        <v>0.4</v>
      </c>
      <c r="S71" s="175" t="n">
        <v>0.45</v>
      </c>
      <c r="T71" s="174" t="n">
        <v>0.4</v>
      </c>
      <c r="U71" s="174" t="n">
        <v>0.45</v>
      </c>
      <c r="V71" s="174" t="n">
        <v>0.55</v>
      </c>
      <c r="W71" s="174" t="n">
        <v>-0.09</v>
      </c>
      <c r="X71" s="174" t="n">
        <v>0</v>
      </c>
      <c r="Y71" s="174" t="n">
        <v>0.04</v>
      </c>
      <c r="Z71" s="174" t="n">
        <v>0.005</v>
      </c>
      <c r="AA71" s="174" t="n">
        <v>0.18</v>
      </c>
      <c r="AB71" s="174" t="n">
        <v>0</v>
      </c>
      <c r="AC71" s="174" t="n">
        <v>0.145</v>
      </c>
      <c r="AD71" s="174" t="n">
        <v>0</v>
      </c>
      <c r="AE71" s="174" t="n">
        <v>0.18</v>
      </c>
      <c r="AF71" s="174" t="n">
        <v>0</v>
      </c>
      <c r="AG71" s="174" t="n">
        <v>0.135</v>
      </c>
      <c r="AH71" s="174" t="n">
        <v>0</v>
      </c>
      <c r="AI71" s="174" t="n">
        <v>0.145</v>
      </c>
      <c r="AJ71" s="174" t="n">
        <v>0</v>
      </c>
      <c r="AK71" s="174" t="n">
        <v>0.04</v>
      </c>
      <c r="AL71" s="174" t="n">
        <v>0.04</v>
      </c>
      <c r="AM71" s="174" t="n">
        <v>-0.0625</v>
      </c>
      <c r="AN71" s="174" t="n">
        <v>0.015</v>
      </c>
      <c r="AO71" s="174" t="n">
        <v>-0.42</v>
      </c>
      <c r="AP71" s="174" t="n">
        <v>0.155</v>
      </c>
      <c r="AQ71" s="174" t="n">
        <v>-0.0575</v>
      </c>
      <c r="AR71" s="174" t="n">
        <v>0</v>
      </c>
      <c r="AS71" s="174" t="n">
        <v>-0.15</v>
      </c>
      <c r="AT71" s="174" t="n">
        <v>-0.015</v>
      </c>
      <c r="AU71" s="174" t="n">
        <v>-0.11</v>
      </c>
      <c r="AV71" s="174" t="n">
        <v>0.02</v>
      </c>
      <c r="AW71" s="174" t="n">
        <v>-0.0675</v>
      </c>
      <c r="AX71" s="174" t="n">
        <v>0.01</v>
      </c>
      <c r="AY71" s="175" t="n">
        <v>0.125</v>
      </c>
      <c r="AZ71" s="175" t="n">
        <v>0</v>
      </c>
      <c r="BA71" s="175" t="n">
        <v>-0.195</v>
      </c>
      <c r="BB71" s="174" t="n">
        <v>0.0025</v>
      </c>
      <c r="BC71" s="174" t="n">
        <v>-0.075</v>
      </c>
      <c r="BD71" s="174" t="n">
        <v>0.005</v>
      </c>
      <c r="BE71" s="174" t="n">
        <v>0.26</v>
      </c>
      <c r="BF71" s="174" t="n">
        <v>0.032</v>
      </c>
      <c r="BG71" s="174" t="n">
        <v>-0.065</v>
      </c>
      <c r="BH71" s="174" t="n">
        <v>0</v>
      </c>
      <c r="BI71" s="174" t="n">
        <v>0.06</v>
      </c>
      <c r="BJ71" s="136" t="n">
        <v>0.03</v>
      </c>
      <c r="BK71" s="136" t="n">
        <v>0.26</v>
      </c>
      <c r="BL71" s="136" t="n">
        <v>0.032</v>
      </c>
      <c r="BM71" s="136" t="n">
        <v>-0.2</v>
      </c>
      <c r="BN71" s="136" t="n">
        <v>0</v>
      </c>
      <c r="BO71" s="136" t="n">
        <v>-0.39</v>
      </c>
      <c r="BP71" s="136" t="n">
        <v>0.02</v>
      </c>
      <c r="BQ71" s="136" t="n">
        <v>0.5</v>
      </c>
      <c r="BR71" s="136" t="n">
        <v>0.032</v>
      </c>
      <c r="BS71" s="136" t="n">
        <v>-0.075</v>
      </c>
      <c r="BT71" s="136" t="n">
        <v>0.005</v>
      </c>
      <c r="BU71" s="136" t="n">
        <v>0.3</v>
      </c>
      <c r="BV71" s="136" t="n">
        <v>0</v>
      </c>
      <c r="BW71" s="136" t="n">
        <v>0.26</v>
      </c>
      <c r="BX71" s="136" t="n">
        <v>0</v>
      </c>
      <c r="BY71" s="136" t="n">
        <v>-0.023</v>
      </c>
      <c r="BZ71" s="136" t="n">
        <v>0.0575</v>
      </c>
      <c r="CA71" s="136" t="n">
        <v>0.145</v>
      </c>
      <c r="CB71" s="136" t="n">
        <v>0.005</v>
      </c>
      <c r="CC71" s="136" t="n">
        <v>-0.023</v>
      </c>
      <c r="CD71" s="136" t="n">
        <v>0.0035</v>
      </c>
      <c r="CE71" s="136" t="n">
        <v>0.0025</v>
      </c>
      <c r="CF71" s="136" t="n">
        <v>0</v>
      </c>
      <c r="CG71" s="136" t="n">
        <v>-0.023</v>
      </c>
      <c r="CH71" s="136" t="n">
        <v>0.0035</v>
      </c>
      <c r="CI71" s="136" t="n">
        <v>-0.1385</v>
      </c>
      <c r="CJ71" s="136" t="n">
        <v>0.0025</v>
      </c>
      <c r="CK71" s="136" t="n">
        <v>0.0775</v>
      </c>
      <c r="CL71" s="136" t="n">
        <v>0.0025</v>
      </c>
      <c r="CM71" s="136" t="n">
        <v>-0.072</v>
      </c>
      <c r="CN71" s="136" t="n">
        <v>0.0075</v>
      </c>
      <c r="CO71" s="136" t="n">
        <v>-0.017</v>
      </c>
      <c r="CP71" s="136" t="n">
        <v>0.005</v>
      </c>
      <c r="CQ71" s="136" t="n">
        <v>0.023</v>
      </c>
      <c r="CR71" s="136" t="n">
        <v>0.0075</v>
      </c>
      <c r="CS71" s="136" t="n">
        <v>0.38</v>
      </c>
      <c r="CT71" s="136" t="n">
        <v>0.02</v>
      </c>
      <c r="CU71" s="136" t="n">
        <v>-0.2</v>
      </c>
      <c r="CV71" s="136" t="n">
        <v>0</v>
      </c>
      <c r="CW71" s="136" t="n">
        <v>0.195</v>
      </c>
      <c r="CX71" s="136" t="n">
        <v>0.0075</v>
      </c>
      <c r="CY71" s="136" t="n">
        <v>-0.65</v>
      </c>
      <c r="CZ71" s="136" t="n">
        <v>0</v>
      </c>
      <c r="DA71" s="136" t="n">
        <v>-0.47</v>
      </c>
      <c r="DB71" s="136" t="n">
        <v>0</v>
      </c>
      <c r="DC71" s="136" t="n">
        <v>0.6</v>
      </c>
      <c r="DE71" s="136" t="n">
        <v>-0.0525</v>
      </c>
      <c r="DF71" s="136" t="n">
        <v>0.01</v>
      </c>
      <c r="DG71" s="136" t="n">
        <v>0.01</v>
      </c>
      <c r="DH71" s="136" t="n">
        <v>0.01</v>
      </c>
      <c r="DI71" s="136" t="n">
        <v>-0.0125</v>
      </c>
      <c r="DJ71" s="136" t="n">
        <v>0.0075</v>
      </c>
      <c r="DK71" s="136" t="n">
        <v>-0.1235</v>
      </c>
      <c r="DL71" s="136" t="n">
        <v>0.005</v>
      </c>
      <c r="DM71" s="136" t="n">
        <v>-0.065</v>
      </c>
      <c r="DN71" s="136" t="n">
        <v>0.0025</v>
      </c>
      <c r="DO71" s="136" t="n">
        <v>-0.085</v>
      </c>
      <c r="DP71" s="136" t="n">
        <v>0.0025</v>
      </c>
      <c r="DQ71" s="136" t="n">
        <v>-0.1535</v>
      </c>
      <c r="DR71" s="136" t="n">
        <v>-0.005</v>
      </c>
      <c r="DS71" s="136" t="n">
        <v>0.36</v>
      </c>
      <c r="DT71" s="136" t="n">
        <v>0.005</v>
      </c>
      <c r="DU71" s="136" t="n">
        <v>0.0014725</v>
      </c>
      <c r="DV71" s="136" t="n">
        <v>0</v>
      </c>
    </row>
    <row r="72" customFormat="false" ht="12.75" hidden="false" customHeight="false" outlineLevel="0" collapsed="false">
      <c r="D72" s="135" t="n">
        <v>38838</v>
      </c>
      <c r="F72" s="174" t="n">
        <v>3.357</v>
      </c>
      <c r="G72" s="175" t="n">
        <v>0.051371017405212</v>
      </c>
      <c r="H72" s="174" t="n">
        <v>0.245</v>
      </c>
      <c r="I72" s="174" t="n">
        <v>0.45</v>
      </c>
      <c r="J72" s="174" t="n">
        <v>0.5</v>
      </c>
      <c r="K72" s="174" t="n">
        <v>0.4</v>
      </c>
      <c r="L72" s="172" t="n">
        <v>0.4</v>
      </c>
      <c r="M72" s="172" t="n">
        <v>0.45</v>
      </c>
      <c r="N72" s="174" t="n">
        <v>0.5</v>
      </c>
      <c r="O72" s="174" t="n">
        <v>0.45</v>
      </c>
      <c r="P72" s="174" t="n">
        <v>0.4</v>
      </c>
      <c r="Q72" s="174" t="n">
        <v>0.45</v>
      </c>
      <c r="R72" s="175" t="n">
        <v>0.45</v>
      </c>
      <c r="S72" s="175" t="n">
        <v>0.5</v>
      </c>
      <c r="T72" s="174" t="n">
        <v>0.45</v>
      </c>
      <c r="U72" s="174" t="n">
        <v>0.5</v>
      </c>
      <c r="V72" s="174" t="n">
        <v>0.5</v>
      </c>
      <c r="W72" s="174" t="n">
        <v>-0.09</v>
      </c>
      <c r="X72" s="174" t="n">
        <v>0</v>
      </c>
      <c r="Y72" s="174" t="n">
        <v>0.04</v>
      </c>
      <c r="Z72" s="174" t="n">
        <v>0.005</v>
      </c>
      <c r="AA72" s="174" t="n">
        <v>0.18</v>
      </c>
      <c r="AB72" s="174" t="n">
        <v>0</v>
      </c>
      <c r="AC72" s="174" t="n">
        <v>0.145</v>
      </c>
      <c r="AD72" s="174" t="n">
        <v>0</v>
      </c>
      <c r="AE72" s="174" t="n">
        <v>0.18</v>
      </c>
      <c r="AF72" s="174" t="n">
        <v>0</v>
      </c>
      <c r="AG72" s="174" t="n">
        <v>0.135</v>
      </c>
      <c r="AH72" s="174" t="n">
        <v>0</v>
      </c>
      <c r="AI72" s="174" t="n">
        <v>0.145</v>
      </c>
      <c r="AJ72" s="174" t="n">
        <v>0</v>
      </c>
      <c r="AK72" s="174" t="n">
        <v>0.04</v>
      </c>
      <c r="AL72" s="174" t="n">
        <v>0.04</v>
      </c>
      <c r="AM72" s="174" t="n">
        <v>-0.0625</v>
      </c>
      <c r="AN72" s="174" t="n">
        <v>0.015</v>
      </c>
      <c r="AO72" s="174" t="n">
        <v>-0.42</v>
      </c>
      <c r="AP72" s="174" t="n">
        <v>0.155</v>
      </c>
      <c r="AQ72" s="174" t="n">
        <v>-0.0575</v>
      </c>
      <c r="AR72" s="174" t="n">
        <v>0</v>
      </c>
      <c r="AS72" s="174" t="n">
        <v>-0.15</v>
      </c>
      <c r="AT72" s="174" t="n">
        <v>-0.015</v>
      </c>
      <c r="AU72" s="174" t="n">
        <v>-0.11</v>
      </c>
      <c r="AV72" s="174" t="n">
        <v>0.02</v>
      </c>
      <c r="AW72" s="174" t="n">
        <v>-0.0675</v>
      </c>
      <c r="AX72" s="174" t="n">
        <v>0.01</v>
      </c>
      <c r="AY72" s="175" t="n">
        <v>0.125</v>
      </c>
      <c r="AZ72" s="175" t="n">
        <v>0</v>
      </c>
      <c r="BA72" s="175" t="n">
        <v>-0.195</v>
      </c>
      <c r="BB72" s="174" t="n">
        <v>0.0025</v>
      </c>
      <c r="BC72" s="174" t="n">
        <v>-0.075</v>
      </c>
      <c r="BD72" s="174" t="n">
        <v>0.005</v>
      </c>
      <c r="BE72" s="174" t="n">
        <v>0.26</v>
      </c>
      <c r="BF72" s="174" t="n">
        <v>0.032</v>
      </c>
      <c r="BG72" s="174" t="n">
        <v>-0.065</v>
      </c>
      <c r="BH72" s="174" t="n">
        <v>0</v>
      </c>
      <c r="BI72" s="174" t="n">
        <v>0.06</v>
      </c>
      <c r="BJ72" s="136" t="n">
        <v>0.03</v>
      </c>
      <c r="BK72" s="136" t="n">
        <v>0.26</v>
      </c>
      <c r="BL72" s="136" t="n">
        <v>0.032</v>
      </c>
      <c r="BM72" s="136" t="n">
        <v>-0.2</v>
      </c>
      <c r="BN72" s="136" t="n">
        <v>0</v>
      </c>
      <c r="BO72" s="136" t="n">
        <v>-0.39</v>
      </c>
      <c r="BP72" s="136" t="n">
        <v>0.02</v>
      </c>
      <c r="BQ72" s="136" t="n">
        <v>0.5</v>
      </c>
      <c r="BR72" s="136" t="n">
        <v>0.032</v>
      </c>
      <c r="BS72" s="136" t="n">
        <v>-0.075</v>
      </c>
      <c r="BT72" s="136" t="n">
        <v>0.005</v>
      </c>
      <c r="BU72" s="136" t="n">
        <v>0.3</v>
      </c>
      <c r="BV72" s="136" t="n">
        <v>0</v>
      </c>
      <c r="BW72" s="136" t="n">
        <v>0.26</v>
      </c>
      <c r="BX72" s="136" t="n">
        <v>0</v>
      </c>
      <c r="BY72" s="136" t="n">
        <v>-0.023</v>
      </c>
      <c r="BZ72" s="136" t="n">
        <v>0.0575</v>
      </c>
      <c r="CA72" s="136" t="n">
        <v>0.125</v>
      </c>
      <c r="CB72" s="136" t="n">
        <v>0.005</v>
      </c>
      <c r="CC72" s="136" t="n">
        <v>-0.023</v>
      </c>
      <c r="CD72" s="136" t="n">
        <v>0.0035</v>
      </c>
      <c r="CE72" s="136" t="n">
        <v>0.0025</v>
      </c>
      <c r="CF72" s="136" t="n">
        <v>0</v>
      </c>
      <c r="CG72" s="136" t="n">
        <v>-0.023</v>
      </c>
      <c r="CH72" s="136" t="n">
        <v>0.0035</v>
      </c>
      <c r="CI72" s="136" t="n">
        <v>-0.126</v>
      </c>
      <c r="CJ72" s="136" t="n">
        <v>0.0025</v>
      </c>
      <c r="CK72" s="136" t="n">
        <v>0.0775</v>
      </c>
      <c r="CL72" s="136" t="n">
        <v>0.0025</v>
      </c>
      <c r="CM72" s="136" t="n">
        <v>-0.072</v>
      </c>
      <c r="CN72" s="136" t="n">
        <v>0.0075</v>
      </c>
      <c r="CO72" s="136" t="n">
        <v>-0.017</v>
      </c>
      <c r="CP72" s="136" t="n">
        <v>0.005</v>
      </c>
      <c r="CQ72" s="136" t="n">
        <v>0.023</v>
      </c>
      <c r="CR72" s="136" t="n">
        <v>0.0075</v>
      </c>
      <c r="CS72" s="136" t="n">
        <v>0.33</v>
      </c>
      <c r="CT72" s="136" t="n">
        <v>0.02</v>
      </c>
      <c r="CU72" s="136" t="n">
        <v>-0.2</v>
      </c>
      <c r="CV72" s="136" t="n">
        <v>0</v>
      </c>
      <c r="CW72" s="136" t="n">
        <v>0.135</v>
      </c>
      <c r="CX72" s="136" t="n">
        <v>0.0075</v>
      </c>
      <c r="CY72" s="136" t="n">
        <v>-0.65</v>
      </c>
      <c r="CZ72" s="136" t="n">
        <v>0</v>
      </c>
      <c r="DA72" s="136" t="n">
        <v>-0.47</v>
      </c>
      <c r="DB72" s="136" t="n">
        <v>0</v>
      </c>
      <c r="DC72" s="136" t="n">
        <v>0.75</v>
      </c>
      <c r="DE72" s="136" t="n">
        <v>-0.0525</v>
      </c>
      <c r="DF72" s="136" t="n">
        <v>0.01</v>
      </c>
      <c r="DG72" s="136" t="n">
        <v>0.0125</v>
      </c>
      <c r="DH72" s="136" t="n">
        <v>0.01</v>
      </c>
      <c r="DI72" s="136" t="n">
        <v>-0.01</v>
      </c>
      <c r="DJ72" s="136" t="n">
        <v>0.0075</v>
      </c>
      <c r="DK72" s="136" t="n">
        <v>-0.101</v>
      </c>
      <c r="DL72" s="136" t="n">
        <v>0.005</v>
      </c>
      <c r="DM72" s="136" t="n">
        <v>-0.065</v>
      </c>
      <c r="DN72" s="136" t="n">
        <v>0.0025</v>
      </c>
      <c r="DO72" s="136" t="n">
        <v>-0.085</v>
      </c>
      <c r="DP72" s="136" t="n">
        <v>0.0025</v>
      </c>
      <c r="DQ72" s="136" t="n">
        <v>-0.131</v>
      </c>
      <c r="DR72" s="136" t="n">
        <v>-0.005</v>
      </c>
      <c r="DS72" s="136" t="n">
        <v>0.325</v>
      </c>
      <c r="DT72" s="136" t="n">
        <v>0.005</v>
      </c>
      <c r="DU72" s="136" t="n">
        <v>0.0014945</v>
      </c>
      <c r="DV72" s="136" t="n">
        <v>0</v>
      </c>
    </row>
    <row r="73" customFormat="false" ht="12.75" hidden="false" customHeight="false" outlineLevel="0" collapsed="false">
      <c r="D73" s="135" t="n">
        <v>38869</v>
      </c>
      <c r="F73" s="174" t="n">
        <v>3.392</v>
      </c>
      <c r="G73" s="175" t="n">
        <v>0.0516931980083157</v>
      </c>
      <c r="H73" s="174" t="n">
        <v>0.2475</v>
      </c>
      <c r="I73" s="174" t="n">
        <v>0.45</v>
      </c>
      <c r="J73" s="174" t="n">
        <v>0.5</v>
      </c>
      <c r="K73" s="174" t="n">
        <v>0.4</v>
      </c>
      <c r="L73" s="172" t="n">
        <v>0.5</v>
      </c>
      <c r="M73" s="172" t="n">
        <v>0.45</v>
      </c>
      <c r="N73" s="174" t="n">
        <v>0.5</v>
      </c>
      <c r="O73" s="174" t="n">
        <v>0.5</v>
      </c>
      <c r="P73" s="174" t="n">
        <v>0.5</v>
      </c>
      <c r="Q73" s="174" t="n">
        <v>0.5</v>
      </c>
      <c r="R73" s="175" t="n">
        <v>0.45</v>
      </c>
      <c r="S73" s="175" t="n">
        <v>0.5</v>
      </c>
      <c r="T73" s="174" t="n">
        <v>0.45</v>
      </c>
      <c r="U73" s="174" t="n">
        <v>0.5</v>
      </c>
      <c r="V73" s="174" t="n">
        <v>0.6</v>
      </c>
      <c r="W73" s="174" t="n">
        <v>-0.09</v>
      </c>
      <c r="X73" s="174" t="n">
        <v>0</v>
      </c>
      <c r="Y73" s="174" t="n">
        <v>0.04</v>
      </c>
      <c r="Z73" s="174" t="n">
        <v>0.005</v>
      </c>
      <c r="AA73" s="174" t="n">
        <v>0.18</v>
      </c>
      <c r="AB73" s="174" t="n">
        <v>0</v>
      </c>
      <c r="AC73" s="174" t="n">
        <v>0.145</v>
      </c>
      <c r="AD73" s="174" t="n">
        <v>0</v>
      </c>
      <c r="AE73" s="174" t="n">
        <v>0.18</v>
      </c>
      <c r="AF73" s="174" t="n">
        <v>0</v>
      </c>
      <c r="AG73" s="174" t="n">
        <v>0.135</v>
      </c>
      <c r="AH73" s="174" t="n">
        <v>0</v>
      </c>
      <c r="AI73" s="174" t="n">
        <v>0.145</v>
      </c>
      <c r="AJ73" s="174" t="n">
        <v>0</v>
      </c>
      <c r="AK73" s="174" t="n">
        <v>0.04</v>
      </c>
      <c r="AL73" s="174" t="n">
        <v>0.04</v>
      </c>
      <c r="AM73" s="174" t="n">
        <v>-0.0625</v>
      </c>
      <c r="AN73" s="174" t="n">
        <v>0.015</v>
      </c>
      <c r="AO73" s="174" t="n">
        <v>-0.42</v>
      </c>
      <c r="AP73" s="174" t="n">
        <v>0.155</v>
      </c>
      <c r="AQ73" s="174" t="n">
        <v>-0.0575</v>
      </c>
      <c r="AR73" s="174" t="n">
        <v>0</v>
      </c>
      <c r="AS73" s="174" t="n">
        <v>-0.15</v>
      </c>
      <c r="AT73" s="174" t="n">
        <v>-0.015</v>
      </c>
      <c r="AU73" s="174" t="n">
        <v>-0.11</v>
      </c>
      <c r="AV73" s="174" t="n">
        <v>0.02</v>
      </c>
      <c r="AW73" s="174" t="n">
        <v>-0.0675</v>
      </c>
      <c r="AX73" s="174" t="n">
        <v>0.01</v>
      </c>
      <c r="AY73" s="175" t="n">
        <v>0.125</v>
      </c>
      <c r="AZ73" s="175" t="n">
        <v>0</v>
      </c>
      <c r="BA73" s="175" t="n">
        <v>-0.195</v>
      </c>
      <c r="BB73" s="174" t="n">
        <v>0.0025</v>
      </c>
      <c r="BC73" s="174" t="n">
        <v>-0.075</v>
      </c>
      <c r="BD73" s="174" t="n">
        <v>0.005</v>
      </c>
      <c r="BE73" s="174" t="n">
        <v>0.26</v>
      </c>
      <c r="BF73" s="174" t="n">
        <v>0.032</v>
      </c>
      <c r="BG73" s="174" t="n">
        <v>-0.065</v>
      </c>
      <c r="BH73" s="174" t="n">
        <v>0</v>
      </c>
      <c r="BI73" s="174" t="n">
        <v>0.06</v>
      </c>
      <c r="BJ73" s="136" t="n">
        <v>0.03</v>
      </c>
      <c r="BK73" s="136" t="n">
        <v>0.26</v>
      </c>
      <c r="BL73" s="136" t="n">
        <v>0.032</v>
      </c>
      <c r="BM73" s="136" t="n">
        <v>-0.2</v>
      </c>
      <c r="BN73" s="136" t="n">
        <v>0</v>
      </c>
      <c r="BO73" s="136" t="n">
        <v>-0.39</v>
      </c>
      <c r="BP73" s="136" t="n">
        <v>0.02</v>
      </c>
      <c r="BQ73" s="136" t="n">
        <v>0.5</v>
      </c>
      <c r="BR73" s="136" t="n">
        <v>0.032</v>
      </c>
      <c r="BS73" s="136" t="n">
        <v>-0.075</v>
      </c>
      <c r="BT73" s="136" t="n">
        <v>0.005</v>
      </c>
      <c r="BU73" s="136" t="n">
        <v>0.3</v>
      </c>
      <c r="BV73" s="136" t="n">
        <v>0</v>
      </c>
      <c r="BW73" s="136" t="n">
        <v>0.26</v>
      </c>
      <c r="BX73" s="136" t="n">
        <v>0</v>
      </c>
      <c r="BY73" s="136" t="n">
        <v>-0.023</v>
      </c>
      <c r="BZ73" s="136" t="n">
        <v>0.0575</v>
      </c>
      <c r="CA73" s="136" t="n">
        <v>0.145</v>
      </c>
      <c r="CB73" s="136" t="n">
        <v>0.005</v>
      </c>
      <c r="CC73" s="136" t="n">
        <v>-0.023</v>
      </c>
      <c r="CD73" s="136" t="n">
        <v>0.0035</v>
      </c>
      <c r="CE73" s="136" t="n">
        <v>0.0025</v>
      </c>
      <c r="CF73" s="136" t="n">
        <v>0</v>
      </c>
      <c r="CG73" s="136" t="n">
        <v>-0.023</v>
      </c>
      <c r="CH73" s="136" t="n">
        <v>0.0035</v>
      </c>
      <c r="CI73" s="136" t="n">
        <v>-0.0835</v>
      </c>
      <c r="CJ73" s="136" t="n">
        <v>0.0025</v>
      </c>
      <c r="CK73" s="136" t="n">
        <v>0.0775</v>
      </c>
      <c r="CL73" s="136" t="n">
        <v>0.0025</v>
      </c>
      <c r="CM73" s="136" t="n">
        <v>-0.072</v>
      </c>
      <c r="CN73" s="136" t="n">
        <v>0.0075</v>
      </c>
      <c r="CO73" s="136" t="n">
        <v>-0.017</v>
      </c>
      <c r="CP73" s="136" t="n">
        <v>0.005</v>
      </c>
      <c r="CQ73" s="136" t="n">
        <v>0.023</v>
      </c>
      <c r="CR73" s="136" t="n">
        <v>0.0075</v>
      </c>
      <c r="CS73" s="136" t="n">
        <v>0.37</v>
      </c>
      <c r="CT73" s="136" t="n">
        <v>0.035</v>
      </c>
      <c r="CU73" s="136" t="n">
        <v>-0.2</v>
      </c>
      <c r="CV73" s="136" t="n">
        <v>0</v>
      </c>
      <c r="CW73" s="136" t="n">
        <v>0.165</v>
      </c>
      <c r="CX73" s="136" t="n">
        <v>0.0075</v>
      </c>
      <c r="CY73" s="136" t="n">
        <v>-0.65</v>
      </c>
      <c r="CZ73" s="136" t="n">
        <v>0</v>
      </c>
      <c r="DA73" s="136" t="n">
        <v>-0.47</v>
      </c>
      <c r="DB73" s="136" t="n">
        <v>0</v>
      </c>
      <c r="DC73" s="136" t="n">
        <v>0.85</v>
      </c>
      <c r="DE73" s="136" t="n">
        <v>-0.05</v>
      </c>
      <c r="DF73" s="136" t="n">
        <v>0.01</v>
      </c>
      <c r="DG73" s="136" t="n">
        <v>0.0125</v>
      </c>
      <c r="DH73" s="136" t="n">
        <v>0.01</v>
      </c>
      <c r="DI73" s="136" t="n">
        <v>-0.01</v>
      </c>
      <c r="DJ73" s="136" t="n">
        <v>0.0075</v>
      </c>
      <c r="DK73" s="136" t="n">
        <v>-0.0485</v>
      </c>
      <c r="DL73" s="136" t="n">
        <v>0.005</v>
      </c>
      <c r="DM73" s="136" t="n">
        <v>-0.065</v>
      </c>
      <c r="DN73" s="136" t="n">
        <v>0.0025</v>
      </c>
      <c r="DO73" s="136" t="n">
        <v>-0.085</v>
      </c>
      <c r="DP73" s="136" t="n">
        <v>0.0025</v>
      </c>
      <c r="DQ73" s="136" t="n">
        <v>-0.0785</v>
      </c>
      <c r="DR73" s="136" t="n">
        <v>-0.005</v>
      </c>
      <c r="DS73" s="136" t="n">
        <v>0.335</v>
      </c>
      <c r="DT73" s="136" t="n">
        <v>0.005</v>
      </c>
      <c r="DU73" s="136" t="n">
        <v>0.0010545</v>
      </c>
      <c r="DV73" s="136" t="n">
        <v>0</v>
      </c>
    </row>
    <row r="74" customFormat="false" ht="12.75" hidden="false" customHeight="false" outlineLevel="0" collapsed="false">
      <c r="D74" s="135" t="n">
        <v>38899</v>
      </c>
      <c r="F74" s="174" t="n">
        <v>3.432</v>
      </c>
      <c r="G74" s="175" t="n">
        <v>0.0520049857217106</v>
      </c>
      <c r="H74" s="174" t="n">
        <v>0.2475</v>
      </c>
      <c r="I74" s="174" t="n">
        <v>0.5</v>
      </c>
      <c r="J74" s="174" t="n">
        <v>0.5</v>
      </c>
      <c r="K74" s="174" t="n">
        <v>0.4</v>
      </c>
      <c r="L74" s="172" t="n">
        <v>0.5</v>
      </c>
      <c r="M74" s="172" t="n">
        <v>0.5</v>
      </c>
      <c r="N74" s="174" t="n">
        <v>0.5</v>
      </c>
      <c r="O74" s="174" t="n">
        <v>0.5</v>
      </c>
      <c r="P74" s="174" t="n">
        <v>0.5</v>
      </c>
      <c r="Q74" s="174" t="n">
        <v>0.5</v>
      </c>
      <c r="R74" s="175" t="n">
        <v>0.5</v>
      </c>
      <c r="S74" s="175" t="n">
        <v>0.55</v>
      </c>
      <c r="T74" s="174" t="n">
        <v>0.5</v>
      </c>
      <c r="U74" s="174" t="n">
        <v>0.5</v>
      </c>
      <c r="V74" s="174" t="n">
        <v>0.6</v>
      </c>
      <c r="W74" s="174" t="n">
        <v>-0.09</v>
      </c>
      <c r="X74" s="174" t="n">
        <v>0</v>
      </c>
      <c r="Y74" s="174" t="n">
        <v>0.04</v>
      </c>
      <c r="Z74" s="174" t="n">
        <v>0.005</v>
      </c>
      <c r="AA74" s="174" t="n">
        <v>0.18</v>
      </c>
      <c r="AB74" s="174" t="n">
        <v>0</v>
      </c>
      <c r="AC74" s="174" t="n">
        <v>0.145</v>
      </c>
      <c r="AD74" s="174" t="n">
        <v>0</v>
      </c>
      <c r="AE74" s="174" t="n">
        <v>0.18</v>
      </c>
      <c r="AF74" s="174" t="n">
        <v>0</v>
      </c>
      <c r="AG74" s="174" t="n">
        <v>0.135</v>
      </c>
      <c r="AH74" s="174" t="n">
        <v>0</v>
      </c>
      <c r="AI74" s="174" t="n">
        <v>0.145</v>
      </c>
      <c r="AJ74" s="174" t="n">
        <v>0</v>
      </c>
      <c r="AK74" s="174" t="n">
        <v>0.04</v>
      </c>
      <c r="AL74" s="174" t="n">
        <v>0.04</v>
      </c>
      <c r="AM74" s="174" t="n">
        <v>-0.0625</v>
      </c>
      <c r="AN74" s="174" t="n">
        <v>0.015</v>
      </c>
      <c r="AO74" s="174" t="n">
        <v>-0.42</v>
      </c>
      <c r="AP74" s="174" t="n">
        <v>0.155</v>
      </c>
      <c r="AQ74" s="174" t="n">
        <v>-0.0575</v>
      </c>
      <c r="AR74" s="174" t="n">
        <v>0</v>
      </c>
      <c r="AS74" s="174" t="n">
        <v>-0.15</v>
      </c>
      <c r="AT74" s="174" t="n">
        <v>-0.015</v>
      </c>
      <c r="AU74" s="174" t="n">
        <v>-0.11</v>
      </c>
      <c r="AV74" s="174" t="n">
        <v>0.02</v>
      </c>
      <c r="AW74" s="174" t="n">
        <v>-0.0675</v>
      </c>
      <c r="AX74" s="174" t="n">
        <v>0.01</v>
      </c>
      <c r="AY74" s="175" t="n">
        <v>0.125</v>
      </c>
      <c r="AZ74" s="175" t="n">
        <v>0</v>
      </c>
      <c r="BA74" s="175" t="n">
        <v>-0.195</v>
      </c>
      <c r="BB74" s="174" t="n">
        <v>0.0025</v>
      </c>
      <c r="BC74" s="174" t="n">
        <v>-0.075</v>
      </c>
      <c r="BD74" s="174" t="n">
        <v>0.005</v>
      </c>
      <c r="BE74" s="174" t="n">
        <v>0.26</v>
      </c>
      <c r="BF74" s="174" t="n">
        <v>0.032</v>
      </c>
      <c r="BG74" s="174" t="n">
        <v>-0.065</v>
      </c>
      <c r="BH74" s="174" t="n">
        <v>0</v>
      </c>
      <c r="BI74" s="174" t="n">
        <v>0.06</v>
      </c>
      <c r="BJ74" s="136" t="n">
        <v>0.03</v>
      </c>
      <c r="BK74" s="136" t="n">
        <v>0.26</v>
      </c>
      <c r="BL74" s="136" t="n">
        <v>0.032</v>
      </c>
      <c r="BM74" s="136" t="n">
        <v>-0.2</v>
      </c>
      <c r="BN74" s="136" t="n">
        <v>0</v>
      </c>
      <c r="BO74" s="136" t="n">
        <v>-0.39</v>
      </c>
      <c r="BP74" s="136" t="n">
        <v>0.02</v>
      </c>
      <c r="BQ74" s="136" t="n">
        <v>0.5</v>
      </c>
      <c r="BR74" s="136" t="n">
        <v>0.032</v>
      </c>
      <c r="BS74" s="136" t="n">
        <v>-0.075</v>
      </c>
      <c r="BT74" s="136" t="n">
        <v>0.005</v>
      </c>
      <c r="BU74" s="136" t="n">
        <v>0.3</v>
      </c>
      <c r="BV74" s="136" t="n">
        <v>0</v>
      </c>
      <c r="BW74" s="136" t="n">
        <v>0.26</v>
      </c>
      <c r="BX74" s="136" t="n">
        <v>0</v>
      </c>
      <c r="BY74" s="136" t="n">
        <v>-0.023</v>
      </c>
      <c r="BZ74" s="136" t="n">
        <v>0.0575</v>
      </c>
      <c r="CA74" s="136" t="n">
        <v>0.15</v>
      </c>
      <c r="CB74" s="136" t="n">
        <v>0.005</v>
      </c>
      <c r="CC74" s="136" t="n">
        <v>-0.023</v>
      </c>
      <c r="CD74" s="136" t="n">
        <v>0.0035</v>
      </c>
      <c r="CE74" s="136" t="n">
        <v>0.0025</v>
      </c>
      <c r="CF74" s="136" t="n">
        <v>0</v>
      </c>
      <c r="CG74" s="136" t="n">
        <v>-0.023</v>
      </c>
      <c r="CH74" s="136" t="n">
        <v>0.0035</v>
      </c>
      <c r="CI74" s="136" t="n">
        <v>-0.081</v>
      </c>
      <c r="CJ74" s="136" t="n">
        <v>0.0025</v>
      </c>
      <c r="CK74" s="136" t="n">
        <v>0.0775</v>
      </c>
      <c r="CL74" s="136" t="n">
        <v>0.0025</v>
      </c>
      <c r="CM74" s="136" t="n">
        <v>-0.072</v>
      </c>
      <c r="CN74" s="136" t="n">
        <v>0.0075</v>
      </c>
      <c r="CO74" s="136" t="n">
        <v>-0.017</v>
      </c>
      <c r="CP74" s="136" t="n">
        <v>0.005</v>
      </c>
      <c r="CQ74" s="136" t="n">
        <v>0.023</v>
      </c>
      <c r="CR74" s="136" t="n">
        <v>0.0075</v>
      </c>
      <c r="CS74" s="136" t="n">
        <v>0.41</v>
      </c>
      <c r="CT74" s="136" t="n">
        <v>0.035</v>
      </c>
      <c r="CU74" s="136" t="n">
        <v>-0.2</v>
      </c>
      <c r="CV74" s="136" t="n">
        <v>0</v>
      </c>
      <c r="CW74" s="136" t="n">
        <v>0.205</v>
      </c>
      <c r="CX74" s="136" t="n">
        <v>0.0075</v>
      </c>
      <c r="CY74" s="136" t="n">
        <v>-0.65</v>
      </c>
      <c r="CZ74" s="136" t="n">
        <v>0</v>
      </c>
      <c r="DA74" s="136" t="n">
        <v>-0.47</v>
      </c>
      <c r="DB74" s="136" t="n">
        <v>0</v>
      </c>
      <c r="DC74" s="136" t="n">
        <v>1.05</v>
      </c>
      <c r="DE74" s="136" t="n">
        <v>-0.05</v>
      </c>
      <c r="DF74" s="136" t="n">
        <v>0.01</v>
      </c>
      <c r="DG74" s="136" t="n">
        <v>0.0125</v>
      </c>
      <c r="DH74" s="136" t="n">
        <v>0.01</v>
      </c>
      <c r="DI74" s="136" t="n">
        <v>-0.01</v>
      </c>
      <c r="DJ74" s="136" t="n">
        <v>0.0075</v>
      </c>
      <c r="DK74" s="136" t="n">
        <v>-0.0585</v>
      </c>
      <c r="DL74" s="136" t="n">
        <v>0.005</v>
      </c>
      <c r="DM74" s="136" t="n">
        <v>-0.065</v>
      </c>
      <c r="DN74" s="136" t="n">
        <v>0.0025</v>
      </c>
      <c r="DO74" s="136" t="n">
        <v>-0.085</v>
      </c>
      <c r="DP74" s="136" t="n">
        <v>0.0025</v>
      </c>
      <c r="DQ74" s="136" t="n">
        <v>-0.0885</v>
      </c>
      <c r="DR74" s="136" t="n">
        <v>-0.005</v>
      </c>
      <c r="DS74" s="136" t="n">
        <v>0.35</v>
      </c>
      <c r="DT74" s="136" t="n">
        <v>0.005</v>
      </c>
      <c r="DU74" s="136" t="n">
        <v>0.000592500000000003</v>
      </c>
      <c r="DV74" s="136" t="n">
        <v>0</v>
      </c>
    </row>
    <row r="75" customFormat="false" ht="12.75" hidden="false" customHeight="false" outlineLevel="0" collapsed="false">
      <c r="D75" s="135" t="n">
        <v>38930</v>
      </c>
      <c r="F75" s="174" t="n">
        <v>3.472</v>
      </c>
      <c r="G75" s="175" t="n">
        <v>0.0523271663929492</v>
      </c>
      <c r="H75" s="174" t="n">
        <v>0.2475</v>
      </c>
      <c r="I75" s="174" t="n">
        <v>0.55</v>
      </c>
      <c r="J75" s="174" t="n">
        <v>0.55</v>
      </c>
      <c r="K75" s="174" t="n">
        <v>0.5</v>
      </c>
      <c r="L75" s="172" t="n">
        <v>0.6</v>
      </c>
      <c r="M75" s="172" t="n">
        <v>0.55</v>
      </c>
      <c r="N75" s="174" t="n">
        <v>0.6</v>
      </c>
      <c r="O75" s="174" t="n">
        <v>0.55</v>
      </c>
      <c r="P75" s="174" t="n">
        <v>0.6</v>
      </c>
      <c r="Q75" s="174" t="n">
        <v>0.45</v>
      </c>
      <c r="R75" s="175" t="n">
        <v>0.55</v>
      </c>
      <c r="S75" s="175" t="n">
        <v>0.6</v>
      </c>
      <c r="T75" s="174" t="n">
        <v>0.55</v>
      </c>
      <c r="U75" s="174" t="n">
        <v>0.6</v>
      </c>
      <c r="V75" s="174" t="n">
        <v>0.7</v>
      </c>
      <c r="W75" s="174" t="n">
        <v>-0.09</v>
      </c>
      <c r="X75" s="174" t="n">
        <v>0</v>
      </c>
      <c r="Y75" s="174" t="n">
        <v>0.04</v>
      </c>
      <c r="Z75" s="174" t="n">
        <v>0.005</v>
      </c>
      <c r="AA75" s="174" t="n">
        <v>0.18</v>
      </c>
      <c r="AB75" s="174" t="n">
        <v>0</v>
      </c>
      <c r="AC75" s="174" t="n">
        <v>0.145</v>
      </c>
      <c r="AD75" s="174" t="n">
        <v>0</v>
      </c>
      <c r="AE75" s="174" t="n">
        <v>0.18</v>
      </c>
      <c r="AF75" s="174" t="n">
        <v>0</v>
      </c>
      <c r="AG75" s="174" t="n">
        <v>0.135</v>
      </c>
      <c r="AH75" s="174" t="n">
        <v>0</v>
      </c>
      <c r="AI75" s="174" t="n">
        <v>0.145</v>
      </c>
      <c r="AJ75" s="174" t="n">
        <v>0</v>
      </c>
      <c r="AK75" s="174" t="n">
        <v>0.04</v>
      </c>
      <c r="AL75" s="174" t="n">
        <v>0.04</v>
      </c>
      <c r="AM75" s="174" t="n">
        <v>-0.0625</v>
      </c>
      <c r="AN75" s="174" t="n">
        <v>0.015</v>
      </c>
      <c r="AO75" s="174" t="n">
        <v>-0.42</v>
      </c>
      <c r="AP75" s="174" t="n">
        <v>0.155</v>
      </c>
      <c r="AQ75" s="174" t="n">
        <v>-0.0575</v>
      </c>
      <c r="AR75" s="174" t="n">
        <v>0</v>
      </c>
      <c r="AS75" s="174" t="n">
        <v>-0.15</v>
      </c>
      <c r="AT75" s="174" t="n">
        <v>-0.015</v>
      </c>
      <c r="AU75" s="174" t="n">
        <v>-0.11</v>
      </c>
      <c r="AV75" s="174" t="n">
        <v>0.02</v>
      </c>
      <c r="AW75" s="174" t="n">
        <v>-0.0675</v>
      </c>
      <c r="AX75" s="174" t="n">
        <v>0.01</v>
      </c>
      <c r="AY75" s="175" t="n">
        <v>0.125</v>
      </c>
      <c r="AZ75" s="175" t="n">
        <v>0</v>
      </c>
      <c r="BA75" s="175" t="n">
        <v>-0.195</v>
      </c>
      <c r="BB75" s="174" t="n">
        <v>0.0025</v>
      </c>
      <c r="BC75" s="174" t="n">
        <v>-0.075</v>
      </c>
      <c r="BD75" s="174" t="n">
        <v>0.005</v>
      </c>
      <c r="BE75" s="174" t="n">
        <v>0.26</v>
      </c>
      <c r="BF75" s="174" t="n">
        <v>0.032</v>
      </c>
      <c r="BG75" s="174" t="n">
        <v>-0.065</v>
      </c>
      <c r="BH75" s="174" t="n">
        <v>0</v>
      </c>
      <c r="BI75" s="174" t="n">
        <v>0.06</v>
      </c>
      <c r="BJ75" s="136" t="n">
        <v>0.03</v>
      </c>
      <c r="BK75" s="136" t="n">
        <v>0.26</v>
      </c>
      <c r="BL75" s="136" t="n">
        <v>0.032</v>
      </c>
      <c r="BM75" s="136" t="n">
        <v>-0.2</v>
      </c>
      <c r="BN75" s="136" t="n">
        <v>0</v>
      </c>
      <c r="BO75" s="136" t="n">
        <v>-0.39</v>
      </c>
      <c r="BP75" s="136" t="n">
        <v>0.02</v>
      </c>
      <c r="BQ75" s="136" t="n">
        <v>0.5</v>
      </c>
      <c r="BR75" s="136" t="n">
        <v>0.032</v>
      </c>
      <c r="BS75" s="136" t="n">
        <v>-0.075</v>
      </c>
      <c r="BT75" s="136" t="n">
        <v>0.005</v>
      </c>
      <c r="BU75" s="136" t="n">
        <v>0.3</v>
      </c>
      <c r="BV75" s="136" t="n">
        <v>0</v>
      </c>
      <c r="BW75" s="136" t="n">
        <v>0.26</v>
      </c>
      <c r="BX75" s="136" t="n">
        <v>0</v>
      </c>
      <c r="BY75" s="136" t="n">
        <v>-0.023</v>
      </c>
      <c r="BZ75" s="136" t="n">
        <v>0.0575</v>
      </c>
      <c r="CA75" s="136" t="n">
        <v>0.15</v>
      </c>
      <c r="CB75" s="136" t="n">
        <v>0.005</v>
      </c>
      <c r="CC75" s="136" t="n">
        <v>-0.023</v>
      </c>
      <c r="CD75" s="136" t="n">
        <v>0.0035</v>
      </c>
      <c r="CE75" s="136" t="n">
        <v>0.0025</v>
      </c>
      <c r="CF75" s="136" t="n">
        <v>0</v>
      </c>
      <c r="CG75" s="136" t="n">
        <v>-0.023</v>
      </c>
      <c r="CH75" s="136" t="n">
        <v>0.0035</v>
      </c>
      <c r="CI75" s="136" t="n">
        <v>-0.0785</v>
      </c>
      <c r="CJ75" s="136" t="n">
        <v>0.0025</v>
      </c>
      <c r="CK75" s="136" t="n">
        <v>0.0775</v>
      </c>
      <c r="CL75" s="136" t="n">
        <v>0.0025</v>
      </c>
      <c r="CM75" s="136" t="n">
        <v>-0.072</v>
      </c>
      <c r="CN75" s="136" t="n">
        <v>0.0075</v>
      </c>
      <c r="CO75" s="136" t="n">
        <v>-0.017</v>
      </c>
      <c r="CP75" s="136" t="n">
        <v>0.005</v>
      </c>
      <c r="CQ75" s="136" t="n">
        <v>0.023</v>
      </c>
      <c r="CR75" s="136" t="n">
        <v>0.0075</v>
      </c>
      <c r="CS75" s="136" t="n">
        <v>0.41</v>
      </c>
      <c r="CT75" s="136" t="n">
        <v>0.01</v>
      </c>
      <c r="CU75" s="136" t="n">
        <v>-0.2</v>
      </c>
      <c r="CV75" s="136" t="n">
        <v>0</v>
      </c>
      <c r="CW75" s="136" t="n">
        <v>0.205</v>
      </c>
      <c r="CX75" s="136" t="n">
        <v>0.0075</v>
      </c>
      <c r="CY75" s="136" t="n">
        <v>-0.65</v>
      </c>
      <c r="CZ75" s="136" t="n">
        <v>0</v>
      </c>
      <c r="DA75" s="136" t="n">
        <v>-0.47</v>
      </c>
      <c r="DB75" s="136" t="n">
        <v>0</v>
      </c>
      <c r="DC75" s="136" t="n">
        <v>1.05</v>
      </c>
      <c r="DE75" s="136" t="n">
        <v>-0.05</v>
      </c>
      <c r="DF75" s="136" t="n">
        <v>0.01</v>
      </c>
      <c r="DG75" s="136" t="n">
        <v>0.0075</v>
      </c>
      <c r="DH75" s="136" t="n">
        <v>0.01</v>
      </c>
      <c r="DI75" s="136" t="n">
        <v>-0.015</v>
      </c>
      <c r="DJ75" s="136" t="n">
        <v>0.0075</v>
      </c>
      <c r="DK75" s="136" t="n">
        <v>-0.0535</v>
      </c>
      <c r="DL75" s="136" t="n">
        <v>0.005</v>
      </c>
      <c r="DM75" s="136" t="n">
        <v>-0.065</v>
      </c>
      <c r="DN75" s="136" t="n">
        <v>0.0025</v>
      </c>
      <c r="DO75" s="136" t="n">
        <v>-0.085</v>
      </c>
      <c r="DP75" s="136" t="n">
        <v>0.0025</v>
      </c>
      <c r="DQ75" s="136" t="n">
        <v>-0.0835</v>
      </c>
      <c r="DR75" s="136" t="n">
        <v>-0.005</v>
      </c>
      <c r="DS75" s="136" t="n">
        <v>0.35</v>
      </c>
      <c r="DT75" s="136" t="n">
        <v>-0.005</v>
      </c>
      <c r="DU75" s="136" t="n">
        <v>0.000130500000000006</v>
      </c>
      <c r="DV75" s="136" t="n">
        <v>0</v>
      </c>
    </row>
    <row r="76" customFormat="false" ht="12.75" hidden="false" customHeight="false" outlineLevel="0" collapsed="false">
      <c r="D76" s="135" t="n">
        <v>38961</v>
      </c>
      <c r="F76" s="174" t="n">
        <v>3.467</v>
      </c>
      <c r="G76" s="175" t="n">
        <v>0.0526493470988063</v>
      </c>
      <c r="H76" s="174" t="n">
        <v>0.2475</v>
      </c>
      <c r="I76" s="174" t="n">
        <v>0.55</v>
      </c>
      <c r="J76" s="174" t="n">
        <v>0.55</v>
      </c>
      <c r="K76" s="174" t="n">
        <v>0.55</v>
      </c>
      <c r="L76" s="172" t="n">
        <v>0.55</v>
      </c>
      <c r="M76" s="172" t="n">
        <v>0.55</v>
      </c>
      <c r="N76" s="174" t="n">
        <v>0.6</v>
      </c>
      <c r="O76" s="174" t="n">
        <v>0.6</v>
      </c>
      <c r="P76" s="174" t="n">
        <v>0.55</v>
      </c>
      <c r="Q76" s="174" t="n">
        <v>0.5</v>
      </c>
      <c r="R76" s="175" t="n">
        <v>0.55</v>
      </c>
      <c r="S76" s="175" t="n">
        <v>0.6</v>
      </c>
      <c r="T76" s="174" t="n">
        <v>0.55</v>
      </c>
      <c r="U76" s="174" t="n">
        <v>0.6</v>
      </c>
      <c r="V76" s="174" t="n">
        <v>0.65</v>
      </c>
      <c r="W76" s="174" t="n">
        <v>-0.09</v>
      </c>
      <c r="X76" s="174" t="n">
        <v>0</v>
      </c>
      <c r="Y76" s="174" t="n">
        <v>0.04</v>
      </c>
      <c r="Z76" s="174" t="n">
        <v>0.005</v>
      </c>
      <c r="AA76" s="174" t="n">
        <v>0.18</v>
      </c>
      <c r="AB76" s="174" t="n">
        <v>0</v>
      </c>
      <c r="AC76" s="174" t="n">
        <v>0.145</v>
      </c>
      <c r="AD76" s="174" t="n">
        <v>0</v>
      </c>
      <c r="AE76" s="174" t="n">
        <v>0.18</v>
      </c>
      <c r="AF76" s="174" t="n">
        <v>0</v>
      </c>
      <c r="AG76" s="174" t="n">
        <v>0.135</v>
      </c>
      <c r="AH76" s="174" t="n">
        <v>0</v>
      </c>
      <c r="AI76" s="174" t="n">
        <v>0.145</v>
      </c>
      <c r="AJ76" s="174" t="n">
        <v>0</v>
      </c>
      <c r="AK76" s="174" t="n">
        <v>0.04</v>
      </c>
      <c r="AL76" s="174" t="n">
        <v>0.04</v>
      </c>
      <c r="AM76" s="174" t="n">
        <v>-0.0625</v>
      </c>
      <c r="AN76" s="174" t="n">
        <v>0.015</v>
      </c>
      <c r="AO76" s="174" t="n">
        <v>-0.42</v>
      </c>
      <c r="AP76" s="174" t="n">
        <v>0.155</v>
      </c>
      <c r="AQ76" s="174" t="n">
        <v>-0.0575</v>
      </c>
      <c r="AR76" s="174" t="n">
        <v>0</v>
      </c>
      <c r="AS76" s="174" t="n">
        <v>-0.15</v>
      </c>
      <c r="AT76" s="174" t="n">
        <v>-0.015</v>
      </c>
      <c r="AU76" s="174" t="n">
        <v>-0.11</v>
      </c>
      <c r="AV76" s="174" t="n">
        <v>0.02</v>
      </c>
      <c r="AW76" s="174" t="n">
        <v>-0.0675</v>
      </c>
      <c r="AX76" s="174" t="n">
        <v>0.01</v>
      </c>
      <c r="AY76" s="175" t="n">
        <v>0.125</v>
      </c>
      <c r="AZ76" s="175" t="n">
        <v>0</v>
      </c>
      <c r="BA76" s="175" t="n">
        <v>-0.195</v>
      </c>
      <c r="BB76" s="174" t="n">
        <v>0.0025</v>
      </c>
      <c r="BC76" s="174" t="n">
        <v>-0.075</v>
      </c>
      <c r="BD76" s="174" t="n">
        <v>0.005</v>
      </c>
      <c r="BE76" s="174" t="n">
        <v>0.26</v>
      </c>
      <c r="BF76" s="174" t="n">
        <v>0.032</v>
      </c>
      <c r="BG76" s="174" t="n">
        <v>-0.065</v>
      </c>
      <c r="BH76" s="174" t="n">
        <v>0</v>
      </c>
      <c r="BI76" s="174" t="n">
        <v>0.06</v>
      </c>
      <c r="BJ76" s="136" t="n">
        <v>0.03</v>
      </c>
      <c r="BK76" s="136" t="n">
        <v>0.26</v>
      </c>
      <c r="BL76" s="136" t="n">
        <v>0.032</v>
      </c>
      <c r="BM76" s="136" t="n">
        <v>-0.2</v>
      </c>
      <c r="BN76" s="136" t="n">
        <v>0</v>
      </c>
      <c r="BO76" s="136" t="n">
        <v>-0.39</v>
      </c>
      <c r="BP76" s="136" t="n">
        <v>0.02</v>
      </c>
      <c r="BQ76" s="136" t="n">
        <v>0.5</v>
      </c>
      <c r="BR76" s="136" t="n">
        <v>0.032</v>
      </c>
      <c r="BS76" s="136" t="n">
        <v>-0.075</v>
      </c>
      <c r="BT76" s="136" t="n">
        <v>0.005</v>
      </c>
      <c r="BU76" s="136" t="n">
        <v>0.3</v>
      </c>
      <c r="BV76" s="136" t="n">
        <v>0</v>
      </c>
      <c r="BW76" s="136" t="n">
        <v>0.26</v>
      </c>
      <c r="BX76" s="136" t="n">
        <v>0</v>
      </c>
      <c r="BY76" s="136" t="n">
        <v>-0.023</v>
      </c>
      <c r="BZ76" s="136" t="n">
        <v>0.0575</v>
      </c>
      <c r="CA76" s="136" t="n">
        <v>0.125</v>
      </c>
      <c r="CB76" s="136" t="n">
        <v>0.005</v>
      </c>
      <c r="CC76" s="136" t="n">
        <v>-0.023</v>
      </c>
      <c r="CD76" s="136" t="n">
        <v>0.0035</v>
      </c>
      <c r="CE76" s="136" t="n">
        <v>0.0025</v>
      </c>
      <c r="CF76" s="136" t="n">
        <v>0</v>
      </c>
      <c r="CG76" s="136" t="n">
        <v>-0.023</v>
      </c>
      <c r="CH76" s="136" t="n">
        <v>0.0035</v>
      </c>
      <c r="CI76" s="136" t="n">
        <v>-0.0835</v>
      </c>
      <c r="CJ76" s="136" t="n">
        <v>0.0025</v>
      </c>
      <c r="CK76" s="136" t="n">
        <v>0.0775</v>
      </c>
      <c r="CL76" s="136" t="n">
        <v>0.0025</v>
      </c>
      <c r="CM76" s="136" t="n">
        <v>-0.072</v>
      </c>
      <c r="CN76" s="136" t="n">
        <v>0.0075</v>
      </c>
      <c r="CO76" s="136" t="n">
        <v>-0.017</v>
      </c>
      <c r="CP76" s="136" t="n">
        <v>0.005</v>
      </c>
      <c r="CQ76" s="136" t="n">
        <v>0.023</v>
      </c>
      <c r="CR76" s="136" t="n">
        <v>0.0075</v>
      </c>
      <c r="CS76" s="136" t="n">
        <v>0.36</v>
      </c>
      <c r="CT76" s="136" t="n">
        <v>0.01</v>
      </c>
      <c r="CU76" s="136" t="n">
        <v>-0.2</v>
      </c>
      <c r="CV76" s="136" t="n">
        <v>0</v>
      </c>
      <c r="CW76" s="136" t="n">
        <v>0.145</v>
      </c>
      <c r="CX76" s="136" t="n">
        <v>0.0075</v>
      </c>
      <c r="CY76" s="136" t="n">
        <v>-0.65</v>
      </c>
      <c r="CZ76" s="136" t="n">
        <v>0</v>
      </c>
      <c r="DA76" s="136" t="n">
        <v>-0.47</v>
      </c>
      <c r="DB76" s="136" t="n">
        <v>0</v>
      </c>
      <c r="DC76" s="136" t="n">
        <v>0.75</v>
      </c>
      <c r="DE76" s="136" t="n">
        <v>-0.055</v>
      </c>
      <c r="DF76" s="136" t="n">
        <v>0.01</v>
      </c>
      <c r="DG76" s="136" t="n">
        <v>0.0075</v>
      </c>
      <c r="DH76" s="136" t="n">
        <v>0.01</v>
      </c>
      <c r="DI76" s="136" t="n">
        <v>-0.015</v>
      </c>
      <c r="DJ76" s="136" t="n">
        <v>0.0075</v>
      </c>
      <c r="DK76" s="136" t="n">
        <v>-0.0635</v>
      </c>
      <c r="DL76" s="136" t="n">
        <v>0.005</v>
      </c>
      <c r="DM76" s="136" t="n">
        <v>-0.065</v>
      </c>
      <c r="DN76" s="136" t="n">
        <v>0.0025</v>
      </c>
      <c r="DO76" s="136" t="n">
        <v>-0.085</v>
      </c>
      <c r="DP76" s="136" t="n">
        <v>0.0025</v>
      </c>
      <c r="DQ76" s="136" t="n">
        <v>-0.0935</v>
      </c>
      <c r="DR76" s="136" t="n">
        <v>-0.005</v>
      </c>
      <c r="DS76" s="136" t="n">
        <v>0.315</v>
      </c>
      <c r="DT76" s="136" t="n">
        <v>-0.005</v>
      </c>
      <c r="DU76" s="136" t="n">
        <v>0.000317500000000005</v>
      </c>
      <c r="DV76" s="136" t="n">
        <v>0</v>
      </c>
    </row>
    <row r="77" customFormat="false" ht="12.75" hidden="false" customHeight="false" outlineLevel="0" collapsed="false">
      <c r="D77" s="135" t="n">
        <v>38991</v>
      </c>
      <c r="F77" s="174" t="n">
        <v>3.492</v>
      </c>
      <c r="G77" s="175" t="n">
        <v>0.0529611349116244</v>
      </c>
      <c r="H77" s="174" t="n">
        <v>0.2475</v>
      </c>
      <c r="I77" s="174" t="n">
        <v>0.6</v>
      </c>
      <c r="J77" s="174" t="n">
        <v>0.6</v>
      </c>
      <c r="K77" s="174" t="n">
        <v>0.55</v>
      </c>
      <c r="L77" s="172" t="n">
        <v>0.6</v>
      </c>
      <c r="M77" s="172" t="n">
        <v>0.6</v>
      </c>
      <c r="N77" s="174" t="n">
        <v>0.65</v>
      </c>
      <c r="O77" s="174" t="n">
        <v>0.65</v>
      </c>
      <c r="P77" s="174" t="n">
        <v>0.6</v>
      </c>
      <c r="Q77" s="174" t="n">
        <v>0.5</v>
      </c>
      <c r="R77" s="175" t="n">
        <v>0.6</v>
      </c>
      <c r="S77" s="175" t="n">
        <v>0.65</v>
      </c>
      <c r="T77" s="174" t="n">
        <v>0.6</v>
      </c>
      <c r="U77" s="174" t="n">
        <v>0.65</v>
      </c>
      <c r="V77" s="174" t="n">
        <v>0.7</v>
      </c>
      <c r="W77" s="174" t="n">
        <v>-0.09</v>
      </c>
      <c r="X77" s="174" t="n">
        <v>0</v>
      </c>
      <c r="Y77" s="174" t="n">
        <v>0.04</v>
      </c>
      <c r="Z77" s="174" t="n">
        <v>0.005</v>
      </c>
      <c r="AA77" s="174" t="n">
        <v>0.18</v>
      </c>
      <c r="AB77" s="174" t="n">
        <v>0</v>
      </c>
      <c r="AC77" s="174" t="n">
        <v>0.145</v>
      </c>
      <c r="AD77" s="174" t="n">
        <v>0</v>
      </c>
      <c r="AE77" s="174" t="n">
        <v>0.18</v>
      </c>
      <c r="AF77" s="174" t="n">
        <v>0</v>
      </c>
      <c r="AG77" s="174" t="n">
        <v>0.135</v>
      </c>
      <c r="AH77" s="174" t="n">
        <v>0</v>
      </c>
      <c r="AI77" s="174" t="n">
        <v>0.145</v>
      </c>
      <c r="AJ77" s="174" t="n">
        <v>0</v>
      </c>
      <c r="AK77" s="174" t="n">
        <v>0.04</v>
      </c>
      <c r="AL77" s="174" t="n">
        <v>0.04</v>
      </c>
      <c r="AM77" s="174" t="n">
        <v>-0.0625</v>
      </c>
      <c r="AN77" s="174" t="n">
        <v>0.015</v>
      </c>
      <c r="AO77" s="174" t="n">
        <v>-0.42</v>
      </c>
      <c r="AP77" s="174" t="n">
        <v>0.155</v>
      </c>
      <c r="AQ77" s="174" t="n">
        <v>-0.0575</v>
      </c>
      <c r="AR77" s="174" t="n">
        <v>0</v>
      </c>
      <c r="AS77" s="174" t="n">
        <v>-0.15</v>
      </c>
      <c r="AT77" s="174" t="n">
        <v>-0.015</v>
      </c>
      <c r="AU77" s="174" t="n">
        <v>-0.11</v>
      </c>
      <c r="AV77" s="174" t="n">
        <v>0.02</v>
      </c>
      <c r="AW77" s="174" t="n">
        <v>-0.0675</v>
      </c>
      <c r="AX77" s="174" t="n">
        <v>0.01</v>
      </c>
      <c r="AY77" s="175" t="n">
        <v>0.125</v>
      </c>
      <c r="AZ77" s="175" t="n">
        <v>0</v>
      </c>
      <c r="BA77" s="175" t="n">
        <v>-0.195</v>
      </c>
      <c r="BB77" s="174" t="n">
        <v>0.0025</v>
      </c>
      <c r="BC77" s="174" t="n">
        <v>-0.075</v>
      </c>
      <c r="BD77" s="174" t="n">
        <v>0.005</v>
      </c>
      <c r="BE77" s="174" t="n">
        <v>0.26</v>
      </c>
      <c r="BF77" s="174" t="n">
        <v>0.032</v>
      </c>
      <c r="BG77" s="174" t="n">
        <v>-0.065</v>
      </c>
      <c r="BH77" s="174" t="n">
        <v>0</v>
      </c>
      <c r="BI77" s="174" t="n">
        <v>0.06</v>
      </c>
      <c r="BJ77" s="136" t="n">
        <v>0.03</v>
      </c>
      <c r="BK77" s="136" t="n">
        <v>0.26</v>
      </c>
      <c r="BL77" s="136" t="n">
        <v>0.032</v>
      </c>
      <c r="BM77" s="136" t="n">
        <v>-0.2</v>
      </c>
      <c r="BN77" s="136" t="n">
        <v>0</v>
      </c>
      <c r="BO77" s="136" t="n">
        <v>-0.39</v>
      </c>
      <c r="BP77" s="136" t="n">
        <v>0.02</v>
      </c>
      <c r="BQ77" s="136" t="n">
        <v>0.5</v>
      </c>
      <c r="BR77" s="136" t="n">
        <v>0.032</v>
      </c>
      <c r="BS77" s="136" t="n">
        <v>-0.075</v>
      </c>
      <c r="BT77" s="136" t="n">
        <v>0.005</v>
      </c>
      <c r="BU77" s="136" t="n">
        <v>0.3</v>
      </c>
      <c r="BV77" s="136" t="n">
        <v>0</v>
      </c>
      <c r="BW77" s="136" t="n">
        <v>0.26</v>
      </c>
      <c r="BX77" s="136" t="n">
        <v>0</v>
      </c>
      <c r="BY77" s="136" t="n">
        <v>-0.023</v>
      </c>
      <c r="BZ77" s="136" t="n">
        <v>0.0575</v>
      </c>
      <c r="CA77" s="136" t="n">
        <v>0.145</v>
      </c>
      <c r="CB77" s="136" t="n">
        <v>0.005</v>
      </c>
      <c r="CC77" s="136" t="n">
        <v>-0.023</v>
      </c>
      <c r="CD77" s="136" t="n">
        <v>0.0035</v>
      </c>
      <c r="CE77" s="136" t="n">
        <v>0.0025</v>
      </c>
      <c r="CF77" s="136" t="n">
        <v>0</v>
      </c>
      <c r="CG77" s="136" t="n">
        <v>-0.023</v>
      </c>
      <c r="CH77" s="136" t="n">
        <v>0.0035</v>
      </c>
      <c r="CI77" s="136" t="n">
        <v>-0.086</v>
      </c>
      <c r="CJ77" s="136" t="n">
        <v>0.0025</v>
      </c>
      <c r="CK77" s="136" t="n">
        <v>0.0775</v>
      </c>
      <c r="CL77" s="136" t="n">
        <v>0.0025</v>
      </c>
      <c r="CM77" s="136" t="n">
        <v>-0.072</v>
      </c>
      <c r="CN77" s="136" t="n">
        <v>0.0075</v>
      </c>
      <c r="CO77" s="136" t="n">
        <v>-0.017</v>
      </c>
      <c r="CP77" s="136" t="n">
        <v>0.005</v>
      </c>
      <c r="CQ77" s="136" t="n">
        <v>0.023</v>
      </c>
      <c r="CR77" s="136" t="n">
        <v>0.0075</v>
      </c>
      <c r="CS77" s="136" t="n">
        <v>0.4</v>
      </c>
      <c r="CT77" s="136" t="n">
        <v>0.01</v>
      </c>
      <c r="CU77" s="136" t="n">
        <v>-0.2</v>
      </c>
      <c r="CV77" s="136" t="n">
        <v>0</v>
      </c>
      <c r="CW77" s="136" t="n">
        <v>0.175</v>
      </c>
      <c r="CX77" s="136" t="n">
        <v>0.0075</v>
      </c>
      <c r="CY77" s="136" t="n">
        <v>-0.65</v>
      </c>
      <c r="CZ77" s="136" t="n">
        <v>0</v>
      </c>
      <c r="DA77" s="136" t="n">
        <v>-0.47</v>
      </c>
      <c r="DB77" s="136" t="n">
        <v>0</v>
      </c>
      <c r="DC77" s="136" t="n">
        <v>0.45</v>
      </c>
      <c r="DE77" s="136" t="n">
        <v>-0.055</v>
      </c>
      <c r="DF77" s="136" t="n">
        <v>0.01</v>
      </c>
      <c r="DG77" s="136" t="n">
        <v>0.005</v>
      </c>
      <c r="DH77" s="136" t="n">
        <v>0.01</v>
      </c>
      <c r="DI77" s="136" t="n">
        <v>-0.0175</v>
      </c>
      <c r="DJ77" s="136" t="n">
        <v>0.0075</v>
      </c>
      <c r="DK77" s="136" t="n">
        <v>-0.051</v>
      </c>
      <c r="DL77" s="136" t="n">
        <v>0.005</v>
      </c>
      <c r="DM77" s="136" t="n">
        <v>-0.065</v>
      </c>
      <c r="DN77" s="136" t="n">
        <v>0.0025</v>
      </c>
      <c r="DO77" s="136" t="n">
        <v>-0.085</v>
      </c>
      <c r="DP77" s="136" t="n">
        <v>0.0025</v>
      </c>
      <c r="DQ77" s="136" t="n">
        <v>-0.081</v>
      </c>
      <c r="DR77" s="136" t="n">
        <v>-0.005</v>
      </c>
      <c r="DS77" s="136" t="n">
        <v>0.36</v>
      </c>
      <c r="DT77" s="136" t="n">
        <v>-0.005</v>
      </c>
      <c r="DU77" s="136" t="n">
        <v>0.000174500000000008</v>
      </c>
      <c r="DV77" s="136" t="n">
        <v>0</v>
      </c>
    </row>
    <row r="78" customFormat="false" ht="12.75" hidden="false" customHeight="false" outlineLevel="0" collapsed="false">
      <c r="D78" s="135" t="n">
        <v>39022</v>
      </c>
      <c r="F78" s="174" t="n">
        <v>3.644</v>
      </c>
      <c r="G78" s="175" t="n">
        <v>0.0532833156855848</v>
      </c>
      <c r="H78" s="174" t="n">
        <v>0.2475</v>
      </c>
      <c r="I78" s="174" t="n">
        <v>0.8</v>
      </c>
      <c r="J78" s="174" t="n">
        <v>0.85</v>
      </c>
      <c r="K78" s="174" t="n">
        <v>0.8</v>
      </c>
      <c r="L78" s="172" t="n">
        <v>0.8</v>
      </c>
      <c r="M78" s="172" t="n">
        <v>0.9</v>
      </c>
      <c r="N78" s="174" t="n">
        <v>0.95</v>
      </c>
      <c r="O78" s="174" t="n">
        <v>0.85</v>
      </c>
      <c r="P78" s="174" t="n">
        <v>0.8</v>
      </c>
      <c r="Q78" s="174" t="n">
        <v>0.95</v>
      </c>
      <c r="R78" s="175" t="n">
        <v>0.8</v>
      </c>
      <c r="S78" s="175" t="n">
        <v>0.8</v>
      </c>
      <c r="T78" s="174" t="n">
        <v>0.8</v>
      </c>
      <c r="U78" s="174" t="n">
        <v>0.95</v>
      </c>
      <c r="V78" s="174" t="n">
        <v>0.9</v>
      </c>
      <c r="W78" s="174" t="n">
        <v>0</v>
      </c>
      <c r="X78" s="174" t="n">
        <v>0.03</v>
      </c>
      <c r="Y78" s="174" t="n">
        <v>0.13</v>
      </c>
      <c r="Z78" s="174" t="n">
        <v>0.02</v>
      </c>
      <c r="AA78" s="174" t="n">
        <v>0.385</v>
      </c>
      <c r="AB78" s="174" t="n">
        <v>0</v>
      </c>
      <c r="AC78" s="174" t="n">
        <v>0.385</v>
      </c>
      <c r="AD78" s="174" t="n">
        <v>0</v>
      </c>
      <c r="AE78" s="174" t="n">
        <v>0.385</v>
      </c>
      <c r="AF78" s="174" t="n">
        <v>0</v>
      </c>
      <c r="AG78" s="174" t="n">
        <v>0.225</v>
      </c>
      <c r="AH78" s="174" t="n">
        <v>0</v>
      </c>
      <c r="AI78" s="174" t="n">
        <v>0.20684</v>
      </c>
      <c r="AJ78" s="174" t="n">
        <v>0</v>
      </c>
      <c r="AK78" s="174" t="n">
        <v>0.13</v>
      </c>
      <c r="AL78" s="174" t="n">
        <v>0.035</v>
      </c>
      <c r="AM78" s="174" t="n">
        <v>-0.0775</v>
      </c>
      <c r="AN78" s="174" t="n">
        <v>0.01</v>
      </c>
      <c r="AO78" s="174" t="n">
        <v>-0.4</v>
      </c>
      <c r="AP78" s="174" t="n">
        <v>0.155</v>
      </c>
      <c r="AQ78" s="174" t="n">
        <v>-0.0575</v>
      </c>
      <c r="AR78" s="174" t="n">
        <v>0.005</v>
      </c>
      <c r="AS78" s="174" t="n">
        <v>-0.15</v>
      </c>
      <c r="AT78" s="174" t="n">
        <v>-0.005</v>
      </c>
      <c r="AU78" s="174" t="n">
        <v>-0.11</v>
      </c>
      <c r="AV78" s="174" t="n">
        <v>-0.01</v>
      </c>
      <c r="AW78" s="174" t="n">
        <v>-0.0675</v>
      </c>
      <c r="AX78" s="174" t="n">
        <v>0.005</v>
      </c>
      <c r="AY78" s="175" t="n">
        <v>0.155</v>
      </c>
      <c r="AZ78" s="175" t="n">
        <v>0</v>
      </c>
      <c r="BA78" s="175" t="n">
        <v>-0.13</v>
      </c>
      <c r="BB78" s="174" t="n">
        <v>0.005</v>
      </c>
      <c r="BC78" s="174" t="n">
        <v>-0.075</v>
      </c>
      <c r="BD78" s="174" t="n">
        <v>0.005</v>
      </c>
      <c r="BE78" s="174" t="n">
        <v>0.24</v>
      </c>
      <c r="BF78" s="174" t="n">
        <v>0.034</v>
      </c>
      <c r="BG78" s="174" t="n">
        <v>-0.065</v>
      </c>
      <c r="BH78" s="174" t="n">
        <v>0</v>
      </c>
      <c r="BI78" s="174" t="n">
        <v>0.15</v>
      </c>
      <c r="BJ78" s="136" t="n">
        <v>0.03</v>
      </c>
      <c r="BK78" s="136" t="n">
        <v>0.24</v>
      </c>
      <c r="BL78" s="136" t="n">
        <v>0.034</v>
      </c>
      <c r="BM78" s="136" t="n">
        <v>0.298</v>
      </c>
      <c r="BN78" s="136" t="n">
        <v>0</v>
      </c>
      <c r="BO78" s="136" t="n">
        <v>-0.26</v>
      </c>
      <c r="BP78" s="136" t="n">
        <v>0.035</v>
      </c>
      <c r="BQ78" s="136" t="n">
        <v>0.5</v>
      </c>
      <c r="BR78" s="136" t="n">
        <v>0.034</v>
      </c>
      <c r="BS78" s="136" t="n">
        <v>-0.075</v>
      </c>
      <c r="BT78" s="136" t="n">
        <v>0.005</v>
      </c>
      <c r="BU78" s="136" t="n">
        <v>0.3</v>
      </c>
      <c r="BV78" s="136" t="n">
        <v>0</v>
      </c>
      <c r="BW78" s="136" t="n">
        <v>0.24</v>
      </c>
      <c r="BX78" s="136" t="n">
        <v>0</v>
      </c>
      <c r="BY78" s="136" t="n">
        <v>-0.023</v>
      </c>
      <c r="BZ78" s="136" t="n">
        <v>0.0575</v>
      </c>
      <c r="CA78" s="136" t="n">
        <v>0.195</v>
      </c>
      <c r="CB78" s="136" t="n">
        <v>0.005</v>
      </c>
      <c r="CC78" s="136" t="n">
        <v>-0.023</v>
      </c>
      <c r="CD78" s="136" t="n">
        <v>0.0037</v>
      </c>
      <c r="CE78" s="136" t="n">
        <v>0.0025</v>
      </c>
      <c r="CF78" s="136" t="n">
        <v>0</v>
      </c>
      <c r="CG78" s="136" t="n">
        <v>-0.023</v>
      </c>
      <c r="CH78" s="136" t="n">
        <v>0.0037</v>
      </c>
      <c r="CI78" s="136" t="n">
        <v>-0.091</v>
      </c>
      <c r="CJ78" s="136" t="n">
        <v>0.0025</v>
      </c>
      <c r="CK78" s="136" t="n">
        <v>0.075</v>
      </c>
      <c r="CL78" s="136" t="n">
        <v>0.0025</v>
      </c>
      <c r="CM78" s="136" t="n">
        <v>-0.066</v>
      </c>
      <c r="CN78" s="136" t="n">
        <v>0.01</v>
      </c>
      <c r="CO78" s="136" t="n">
        <v>-0.011</v>
      </c>
      <c r="CP78" s="136" t="n">
        <v>0.0075</v>
      </c>
      <c r="CQ78" s="136" t="n">
        <v>0.029</v>
      </c>
      <c r="CR78" s="136" t="n">
        <v>0.0125</v>
      </c>
      <c r="CS78" s="136" t="n">
        <v>0.65</v>
      </c>
      <c r="CT78" s="136" t="n">
        <v>0.055</v>
      </c>
      <c r="CU78" s="136" t="n">
        <v>0.298</v>
      </c>
      <c r="CV78" s="136" t="n">
        <v>0</v>
      </c>
      <c r="CW78" s="136" t="n">
        <v>0.21</v>
      </c>
      <c r="CX78" s="136" t="n">
        <v>0.02</v>
      </c>
      <c r="CY78" s="136" t="n">
        <v>-0.52</v>
      </c>
      <c r="CZ78" s="136" t="n">
        <v>0</v>
      </c>
      <c r="DA78" s="136" t="n">
        <v>-0.34</v>
      </c>
      <c r="DB78" s="136" t="n">
        <v>0</v>
      </c>
      <c r="DC78" s="136" t="n">
        <v>0.45</v>
      </c>
      <c r="DE78" s="136" t="n">
        <v>-0.045</v>
      </c>
      <c r="DF78" s="136" t="n">
        <v>0.0125</v>
      </c>
      <c r="DG78" s="136" t="n">
        <v>0.006</v>
      </c>
      <c r="DH78" s="136" t="n">
        <v>0.0075</v>
      </c>
      <c r="DI78" s="136" t="n">
        <v>-0.014</v>
      </c>
      <c r="DJ78" s="136" t="n">
        <v>0.0025</v>
      </c>
      <c r="DK78" s="136" t="n">
        <v>-0.056</v>
      </c>
      <c r="DL78" s="136" t="n">
        <v>0.0025</v>
      </c>
      <c r="DM78" s="136" t="n">
        <v>-0.0675</v>
      </c>
      <c r="DN78" s="136" t="n">
        <v>0.0025</v>
      </c>
      <c r="DO78" s="136" t="n">
        <v>-0.0875</v>
      </c>
      <c r="DP78" s="136" t="n">
        <v>0.0025</v>
      </c>
      <c r="DQ78" s="136" t="n">
        <v>-0.086</v>
      </c>
      <c r="DR78" s="136" t="n">
        <v>-0.005</v>
      </c>
      <c r="DS78" s="136" t="n">
        <v>0.46</v>
      </c>
      <c r="DT78" s="136" t="n">
        <v>0.05</v>
      </c>
      <c r="DU78" s="136" t="n">
        <v>0.0875125</v>
      </c>
      <c r="DV78" s="136" t="n">
        <v>0</v>
      </c>
    </row>
    <row r="79" customFormat="false" ht="12.75" hidden="false" customHeight="false" outlineLevel="0" collapsed="false">
      <c r="D79" s="135" t="n">
        <v>39052</v>
      </c>
      <c r="F79" s="174" t="n">
        <v>3.787</v>
      </c>
      <c r="G79" s="175" t="n">
        <v>0.0535951035642985</v>
      </c>
      <c r="H79" s="174" t="n">
        <v>0.2475</v>
      </c>
      <c r="I79" s="174" t="n">
        <v>1</v>
      </c>
      <c r="J79" s="174" t="n">
        <v>1.05</v>
      </c>
      <c r="K79" s="174" t="n">
        <v>1</v>
      </c>
      <c r="L79" s="172" t="n">
        <v>1</v>
      </c>
      <c r="M79" s="172" t="n">
        <v>1.15</v>
      </c>
      <c r="N79" s="174" t="n">
        <v>1.25</v>
      </c>
      <c r="O79" s="174" t="n">
        <v>1.05</v>
      </c>
      <c r="P79" s="174" t="n">
        <v>1</v>
      </c>
      <c r="Q79" s="174" t="n">
        <v>1.35</v>
      </c>
      <c r="R79" s="175" t="n">
        <v>1</v>
      </c>
      <c r="S79" s="175" t="n">
        <v>1.1</v>
      </c>
      <c r="T79" s="174" t="n">
        <v>1</v>
      </c>
      <c r="U79" s="174" t="n">
        <v>1.25</v>
      </c>
      <c r="V79" s="174" t="n">
        <v>1.1</v>
      </c>
      <c r="W79" s="174" t="n">
        <v>0.005</v>
      </c>
      <c r="X79" s="174" t="n">
        <v>0.03</v>
      </c>
      <c r="Y79" s="174" t="n">
        <v>0.13</v>
      </c>
      <c r="Z79" s="174" t="n">
        <v>0.02</v>
      </c>
      <c r="AA79" s="174" t="n">
        <v>0.385</v>
      </c>
      <c r="AB79" s="174" t="n">
        <v>0</v>
      </c>
      <c r="AC79" s="174" t="n">
        <v>0.385</v>
      </c>
      <c r="AD79" s="174" t="n">
        <v>0</v>
      </c>
      <c r="AE79" s="174" t="n">
        <v>0.385</v>
      </c>
      <c r="AF79" s="174" t="n">
        <v>0</v>
      </c>
      <c r="AG79" s="174" t="n">
        <v>0.225</v>
      </c>
      <c r="AH79" s="174" t="n">
        <v>0</v>
      </c>
      <c r="AI79" s="174" t="n">
        <v>0.21196</v>
      </c>
      <c r="AJ79" s="174" t="n">
        <v>0</v>
      </c>
      <c r="AK79" s="174" t="n">
        <v>0.13</v>
      </c>
      <c r="AL79" s="174" t="n">
        <v>0.035</v>
      </c>
      <c r="AM79" s="174" t="n">
        <v>-0.0775</v>
      </c>
      <c r="AN79" s="174" t="n">
        <v>0.01</v>
      </c>
      <c r="AO79" s="174" t="n">
        <v>-0.4</v>
      </c>
      <c r="AP79" s="174" t="n">
        <v>0.155</v>
      </c>
      <c r="AQ79" s="174" t="n">
        <v>-0.0575</v>
      </c>
      <c r="AR79" s="174" t="n">
        <v>0.005</v>
      </c>
      <c r="AS79" s="174" t="n">
        <v>-0.1525</v>
      </c>
      <c r="AT79" s="174" t="n">
        <v>-0.005</v>
      </c>
      <c r="AU79" s="174" t="n">
        <v>-0.1125</v>
      </c>
      <c r="AV79" s="174" t="n">
        <v>-0.01</v>
      </c>
      <c r="AW79" s="174" t="n">
        <v>-0.0675</v>
      </c>
      <c r="AX79" s="174" t="n">
        <v>0.005</v>
      </c>
      <c r="AY79" s="175" t="n">
        <v>0.155</v>
      </c>
      <c r="AZ79" s="175" t="n">
        <v>0</v>
      </c>
      <c r="BA79" s="175" t="n">
        <v>-0.13</v>
      </c>
      <c r="BB79" s="174" t="n">
        <v>0.005</v>
      </c>
      <c r="BC79" s="174" t="n">
        <v>-0.075</v>
      </c>
      <c r="BD79" s="174" t="n">
        <v>0.005</v>
      </c>
      <c r="BE79" s="174" t="n">
        <v>0.24</v>
      </c>
      <c r="BF79" s="174" t="n">
        <v>0.034</v>
      </c>
      <c r="BG79" s="174" t="n">
        <v>-0.065</v>
      </c>
      <c r="BH79" s="174" t="n">
        <v>0</v>
      </c>
      <c r="BI79" s="174" t="n">
        <v>0.15</v>
      </c>
      <c r="BJ79" s="136" t="n">
        <v>0.03</v>
      </c>
      <c r="BK79" s="136" t="n">
        <v>0.24</v>
      </c>
      <c r="BL79" s="136" t="n">
        <v>0.034</v>
      </c>
      <c r="BM79" s="136" t="n">
        <v>0.358</v>
      </c>
      <c r="BN79" s="136" t="n">
        <v>0</v>
      </c>
      <c r="BO79" s="136" t="n">
        <v>-0.26</v>
      </c>
      <c r="BP79" s="136" t="n">
        <v>0.035</v>
      </c>
      <c r="BQ79" s="136" t="n">
        <v>0.5</v>
      </c>
      <c r="BR79" s="136" t="n">
        <v>0.034</v>
      </c>
      <c r="BS79" s="136" t="n">
        <v>-0.075</v>
      </c>
      <c r="BT79" s="136" t="n">
        <v>0.005</v>
      </c>
      <c r="BU79" s="136" t="n">
        <v>0.3</v>
      </c>
      <c r="BV79" s="136" t="n">
        <v>0</v>
      </c>
      <c r="BW79" s="136" t="n">
        <v>0.24</v>
      </c>
      <c r="BX79" s="136" t="n">
        <v>0</v>
      </c>
      <c r="BY79" s="136" t="n">
        <v>-0.023</v>
      </c>
      <c r="BZ79" s="136" t="n">
        <v>0.0575</v>
      </c>
      <c r="CA79" s="136" t="n">
        <v>0.215</v>
      </c>
      <c r="CB79" s="136" t="n">
        <v>0.005</v>
      </c>
      <c r="CC79" s="136" t="n">
        <v>-0.023</v>
      </c>
      <c r="CD79" s="136" t="n">
        <v>0.0037</v>
      </c>
      <c r="CE79" s="136" t="n">
        <v>0.0025</v>
      </c>
      <c r="CF79" s="136" t="n">
        <v>0</v>
      </c>
      <c r="CG79" s="136" t="n">
        <v>-0.023</v>
      </c>
      <c r="CH79" s="136" t="n">
        <v>0.0037</v>
      </c>
      <c r="CI79" s="136" t="n">
        <v>-0.1185</v>
      </c>
      <c r="CJ79" s="136" t="n">
        <v>0.0025</v>
      </c>
      <c r="CK79" s="136" t="n">
        <v>0.075</v>
      </c>
      <c r="CL79" s="136" t="n">
        <v>0.0025</v>
      </c>
      <c r="CM79" s="136" t="n">
        <v>-0.066</v>
      </c>
      <c r="CN79" s="136" t="n">
        <v>0.01</v>
      </c>
      <c r="CO79" s="136" t="n">
        <v>-0.011</v>
      </c>
      <c r="CP79" s="136" t="n">
        <v>0.0075</v>
      </c>
      <c r="CQ79" s="136" t="n">
        <v>0.029</v>
      </c>
      <c r="CR79" s="136" t="n">
        <v>0.0125</v>
      </c>
      <c r="CS79" s="136" t="n">
        <v>0.98</v>
      </c>
      <c r="CT79" s="136" t="n">
        <v>0.25</v>
      </c>
      <c r="CU79" s="136" t="n">
        <v>0.358</v>
      </c>
      <c r="CV79" s="136" t="n">
        <v>0</v>
      </c>
      <c r="CW79" s="136" t="n">
        <v>0.29</v>
      </c>
      <c r="CX79" s="136" t="n">
        <v>0.02</v>
      </c>
      <c r="CY79" s="136" t="n">
        <v>-0.52</v>
      </c>
      <c r="CZ79" s="136" t="n">
        <v>0</v>
      </c>
      <c r="DA79" s="136" t="n">
        <v>-0.34</v>
      </c>
      <c r="DB79" s="136" t="n">
        <v>0</v>
      </c>
      <c r="DC79" s="136" t="n">
        <v>0.4</v>
      </c>
      <c r="DE79" s="136" t="n">
        <v>-0.045</v>
      </c>
      <c r="DF79" s="136" t="n">
        <v>0.0125</v>
      </c>
      <c r="DG79" s="136" t="n">
        <v>0.006</v>
      </c>
      <c r="DH79" s="136" t="n">
        <v>0.0075</v>
      </c>
      <c r="DI79" s="136" t="n">
        <v>-0.014</v>
      </c>
      <c r="DJ79" s="136" t="n">
        <v>0.0025</v>
      </c>
      <c r="DK79" s="136" t="n">
        <v>-0.0835</v>
      </c>
      <c r="DL79" s="136" t="n">
        <v>0.0025</v>
      </c>
      <c r="DM79" s="136" t="n">
        <v>-0.0655</v>
      </c>
      <c r="DN79" s="136" t="n">
        <v>0.0025</v>
      </c>
      <c r="DO79" s="136" t="n">
        <v>-0.0855</v>
      </c>
      <c r="DP79" s="136" t="n">
        <v>0.0025</v>
      </c>
      <c r="DQ79" s="136" t="n">
        <v>-0.1135</v>
      </c>
      <c r="DR79" s="136" t="n">
        <v>-0.005</v>
      </c>
      <c r="DS79" s="136" t="n">
        <v>0.77</v>
      </c>
      <c r="DT79" s="136" t="n">
        <v>0.05</v>
      </c>
      <c r="DU79" s="136" t="n">
        <v>0.0857525</v>
      </c>
      <c r="DV79" s="136" t="n">
        <v>0</v>
      </c>
    </row>
    <row r="80" customFormat="false" ht="12.75" hidden="false" customHeight="false" outlineLevel="0" collapsed="false">
      <c r="D80" s="135" t="n">
        <v>39083</v>
      </c>
      <c r="F80" s="174" t="n">
        <v>3.8395</v>
      </c>
      <c r="G80" s="175" t="n">
        <v>0.0538548873933569</v>
      </c>
      <c r="H80" s="174" t="n">
        <v>0.2475</v>
      </c>
      <c r="I80" s="174" t="n">
        <v>1</v>
      </c>
      <c r="J80" s="174" t="n">
        <v>1.05</v>
      </c>
      <c r="K80" s="174" t="n">
        <v>1</v>
      </c>
      <c r="L80" s="172" t="n">
        <v>1</v>
      </c>
      <c r="M80" s="172" t="n">
        <v>1.15</v>
      </c>
      <c r="N80" s="174" t="n">
        <v>1.45</v>
      </c>
      <c r="O80" s="174" t="n">
        <v>1.05</v>
      </c>
      <c r="P80" s="174" t="n">
        <v>1</v>
      </c>
      <c r="Q80" s="174" t="n">
        <v>1.35</v>
      </c>
      <c r="R80" s="175" t="n">
        <v>1</v>
      </c>
      <c r="S80" s="175" t="n">
        <v>1.1</v>
      </c>
      <c r="T80" s="174" t="n">
        <v>1</v>
      </c>
      <c r="U80" s="174" t="n">
        <v>1.45</v>
      </c>
      <c r="V80" s="174" t="n">
        <v>1.1</v>
      </c>
      <c r="W80" s="174" t="n">
        <v>0.025</v>
      </c>
      <c r="X80" s="174" t="n">
        <v>0.03</v>
      </c>
      <c r="Y80" s="174" t="n">
        <v>0.13</v>
      </c>
      <c r="Z80" s="174" t="n">
        <v>0.02</v>
      </c>
      <c r="AA80" s="174" t="n">
        <v>0.385</v>
      </c>
      <c r="AB80" s="174" t="n">
        <v>0</v>
      </c>
      <c r="AC80" s="174" t="n">
        <v>0.385</v>
      </c>
      <c r="AD80" s="174" t="n">
        <v>0</v>
      </c>
      <c r="AE80" s="174" t="n">
        <v>0.385</v>
      </c>
      <c r="AF80" s="174" t="n">
        <v>0</v>
      </c>
      <c r="AG80" s="174" t="n">
        <v>0.225</v>
      </c>
      <c r="AH80" s="174" t="n">
        <v>0</v>
      </c>
      <c r="AI80" s="174" t="n">
        <v>0.21356</v>
      </c>
      <c r="AJ80" s="174" t="n">
        <v>0</v>
      </c>
      <c r="AK80" s="174" t="n">
        <v>0.13</v>
      </c>
      <c r="AL80" s="174" t="n">
        <v>0.035</v>
      </c>
      <c r="AM80" s="174" t="n">
        <v>-0.0775</v>
      </c>
      <c r="AN80" s="174" t="n">
        <v>0.01</v>
      </c>
      <c r="AO80" s="174" t="n">
        <v>-0.4</v>
      </c>
      <c r="AP80" s="174" t="n">
        <v>0.155</v>
      </c>
      <c r="AQ80" s="174" t="n">
        <v>-0.0575</v>
      </c>
      <c r="AR80" s="174" t="n">
        <v>0.005</v>
      </c>
      <c r="AS80" s="174" t="n">
        <v>-0.155</v>
      </c>
      <c r="AT80" s="174" t="n">
        <v>-0.005</v>
      </c>
      <c r="AU80" s="174" t="n">
        <v>-0.115</v>
      </c>
      <c r="AV80" s="174" t="n">
        <v>-0.01</v>
      </c>
      <c r="AW80" s="174" t="n">
        <v>-0.0675</v>
      </c>
      <c r="AX80" s="174" t="n">
        <v>0.005</v>
      </c>
      <c r="AY80" s="175" t="n">
        <v>0.155</v>
      </c>
      <c r="AZ80" s="175" t="n">
        <v>0</v>
      </c>
      <c r="BA80" s="175" t="n">
        <v>-0.13</v>
      </c>
      <c r="BB80" s="174" t="n">
        <v>0.005</v>
      </c>
      <c r="BC80" s="174" t="n">
        <v>-0.07</v>
      </c>
      <c r="BD80" s="174" t="n">
        <v>0.005</v>
      </c>
      <c r="BE80" s="174" t="n">
        <v>0.24</v>
      </c>
      <c r="BF80" s="174" t="n">
        <v>0.034</v>
      </c>
      <c r="BG80" s="174" t="n">
        <v>-0.06</v>
      </c>
      <c r="BH80" s="174" t="n">
        <v>0</v>
      </c>
      <c r="BI80" s="174" t="n">
        <v>0.15</v>
      </c>
      <c r="BJ80" s="136" t="n">
        <v>0.03</v>
      </c>
      <c r="BK80" s="136" t="n">
        <v>0.24</v>
      </c>
      <c r="BL80" s="136" t="n">
        <v>0.034</v>
      </c>
      <c r="BM80" s="136" t="n">
        <v>0.428</v>
      </c>
      <c r="BN80" s="136" t="n">
        <v>0</v>
      </c>
      <c r="BO80" s="136" t="n">
        <v>-0.26</v>
      </c>
      <c r="BP80" s="136" t="n">
        <v>0.035</v>
      </c>
      <c r="BQ80" s="136" t="n">
        <v>0.5</v>
      </c>
      <c r="BR80" s="136" t="n">
        <v>0.034</v>
      </c>
      <c r="BS80" s="136" t="n">
        <v>-0.07</v>
      </c>
      <c r="BT80" s="136" t="n">
        <v>0.005</v>
      </c>
      <c r="BU80" s="136" t="n">
        <v>0.3</v>
      </c>
      <c r="BV80" s="136" t="n">
        <v>0</v>
      </c>
      <c r="BW80" s="136" t="n">
        <v>0.24</v>
      </c>
      <c r="BX80" s="136" t="n">
        <v>0</v>
      </c>
      <c r="BY80" s="136" t="n">
        <v>-0.021</v>
      </c>
      <c r="BZ80" s="136" t="n">
        <v>0.0575</v>
      </c>
      <c r="CA80" s="136" t="n">
        <v>0.235</v>
      </c>
      <c r="CB80" s="136" t="n">
        <v>0.005</v>
      </c>
      <c r="CC80" s="136" t="n">
        <v>-0.021</v>
      </c>
      <c r="CD80" s="136" t="n">
        <v>0.0037</v>
      </c>
      <c r="CE80" s="136" t="n">
        <v>0.0025</v>
      </c>
      <c r="CF80" s="136" t="n">
        <v>0.0025</v>
      </c>
      <c r="CG80" s="136" t="n">
        <v>-0.021</v>
      </c>
      <c r="CH80" s="136" t="n">
        <v>0.0037</v>
      </c>
      <c r="CI80" s="136" t="n">
        <v>-0.1165</v>
      </c>
      <c r="CJ80" s="136" t="n">
        <v>0.0025</v>
      </c>
      <c r="CK80" s="136" t="n">
        <v>0.075</v>
      </c>
      <c r="CL80" s="136" t="n">
        <v>0.0025</v>
      </c>
      <c r="CM80" s="136" t="n">
        <v>-0.066</v>
      </c>
      <c r="CN80" s="136" t="n">
        <v>0.01</v>
      </c>
      <c r="CO80" s="136" t="n">
        <v>-0.011</v>
      </c>
      <c r="CP80" s="136" t="n">
        <v>0.0075</v>
      </c>
      <c r="CQ80" s="136" t="n">
        <v>0.029</v>
      </c>
      <c r="CR80" s="136" t="n">
        <v>0.0125</v>
      </c>
      <c r="CS80" s="136" t="n">
        <v>1.6</v>
      </c>
      <c r="CT80" s="136" t="n">
        <v>0.45</v>
      </c>
      <c r="CU80" s="136" t="n">
        <v>0.428</v>
      </c>
      <c r="CV80" s="136" t="n">
        <v>0</v>
      </c>
      <c r="CW80" s="136" t="n">
        <v>0.34</v>
      </c>
      <c r="CX80" s="136" t="n">
        <v>0.02</v>
      </c>
      <c r="CY80" s="136" t="n">
        <v>-0.52</v>
      </c>
      <c r="CZ80" s="136" t="n">
        <v>0</v>
      </c>
      <c r="DA80" s="136" t="n">
        <v>-0.34</v>
      </c>
      <c r="DB80" s="136" t="n">
        <v>0</v>
      </c>
      <c r="DC80" s="136" t="n">
        <v>0.35</v>
      </c>
      <c r="DE80" s="136" t="n">
        <v>-0.045</v>
      </c>
      <c r="DF80" s="136" t="n">
        <v>0.0125</v>
      </c>
      <c r="DG80" s="136" t="n">
        <v>0.006</v>
      </c>
      <c r="DH80" s="136" t="n">
        <v>0.0075</v>
      </c>
      <c r="DI80" s="136" t="n">
        <v>-0.014</v>
      </c>
      <c r="DJ80" s="136" t="n">
        <v>0.0025</v>
      </c>
      <c r="DK80" s="136" t="n">
        <v>-0.0985</v>
      </c>
      <c r="DL80" s="136" t="n">
        <v>0.0025</v>
      </c>
      <c r="DM80" s="136" t="n">
        <v>-0.0655</v>
      </c>
      <c r="DN80" s="136" t="n">
        <v>0.0025</v>
      </c>
      <c r="DO80" s="136" t="n">
        <v>-0.088</v>
      </c>
      <c r="DP80" s="136" t="n">
        <v>0.0025</v>
      </c>
      <c r="DQ80" s="136" t="n">
        <v>-0.1285</v>
      </c>
      <c r="DR80" s="136" t="n">
        <v>-0.005</v>
      </c>
      <c r="DS80" s="136" t="n">
        <v>1.04</v>
      </c>
      <c r="DT80" s="136" t="n">
        <v>0.05</v>
      </c>
      <c r="DU80" s="136" t="n">
        <v>0.0852025</v>
      </c>
      <c r="DV80" s="136" t="n">
        <v>0</v>
      </c>
    </row>
    <row r="81" customFormat="false" ht="12.75" hidden="false" customHeight="false" outlineLevel="0" collapsed="false">
      <c r="D81" s="135" t="n">
        <v>39114</v>
      </c>
      <c r="F81" s="174" t="n">
        <v>3.7545</v>
      </c>
      <c r="G81" s="175" t="n">
        <v>0.0540389034386073</v>
      </c>
      <c r="H81" s="174" t="n">
        <v>0.2425</v>
      </c>
      <c r="I81" s="174" t="n">
        <v>1</v>
      </c>
      <c r="J81" s="174" t="n">
        <v>1.05</v>
      </c>
      <c r="K81" s="174" t="n">
        <v>1</v>
      </c>
      <c r="L81" s="172" t="n">
        <v>1</v>
      </c>
      <c r="M81" s="172" t="n">
        <v>1.15</v>
      </c>
      <c r="N81" s="174" t="n">
        <v>1.45</v>
      </c>
      <c r="O81" s="174" t="n">
        <v>1.05</v>
      </c>
      <c r="P81" s="174" t="n">
        <v>1</v>
      </c>
      <c r="Q81" s="174" t="n">
        <v>1.35</v>
      </c>
      <c r="R81" s="175" t="n">
        <v>1</v>
      </c>
      <c r="S81" s="175" t="n">
        <v>1.1</v>
      </c>
      <c r="T81" s="174" t="n">
        <v>1</v>
      </c>
      <c r="U81" s="174" t="n">
        <v>1.45</v>
      </c>
      <c r="V81" s="174" t="n">
        <v>1.1</v>
      </c>
      <c r="W81" s="174" t="n">
        <v>0.02</v>
      </c>
      <c r="X81" s="174" t="n">
        <v>0.03</v>
      </c>
      <c r="Y81" s="174" t="n">
        <v>0.13</v>
      </c>
      <c r="Z81" s="174" t="n">
        <v>0.02</v>
      </c>
      <c r="AA81" s="174" t="n">
        <v>0.385</v>
      </c>
      <c r="AB81" s="174" t="n">
        <v>0</v>
      </c>
      <c r="AC81" s="174" t="n">
        <v>0.385</v>
      </c>
      <c r="AD81" s="174" t="n">
        <v>0</v>
      </c>
      <c r="AE81" s="174" t="n">
        <v>0.385</v>
      </c>
      <c r="AF81" s="174" t="n">
        <v>0</v>
      </c>
      <c r="AG81" s="174" t="n">
        <v>0.225</v>
      </c>
      <c r="AH81" s="174" t="n">
        <v>0</v>
      </c>
      <c r="AI81" s="174" t="n">
        <v>0.211</v>
      </c>
      <c r="AJ81" s="174" t="n">
        <v>0</v>
      </c>
      <c r="AK81" s="174" t="n">
        <v>0.13</v>
      </c>
      <c r="AL81" s="174" t="n">
        <v>0.035</v>
      </c>
      <c r="AM81" s="174" t="n">
        <v>-0.0775</v>
      </c>
      <c r="AN81" s="174" t="n">
        <v>0.01</v>
      </c>
      <c r="AO81" s="174" t="n">
        <v>-0.4</v>
      </c>
      <c r="AP81" s="174" t="n">
        <v>0.155</v>
      </c>
      <c r="AQ81" s="174" t="n">
        <v>-0.0575</v>
      </c>
      <c r="AR81" s="174" t="n">
        <v>0.005</v>
      </c>
      <c r="AS81" s="174" t="n">
        <v>-0.1475</v>
      </c>
      <c r="AT81" s="174" t="n">
        <v>-0.005</v>
      </c>
      <c r="AU81" s="174" t="n">
        <v>-0.1075</v>
      </c>
      <c r="AV81" s="174" t="n">
        <v>-0.01</v>
      </c>
      <c r="AW81" s="174" t="n">
        <v>-0.0675</v>
      </c>
      <c r="AX81" s="174" t="n">
        <v>0.005</v>
      </c>
      <c r="AY81" s="175" t="n">
        <v>0.155</v>
      </c>
      <c r="AZ81" s="175" t="n">
        <v>0</v>
      </c>
      <c r="BA81" s="175" t="n">
        <v>-0.13</v>
      </c>
      <c r="BB81" s="174" t="n">
        <v>0.005</v>
      </c>
      <c r="BC81" s="174" t="n">
        <v>-0.07</v>
      </c>
      <c r="BD81" s="174" t="n">
        <v>0.005</v>
      </c>
      <c r="BE81" s="174" t="n">
        <v>0.24</v>
      </c>
      <c r="BF81" s="174" t="n">
        <v>0.034</v>
      </c>
      <c r="BG81" s="174" t="n">
        <v>-0.06</v>
      </c>
      <c r="BH81" s="174" t="n">
        <v>0</v>
      </c>
      <c r="BI81" s="174" t="n">
        <v>0.15</v>
      </c>
      <c r="BJ81" s="136" t="n">
        <v>0.03</v>
      </c>
      <c r="BK81" s="136" t="n">
        <v>0.24</v>
      </c>
      <c r="BL81" s="136" t="n">
        <v>0.034</v>
      </c>
      <c r="BM81" s="136" t="n">
        <v>0.298</v>
      </c>
      <c r="BN81" s="136" t="n">
        <v>0</v>
      </c>
      <c r="BO81" s="136" t="n">
        <v>-0.26</v>
      </c>
      <c r="BP81" s="136" t="n">
        <v>0.035</v>
      </c>
      <c r="BQ81" s="136" t="n">
        <v>0.5</v>
      </c>
      <c r="BR81" s="136" t="n">
        <v>0.034</v>
      </c>
      <c r="BS81" s="136" t="n">
        <v>-0.07</v>
      </c>
      <c r="BT81" s="136" t="n">
        <v>0.005</v>
      </c>
      <c r="BU81" s="136" t="n">
        <v>0.3</v>
      </c>
      <c r="BV81" s="136" t="n">
        <v>0</v>
      </c>
      <c r="BW81" s="136" t="n">
        <v>0.24</v>
      </c>
      <c r="BX81" s="136" t="n">
        <v>0</v>
      </c>
      <c r="BY81" s="136" t="n">
        <v>-0.021</v>
      </c>
      <c r="BZ81" s="136" t="n">
        <v>0.0575</v>
      </c>
      <c r="CA81" s="136" t="n">
        <v>0.235</v>
      </c>
      <c r="CB81" s="136" t="n">
        <v>0.005</v>
      </c>
      <c r="CC81" s="136" t="n">
        <v>-0.021</v>
      </c>
      <c r="CD81" s="136" t="n">
        <v>0.0037</v>
      </c>
      <c r="CE81" s="136" t="n">
        <v>0.0025</v>
      </c>
      <c r="CF81" s="136" t="n">
        <v>0.0025</v>
      </c>
      <c r="CG81" s="136" t="n">
        <v>-0.021</v>
      </c>
      <c r="CH81" s="136" t="n">
        <v>0.0037</v>
      </c>
      <c r="CI81" s="136" t="n">
        <v>-0.1165</v>
      </c>
      <c r="CJ81" s="136" t="n">
        <v>0.0025</v>
      </c>
      <c r="CK81" s="136" t="n">
        <v>0.075</v>
      </c>
      <c r="CL81" s="136" t="n">
        <v>0.0025</v>
      </c>
      <c r="CM81" s="136" t="n">
        <v>-0.066</v>
      </c>
      <c r="CN81" s="136" t="n">
        <v>0.01</v>
      </c>
      <c r="CO81" s="136" t="n">
        <v>-0.011</v>
      </c>
      <c r="CP81" s="136" t="n">
        <v>0.0075</v>
      </c>
      <c r="CQ81" s="136" t="n">
        <v>0.029</v>
      </c>
      <c r="CR81" s="136" t="n">
        <v>0.0125</v>
      </c>
      <c r="CS81" s="136" t="n">
        <v>1.6</v>
      </c>
      <c r="CT81" s="136" t="n">
        <v>0.45</v>
      </c>
      <c r="CU81" s="136" t="n">
        <v>0.298</v>
      </c>
      <c r="CV81" s="136" t="n">
        <v>0</v>
      </c>
      <c r="CW81" s="136" t="n">
        <v>0.34</v>
      </c>
      <c r="CX81" s="136" t="n">
        <v>0.02</v>
      </c>
      <c r="CY81" s="136" t="n">
        <v>-0.52</v>
      </c>
      <c r="CZ81" s="136" t="n">
        <v>0</v>
      </c>
      <c r="DA81" s="136" t="n">
        <v>-0.34</v>
      </c>
      <c r="DB81" s="136" t="n">
        <v>0</v>
      </c>
      <c r="DC81" s="136" t="n">
        <v>0.35</v>
      </c>
      <c r="DE81" s="136" t="n">
        <v>-0.045</v>
      </c>
      <c r="DF81" s="136" t="n">
        <v>0.0125</v>
      </c>
      <c r="DG81" s="136" t="n">
        <v>0.006</v>
      </c>
      <c r="DH81" s="136" t="n">
        <v>0.0075</v>
      </c>
      <c r="DI81" s="136" t="n">
        <v>-0.014</v>
      </c>
      <c r="DJ81" s="136" t="n">
        <v>0.0025</v>
      </c>
      <c r="DK81" s="136" t="n">
        <v>-0.0885</v>
      </c>
      <c r="DL81" s="136" t="n">
        <v>0.0025</v>
      </c>
      <c r="DM81" s="136" t="n">
        <v>-0.0655</v>
      </c>
      <c r="DN81" s="136" t="n">
        <v>0.0025</v>
      </c>
      <c r="DO81" s="136" t="n">
        <v>-0.088</v>
      </c>
      <c r="DP81" s="136" t="n">
        <v>0.0025</v>
      </c>
      <c r="DQ81" s="136" t="n">
        <v>-0.1185</v>
      </c>
      <c r="DR81" s="136" t="n">
        <v>-0.005</v>
      </c>
      <c r="DS81" s="136" t="n">
        <v>1.04</v>
      </c>
      <c r="DT81" s="136" t="n">
        <v>0.05</v>
      </c>
      <c r="DU81" s="136" t="n">
        <v>0.0860825</v>
      </c>
      <c r="DV81" s="136" t="n">
        <v>0</v>
      </c>
    </row>
    <row r="82" customFormat="false" ht="12.75" hidden="false" customHeight="false" outlineLevel="0" collapsed="false">
      <c r="D82" s="135" t="n">
        <v>39142</v>
      </c>
      <c r="F82" s="174" t="n">
        <v>3.6245</v>
      </c>
      <c r="G82" s="175" t="n">
        <v>0.054205111489178</v>
      </c>
      <c r="H82" s="174" t="n">
        <v>0.24</v>
      </c>
      <c r="I82" s="174" t="n">
        <v>0.75</v>
      </c>
      <c r="J82" s="174" t="n">
        <v>0.8</v>
      </c>
      <c r="K82" s="174" t="n">
        <v>0.75</v>
      </c>
      <c r="L82" s="172" t="n">
        <v>0.75</v>
      </c>
      <c r="M82" s="172" t="n">
        <v>0.85</v>
      </c>
      <c r="N82" s="174" t="n">
        <v>1</v>
      </c>
      <c r="O82" s="174" t="n">
        <v>0.75</v>
      </c>
      <c r="P82" s="174" t="n">
        <v>0.75</v>
      </c>
      <c r="Q82" s="174" t="n">
        <v>0.95</v>
      </c>
      <c r="R82" s="175" t="n">
        <v>0.75</v>
      </c>
      <c r="S82" s="175" t="n">
        <v>0.75</v>
      </c>
      <c r="T82" s="174" t="n">
        <v>0.75</v>
      </c>
      <c r="U82" s="174" t="n">
        <v>1</v>
      </c>
      <c r="V82" s="174" t="n">
        <v>0.85</v>
      </c>
      <c r="W82" s="174" t="n">
        <v>0</v>
      </c>
      <c r="X82" s="174" t="n">
        <v>0.03</v>
      </c>
      <c r="Y82" s="174" t="n">
        <v>0.13</v>
      </c>
      <c r="Z82" s="174" t="n">
        <v>0.02</v>
      </c>
      <c r="AA82" s="174" t="n">
        <v>0.385</v>
      </c>
      <c r="AB82" s="174" t="n">
        <v>0</v>
      </c>
      <c r="AC82" s="174" t="n">
        <v>0.385</v>
      </c>
      <c r="AD82" s="174" t="n">
        <v>0</v>
      </c>
      <c r="AE82" s="174" t="n">
        <v>0.385</v>
      </c>
      <c r="AF82" s="174" t="n">
        <v>0</v>
      </c>
      <c r="AG82" s="174" t="n">
        <v>0.225</v>
      </c>
      <c r="AH82" s="174" t="n">
        <v>0</v>
      </c>
      <c r="AI82" s="174" t="n">
        <v>0.20684</v>
      </c>
      <c r="AJ82" s="174" t="n">
        <v>0</v>
      </c>
      <c r="AK82" s="174" t="n">
        <v>0.13</v>
      </c>
      <c r="AL82" s="174" t="n">
        <v>0.035</v>
      </c>
      <c r="AM82" s="174" t="n">
        <v>-0.0775</v>
      </c>
      <c r="AN82" s="174" t="n">
        <v>0.01</v>
      </c>
      <c r="AO82" s="174" t="n">
        <v>-0.4</v>
      </c>
      <c r="AP82" s="174" t="n">
        <v>0.155</v>
      </c>
      <c r="AQ82" s="174" t="n">
        <v>-0.0575</v>
      </c>
      <c r="AR82" s="174" t="n">
        <v>0.005</v>
      </c>
      <c r="AS82" s="174" t="n">
        <v>-0.145</v>
      </c>
      <c r="AT82" s="174" t="n">
        <v>-0.005</v>
      </c>
      <c r="AU82" s="174" t="n">
        <v>-0.105</v>
      </c>
      <c r="AV82" s="174" t="n">
        <v>-0.01</v>
      </c>
      <c r="AW82" s="174" t="n">
        <v>-0.0675</v>
      </c>
      <c r="AX82" s="174" t="n">
        <v>0.005</v>
      </c>
      <c r="AY82" s="175" t="n">
        <v>0.155</v>
      </c>
      <c r="AZ82" s="175" t="n">
        <v>0</v>
      </c>
      <c r="BA82" s="175" t="n">
        <v>-0.13</v>
      </c>
      <c r="BB82" s="174" t="n">
        <v>0.005</v>
      </c>
      <c r="BC82" s="174" t="n">
        <v>-0.07</v>
      </c>
      <c r="BD82" s="174" t="n">
        <v>0.005</v>
      </c>
      <c r="BE82" s="174" t="n">
        <v>0.24</v>
      </c>
      <c r="BF82" s="174" t="n">
        <v>0.034</v>
      </c>
      <c r="BG82" s="174" t="n">
        <v>-0.06</v>
      </c>
      <c r="BH82" s="174" t="n">
        <v>0</v>
      </c>
      <c r="BI82" s="174" t="n">
        <v>0.15</v>
      </c>
      <c r="BJ82" s="136" t="n">
        <v>0.03</v>
      </c>
      <c r="BK82" s="136" t="n">
        <v>0.24</v>
      </c>
      <c r="BL82" s="136" t="n">
        <v>0.034</v>
      </c>
      <c r="BM82" s="136" t="n">
        <v>0.118</v>
      </c>
      <c r="BN82" s="136" t="n">
        <v>0</v>
      </c>
      <c r="BO82" s="136" t="n">
        <v>-0.26</v>
      </c>
      <c r="BP82" s="136" t="n">
        <v>0.035</v>
      </c>
      <c r="BQ82" s="136" t="n">
        <v>0.5</v>
      </c>
      <c r="BR82" s="136" t="n">
        <v>0.034</v>
      </c>
      <c r="BS82" s="136" t="n">
        <v>-0.07</v>
      </c>
      <c r="BT82" s="136" t="n">
        <v>0.005</v>
      </c>
      <c r="BU82" s="136" t="n">
        <v>0.3</v>
      </c>
      <c r="BV82" s="136" t="n">
        <v>0</v>
      </c>
      <c r="BW82" s="136" t="n">
        <v>0.24</v>
      </c>
      <c r="BX82" s="136" t="n">
        <v>0</v>
      </c>
      <c r="BY82" s="136" t="n">
        <v>-0.021</v>
      </c>
      <c r="BZ82" s="136" t="n">
        <v>0.0575</v>
      </c>
      <c r="CA82" s="136" t="n">
        <v>0.195</v>
      </c>
      <c r="CB82" s="136" t="n">
        <v>0.005</v>
      </c>
      <c r="CC82" s="136" t="n">
        <v>-0.021</v>
      </c>
      <c r="CD82" s="136" t="n">
        <v>0.0037</v>
      </c>
      <c r="CE82" s="136" t="n">
        <v>0.0025</v>
      </c>
      <c r="CF82" s="136" t="n">
        <v>0.0025</v>
      </c>
      <c r="CG82" s="136" t="n">
        <v>-0.021</v>
      </c>
      <c r="CH82" s="136" t="n">
        <v>0.0037</v>
      </c>
      <c r="CI82" s="136" t="n">
        <v>-0.1165</v>
      </c>
      <c r="CJ82" s="136" t="n">
        <v>0.0025</v>
      </c>
      <c r="CK82" s="136" t="n">
        <v>0.075</v>
      </c>
      <c r="CL82" s="136" t="n">
        <v>0.0025</v>
      </c>
      <c r="CM82" s="136" t="n">
        <v>-0.066</v>
      </c>
      <c r="CN82" s="136" t="n">
        <v>0.01</v>
      </c>
      <c r="CO82" s="136" t="n">
        <v>-0.011</v>
      </c>
      <c r="CP82" s="136" t="n">
        <v>0.0075</v>
      </c>
      <c r="CQ82" s="136" t="n">
        <v>0.029</v>
      </c>
      <c r="CR82" s="136" t="n">
        <v>0.0125</v>
      </c>
      <c r="CS82" s="136" t="n">
        <v>0.64</v>
      </c>
      <c r="CT82" s="136" t="n">
        <v>0.1</v>
      </c>
      <c r="CU82" s="136" t="n">
        <v>0.118</v>
      </c>
      <c r="CV82" s="136" t="n">
        <v>0</v>
      </c>
      <c r="CW82" s="136" t="n">
        <v>0.29</v>
      </c>
      <c r="CX82" s="136" t="n">
        <v>0.02</v>
      </c>
      <c r="CY82" s="136" t="n">
        <v>-0.52</v>
      </c>
      <c r="CZ82" s="136" t="n">
        <v>0</v>
      </c>
      <c r="DA82" s="136" t="n">
        <v>-0.34</v>
      </c>
      <c r="DB82" s="136" t="n">
        <v>0</v>
      </c>
      <c r="DC82" s="136" t="n">
        <v>0.4</v>
      </c>
      <c r="DE82" s="136" t="n">
        <v>-0.045</v>
      </c>
      <c r="DF82" s="136" t="n">
        <v>0.0125</v>
      </c>
      <c r="DG82" s="136" t="n">
        <v>0.011</v>
      </c>
      <c r="DH82" s="136" t="n">
        <v>0.0075</v>
      </c>
      <c r="DI82" s="136" t="n">
        <v>-0.009</v>
      </c>
      <c r="DJ82" s="136" t="n">
        <v>0.0025</v>
      </c>
      <c r="DK82" s="136" t="n">
        <v>-0.0785</v>
      </c>
      <c r="DL82" s="136" t="n">
        <v>0.0025</v>
      </c>
      <c r="DM82" s="136" t="n">
        <v>-0.0655</v>
      </c>
      <c r="DN82" s="136" t="n">
        <v>0.0025</v>
      </c>
      <c r="DO82" s="136" t="n">
        <v>-0.088</v>
      </c>
      <c r="DP82" s="136" t="n">
        <v>0.0025</v>
      </c>
      <c r="DQ82" s="136" t="n">
        <v>-0.1085</v>
      </c>
      <c r="DR82" s="136" t="n">
        <v>-0.005</v>
      </c>
      <c r="DS82" s="136" t="n">
        <v>0.54</v>
      </c>
      <c r="DT82" s="136" t="n">
        <v>0.05</v>
      </c>
      <c r="DU82" s="136" t="n">
        <v>0.0875125</v>
      </c>
      <c r="DV82" s="136" t="n">
        <v>0</v>
      </c>
    </row>
    <row r="83" customFormat="false" ht="12.75" hidden="false" customHeight="false" outlineLevel="0" collapsed="false">
      <c r="D83" s="135" t="n">
        <v>39173</v>
      </c>
      <c r="F83" s="174" t="n">
        <v>3.4395</v>
      </c>
      <c r="G83" s="175" t="n">
        <v>0.0543891275559032</v>
      </c>
      <c r="H83" s="174" t="n">
        <v>0.24</v>
      </c>
      <c r="I83" s="174" t="n">
        <v>0.4</v>
      </c>
      <c r="J83" s="174" t="n">
        <v>0.45</v>
      </c>
      <c r="K83" s="174" t="n">
        <v>0.4</v>
      </c>
      <c r="L83" s="172" t="n">
        <v>0.45</v>
      </c>
      <c r="M83" s="172" t="n">
        <v>0.45</v>
      </c>
      <c r="N83" s="174" t="n">
        <v>0.45</v>
      </c>
      <c r="O83" s="174" t="n">
        <v>0.45</v>
      </c>
      <c r="P83" s="174" t="n">
        <v>0.45</v>
      </c>
      <c r="Q83" s="174" t="n">
        <v>0.5</v>
      </c>
      <c r="R83" s="175" t="n">
        <v>0.4</v>
      </c>
      <c r="S83" s="175" t="n">
        <v>0.45</v>
      </c>
      <c r="T83" s="174" t="n">
        <v>0.4</v>
      </c>
      <c r="U83" s="174" t="n">
        <v>0.45</v>
      </c>
      <c r="V83" s="174" t="n">
        <v>0.55</v>
      </c>
      <c r="W83" s="174" t="n">
        <v>-0.09</v>
      </c>
      <c r="X83" s="174" t="n">
        <v>0</v>
      </c>
      <c r="Y83" s="174" t="n">
        <v>0.04</v>
      </c>
      <c r="Z83" s="174" t="n">
        <v>0.005</v>
      </c>
      <c r="AA83" s="174" t="n">
        <v>0.19</v>
      </c>
      <c r="AB83" s="174" t="n">
        <v>0</v>
      </c>
      <c r="AC83" s="174" t="n">
        <v>0.155</v>
      </c>
      <c r="AD83" s="174" t="n">
        <v>0</v>
      </c>
      <c r="AE83" s="174" t="n">
        <v>0.19</v>
      </c>
      <c r="AF83" s="174" t="n">
        <v>0</v>
      </c>
      <c r="AG83" s="174" t="n">
        <v>0.145</v>
      </c>
      <c r="AH83" s="174" t="n">
        <v>0</v>
      </c>
      <c r="AI83" s="174" t="n">
        <v>0.155</v>
      </c>
      <c r="AJ83" s="174" t="n">
        <v>0</v>
      </c>
      <c r="AK83" s="174" t="n">
        <v>0.04</v>
      </c>
      <c r="AL83" s="174" t="n">
        <v>0.04</v>
      </c>
      <c r="AM83" s="174" t="n">
        <v>-0.06</v>
      </c>
      <c r="AN83" s="174" t="n">
        <v>0.017</v>
      </c>
      <c r="AO83" s="174" t="n">
        <v>-0.435</v>
      </c>
      <c r="AP83" s="174" t="n">
        <v>0.155</v>
      </c>
      <c r="AQ83" s="174" t="n">
        <v>-0.055</v>
      </c>
      <c r="AR83" s="174" t="n">
        <v>0</v>
      </c>
      <c r="AS83" s="174" t="n">
        <v>-0.15</v>
      </c>
      <c r="AT83" s="174" t="n">
        <v>-0.015</v>
      </c>
      <c r="AU83" s="174" t="n">
        <v>-0.11</v>
      </c>
      <c r="AV83" s="174" t="n">
        <v>0.02</v>
      </c>
      <c r="AW83" s="174" t="n">
        <v>-0.065</v>
      </c>
      <c r="AX83" s="174" t="n">
        <v>0.01</v>
      </c>
      <c r="AY83" s="175" t="n">
        <v>0.125</v>
      </c>
      <c r="AZ83" s="175" t="n">
        <v>0</v>
      </c>
      <c r="BA83" s="175" t="n">
        <v>-0.195</v>
      </c>
      <c r="BB83" s="174" t="n">
        <v>0.0025</v>
      </c>
      <c r="BC83" s="174" t="n">
        <v>-0.07</v>
      </c>
      <c r="BD83" s="174" t="n">
        <v>0.005</v>
      </c>
      <c r="BE83" s="174" t="n">
        <v>0.26</v>
      </c>
      <c r="BF83" s="174" t="n">
        <v>0.034</v>
      </c>
      <c r="BG83" s="174" t="n">
        <v>-0.06</v>
      </c>
      <c r="BH83" s="174" t="n">
        <v>0</v>
      </c>
      <c r="BI83" s="174" t="n">
        <v>0.06</v>
      </c>
      <c r="BJ83" s="136" t="n">
        <v>0.03</v>
      </c>
      <c r="BK83" s="136" t="n">
        <v>0.26</v>
      </c>
      <c r="BL83" s="136" t="n">
        <v>0.034</v>
      </c>
      <c r="BM83" s="136" t="n">
        <v>-0.2</v>
      </c>
      <c r="BN83" s="136" t="n">
        <v>0</v>
      </c>
      <c r="BO83" s="136" t="n">
        <v>-0.39</v>
      </c>
      <c r="BP83" s="136" t="n">
        <v>0.02</v>
      </c>
      <c r="BQ83" s="136" t="n">
        <v>0.5</v>
      </c>
      <c r="BR83" s="136" t="n">
        <v>0.034</v>
      </c>
      <c r="BS83" s="136" t="n">
        <v>-0.07</v>
      </c>
      <c r="BT83" s="136" t="n">
        <v>0.005</v>
      </c>
      <c r="BU83" s="136" t="n">
        <v>0.3</v>
      </c>
      <c r="BV83" s="136" t="n">
        <v>0</v>
      </c>
      <c r="BW83" s="136" t="n">
        <v>0.26</v>
      </c>
      <c r="BX83" s="136" t="n">
        <v>0</v>
      </c>
      <c r="BY83" s="136" t="n">
        <v>-0.021</v>
      </c>
      <c r="BZ83" s="136" t="n">
        <v>0.0575</v>
      </c>
      <c r="CA83" s="136" t="n">
        <v>0.145</v>
      </c>
      <c r="CB83" s="136" t="n">
        <v>0.005</v>
      </c>
      <c r="CC83" s="136" t="n">
        <v>-0.021</v>
      </c>
      <c r="CD83" s="136" t="n">
        <v>0.0035</v>
      </c>
      <c r="CE83" s="136" t="n">
        <v>0.0025</v>
      </c>
      <c r="CF83" s="136" t="n">
        <v>0.0025</v>
      </c>
      <c r="CG83" s="136" t="n">
        <v>-0.021</v>
      </c>
      <c r="CH83" s="136" t="n">
        <v>0.0035</v>
      </c>
      <c r="CI83" s="136" t="n">
        <v>-0.1365</v>
      </c>
      <c r="CJ83" s="136" t="n">
        <v>0.0025</v>
      </c>
      <c r="CK83" s="136" t="n">
        <v>0.0775</v>
      </c>
      <c r="CL83" s="136" t="n">
        <v>0.0025</v>
      </c>
      <c r="CM83" s="136" t="n">
        <v>-0.072</v>
      </c>
      <c r="CN83" s="136" t="n">
        <v>0.0075</v>
      </c>
      <c r="CO83" s="136" t="n">
        <v>-0.017</v>
      </c>
      <c r="CP83" s="136" t="n">
        <v>0.005</v>
      </c>
      <c r="CQ83" s="136" t="n">
        <v>0.023</v>
      </c>
      <c r="CR83" s="136" t="n">
        <v>0.0075</v>
      </c>
      <c r="CS83" s="136" t="n">
        <v>0.38</v>
      </c>
      <c r="CT83" s="136" t="n">
        <v>0.02</v>
      </c>
      <c r="CU83" s="136" t="n">
        <v>-0.2</v>
      </c>
      <c r="CV83" s="136" t="n">
        <v>0</v>
      </c>
      <c r="CW83" s="136" t="n">
        <v>0.195</v>
      </c>
      <c r="CX83" s="136" t="n">
        <v>0.0075</v>
      </c>
      <c r="CY83" s="136" t="n">
        <v>-0.65</v>
      </c>
      <c r="CZ83" s="136" t="n">
        <v>0</v>
      </c>
      <c r="DA83" s="136" t="n">
        <v>-0.47</v>
      </c>
      <c r="DB83" s="136" t="n">
        <v>0</v>
      </c>
      <c r="DC83" s="136" t="n">
        <v>0.6</v>
      </c>
      <c r="DE83" s="136" t="n">
        <v>-0.0525</v>
      </c>
      <c r="DF83" s="136" t="n">
        <v>0.01</v>
      </c>
      <c r="DG83" s="136" t="n">
        <v>0.011</v>
      </c>
      <c r="DH83" s="136" t="n">
        <v>0.01</v>
      </c>
      <c r="DI83" s="136" t="n">
        <v>-0.009</v>
      </c>
      <c r="DJ83" s="136" t="n">
        <v>0.0075</v>
      </c>
      <c r="DK83" s="136" t="n">
        <v>-0.1215</v>
      </c>
      <c r="DL83" s="136" t="n">
        <v>0.005</v>
      </c>
      <c r="DM83" s="136" t="n">
        <v>-0.063</v>
      </c>
      <c r="DN83" s="136" t="n">
        <v>0.0025</v>
      </c>
      <c r="DO83" s="136" t="n">
        <v>-0.0855</v>
      </c>
      <c r="DP83" s="136" t="n">
        <v>0.0025</v>
      </c>
      <c r="DQ83" s="136" t="n">
        <v>-0.1515</v>
      </c>
      <c r="DR83" s="136" t="n">
        <v>-0.005</v>
      </c>
      <c r="DS83" s="136" t="n">
        <v>0.36</v>
      </c>
      <c r="DT83" s="136" t="n">
        <v>0.005</v>
      </c>
      <c r="DU83" s="136" t="n">
        <v>0.000537500000000003</v>
      </c>
      <c r="DV83" s="136" t="n">
        <v>0</v>
      </c>
    </row>
    <row r="84" customFormat="false" ht="12.75" hidden="false" customHeight="false" outlineLevel="0" collapsed="false">
      <c r="D84" s="135" t="n">
        <v>39203</v>
      </c>
      <c r="F84" s="174" t="n">
        <v>3.4345</v>
      </c>
      <c r="G84" s="175" t="n">
        <v>0.054567207631218</v>
      </c>
      <c r="H84" s="174" t="n">
        <v>0.24</v>
      </c>
      <c r="I84" s="174" t="n">
        <v>0.45</v>
      </c>
      <c r="J84" s="174" t="n">
        <v>0.5</v>
      </c>
      <c r="K84" s="174" t="n">
        <v>0.4</v>
      </c>
      <c r="L84" s="172" t="n">
        <v>0.4</v>
      </c>
      <c r="M84" s="172" t="n">
        <v>0.45</v>
      </c>
      <c r="N84" s="174" t="n">
        <v>0.5</v>
      </c>
      <c r="O84" s="174" t="n">
        <v>0.45</v>
      </c>
      <c r="P84" s="174" t="n">
        <v>0.4</v>
      </c>
      <c r="Q84" s="174" t="n">
        <v>0.45</v>
      </c>
      <c r="R84" s="175" t="n">
        <v>0.45</v>
      </c>
      <c r="S84" s="175" t="n">
        <v>0.5</v>
      </c>
      <c r="T84" s="174" t="n">
        <v>0.45</v>
      </c>
      <c r="U84" s="174" t="n">
        <v>0.5</v>
      </c>
      <c r="V84" s="174" t="n">
        <v>0.5</v>
      </c>
      <c r="W84" s="174" t="n">
        <v>-0.09</v>
      </c>
      <c r="X84" s="174" t="n">
        <v>0</v>
      </c>
      <c r="Y84" s="174" t="n">
        <v>0.04</v>
      </c>
      <c r="Z84" s="174" t="n">
        <v>0.005</v>
      </c>
      <c r="AA84" s="174" t="n">
        <v>0.19</v>
      </c>
      <c r="AB84" s="174" t="n">
        <v>0</v>
      </c>
      <c r="AC84" s="174" t="n">
        <v>0.155</v>
      </c>
      <c r="AD84" s="174" t="n">
        <v>0</v>
      </c>
      <c r="AE84" s="174" t="n">
        <v>0.19</v>
      </c>
      <c r="AF84" s="174" t="n">
        <v>0</v>
      </c>
      <c r="AG84" s="174" t="n">
        <v>0.145</v>
      </c>
      <c r="AH84" s="174" t="n">
        <v>0</v>
      </c>
      <c r="AI84" s="174" t="n">
        <v>0.155</v>
      </c>
      <c r="AJ84" s="174" t="n">
        <v>0</v>
      </c>
      <c r="AK84" s="174" t="n">
        <v>0.04</v>
      </c>
      <c r="AL84" s="174" t="n">
        <v>0.04</v>
      </c>
      <c r="AM84" s="174" t="n">
        <v>-0.06</v>
      </c>
      <c r="AN84" s="174" t="n">
        <v>0.017</v>
      </c>
      <c r="AO84" s="174" t="n">
        <v>-0.435</v>
      </c>
      <c r="AP84" s="174" t="n">
        <v>0.155</v>
      </c>
      <c r="AQ84" s="174" t="n">
        <v>-0.055</v>
      </c>
      <c r="AR84" s="174" t="n">
        <v>0</v>
      </c>
      <c r="AS84" s="174" t="n">
        <v>-0.15</v>
      </c>
      <c r="AT84" s="174" t="n">
        <v>-0.015</v>
      </c>
      <c r="AU84" s="174" t="n">
        <v>-0.11</v>
      </c>
      <c r="AV84" s="174" t="n">
        <v>0.02</v>
      </c>
      <c r="AW84" s="174" t="n">
        <v>-0.065</v>
      </c>
      <c r="AX84" s="174" t="n">
        <v>0.01</v>
      </c>
      <c r="AY84" s="175" t="n">
        <v>0.125</v>
      </c>
      <c r="AZ84" s="175" t="n">
        <v>0</v>
      </c>
      <c r="BA84" s="175" t="n">
        <v>-0.195</v>
      </c>
      <c r="BB84" s="174" t="n">
        <v>0.0025</v>
      </c>
      <c r="BC84" s="174" t="n">
        <v>-0.07</v>
      </c>
      <c r="BD84" s="174" t="n">
        <v>0.005</v>
      </c>
      <c r="BE84" s="174" t="n">
        <v>0.26</v>
      </c>
      <c r="BF84" s="174" t="n">
        <v>0.034</v>
      </c>
      <c r="BG84" s="174" t="n">
        <v>-0.06</v>
      </c>
      <c r="BH84" s="174" t="n">
        <v>0</v>
      </c>
      <c r="BI84" s="174" t="n">
        <v>0.06</v>
      </c>
      <c r="BJ84" s="136" t="n">
        <v>0.03</v>
      </c>
      <c r="BK84" s="136" t="n">
        <v>0.26</v>
      </c>
      <c r="BL84" s="136" t="n">
        <v>0.034</v>
      </c>
      <c r="BM84" s="136" t="n">
        <v>-0.2</v>
      </c>
      <c r="BN84" s="136" t="n">
        <v>0</v>
      </c>
      <c r="BO84" s="136" t="n">
        <v>-0.39</v>
      </c>
      <c r="BP84" s="136" t="n">
        <v>0.02</v>
      </c>
      <c r="BQ84" s="136" t="n">
        <v>0.5</v>
      </c>
      <c r="BR84" s="136" t="n">
        <v>0.034</v>
      </c>
      <c r="BS84" s="136" t="n">
        <v>-0.07</v>
      </c>
      <c r="BT84" s="136" t="n">
        <v>0.005</v>
      </c>
      <c r="BU84" s="136" t="n">
        <v>0.3</v>
      </c>
      <c r="BV84" s="136" t="n">
        <v>0</v>
      </c>
      <c r="BW84" s="136" t="n">
        <v>0.26</v>
      </c>
      <c r="BX84" s="136" t="n">
        <v>0</v>
      </c>
      <c r="BY84" s="136" t="n">
        <v>-0.021</v>
      </c>
      <c r="BZ84" s="136" t="n">
        <v>0.0575</v>
      </c>
      <c r="CA84" s="136" t="n">
        <v>0.125</v>
      </c>
      <c r="CB84" s="136" t="n">
        <v>0.005</v>
      </c>
      <c r="CC84" s="136" t="n">
        <v>-0.021</v>
      </c>
      <c r="CD84" s="136" t="n">
        <v>0.0035</v>
      </c>
      <c r="CE84" s="136" t="n">
        <v>0.0025</v>
      </c>
      <c r="CF84" s="136" t="n">
        <v>0.0025</v>
      </c>
      <c r="CG84" s="136" t="n">
        <v>-0.021</v>
      </c>
      <c r="CH84" s="136" t="n">
        <v>0.0035</v>
      </c>
      <c r="CI84" s="136" t="n">
        <v>-0.124</v>
      </c>
      <c r="CJ84" s="136" t="n">
        <v>0.0025</v>
      </c>
      <c r="CK84" s="136" t="n">
        <v>0.0775</v>
      </c>
      <c r="CL84" s="136" t="n">
        <v>0.0025</v>
      </c>
      <c r="CM84" s="136" t="n">
        <v>-0.072</v>
      </c>
      <c r="CN84" s="136" t="n">
        <v>0.0075</v>
      </c>
      <c r="CO84" s="136" t="n">
        <v>-0.017</v>
      </c>
      <c r="CP84" s="136" t="n">
        <v>0.005</v>
      </c>
      <c r="CQ84" s="136" t="n">
        <v>0.023</v>
      </c>
      <c r="CR84" s="136" t="n">
        <v>0.0075</v>
      </c>
      <c r="CS84" s="136" t="n">
        <v>0.33</v>
      </c>
      <c r="CT84" s="136" t="n">
        <v>0.02</v>
      </c>
      <c r="CU84" s="136" t="n">
        <v>-0.2</v>
      </c>
      <c r="CV84" s="136" t="n">
        <v>0</v>
      </c>
      <c r="CW84" s="136" t="n">
        <v>0.135</v>
      </c>
      <c r="CX84" s="136" t="n">
        <v>0.0075</v>
      </c>
      <c r="CY84" s="136" t="n">
        <v>-0.65</v>
      </c>
      <c r="CZ84" s="136" t="n">
        <v>0</v>
      </c>
      <c r="DA84" s="136" t="n">
        <v>-0.47</v>
      </c>
      <c r="DB84" s="136" t="n">
        <v>0</v>
      </c>
      <c r="DC84" s="136" t="n">
        <v>0.75</v>
      </c>
      <c r="DE84" s="136" t="n">
        <v>-0.0525</v>
      </c>
      <c r="DF84" s="136" t="n">
        <v>0.01</v>
      </c>
      <c r="DG84" s="136" t="n">
        <v>0.0135</v>
      </c>
      <c r="DH84" s="136" t="n">
        <v>0.01</v>
      </c>
      <c r="DI84" s="136" t="n">
        <v>-0.0065</v>
      </c>
      <c r="DJ84" s="136" t="n">
        <v>0.0075</v>
      </c>
      <c r="DK84" s="136" t="n">
        <v>-0.099</v>
      </c>
      <c r="DL84" s="136" t="n">
        <v>0.005</v>
      </c>
      <c r="DM84" s="136" t="n">
        <v>-0.063</v>
      </c>
      <c r="DN84" s="136" t="n">
        <v>0.0025</v>
      </c>
      <c r="DO84" s="136" t="n">
        <v>-0.0855</v>
      </c>
      <c r="DP84" s="136" t="n">
        <v>0.0025</v>
      </c>
      <c r="DQ84" s="136" t="n">
        <v>-0.129</v>
      </c>
      <c r="DR84" s="136" t="n">
        <v>-0.005</v>
      </c>
      <c r="DS84" s="136" t="n">
        <v>0.325</v>
      </c>
      <c r="DT84" s="136" t="n">
        <v>0.005</v>
      </c>
      <c r="DU84" s="136" t="n">
        <v>0.000559500000000004</v>
      </c>
      <c r="DV84" s="136" t="n">
        <v>0</v>
      </c>
    </row>
    <row r="85" customFormat="false" ht="12.75" hidden="false" customHeight="false" outlineLevel="0" collapsed="false">
      <c r="D85" s="135" t="n">
        <v>39234</v>
      </c>
      <c r="F85" s="174" t="n">
        <v>3.4695</v>
      </c>
      <c r="G85" s="175" t="n">
        <v>0.0547512237201424</v>
      </c>
      <c r="H85" s="174" t="n">
        <v>0.24</v>
      </c>
      <c r="I85" s="174" t="n">
        <v>0.45</v>
      </c>
      <c r="J85" s="174" t="n">
        <v>0.5</v>
      </c>
      <c r="K85" s="174" t="n">
        <v>0.4</v>
      </c>
      <c r="L85" s="172" t="n">
        <v>0.5</v>
      </c>
      <c r="M85" s="172" t="n">
        <v>0.45</v>
      </c>
      <c r="N85" s="174" t="n">
        <v>0.5</v>
      </c>
      <c r="O85" s="174" t="n">
        <v>0.5</v>
      </c>
      <c r="P85" s="174" t="n">
        <v>0.5</v>
      </c>
      <c r="Q85" s="174" t="n">
        <v>0.5</v>
      </c>
      <c r="R85" s="175" t="n">
        <v>0.45</v>
      </c>
      <c r="S85" s="175" t="n">
        <v>0.5</v>
      </c>
      <c r="T85" s="174" t="n">
        <v>0.45</v>
      </c>
      <c r="U85" s="174" t="n">
        <v>0.5</v>
      </c>
      <c r="V85" s="174" t="n">
        <v>0.6</v>
      </c>
      <c r="W85" s="174" t="n">
        <v>-0.09</v>
      </c>
      <c r="X85" s="174" t="n">
        <v>0</v>
      </c>
      <c r="Y85" s="174" t="n">
        <v>0.04</v>
      </c>
      <c r="Z85" s="174" t="n">
        <v>0.005</v>
      </c>
      <c r="AA85" s="174" t="n">
        <v>0.19</v>
      </c>
      <c r="AB85" s="174" t="n">
        <v>0</v>
      </c>
      <c r="AC85" s="174" t="n">
        <v>0.155</v>
      </c>
      <c r="AD85" s="174" t="n">
        <v>0</v>
      </c>
      <c r="AE85" s="174" t="n">
        <v>0.19</v>
      </c>
      <c r="AF85" s="174" t="n">
        <v>0</v>
      </c>
      <c r="AG85" s="174" t="n">
        <v>0.145</v>
      </c>
      <c r="AH85" s="174" t="n">
        <v>0</v>
      </c>
      <c r="AI85" s="174" t="n">
        <v>0.155</v>
      </c>
      <c r="AJ85" s="174" t="n">
        <v>0</v>
      </c>
      <c r="AK85" s="174" t="n">
        <v>0.04</v>
      </c>
      <c r="AL85" s="174" t="n">
        <v>0.04</v>
      </c>
      <c r="AM85" s="174" t="n">
        <v>-0.06</v>
      </c>
      <c r="AN85" s="174" t="n">
        <v>0.017</v>
      </c>
      <c r="AO85" s="174" t="n">
        <v>-0.435</v>
      </c>
      <c r="AP85" s="174" t="n">
        <v>0.155</v>
      </c>
      <c r="AQ85" s="174" t="n">
        <v>-0.055</v>
      </c>
      <c r="AR85" s="174" t="n">
        <v>0</v>
      </c>
      <c r="AS85" s="174" t="n">
        <v>-0.15</v>
      </c>
      <c r="AT85" s="174" t="n">
        <v>-0.015</v>
      </c>
      <c r="AU85" s="174" t="n">
        <v>-0.11</v>
      </c>
      <c r="AV85" s="174" t="n">
        <v>0.02</v>
      </c>
      <c r="AW85" s="174" t="n">
        <v>-0.065</v>
      </c>
      <c r="AX85" s="174" t="n">
        <v>0.01</v>
      </c>
      <c r="AY85" s="175" t="n">
        <v>0.125</v>
      </c>
      <c r="AZ85" s="175" t="n">
        <v>0</v>
      </c>
      <c r="BA85" s="175" t="n">
        <v>-0.195</v>
      </c>
      <c r="BB85" s="174" t="n">
        <v>0.0025</v>
      </c>
      <c r="BC85" s="174" t="n">
        <v>-0.07</v>
      </c>
      <c r="BD85" s="174" t="n">
        <v>0.005</v>
      </c>
      <c r="BE85" s="174" t="n">
        <v>0.26</v>
      </c>
      <c r="BF85" s="174" t="n">
        <v>0.034</v>
      </c>
      <c r="BG85" s="174" t="n">
        <v>-0.06</v>
      </c>
      <c r="BH85" s="174" t="n">
        <v>0</v>
      </c>
      <c r="BI85" s="174" t="n">
        <v>0.06</v>
      </c>
      <c r="BJ85" s="136" t="n">
        <v>0.03</v>
      </c>
      <c r="BK85" s="136" t="n">
        <v>0.26</v>
      </c>
      <c r="BL85" s="136" t="n">
        <v>0.034</v>
      </c>
      <c r="BM85" s="136" t="n">
        <v>-0.2</v>
      </c>
      <c r="BN85" s="136" t="n">
        <v>0</v>
      </c>
      <c r="BO85" s="136" t="n">
        <v>-0.39</v>
      </c>
      <c r="BP85" s="136" t="n">
        <v>0.02</v>
      </c>
      <c r="BQ85" s="136" t="n">
        <v>0.5</v>
      </c>
      <c r="BR85" s="136" t="n">
        <v>0.034</v>
      </c>
      <c r="BS85" s="136" t="n">
        <v>-0.07</v>
      </c>
      <c r="BT85" s="136" t="n">
        <v>0.005</v>
      </c>
      <c r="BU85" s="136" t="n">
        <v>0.3</v>
      </c>
      <c r="BV85" s="136" t="n">
        <v>0</v>
      </c>
      <c r="BW85" s="136" t="n">
        <v>0.26</v>
      </c>
      <c r="BX85" s="136" t="n">
        <v>0</v>
      </c>
      <c r="BY85" s="136" t="n">
        <v>-0.021</v>
      </c>
      <c r="BZ85" s="136" t="n">
        <v>0.0575</v>
      </c>
      <c r="CA85" s="136" t="n">
        <v>0.145</v>
      </c>
      <c r="CB85" s="136" t="n">
        <v>0.005</v>
      </c>
      <c r="CC85" s="136" t="n">
        <v>-0.021</v>
      </c>
      <c r="CD85" s="136" t="n">
        <v>0.0035</v>
      </c>
      <c r="CE85" s="136" t="n">
        <v>0.0025</v>
      </c>
      <c r="CF85" s="136" t="n">
        <v>0.0025</v>
      </c>
      <c r="CG85" s="136" t="n">
        <v>-0.021</v>
      </c>
      <c r="CH85" s="136" t="n">
        <v>0.0035</v>
      </c>
      <c r="CI85" s="136" t="n">
        <v>-0.0815</v>
      </c>
      <c r="CJ85" s="136" t="n">
        <v>0.0025</v>
      </c>
      <c r="CK85" s="136" t="n">
        <v>0.0775</v>
      </c>
      <c r="CL85" s="136" t="n">
        <v>0.0025</v>
      </c>
      <c r="CM85" s="136" t="n">
        <v>-0.072</v>
      </c>
      <c r="CN85" s="136" t="n">
        <v>0.0075</v>
      </c>
      <c r="CO85" s="136" t="n">
        <v>-0.017</v>
      </c>
      <c r="CP85" s="136" t="n">
        <v>0.005</v>
      </c>
      <c r="CQ85" s="136" t="n">
        <v>0.023</v>
      </c>
      <c r="CR85" s="136" t="n">
        <v>0.0075</v>
      </c>
      <c r="CS85" s="136" t="n">
        <v>0.37</v>
      </c>
      <c r="CT85" s="136" t="n">
        <v>0.035</v>
      </c>
      <c r="CU85" s="136" t="n">
        <v>-0.2</v>
      </c>
      <c r="CV85" s="136" t="n">
        <v>0</v>
      </c>
      <c r="CW85" s="136" t="n">
        <v>0.165</v>
      </c>
      <c r="CX85" s="136" t="n">
        <v>0.0075</v>
      </c>
      <c r="CY85" s="136" t="n">
        <v>-0.65</v>
      </c>
      <c r="CZ85" s="136" t="n">
        <v>0</v>
      </c>
      <c r="DA85" s="136" t="n">
        <v>-0.47</v>
      </c>
      <c r="DB85" s="136" t="n">
        <v>0</v>
      </c>
      <c r="DC85" s="136" t="n">
        <v>0.85</v>
      </c>
      <c r="DE85" s="136" t="n">
        <v>-0.05</v>
      </c>
      <c r="DF85" s="136" t="n">
        <v>0.01</v>
      </c>
      <c r="DG85" s="136" t="n">
        <v>0.0135</v>
      </c>
      <c r="DH85" s="136" t="n">
        <v>0.01</v>
      </c>
      <c r="DI85" s="136" t="n">
        <v>-0.0065</v>
      </c>
      <c r="DJ85" s="136" t="n">
        <v>0.0075</v>
      </c>
      <c r="DK85" s="136" t="n">
        <v>-0.0465</v>
      </c>
      <c r="DL85" s="136" t="n">
        <v>0.005</v>
      </c>
      <c r="DM85" s="136" t="n">
        <v>-0.063</v>
      </c>
      <c r="DN85" s="136" t="n">
        <v>0.0025</v>
      </c>
      <c r="DO85" s="136" t="n">
        <v>-0.0855</v>
      </c>
      <c r="DP85" s="136" t="n">
        <v>0.0025</v>
      </c>
      <c r="DQ85" s="136" t="n">
        <v>-0.0765</v>
      </c>
      <c r="DR85" s="136" t="n">
        <v>-0.005</v>
      </c>
      <c r="DS85" s="136" t="n">
        <v>0.335</v>
      </c>
      <c r="DT85" s="136" t="n">
        <v>0.005</v>
      </c>
      <c r="DU85" s="136" t="n">
        <v>0.000119500000000002</v>
      </c>
      <c r="DV85" s="136" t="n">
        <v>0</v>
      </c>
    </row>
    <row r="86" customFormat="false" ht="12.75" hidden="false" customHeight="false" outlineLevel="0" collapsed="false">
      <c r="D86" s="135" t="n">
        <v>39264</v>
      </c>
      <c r="F86" s="174" t="n">
        <v>3.5095</v>
      </c>
      <c r="G86" s="175" t="n">
        <v>0.0549293038169378</v>
      </c>
      <c r="H86" s="174" t="n">
        <v>0.24</v>
      </c>
      <c r="I86" s="174" t="n">
        <v>0.5</v>
      </c>
      <c r="J86" s="174" t="n">
        <v>0.5</v>
      </c>
      <c r="K86" s="174" t="n">
        <v>0.4</v>
      </c>
      <c r="L86" s="172" t="n">
        <v>0.5</v>
      </c>
      <c r="M86" s="172" t="n">
        <v>0.5</v>
      </c>
      <c r="N86" s="174" t="n">
        <v>0.5</v>
      </c>
      <c r="O86" s="174" t="n">
        <v>0.5</v>
      </c>
      <c r="P86" s="174" t="n">
        <v>0.5</v>
      </c>
      <c r="Q86" s="174" t="n">
        <v>0.5</v>
      </c>
      <c r="R86" s="175" t="n">
        <v>0.5</v>
      </c>
      <c r="S86" s="175" t="n">
        <v>0.55</v>
      </c>
      <c r="T86" s="174" t="n">
        <v>0.5</v>
      </c>
      <c r="U86" s="174" t="n">
        <v>0.5</v>
      </c>
      <c r="V86" s="174" t="n">
        <v>0.6</v>
      </c>
      <c r="W86" s="174" t="n">
        <v>-0.09</v>
      </c>
      <c r="X86" s="174" t="n">
        <v>0</v>
      </c>
      <c r="Y86" s="174" t="n">
        <v>0.04</v>
      </c>
      <c r="Z86" s="174" t="n">
        <v>0.005</v>
      </c>
      <c r="AA86" s="174" t="n">
        <v>0.19</v>
      </c>
      <c r="AB86" s="174" t="n">
        <v>0</v>
      </c>
      <c r="AC86" s="174" t="n">
        <v>0.155</v>
      </c>
      <c r="AD86" s="174" t="n">
        <v>0</v>
      </c>
      <c r="AE86" s="174" t="n">
        <v>0.19</v>
      </c>
      <c r="AF86" s="174" t="n">
        <v>0</v>
      </c>
      <c r="AG86" s="174" t="n">
        <v>0.145</v>
      </c>
      <c r="AH86" s="174" t="n">
        <v>0</v>
      </c>
      <c r="AI86" s="174" t="n">
        <v>0.155</v>
      </c>
      <c r="AJ86" s="174" t="n">
        <v>0</v>
      </c>
      <c r="AK86" s="174" t="n">
        <v>0.04</v>
      </c>
      <c r="AL86" s="174" t="n">
        <v>0.04</v>
      </c>
      <c r="AM86" s="174" t="n">
        <v>-0.06</v>
      </c>
      <c r="AN86" s="174" t="n">
        <v>0.017</v>
      </c>
      <c r="AO86" s="174" t="n">
        <v>-0.435</v>
      </c>
      <c r="AP86" s="174" t="n">
        <v>0.155</v>
      </c>
      <c r="AQ86" s="174" t="n">
        <v>-0.055</v>
      </c>
      <c r="AR86" s="174" t="n">
        <v>0</v>
      </c>
      <c r="AS86" s="174" t="n">
        <v>-0.15</v>
      </c>
      <c r="AT86" s="174" t="n">
        <v>-0.015</v>
      </c>
      <c r="AU86" s="174" t="n">
        <v>-0.11</v>
      </c>
      <c r="AV86" s="174" t="n">
        <v>0.02</v>
      </c>
      <c r="AW86" s="174" t="n">
        <v>-0.065</v>
      </c>
      <c r="AX86" s="174" t="n">
        <v>0.01</v>
      </c>
      <c r="AY86" s="175" t="n">
        <v>0.125</v>
      </c>
      <c r="AZ86" s="175" t="n">
        <v>0</v>
      </c>
      <c r="BA86" s="175" t="n">
        <v>-0.195</v>
      </c>
      <c r="BB86" s="174" t="n">
        <v>0.0025</v>
      </c>
      <c r="BC86" s="174" t="n">
        <v>-0.07</v>
      </c>
      <c r="BD86" s="174" t="n">
        <v>0.005</v>
      </c>
      <c r="BE86" s="174" t="n">
        <v>0.26</v>
      </c>
      <c r="BF86" s="174" t="n">
        <v>0.034</v>
      </c>
      <c r="BG86" s="174" t="n">
        <v>-0.06</v>
      </c>
      <c r="BH86" s="174" t="n">
        <v>0</v>
      </c>
      <c r="BI86" s="174" t="n">
        <v>0.06</v>
      </c>
      <c r="BJ86" s="136" t="n">
        <v>0.03</v>
      </c>
      <c r="BK86" s="136" t="n">
        <v>0.26</v>
      </c>
      <c r="BL86" s="136" t="n">
        <v>0.034</v>
      </c>
      <c r="BM86" s="136" t="n">
        <v>-0.2</v>
      </c>
      <c r="BN86" s="136" t="n">
        <v>0</v>
      </c>
      <c r="BO86" s="136" t="n">
        <v>-0.39</v>
      </c>
      <c r="BP86" s="136" t="n">
        <v>0.02</v>
      </c>
      <c r="BQ86" s="136" t="n">
        <v>0.5</v>
      </c>
      <c r="BR86" s="136" t="n">
        <v>0.034</v>
      </c>
      <c r="BS86" s="136" t="n">
        <v>-0.07</v>
      </c>
      <c r="BT86" s="136" t="n">
        <v>0.005</v>
      </c>
      <c r="BU86" s="136" t="n">
        <v>0.3</v>
      </c>
      <c r="BV86" s="136" t="n">
        <v>0</v>
      </c>
      <c r="BW86" s="136" t="n">
        <v>0.26</v>
      </c>
      <c r="BX86" s="136" t="n">
        <v>0</v>
      </c>
      <c r="BY86" s="136" t="n">
        <v>-0.021</v>
      </c>
      <c r="BZ86" s="136" t="n">
        <v>0.0575</v>
      </c>
      <c r="CA86" s="136" t="n">
        <v>0.15</v>
      </c>
      <c r="CB86" s="136" t="n">
        <v>0.005</v>
      </c>
      <c r="CC86" s="136" t="n">
        <v>-0.021</v>
      </c>
      <c r="CD86" s="136" t="n">
        <v>0.0035</v>
      </c>
      <c r="CE86" s="136" t="n">
        <v>0.0025</v>
      </c>
      <c r="CF86" s="136" t="n">
        <v>0.0025</v>
      </c>
      <c r="CG86" s="136" t="n">
        <v>-0.021</v>
      </c>
      <c r="CH86" s="136" t="n">
        <v>0.0035</v>
      </c>
      <c r="CI86" s="136" t="n">
        <v>-0.079</v>
      </c>
      <c r="CJ86" s="136" t="n">
        <v>0.0025</v>
      </c>
      <c r="CK86" s="136" t="n">
        <v>0.0775</v>
      </c>
      <c r="CL86" s="136" t="n">
        <v>0.0025</v>
      </c>
      <c r="CM86" s="136" t="n">
        <v>-0.072</v>
      </c>
      <c r="CN86" s="136" t="n">
        <v>0.0075</v>
      </c>
      <c r="CO86" s="136" t="n">
        <v>-0.017</v>
      </c>
      <c r="CP86" s="136" t="n">
        <v>0.005</v>
      </c>
      <c r="CQ86" s="136" t="n">
        <v>0.023</v>
      </c>
      <c r="CR86" s="136" t="n">
        <v>0.0075</v>
      </c>
      <c r="CS86" s="136" t="n">
        <v>0.41</v>
      </c>
      <c r="CT86" s="136" t="n">
        <v>0.035</v>
      </c>
      <c r="CU86" s="136" t="n">
        <v>-0.2</v>
      </c>
      <c r="CV86" s="136" t="n">
        <v>0</v>
      </c>
      <c r="CW86" s="136" t="n">
        <v>0.205</v>
      </c>
      <c r="CX86" s="136" t="n">
        <v>0.0075</v>
      </c>
      <c r="CY86" s="136" t="n">
        <v>-0.65</v>
      </c>
      <c r="CZ86" s="136" t="n">
        <v>0</v>
      </c>
      <c r="DA86" s="136" t="n">
        <v>-0.47</v>
      </c>
      <c r="DB86" s="136" t="n">
        <v>0</v>
      </c>
      <c r="DC86" s="136" t="n">
        <v>1.05</v>
      </c>
      <c r="DE86" s="136" t="n">
        <v>-0.05</v>
      </c>
      <c r="DF86" s="136" t="n">
        <v>0.01</v>
      </c>
      <c r="DG86" s="136" t="n">
        <v>0.0135</v>
      </c>
      <c r="DH86" s="136" t="n">
        <v>0.01</v>
      </c>
      <c r="DI86" s="136" t="n">
        <v>-0.0065</v>
      </c>
      <c r="DJ86" s="136" t="n">
        <v>0.0075</v>
      </c>
      <c r="DK86" s="136" t="n">
        <v>-0.0565</v>
      </c>
      <c r="DL86" s="136" t="n">
        <v>0.005</v>
      </c>
      <c r="DM86" s="136" t="n">
        <v>-0.063</v>
      </c>
      <c r="DN86" s="136" t="n">
        <v>0.0025</v>
      </c>
      <c r="DO86" s="136" t="n">
        <v>-0.0855</v>
      </c>
      <c r="DP86" s="136" t="n">
        <v>0.0025</v>
      </c>
      <c r="DQ86" s="136" t="n">
        <v>-0.0865</v>
      </c>
      <c r="DR86" s="136" t="n">
        <v>-0.005</v>
      </c>
      <c r="DS86" s="136" t="n">
        <v>0.35</v>
      </c>
      <c r="DT86" s="136" t="n">
        <v>0.005</v>
      </c>
      <c r="DU86" s="136" t="n">
        <v>0.000342499999999996</v>
      </c>
      <c r="DV86" s="136" t="n">
        <v>0</v>
      </c>
    </row>
    <row r="87" customFormat="false" ht="12.75" hidden="false" customHeight="false" outlineLevel="0" collapsed="false">
      <c r="D87" s="135" t="n">
        <v>39295</v>
      </c>
      <c r="F87" s="174" t="n">
        <v>3.5495</v>
      </c>
      <c r="G87" s="175" t="n">
        <v>0.0551133199280565</v>
      </c>
      <c r="H87" s="174" t="n">
        <v>0.24</v>
      </c>
      <c r="I87" s="174" t="n">
        <v>0.55</v>
      </c>
      <c r="J87" s="174" t="n">
        <v>0.55</v>
      </c>
      <c r="K87" s="174" t="n">
        <v>0.5</v>
      </c>
      <c r="L87" s="172" t="n">
        <v>0.6</v>
      </c>
      <c r="M87" s="172" t="n">
        <v>0.55</v>
      </c>
      <c r="N87" s="174" t="n">
        <v>0.6</v>
      </c>
      <c r="O87" s="174" t="n">
        <v>0.55</v>
      </c>
      <c r="P87" s="174" t="n">
        <v>0.6</v>
      </c>
      <c r="Q87" s="174" t="n">
        <v>0.45</v>
      </c>
      <c r="R87" s="175" t="n">
        <v>0.55</v>
      </c>
      <c r="S87" s="175" t="n">
        <v>0.6</v>
      </c>
      <c r="T87" s="174" t="n">
        <v>0.55</v>
      </c>
      <c r="U87" s="174" t="n">
        <v>0.6</v>
      </c>
      <c r="V87" s="174" t="n">
        <v>0.7</v>
      </c>
      <c r="W87" s="174" t="n">
        <v>-0.09</v>
      </c>
      <c r="X87" s="174" t="n">
        <v>0</v>
      </c>
      <c r="Y87" s="174" t="n">
        <v>0.04</v>
      </c>
      <c r="Z87" s="174" t="n">
        <v>0.005</v>
      </c>
      <c r="AA87" s="174" t="n">
        <v>0.19</v>
      </c>
      <c r="AB87" s="174" t="n">
        <v>0</v>
      </c>
      <c r="AC87" s="174" t="n">
        <v>0.155</v>
      </c>
      <c r="AD87" s="174" t="n">
        <v>0</v>
      </c>
      <c r="AE87" s="174" t="n">
        <v>0.19</v>
      </c>
      <c r="AF87" s="174" t="n">
        <v>0</v>
      </c>
      <c r="AG87" s="174" t="n">
        <v>0.145</v>
      </c>
      <c r="AH87" s="174" t="n">
        <v>0</v>
      </c>
      <c r="AI87" s="174" t="n">
        <v>0.155</v>
      </c>
      <c r="AJ87" s="174" t="n">
        <v>0</v>
      </c>
      <c r="AK87" s="174" t="n">
        <v>0.04</v>
      </c>
      <c r="AL87" s="174" t="n">
        <v>0.04</v>
      </c>
      <c r="AM87" s="174" t="n">
        <v>-0.06</v>
      </c>
      <c r="AN87" s="174" t="n">
        <v>0.017</v>
      </c>
      <c r="AO87" s="174" t="n">
        <v>-0.435</v>
      </c>
      <c r="AP87" s="174" t="n">
        <v>0.155</v>
      </c>
      <c r="AQ87" s="174" t="n">
        <v>-0.055</v>
      </c>
      <c r="AR87" s="174" t="n">
        <v>0</v>
      </c>
      <c r="AS87" s="174" t="n">
        <v>-0.15</v>
      </c>
      <c r="AT87" s="174" t="n">
        <v>-0.015</v>
      </c>
      <c r="AU87" s="174" t="n">
        <v>-0.11</v>
      </c>
      <c r="AV87" s="174" t="n">
        <v>0.02</v>
      </c>
      <c r="AW87" s="174" t="n">
        <v>-0.065</v>
      </c>
      <c r="AX87" s="174" t="n">
        <v>0.01</v>
      </c>
      <c r="AY87" s="175" t="n">
        <v>0.125</v>
      </c>
      <c r="AZ87" s="175" t="n">
        <v>0</v>
      </c>
      <c r="BA87" s="175" t="n">
        <v>-0.195</v>
      </c>
      <c r="BB87" s="174" t="n">
        <v>0.0025</v>
      </c>
      <c r="BC87" s="174" t="n">
        <v>-0.07</v>
      </c>
      <c r="BD87" s="174" t="n">
        <v>0.005</v>
      </c>
      <c r="BE87" s="174" t="n">
        <v>0.26</v>
      </c>
      <c r="BF87" s="174" t="n">
        <v>0.034</v>
      </c>
      <c r="BG87" s="174" t="n">
        <v>-0.06</v>
      </c>
      <c r="BH87" s="174" t="n">
        <v>0</v>
      </c>
      <c r="BI87" s="174" t="n">
        <v>0.06</v>
      </c>
      <c r="BJ87" s="136" t="n">
        <v>0.03</v>
      </c>
      <c r="BK87" s="136" t="n">
        <v>0.26</v>
      </c>
      <c r="BL87" s="136" t="n">
        <v>0.034</v>
      </c>
      <c r="BM87" s="136" t="n">
        <v>-0.2</v>
      </c>
      <c r="BN87" s="136" t="n">
        <v>0</v>
      </c>
      <c r="BO87" s="136" t="n">
        <v>-0.39</v>
      </c>
      <c r="BP87" s="136" t="n">
        <v>0.02</v>
      </c>
      <c r="BQ87" s="136" t="n">
        <v>0.5</v>
      </c>
      <c r="BR87" s="136" t="n">
        <v>0.034</v>
      </c>
      <c r="BS87" s="136" t="n">
        <v>-0.07</v>
      </c>
      <c r="BT87" s="136" t="n">
        <v>0.005</v>
      </c>
      <c r="BU87" s="136" t="n">
        <v>0.3</v>
      </c>
      <c r="BV87" s="136" t="n">
        <v>0</v>
      </c>
      <c r="BW87" s="136" t="n">
        <v>0.26</v>
      </c>
      <c r="BX87" s="136" t="n">
        <v>0</v>
      </c>
      <c r="BY87" s="136" t="n">
        <v>-0.021</v>
      </c>
      <c r="BZ87" s="136" t="n">
        <v>0.0575</v>
      </c>
      <c r="CA87" s="136" t="n">
        <v>0.15</v>
      </c>
      <c r="CB87" s="136" t="n">
        <v>0.005</v>
      </c>
      <c r="CC87" s="136" t="n">
        <v>-0.021</v>
      </c>
      <c r="CD87" s="136" t="n">
        <v>0.0035</v>
      </c>
      <c r="CE87" s="136" t="n">
        <v>0.0025</v>
      </c>
      <c r="CF87" s="136" t="n">
        <v>0.0025</v>
      </c>
      <c r="CG87" s="136" t="n">
        <v>-0.021</v>
      </c>
      <c r="CH87" s="136" t="n">
        <v>0.0035</v>
      </c>
      <c r="CI87" s="136" t="n">
        <v>-0.0765</v>
      </c>
      <c r="CJ87" s="136" t="n">
        <v>0.0025</v>
      </c>
      <c r="CK87" s="136" t="n">
        <v>0.0775</v>
      </c>
      <c r="CL87" s="136" t="n">
        <v>0.0025</v>
      </c>
      <c r="CM87" s="136" t="n">
        <v>-0.072</v>
      </c>
      <c r="CN87" s="136" t="n">
        <v>0.0075</v>
      </c>
      <c r="CO87" s="136" t="n">
        <v>-0.017</v>
      </c>
      <c r="CP87" s="136" t="n">
        <v>0.005</v>
      </c>
      <c r="CQ87" s="136" t="n">
        <v>0.023</v>
      </c>
      <c r="CR87" s="136" t="n">
        <v>0.0075</v>
      </c>
      <c r="CS87" s="136" t="n">
        <v>0.41</v>
      </c>
      <c r="CT87" s="136" t="n">
        <v>0.01</v>
      </c>
      <c r="CU87" s="136" t="n">
        <v>-0.2</v>
      </c>
      <c r="CV87" s="136" t="n">
        <v>0</v>
      </c>
      <c r="CW87" s="136" t="n">
        <v>0.205</v>
      </c>
      <c r="CX87" s="136" t="n">
        <v>0.0075</v>
      </c>
      <c r="CY87" s="136" t="n">
        <v>-0.65</v>
      </c>
      <c r="CZ87" s="136" t="n">
        <v>0</v>
      </c>
      <c r="DA87" s="136" t="n">
        <v>-0.47</v>
      </c>
      <c r="DB87" s="136" t="n">
        <v>0</v>
      </c>
      <c r="DC87" s="136" t="n">
        <v>1.05</v>
      </c>
      <c r="DE87" s="136" t="n">
        <v>-0.05</v>
      </c>
      <c r="DF87" s="136" t="n">
        <v>0.01</v>
      </c>
      <c r="DG87" s="136" t="n">
        <v>0.0085</v>
      </c>
      <c r="DH87" s="136" t="n">
        <v>0.01</v>
      </c>
      <c r="DI87" s="136" t="n">
        <v>-0.0115</v>
      </c>
      <c r="DJ87" s="136" t="n">
        <v>0.0075</v>
      </c>
      <c r="DK87" s="136" t="n">
        <v>-0.0515</v>
      </c>
      <c r="DL87" s="136" t="n">
        <v>0.005</v>
      </c>
      <c r="DM87" s="136" t="n">
        <v>-0.063</v>
      </c>
      <c r="DN87" s="136" t="n">
        <v>0.0025</v>
      </c>
      <c r="DO87" s="136" t="n">
        <v>-0.0855</v>
      </c>
      <c r="DP87" s="136" t="n">
        <v>0.0025</v>
      </c>
      <c r="DQ87" s="136" t="n">
        <v>-0.0815</v>
      </c>
      <c r="DR87" s="136" t="n">
        <v>-0.005</v>
      </c>
      <c r="DS87" s="136" t="n">
        <v>0.35</v>
      </c>
      <c r="DT87" s="136" t="n">
        <v>-0.005</v>
      </c>
      <c r="DU87" s="136" t="n">
        <v>-0.0008045</v>
      </c>
      <c r="DV87" s="136" t="n">
        <v>0</v>
      </c>
    </row>
    <row r="88" customFormat="false" ht="12.75" hidden="false" customHeight="false" outlineLevel="0" collapsed="false">
      <c r="D88" s="135" t="n">
        <v>39326</v>
      </c>
      <c r="F88" s="174" t="n">
        <v>3.5445</v>
      </c>
      <c r="G88" s="175" t="n">
        <v>0.0552973360504536</v>
      </c>
      <c r="H88" s="174" t="n">
        <v>0.24</v>
      </c>
      <c r="I88" s="174" t="n">
        <v>0.55</v>
      </c>
      <c r="J88" s="174" t="n">
        <v>0.55</v>
      </c>
      <c r="K88" s="174" t="n">
        <v>0.55</v>
      </c>
      <c r="L88" s="172" t="n">
        <v>0.55</v>
      </c>
      <c r="M88" s="172" t="n">
        <v>0.55</v>
      </c>
      <c r="N88" s="174" t="n">
        <v>0.6</v>
      </c>
      <c r="O88" s="174" t="n">
        <v>0.6</v>
      </c>
      <c r="P88" s="174" t="n">
        <v>0.55</v>
      </c>
      <c r="Q88" s="174" t="n">
        <v>0.5</v>
      </c>
      <c r="R88" s="175" t="n">
        <v>0.55</v>
      </c>
      <c r="S88" s="175" t="n">
        <v>0.6</v>
      </c>
      <c r="T88" s="174" t="n">
        <v>0.55</v>
      </c>
      <c r="U88" s="174" t="n">
        <v>0.6</v>
      </c>
      <c r="V88" s="174" t="n">
        <v>0.65</v>
      </c>
      <c r="W88" s="174" t="n">
        <v>-0.09</v>
      </c>
      <c r="X88" s="174" t="n">
        <v>0</v>
      </c>
      <c r="Y88" s="174" t="n">
        <v>0.04</v>
      </c>
      <c r="Z88" s="174" t="n">
        <v>0.005</v>
      </c>
      <c r="AA88" s="174" t="n">
        <v>0.19</v>
      </c>
      <c r="AB88" s="174" t="n">
        <v>0</v>
      </c>
      <c r="AC88" s="174" t="n">
        <v>0.155</v>
      </c>
      <c r="AD88" s="174" t="n">
        <v>0</v>
      </c>
      <c r="AE88" s="174" t="n">
        <v>0.19</v>
      </c>
      <c r="AF88" s="174" t="n">
        <v>0</v>
      </c>
      <c r="AG88" s="174" t="n">
        <v>0.145</v>
      </c>
      <c r="AH88" s="174" t="n">
        <v>0</v>
      </c>
      <c r="AI88" s="174" t="n">
        <v>0.155</v>
      </c>
      <c r="AJ88" s="174" t="n">
        <v>0</v>
      </c>
      <c r="AK88" s="174" t="n">
        <v>0.04</v>
      </c>
      <c r="AL88" s="174" t="n">
        <v>0.04</v>
      </c>
      <c r="AM88" s="174" t="n">
        <v>-0.06</v>
      </c>
      <c r="AN88" s="174" t="n">
        <v>0.017</v>
      </c>
      <c r="AO88" s="174" t="n">
        <v>-0.435</v>
      </c>
      <c r="AP88" s="174" t="n">
        <v>0.155</v>
      </c>
      <c r="AQ88" s="174" t="n">
        <v>-0.055</v>
      </c>
      <c r="AR88" s="174" t="n">
        <v>0</v>
      </c>
      <c r="AS88" s="174" t="n">
        <v>-0.15</v>
      </c>
      <c r="AT88" s="174" t="n">
        <v>-0.015</v>
      </c>
      <c r="AU88" s="174" t="n">
        <v>-0.11</v>
      </c>
      <c r="AV88" s="174" t="n">
        <v>0.02</v>
      </c>
      <c r="AW88" s="174" t="n">
        <v>-0.065</v>
      </c>
      <c r="AX88" s="174" t="n">
        <v>0.01</v>
      </c>
      <c r="AY88" s="175" t="n">
        <v>0.125</v>
      </c>
      <c r="AZ88" s="175" t="n">
        <v>0</v>
      </c>
      <c r="BA88" s="175" t="n">
        <v>-0.195</v>
      </c>
      <c r="BB88" s="174" t="n">
        <v>0.0025</v>
      </c>
      <c r="BC88" s="174" t="n">
        <v>-0.07</v>
      </c>
      <c r="BD88" s="174" t="n">
        <v>0.005</v>
      </c>
      <c r="BE88" s="174" t="n">
        <v>0.26</v>
      </c>
      <c r="BF88" s="174" t="n">
        <v>0.034</v>
      </c>
      <c r="BG88" s="174" t="n">
        <v>-0.06</v>
      </c>
      <c r="BH88" s="174" t="n">
        <v>0</v>
      </c>
      <c r="BI88" s="174" t="n">
        <v>0.06</v>
      </c>
      <c r="BJ88" s="136" t="n">
        <v>0.03</v>
      </c>
      <c r="BK88" s="136" t="n">
        <v>0.26</v>
      </c>
      <c r="BL88" s="136" t="n">
        <v>0.034</v>
      </c>
      <c r="BM88" s="136" t="n">
        <v>-0.2</v>
      </c>
      <c r="BN88" s="136" t="n">
        <v>0</v>
      </c>
      <c r="BO88" s="136" t="n">
        <v>-0.39</v>
      </c>
      <c r="BP88" s="136" t="n">
        <v>0.02</v>
      </c>
      <c r="BQ88" s="136" t="n">
        <v>0.5</v>
      </c>
      <c r="BR88" s="136" t="n">
        <v>0.034</v>
      </c>
      <c r="BS88" s="136" t="n">
        <v>-0.07</v>
      </c>
      <c r="BT88" s="136" t="n">
        <v>0.005</v>
      </c>
      <c r="BU88" s="136" t="n">
        <v>0.3</v>
      </c>
      <c r="BV88" s="136" t="n">
        <v>0</v>
      </c>
      <c r="BW88" s="136" t="n">
        <v>0.26</v>
      </c>
      <c r="BX88" s="136" t="n">
        <v>0</v>
      </c>
      <c r="BY88" s="136" t="n">
        <v>-0.021</v>
      </c>
      <c r="BZ88" s="136" t="n">
        <v>0.0575</v>
      </c>
      <c r="CA88" s="136" t="n">
        <v>0.125</v>
      </c>
      <c r="CB88" s="136" t="n">
        <v>0.005</v>
      </c>
      <c r="CC88" s="136" t="n">
        <v>-0.021</v>
      </c>
      <c r="CD88" s="136" t="n">
        <v>0.0035</v>
      </c>
      <c r="CE88" s="136" t="n">
        <v>0.0025</v>
      </c>
      <c r="CF88" s="136" t="n">
        <v>0.0025</v>
      </c>
      <c r="CG88" s="136" t="n">
        <v>-0.021</v>
      </c>
      <c r="CH88" s="136" t="n">
        <v>0.0035</v>
      </c>
      <c r="CI88" s="136" t="n">
        <v>-0.0815</v>
      </c>
      <c r="CJ88" s="136" t="n">
        <v>0.0025</v>
      </c>
      <c r="CK88" s="136" t="n">
        <v>0.0775</v>
      </c>
      <c r="CL88" s="136" t="n">
        <v>0.0025</v>
      </c>
      <c r="CM88" s="136" t="n">
        <v>-0.072</v>
      </c>
      <c r="CN88" s="136" t="n">
        <v>0.0075</v>
      </c>
      <c r="CO88" s="136" t="n">
        <v>-0.017</v>
      </c>
      <c r="CP88" s="136" t="n">
        <v>0.005</v>
      </c>
      <c r="CQ88" s="136" t="n">
        <v>0.023</v>
      </c>
      <c r="CR88" s="136" t="n">
        <v>0.0075</v>
      </c>
      <c r="CS88" s="136" t="n">
        <v>0.36</v>
      </c>
      <c r="CT88" s="136" t="n">
        <v>0.01</v>
      </c>
      <c r="CU88" s="136" t="n">
        <v>-0.2</v>
      </c>
      <c r="CV88" s="136" t="n">
        <v>0</v>
      </c>
      <c r="CW88" s="136" t="n">
        <v>0.145</v>
      </c>
      <c r="CX88" s="136" t="n">
        <v>0.0075</v>
      </c>
      <c r="CY88" s="136" t="n">
        <v>-0.65</v>
      </c>
      <c r="CZ88" s="136" t="n">
        <v>0</v>
      </c>
      <c r="DA88" s="136" t="n">
        <v>-0.47</v>
      </c>
      <c r="DB88" s="136" t="n">
        <v>0</v>
      </c>
      <c r="DC88" s="136" t="n">
        <v>0.75</v>
      </c>
      <c r="DE88" s="136" t="n">
        <v>-0.055</v>
      </c>
      <c r="DF88" s="136" t="n">
        <v>0.01</v>
      </c>
      <c r="DG88" s="136" t="n">
        <v>0.0085</v>
      </c>
      <c r="DH88" s="136" t="n">
        <v>0.01</v>
      </c>
      <c r="DI88" s="136" t="n">
        <v>-0.0115</v>
      </c>
      <c r="DJ88" s="136" t="n">
        <v>0.0075</v>
      </c>
      <c r="DK88" s="136" t="n">
        <v>-0.0615</v>
      </c>
      <c r="DL88" s="136" t="n">
        <v>0.005</v>
      </c>
      <c r="DM88" s="136" t="n">
        <v>-0.063</v>
      </c>
      <c r="DN88" s="136" t="n">
        <v>0.0025</v>
      </c>
      <c r="DO88" s="136" t="n">
        <v>-0.0855</v>
      </c>
      <c r="DP88" s="136" t="n">
        <v>0.0025</v>
      </c>
      <c r="DQ88" s="136" t="n">
        <v>-0.0915</v>
      </c>
      <c r="DR88" s="136" t="n">
        <v>-0.005</v>
      </c>
      <c r="DS88" s="136" t="n">
        <v>0.315</v>
      </c>
      <c r="DT88" s="136" t="n">
        <v>-0.005</v>
      </c>
      <c r="DU88" s="136" t="n">
        <v>0.000617499999999993</v>
      </c>
      <c r="DV88" s="136" t="n">
        <v>0</v>
      </c>
    </row>
    <row r="89" customFormat="false" ht="12.75" hidden="false" customHeight="false" outlineLevel="0" collapsed="false">
      <c r="D89" s="135" t="n">
        <v>39356</v>
      </c>
      <c r="F89" s="174" t="n">
        <v>3.5695</v>
      </c>
      <c r="G89" s="175" t="n">
        <v>0.0554754161796391</v>
      </c>
      <c r="H89" s="174" t="n">
        <v>0.24</v>
      </c>
      <c r="I89" s="174" t="n">
        <v>0.6</v>
      </c>
      <c r="J89" s="174" t="n">
        <v>0.6</v>
      </c>
      <c r="K89" s="174" t="n">
        <v>0.55</v>
      </c>
      <c r="L89" s="172" t="n">
        <v>0.6</v>
      </c>
      <c r="M89" s="172" t="n">
        <v>0.6</v>
      </c>
      <c r="N89" s="174" t="n">
        <v>0.65</v>
      </c>
      <c r="O89" s="174" t="n">
        <v>0.65</v>
      </c>
      <c r="P89" s="174" t="n">
        <v>0.6</v>
      </c>
      <c r="Q89" s="174" t="n">
        <v>0.5</v>
      </c>
      <c r="R89" s="175" t="n">
        <v>0.6</v>
      </c>
      <c r="S89" s="175" t="n">
        <v>0.65</v>
      </c>
      <c r="T89" s="174" t="n">
        <v>0.6</v>
      </c>
      <c r="U89" s="174" t="n">
        <v>0.65</v>
      </c>
      <c r="V89" s="174" t="n">
        <v>0.7</v>
      </c>
      <c r="W89" s="174" t="n">
        <v>-0.09</v>
      </c>
      <c r="X89" s="174" t="n">
        <v>0</v>
      </c>
      <c r="Y89" s="174" t="n">
        <v>0.04</v>
      </c>
      <c r="Z89" s="174" t="n">
        <v>0.005</v>
      </c>
      <c r="AA89" s="174" t="n">
        <v>0.19</v>
      </c>
      <c r="AB89" s="174" t="n">
        <v>0</v>
      </c>
      <c r="AC89" s="174" t="n">
        <v>0.155</v>
      </c>
      <c r="AD89" s="174" t="n">
        <v>0</v>
      </c>
      <c r="AE89" s="174" t="n">
        <v>0.19</v>
      </c>
      <c r="AF89" s="174" t="n">
        <v>0</v>
      </c>
      <c r="AG89" s="174" t="n">
        <v>0.145</v>
      </c>
      <c r="AH89" s="174" t="n">
        <v>0</v>
      </c>
      <c r="AI89" s="174" t="n">
        <v>0.155</v>
      </c>
      <c r="AJ89" s="174" t="n">
        <v>0</v>
      </c>
      <c r="AK89" s="174" t="n">
        <v>0.04</v>
      </c>
      <c r="AL89" s="174" t="n">
        <v>0.04</v>
      </c>
      <c r="AM89" s="174" t="n">
        <v>-0.06</v>
      </c>
      <c r="AN89" s="174" t="n">
        <v>0.017</v>
      </c>
      <c r="AO89" s="174" t="n">
        <v>-0.435</v>
      </c>
      <c r="AP89" s="174" t="n">
        <v>0.155</v>
      </c>
      <c r="AQ89" s="174" t="n">
        <v>-0.055</v>
      </c>
      <c r="AR89" s="174" t="n">
        <v>0</v>
      </c>
      <c r="AS89" s="174" t="n">
        <v>-0.15</v>
      </c>
      <c r="AT89" s="174" t="n">
        <v>-0.015</v>
      </c>
      <c r="AU89" s="174" t="n">
        <v>-0.11</v>
      </c>
      <c r="AV89" s="174" t="n">
        <v>0.02</v>
      </c>
      <c r="AW89" s="174" t="n">
        <v>-0.065</v>
      </c>
      <c r="AX89" s="174" t="n">
        <v>0.01</v>
      </c>
      <c r="AY89" s="175" t="n">
        <v>0.125</v>
      </c>
      <c r="AZ89" s="175" t="n">
        <v>0</v>
      </c>
      <c r="BA89" s="175" t="n">
        <v>-0.195</v>
      </c>
      <c r="BB89" s="174" t="n">
        <v>0.0025</v>
      </c>
      <c r="BC89" s="174" t="n">
        <v>-0.07</v>
      </c>
      <c r="BD89" s="174" t="n">
        <v>0.005</v>
      </c>
      <c r="BE89" s="174" t="n">
        <v>0.26</v>
      </c>
      <c r="BF89" s="174" t="n">
        <v>0.034</v>
      </c>
      <c r="BG89" s="174" t="n">
        <v>-0.06</v>
      </c>
      <c r="BH89" s="174" t="n">
        <v>0</v>
      </c>
      <c r="BI89" s="174" t="n">
        <v>0.06</v>
      </c>
      <c r="BJ89" s="136" t="n">
        <v>0.03</v>
      </c>
      <c r="BK89" s="136" t="n">
        <v>0.26</v>
      </c>
      <c r="BL89" s="136" t="n">
        <v>0.034</v>
      </c>
      <c r="BM89" s="136" t="n">
        <v>-0.2</v>
      </c>
      <c r="BN89" s="136" t="n">
        <v>0</v>
      </c>
      <c r="BO89" s="136" t="n">
        <v>-0.39</v>
      </c>
      <c r="BP89" s="136" t="n">
        <v>0.02</v>
      </c>
      <c r="BQ89" s="136" t="n">
        <v>0.5</v>
      </c>
      <c r="BR89" s="136" t="n">
        <v>0.034</v>
      </c>
      <c r="BS89" s="136" t="n">
        <v>-0.07</v>
      </c>
      <c r="BT89" s="136" t="n">
        <v>0.005</v>
      </c>
      <c r="BU89" s="136" t="n">
        <v>0.3</v>
      </c>
      <c r="BV89" s="136" t="n">
        <v>0</v>
      </c>
      <c r="BW89" s="136" t="n">
        <v>0.26</v>
      </c>
      <c r="BX89" s="136" t="n">
        <v>0</v>
      </c>
      <c r="BY89" s="136" t="n">
        <v>-0.021</v>
      </c>
      <c r="BZ89" s="136" t="n">
        <v>0.0575</v>
      </c>
      <c r="CA89" s="136" t="n">
        <v>0.145</v>
      </c>
      <c r="CB89" s="136" t="n">
        <v>0.005</v>
      </c>
      <c r="CC89" s="136" t="n">
        <v>-0.021</v>
      </c>
      <c r="CD89" s="136" t="n">
        <v>0.0035</v>
      </c>
      <c r="CE89" s="136" t="n">
        <v>0.0025</v>
      </c>
      <c r="CF89" s="136" t="n">
        <v>0.0025</v>
      </c>
      <c r="CG89" s="136" t="n">
        <v>-0.021</v>
      </c>
      <c r="CH89" s="136" t="n">
        <v>0.0035</v>
      </c>
      <c r="CI89" s="136" t="n">
        <v>-0.084</v>
      </c>
      <c r="CJ89" s="136" t="n">
        <v>0.0025</v>
      </c>
      <c r="CK89" s="136" t="n">
        <v>0.0775</v>
      </c>
      <c r="CL89" s="136" t="n">
        <v>0.0025</v>
      </c>
      <c r="CM89" s="136" t="n">
        <v>-0.072</v>
      </c>
      <c r="CN89" s="136" t="n">
        <v>0.0075</v>
      </c>
      <c r="CO89" s="136" t="n">
        <v>-0.017</v>
      </c>
      <c r="CP89" s="136" t="n">
        <v>0.005</v>
      </c>
      <c r="CQ89" s="136" t="n">
        <v>0.023</v>
      </c>
      <c r="CR89" s="136" t="n">
        <v>0.0075</v>
      </c>
      <c r="CS89" s="136" t="n">
        <v>0.4</v>
      </c>
      <c r="CT89" s="136" t="n">
        <v>0.01</v>
      </c>
      <c r="CU89" s="136" t="n">
        <v>-0.2</v>
      </c>
      <c r="CV89" s="136" t="n">
        <v>0</v>
      </c>
      <c r="CW89" s="136" t="n">
        <v>0.175</v>
      </c>
      <c r="CX89" s="136" t="n">
        <v>0.0075</v>
      </c>
      <c r="CY89" s="136" t="n">
        <v>-0.65</v>
      </c>
      <c r="CZ89" s="136" t="n">
        <v>0</v>
      </c>
      <c r="DA89" s="136" t="n">
        <v>-0.47</v>
      </c>
      <c r="DB89" s="136" t="n">
        <v>0</v>
      </c>
      <c r="DC89" s="136" t="n">
        <v>0.45</v>
      </c>
      <c r="DE89" s="136" t="n">
        <v>-0.055</v>
      </c>
      <c r="DF89" s="136" t="n">
        <v>0.01</v>
      </c>
      <c r="DG89" s="136" t="n">
        <v>0.006</v>
      </c>
      <c r="DH89" s="136" t="n">
        <v>0.01</v>
      </c>
      <c r="DI89" s="136" t="n">
        <v>-0.014</v>
      </c>
      <c r="DJ89" s="136" t="n">
        <v>0.0075</v>
      </c>
      <c r="DK89" s="136" t="n">
        <v>-0.049</v>
      </c>
      <c r="DL89" s="136" t="n">
        <v>0.005</v>
      </c>
      <c r="DM89" s="136" t="n">
        <v>-0.063</v>
      </c>
      <c r="DN89" s="136" t="n">
        <v>0.0025</v>
      </c>
      <c r="DO89" s="136" t="n">
        <v>-0.0855</v>
      </c>
      <c r="DP89" s="136" t="n">
        <v>0.0025</v>
      </c>
      <c r="DQ89" s="136" t="n">
        <v>-0.079</v>
      </c>
      <c r="DR89" s="136" t="n">
        <v>-0.005</v>
      </c>
      <c r="DS89" s="136" t="n">
        <v>0.36</v>
      </c>
      <c r="DT89" s="136" t="n">
        <v>-0.005</v>
      </c>
      <c r="DU89" s="136" t="n">
        <v>0.000760499999999997</v>
      </c>
      <c r="DV89" s="136" t="n">
        <v>0</v>
      </c>
    </row>
    <row r="90" customFormat="false" ht="12.75" hidden="false" customHeight="false" outlineLevel="0" collapsed="false">
      <c r="D90" s="135" t="n">
        <v>39387</v>
      </c>
      <c r="F90" s="174" t="n">
        <v>3.7215</v>
      </c>
      <c r="G90" s="175" t="n">
        <v>0.0556594323242252</v>
      </c>
      <c r="H90" s="174" t="n">
        <v>0.24</v>
      </c>
      <c r="I90" s="174" t="n">
        <v>0.8</v>
      </c>
      <c r="J90" s="174" t="n">
        <v>0.85</v>
      </c>
      <c r="K90" s="174" t="n">
        <v>0.8</v>
      </c>
      <c r="L90" s="172" t="n">
        <v>0.8</v>
      </c>
      <c r="M90" s="172" t="n">
        <v>0.9</v>
      </c>
      <c r="N90" s="174" t="n">
        <v>0.95</v>
      </c>
      <c r="O90" s="174" t="n">
        <v>0.85</v>
      </c>
      <c r="P90" s="174" t="n">
        <v>0.8</v>
      </c>
      <c r="Q90" s="174" t="n">
        <v>0.95</v>
      </c>
      <c r="R90" s="175" t="n">
        <v>0.8</v>
      </c>
      <c r="S90" s="175" t="n">
        <v>0.8</v>
      </c>
      <c r="T90" s="174" t="n">
        <v>0.8</v>
      </c>
      <c r="U90" s="174" t="n">
        <v>0.95</v>
      </c>
      <c r="V90" s="174" t="n">
        <v>0.9</v>
      </c>
      <c r="W90" s="174" t="n">
        <v>0</v>
      </c>
      <c r="X90" s="174" t="n">
        <v>0.03</v>
      </c>
      <c r="Y90" s="174" t="n">
        <v>0.13</v>
      </c>
      <c r="Z90" s="174" t="n">
        <v>0.02</v>
      </c>
      <c r="AA90" s="174" t="n">
        <v>0.355</v>
      </c>
      <c r="AB90" s="174" t="n">
        <v>0</v>
      </c>
      <c r="AC90" s="174" t="n">
        <v>0.355</v>
      </c>
      <c r="AD90" s="174" t="n">
        <v>0</v>
      </c>
      <c r="AE90" s="174" t="n">
        <v>0.355</v>
      </c>
      <c r="AF90" s="174" t="n">
        <v>0</v>
      </c>
      <c r="AG90" s="174" t="n">
        <v>0.195</v>
      </c>
      <c r="AH90" s="174" t="n">
        <v>0</v>
      </c>
      <c r="AI90" s="174" t="n">
        <v>0.1786</v>
      </c>
      <c r="AJ90" s="174" t="n">
        <v>0</v>
      </c>
      <c r="AK90" s="174" t="n">
        <v>0.13</v>
      </c>
      <c r="AL90" s="174" t="n">
        <v>0.035</v>
      </c>
      <c r="AM90" s="174" t="n">
        <v>-0.075</v>
      </c>
      <c r="AN90" s="174" t="n">
        <v>0.012</v>
      </c>
      <c r="AO90" s="174" t="n">
        <v>-0.4</v>
      </c>
      <c r="AP90" s="174" t="n">
        <v>0.155</v>
      </c>
      <c r="AQ90" s="174" t="n">
        <v>-0.055</v>
      </c>
      <c r="AR90" s="174" t="n">
        <v>0.005</v>
      </c>
      <c r="AS90" s="174" t="n">
        <v>-0.15</v>
      </c>
      <c r="AT90" s="174" t="n">
        <v>-0.005</v>
      </c>
      <c r="AU90" s="174" t="n">
        <v>-0.11</v>
      </c>
      <c r="AV90" s="174" t="n">
        <v>-0.01</v>
      </c>
      <c r="AW90" s="174" t="n">
        <v>-0.065</v>
      </c>
      <c r="AX90" s="174" t="n">
        <v>0.005</v>
      </c>
      <c r="AY90" s="175" t="n">
        <v>0.155</v>
      </c>
      <c r="AZ90" s="175" t="n">
        <v>0</v>
      </c>
      <c r="BA90" s="175" t="n">
        <v>-0.13</v>
      </c>
      <c r="BB90" s="174" t="n">
        <v>0.005</v>
      </c>
      <c r="BC90" s="174" t="n">
        <v>-0.07</v>
      </c>
      <c r="BD90" s="174" t="n">
        <v>0.005</v>
      </c>
      <c r="BE90" s="174" t="n">
        <v>0.24</v>
      </c>
      <c r="BF90" s="174" t="n">
        <v>0.036</v>
      </c>
      <c r="BG90" s="174" t="n">
        <v>-0.06</v>
      </c>
      <c r="BH90" s="174" t="n">
        <v>0</v>
      </c>
      <c r="BI90" s="174" t="n">
        <v>0.15</v>
      </c>
      <c r="BJ90" s="136" t="n">
        <v>0.03</v>
      </c>
      <c r="BK90" s="136" t="n">
        <v>0.24</v>
      </c>
      <c r="BL90" s="136" t="n">
        <v>0.036</v>
      </c>
      <c r="BM90" s="136" t="n">
        <v>0.298</v>
      </c>
      <c r="BN90" s="136" t="n">
        <v>0</v>
      </c>
      <c r="BO90" s="136" t="n">
        <v>-0.26</v>
      </c>
      <c r="BP90" s="136" t="n">
        <v>0</v>
      </c>
      <c r="BQ90" s="136" t="n">
        <v>0.5</v>
      </c>
      <c r="BR90" s="136" t="n">
        <v>0.036</v>
      </c>
      <c r="BS90" s="136" t="n">
        <v>-0.07</v>
      </c>
      <c r="BT90" s="136" t="n">
        <v>0.005</v>
      </c>
      <c r="BU90" s="136" t="n">
        <v>0.3</v>
      </c>
      <c r="BV90" s="136" t="n">
        <v>0</v>
      </c>
      <c r="BW90" s="136" t="n">
        <v>0.24</v>
      </c>
      <c r="BX90" s="136" t="n">
        <v>0</v>
      </c>
      <c r="BY90" s="136" t="n">
        <v>-0.021</v>
      </c>
      <c r="BZ90" s="136" t="n">
        <v>0.0575</v>
      </c>
      <c r="CA90" s="136" t="n">
        <v>0.195</v>
      </c>
      <c r="CB90" s="136" t="n">
        <v>0.005</v>
      </c>
      <c r="CC90" s="136" t="n">
        <v>-0.021</v>
      </c>
      <c r="CD90" s="136" t="n">
        <v>0.0037</v>
      </c>
      <c r="CE90" s="136" t="n">
        <v>0.0025</v>
      </c>
      <c r="CF90" s="136" t="n">
        <v>0.0025</v>
      </c>
      <c r="CG90" s="136" t="n">
        <v>-0.021</v>
      </c>
      <c r="CH90" s="136" t="n">
        <v>0.0037</v>
      </c>
      <c r="CI90" s="136" t="n">
        <v>-0.089</v>
      </c>
      <c r="CJ90" s="136" t="n">
        <v>0.0025</v>
      </c>
      <c r="CK90" s="136" t="n">
        <v>0.075</v>
      </c>
      <c r="CL90" s="136" t="n">
        <v>0.0025</v>
      </c>
      <c r="CM90" s="136" t="n">
        <v>-0.065</v>
      </c>
      <c r="CN90" s="136" t="n">
        <v>0.01</v>
      </c>
      <c r="CO90" s="136" t="n">
        <v>-0.01</v>
      </c>
      <c r="CP90" s="136" t="n">
        <v>0.0075</v>
      </c>
      <c r="CQ90" s="136" t="n">
        <v>0.03</v>
      </c>
      <c r="CR90" s="136" t="n">
        <v>0.0125</v>
      </c>
      <c r="CS90" s="136" t="n">
        <v>0.65</v>
      </c>
      <c r="CT90" s="136" t="n">
        <v>0.055</v>
      </c>
      <c r="CU90" s="136" t="n">
        <v>0.298</v>
      </c>
      <c r="CV90" s="136" t="n">
        <v>0</v>
      </c>
      <c r="CW90" s="136" t="n">
        <v>0.21</v>
      </c>
      <c r="CX90" s="136" t="n">
        <v>0.02</v>
      </c>
      <c r="CY90" s="136" t="n">
        <v>-0.52</v>
      </c>
      <c r="CZ90" s="136" t="n">
        <v>0</v>
      </c>
      <c r="DA90" s="136" t="n">
        <v>-0.34</v>
      </c>
      <c r="DB90" s="136" t="n">
        <v>0</v>
      </c>
      <c r="DC90" s="136" t="n">
        <v>0.45</v>
      </c>
      <c r="DE90" s="136" t="n">
        <v>-0.045</v>
      </c>
      <c r="DF90" s="136" t="n">
        <v>0.0125</v>
      </c>
      <c r="DG90" s="136" t="n">
        <v>0.007</v>
      </c>
      <c r="DH90" s="136" t="n">
        <v>0.0075</v>
      </c>
      <c r="DI90" s="136" t="n">
        <v>-0.013</v>
      </c>
      <c r="DJ90" s="136" t="n">
        <v>0.0025</v>
      </c>
      <c r="DK90" s="136" t="n">
        <v>-0.054</v>
      </c>
      <c r="DL90" s="136" t="n">
        <v>0.0025</v>
      </c>
      <c r="DM90" s="136" t="n">
        <v>-0.0655</v>
      </c>
      <c r="DN90" s="136" t="n">
        <v>0.0025</v>
      </c>
      <c r="DO90" s="136" t="n">
        <v>-0.088</v>
      </c>
      <c r="DP90" s="136" t="n">
        <v>0.0025</v>
      </c>
      <c r="DQ90" s="136" t="n">
        <v>-0.084</v>
      </c>
      <c r="DR90" s="136" t="n">
        <v>-0.005</v>
      </c>
      <c r="DS90" s="136" t="n">
        <v>0.46</v>
      </c>
      <c r="DT90" s="136" t="n">
        <v>0.05</v>
      </c>
      <c r="DU90" s="136" t="n">
        <v>0.0865775</v>
      </c>
      <c r="DV90" s="136" t="n">
        <v>0</v>
      </c>
    </row>
    <row r="91" customFormat="false" ht="12.75" hidden="false" customHeight="false" outlineLevel="0" collapsed="false">
      <c r="D91" s="135" t="n">
        <v>39417</v>
      </c>
      <c r="F91" s="174" t="n">
        <v>3.8645</v>
      </c>
      <c r="G91" s="175" t="n">
        <v>0.0558375124748816</v>
      </c>
      <c r="H91" s="174" t="n">
        <v>0.24</v>
      </c>
      <c r="I91" s="174" t="n">
        <v>1</v>
      </c>
      <c r="J91" s="174" t="n">
        <v>1.05</v>
      </c>
      <c r="K91" s="174" t="n">
        <v>1</v>
      </c>
      <c r="L91" s="172" t="n">
        <v>1</v>
      </c>
      <c r="M91" s="172" t="n">
        <v>1.15</v>
      </c>
      <c r="N91" s="174" t="n">
        <v>1.25</v>
      </c>
      <c r="O91" s="174" t="n">
        <v>1.05</v>
      </c>
      <c r="P91" s="174" t="n">
        <v>1</v>
      </c>
      <c r="Q91" s="174" t="n">
        <v>1.35</v>
      </c>
      <c r="R91" s="175" t="n">
        <v>1</v>
      </c>
      <c r="S91" s="175" t="n">
        <v>1.1</v>
      </c>
      <c r="T91" s="174" t="n">
        <v>1</v>
      </c>
      <c r="U91" s="174" t="n">
        <v>1.25</v>
      </c>
      <c r="V91" s="174" t="n">
        <v>1.1</v>
      </c>
      <c r="W91" s="174" t="n">
        <v>0.005</v>
      </c>
      <c r="X91" s="174" t="n">
        <v>0.03</v>
      </c>
      <c r="Y91" s="174" t="n">
        <v>0.13</v>
      </c>
      <c r="Z91" s="174" t="n">
        <v>0.02</v>
      </c>
      <c r="AA91" s="174" t="n">
        <v>0.355</v>
      </c>
      <c r="AB91" s="174" t="n">
        <v>0</v>
      </c>
      <c r="AC91" s="174" t="n">
        <v>0.355</v>
      </c>
      <c r="AD91" s="174" t="n">
        <v>0</v>
      </c>
      <c r="AE91" s="174" t="n">
        <v>0.355</v>
      </c>
      <c r="AF91" s="174" t="n">
        <v>0</v>
      </c>
      <c r="AG91" s="174" t="n">
        <v>0.195</v>
      </c>
      <c r="AH91" s="174" t="n">
        <v>0</v>
      </c>
      <c r="AI91" s="174" t="n">
        <v>0.18372</v>
      </c>
      <c r="AJ91" s="174" t="n">
        <v>0</v>
      </c>
      <c r="AK91" s="174" t="n">
        <v>0.13</v>
      </c>
      <c r="AL91" s="174" t="n">
        <v>0.035</v>
      </c>
      <c r="AM91" s="174" t="n">
        <v>-0.075</v>
      </c>
      <c r="AN91" s="174" t="n">
        <v>0.012</v>
      </c>
      <c r="AO91" s="174" t="n">
        <v>-0.4</v>
      </c>
      <c r="AP91" s="174" t="n">
        <v>0.155</v>
      </c>
      <c r="AQ91" s="174" t="n">
        <v>-0.055</v>
      </c>
      <c r="AR91" s="174" t="n">
        <v>0.005</v>
      </c>
      <c r="AS91" s="174" t="n">
        <v>-0.1525</v>
      </c>
      <c r="AT91" s="174" t="n">
        <v>-0.005</v>
      </c>
      <c r="AU91" s="174" t="n">
        <v>-0.1125</v>
      </c>
      <c r="AV91" s="174" t="n">
        <v>-0.01</v>
      </c>
      <c r="AW91" s="174" t="n">
        <v>-0.065</v>
      </c>
      <c r="AX91" s="174" t="n">
        <v>0.005</v>
      </c>
      <c r="AY91" s="175" t="n">
        <v>0.155</v>
      </c>
      <c r="AZ91" s="175" t="n">
        <v>0</v>
      </c>
      <c r="BA91" s="175" t="n">
        <v>-0.13</v>
      </c>
      <c r="BB91" s="174" t="n">
        <v>0.005</v>
      </c>
      <c r="BC91" s="174" t="n">
        <v>-0.07</v>
      </c>
      <c r="BD91" s="174" t="n">
        <v>0.005</v>
      </c>
      <c r="BE91" s="174" t="n">
        <v>0.24</v>
      </c>
      <c r="BF91" s="174" t="n">
        <v>0.036</v>
      </c>
      <c r="BG91" s="174" t="n">
        <v>-0.06</v>
      </c>
      <c r="BH91" s="174" t="n">
        <v>0</v>
      </c>
      <c r="BI91" s="174" t="n">
        <v>0.15</v>
      </c>
      <c r="BJ91" s="136" t="n">
        <v>0.03</v>
      </c>
      <c r="BK91" s="136" t="n">
        <v>0.24</v>
      </c>
      <c r="BL91" s="136" t="n">
        <v>0.036</v>
      </c>
      <c r="BM91" s="136" t="n">
        <v>0.358</v>
      </c>
      <c r="BN91" s="136" t="n">
        <v>0</v>
      </c>
      <c r="BO91" s="136" t="n">
        <v>-0.26</v>
      </c>
      <c r="BP91" s="136" t="n">
        <v>0</v>
      </c>
      <c r="BQ91" s="136" t="n">
        <v>0.5</v>
      </c>
      <c r="BR91" s="136" t="n">
        <v>0.036</v>
      </c>
      <c r="BS91" s="136" t="n">
        <v>-0.07</v>
      </c>
      <c r="BT91" s="136" t="n">
        <v>0.005</v>
      </c>
      <c r="BU91" s="136" t="n">
        <v>0.3</v>
      </c>
      <c r="BV91" s="136" t="n">
        <v>0</v>
      </c>
      <c r="BW91" s="136" t="n">
        <v>0.24</v>
      </c>
      <c r="BX91" s="136" t="n">
        <v>0</v>
      </c>
      <c r="BY91" s="136" t="n">
        <v>-0.021</v>
      </c>
      <c r="BZ91" s="136" t="n">
        <v>0.0575</v>
      </c>
      <c r="CA91" s="136" t="n">
        <v>0.215</v>
      </c>
      <c r="CB91" s="136" t="n">
        <v>0.005</v>
      </c>
      <c r="CC91" s="136" t="n">
        <v>-0.021</v>
      </c>
      <c r="CD91" s="136" t="n">
        <v>0.0037</v>
      </c>
      <c r="CE91" s="136" t="n">
        <v>0.0025</v>
      </c>
      <c r="CF91" s="136" t="n">
        <v>0.0025</v>
      </c>
      <c r="CG91" s="136" t="n">
        <v>-0.021</v>
      </c>
      <c r="CH91" s="136" t="n">
        <v>0.0037</v>
      </c>
      <c r="CI91" s="136" t="n">
        <v>-0.1165</v>
      </c>
      <c r="CJ91" s="136" t="n">
        <v>0.0025</v>
      </c>
      <c r="CK91" s="136" t="n">
        <v>0.075</v>
      </c>
      <c r="CL91" s="136" t="n">
        <v>0.0025</v>
      </c>
      <c r="CM91" s="136" t="n">
        <v>-0.065</v>
      </c>
      <c r="CN91" s="136" t="n">
        <v>0.01</v>
      </c>
      <c r="CO91" s="136" t="n">
        <v>-0.01</v>
      </c>
      <c r="CP91" s="136" t="n">
        <v>0.0075</v>
      </c>
      <c r="CQ91" s="136" t="n">
        <v>0.03</v>
      </c>
      <c r="CR91" s="136" t="n">
        <v>0.0125</v>
      </c>
      <c r="CS91" s="136" t="n">
        <v>0.98</v>
      </c>
      <c r="CT91" s="136" t="n">
        <v>0.25</v>
      </c>
      <c r="CU91" s="136" t="n">
        <v>0.358</v>
      </c>
      <c r="CV91" s="136" t="n">
        <v>0</v>
      </c>
      <c r="CW91" s="136" t="n">
        <v>0.29</v>
      </c>
      <c r="CX91" s="136" t="n">
        <v>0.02</v>
      </c>
      <c r="CY91" s="136" t="n">
        <v>-0.52</v>
      </c>
      <c r="CZ91" s="136" t="n">
        <v>0</v>
      </c>
      <c r="DA91" s="136" t="n">
        <v>-0.34</v>
      </c>
      <c r="DB91" s="136" t="n">
        <v>0</v>
      </c>
      <c r="DC91" s="136" t="n">
        <v>0.4</v>
      </c>
      <c r="DE91" s="136" t="n">
        <v>-0.045</v>
      </c>
      <c r="DF91" s="136" t="n">
        <v>0.0125</v>
      </c>
      <c r="DG91" s="136" t="n">
        <v>0.007</v>
      </c>
      <c r="DH91" s="136" t="n">
        <v>0.0075</v>
      </c>
      <c r="DI91" s="136" t="n">
        <v>-0.013</v>
      </c>
      <c r="DJ91" s="136" t="n">
        <v>0.0025</v>
      </c>
      <c r="DK91" s="136" t="n">
        <v>-0.0815</v>
      </c>
      <c r="DL91" s="136" t="n">
        <v>0.0025</v>
      </c>
      <c r="DM91" s="136" t="n">
        <v>-0.0635</v>
      </c>
      <c r="DN91" s="136" t="n">
        <v>0.0025</v>
      </c>
      <c r="DO91" s="136" t="n">
        <v>-0.086</v>
      </c>
      <c r="DP91" s="136" t="n">
        <v>0.0025</v>
      </c>
      <c r="DQ91" s="136" t="n">
        <v>-0.1115</v>
      </c>
      <c r="DR91" s="136" t="n">
        <v>-0.005</v>
      </c>
      <c r="DS91" s="136" t="n">
        <v>0.77</v>
      </c>
      <c r="DT91" s="136" t="n">
        <v>0.05</v>
      </c>
      <c r="DU91" s="136" t="n">
        <v>0.0848175</v>
      </c>
      <c r="DV91" s="136" t="n">
        <v>0</v>
      </c>
    </row>
    <row r="92" customFormat="false" ht="12.75" hidden="false" customHeight="false" outlineLevel="0" collapsed="false">
      <c r="D92" s="135" t="n">
        <v>39448</v>
      </c>
      <c r="F92" s="174" t="n">
        <v>3.9145</v>
      </c>
      <c r="G92" s="175" t="n">
        <v>0.0560215286416526</v>
      </c>
      <c r="H92" s="174" t="n">
        <v>0.24</v>
      </c>
      <c r="I92" s="174" t="n">
        <v>1</v>
      </c>
      <c r="J92" s="174" t="n">
        <v>1.05</v>
      </c>
      <c r="K92" s="174" t="n">
        <v>1</v>
      </c>
      <c r="L92" s="172" t="n">
        <v>1</v>
      </c>
      <c r="M92" s="172" t="n">
        <v>1.15</v>
      </c>
      <c r="N92" s="174" t="n">
        <v>1.45</v>
      </c>
      <c r="O92" s="174" t="n">
        <v>1.05</v>
      </c>
      <c r="P92" s="174" t="n">
        <v>1</v>
      </c>
      <c r="Q92" s="174" t="n">
        <v>1.35</v>
      </c>
      <c r="R92" s="175" t="n">
        <v>1</v>
      </c>
      <c r="S92" s="175" t="n">
        <v>1.1</v>
      </c>
      <c r="T92" s="174" t="n">
        <v>1</v>
      </c>
      <c r="U92" s="174" t="n">
        <v>1.45</v>
      </c>
      <c r="V92" s="174" t="n">
        <v>1.1</v>
      </c>
      <c r="W92" s="174" t="n">
        <v>0.025</v>
      </c>
      <c r="X92" s="174" t="n">
        <v>0.03</v>
      </c>
      <c r="Y92" s="174" t="n">
        <v>0.13</v>
      </c>
      <c r="Z92" s="174" t="n">
        <v>0.02</v>
      </c>
      <c r="AA92" s="174" t="n">
        <v>0.355</v>
      </c>
      <c r="AB92" s="174" t="n">
        <v>0</v>
      </c>
      <c r="AC92" s="174" t="n">
        <v>0.355</v>
      </c>
      <c r="AD92" s="174" t="n">
        <v>0</v>
      </c>
      <c r="AE92" s="174" t="n">
        <v>0.355</v>
      </c>
      <c r="AF92" s="174" t="n">
        <v>0</v>
      </c>
      <c r="AG92" s="174" t="n">
        <v>0.195</v>
      </c>
      <c r="AH92" s="174" t="n">
        <v>0</v>
      </c>
      <c r="AI92" s="174" t="n">
        <v>0.1854</v>
      </c>
      <c r="AJ92" s="174" t="n">
        <v>0</v>
      </c>
      <c r="AK92" s="174" t="n">
        <v>0.13</v>
      </c>
      <c r="AL92" s="174" t="n">
        <v>0.035</v>
      </c>
      <c r="AM92" s="174" t="n">
        <v>-0.075</v>
      </c>
      <c r="AN92" s="174" t="n">
        <v>0.012</v>
      </c>
      <c r="AO92" s="174" t="n">
        <v>-0.4</v>
      </c>
      <c r="AP92" s="174" t="n">
        <v>0.155</v>
      </c>
      <c r="AQ92" s="174" t="n">
        <v>-0.055</v>
      </c>
      <c r="AR92" s="174" t="n">
        <v>0.005</v>
      </c>
      <c r="AS92" s="174" t="n">
        <v>-0.155</v>
      </c>
      <c r="AT92" s="174" t="n">
        <v>-0.005</v>
      </c>
      <c r="AU92" s="174" t="n">
        <v>-0.115</v>
      </c>
      <c r="AV92" s="174" t="n">
        <v>-0.01</v>
      </c>
      <c r="AW92" s="174" t="n">
        <v>-0.065</v>
      </c>
      <c r="AX92" s="174" t="n">
        <v>0.005</v>
      </c>
      <c r="AY92" s="175" t="n">
        <v>0.155</v>
      </c>
      <c r="AZ92" s="175" t="n">
        <v>0</v>
      </c>
      <c r="BA92" s="175" t="n">
        <v>-0.13</v>
      </c>
      <c r="BB92" s="174" t="n">
        <v>0.005</v>
      </c>
      <c r="BC92" s="174" t="n">
        <v>-0.07</v>
      </c>
      <c r="BD92" s="174" t="n">
        <v>0.005</v>
      </c>
      <c r="BE92" s="174" t="n">
        <v>0.24</v>
      </c>
      <c r="BF92" s="174" t="n">
        <v>0.036</v>
      </c>
      <c r="BG92" s="174" t="n">
        <v>-0.06</v>
      </c>
      <c r="BH92" s="174" t="n">
        <v>0</v>
      </c>
      <c r="BI92" s="174" t="n">
        <v>0.15</v>
      </c>
      <c r="BJ92" s="136" t="n">
        <v>0.03</v>
      </c>
      <c r="BK92" s="136" t="n">
        <v>0.24</v>
      </c>
      <c r="BL92" s="136" t="n">
        <v>0.036</v>
      </c>
      <c r="BM92" s="136" t="n">
        <v>0.428</v>
      </c>
      <c r="BN92" s="136" t="n">
        <v>0</v>
      </c>
      <c r="BO92" s="136" t="n">
        <v>-0.26</v>
      </c>
      <c r="BP92" s="136" t="n">
        <v>0</v>
      </c>
      <c r="BQ92" s="136" t="n">
        <v>0.5</v>
      </c>
      <c r="BR92" s="136" t="n">
        <v>0.036</v>
      </c>
      <c r="BS92" s="136" t="n">
        <v>-0.07</v>
      </c>
      <c r="BT92" s="136" t="n">
        <v>0.005</v>
      </c>
      <c r="BU92" s="136" t="n">
        <v>0.3</v>
      </c>
      <c r="BV92" s="136" t="n">
        <v>0</v>
      </c>
      <c r="BW92" s="136" t="n">
        <v>0</v>
      </c>
      <c r="BX92" s="136" t="n">
        <v>0</v>
      </c>
      <c r="BY92" s="136" t="n">
        <v>-0.019</v>
      </c>
      <c r="BZ92" s="136" t="n">
        <v>0.0575</v>
      </c>
      <c r="CA92" s="136" t="n">
        <v>0.235</v>
      </c>
      <c r="CB92" s="136" t="n">
        <v>0.005</v>
      </c>
      <c r="CC92" s="136" t="n">
        <v>-0.019</v>
      </c>
      <c r="CD92" s="136" t="n">
        <v>0.0037</v>
      </c>
      <c r="CE92" s="136" t="n">
        <v>0.0025</v>
      </c>
      <c r="CF92" s="136" t="n">
        <v>0.0025</v>
      </c>
      <c r="CG92" s="136" t="n">
        <v>-0.019</v>
      </c>
      <c r="CH92" s="136" t="n">
        <v>0.0037</v>
      </c>
      <c r="CI92" s="136" t="n">
        <v>-0.1145</v>
      </c>
      <c r="CJ92" s="136" t="n">
        <v>0.0025</v>
      </c>
      <c r="CK92" s="136" t="n">
        <v>0.075</v>
      </c>
      <c r="CL92" s="136" t="n">
        <v>0.0025</v>
      </c>
      <c r="CM92" s="136" t="n">
        <v>-0.065</v>
      </c>
      <c r="CN92" s="136" t="n">
        <v>0.01</v>
      </c>
      <c r="CO92" s="136" t="n">
        <v>-0.01</v>
      </c>
      <c r="CP92" s="136" t="n">
        <v>0.0075</v>
      </c>
      <c r="CQ92" s="136" t="n">
        <v>0.03</v>
      </c>
      <c r="CR92" s="136" t="n">
        <v>0.0125</v>
      </c>
      <c r="CS92" s="136" t="n">
        <v>1.6</v>
      </c>
      <c r="CT92" s="136" t="n">
        <v>0.45</v>
      </c>
      <c r="CU92" s="136" t="n">
        <v>0.428</v>
      </c>
      <c r="CV92" s="136" t="n">
        <v>0</v>
      </c>
      <c r="CW92" s="136" t="n">
        <v>0.34</v>
      </c>
      <c r="CX92" s="136" t="n">
        <v>0.02</v>
      </c>
      <c r="CY92" s="136" t="n">
        <v>-0.52</v>
      </c>
      <c r="CZ92" s="136" t="n">
        <v>0</v>
      </c>
      <c r="DA92" s="136" t="n">
        <v>-0.34</v>
      </c>
      <c r="DB92" s="136" t="n">
        <v>0</v>
      </c>
      <c r="DC92" s="136" t="n">
        <v>0.35</v>
      </c>
      <c r="DE92" s="136" t="n">
        <v>-0.045</v>
      </c>
      <c r="DF92" s="136" t="n">
        <v>0.0125</v>
      </c>
      <c r="DG92" s="136" t="n">
        <v>0.007</v>
      </c>
      <c r="DH92" s="136" t="n">
        <v>0.0075</v>
      </c>
      <c r="DI92" s="136" t="n">
        <v>-0.013</v>
      </c>
      <c r="DJ92" s="136" t="n">
        <v>0.0025</v>
      </c>
      <c r="DK92" s="136" t="n">
        <v>-0.0965</v>
      </c>
      <c r="DL92" s="136" t="n">
        <v>0.0025</v>
      </c>
      <c r="DM92" s="136" t="n">
        <v>-0.0635</v>
      </c>
      <c r="DN92" s="136" t="n">
        <v>0.0025</v>
      </c>
      <c r="DO92" s="136" t="n">
        <v>-0.086</v>
      </c>
      <c r="DP92" s="136" t="n">
        <v>0.0025</v>
      </c>
      <c r="DQ92" s="136" t="n">
        <v>-0.1265</v>
      </c>
      <c r="DR92" s="136" t="n">
        <v>-0.005</v>
      </c>
      <c r="DS92" s="136" t="n">
        <v>1.04</v>
      </c>
      <c r="DT92" s="136" t="n">
        <v>0.05</v>
      </c>
      <c r="DU92" s="136" t="n">
        <v>0.08424</v>
      </c>
      <c r="DV92" s="136" t="n">
        <v>0</v>
      </c>
    </row>
    <row r="93" customFormat="false" ht="12.75" hidden="false" customHeight="false" outlineLevel="0" collapsed="false">
      <c r="D93" s="135" t="n">
        <v>39479</v>
      </c>
      <c r="F93" s="174" t="n">
        <v>3.8295</v>
      </c>
      <c r="G93" s="175" t="n">
        <v>0.0562055448196963</v>
      </c>
      <c r="H93" s="174" t="n">
        <v>0.24</v>
      </c>
      <c r="I93" s="174" t="n">
        <v>1</v>
      </c>
      <c r="J93" s="174" t="n">
        <v>1.05</v>
      </c>
      <c r="K93" s="174" t="n">
        <v>1</v>
      </c>
      <c r="L93" s="172" t="n">
        <v>1</v>
      </c>
      <c r="M93" s="172" t="n">
        <v>1.15</v>
      </c>
      <c r="N93" s="174" t="n">
        <v>1.45</v>
      </c>
      <c r="O93" s="174" t="n">
        <v>1.05</v>
      </c>
      <c r="P93" s="174" t="n">
        <v>1</v>
      </c>
      <c r="Q93" s="174" t="n">
        <v>1.35</v>
      </c>
      <c r="R93" s="175" t="n">
        <v>1</v>
      </c>
      <c r="S93" s="175" t="n">
        <v>1.1</v>
      </c>
      <c r="T93" s="174" t="n">
        <v>1</v>
      </c>
      <c r="U93" s="174" t="n">
        <v>1.45</v>
      </c>
      <c r="V93" s="174" t="n">
        <v>1.1</v>
      </c>
      <c r="W93" s="174" t="n">
        <v>0.02</v>
      </c>
      <c r="X93" s="174" t="n">
        <v>0.03</v>
      </c>
      <c r="Y93" s="174" t="n">
        <v>0.13</v>
      </c>
      <c r="Z93" s="174" t="n">
        <v>0.02</v>
      </c>
      <c r="AA93" s="174" t="n">
        <v>0.355</v>
      </c>
      <c r="AB93" s="174" t="n">
        <v>0</v>
      </c>
      <c r="AC93" s="174" t="n">
        <v>0.355</v>
      </c>
      <c r="AD93" s="174" t="n">
        <v>0</v>
      </c>
      <c r="AE93" s="174" t="n">
        <v>0.355</v>
      </c>
      <c r="AF93" s="174" t="n">
        <v>0</v>
      </c>
      <c r="AG93" s="174" t="n">
        <v>0.195</v>
      </c>
      <c r="AH93" s="174" t="n">
        <v>0</v>
      </c>
      <c r="AI93" s="174" t="n">
        <v>0.18284</v>
      </c>
      <c r="AJ93" s="174" t="n">
        <v>0</v>
      </c>
      <c r="AK93" s="174" t="n">
        <v>0.13</v>
      </c>
      <c r="AL93" s="174" t="n">
        <v>0.035</v>
      </c>
      <c r="AM93" s="174" t="n">
        <v>-0.075</v>
      </c>
      <c r="AN93" s="174" t="n">
        <v>0.012</v>
      </c>
      <c r="AO93" s="174" t="n">
        <v>-0.4</v>
      </c>
      <c r="AP93" s="174" t="n">
        <v>0.155</v>
      </c>
      <c r="AQ93" s="174" t="n">
        <v>-0.055</v>
      </c>
      <c r="AR93" s="174" t="n">
        <v>0.005</v>
      </c>
      <c r="AS93" s="174" t="n">
        <v>-0.1475</v>
      </c>
      <c r="AT93" s="174" t="n">
        <v>-0.005</v>
      </c>
      <c r="AU93" s="174" t="n">
        <v>-0.1075</v>
      </c>
      <c r="AV93" s="174" t="n">
        <v>-0.01</v>
      </c>
      <c r="AW93" s="174" t="n">
        <v>-0.065</v>
      </c>
      <c r="AX93" s="174" t="n">
        <v>0.005</v>
      </c>
      <c r="AY93" s="175" t="n">
        <v>0.155</v>
      </c>
      <c r="AZ93" s="175" t="n">
        <v>0</v>
      </c>
      <c r="BA93" s="175" t="n">
        <v>-0.13</v>
      </c>
      <c r="BB93" s="174" t="n">
        <v>0.005</v>
      </c>
      <c r="BC93" s="174" t="n">
        <v>-0.07</v>
      </c>
      <c r="BD93" s="174" t="n">
        <v>0.005</v>
      </c>
      <c r="BE93" s="174" t="n">
        <v>0.24</v>
      </c>
      <c r="BF93" s="174" t="n">
        <v>0.036</v>
      </c>
      <c r="BG93" s="174" t="n">
        <v>-0.06</v>
      </c>
      <c r="BH93" s="174" t="n">
        <v>0</v>
      </c>
      <c r="BI93" s="174" t="n">
        <v>0.15</v>
      </c>
      <c r="BJ93" s="136" t="n">
        <v>0.03</v>
      </c>
      <c r="BK93" s="136" t="n">
        <v>0.24</v>
      </c>
      <c r="BL93" s="136" t="n">
        <v>0.036</v>
      </c>
      <c r="BM93" s="136" t="n">
        <v>0.298</v>
      </c>
      <c r="BN93" s="136" t="n">
        <v>0</v>
      </c>
      <c r="BO93" s="136" t="n">
        <v>-0.26</v>
      </c>
      <c r="BP93" s="136" t="n">
        <v>0</v>
      </c>
      <c r="BQ93" s="136" t="n">
        <v>0.5</v>
      </c>
      <c r="BR93" s="136" t="n">
        <v>0.036</v>
      </c>
      <c r="BS93" s="136" t="n">
        <v>-0.07</v>
      </c>
      <c r="BT93" s="136" t="n">
        <v>0.005</v>
      </c>
      <c r="BU93" s="136" t="n">
        <v>0.3</v>
      </c>
      <c r="BV93" s="136" t="n">
        <v>0</v>
      </c>
      <c r="BW93" s="136" t="n">
        <v>0</v>
      </c>
      <c r="BX93" s="136" t="n">
        <v>0</v>
      </c>
      <c r="BY93" s="136" t="n">
        <v>-0.019</v>
      </c>
      <c r="BZ93" s="136" t="n">
        <v>0.0575</v>
      </c>
      <c r="CA93" s="136" t="n">
        <v>0.235</v>
      </c>
      <c r="CB93" s="136" t="n">
        <v>0.005</v>
      </c>
      <c r="CC93" s="136" t="n">
        <v>-0.019</v>
      </c>
      <c r="CD93" s="136" t="n">
        <v>0.0037</v>
      </c>
      <c r="CE93" s="136" t="n">
        <v>0.0025</v>
      </c>
      <c r="CF93" s="136" t="n">
        <v>0.0025</v>
      </c>
      <c r="CG93" s="136" t="n">
        <v>-0.019</v>
      </c>
      <c r="CH93" s="136" t="n">
        <v>0.0037</v>
      </c>
      <c r="CI93" s="136" t="n">
        <v>-0.1145</v>
      </c>
      <c r="CJ93" s="136" t="n">
        <v>0.0025</v>
      </c>
      <c r="CK93" s="136" t="n">
        <v>0.075</v>
      </c>
      <c r="CL93" s="136" t="n">
        <v>0.0025</v>
      </c>
      <c r="CM93" s="136" t="n">
        <v>-0.065</v>
      </c>
      <c r="CN93" s="136" t="n">
        <v>0.01</v>
      </c>
      <c r="CO93" s="136" t="n">
        <v>-0.01</v>
      </c>
      <c r="CP93" s="136" t="n">
        <v>0.0075</v>
      </c>
      <c r="CQ93" s="136" t="n">
        <v>0.03</v>
      </c>
      <c r="CR93" s="136" t="n">
        <v>0.0125</v>
      </c>
      <c r="CS93" s="136" t="n">
        <v>1.6</v>
      </c>
      <c r="CT93" s="136" t="n">
        <v>0.45</v>
      </c>
      <c r="CU93" s="136" t="n">
        <v>0.298</v>
      </c>
      <c r="CV93" s="136" t="n">
        <v>0</v>
      </c>
      <c r="CW93" s="136" t="n">
        <v>0.34</v>
      </c>
      <c r="CX93" s="136" t="n">
        <v>0.02</v>
      </c>
      <c r="CY93" s="136" t="n">
        <v>-0.52</v>
      </c>
      <c r="CZ93" s="136" t="n">
        <v>0</v>
      </c>
      <c r="DA93" s="136" t="n">
        <v>-0.34</v>
      </c>
      <c r="DB93" s="136" t="n">
        <v>0</v>
      </c>
      <c r="DC93" s="136" t="n">
        <v>0.35</v>
      </c>
      <c r="DE93" s="136" t="n">
        <v>-0.045</v>
      </c>
      <c r="DF93" s="136" t="n">
        <v>0.0125</v>
      </c>
      <c r="DG93" s="136" t="n">
        <v>0.007</v>
      </c>
      <c r="DH93" s="136" t="n">
        <v>0.0075</v>
      </c>
      <c r="DI93" s="136" t="n">
        <v>-0.013</v>
      </c>
      <c r="DJ93" s="136" t="n">
        <v>0.0025</v>
      </c>
      <c r="DK93" s="136" t="n">
        <v>-0.0865</v>
      </c>
      <c r="DL93" s="136" t="n">
        <v>0.0025</v>
      </c>
      <c r="DM93" s="136" t="n">
        <v>-0.0635</v>
      </c>
      <c r="DN93" s="136" t="n">
        <v>0.0025</v>
      </c>
      <c r="DO93" s="136" t="n">
        <v>-0.086</v>
      </c>
      <c r="DP93" s="136" t="n">
        <v>0.0025</v>
      </c>
      <c r="DQ93" s="136" t="n">
        <v>-0.1165</v>
      </c>
      <c r="DR93" s="136" t="n">
        <v>-0.005</v>
      </c>
      <c r="DS93" s="136" t="n">
        <v>1.04</v>
      </c>
      <c r="DT93" s="136" t="n">
        <v>0.05</v>
      </c>
      <c r="DU93" s="136" t="n">
        <v>0.08512</v>
      </c>
      <c r="DV93" s="136" t="n">
        <v>0</v>
      </c>
    </row>
    <row r="94" customFormat="false" ht="12.75" hidden="false" customHeight="false" outlineLevel="0" collapsed="false">
      <c r="D94" s="135" t="n">
        <v>39508</v>
      </c>
      <c r="F94" s="174" t="n">
        <v>3.6995</v>
      </c>
      <c r="G94" s="175" t="n">
        <v>0.056377688996458</v>
      </c>
      <c r="H94" s="174" t="n">
        <v>0.235</v>
      </c>
      <c r="I94" s="174" t="n">
        <v>0.75</v>
      </c>
      <c r="J94" s="174" t="n">
        <v>0.8</v>
      </c>
      <c r="K94" s="174" t="n">
        <v>0.75</v>
      </c>
      <c r="L94" s="172" t="n">
        <v>0.75</v>
      </c>
      <c r="M94" s="172" t="n">
        <v>0.85</v>
      </c>
      <c r="N94" s="174" t="n">
        <v>1</v>
      </c>
      <c r="O94" s="174" t="n">
        <v>0.75</v>
      </c>
      <c r="P94" s="174" t="n">
        <v>0.75</v>
      </c>
      <c r="Q94" s="174" t="n">
        <v>0.95</v>
      </c>
      <c r="R94" s="175" t="n">
        <v>0.75</v>
      </c>
      <c r="S94" s="175" t="n">
        <v>0.75</v>
      </c>
      <c r="T94" s="174" t="n">
        <v>0.75</v>
      </c>
      <c r="U94" s="174" t="n">
        <v>1</v>
      </c>
      <c r="V94" s="174" t="n">
        <v>0.85</v>
      </c>
      <c r="W94" s="174" t="n">
        <v>0</v>
      </c>
      <c r="X94" s="174" t="n">
        <v>0.03</v>
      </c>
      <c r="Y94" s="174" t="n">
        <v>0.13</v>
      </c>
      <c r="Z94" s="174" t="n">
        <v>0.02</v>
      </c>
      <c r="AA94" s="174" t="n">
        <v>0.355</v>
      </c>
      <c r="AB94" s="174" t="n">
        <v>0</v>
      </c>
      <c r="AC94" s="174" t="n">
        <v>0.355</v>
      </c>
      <c r="AD94" s="174" t="n">
        <v>0</v>
      </c>
      <c r="AE94" s="174" t="n">
        <v>0.355</v>
      </c>
      <c r="AF94" s="174" t="n">
        <v>0</v>
      </c>
      <c r="AG94" s="174" t="n">
        <v>0.195</v>
      </c>
      <c r="AH94" s="174" t="n">
        <v>0</v>
      </c>
      <c r="AI94" s="174" t="n">
        <v>0.17868</v>
      </c>
      <c r="AJ94" s="174" t="n">
        <v>0</v>
      </c>
      <c r="AK94" s="174" t="n">
        <v>0.13</v>
      </c>
      <c r="AL94" s="174" t="n">
        <v>0.035</v>
      </c>
      <c r="AM94" s="174" t="n">
        <v>-0.075</v>
      </c>
      <c r="AN94" s="174" t="n">
        <v>0.012</v>
      </c>
      <c r="AO94" s="174" t="n">
        <v>-0.4</v>
      </c>
      <c r="AP94" s="174" t="n">
        <v>0.155</v>
      </c>
      <c r="AQ94" s="174" t="n">
        <v>-0.055</v>
      </c>
      <c r="AR94" s="174" t="n">
        <v>0.005</v>
      </c>
      <c r="AS94" s="174" t="n">
        <v>-0.145</v>
      </c>
      <c r="AT94" s="174" t="n">
        <v>-0.005</v>
      </c>
      <c r="AU94" s="174" t="n">
        <v>-0.105</v>
      </c>
      <c r="AV94" s="174" t="n">
        <v>-0.01</v>
      </c>
      <c r="AW94" s="174" t="n">
        <v>-0.065</v>
      </c>
      <c r="AX94" s="174" t="n">
        <v>0.005</v>
      </c>
      <c r="AY94" s="175" t="n">
        <v>0.155</v>
      </c>
      <c r="AZ94" s="175" t="n">
        <v>0</v>
      </c>
      <c r="BA94" s="175" t="n">
        <v>-0.13</v>
      </c>
      <c r="BB94" s="174" t="n">
        <v>0.005</v>
      </c>
      <c r="BC94" s="174" t="n">
        <v>-0.07</v>
      </c>
      <c r="BD94" s="174" t="n">
        <v>0.005</v>
      </c>
      <c r="BE94" s="174" t="n">
        <v>0.24</v>
      </c>
      <c r="BF94" s="174" t="n">
        <v>0.036</v>
      </c>
      <c r="BG94" s="174" t="n">
        <v>-0.06</v>
      </c>
      <c r="BH94" s="174" t="n">
        <v>0</v>
      </c>
      <c r="BI94" s="174" t="n">
        <v>0.15</v>
      </c>
      <c r="BJ94" s="136" t="n">
        <v>0.03</v>
      </c>
      <c r="BK94" s="136" t="n">
        <v>0.24</v>
      </c>
      <c r="BL94" s="136" t="n">
        <v>0.036</v>
      </c>
      <c r="BM94" s="136" t="n">
        <v>0.118</v>
      </c>
      <c r="BN94" s="136" t="n">
        <v>0</v>
      </c>
      <c r="BO94" s="136" t="n">
        <v>-0.26</v>
      </c>
      <c r="BP94" s="136" t="n">
        <v>0</v>
      </c>
      <c r="BQ94" s="136" t="n">
        <v>0.5</v>
      </c>
      <c r="BR94" s="136" t="n">
        <v>0.036</v>
      </c>
      <c r="BS94" s="136" t="n">
        <v>-0.07</v>
      </c>
      <c r="BT94" s="136" t="n">
        <v>0.005</v>
      </c>
      <c r="BU94" s="136" t="n">
        <v>0.3</v>
      </c>
      <c r="BV94" s="136" t="n">
        <v>0</v>
      </c>
      <c r="BW94" s="136" t="n">
        <v>0</v>
      </c>
      <c r="BX94" s="136" t="n">
        <v>0</v>
      </c>
      <c r="BY94" s="136" t="n">
        <v>-0.019</v>
      </c>
      <c r="BZ94" s="136" t="n">
        <v>0.0575</v>
      </c>
      <c r="CA94" s="136" t="n">
        <v>0.195</v>
      </c>
      <c r="CB94" s="136" t="n">
        <v>0.005</v>
      </c>
      <c r="CC94" s="136" t="n">
        <v>-0.019</v>
      </c>
      <c r="CD94" s="136" t="n">
        <v>0.0037</v>
      </c>
      <c r="CE94" s="136" t="n">
        <v>0.0025</v>
      </c>
      <c r="CF94" s="136" t="n">
        <v>0.0025</v>
      </c>
      <c r="CG94" s="136" t="n">
        <v>-0.019</v>
      </c>
      <c r="CH94" s="136" t="n">
        <v>0.0037</v>
      </c>
      <c r="CI94" s="136" t="n">
        <v>-0.1145</v>
      </c>
      <c r="CJ94" s="136" t="n">
        <v>0.0025</v>
      </c>
      <c r="CK94" s="136" t="n">
        <v>0.075</v>
      </c>
      <c r="CL94" s="136" t="n">
        <v>0.0025</v>
      </c>
      <c r="CM94" s="136" t="n">
        <v>-0.065</v>
      </c>
      <c r="CN94" s="136" t="n">
        <v>0.01</v>
      </c>
      <c r="CO94" s="136" t="n">
        <v>-0.01</v>
      </c>
      <c r="CP94" s="136" t="n">
        <v>0.0075</v>
      </c>
      <c r="CQ94" s="136" t="n">
        <v>0.03</v>
      </c>
      <c r="CR94" s="136" t="n">
        <v>0.0125</v>
      </c>
      <c r="CS94" s="136" t="n">
        <v>0.64</v>
      </c>
      <c r="CT94" s="136" t="n">
        <v>0.1</v>
      </c>
      <c r="CU94" s="136" t="n">
        <v>0.118</v>
      </c>
      <c r="CV94" s="136" t="n">
        <v>0</v>
      </c>
      <c r="CW94" s="136" t="n">
        <v>0.29</v>
      </c>
      <c r="CX94" s="136" t="n">
        <v>0.02</v>
      </c>
      <c r="CY94" s="136" t="n">
        <v>-0.52</v>
      </c>
      <c r="CZ94" s="136" t="n">
        <v>0</v>
      </c>
      <c r="DA94" s="136" t="n">
        <v>-0.34</v>
      </c>
      <c r="DB94" s="136" t="n">
        <v>0</v>
      </c>
      <c r="DC94" s="136" t="n">
        <v>0.4</v>
      </c>
      <c r="DE94" s="136" t="n">
        <v>-0.045</v>
      </c>
      <c r="DF94" s="136" t="n">
        <v>0.0125</v>
      </c>
      <c r="DG94" s="136" t="n">
        <v>0.012</v>
      </c>
      <c r="DH94" s="136" t="n">
        <v>0.0075</v>
      </c>
      <c r="DI94" s="136" t="n">
        <v>-0.008</v>
      </c>
      <c r="DJ94" s="136" t="n">
        <v>0.0025</v>
      </c>
      <c r="DK94" s="136" t="n">
        <v>-0.0765</v>
      </c>
      <c r="DL94" s="136" t="n">
        <v>0.0025</v>
      </c>
      <c r="DM94" s="136" t="n">
        <v>-0.0635</v>
      </c>
      <c r="DN94" s="136" t="n">
        <v>0.0025</v>
      </c>
      <c r="DO94" s="136" t="n">
        <v>-0.086</v>
      </c>
      <c r="DP94" s="136" t="n">
        <v>0.0025</v>
      </c>
      <c r="DQ94" s="136" t="n">
        <v>-0.1065</v>
      </c>
      <c r="DR94" s="136" t="n">
        <v>-0.005</v>
      </c>
      <c r="DS94" s="136" t="n">
        <v>0.54</v>
      </c>
      <c r="DT94" s="136" t="n">
        <v>0.05</v>
      </c>
      <c r="DU94" s="136" t="n">
        <v>0.08655</v>
      </c>
      <c r="DV94" s="136" t="n">
        <v>0</v>
      </c>
    </row>
    <row r="95" customFormat="false" ht="12.75" hidden="false" customHeight="false" outlineLevel="0" collapsed="false">
      <c r="D95" s="135" t="n">
        <v>39539</v>
      </c>
      <c r="F95" s="174" t="n">
        <v>3.5145</v>
      </c>
      <c r="G95" s="175" t="n">
        <v>0.0565617051963172</v>
      </c>
      <c r="H95" s="174" t="n">
        <v>0.23</v>
      </c>
      <c r="I95" s="174" t="n">
        <v>0.4</v>
      </c>
      <c r="J95" s="174" t="n">
        <v>0.45</v>
      </c>
      <c r="K95" s="174" t="n">
        <v>0.4</v>
      </c>
      <c r="L95" s="172" t="n">
        <v>0.45</v>
      </c>
      <c r="M95" s="172" t="n">
        <v>0.45</v>
      </c>
      <c r="N95" s="174" t="n">
        <v>0.45</v>
      </c>
      <c r="O95" s="174" t="n">
        <v>0.45</v>
      </c>
      <c r="P95" s="174" t="n">
        <v>0.45</v>
      </c>
      <c r="Q95" s="174" t="n">
        <v>0.5</v>
      </c>
      <c r="R95" s="175" t="n">
        <v>0.4</v>
      </c>
      <c r="S95" s="175" t="n">
        <v>0.45</v>
      </c>
      <c r="T95" s="174" t="n">
        <v>0.4</v>
      </c>
      <c r="U95" s="174" t="n">
        <v>0.45</v>
      </c>
      <c r="V95" s="174" t="n">
        <v>0.55</v>
      </c>
      <c r="W95" s="174" t="n">
        <v>-0.09</v>
      </c>
      <c r="X95" s="174" t="n">
        <v>0</v>
      </c>
      <c r="Y95" s="174" t="n">
        <v>0.04</v>
      </c>
      <c r="Z95" s="174" t="n">
        <v>0.005</v>
      </c>
      <c r="AA95" s="174" t="n">
        <v>0.19</v>
      </c>
      <c r="AB95" s="174" t="n">
        <v>0</v>
      </c>
      <c r="AC95" s="174" t="n">
        <v>0.155</v>
      </c>
      <c r="AD95" s="174" t="n">
        <v>0</v>
      </c>
      <c r="AE95" s="174" t="n">
        <v>0.19</v>
      </c>
      <c r="AF95" s="174" t="n">
        <v>0</v>
      </c>
      <c r="AG95" s="174" t="n">
        <v>0.145</v>
      </c>
      <c r="AH95" s="174" t="n">
        <v>0</v>
      </c>
      <c r="AI95" s="174" t="n">
        <v>0.155</v>
      </c>
      <c r="AJ95" s="174" t="n">
        <v>0</v>
      </c>
      <c r="AK95" s="174" t="n">
        <v>0.04</v>
      </c>
      <c r="AL95" s="174" t="n">
        <v>0.04</v>
      </c>
      <c r="AM95" s="174" t="n">
        <v>-0.0575</v>
      </c>
      <c r="AN95" s="174" t="n">
        <v>0.019</v>
      </c>
      <c r="AO95" s="174" t="n">
        <v>-0.445</v>
      </c>
      <c r="AP95" s="174" t="n">
        <v>0.155</v>
      </c>
      <c r="AQ95" s="174" t="n">
        <v>-0.0525</v>
      </c>
      <c r="AR95" s="174" t="n">
        <v>0</v>
      </c>
      <c r="AS95" s="174" t="n">
        <v>-0.15</v>
      </c>
      <c r="AT95" s="174" t="n">
        <v>-0.015</v>
      </c>
      <c r="AU95" s="174" t="n">
        <v>-0.11</v>
      </c>
      <c r="AV95" s="174" t="n">
        <v>0.02</v>
      </c>
      <c r="AW95" s="174" t="n">
        <v>-0.0625</v>
      </c>
      <c r="AX95" s="174" t="n">
        <v>0.01</v>
      </c>
      <c r="AY95" s="175" t="n">
        <v>0.125</v>
      </c>
      <c r="AZ95" s="175" t="n">
        <v>0</v>
      </c>
      <c r="BA95" s="175" t="n">
        <v>-0.195</v>
      </c>
      <c r="BB95" s="174" t="n">
        <v>0.0025</v>
      </c>
      <c r="BC95" s="174" t="n">
        <v>-0.07</v>
      </c>
      <c r="BD95" s="174" t="n">
        <v>0.005</v>
      </c>
      <c r="BE95" s="174" t="n">
        <v>0.26</v>
      </c>
      <c r="BF95" s="174" t="n">
        <v>0.036</v>
      </c>
      <c r="BG95" s="174" t="n">
        <v>-0.06</v>
      </c>
      <c r="BH95" s="174" t="n">
        <v>0</v>
      </c>
      <c r="BI95" s="174" t="n">
        <v>0.06</v>
      </c>
      <c r="BJ95" s="136" t="n">
        <v>0.03</v>
      </c>
      <c r="BK95" s="136" t="n">
        <v>0.26</v>
      </c>
      <c r="BL95" s="136" t="n">
        <v>0.036</v>
      </c>
      <c r="BM95" s="136" t="n">
        <v>-0.2</v>
      </c>
      <c r="BN95" s="136" t="n">
        <v>0</v>
      </c>
      <c r="BO95" s="136" t="n">
        <v>-0.39</v>
      </c>
      <c r="BP95" s="136" t="n">
        <v>0</v>
      </c>
      <c r="BQ95" s="136" t="n">
        <v>0.5</v>
      </c>
      <c r="BR95" s="136" t="n">
        <v>0.036</v>
      </c>
      <c r="BS95" s="136" t="n">
        <v>-0.07</v>
      </c>
      <c r="BT95" s="136" t="n">
        <v>0.005</v>
      </c>
      <c r="BU95" s="136" t="n">
        <v>0.3</v>
      </c>
      <c r="BV95" s="136" t="n">
        <v>0</v>
      </c>
      <c r="BW95" s="136" t="n">
        <v>0</v>
      </c>
      <c r="BX95" s="136" t="n">
        <v>0</v>
      </c>
      <c r="BY95" s="136" t="n">
        <v>-0.019</v>
      </c>
      <c r="BZ95" s="136" t="n">
        <v>0.0575</v>
      </c>
      <c r="CA95" s="136" t="n">
        <v>0.145</v>
      </c>
      <c r="CB95" s="136" t="n">
        <v>0.005</v>
      </c>
      <c r="CC95" s="136" t="n">
        <v>-0.019</v>
      </c>
      <c r="CD95" s="136" t="n">
        <v>0.0035</v>
      </c>
      <c r="CE95" s="136" t="n">
        <v>0.0025</v>
      </c>
      <c r="CF95" s="136" t="n">
        <v>0.0025</v>
      </c>
      <c r="CG95" s="136" t="n">
        <v>-0.019</v>
      </c>
      <c r="CH95" s="136" t="n">
        <v>0.0035</v>
      </c>
      <c r="CI95" s="136" t="n">
        <v>-0.1345</v>
      </c>
      <c r="CJ95" s="136" t="n">
        <v>0.0025</v>
      </c>
      <c r="CK95" s="136" t="n">
        <v>0.0775</v>
      </c>
      <c r="CL95" s="136" t="n">
        <v>0.0025</v>
      </c>
      <c r="CM95" s="136" t="n">
        <v>-0.072</v>
      </c>
      <c r="CN95" s="136" t="n">
        <v>0.0075</v>
      </c>
      <c r="CO95" s="136" t="n">
        <v>-0.017</v>
      </c>
      <c r="CP95" s="136" t="n">
        <v>0.005</v>
      </c>
      <c r="CQ95" s="136" t="n">
        <v>0.023</v>
      </c>
      <c r="CR95" s="136" t="n">
        <v>0.0075</v>
      </c>
      <c r="CS95" s="136" t="n">
        <v>0.38</v>
      </c>
      <c r="CT95" s="136" t="n">
        <v>0.02</v>
      </c>
      <c r="CU95" s="136" t="n">
        <v>-0.2</v>
      </c>
      <c r="CV95" s="136" t="n">
        <v>0</v>
      </c>
      <c r="CW95" s="136" t="n">
        <v>0.195</v>
      </c>
      <c r="CX95" s="136" t="n">
        <v>0.0075</v>
      </c>
      <c r="CY95" s="136" t="n">
        <v>-0.65</v>
      </c>
      <c r="CZ95" s="136" t="n">
        <v>0</v>
      </c>
      <c r="DA95" s="136" t="n">
        <v>-0.47</v>
      </c>
      <c r="DB95" s="136" t="n">
        <v>0</v>
      </c>
      <c r="DC95" s="136" t="n">
        <v>0.6</v>
      </c>
      <c r="DE95" s="136" t="n">
        <v>-0.0525</v>
      </c>
      <c r="DF95" s="136" t="n">
        <v>0.01</v>
      </c>
      <c r="DG95" s="136" t="n">
        <v>0.012</v>
      </c>
      <c r="DH95" s="136" t="n">
        <v>0.01</v>
      </c>
      <c r="DI95" s="136" t="n">
        <v>-0.0055</v>
      </c>
      <c r="DJ95" s="136" t="n">
        <v>0.0075</v>
      </c>
      <c r="DK95" s="136" t="n">
        <v>-0.1195</v>
      </c>
      <c r="DL95" s="136" t="n">
        <v>0.005</v>
      </c>
      <c r="DM95" s="136" t="n">
        <v>-0.061</v>
      </c>
      <c r="DN95" s="136" t="n">
        <v>0.0025</v>
      </c>
      <c r="DO95" s="136" t="n">
        <v>-0.0835</v>
      </c>
      <c r="DP95" s="136" t="n">
        <v>0.0025</v>
      </c>
      <c r="DQ95" s="136" t="n">
        <v>-0.1495</v>
      </c>
      <c r="DR95" s="136" t="n">
        <v>-0.005</v>
      </c>
      <c r="DS95" s="136" t="n">
        <v>0.36</v>
      </c>
      <c r="DT95" s="136" t="n">
        <v>0.005</v>
      </c>
      <c r="DU95" s="136" t="n">
        <v>0.000424999999999995</v>
      </c>
      <c r="DV95" s="136" t="n">
        <v>0</v>
      </c>
    </row>
    <row r="96" customFormat="false" ht="12.75" hidden="false" customHeight="false" outlineLevel="0" collapsed="false">
      <c r="D96" s="135" t="n">
        <v>39569</v>
      </c>
      <c r="F96" s="174" t="n">
        <v>3.5095</v>
      </c>
      <c r="G96" s="175" t="n">
        <v>0.0567397854004592</v>
      </c>
      <c r="H96" s="174" t="n">
        <v>0.23</v>
      </c>
      <c r="I96" s="174" t="n">
        <v>0.45</v>
      </c>
      <c r="J96" s="174" t="n">
        <v>0.5</v>
      </c>
      <c r="K96" s="174" t="n">
        <v>0.4</v>
      </c>
      <c r="L96" s="172" t="n">
        <v>0.4</v>
      </c>
      <c r="M96" s="172" t="n">
        <v>0.45</v>
      </c>
      <c r="N96" s="174" t="n">
        <v>0.5</v>
      </c>
      <c r="O96" s="174" t="n">
        <v>0.45</v>
      </c>
      <c r="P96" s="174" t="n">
        <v>0.4</v>
      </c>
      <c r="Q96" s="174" t="n">
        <v>0.45</v>
      </c>
      <c r="R96" s="175" t="n">
        <v>0.45</v>
      </c>
      <c r="S96" s="175" t="n">
        <v>0.5</v>
      </c>
      <c r="T96" s="174" t="n">
        <v>0.45</v>
      </c>
      <c r="U96" s="174" t="n">
        <v>0.5</v>
      </c>
      <c r="V96" s="174" t="n">
        <v>0.5</v>
      </c>
      <c r="W96" s="174" t="n">
        <v>-0.09</v>
      </c>
      <c r="X96" s="174" t="n">
        <v>0</v>
      </c>
      <c r="Y96" s="174" t="n">
        <v>0.04</v>
      </c>
      <c r="Z96" s="174" t="n">
        <v>0.005</v>
      </c>
      <c r="AA96" s="174" t="n">
        <v>0.19</v>
      </c>
      <c r="AB96" s="174" t="n">
        <v>0</v>
      </c>
      <c r="AC96" s="174" t="n">
        <v>0.155</v>
      </c>
      <c r="AD96" s="174" t="n">
        <v>0</v>
      </c>
      <c r="AE96" s="174" t="n">
        <v>0.19</v>
      </c>
      <c r="AF96" s="174" t="n">
        <v>0</v>
      </c>
      <c r="AG96" s="174" t="n">
        <v>0.145</v>
      </c>
      <c r="AH96" s="174" t="n">
        <v>0</v>
      </c>
      <c r="AI96" s="174" t="n">
        <v>0.155</v>
      </c>
      <c r="AJ96" s="174" t="n">
        <v>0</v>
      </c>
      <c r="AK96" s="174" t="n">
        <v>0.04</v>
      </c>
      <c r="AL96" s="174" t="n">
        <v>0.04</v>
      </c>
      <c r="AM96" s="174" t="n">
        <v>-0.0575</v>
      </c>
      <c r="AN96" s="174" t="n">
        <v>0.019</v>
      </c>
      <c r="AO96" s="174" t="n">
        <v>-0.445</v>
      </c>
      <c r="AP96" s="174" t="n">
        <v>0.155</v>
      </c>
      <c r="AQ96" s="174" t="n">
        <v>-0.0525</v>
      </c>
      <c r="AR96" s="174" t="n">
        <v>0</v>
      </c>
      <c r="AS96" s="174" t="n">
        <v>-0.15</v>
      </c>
      <c r="AT96" s="174" t="n">
        <v>-0.015</v>
      </c>
      <c r="AU96" s="174" t="n">
        <v>-0.11</v>
      </c>
      <c r="AV96" s="174" t="n">
        <v>0.02</v>
      </c>
      <c r="AW96" s="174" t="n">
        <v>-0.0625</v>
      </c>
      <c r="AX96" s="174" t="n">
        <v>0.01</v>
      </c>
      <c r="AY96" s="175" t="n">
        <v>0.125</v>
      </c>
      <c r="AZ96" s="175" t="n">
        <v>0</v>
      </c>
      <c r="BA96" s="175" t="n">
        <v>-0.195</v>
      </c>
      <c r="BB96" s="174" t="n">
        <v>0.0025</v>
      </c>
      <c r="BC96" s="174" t="n">
        <v>-0.07</v>
      </c>
      <c r="BD96" s="174" t="n">
        <v>0.005</v>
      </c>
      <c r="BE96" s="174" t="n">
        <v>0.26</v>
      </c>
      <c r="BF96" s="174" t="n">
        <v>0.036</v>
      </c>
      <c r="BG96" s="174" t="n">
        <v>-0.06</v>
      </c>
      <c r="BH96" s="174" t="n">
        <v>0</v>
      </c>
      <c r="BI96" s="174" t="n">
        <v>0.06</v>
      </c>
      <c r="BJ96" s="136" t="n">
        <v>0.03</v>
      </c>
      <c r="BK96" s="136" t="n">
        <v>0.26</v>
      </c>
      <c r="BL96" s="136" t="n">
        <v>0.036</v>
      </c>
      <c r="BM96" s="136" t="n">
        <v>-0.2</v>
      </c>
      <c r="BN96" s="136" t="n">
        <v>0</v>
      </c>
      <c r="BO96" s="136" t="n">
        <v>-0.39</v>
      </c>
      <c r="BP96" s="136" t="n">
        <v>0</v>
      </c>
      <c r="BQ96" s="136" t="n">
        <v>0.5</v>
      </c>
      <c r="BR96" s="136" t="n">
        <v>0.036</v>
      </c>
      <c r="BS96" s="136" t="n">
        <v>-0.07</v>
      </c>
      <c r="BT96" s="136" t="n">
        <v>0.005</v>
      </c>
      <c r="BU96" s="136" t="n">
        <v>0.3</v>
      </c>
      <c r="BV96" s="136" t="n">
        <v>0</v>
      </c>
      <c r="BW96" s="136" t="n">
        <v>0</v>
      </c>
      <c r="BX96" s="136" t="n">
        <v>0</v>
      </c>
      <c r="BY96" s="136" t="n">
        <v>-0.019</v>
      </c>
      <c r="BZ96" s="136" t="n">
        <v>0.0575</v>
      </c>
      <c r="CA96" s="136" t="n">
        <v>0.125</v>
      </c>
      <c r="CB96" s="136" t="n">
        <v>0.005</v>
      </c>
      <c r="CC96" s="136" t="n">
        <v>-0.019</v>
      </c>
      <c r="CD96" s="136" t="n">
        <v>0.0035</v>
      </c>
      <c r="CE96" s="136" t="n">
        <v>0.0025</v>
      </c>
      <c r="CF96" s="136" t="n">
        <v>0.0025</v>
      </c>
      <c r="CG96" s="136" t="n">
        <v>-0.019</v>
      </c>
      <c r="CH96" s="136" t="n">
        <v>0.0035</v>
      </c>
      <c r="CI96" s="136" t="n">
        <v>-0.122</v>
      </c>
      <c r="CJ96" s="136" t="n">
        <v>0.0025</v>
      </c>
      <c r="CK96" s="136" t="n">
        <v>0.0775</v>
      </c>
      <c r="CL96" s="136" t="n">
        <v>0.0025</v>
      </c>
      <c r="CM96" s="136" t="n">
        <v>-0.072</v>
      </c>
      <c r="CN96" s="136" t="n">
        <v>0.0075</v>
      </c>
      <c r="CO96" s="136" t="n">
        <v>-0.017</v>
      </c>
      <c r="CP96" s="136" t="n">
        <v>0.005</v>
      </c>
      <c r="CQ96" s="136" t="n">
        <v>0.023</v>
      </c>
      <c r="CR96" s="136" t="n">
        <v>0.0075</v>
      </c>
      <c r="CS96" s="136" t="n">
        <v>0.33</v>
      </c>
      <c r="CT96" s="136" t="n">
        <v>0.02</v>
      </c>
      <c r="CU96" s="136" t="n">
        <v>-0.2</v>
      </c>
      <c r="CV96" s="136" t="n">
        <v>0</v>
      </c>
      <c r="CW96" s="136" t="n">
        <v>0.135</v>
      </c>
      <c r="CX96" s="136" t="n">
        <v>0.0075</v>
      </c>
      <c r="CY96" s="136" t="n">
        <v>-0.65</v>
      </c>
      <c r="CZ96" s="136" t="n">
        <v>0</v>
      </c>
      <c r="DA96" s="136" t="n">
        <v>-0.47</v>
      </c>
      <c r="DB96" s="136" t="n">
        <v>0</v>
      </c>
      <c r="DC96" s="136" t="n">
        <v>0.75</v>
      </c>
      <c r="DE96" s="136" t="n">
        <v>-0.0525</v>
      </c>
      <c r="DF96" s="136" t="n">
        <v>0.01</v>
      </c>
      <c r="DG96" s="136" t="n">
        <v>0.0145</v>
      </c>
      <c r="DH96" s="136" t="n">
        <v>0.01</v>
      </c>
      <c r="DI96" s="136" t="n">
        <v>-0.003</v>
      </c>
      <c r="DJ96" s="136" t="n">
        <v>0.0075</v>
      </c>
      <c r="DK96" s="136" t="n">
        <v>-0.097</v>
      </c>
      <c r="DL96" s="136" t="n">
        <v>0.005</v>
      </c>
      <c r="DM96" s="136" t="n">
        <v>-0.061</v>
      </c>
      <c r="DN96" s="136" t="n">
        <v>0.0025</v>
      </c>
      <c r="DO96" s="136" t="n">
        <v>-0.0835</v>
      </c>
      <c r="DP96" s="136" t="n">
        <v>0.0025</v>
      </c>
      <c r="DQ96" s="136" t="n">
        <v>-0.127</v>
      </c>
      <c r="DR96" s="136" t="n">
        <v>-0.005</v>
      </c>
      <c r="DS96" s="136" t="n">
        <v>0.325</v>
      </c>
      <c r="DT96" s="136" t="n">
        <v>0.005</v>
      </c>
      <c r="DU96" s="136" t="n">
        <v>0.000403000000000001</v>
      </c>
      <c r="DV96" s="136" t="n">
        <v>0</v>
      </c>
    </row>
    <row r="97" customFormat="false" ht="12.75" hidden="false" customHeight="false" outlineLevel="0" collapsed="false">
      <c r="D97" s="135" t="n">
        <v>39600</v>
      </c>
      <c r="F97" s="174" t="n">
        <v>3.5445</v>
      </c>
      <c r="G97" s="175" t="n">
        <v>0.056923801622494</v>
      </c>
      <c r="H97" s="174" t="n">
        <v>0.23</v>
      </c>
      <c r="I97" s="174" t="n">
        <v>0.45</v>
      </c>
      <c r="J97" s="174" t="n">
        <v>0.5</v>
      </c>
      <c r="K97" s="174" t="n">
        <v>0.4</v>
      </c>
      <c r="L97" s="172" t="n">
        <v>0.5</v>
      </c>
      <c r="M97" s="172" t="n">
        <v>0.45</v>
      </c>
      <c r="N97" s="174" t="n">
        <v>0.5</v>
      </c>
      <c r="O97" s="174" t="n">
        <v>0.5</v>
      </c>
      <c r="P97" s="174" t="n">
        <v>0.5</v>
      </c>
      <c r="Q97" s="174" t="n">
        <v>0.5</v>
      </c>
      <c r="R97" s="175" t="n">
        <v>0.45</v>
      </c>
      <c r="S97" s="175" t="n">
        <v>0.5</v>
      </c>
      <c r="T97" s="174" t="n">
        <v>0.45</v>
      </c>
      <c r="U97" s="174" t="n">
        <v>0.5</v>
      </c>
      <c r="V97" s="174" t="n">
        <v>0.6</v>
      </c>
      <c r="W97" s="174" t="n">
        <v>-0.09</v>
      </c>
      <c r="X97" s="174" t="n">
        <v>0</v>
      </c>
      <c r="Y97" s="174" t="n">
        <v>0.04</v>
      </c>
      <c r="Z97" s="174" t="n">
        <v>0.005</v>
      </c>
      <c r="AA97" s="174" t="n">
        <v>0.19</v>
      </c>
      <c r="AB97" s="174" t="n">
        <v>0</v>
      </c>
      <c r="AC97" s="174" t="n">
        <v>0.155</v>
      </c>
      <c r="AD97" s="174" t="n">
        <v>0</v>
      </c>
      <c r="AE97" s="174" t="n">
        <v>0.19</v>
      </c>
      <c r="AF97" s="174" t="n">
        <v>0</v>
      </c>
      <c r="AG97" s="174" t="n">
        <v>0.145</v>
      </c>
      <c r="AH97" s="174" t="n">
        <v>0</v>
      </c>
      <c r="AI97" s="174" t="n">
        <v>0.155</v>
      </c>
      <c r="AJ97" s="174" t="n">
        <v>0</v>
      </c>
      <c r="AK97" s="174" t="n">
        <v>0.04</v>
      </c>
      <c r="AL97" s="174" t="n">
        <v>0.04</v>
      </c>
      <c r="AM97" s="174" t="n">
        <v>-0.0575</v>
      </c>
      <c r="AN97" s="174" t="n">
        <v>0.019</v>
      </c>
      <c r="AO97" s="174" t="n">
        <v>-0.445</v>
      </c>
      <c r="AP97" s="174" t="n">
        <v>0.155</v>
      </c>
      <c r="AQ97" s="174" t="n">
        <v>-0.0525</v>
      </c>
      <c r="AR97" s="174" t="n">
        <v>0</v>
      </c>
      <c r="AS97" s="174" t="n">
        <v>-0.15</v>
      </c>
      <c r="AT97" s="174" t="n">
        <v>-0.015</v>
      </c>
      <c r="AU97" s="174" t="n">
        <v>-0.11</v>
      </c>
      <c r="AV97" s="174" t="n">
        <v>0.02</v>
      </c>
      <c r="AW97" s="174" t="n">
        <v>-0.0625</v>
      </c>
      <c r="AX97" s="174" t="n">
        <v>0.01</v>
      </c>
      <c r="AY97" s="175" t="n">
        <v>0.125</v>
      </c>
      <c r="AZ97" s="175" t="n">
        <v>0</v>
      </c>
      <c r="BA97" s="175" t="n">
        <v>-0.195</v>
      </c>
      <c r="BB97" s="174" t="n">
        <v>0.0025</v>
      </c>
      <c r="BC97" s="174" t="n">
        <v>-0.07</v>
      </c>
      <c r="BD97" s="174" t="n">
        <v>0.005</v>
      </c>
      <c r="BE97" s="174" t="n">
        <v>0.26</v>
      </c>
      <c r="BF97" s="174" t="n">
        <v>0.036</v>
      </c>
      <c r="BG97" s="174" t="n">
        <v>-0.06</v>
      </c>
      <c r="BH97" s="174" t="n">
        <v>0</v>
      </c>
      <c r="BI97" s="174" t="n">
        <v>0.06</v>
      </c>
      <c r="BJ97" s="136" t="n">
        <v>0.03</v>
      </c>
      <c r="BK97" s="136" t="n">
        <v>0.26</v>
      </c>
      <c r="BL97" s="136" t="n">
        <v>0.036</v>
      </c>
      <c r="BM97" s="136" t="n">
        <v>-0.2</v>
      </c>
      <c r="BN97" s="136" t="n">
        <v>0</v>
      </c>
      <c r="BO97" s="136" t="n">
        <v>-0.39</v>
      </c>
      <c r="BP97" s="136" t="n">
        <v>0</v>
      </c>
      <c r="BQ97" s="136" t="n">
        <v>0.5</v>
      </c>
      <c r="BR97" s="136" t="n">
        <v>0.036</v>
      </c>
      <c r="BS97" s="136" t="n">
        <v>-0.07</v>
      </c>
      <c r="BT97" s="136" t="n">
        <v>0.005</v>
      </c>
      <c r="BU97" s="136" t="n">
        <v>0.3</v>
      </c>
      <c r="BV97" s="136" t="n">
        <v>0</v>
      </c>
      <c r="BW97" s="136" t="n">
        <v>0</v>
      </c>
      <c r="BX97" s="136" t="n">
        <v>0</v>
      </c>
      <c r="BY97" s="136" t="n">
        <v>-0.019</v>
      </c>
      <c r="BZ97" s="136" t="n">
        <v>0.0575</v>
      </c>
      <c r="CA97" s="136" t="n">
        <v>0.145</v>
      </c>
      <c r="CB97" s="136" t="n">
        <v>0.005</v>
      </c>
      <c r="CC97" s="136" t="n">
        <v>-0.019</v>
      </c>
      <c r="CD97" s="136" t="n">
        <v>0.0035</v>
      </c>
      <c r="CE97" s="136" t="n">
        <v>0.0025</v>
      </c>
      <c r="CF97" s="136" t="n">
        <v>0.0025</v>
      </c>
      <c r="CG97" s="136" t="n">
        <v>-0.019</v>
      </c>
      <c r="CH97" s="136" t="n">
        <v>0.0035</v>
      </c>
      <c r="CI97" s="136" t="n">
        <v>-0.0795</v>
      </c>
      <c r="CJ97" s="136" t="n">
        <v>0.0025</v>
      </c>
      <c r="CK97" s="136" t="n">
        <v>0.0775</v>
      </c>
      <c r="CL97" s="136" t="n">
        <v>0.0025</v>
      </c>
      <c r="CM97" s="136" t="n">
        <v>-0.072</v>
      </c>
      <c r="CN97" s="136" t="n">
        <v>0.0075</v>
      </c>
      <c r="CO97" s="136" t="n">
        <v>-0.017</v>
      </c>
      <c r="CP97" s="136" t="n">
        <v>0.005</v>
      </c>
      <c r="CQ97" s="136" t="n">
        <v>0.023</v>
      </c>
      <c r="CR97" s="136" t="n">
        <v>0.0075</v>
      </c>
      <c r="CS97" s="136" t="n">
        <v>0.37</v>
      </c>
      <c r="CT97" s="136" t="n">
        <v>0.035</v>
      </c>
      <c r="CU97" s="136" t="n">
        <v>-0.2</v>
      </c>
      <c r="CV97" s="136" t="n">
        <v>0</v>
      </c>
      <c r="CW97" s="136" t="n">
        <v>0.165</v>
      </c>
      <c r="CX97" s="136" t="n">
        <v>0.0075</v>
      </c>
      <c r="CY97" s="136" t="n">
        <v>-0.65</v>
      </c>
      <c r="CZ97" s="136" t="n">
        <v>0</v>
      </c>
      <c r="DA97" s="136" t="n">
        <v>-0.47</v>
      </c>
      <c r="DB97" s="136" t="n">
        <v>0</v>
      </c>
      <c r="DC97" s="136" t="n">
        <v>0.85</v>
      </c>
      <c r="DE97" s="136" t="n">
        <v>-0.05</v>
      </c>
      <c r="DF97" s="136" t="n">
        <v>0.01</v>
      </c>
      <c r="DG97" s="136" t="n">
        <v>0.0145</v>
      </c>
      <c r="DH97" s="136" t="n">
        <v>0.01</v>
      </c>
      <c r="DI97" s="136" t="n">
        <v>-0.003</v>
      </c>
      <c r="DJ97" s="136" t="n">
        <v>0.0075</v>
      </c>
      <c r="DK97" s="136" t="n">
        <v>-0.0445</v>
      </c>
      <c r="DL97" s="136" t="n">
        <v>0.005</v>
      </c>
      <c r="DM97" s="136" t="n">
        <v>-0.061</v>
      </c>
      <c r="DN97" s="136" t="n">
        <v>0.0025</v>
      </c>
      <c r="DO97" s="136" t="n">
        <v>-0.0835</v>
      </c>
      <c r="DP97" s="136" t="n">
        <v>0.0025</v>
      </c>
      <c r="DQ97" s="136" t="n">
        <v>-0.0745</v>
      </c>
      <c r="DR97" s="136" t="n">
        <v>-0.005</v>
      </c>
      <c r="DS97" s="136" t="n">
        <v>0.335</v>
      </c>
      <c r="DT97" s="136" t="n">
        <v>0.005</v>
      </c>
      <c r="DU97" s="136" t="n">
        <v>0.000842999999999997</v>
      </c>
      <c r="DV97" s="136" t="n">
        <v>0</v>
      </c>
    </row>
    <row r="98" customFormat="false" ht="12.75" hidden="false" customHeight="false" outlineLevel="0" collapsed="false">
      <c r="D98" s="135" t="n">
        <v>39630</v>
      </c>
      <c r="F98" s="174" t="n">
        <v>3.5845</v>
      </c>
      <c r="G98" s="175" t="n">
        <v>0.0571018818480948</v>
      </c>
      <c r="H98" s="174" t="n">
        <v>0.23</v>
      </c>
      <c r="I98" s="174" t="n">
        <v>0.5</v>
      </c>
      <c r="J98" s="174" t="n">
        <v>0.5</v>
      </c>
      <c r="K98" s="174" t="n">
        <v>0.4</v>
      </c>
      <c r="L98" s="172" t="n">
        <v>0.5</v>
      </c>
      <c r="M98" s="172" t="n">
        <v>0.5</v>
      </c>
      <c r="N98" s="174" t="n">
        <v>0.5</v>
      </c>
      <c r="O98" s="174" t="n">
        <v>0.5</v>
      </c>
      <c r="P98" s="174" t="n">
        <v>0.5</v>
      </c>
      <c r="Q98" s="174" t="n">
        <v>0.5</v>
      </c>
      <c r="R98" s="175" t="n">
        <v>0.5</v>
      </c>
      <c r="S98" s="175" t="n">
        <v>0.55</v>
      </c>
      <c r="T98" s="174" t="n">
        <v>0.5</v>
      </c>
      <c r="U98" s="174" t="n">
        <v>0.5</v>
      </c>
      <c r="V98" s="174" t="n">
        <v>0.6</v>
      </c>
      <c r="W98" s="174" t="n">
        <v>-0.09</v>
      </c>
      <c r="X98" s="174" t="n">
        <v>0</v>
      </c>
      <c r="Y98" s="174" t="n">
        <v>0.04</v>
      </c>
      <c r="Z98" s="174" t="n">
        <v>0.005</v>
      </c>
      <c r="AA98" s="174" t="n">
        <v>0.19</v>
      </c>
      <c r="AB98" s="174" t="n">
        <v>0</v>
      </c>
      <c r="AC98" s="174" t="n">
        <v>0.155</v>
      </c>
      <c r="AD98" s="174" t="n">
        <v>0</v>
      </c>
      <c r="AE98" s="174" t="n">
        <v>0.19</v>
      </c>
      <c r="AF98" s="174" t="n">
        <v>0</v>
      </c>
      <c r="AG98" s="174" t="n">
        <v>0.145</v>
      </c>
      <c r="AH98" s="174" t="n">
        <v>0</v>
      </c>
      <c r="AI98" s="174" t="n">
        <v>0.155</v>
      </c>
      <c r="AJ98" s="174" t="n">
        <v>0</v>
      </c>
      <c r="AK98" s="174" t="n">
        <v>0.04</v>
      </c>
      <c r="AL98" s="174" t="n">
        <v>0.04</v>
      </c>
      <c r="AM98" s="174" t="n">
        <v>-0.0575</v>
      </c>
      <c r="AN98" s="174" t="n">
        <v>0.019</v>
      </c>
      <c r="AO98" s="174" t="n">
        <v>-0.445</v>
      </c>
      <c r="AP98" s="174" t="n">
        <v>0.155</v>
      </c>
      <c r="AQ98" s="174" t="n">
        <v>-0.0525</v>
      </c>
      <c r="AR98" s="174" t="n">
        <v>0</v>
      </c>
      <c r="AS98" s="174" t="n">
        <v>-0.15</v>
      </c>
      <c r="AT98" s="174" t="n">
        <v>-0.015</v>
      </c>
      <c r="AU98" s="174" t="n">
        <v>-0.11</v>
      </c>
      <c r="AV98" s="174" t="n">
        <v>0.02</v>
      </c>
      <c r="AW98" s="174" t="n">
        <v>-0.0625</v>
      </c>
      <c r="AX98" s="174" t="n">
        <v>0.01</v>
      </c>
      <c r="AY98" s="175" t="n">
        <v>0.125</v>
      </c>
      <c r="AZ98" s="175" t="n">
        <v>0</v>
      </c>
      <c r="BA98" s="175" t="n">
        <v>-0.195</v>
      </c>
      <c r="BB98" s="174" t="n">
        <v>0.0025</v>
      </c>
      <c r="BC98" s="174" t="n">
        <v>-0.07</v>
      </c>
      <c r="BD98" s="174" t="n">
        <v>0.005</v>
      </c>
      <c r="BE98" s="174" t="n">
        <v>0.26</v>
      </c>
      <c r="BF98" s="174" t="n">
        <v>0.036</v>
      </c>
      <c r="BG98" s="174" t="n">
        <v>-0.06</v>
      </c>
      <c r="BH98" s="174" t="n">
        <v>0</v>
      </c>
      <c r="BI98" s="174" t="n">
        <v>0.06</v>
      </c>
      <c r="BJ98" s="136" t="n">
        <v>0.03</v>
      </c>
      <c r="BK98" s="136" t="n">
        <v>0.26</v>
      </c>
      <c r="BL98" s="136" t="n">
        <v>0.036</v>
      </c>
      <c r="BM98" s="136" t="n">
        <v>-0.2</v>
      </c>
      <c r="BN98" s="136" t="n">
        <v>0</v>
      </c>
      <c r="BO98" s="136" t="n">
        <v>-0.39</v>
      </c>
      <c r="BP98" s="136" t="n">
        <v>0</v>
      </c>
      <c r="BQ98" s="136" t="n">
        <v>0.5</v>
      </c>
      <c r="BR98" s="136" t="n">
        <v>0.036</v>
      </c>
      <c r="BS98" s="136" t="n">
        <v>-0.07</v>
      </c>
      <c r="BT98" s="136" t="n">
        <v>0.005</v>
      </c>
      <c r="BU98" s="136" t="n">
        <v>0.3</v>
      </c>
      <c r="BV98" s="136" t="n">
        <v>0</v>
      </c>
      <c r="BW98" s="136" t="n">
        <v>0</v>
      </c>
      <c r="BX98" s="136" t="n">
        <v>0</v>
      </c>
      <c r="BY98" s="136" t="n">
        <v>-0.019</v>
      </c>
      <c r="BZ98" s="136" t="n">
        <v>0.0575</v>
      </c>
      <c r="CA98" s="136" t="n">
        <v>0.15</v>
      </c>
      <c r="CB98" s="136" t="n">
        <v>0.005</v>
      </c>
      <c r="CC98" s="136" t="n">
        <v>-0.019</v>
      </c>
      <c r="CD98" s="136" t="n">
        <v>0.0035</v>
      </c>
      <c r="CE98" s="136" t="n">
        <v>0.0025</v>
      </c>
      <c r="CF98" s="136" t="n">
        <v>0.0025</v>
      </c>
      <c r="CG98" s="136" t="n">
        <v>-0.019</v>
      </c>
      <c r="CH98" s="136" t="n">
        <v>0.0035</v>
      </c>
      <c r="CI98" s="136" t="n">
        <v>-0.077</v>
      </c>
      <c r="CJ98" s="136" t="n">
        <v>0.0025</v>
      </c>
      <c r="CK98" s="136" t="n">
        <v>0.0775</v>
      </c>
      <c r="CL98" s="136" t="n">
        <v>0.0025</v>
      </c>
      <c r="CM98" s="136" t="n">
        <v>-0.072</v>
      </c>
      <c r="CN98" s="136" t="n">
        <v>0.0075</v>
      </c>
      <c r="CO98" s="136" t="n">
        <v>-0.017</v>
      </c>
      <c r="CP98" s="136" t="n">
        <v>0.005</v>
      </c>
      <c r="CQ98" s="136" t="n">
        <v>0.023</v>
      </c>
      <c r="CR98" s="136" t="n">
        <v>0.0075</v>
      </c>
      <c r="CS98" s="136" t="n">
        <v>0.41</v>
      </c>
      <c r="CT98" s="136" t="n">
        <v>0.035</v>
      </c>
      <c r="CU98" s="136" t="n">
        <v>-0.2</v>
      </c>
      <c r="CV98" s="136" t="n">
        <v>0</v>
      </c>
      <c r="CW98" s="136" t="n">
        <v>0.205</v>
      </c>
      <c r="CX98" s="136" t="n">
        <v>0.0075</v>
      </c>
      <c r="CY98" s="136" t="n">
        <v>-0.65</v>
      </c>
      <c r="CZ98" s="136" t="n">
        <v>0</v>
      </c>
      <c r="DA98" s="136" t="n">
        <v>-0.47</v>
      </c>
      <c r="DB98" s="136" t="n">
        <v>0</v>
      </c>
      <c r="DC98" s="136" t="n">
        <v>1.05</v>
      </c>
      <c r="DE98" s="136" t="n">
        <v>-0.05</v>
      </c>
      <c r="DF98" s="136" t="n">
        <v>0.01</v>
      </c>
      <c r="DG98" s="136" t="n">
        <v>0.0145</v>
      </c>
      <c r="DH98" s="136" t="n">
        <v>0.01</v>
      </c>
      <c r="DI98" s="136" t="n">
        <v>-0.003</v>
      </c>
      <c r="DJ98" s="136" t="n">
        <v>0.0075</v>
      </c>
      <c r="DK98" s="136" t="n">
        <v>-0.0545</v>
      </c>
      <c r="DL98" s="136" t="n">
        <v>0.005</v>
      </c>
      <c r="DM98" s="136" t="n">
        <v>-0.061</v>
      </c>
      <c r="DN98" s="136" t="n">
        <v>0.0025</v>
      </c>
      <c r="DO98" s="136" t="n">
        <v>-0.0835</v>
      </c>
      <c r="DP98" s="136" t="n">
        <v>0.0025</v>
      </c>
      <c r="DQ98" s="136" t="n">
        <v>-0.0845</v>
      </c>
      <c r="DR98" s="136" t="n">
        <v>-0.005</v>
      </c>
      <c r="DS98" s="136" t="n">
        <v>0.35</v>
      </c>
      <c r="DT98" s="136" t="n">
        <v>0.005</v>
      </c>
      <c r="DU98" s="136" t="n">
        <v>-0.001304999</v>
      </c>
      <c r="DV98" s="136" t="n">
        <v>0</v>
      </c>
    </row>
    <row r="99" customFormat="false" ht="12.75" hidden="false" customHeight="false" outlineLevel="0" collapsed="false">
      <c r="D99" s="135" t="n">
        <v>39661</v>
      </c>
      <c r="F99" s="174" t="n">
        <v>3.6245</v>
      </c>
      <c r="G99" s="175" t="n">
        <v>0.0572858980923008</v>
      </c>
      <c r="H99" s="174" t="n">
        <v>0.23</v>
      </c>
      <c r="I99" s="174" t="n">
        <v>0.55</v>
      </c>
      <c r="J99" s="174" t="n">
        <v>0.55</v>
      </c>
      <c r="K99" s="174" t="n">
        <v>0.5</v>
      </c>
      <c r="L99" s="172" t="n">
        <v>0.6</v>
      </c>
      <c r="M99" s="172" t="n">
        <v>0.55</v>
      </c>
      <c r="N99" s="174" t="n">
        <v>0.6</v>
      </c>
      <c r="O99" s="174" t="n">
        <v>0.55</v>
      </c>
      <c r="P99" s="174" t="n">
        <v>0.6</v>
      </c>
      <c r="Q99" s="174" t="n">
        <v>0.45</v>
      </c>
      <c r="R99" s="175" t="n">
        <v>0.55</v>
      </c>
      <c r="S99" s="175" t="n">
        <v>0.6</v>
      </c>
      <c r="T99" s="174" t="n">
        <v>0.55</v>
      </c>
      <c r="U99" s="174" t="n">
        <v>0.6</v>
      </c>
      <c r="V99" s="174" t="n">
        <v>0.7</v>
      </c>
      <c r="W99" s="174" t="n">
        <v>-0.09</v>
      </c>
      <c r="X99" s="174" t="n">
        <v>0</v>
      </c>
      <c r="Y99" s="174" t="n">
        <v>0.04</v>
      </c>
      <c r="Z99" s="174" t="n">
        <v>0.005</v>
      </c>
      <c r="AA99" s="174" t="n">
        <v>0.19</v>
      </c>
      <c r="AB99" s="174" t="n">
        <v>0</v>
      </c>
      <c r="AC99" s="174" t="n">
        <v>0.155</v>
      </c>
      <c r="AD99" s="174" t="n">
        <v>0</v>
      </c>
      <c r="AE99" s="174" t="n">
        <v>0.19</v>
      </c>
      <c r="AF99" s="174" t="n">
        <v>0</v>
      </c>
      <c r="AG99" s="174" t="n">
        <v>0.145</v>
      </c>
      <c r="AH99" s="174" t="n">
        <v>0</v>
      </c>
      <c r="AI99" s="174" t="n">
        <v>0.155</v>
      </c>
      <c r="AJ99" s="174" t="n">
        <v>0</v>
      </c>
      <c r="AK99" s="174" t="n">
        <v>0.04</v>
      </c>
      <c r="AL99" s="174" t="n">
        <v>0.04</v>
      </c>
      <c r="AM99" s="174" t="n">
        <v>-0.0575</v>
      </c>
      <c r="AN99" s="174" t="n">
        <v>0.019</v>
      </c>
      <c r="AO99" s="174" t="n">
        <v>-0.445</v>
      </c>
      <c r="AP99" s="174" t="n">
        <v>0.155</v>
      </c>
      <c r="AQ99" s="174" t="n">
        <v>-0.0525</v>
      </c>
      <c r="AR99" s="174" t="n">
        <v>0</v>
      </c>
      <c r="AS99" s="174" t="n">
        <v>-0.15</v>
      </c>
      <c r="AT99" s="174" t="n">
        <v>-0.015</v>
      </c>
      <c r="AU99" s="174" t="n">
        <v>-0.11</v>
      </c>
      <c r="AV99" s="174" t="n">
        <v>0.02</v>
      </c>
      <c r="AW99" s="174" t="n">
        <v>-0.0625</v>
      </c>
      <c r="AX99" s="174" t="n">
        <v>0.01</v>
      </c>
      <c r="AY99" s="175" t="n">
        <v>0.125</v>
      </c>
      <c r="AZ99" s="175" t="n">
        <v>0</v>
      </c>
      <c r="BA99" s="175" t="n">
        <v>-0.195</v>
      </c>
      <c r="BB99" s="174" t="n">
        <v>0.0025</v>
      </c>
      <c r="BC99" s="174" t="n">
        <v>-0.07</v>
      </c>
      <c r="BD99" s="174" t="n">
        <v>0.005</v>
      </c>
      <c r="BE99" s="174" t="n">
        <v>0.26</v>
      </c>
      <c r="BF99" s="174" t="n">
        <v>0.036</v>
      </c>
      <c r="BG99" s="174" t="n">
        <v>-0.06</v>
      </c>
      <c r="BH99" s="174" t="n">
        <v>0</v>
      </c>
      <c r="BI99" s="174" t="n">
        <v>0.06</v>
      </c>
      <c r="BJ99" s="136" t="n">
        <v>0.03</v>
      </c>
      <c r="BK99" s="136" t="n">
        <v>0.26</v>
      </c>
      <c r="BL99" s="136" t="n">
        <v>0.036</v>
      </c>
      <c r="BM99" s="136" t="n">
        <v>-0.2</v>
      </c>
      <c r="BN99" s="136" t="n">
        <v>0</v>
      </c>
      <c r="BO99" s="136" t="n">
        <v>-0.39</v>
      </c>
      <c r="BP99" s="136" t="n">
        <v>0</v>
      </c>
      <c r="BQ99" s="136" t="n">
        <v>0.5</v>
      </c>
      <c r="BR99" s="136" t="n">
        <v>0.036</v>
      </c>
      <c r="BS99" s="136" t="n">
        <v>-0.07</v>
      </c>
      <c r="BT99" s="136" t="n">
        <v>0.005</v>
      </c>
      <c r="BU99" s="136" t="n">
        <v>0.3</v>
      </c>
      <c r="BV99" s="136" t="n">
        <v>0</v>
      </c>
      <c r="BW99" s="136" t="n">
        <v>0</v>
      </c>
      <c r="BX99" s="136" t="n">
        <v>0</v>
      </c>
      <c r="BY99" s="136" t="n">
        <v>-0.019</v>
      </c>
      <c r="BZ99" s="136" t="n">
        <v>0.0575</v>
      </c>
      <c r="CA99" s="136" t="n">
        <v>0.15</v>
      </c>
      <c r="CB99" s="136" t="n">
        <v>0.005</v>
      </c>
      <c r="CC99" s="136" t="n">
        <v>-0.019</v>
      </c>
      <c r="CD99" s="136" t="n">
        <v>0.0035</v>
      </c>
      <c r="CE99" s="136" t="n">
        <v>0.0025</v>
      </c>
      <c r="CF99" s="136" t="n">
        <v>0.0025</v>
      </c>
      <c r="CG99" s="136" t="n">
        <v>-0.019</v>
      </c>
      <c r="CH99" s="136" t="n">
        <v>0.0035</v>
      </c>
      <c r="CI99" s="136" t="n">
        <v>-0.0745</v>
      </c>
      <c r="CJ99" s="136" t="n">
        <v>0.0025</v>
      </c>
      <c r="CK99" s="136" t="n">
        <v>0.0775</v>
      </c>
      <c r="CL99" s="136" t="n">
        <v>0.0025</v>
      </c>
      <c r="CM99" s="136" t="n">
        <v>-0.072</v>
      </c>
      <c r="CN99" s="136" t="n">
        <v>0.0075</v>
      </c>
      <c r="CO99" s="136" t="n">
        <v>-0.017</v>
      </c>
      <c r="CP99" s="136" t="n">
        <v>0.005</v>
      </c>
      <c r="CQ99" s="136" t="n">
        <v>0.023</v>
      </c>
      <c r="CR99" s="136" t="n">
        <v>0.0075</v>
      </c>
      <c r="CS99" s="136" t="n">
        <v>0.41</v>
      </c>
      <c r="CT99" s="136" t="n">
        <v>0.01</v>
      </c>
      <c r="CU99" s="136" t="n">
        <v>-0.2</v>
      </c>
      <c r="CV99" s="136" t="n">
        <v>0</v>
      </c>
      <c r="CW99" s="136" t="n">
        <v>0.205</v>
      </c>
      <c r="CX99" s="136" t="n">
        <v>0.0075</v>
      </c>
      <c r="CY99" s="136" t="n">
        <v>-0.65</v>
      </c>
      <c r="CZ99" s="136" t="n">
        <v>0</v>
      </c>
      <c r="DA99" s="136" t="n">
        <v>-0.47</v>
      </c>
      <c r="DB99" s="136" t="n">
        <v>0</v>
      </c>
      <c r="DC99" s="136" t="n">
        <v>1.05</v>
      </c>
      <c r="DE99" s="136" t="n">
        <v>-0.05</v>
      </c>
      <c r="DF99" s="136" t="n">
        <v>0.01</v>
      </c>
      <c r="DG99" s="136" t="n">
        <v>0.0095</v>
      </c>
      <c r="DH99" s="136" t="n">
        <v>0.01</v>
      </c>
      <c r="DI99" s="136" t="n">
        <v>-0.008</v>
      </c>
      <c r="DJ99" s="136" t="n">
        <v>0.0075</v>
      </c>
      <c r="DK99" s="136" t="n">
        <v>-0.0495</v>
      </c>
      <c r="DL99" s="136" t="n">
        <v>0.005</v>
      </c>
      <c r="DM99" s="136" t="n">
        <v>-0.061</v>
      </c>
      <c r="DN99" s="136" t="n">
        <v>0.0025</v>
      </c>
      <c r="DO99" s="136" t="n">
        <v>-0.0835</v>
      </c>
      <c r="DP99" s="136" t="n">
        <v>0.0025</v>
      </c>
      <c r="DQ99" s="136" t="n">
        <v>-0.0795</v>
      </c>
      <c r="DR99" s="136" t="n">
        <v>-0.005</v>
      </c>
      <c r="DS99" s="136" t="n">
        <v>0.35</v>
      </c>
      <c r="DT99" s="136" t="n">
        <v>-0.005</v>
      </c>
      <c r="DU99" s="136" t="n">
        <v>-0.001767</v>
      </c>
      <c r="DV99" s="136" t="n">
        <v>0</v>
      </c>
    </row>
    <row r="100" customFormat="false" ht="12.75" hidden="false" customHeight="false" outlineLevel="0" collapsed="false">
      <c r="D100" s="135" t="n">
        <v>39692</v>
      </c>
      <c r="F100" s="174" t="n">
        <v>3.6195</v>
      </c>
      <c r="G100" s="175" t="n">
        <v>0.0574699143477724</v>
      </c>
      <c r="H100" s="174" t="n">
        <v>0.23</v>
      </c>
      <c r="I100" s="174" t="n">
        <v>0.55</v>
      </c>
      <c r="J100" s="174" t="n">
        <v>0.55</v>
      </c>
      <c r="K100" s="174" t="n">
        <v>0.55</v>
      </c>
      <c r="L100" s="172" t="n">
        <v>0.55</v>
      </c>
      <c r="M100" s="172" t="n">
        <v>0.55</v>
      </c>
      <c r="N100" s="174" t="n">
        <v>0.6</v>
      </c>
      <c r="O100" s="174" t="n">
        <v>0.6</v>
      </c>
      <c r="P100" s="174" t="n">
        <v>0.55</v>
      </c>
      <c r="Q100" s="174" t="n">
        <v>0.5</v>
      </c>
      <c r="R100" s="175" t="n">
        <v>0.55</v>
      </c>
      <c r="S100" s="175" t="n">
        <v>0.6</v>
      </c>
      <c r="T100" s="174" t="n">
        <v>0.55</v>
      </c>
      <c r="U100" s="174" t="n">
        <v>0.6</v>
      </c>
      <c r="V100" s="174" t="n">
        <v>0.65</v>
      </c>
      <c r="W100" s="174" t="n">
        <v>-0.09</v>
      </c>
      <c r="X100" s="174" t="n">
        <v>0</v>
      </c>
      <c r="Y100" s="174" t="n">
        <v>0.04</v>
      </c>
      <c r="Z100" s="174" t="n">
        <v>0.005</v>
      </c>
      <c r="AA100" s="174" t="n">
        <v>0.19</v>
      </c>
      <c r="AB100" s="174" t="n">
        <v>0</v>
      </c>
      <c r="AC100" s="174" t="n">
        <v>0.155</v>
      </c>
      <c r="AD100" s="174" t="n">
        <v>0</v>
      </c>
      <c r="AE100" s="174" t="n">
        <v>0.19</v>
      </c>
      <c r="AF100" s="174" t="n">
        <v>0</v>
      </c>
      <c r="AG100" s="174" t="n">
        <v>0.145</v>
      </c>
      <c r="AH100" s="174" t="n">
        <v>0</v>
      </c>
      <c r="AI100" s="174" t="n">
        <v>0.155</v>
      </c>
      <c r="AJ100" s="174" t="n">
        <v>0</v>
      </c>
      <c r="AK100" s="174" t="n">
        <v>0.04</v>
      </c>
      <c r="AL100" s="174" t="n">
        <v>0.04</v>
      </c>
      <c r="AM100" s="174" t="n">
        <v>-0.0575</v>
      </c>
      <c r="AN100" s="174" t="n">
        <v>0.019</v>
      </c>
      <c r="AO100" s="174" t="n">
        <v>-0.445</v>
      </c>
      <c r="AP100" s="174" t="n">
        <v>0.155</v>
      </c>
      <c r="AQ100" s="174" t="n">
        <v>-0.0525</v>
      </c>
      <c r="AR100" s="174" t="n">
        <v>0</v>
      </c>
      <c r="AS100" s="174" t="n">
        <v>-0.15</v>
      </c>
      <c r="AT100" s="174" t="n">
        <v>-0.015</v>
      </c>
      <c r="AU100" s="174" t="n">
        <v>-0.11</v>
      </c>
      <c r="AV100" s="174" t="n">
        <v>0.02</v>
      </c>
      <c r="AW100" s="174" t="n">
        <v>-0.0625</v>
      </c>
      <c r="AX100" s="174" t="n">
        <v>0.01</v>
      </c>
      <c r="AY100" s="175" t="n">
        <v>0.125</v>
      </c>
      <c r="AZ100" s="175" t="n">
        <v>0</v>
      </c>
      <c r="BA100" s="175" t="n">
        <v>-0.195</v>
      </c>
      <c r="BB100" s="174" t="n">
        <v>0.0025</v>
      </c>
      <c r="BC100" s="174" t="n">
        <v>-0.07</v>
      </c>
      <c r="BD100" s="174" t="n">
        <v>0.005</v>
      </c>
      <c r="BE100" s="174" t="n">
        <v>0.26</v>
      </c>
      <c r="BF100" s="174" t="n">
        <v>0.036</v>
      </c>
      <c r="BG100" s="174" t="n">
        <v>-0.06</v>
      </c>
      <c r="BH100" s="174" t="n">
        <v>0</v>
      </c>
      <c r="BI100" s="174" t="n">
        <v>0.06</v>
      </c>
      <c r="BJ100" s="136" t="n">
        <v>0.03</v>
      </c>
      <c r="BK100" s="136" t="n">
        <v>0.26</v>
      </c>
      <c r="BL100" s="136" t="n">
        <v>0.036</v>
      </c>
      <c r="BM100" s="136" t="n">
        <v>-0.2</v>
      </c>
      <c r="BN100" s="136" t="n">
        <v>0</v>
      </c>
      <c r="BO100" s="136" t="n">
        <v>-0.39</v>
      </c>
      <c r="BP100" s="136" t="n">
        <v>0</v>
      </c>
      <c r="BQ100" s="136" t="n">
        <v>0.5</v>
      </c>
      <c r="BR100" s="136" t="n">
        <v>0.036</v>
      </c>
      <c r="BS100" s="136" t="n">
        <v>-0.07</v>
      </c>
      <c r="BT100" s="136" t="n">
        <v>0.005</v>
      </c>
      <c r="BU100" s="136" t="n">
        <v>0.3</v>
      </c>
      <c r="BV100" s="136" t="n">
        <v>0</v>
      </c>
      <c r="BW100" s="136" t="n">
        <v>0</v>
      </c>
      <c r="BX100" s="136" t="n">
        <v>0</v>
      </c>
      <c r="BY100" s="136" t="n">
        <v>-0.019</v>
      </c>
      <c r="BZ100" s="136" t="n">
        <v>0.0575</v>
      </c>
      <c r="CA100" s="136" t="n">
        <v>0.125</v>
      </c>
      <c r="CB100" s="136" t="n">
        <v>0.005</v>
      </c>
      <c r="CC100" s="136" t="n">
        <v>-0.019</v>
      </c>
      <c r="CD100" s="136" t="n">
        <v>0.0035</v>
      </c>
      <c r="CE100" s="136" t="n">
        <v>0.0025</v>
      </c>
      <c r="CF100" s="136" t="n">
        <v>0.0025</v>
      </c>
      <c r="CG100" s="136" t="n">
        <v>-0.019</v>
      </c>
      <c r="CH100" s="136" t="n">
        <v>0.0035</v>
      </c>
      <c r="CI100" s="136" t="n">
        <v>-0.0795</v>
      </c>
      <c r="CJ100" s="136" t="n">
        <v>0.0025</v>
      </c>
      <c r="CK100" s="136" t="n">
        <v>0.0775</v>
      </c>
      <c r="CL100" s="136" t="n">
        <v>0.0025</v>
      </c>
      <c r="CM100" s="136" t="n">
        <v>-0.072</v>
      </c>
      <c r="CN100" s="136" t="n">
        <v>0.0075</v>
      </c>
      <c r="CO100" s="136" t="n">
        <v>-0.017</v>
      </c>
      <c r="CP100" s="136" t="n">
        <v>0.005</v>
      </c>
      <c r="CQ100" s="136" t="n">
        <v>0.023</v>
      </c>
      <c r="CR100" s="136" t="n">
        <v>0.0075</v>
      </c>
      <c r="CS100" s="136" t="n">
        <v>0.36</v>
      </c>
      <c r="CT100" s="136" t="n">
        <v>0.01</v>
      </c>
      <c r="CU100" s="136" t="n">
        <v>-0.2</v>
      </c>
      <c r="CV100" s="136" t="n">
        <v>0</v>
      </c>
      <c r="CW100" s="136" t="n">
        <v>0.145</v>
      </c>
      <c r="CX100" s="136" t="n">
        <v>0.0075</v>
      </c>
      <c r="CY100" s="136" t="n">
        <v>-0.65</v>
      </c>
      <c r="CZ100" s="136" t="n">
        <v>0</v>
      </c>
      <c r="DA100" s="136" t="n">
        <v>-0.47</v>
      </c>
      <c r="DB100" s="136" t="n">
        <v>0</v>
      </c>
      <c r="DC100" s="136" t="n">
        <v>0.75</v>
      </c>
      <c r="DE100" s="136" t="n">
        <v>-0.055</v>
      </c>
      <c r="DF100" s="136" t="n">
        <v>0.01</v>
      </c>
      <c r="DG100" s="136" t="n">
        <v>0.0095</v>
      </c>
      <c r="DH100" s="136" t="n">
        <v>0.01</v>
      </c>
      <c r="DI100" s="136" t="n">
        <v>-0.008</v>
      </c>
      <c r="DJ100" s="136" t="n">
        <v>0.0075</v>
      </c>
      <c r="DK100" s="136" t="n">
        <v>-0.0595</v>
      </c>
      <c r="DL100" s="136" t="n">
        <v>0.005</v>
      </c>
      <c r="DM100" s="136" t="n">
        <v>-0.061</v>
      </c>
      <c r="DN100" s="136" t="n">
        <v>0.0025</v>
      </c>
      <c r="DO100" s="136" t="n">
        <v>-0.0835</v>
      </c>
      <c r="DP100" s="136" t="n">
        <v>0.0025</v>
      </c>
      <c r="DQ100" s="136" t="n">
        <v>-0.0895</v>
      </c>
      <c r="DR100" s="136" t="n">
        <v>-0.005</v>
      </c>
      <c r="DS100" s="136" t="n">
        <v>0.315</v>
      </c>
      <c r="DT100" s="136" t="n">
        <v>-0.005</v>
      </c>
      <c r="DU100" s="136" t="n">
        <v>-0.00158</v>
      </c>
      <c r="DV100" s="136" t="n">
        <v>0</v>
      </c>
    </row>
    <row r="101" customFormat="false" ht="12.75" hidden="false" customHeight="false" outlineLevel="0" collapsed="false">
      <c r="D101" s="135" t="n">
        <v>39722</v>
      </c>
      <c r="F101" s="174" t="n">
        <v>3.6445</v>
      </c>
      <c r="G101" s="175" t="n">
        <v>0.0576479946057291</v>
      </c>
      <c r="H101" s="174" t="n">
        <v>0.23</v>
      </c>
      <c r="I101" s="174" t="n">
        <v>0.6</v>
      </c>
      <c r="J101" s="174" t="n">
        <v>0.6</v>
      </c>
      <c r="K101" s="174" t="n">
        <v>0.55</v>
      </c>
      <c r="L101" s="172" t="n">
        <v>0.6</v>
      </c>
      <c r="M101" s="172" t="n">
        <v>0.6</v>
      </c>
      <c r="N101" s="174" t="n">
        <v>0.65</v>
      </c>
      <c r="O101" s="174" t="n">
        <v>0.65</v>
      </c>
      <c r="P101" s="174" t="n">
        <v>0.6</v>
      </c>
      <c r="Q101" s="174" t="n">
        <v>0.5</v>
      </c>
      <c r="R101" s="175" t="n">
        <v>0.6</v>
      </c>
      <c r="S101" s="175" t="n">
        <v>0.65</v>
      </c>
      <c r="T101" s="174" t="n">
        <v>0.6</v>
      </c>
      <c r="U101" s="174" t="n">
        <v>0.65</v>
      </c>
      <c r="V101" s="174" t="n">
        <v>0.7</v>
      </c>
      <c r="W101" s="174" t="n">
        <v>-0.09</v>
      </c>
      <c r="X101" s="174" t="n">
        <v>0</v>
      </c>
      <c r="Y101" s="174" t="n">
        <v>0.04</v>
      </c>
      <c r="Z101" s="174" t="n">
        <v>0.005</v>
      </c>
      <c r="AA101" s="174" t="n">
        <v>0.19</v>
      </c>
      <c r="AB101" s="174" t="n">
        <v>0</v>
      </c>
      <c r="AC101" s="174" t="n">
        <v>0.155</v>
      </c>
      <c r="AD101" s="174" t="n">
        <v>0</v>
      </c>
      <c r="AE101" s="174" t="n">
        <v>0.19</v>
      </c>
      <c r="AF101" s="174" t="n">
        <v>0</v>
      </c>
      <c r="AG101" s="174" t="n">
        <v>0.145</v>
      </c>
      <c r="AH101" s="174" t="n">
        <v>0</v>
      </c>
      <c r="AI101" s="174" t="n">
        <v>0.155</v>
      </c>
      <c r="AJ101" s="174" t="n">
        <v>0</v>
      </c>
      <c r="AK101" s="174" t="n">
        <v>0.04</v>
      </c>
      <c r="AL101" s="174" t="n">
        <v>0.04</v>
      </c>
      <c r="AM101" s="174" t="n">
        <v>-0.0575</v>
      </c>
      <c r="AN101" s="174" t="n">
        <v>0.019</v>
      </c>
      <c r="AO101" s="174" t="n">
        <v>-0.445</v>
      </c>
      <c r="AP101" s="174" t="n">
        <v>0.155</v>
      </c>
      <c r="AQ101" s="174" t="n">
        <v>-0.0525</v>
      </c>
      <c r="AR101" s="174" t="n">
        <v>0</v>
      </c>
      <c r="AS101" s="174" t="n">
        <v>-0.15</v>
      </c>
      <c r="AT101" s="174" t="n">
        <v>-0.015</v>
      </c>
      <c r="AU101" s="174" t="n">
        <v>-0.11</v>
      </c>
      <c r="AV101" s="174" t="n">
        <v>0.02</v>
      </c>
      <c r="AW101" s="174" t="n">
        <v>-0.0625</v>
      </c>
      <c r="AX101" s="174" t="n">
        <v>0.01</v>
      </c>
      <c r="AY101" s="175" t="n">
        <v>0.125</v>
      </c>
      <c r="AZ101" s="175" t="n">
        <v>0</v>
      </c>
      <c r="BA101" s="175" t="n">
        <v>-0.195</v>
      </c>
      <c r="BB101" s="174" t="n">
        <v>0.0025</v>
      </c>
      <c r="BC101" s="174" t="n">
        <v>-0.07</v>
      </c>
      <c r="BD101" s="174" t="n">
        <v>0.005</v>
      </c>
      <c r="BE101" s="174" t="n">
        <v>0.26</v>
      </c>
      <c r="BF101" s="174" t="n">
        <v>0.036</v>
      </c>
      <c r="BG101" s="174" t="n">
        <v>-0.06</v>
      </c>
      <c r="BH101" s="174" t="n">
        <v>0</v>
      </c>
      <c r="BI101" s="174" t="n">
        <v>0.06</v>
      </c>
      <c r="BJ101" s="136" t="n">
        <v>0.03</v>
      </c>
      <c r="BK101" s="136" t="n">
        <v>0.26</v>
      </c>
      <c r="BL101" s="136" t="n">
        <v>0.036</v>
      </c>
      <c r="BM101" s="136" t="n">
        <v>-0.2</v>
      </c>
      <c r="BN101" s="136" t="n">
        <v>0</v>
      </c>
      <c r="BO101" s="136" t="n">
        <v>-0.39</v>
      </c>
      <c r="BP101" s="136" t="n">
        <v>0</v>
      </c>
      <c r="BQ101" s="136" t="n">
        <v>0.5</v>
      </c>
      <c r="BR101" s="136" t="n">
        <v>0.036</v>
      </c>
      <c r="BS101" s="136" t="n">
        <v>-0.07</v>
      </c>
      <c r="BT101" s="136" t="n">
        <v>0.005</v>
      </c>
      <c r="BU101" s="136" t="n">
        <v>0.3</v>
      </c>
      <c r="BV101" s="136" t="n">
        <v>0</v>
      </c>
      <c r="BW101" s="136" t="n">
        <v>0</v>
      </c>
      <c r="BX101" s="136" t="n">
        <v>0</v>
      </c>
      <c r="BY101" s="136" t="n">
        <v>-0.019</v>
      </c>
      <c r="BZ101" s="136" t="n">
        <v>0.0575</v>
      </c>
      <c r="CA101" s="136" t="n">
        <v>0.145</v>
      </c>
      <c r="CB101" s="136" t="n">
        <v>0.005</v>
      </c>
      <c r="CC101" s="136" t="n">
        <v>-0.019</v>
      </c>
      <c r="CD101" s="136" t="n">
        <v>0.0035</v>
      </c>
      <c r="CE101" s="136" t="n">
        <v>0.0025</v>
      </c>
      <c r="CF101" s="136" t="n">
        <v>0.0025</v>
      </c>
      <c r="CG101" s="136" t="n">
        <v>-0.019</v>
      </c>
      <c r="CH101" s="136" t="n">
        <v>0.0035</v>
      </c>
      <c r="CI101" s="136" t="n">
        <v>-0.082</v>
      </c>
      <c r="CJ101" s="136" t="n">
        <v>0.0025</v>
      </c>
      <c r="CK101" s="136" t="n">
        <v>0.0775</v>
      </c>
      <c r="CL101" s="136" t="n">
        <v>0.0025</v>
      </c>
      <c r="CM101" s="136" t="n">
        <v>-0.072</v>
      </c>
      <c r="CN101" s="136" t="n">
        <v>0.0075</v>
      </c>
      <c r="CO101" s="136" t="n">
        <v>-0.017</v>
      </c>
      <c r="CP101" s="136" t="n">
        <v>0.005</v>
      </c>
      <c r="CQ101" s="136" t="n">
        <v>0.023</v>
      </c>
      <c r="CR101" s="136" t="n">
        <v>0.0075</v>
      </c>
      <c r="CS101" s="136" t="n">
        <v>0.4</v>
      </c>
      <c r="CT101" s="136" t="n">
        <v>0.01</v>
      </c>
      <c r="CU101" s="136" t="n">
        <v>-0.2</v>
      </c>
      <c r="CV101" s="136" t="n">
        <v>0</v>
      </c>
      <c r="CW101" s="136" t="n">
        <v>0.175</v>
      </c>
      <c r="CX101" s="136" t="n">
        <v>0.0075</v>
      </c>
      <c r="CY101" s="136" t="n">
        <v>-0.65</v>
      </c>
      <c r="CZ101" s="136" t="n">
        <v>0</v>
      </c>
      <c r="DA101" s="136" t="n">
        <v>-0.47</v>
      </c>
      <c r="DB101" s="136" t="n">
        <v>0</v>
      </c>
      <c r="DC101" s="136" t="n">
        <v>0.45</v>
      </c>
      <c r="DE101" s="136" t="n">
        <v>-0.055</v>
      </c>
      <c r="DF101" s="136" t="n">
        <v>0.01</v>
      </c>
      <c r="DG101" s="136" t="n">
        <v>0.007</v>
      </c>
      <c r="DH101" s="136" t="n">
        <v>0.01</v>
      </c>
      <c r="DI101" s="136" t="n">
        <v>-0.0105</v>
      </c>
      <c r="DJ101" s="136" t="n">
        <v>0.0075</v>
      </c>
      <c r="DK101" s="136" t="n">
        <v>-0.047</v>
      </c>
      <c r="DL101" s="136" t="n">
        <v>0.005</v>
      </c>
      <c r="DM101" s="136" t="n">
        <v>-0.061</v>
      </c>
      <c r="DN101" s="136" t="n">
        <v>0.0025</v>
      </c>
      <c r="DO101" s="136" t="n">
        <v>-0.0835</v>
      </c>
      <c r="DP101" s="136" t="n">
        <v>0.0025</v>
      </c>
      <c r="DQ101" s="136" t="n">
        <v>-0.077</v>
      </c>
      <c r="DR101" s="136" t="n">
        <v>-0.005</v>
      </c>
      <c r="DS101" s="136" t="n">
        <v>0.36</v>
      </c>
      <c r="DT101" s="136" t="n">
        <v>-0.005</v>
      </c>
      <c r="DU101" s="136" t="n">
        <v>-0.001723</v>
      </c>
      <c r="DV101" s="136" t="n">
        <v>0</v>
      </c>
    </row>
    <row r="102" customFormat="false" ht="12.75" hidden="false" customHeight="false" outlineLevel="0" collapsed="false">
      <c r="D102" s="135" t="n">
        <v>39753</v>
      </c>
      <c r="F102" s="174" t="n">
        <v>3.7965</v>
      </c>
      <c r="G102" s="175" t="n">
        <v>0.0578320108833665</v>
      </c>
      <c r="H102" s="174" t="n">
        <v>0.23</v>
      </c>
      <c r="I102" s="174" t="n">
        <v>0.8</v>
      </c>
      <c r="J102" s="174" t="n">
        <v>0.85</v>
      </c>
      <c r="K102" s="174" t="n">
        <v>0.8</v>
      </c>
      <c r="L102" s="172" t="n">
        <v>0.8</v>
      </c>
      <c r="M102" s="172" t="n">
        <v>0.9</v>
      </c>
      <c r="N102" s="174" t="n">
        <v>0.95</v>
      </c>
      <c r="O102" s="174" t="n">
        <v>0.85</v>
      </c>
      <c r="P102" s="174" t="n">
        <v>0.8</v>
      </c>
      <c r="Q102" s="174" t="n">
        <v>0.95</v>
      </c>
      <c r="R102" s="175" t="n">
        <v>0.8</v>
      </c>
      <c r="S102" s="175" t="n">
        <v>0.8</v>
      </c>
      <c r="T102" s="174" t="n">
        <v>0.8</v>
      </c>
      <c r="U102" s="174" t="n">
        <v>0.95</v>
      </c>
      <c r="V102" s="174" t="n">
        <v>0.9</v>
      </c>
      <c r="W102" s="174" t="n">
        <v>0</v>
      </c>
      <c r="X102" s="174" t="n">
        <v>0.03</v>
      </c>
      <c r="Y102" s="174" t="n">
        <v>0.13</v>
      </c>
      <c r="Z102" s="174" t="n">
        <v>0.02</v>
      </c>
      <c r="AA102" s="174" t="n">
        <v>0.28</v>
      </c>
      <c r="AB102" s="174" t="n">
        <v>0</v>
      </c>
      <c r="AC102" s="174" t="n">
        <v>0.35</v>
      </c>
      <c r="AD102" s="174" t="n">
        <v>0</v>
      </c>
      <c r="AE102" s="174" t="n">
        <v>0.28</v>
      </c>
      <c r="AF102" s="174" t="n">
        <v>0</v>
      </c>
      <c r="AG102" s="174" t="n">
        <v>0.17</v>
      </c>
      <c r="AH102" s="174" t="n">
        <v>0</v>
      </c>
      <c r="AI102" s="174" t="n">
        <v>0.14528</v>
      </c>
      <c r="AJ102" s="174" t="n">
        <v>0</v>
      </c>
      <c r="AK102" s="174" t="n">
        <v>0.13</v>
      </c>
      <c r="AL102" s="174" t="n">
        <v>0.035</v>
      </c>
      <c r="AM102" s="174" t="n">
        <v>-0.0725</v>
      </c>
      <c r="AN102" s="174" t="n">
        <v>0.014</v>
      </c>
      <c r="AO102" s="174" t="n">
        <v>-0.4</v>
      </c>
      <c r="AP102" s="174" t="n">
        <v>0.155</v>
      </c>
      <c r="AQ102" s="174" t="n">
        <v>-0.0525</v>
      </c>
      <c r="AR102" s="174" t="n">
        <v>0.005</v>
      </c>
      <c r="AS102" s="174" t="n">
        <v>-0.15</v>
      </c>
      <c r="AT102" s="174" t="n">
        <v>-0.005</v>
      </c>
      <c r="AU102" s="174" t="n">
        <v>-0.11</v>
      </c>
      <c r="AV102" s="174" t="n">
        <v>-0.01</v>
      </c>
      <c r="AW102" s="174" t="n">
        <v>-0.0525</v>
      </c>
      <c r="AX102" s="174" t="n">
        <v>0.022</v>
      </c>
      <c r="AY102" s="175" t="n">
        <v>0.155</v>
      </c>
      <c r="AZ102" s="175" t="n">
        <v>0</v>
      </c>
      <c r="BA102" s="175" t="n">
        <v>-0.13</v>
      </c>
      <c r="BB102" s="174" t="n">
        <v>0.005</v>
      </c>
      <c r="BC102" s="174" t="n">
        <v>-0.07</v>
      </c>
      <c r="BD102" s="174" t="n">
        <v>0.005</v>
      </c>
      <c r="BE102" s="174" t="n">
        <v>0.24</v>
      </c>
      <c r="BF102" s="174" t="n">
        <v>0.038</v>
      </c>
      <c r="BG102" s="174" t="n">
        <v>-0.06</v>
      </c>
      <c r="BH102" s="174" t="n">
        <v>0</v>
      </c>
      <c r="BI102" s="174" t="n">
        <v>0</v>
      </c>
      <c r="BJ102" s="136" t="n">
        <v>0.03</v>
      </c>
      <c r="BK102" s="136" t="n">
        <v>0.24</v>
      </c>
      <c r="BL102" s="136" t="n">
        <v>0.038</v>
      </c>
      <c r="BM102" s="136" t="n">
        <v>0.298</v>
      </c>
      <c r="BN102" s="136" t="n">
        <v>0</v>
      </c>
      <c r="BO102" s="136" t="n">
        <v>-0.26</v>
      </c>
      <c r="BP102" s="136" t="n">
        <v>0</v>
      </c>
      <c r="BQ102" s="136" t="n">
        <v>0.5</v>
      </c>
      <c r="BR102" s="136" t="n">
        <v>0.038</v>
      </c>
      <c r="BS102" s="136" t="n">
        <v>-0.07</v>
      </c>
      <c r="BT102" s="136" t="n">
        <v>0.005</v>
      </c>
      <c r="BU102" s="136" t="n">
        <v>0.3</v>
      </c>
      <c r="BV102" s="136" t="n">
        <v>0</v>
      </c>
      <c r="BW102" s="136" t="n">
        <v>0</v>
      </c>
      <c r="BX102" s="136" t="n">
        <v>0</v>
      </c>
      <c r="BY102" s="136" t="n">
        <v>-0.019</v>
      </c>
      <c r="BZ102" s="136" t="n">
        <v>0.0575</v>
      </c>
      <c r="CA102" s="136" t="n">
        <v>0.195</v>
      </c>
      <c r="CB102" s="136" t="n">
        <v>0.005</v>
      </c>
      <c r="CC102" s="136" t="n">
        <v>-0.019</v>
      </c>
      <c r="CD102" s="136" t="n">
        <v>0.0037</v>
      </c>
      <c r="CE102" s="136" t="n">
        <v>0.0025</v>
      </c>
      <c r="CF102" s="136" t="n">
        <v>0.0025</v>
      </c>
      <c r="CG102" s="136" t="n">
        <v>-0.019</v>
      </c>
      <c r="CH102" s="136" t="n">
        <v>0.0037</v>
      </c>
      <c r="CI102" s="136" t="n">
        <v>-0.087</v>
      </c>
      <c r="CJ102" s="136" t="n">
        <v>0.0025</v>
      </c>
      <c r="CK102" s="136" t="n">
        <v>0.075</v>
      </c>
      <c r="CL102" s="136" t="n">
        <v>0.0025</v>
      </c>
      <c r="CM102" s="136" t="n">
        <v>-0.064</v>
      </c>
      <c r="CN102" s="136" t="n">
        <v>0.01</v>
      </c>
      <c r="CO102" s="136" t="n">
        <v>-0.008999999</v>
      </c>
      <c r="CP102" s="136" t="n">
        <v>0.0075</v>
      </c>
      <c r="CQ102" s="136" t="n">
        <v>0.031</v>
      </c>
      <c r="CR102" s="136" t="n">
        <v>0.0125</v>
      </c>
      <c r="CS102" s="136" t="n">
        <v>0.65</v>
      </c>
      <c r="CT102" s="136" t="n">
        <v>0.055</v>
      </c>
      <c r="CU102" s="136" t="n">
        <v>0.298</v>
      </c>
      <c r="CV102" s="136" t="n">
        <v>0</v>
      </c>
      <c r="CW102" s="136" t="n">
        <v>0.21</v>
      </c>
      <c r="CX102" s="136" t="n">
        <v>0.02</v>
      </c>
      <c r="CY102" s="136" t="n">
        <v>-0.52</v>
      </c>
      <c r="CZ102" s="136" t="n">
        <v>0</v>
      </c>
      <c r="DA102" s="136" t="n">
        <v>-0.34</v>
      </c>
      <c r="DB102" s="136" t="n">
        <v>0</v>
      </c>
      <c r="DC102" s="136" t="n">
        <v>0.45</v>
      </c>
      <c r="DE102" s="136" t="n">
        <v>-0.045</v>
      </c>
      <c r="DF102" s="136" t="n">
        <v>0.0125</v>
      </c>
      <c r="DG102" s="136" t="n">
        <v>0.008</v>
      </c>
      <c r="DH102" s="136" t="n">
        <v>0.0075</v>
      </c>
      <c r="DI102" s="136" t="n">
        <v>-0.012</v>
      </c>
      <c r="DJ102" s="136" t="n">
        <v>0.0025</v>
      </c>
      <c r="DK102" s="136" t="n">
        <v>-0.052</v>
      </c>
      <c r="DL102" s="136" t="n">
        <v>0.0025</v>
      </c>
      <c r="DM102" s="136" t="n">
        <v>-0.0635</v>
      </c>
      <c r="DN102" s="136" t="n">
        <v>0.0025</v>
      </c>
      <c r="DO102" s="136" t="n">
        <v>-0.086</v>
      </c>
      <c r="DP102" s="136" t="n">
        <v>0.0025</v>
      </c>
      <c r="DQ102" s="136" t="n">
        <v>-0.082</v>
      </c>
      <c r="DR102" s="136" t="n">
        <v>-0.005</v>
      </c>
      <c r="DS102" s="136" t="n">
        <v>0.46</v>
      </c>
      <c r="DT102" s="136" t="n">
        <v>0.05</v>
      </c>
      <c r="DU102" s="136" t="n">
        <v>0</v>
      </c>
      <c r="DV102" s="136" t="n">
        <v>0</v>
      </c>
    </row>
    <row r="103" customFormat="false" ht="12.75" hidden="false" customHeight="false" outlineLevel="0" collapsed="false">
      <c r="D103" s="135" t="n">
        <v>39783</v>
      </c>
      <c r="F103" s="174" t="n">
        <v>3.9395</v>
      </c>
      <c r="G103" s="175" t="n">
        <v>0.0580100911627719</v>
      </c>
      <c r="H103" s="174" t="n">
        <v>0.23</v>
      </c>
      <c r="I103" s="174" t="n">
        <v>1</v>
      </c>
      <c r="J103" s="174" t="n">
        <v>1.05</v>
      </c>
      <c r="K103" s="174" t="n">
        <v>1</v>
      </c>
      <c r="L103" s="172" t="n">
        <v>1</v>
      </c>
      <c r="M103" s="172" t="n">
        <v>1.15</v>
      </c>
      <c r="N103" s="174" t="n">
        <v>1.25</v>
      </c>
      <c r="O103" s="174" t="n">
        <v>1.05</v>
      </c>
      <c r="P103" s="174" t="n">
        <v>1</v>
      </c>
      <c r="Q103" s="174" t="n">
        <v>1.35</v>
      </c>
      <c r="R103" s="175" t="n">
        <v>1</v>
      </c>
      <c r="S103" s="175" t="n">
        <v>1.1</v>
      </c>
      <c r="T103" s="174" t="n">
        <v>1</v>
      </c>
      <c r="U103" s="174" t="n">
        <v>1.25</v>
      </c>
      <c r="V103" s="174" t="n">
        <v>1.1</v>
      </c>
      <c r="W103" s="174" t="n">
        <v>0.005</v>
      </c>
      <c r="X103" s="174" t="n">
        <v>0.03</v>
      </c>
      <c r="Y103" s="174" t="n">
        <v>0.13</v>
      </c>
      <c r="Z103" s="174" t="n">
        <v>0.02</v>
      </c>
      <c r="AA103" s="174" t="n">
        <v>0.28</v>
      </c>
      <c r="AB103" s="174" t="n">
        <v>0</v>
      </c>
      <c r="AC103" s="174" t="n">
        <v>0.35</v>
      </c>
      <c r="AD103" s="174" t="n">
        <v>0</v>
      </c>
      <c r="AE103" s="174" t="n">
        <v>0.28</v>
      </c>
      <c r="AF103" s="174" t="n">
        <v>0</v>
      </c>
      <c r="AG103" s="174" t="n">
        <v>0.17</v>
      </c>
      <c r="AH103" s="174" t="n">
        <v>0</v>
      </c>
      <c r="AI103" s="174" t="n">
        <v>0.1504</v>
      </c>
      <c r="AJ103" s="174" t="n">
        <v>0</v>
      </c>
      <c r="AK103" s="174" t="n">
        <v>0.13</v>
      </c>
      <c r="AL103" s="174" t="n">
        <v>0.035</v>
      </c>
      <c r="AM103" s="174" t="n">
        <v>-0.0725</v>
      </c>
      <c r="AN103" s="174" t="n">
        <v>0.014</v>
      </c>
      <c r="AO103" s="174" t="n">
        <v>-0.4</v>
      </c>
      <c r="AP103" s="174" t="n">
        <v>0.155</v>
      </c>
      <c r="AQ103" s="174" t="n">
        <v>-0.0525</v>
      </c>
      <c r="AR103" s="174" t="n">
        <v>0.005</v>
      </c>
      <c r="AS103" s="174" t="n">
        <v>-0.1525</v>
      </c>
      <c r="AT103" s="174" t="n">
        <v>-0.005</v>
      </c>
      <c r="AU103" s="174" t="n">
        <v>-0.1125</v>
      </c>
      <c r="AV103" s="174" t="n">
        <v>-0.01</v>
      </c>
      <c r="AW103" s="174" t="n">
        <v>-0.0525</v>
      </c>
      <c r="AX103" s="174" t="n">
        <v>0.022</v>
      </c>
      <c r="AY103" s="175" t="n">
        <v>0.155</v>
      </c>
      <c r="AZ103" s="175" t="n">
        <v>0</v>
      </c>
      <c r="BA103" s="175" t="n">
        <v>-0.13</v>
      </c>
      <c r="BB103" s="174" t="n">
        <v>0.005</v>
      </c>
      <c r="BC103" s="174" t="n">
        <v>-0.07</v>
      </c>
      <c r="BD103" s="174" t="n">
        <v>0.005</v>
      </c>
      <c r="BE103" s="174" t="n">
        <v>0.24</v>
      </c>
      <c r="BF103" s="174" t="n">
        <v>0.038</v>
      </c>
      <c r="BG103" s="174" t="n">
        <v>-0.06</v>
      </c>
      <c r="BH103" s="174" t="n">
        <v>0</v>
      </c>
      <c r="BI103" s="174" t="n">
        <v>0</v>
      </c>
      <c r="BJ103" s="136" t="n">
        <v>0.03</v>
      </c>
      <c r="BK103" s="136" t="n">
        <v>0.24</v>
      </c>
      <c r="BL103" s="136" t="n">
        <v>0.038</v>
      </c>
      <c r="BM103" s="136" t="n">
        <v>0.358</v>
      </c>
      <c r="BN103" s="136" t="n">
        <v>0</v>
      </c>
      <c r="BO103" s="136" t="n">
        <v>-0.26</v>
      </c>
      <c r="BP103" s="136" t="n">
        <v>0</v>
      </c>
      <c r="BQ103" s="136" t="n">
        <v>0.5</v>
      </c>
      <c r="BR103" s="136" t="n">
        <v>0.038</v>
      </c>
      <c r="BS103" s="136" t="n">
        <v>-0.07</v>
      </c>
      <c r="BT103" s="136" t="n">
        <v>0.005</v>
      </c>
      <c r="BU103" s="136" t="n">
        <v>0.3</v>
      </c>
      <c r="BV103" s="136" t="n">
        <v>0</v>
      </c>
      <c r="BW103" s="136" t="n">
        <v>0</v>
      </c>
      <c r="BX103" s="136" t="n">
        <v>0</v>
      </c>
      <c r="BY103" s="136" t="n">
        <v>-0.019</v>
      </c>
      <c r="BZ103" s="136" t="n">
        <v>0.0575</v>
      </c>
      <c r="CA103" s="136" t="n">
        <v>0.215</v>
      </c>
      <c r="CB103" s="136" t="n">
        <v>0.005</v>
      </c>
      <c r="CC103" s="136" t="n">
        <v>-0.019</v>
      </c>
      <c r="CD103" s="136" t="n">
        <v>0.0037</v>
      </c>
      <c r="CE103" s="136" t="n">
        <v>0.0025</v>
      </c>
      <c r="CF103" s="136" t="n">
        <v>0.0025</v>
      </c>
      <c r="CG103" s="136" t="n">
        <v>-0.019</v>
      </c>
      <c r="CH103" s="136" t="n">
        <v>0.0037</v>
      </c>
      <c r="CI103" s="136" t="n">
        <v>-0.1145</v>
      </c>
      <c r="CJ103" s="136" t="n">
        <v>0.0025</v>
      </c>
      <c r="CK103" s="136" t="n">
        <v>0.075</v>
      </c>
      <c r="CL103" s="136" t="n">
        <v>0.0025</v>
      </c>
      <c r="CM103" s="136" t="n">
        <v>-0.064</v>
      </c>
      <c r="CN103" s="136" t="n">
        <v>0.01</v>
      </c>
      <c r="CO103" s="136" t="n">
        <v>-0.008999999</v>
      </c>
      <c r="CP103" s="136" t="n">
        <v>0.0075</v>
      </c>
      <c r="CQ103" s="136" t="n">
        <v>0.031</v>
      </c>
      <c r="CR103" s="136" t="n">
        <v>0.0125</v>
      </c>
      <c r="CS103" s="136" t="n">
        <v>0.98</v>
      </c>
      <c r="CT103" s="136" t="n">
        <v>0.25</v>
      </c>
      <c r="CU103" s="136" t="n">
        <v>0.358</v>
      </c>
      <c r="CV103" s="136" t="n">
        <v>0</v>
      </c>
      <c r="CW103" s="136" t="n">
        <v>0.29</v>
      </c>
      <c r="CX103" s="136" t="n">
        <v>0.02</v>
      </c>
      <c r="CY103" s="136" t="n">
        <v>-0.52</v>
      </c>
      <c r="CZ103" s="136" t="n">
        <v>0</v>
      </c>
      <c r="DA103" s="136" t="n">
        <v>-0.34</v>
      </c>
      <c r="DB103" s="136" t="n">
        <v>0</v>
      </c>
      <c r="DC103" s="136" t="n">
        <v>0.4</v>
      </c>
      <c r="DE103" s="136" t="n">
        <v>-0.045</v>
      </c>
      <c r="DF103" s="136" t="n">
        <v>0.0125</v>
      </c>
      <c r="DG103" s="136" t="n">
        <v>0.008</v>
      </c>
      <c r="DH103" s="136" t="n">
        <v>0.0075</v>
      </c>
      <c r="DI103" s="136" t="n">
        <v>-0.012</v>
      </c>
      <c r="DJ103" s="136" t="n">
        <v>0.0025</v>
      </c>
      <c r="DK103" s="136" t="n">
        <v>-0.0795</v>
      </c>
      <c r="DL103" s="136" t="n">
        <v>0.0025</v>
      </c>
      <c r="DM103" s="136" t="n">
        <v>-0.0615</v>
      </c>
      <c r="DN103" s="136" t="n">
        <v>0.0025</v>
      </c>
      <c r="DO103" s="136" t="n">
        <v>-0.084</v>
      </c>
      <c r="DP103" s="136" t="n">
        <v>0.0025</v>
      </c>
      <c r="DQ103" s="136" t="n">
        <v>-0.1095</v>
      </c>
      <c r="DR103" s="136" t="n">
        <v>-0.005</v>
      </c>
      <c r="DS103" s="136" t="n">
        <v>0.77</v>
      </c>
      <c r="DT103" s="136" t="n">
        <v>0.05</v>
      </c>
      <c r="DU103" s="136" t="n">
        <v>0</v>
      </c>
      <c r="DV103" s="136" t="n">
        <v>0</v>
      </c>
    </row>
    <row r="104" customFormat="false" ht="12.75" hidden="false" customHeight="false" outlineLevel="0" collapsed="false">
      <c r="D104" s="135" t="n">
        <v>39814</v>
      </c>
      <c r="F104" s="174" t="n">
        <v>3.992</v>
      </c>
      <c r="G104" s="175" t="n">
        <v>0.0581602801293144</v>
      </c>
      <c r="H104" s="174" t="n">
        <v>0.23</v>
      </c>
      <c r="I104" s="174" t="n">
        <v>1</v>
      </c>
      <c r="J104" s="174" t="n">
        <v>1.05</v>
      </c>
      <c r="K104" s="174" t="n">
        <v>1</v>
      </c>
      <c r="L104" s="172" t="n">
        <v>1</v>
      </c>
      <c r="M104" s="172" t="n">
        <v>1.15</v>
      </c>
      <c r="N104" s="174" t="n">
        <v>1.45</v>
      </c>
      <c r="O104" s="174" t="n">
        <v>1.05</v>
      </c>
      <c r="P104" s="174" t="n">
        <v>1</v>
      </c>
      <c r="Q104" s="174" t="n">
        <v>1.35</v>
      </c>
      <c r="R104" s="175" t="n">
        <v>1</v>
      </c>
      <c r="S104" s="175" t="n">
        <v>1.1</v>
      </c>
      <c r="T104" s="174" t="n">
        <v>1</v>
      </c>
      <c r="U104" s="174" t="n">
        <v>1.45</v>
      </c>
      <c r="V104" s="174" t="n">
        <v>1.1</v>
      </c>
      <c r="W104" s="174" t="n">
        <v>0.025</v>
      </c>
      <c r="X104" s="174" t="n">
        <v>0.03</v>
      </c>
      <c r="Y104" s="174" t="n">
        <v>0.13</v>
      </c>
      <c r="Z104" s="174" t="n">
        <v>0.02</v>
      </c>
      <c r="AA104" s="174" t="n">
        <v>0.28</v>
      </c>
      <c r="AB104" s="174" t="n">
        <v>0</v>
      </c>
      <c r="AC104" s="174" t="n">
        <v>0.35</v>
      </c>
      <c r="AD104" s="174" t="n">
        <v>0</v>
      </c>
      <c r="AE104" s="174" t="n">
        <v>0.28</v>
      </c>
      <c r="AF104" s="174" t="n">
        <v>0</v>
      </c>
      <c r="AG104" s="174" t="n">
        <v>0.17</v>
      </c>
      <c r="AH104" s="174" t="n">
        <v>0</v>
      </c>
      <c r="AI104" s="174" t="n">
        <v>0.15216</v>
      </c>
      <c r="AJ104" s="174" t="n">
        <v>0</v>
      </c>
      <c r="AK104" s="174" t="n">
        <v>0.13</v>
      </c>
      <c r="AL104" s="174" t="n">
        <v>0.035</v>
      </c>
      <c r="AM104" s="174" t="n">
        <v>-0.0725</v>
      </c>
      <c r="AN104" s="174" t="n">
        <v>0.014</v>
      </c>
      <c r="AO104" s="174" t="n">
        <v>-0.4</v>
      </c>
      <c r="AP104" s="174" t="n">
        <v>0.155</v>
      </c>
      <c r="AQ104" s="174" t="n">
        <v>-0.0525</v>
      </c>
      <c r="AR104" s="174" t="n">
        <v>0.005</v>
      </c>
      <c r="AS104" s="174" t="n">
        <v>-0.155</v>
      </c>
      <c r="AT104" s="174" t="n">
        <v>-0.005</v>
      </c>
      <c r="AU104" s="174" t="n">
        <v>-0.115</v>
      </c>
      <c r="AV104" s="174" t="n">
        <v>-0.01</v>
      </c>
      <c r="AW104" s="174" t="n">
        <v>-0.0525</v>
      </c>
      <c r="AX104" s="174" t="n">
        <v>0.022</v>
      </c>
      <c r="AY104" s="175" t="n">
        <v>0.155</v>
      </c>
      <c r="AZ104" s="175" t="n">
        <v>0</v>
      </c>
      <c r="BA104" s="175" t="n">
        <v>-0.13</v>
      </c>
      <c r="BB104" s="174" t="n">
        <v>0.005</v>
      </c>
      <c r="BC104" s="174" t="n">
        <v>-0.07</v>
      </c>
      <c r="BD104" s="174" t="n">
        <v>0.005</v>
      </c>
      <c r="BE104" s="174" t="n">
        <v>0.24</v>
      </c>
      <c r="BF104" s="174" t="n">
        <v>0.038</v>
      </c>
      <c r="BG104" s="174" t="n">
        <v>-0.06</v>
      </c>
      <c r="BH104" s="174" t="n">
        <v>0</v>
      </c>
      <c r="BI104" s="174" t="n">
        <v>0</v>
      </c>
      <c r="BJ104" s="136" t="n">
        <v>0.03</v>
      </c>
      <c r="BK104" s="136" t="n">
        <v>0.24</v>
      </c>
      <c r="BL104" s="136" t="n">
        <v>0.038</v>
      </c>
      <c r="BM104" s="136" t="n">
        <v>0.428</v>
      </c>
      <c r="BN104" s="136" t="n">
        <v>0</v>
      </c>
      <c r="BO104" s="136" t="n">
        <v>-0.26</v>
      </c>
      <c r="BP104" s="136" t="n">
        <v>0</v>
      </c>
      <c r="BQ104" s="136" t="n">
        <v>0.5</v>
      </c>
      <c r="BR104" s="136" t="n">
        <v>0.038</v>
      </c>
      <c r="BS104" s="136" t="n">
        <v>-0.07</v>
      </c>
      <c r="BT104" s="136" t="n">
        <v>0.005</v>
      </c>
      <c r="BU104" s="136" t="n">
        <v>0.3</v>
      </c>
      <c r="BV104" s="136" t="n">
        <v>0</v>
      </c>
      <c r="BW104" s="136" t="n">
        <v>0</v>
      </c>
      <c r="BX104" s="136" t="n">
        <v>0</v>
      </c>
      <c r="BY104" s="136" t="n">
        <v>-0.017</v>
      </c>
      <c r="BZ104" s="136" t="n">
        <v>0.0575</v>
      </c>
      <c r="CA104" s="136" t="n">
        <v>0.235</v>
      </c>
      <c r="CB104" s="136" t="n">
        <v>0.005</v>
      </c>
      <c r="CC104" s="136" t="n">
        <v>-0.017</v>
      </c>
      <c r="CD104" s="136" t="n">
        <v>0.0037</v>
      </c>
      <c r="CE104" s="136" t="n">
        <v>0.0025</v>
      </c>
      <c r="CF104" s="136" t="n">
        <v>0.0025</v>
      </c>
      <c r="CG104" s="136" t="n">
        <v>-0.017</v>
      </c>
      <c r="CH104" s="136" t="n">
        <v>0.0037</v>
      </c>
      <c r="CI104" s="136" t="n">
        <v>-0.1125</v>
      </c>
      <c r="CJ104" s="136" t="n">
        <v>0.0025</v>
      </c>
      <c r="CK104" s="136" t="n">
        <v>0.075</v>
      </c>
      <c r="CL104" s="136" t="n">
        <v>0.0025</v>
      </c>
      <c r="CM104" s="136" t="n">
        <v>-0.064</v>
      </c>
      <c r="CN104" s="136" t="n">
        <v>0.01</v>
      </c>
      <c r="CO104" s="136" t="n">
        <v>-0.008999999</v>
      </c>
      <c r="CP104" s="136" t="n">
        <v>0.0075</v>
      </c>
      <c r="CQ104" s="136" t="n">
        <v>0.031</v>
      </c>
      <c r="CR104" s="136" t="n">
        <v>0.0125</v>
      </c>
      <c r="CS104" s="136" t="n">
        <v>1.6</v>
      </c>
      <c r="CT104" s="136" t="n">
        <v>0.45</v>
      </c>
      <c r="CU104" s="136" t="n">
        <v>0.428</v>
      </c>
      <c r="CV104" s="136" t="n">
        <v>0</v>
      </c>
      <c r="CW104" s="136" t="n">
        <v>0.34</v>
      </c>
      <c r="CX104" s="136" t="n">
        <v>0.02</v>
      </c>
      <c r="CY104" s="136" t="n">
        <v>-0.52</v>
      </c>
      <c r="CZ104" s="136" t="n">
        <v>0</v>
      </c>
      <c r="DA104" s="136" t="n">
        <v>-0.34</v>
      </c>
      <c r="DB104" s="136" t="n">
        <v>0</v>
      </c>
      <c r="DC104" s="136" t="n">
        <v>0.35</v>
      </c>
      <c r="DE104" s="136" t="n">
        <v>-0.045</v>
      </c>
      <c r="DF104" s="136" t="n">
        <v>0.0125</v>
      </c>
      <c r="DG104" s="136" t="n">
        <v>0.008</v>
      </c>
      <c r="DH104" s="136" t="n">
        <v>0.0075</v>
      </c>
      <c r="DI104" s="136" t="n">
        <v>-0.012</v>
      </c>
      <c r="DJ104" s="136" t="n">
        <v>0.0025</v>
      </c>
      <c r="DK104" s="136" t="n">
        <v>-0.0945</v>
      </c>
      <c r="DL104" s="136" t="n">
        <v>0.0025</v>
      </c>
      <c r="DM104" s="136" t="n">
        <v>-0.0615</v>
      </c>
      <c r="DN104" s="136" t="n">
        <v>0.0025</v>
      </c>
      <c r="DO104" s="136" t="n">
        <v>-0.084</v>
      </c>
      <c r="DP104" s="136" t="n">
        <v>0.0025</v>
      </c>
      <c r="DQ104" s="136" t="n">
        <v>-0.1245</v>
      </c>
      <c r="DR104" s="136" t="n">
        <v>-0.005</v>
      </c>
      <c r="DS104" s="136" t="n">
        <v>1.04</v>
      </c>
      <c r="DT104" s="136" t="n">
        <v>0.05</v>
      </c>
      <c r="DU104" s="136" t="n">
        <v>0</v>
      </c>
      <c r="DV104" s="136" t="n">
        <v>0</v>
      </c>
    </row>
    <row r="105" customFormat="false" ht="12.75" hidden="false" customHeight="false" outlineLevel="0" collapsed="false">
      <c r="D105" s="135" t="n">
        <v>39845</v>
      </c>
      <c r="F105" s="174" t="n">
        <v>3.907</v>
      </c>
      <c r="G105" s="175" t="n">
        <v>0.0582693930542924</v>
      </c>
      <c r="H105" s="174" t="n">
        <v>0.2275</v>
      </c>
      <c r="I105" s="174" t="n">
        <v>1</v>
      </c>
      <c r="J105" s="174" t="n">
        <v>1.05</v>
      </c>
      <c r="K105" s="174" t="n">
        <v>1</v>
      </c>
      <c r="L105" s="172" t="n">
        <v>1</v>
      </c>
      <c r="M105" s="172" t="n">
        <v>1.15</v>
      </c>
      <c r="N105" s="174" t="n">
        <v>1.45</v>
      </c>
      <c r="O105" s="174" t="n">
        <v>1.05</v>
      </c>
      <c r="P105" s="174" t="n">
        <v>1</v>
      </c>
      <c r="Q105" s="174" t="n">
        <v>1.35</v>
      </c>
      <c r="R105" s="175" t="n">
        <v>1</v>
      </c>
      <c r="S105" s="175" t="n">
        <v>1.1</v>
      </c>
      <c r="T105" s="174" t="n">
        <v>1</v>
      </c>
      <c r="U105" s="174" t="n">
        <v>1.45</v>
      </c>
      <c r="V105" s="174" t="n">
        <v>1.1</v>
      </c>
      <c r="W105" s="174" t="n">
        <v>0.02</v>
      </c>
      <c r="X105" s="174" t="n">
        <v>0.03</v>
      </c>
      <c r="Y105" s="174" t="n">
        <v>0.13</v>
      </c>
      <c r="Z105" s="174" t="n">
        <v>0.02</v>
      </c>
      <c r="AA105" s="174" t="n">
        <v>0.28</v>
      </c>
      <c r="AB105" s="174" t="n">
        <v>0</v>
      </c>
      <c r="AC105" s="174" t="n">
        <v>0.35</v>
      </c>
      <c r="AD105" s="174" t="n">
        <v>0</v>
      </c>
      <c r="AE105" s="174" t="n">
        <v>0.28</v>
      </c>
      <c r="AF105" s="174" t="n">
        <v>0</v>
      </c>
      <c r="AG105" s="174" t="n">
        <v>0.17</v>
      </c>
      <c r="AH105" s="174" t="n">
        <v>0</v>
      </c>
      <c r="AI105" s="174" t="n">
        <v>0.1496</v>
      </c>
      <c r="AJ105" s="174" t="n">
        <v>0</v>
      </c>
      <c r="AK105" s="174" t="n">
        <v>0.13</v>
      </c>
      <c r="AL105" s="174" t="n">
        <v>0.035</v>
      </c>
      <c r="AM105" s="174" t="n">
        <v>-0.0725</v>
      </c>
      <c r="AN105" s="174" t="n">
        <v>0.014</v>
      </c>
      <c r="AO105" s="174" t="n">
        <v>-0.4</v>
      </c>
      <c r="AP105" s="174" t="n">
        <v>0.155</v>
      </c>
      <c r="AQ105" s="174" t="n">
        <v>-0.0525</v>
      </c>
      <c r="AR105" s="174" t="n">
        <v>0.005</v>
      </c>
      <c r="AS105" s="174" t="n">
        <v>-0.1475</v>
      </c>
      <c r="AT105" s="174" t="n">
        <v>-0.005</v>
      </c>
      <c r="AU105" s="174" t="n">
        <v>-0.1075</v>
      </c>
      <c r="AV105" s="174" t="n">
        <v>-0.01</v>
      </c>
      <c r="AW105" s="174" t="n">
        <v>-0.0525</v>
      </c>
      <c r="AX105" s="174" t="n">
        <v>0.022</v>
      </c>
      <c r="AY105" s="175" t="n">
        <v>0.155</v>
      </c>
      <c r="AZ105" s="175" t="n">
        <v>0</v>
      </c>
      <c r="BA105" s="175" t="n">
        <v>-0.13</v>
      </c>
      <c r="BB105" s="174" t="n">
        <v>0.005</v>
      </c>
      <c r="BC105" s="174" t="n">
        <v>-0.07</v>
      </c>
      <c r="BD105" s="174" t="n">
        <v>0.005</v>
      </c>
      <c r="BE105" s="174" t="n">
        <v>0.24</v>
      </c>
      <c r="BF105" s="174" t="n">
        <v>0.038</v>
      </c>
      <c r="BG105" s="174" t="n">
        <v>-0.06</v>
      </c>
      <c r="BH105" s="174" t="n">
        <v>0</v>
      </c>
      <c r="BI105" s="174" t="n">
        <v>0</v>
      </c>
      <c r="BJ105" s="136" t="n">
        <v>0.03</v>
      </c>
      <c r="BK105" s="136" t="n">
        <v>0.24</v>
      </c>
      <c r="BL105" s="136" t="n">
        <v>0.038</v>
      </c>
      <c r="BM105" s="136" t="n">
        <v>0.298</v>
      </c>
      <c r="BN105" s="136" t="n">
        <v>0</v>
      </c>
      <c r="BO105" s="136" t="n">
        <v>-0.26</v>
      </c>
      <c r="BP105" s="136" t="n">
        <v>0</v>
      </c>
      <c r="BQ105" s="136" t="n">
        <v>0.5</v>
      </c>
      <c r="BR105" s="136" t="n">
        <v>0.038</v>
      </c>
      <c r="BS105" s="136" t="n">
        <v>-0.07</v>
      </c>
      <c r="BT105" s="136" t="n">
        <v>0.005</v>
      </c>
      <c r="BU105" s="136" t="n">
        <v>0.3</v>
      </c>
      <c r="BV105" s="136" t="n">
        <v>0</v>
      </c>
      <c r="BW105" s="136" t="n">
        <v>0</v>
      </c>
      <c r="BX105" s="136" t="n">
        <v>0</v>
      </c>
      <c r="BY105" s="136" t="n">
        <v>-0.017</v>
      </c>
      <c r="BZ105" s="136" t="n">
        <v>0.0575</v>
      </c>
      <c r="CA105" s="136" t="n">
        <v>0.235</v>
      </c>
      <c r="CB105" s="136" t="n">
        <v>0.005</v>
      </c>
      <c r="CC105" s="136" t="n">
        <v>-0.017</v>
      </c>
      <c r="CD105" s="136" t="n">
        <v>0.0037</v>
      </c>
      <c r="CE105" s="136" t="n">
        <v>0.0025</v>
      </c>
      <c r="CF105" s="136" t="n">
        <v>0.0025</v>
      </c>
      <c r="CG105" s="136" t="n">
        <v>-0.017</v>
      </c>
      <c r="CH105" s="136" t="n">
        <v>0.0037</v>
      </c>
      <c r="CI105" s="136" t="n">
        <v>-0.1125</v>
      </c>
      <c r="CJ105" s="136" t="n">
        <v>0.0025</v>
      </c>
      <c r="CK105" s="136" t="n">
        <v>0.075</v>
      </c>
      <c r="CL105" s="136" t="n">
        <v>0.0025</v>
      </c>
      <c r="CM105" s="136" t="n">
        <v>-0.064</v>
      </c>
      <c r="CN105" s="136" t="n">
        <v>0.01</v>
      </c>
      <c r="CO105" s="136" t="n">
        <v>-0.008999999</v>
      </c>
      <c r="CP105" s="136" t="n">
        <v>0.0075</v>
      </c>
      <c r="CQ105" s="136" t="n">
        <v>0.031</v>
      </c>
      <c r="CR105" s="136" t="n">
        <v>0.0125</v>
      </c>
      <c r="CS105" s="136" t="n">
        <v>1.6</v>
      </c>
      <c r="CT105" s="136" t="n">
        <v>0.45</v>
      </c>
      <c r="CU105" s="136" t="n">
        <v>0.298</v>
      </c>
      <c r="CV105" s="136" t="n">
        <v>0</v>
      </c>
      <c r="CW105" s="136" t="n">
        <v>0.34</v>
      </c>
      <c r="CX105" s="136" t="n">
        <v>0.02</v>
      </c>
      <c r="CY105" s="136" t="n">
        <v>-0.52</v>
      </c>
      <c r="CZ105" s="136" t="n">
        <v>0</v>
      </c>
      <c r="DA105" s="136" t="n">
        <v>-0.34</v>
      </c>
      <c r="DB105" s="136" t="n">
        <v>0</v>
      </c>
      <c r="DC105" s="136" t="n">
        <v>0.35</v>
      </c>
      <c r="DE105" s="136" t="n">
        <v>-0.045</v>
      </c>
      <c r="DF105" s="136" t="n">
        <v>0.0125</v>
      </c>
      <c r="DG105" s="136" t="n">
        <v>0.008</v>
      </c>
      <c r="DH105" s="136" t="n">
        <v>0.0075</v>
      </c>
      <c r="DI105" s="136" t="n">
        <v>-0.012</v>
      </c>
      <c r="DJ105" s="136" t="n">
        <v>0.0025</v>
      </c>
      <c r="DK105" s="136" t="n">
        <v>-0.0845</v>
      </c>
      <c r="DL105" s="136" t="n">
        <v>0.0025</v>
      </c>
      <c r="DM105" s="136" t="n">
        <v>-0.0615</v>
      </c>
      <c r="DN105" s="136" t="n">
        <v>0.0025</v>
      </c>
      <c r="DO105" s="136" t="n">
        <v>-0.084</v>
      </c>
      <c r="DP105" s="136" t="n">
        <v>0.0025</v>
      </c>
      <c r="DQ105" s="136" t="n">
        <v>-0.1145</v>
      </c>
      <c r="DR105" s="136" t="n">
        <v>-0.005</v>
      </c>
      <c r="DS105" s="136" t="n">
        <v>1.04</v>
      </c>
      <c r="DT105" s="136" t="n">
        <v>0.05</v>
      </c>
      <c r="DU105" s="136" t="n">
        <v>0</v>
      </c>
      <c r="DV105" s="136" t="n">
        <v>0</v>
      </c>
    </row>
    <row r="106" customFormat="false" ht="12.75" hidden="false" customHeight="false" outlineLevel="0" collapsed="false">
      <c r="D106" s="135" t="n">
        <v>39873</v>
      </c>
      <c r="F106" s="174" t="n">
        <v>3.777</v>
      </c>
      <c r="G106" s="175" t="n">
        <v>0.058367946667353</v>
      </c>
      <c r="H106" s="174" t="n">
        <v>0.22</v>
      </c>
      <c r="I106" s="174" t="n">
        <v>0.75</v>
      </c>
      <c r="J106" s="174" t="n">
        <v>0.8</v>
      </c>
      <c r="K106" s="174" t="n">
        <v>0.75</v>
      </c>
      <c r="L106" s="172" t="n">
        <v>0.75</v>
      </c>
      <c r="M106" s="172" t="n">
        <v>0.85</v>
      </c>
      <c r="N106" s="174" t="n">
        <v>1</v>
      </c>
      <c r="O106" s="174" t="n">
        <v>0.75</v>
      </c>
      <c r="P106" s="174" t="n">
        <v>0.75</v>
      </c>
      <c r="Q106" s="174" t="n">
        <v>0.95</v>
      </c>
      <c r="R106" s="175" t="n">
        <v>0.75</v>
      </c>
      <c r="S106" s="175" t="n">
        <v>0.75</v>
      </c>
      <c r="T106" s="174" t="n">
        <v>0.75</v>
      </c>
      <c r="U106" s="174" t="n">
        <v>1</v>
      </c>
      <c r="V106" s="174" t="n">
        <v>0.85</v>
      </c>
      <c r="W106" s="174" t="n">
        <v>0</v>
      </c>
      <c r="X106" s="174" t="n">
        <v>0.03</v>
      </c>
      <c r="Y106" s="174" t="n">
        <v>0.13</v>
      </c>
      <c r="Z106" s="174" t="n">
        <v>0.02</v>
      </c>
      <c r="AA106" s="174" t="n">
        <v>0.28</v>
      </c>
      <c r="AB106" s="174" t="n">
        <v>0</v>
      </c>
      <c r="AC106" s="174" t="n">
        <v>0.35</v>
      </c>
      <c r="AD106" s="174" t="n">
        <v>0</v>
      </c>
      <c r="AE106" s="174" t="n">
        <v>0.28</v>
      </c>
      <c r="AF106" s="174" t="n">
        <v>0</v>
      </c>
      <c r="AG106" s="174" t="n">
        <v>0.17</v>
      </c>
      <c r="AH106" s="174" t="n">
        <v>0</v>
      </c>
      <c r="AI106" s="174" t="n">
        <v>0.14544</v>
      </c>
      <c r="AJ106" s="174" t="n">
        <v>0</v>
      </c>
      <c r="AK106" s="174" t="n">
        <v>0.13</v>
      </c>
      <c r="AL106" s="174" t="n">
        <v>0.035</v>
      </c>
      <c r="AM106" s="174" t="n">
        <v>-0.0725</v>
      </c>
      <c r="AN106" s="174" t="n">
        <v>0.014</v>
      </c>
      <c r="AO106" s="174" t="n">
        <v>-0.4</v>
      </c>
      <c r="AP106" s="174" t="n">
        <v>0.155</v>
      </c>
      <c r="AQ106" s="174" t="n">
        <v>-0.0525</v>
      </c>
      <c r="AR106" s="174" t="n">
        <v>0.005</v>
      </c>
      <c r="AS106" s="174" t="n">
        <v>-0.145</v>
      </c>
      <c r="AT106" s="174" t="n">
        <v>-0.005</v>
      </c>
      <c r="AU106" s="174" t="n">
        <v>-0.105</v>
      </c>
      <c r="AV106" s="174" t="n">
        <v>-0.01</v>
      </c>
      <c r="AW106" s="174" t="n">
        <v>-0.0525</v>
      </c>
      <c r="AX106" s="174" t="n">
        <v>0.022</v>
      </c>
      <c r="AY106" s="175" t="n">
        <v>0.155</v>
      </c>
      <c r="AZ106" s="175" t="n">
        <v>0</v>
      </c>
      <c r="BA106" s="175" t="n">
        <v>-0.13</v>
      </c>
      <c r="BB106" s="174" t="n">
        <v>0.005</v>
      </c>
      <c r="BC106" s="174" t="n">
        <v>-0.07</v>
      </c>
      <c r="BD106" s="174" t="n">
        <v>0.005</v>
      </c>
      <c r="BE106" s="174" t="n">
        <v>0.24</v>
      </c>
      <c r="BF106" s="174" t="n">
        <v>0.038</v>
      </c>
      <c r="BG106" s="174" t="n">
        <v>-0.06</v>
      </c>
      <c r="BH106" s="174" t="n">
        <v>0</v>
      </c>
      <c r="BI106" s="174" t="n">
        <v>0</v>
      </c>
      <c r="BJ106" s="136" t="n">
        <v>0.03</v>
      </c>
      <c r="BK106" s="136" t="n">
        <v>0.24</v>
      </c>
      <c r="BL106" s="136" t="n">
        <v>0.038</v>
      </c>
      <c r="BM106" s="136" t="n">
        <v>0.118</v>
      </c>
      <c r="BN106" s="136" t="n">
        <v>0</v>
      </c>
      <c r="BO106" s="136" t="n">
        <v>-0.26</v>
      </c>
      <c r="BP106" s="136" t="n">
        <v>0</v>
      </c>
      <c r="BQ106" s="136" t="n">
        <v>0.5</v>
      </c>
      <c r="BR106" s="136" t="n">
        <v>0.038</v>
      </c>
      <c r="BS106" s="136" t="n">
        <v>-0.07</v>
      </c>
      <c r="BT106" s="136" t="n">
        <v>0.005</v>
      </c>
      <c r="BU106" s="136" t="n">
        <v>0.3</v>
      </c>
      <c r="BV106" s="136" t="n">
        <v>0</v>
      </c>
      <c r="BW106" s="136" t="n">
        <v>0</v>
      </c>
      <c r="BX106" s="136" t="n">
        <v>0</v>
      </c>
      <c r="BY106" s="136" t="n">
        <v>-0.017</v>
      </c>
      <c r="BZ106" s="136" t="n">
        <v>0.0575</v>
      </c>
      <c r="CA106" s="136" t="n">
        <v>0.195</v>
      </c>
      <c r="CB106" s="136" t="n">
        <v>0.005</v>
      </c>
      <c r="CC106" s="136" t="n">
        <v>-0.017</v>
      </c>
      <c r="CD106" s="136" t="n">
        <v>0.0037</v>
      </c>
      <c r="CE106" s="136" t="n">
        <v>0.0025</v>
      </c>
      <c r="CF106" s="136" t="n">
        <v>0.0025</v>
      </c>
      <c r="CG106" s="136" t="n">
        <v>-0.017</v>
      </c>
      <c r="CH106" s="136" t="n">
        <v>0.0037</v>
      </c>
      <c r="CI106" s="136" t="n">
        <v>-0.1125</v>
      </c>
      <c r="CJ106" s="136" t="n">
        <v>0.0025</v>
      </c>
      <c r="CK106" s="136" t="n">
        <v>0.075</v>
      </c>
      <c r="CL106" s="136" t="n">
        <v>0.0025</v>
      </c>
      <c r="CM106" s="136" t="n">
        <v>-0.064</v>
      </c>
      <c r="CN106" s="136" t="n">
        <v>0.01</v>
      </c>
      <c r="CO106" s="136" t="n">
        <v>-0.008999999</v>
      </c>
      <c r="CP106" s="136" t="n">
        <v>0.0075</v>
      </c>
      <c r="CQ106" s="136" t="n">
        <v>0.031</v>
      </c>
      <c r="CR106" s="136" t="n">
        <v>0.0125</v>
      </c>
      <c r="CS106" s="136" t="n">
        <v>0.64</v>
      </c>
      <c r="CT106" s="136" t="n">
        <v>0.1</v>
      </c>
      <c r="CU106" s="136" t="n">
        <v>0.118</v>
      </c>
      <c r="CV106" s="136" t="n">
        <v>0</v>
      </c>
      <c r="CW106" s="136" t="n">
        <v>0.29</v>
      </c>
      <c r="CX106" s="136" t="n">
        <v>0.02</v>
      </c>
      <c r="CY106" s="136" t="n">
        <v>-0.52</v>
      </c>
      <c r="CZ106" s="136" t="n">
        <v>0</v>
      </c>
      <c r="DA106" s="136" t="n">
        <v>-0.34</v>
      </c>
      <c r="DB106" s="136" t="n">
        <v>0</v>
      </c>
      <c r="DC106" s="136" t="n">
        <v>0.4</v>
      </c>
      <c r="DE106" s="136" t="n">
        <v>-0.045</v>
      </c>
      <c r="DF106" s="136" t="n">
        <v>0.0125</v>
      </c>
      <c r="DG106" s="136" t="n">
        <v>0.013</v>
      </c>
      <c r="DH106" s="136" t="n">
        <v>0.0075</v>
      </c>
      <c r="DI106" s="136" t="n">
        <v>-0.007</v>
      </c>
      <c r="DJ106" s="136" t="n">
        <v>0.0025</v>
      </c>
      <c r="DK106" s="136" t="n">
        <v>-0.0745</v>
      </c>
      <c r="DL106" s="136" t="n">
        <v>0.0025</v>
      </c>
      <c r="DM106" s="136" t="n">
        <v>-0.0615</v>
      </c>
      <c r="DN106" s="136" t="n">
        <v>0.0025</v>
      </c>
      <c r="DO106" s="136" t="n">
        <v>-0.084</v>
      </c>
      <c r="DP106" s="136" t="n">
        <v>0.0025</v>
      </c>
      <c r="DQ106" s="136" t="n">
        <v>-0.1045</v>
      </c>
      <c r="DR106" s="136" t="n">
        <v>-0.005</v>
      </c>
      <c r="DS106" s="136" t="n">
        <v>0.54</v>
      </c>
      <c r="DT106" s="136" t="n">
        <v>0.05</v>
      </c>
      <c r="DU106" s="136" t="n">
        <v>0</v>
      </c>
      <c r="DV106" s="136" t="n">
        <v>0</v>
      </c>
    </row>
    <row r="107" customFormat="false" ht="12.75" hidden="false" customHeight="false" outlineLevel="0" collapsed="false">
      <c r="D107" s="135" t="n">
        <v>39904</v>
      </c>
      <c r="F107" s="174" t="n">
        <v>3.592</v>
      </c>
      <c r="G107" s="175" t="n">
        <v>0.0584770595998663</v>
      </c>
      <c r="H107" s="174" t="n">
        <v>0.2025</v>
      </c>
      <c r="I107" s="174" t="n">
        <v>0.4</v>
      </c>
      <c r="J107" s="174" t="n">
        <v>0.45</v>
      </c>
      <c r="K107" s="174" t="n">
        <v>0.4</v>
      </c>
      <c r="L107" s="172" t="n">
        <v>0.45</v>
      </c>
      <c r="M107" s="172" t="n">
        <v>0.45</v>
      </c>
      <c r="N107" s="174" t="n">
        <v>0.45</v>
      </c>
      <c r="O107" s="174" t="n">
        <v>0.45</v>
      </c>
      <c r="P107" s="174" t="n">
        <v>0.45</v>
      </c>
      <c r="Q107" s="174" t="n">
        <v>0.5</v>
      </c>
      <c r="R107" s="175" t="n">
        <v>0.4</v>
      </c>
      <c r="S107" s="175" t="n">
        <v>0.45</v>
      </c>
      <c r="T107" s="174" t="n">
        <v>0.4</v>
      </c>
      <c r="U107" s="174" t="n">
        <v>0.45</v>
      </c>
      <c r="V107" s="174" t="n">
        <v>0.55</v>
      </c>
      <c r="W107" s="174" t="n">
        <v>-0.09</v>
      </c>
      <c r="X107" s="174" t="n">
        <v>0</v>
      </c>
      <c r="Y107" s="174" t="n">
        <v>0.04</v>
      </c>
      <c r="Z107" s="174" t="n">
        <v>0.005</v>
      </c>
      <c r="AA107" s="174" t="n">
        <v>0.175</v>
      </c>
      <c r="AB107" s="174" t="n">
        <v>0</v>
      </c>
      <c r="AC107" s="174" t="n">
        <v>0.14</v>
      </c>
      <c r="AD107" s="174" t="n">
        <v>0</v>
      </c>
      <c r="AE107" s="174" t="n">
        <v>0.175</v>
      </c>
      <c r="AF107" s="174" t="n">
        <v>0</v>
      </c>
      <c r="AG107" s="174" t="n">
        <v>0.14</v>
      </c>
      <c r="AH107" s="174" t="n">
        <v>0</v>
      </c>
      <c r="AI107" s="174" t="n">
        <v>0.14</v>
      </c>
      <c r="AJ107" s="174" t="n">
        <v>0</v>
      </c>
      <c r="AK107" s="174" t="n">
        <v>0.04</v>
      </c>
      <c r="AL107" s="174" t="n">
        <v>0.04</v>
      </c>
      <c r="AM107" s="174" t="n">
        <v>-0.055</v>
      </c>
      <c r="AN107" s="174" t="n">
        <v>0.021</v>
      </c>
      <c r="AO107" s="174" t="n">
        <v>-0.5</v>
      </c>
      <c r="AP107" s="174" t="n">
        <v>0.155</v>
      </c>
      <c r="AQ107" s="174" t="n">
        <v>-0.05</v>
      </c>
      <c r="AR107" s="174" t="n">
        <v>0</v>
      </c>
      <c r="AS107" s="174" t="n">
        <v>-0.15</v>
      </c>
      <c r="AT107" s="174" t="n">
        <v>-0.015</v>
      </c>
      <c r="AU107" s="174" t="n">
        <v>-0.11</v>
      </c>
      <c r="AV107" s="174" t="n">
        <v>0.02</v>
      </c>
      <c r="AW107" s="174" t="n">
        <v>-0.05</v>
      </c>
      <c r="AX107" s="174" t="n">
        <v>0.014</v>
      </c>
      <c r="AY107" s="175" t="n">
        <v>0.125</v>
      </c>
      <c r="AZ107" s="175" t="n">
        <v>0</v>
      </c>
      <c r="BA107" s="175" t="n">
        <v>-0.195</v>
      </c>
      <c r="BB107" s="174" t="n">
        <v>0.0025</v>
      </c>
      <c r="BC107" s="174" t="n">
        <v>-0.07</v>
      </c>
      <c r="BD107" s="174" t="n">
        <v>0.005</v>
      </c>
      <c r="BE107" s="174" t="n">
        <v>0.26</v>
      </c>
      <c r="BF107" s="174" t="n">
        <v>0.038</v>
      </c>
      <c r="BG107" s="174" t="n">
        <v>-0.06</v>
      </c>
      <c r="BH107" s="174" t="n">
        <v>0</v>
      </c>
      <c r="BI107" s="174" t="n">
        <v>0</v>
      </c>
      <c r="BJ107" s="136" t="n">
        <v>0.03</v>
      </c>
      <c r="BK107" s="136" t="n">
        <v>0.26</v>
      </c>
      <c r="BL107" s="136" t="n">
        <v>0.038</v>
      </c>
      <c r="BM107" s="136" t="n">
        <v>-0.2</v>
      </c>
      <c r="BN107" s="136" t="n">
        <v>0</v>
      </c>
      <c r="BO107" s="136" t="n">
        <v>-0.39</v>
      </c>
      <c r="BP107" s="136" t="n">
        <v>0</v>
      </c>
      <c r="BQ107" s="136" t="n">
        <v>0.5</v>
      </c>
      <c r="BR107" s="136" t="n">
        <v>0.038</v>
      </c>
      <c r="BS107" s="136" t="n">
        <v>-0.07</v>
      </c>
      <c r="BT107" s="136" t="n">
        <v>0.005</v>
      </c>
      <c r="BU107" s="136" t="n">
        <v>0.3</v>
      </c>
      <c r="BV107" s="136" t="n">
        <v>0</v>
      </c>
      <c r="BW107" s="136" t="n">
        <v>0</v>
      </c>
      <c r="BX107" s="136" t="n">
        <v>0</v>
      </c>
      <c r="BY107" s="136" t="n">
        <v>-0.017</v>
      </c>
      <c r="BZ107" s="136" t="n">
        <v>0.0575</v>
      </c>
      <c r="CA107" s="136" t="n">
        <v>0.145</v>
      </c>
      <c r="CB107" s="136" t="n">
        <v>0.005</v>
      </c>
      <c r="CC107" s="136" t="n">
        <v>-0.017</v>
      </c>
      <c r="CD107" s="136" t="n">
        <v>0.0035</v>
      </c>
      <c r="CE107" s="136" t="n">
        <v>0.0025</v>
      </c>
      <c r="CF107" s="136" t="n">
        <v>0.0025</v>
      </c>
      <c r="CG107" s="136" t="n">
        <v>-0.017</v>
      </c>
      <c r="CH107" s="136" t="n">
        <v>0.0035</v>
      </c>
      <c r="CI107" s="136" t="n">
        <v>-0.1325</v>
      </c>
      <c r="CJ107" s="136" t="n">
        <v>0.0025</v>
      </c>
      <c r="CK107" s="136" t="n">
        <v>0.0775</v>
      </c>
      <c r="CL107" s="136" t="n">
        <v>0.0025</v>
      </c>
      <c r="CM107" s="136" t="n">
        <v>-0.072</v>
      </c>
      <c r="CN107" s="136" t="n">
        <v>0.0075</v>
      </c>
      <c r="CO107" s="136" t="n">
        <v>-0.017</v>
      </c>
      <c r="CP107" s="136" t="n">
        <v>0.005</v>
      </c>
      <c r="CQ107" s="136" t="n">
        <v>0.023</v>
      </c>
      <c r="CR107" s="136" t="n">
        <v>0.0075</v>
      </c>
      <c r="CS107" s="136" t="n">
        <v>0.38</v>
      </c>
      <c r="CT107" s="136" t="n">
        <v>0.02</v>
      </c>
      <c r="CU107" s="136" t="n">
        <v>-0.2</v>
      </c>
      <c r="CV107" s="136" t="n">
        <v>0</v>
      </c>
      <c r="CW107" s="136" t="n">
        <v>0.195</v>
      </c>
      <c r="CX107" s="136" t="n">
        <v>0.0075</v>
      </c>
      <c r="CY107" s="136" t="n">
        <v>-0.65</v>
      </c>
      <c r="CZ107" s="136" t="n">
        <v>0</v>
      </c>
      <c r="DA107" s="136" t="n">
        <v>-0.47</v>
      </c>
      <c r="DB107" s="136" t="n">
        <v>0</v>
      </c>
      <c r="DC107" s="136" t="n">
        <v>0.6</v>
      </c>
      <c r="DE107" s="136" t="n">
        <v>-0.0525</v>
      </c>
      <c r="DF107" s="136" t="n">
        <v>0.01</v>
      </c>
      <c r="DG107" s="136" t="n">
        <v>0.013</v>
      </c>
      <c r="DH107" s="136" t="n">
        <v>0.01</v>
      </c>
      <c r="DI107" s="136" t="n">
        <v>-0.007</v>
      </c>
      <c r="DJ107" s="136" t="n">
        <v>0.0075</v>
      </c>
      <c r="DK107" s="136" t="n">
        <v>-0.1175</v>
      </c>
      <c r="DL107" s="136" t="n">
        <v>0.005</v>
      </c>
      <c r="DM107" s="136" t="n">
        <v>-0.059</v>
      </c>
      <c r="DN107" s="136" t="n">
        <v>0.0025</v>
      </c>
      <c r="DO107" s="136" t="n">
        <v>-0.0815</v>
      </c>
      <c r="DP107" s="136" t="n">
        <v>0.0025</v>
      </c>
      <c r="DQ107" s="136" t="n">
        <v>-0.1475</v>
      </c>
      <c r="DR107" s="136" t="n">
        <v>-0.005</v>
      </c>
      <c r="DS107" s="136" t="n">
        <v>0.36</v>
      </c>
      <c r="DT107" s="136" t="n">
        <v>0.005</v>
      </c>
      <c r="DU107" s="136" t="n">
        <v>0</v>
      </c>
      <c r="DV107" s="136" t="n">
        <v>0</v>
      </c>
    </row>
    <row r="108" customFormat="false" ht="12.75" hidden="false" customHeight="false" outlineLevel="0" collapsed="false">
      <c r="D108" s="135" t="n">
        <v>39934</v>
      </c>
      <c r="F108" s="174" t="n">
        <v>3.587</v>
      </c>
      <c r="G108" s="175" t="n">
        <v>0.0585826527641324</v>
      </c>
      <c r="H108" s="174" t="n">
        <v>0.2025</v>
      </c>
      <c r="I108" s="174" t="n">
        <v>0.45</v>
      </c>
      <c r="J108" s="174" t="n">
        <v>0.5</v>
      </c>
      <c r="K108" s="174" t="n">
        <v>0.4</v>
      </c>
      <c r="L108" s="172" t="n">
        <v>0.4</v>
      </c>
      <c r="M108" s="172" t="n">
        <v>0.45</v>
      </c>
      <c r="N108" s="174" t="n">
        <v>0.5</v>
      </c>
      <c r="O108" s="174" t="n">
        <v>0.45</v>
      </c>
      <c r="P108" s="174" t="n">
        <v>0.4</v>
      </c>
      <c r="Q108" s="174" t="n">
        <v>0.45</v>
      </c>
      <c r="R108" s="175" t="n">
        <v>0.45</v>
      </c>
      <c r="S108" s="175" t="n">
        <v>0.5</v>
      </c>
      <c r="T108" s="174" t="n">
        <v>0.45</v>
      </c>
      <c r="U108" s="174" t="n">
        <v>0.5</v>
      </c>
      <c r="V108" s="174" t="n">
        <v>0.5</v>
      </c>
      <c r="W108" s="174" t="n">
        <v>-0.09</v>
      </c>
      <c r="X108" s="174" t="n">
        <v>0</v>
      </c>
      <c r="Y108" s="174" t="n">
        <v>0.04</v>
      </c>
      <c r="Z108" s="174" t="n">
        <v>0.005</v>
      </c>
      <c r="AA108" s="174" t="n">
        <v>0.175</v>
      </c>
      <c r="AB108" s="174" t="n">
        <v>0</v>
      </c>
      <c r="AC108" s="174" t="n">
        <v>0.14</v>
      </c>
      <c r="AD108" s="174" t="n">
        <v>0</v>
      </c>
      <c r="AE108" s="174" t="n">
        <v>0.175</v>
      </c>
      <c r="AF108" s="174" t="n">
        <v>0</v>
      </c>
      <c r="AG108" s="174" t="n">
        <v>0.14</v>
      </c>
      <c r="AH108" s="174" t="n">
        <v>0</v>
      </c>
      <c r="AI108" s="174" t="n">
        <v>0.14</v>
      </c>
      <c r="AJ108" s="174" t="n">
        <v>0</v>
      </c>
      <c r="AK108" s="174" t="n">
        <v>0.04</v>
      </c>
      <c r="AL108" s="174" t="n">
        <v>0.04</v>
      </c>
      <c r="AM108" s="174" t="n">
        <v>-0.055</v>
      </c>
      <c r="AN108" s="174" t="n">
        <v>0.021</v>
      </c>
      <c r="AO108" s="174" t="n">
        <v>-0.5</v>
      </c>
      <c r="AP108" s="174" t="n">
        <v>0.155</v>
      </c>
      <c r="AQ108" s="174" t="n">
        <v>-0.05</v>
      </c>
      <c r="AR108" s="174" t="n">
        <v>0</v>
      </c>
      <c r="AS108" s="174" t="n">
        <v>-0.15</v>
      </c>
      <c r="AT108" s="174" t="n">
        <v>-0.015</v>
      </c>
      <c r="AU108" s="174" t="n">
        <v>-0.11</v>
      </c>
      <c r="AV108" s="174" t="n">
        <v>0.02</v>
      </c>
      <c r="AW108" s="174" t="n">
        <v>-0.05</v>
      </c>
      <c r="AX108" s="174" t="n">
        <v>0.014</v>
      </c>
      <c r="AY108" s="175" t="n">
        <v>0.125</v>
      </c>
      <c r="AZ108" s="175" t="n">
        <v>0</v>
      </c>
      <c r="BA108" s="175" t="n">
        <v>-0.195</v>
      </c>
      <c r="BB108" s="174" t="n">
        <v>0.0025</v>
      </c>
      <c r="BC108" s="174" t="n">
        <v>-0.07</v>
      </c>
      <c r="BD108" s="174" t="n">
        <v>0.005</v>
      </c>
      <c r="BE108" s="174" t="n">
        <v>0.26</v>
      </c>
      <c r="BF108" s="174" t="n">
        <v>0.038</v>
      </c>
      <c r="BG108" s="174" t="n">
        <v>-0.06</v>
      </c>
      <c r="BH108" s="174" t="n">
        <v>0</v>
      </c>
      <c r="BI108" s="174" t="n">
        <v>0</v>
      </c>
      <c r="BJ108" s="136" t="n">
        <v>0.03</v>
      </c>
      <c r="BK108" s="136" t="n">
        <v>0.26</v>
      </c>
      <c r="BL108" s="136" t="n">
        <v>0.038</v>
      </c>
      <c r="BM108" s="136" t="n">
        <v>-0.2</v>
      </c>
      <c r="BN108" s="136" t="n">
        <v>0</v>
      </c>
      <c r="BO108" s="136" t="n">
        <v>-0.39</v>
      </c>
      <c r="BP108" s="136" t="n">
        <v>0</v>
      </c>
      <c r="BQ108" s="136" t="n">
        <v>0.5</v>
      </c>
      <c r="BR108" s="136" t="n">
        <v>0.038</v>
      </c>
      <c r="BS108" s="136" t="n">
        <v>-0.07</v>
      </c>
      <c r="BT108" s="136" t="n">
        <v>0.005</v>
      </c>
      <c r="BU108" s="136" t="n">
        <v>0.3</v>
      </c>
      <c r="BV108" s="136" t="n">
        <v>0</v>
      </c>
      <c r="BW108" s="136" t="n">
        <v>0</v>
      </c>
      <c r="BX108" s="136" t="n">
        <v>0</v>
      </c>
      <c r="BY108" s="136" t="n">
        <v>-0.017</v>
      </c>
      <c r="BZ108" s="136" t="n">
        <v>0.0575</v>
      </c>
      <c r="CA108" s="136" t="n">
        <v>0.125</v>
      </c>
      <c r="CB108" s="136" t="n">
        <v>0.005</v>
      </c>
      <c r="CC108" s="136" t="n">
        <v>-0.017</v>
      </c>
      <c r="CD108" s="136" t="n">
        <v>0.0035</v>
      </c>
      <c r="CE108" s="136" t="n">
        <v>0.0025</v>
      </c>
      <c r="CF108" s="136" t="n">
        <v>0.0025</v>
      </c>
      <c r="CG108" s="136" t="n">
        <v>-0.017</v>
      </c>
      <c r="CH108" s="136" t="n">
        <v>0.0035</v>
      </c>
      <c r="CI108" s="136" t="n">
        <v>-0.12</v>
      </c>
      <c r="CJ108" s="136" t="n">
        <v>0.0025</v>
      </c>
      <c r="CK108" s="136" t="n">
        <v>0.0775</v>
      </c>
      <c r="CL108" s="136" t="n">
        <v>0.0025</v>
      </c>
      <c r="CM108" s="136" t="n">
        <v>-0.072</v>
      </c>
      <c r="CN108" s="136" t="n">
        <v>0.0075</v>
      </c>
      <c r="CO108" s="136" t="n">
        <v>-0.017</v>
      </c>
      <c r="CP108" s="136" t="n">
        <v>0.005</v>
      </c>
      <c r="CQ108" s="136" t="n">
        <v>0.023</v>
      </c>
      <c r="CR108" s="136" t="n">
        <v>0.0075</v>
      </c>
      <c r="CS108" s="136" t="n">
        <v>0.33</v>
      </c>
      <c r="CT108" s="136" t="n">
        <v>0.02</v>
      </c>
      <c r="CU108" s="136" t="n">
        <v>-0.2</v>
      </c>
      <c r="CV108" s="136" t="n">
        <v>0</v>
      </c>
      <c r="CW108" s="136" t="n">
        <v>0.135</v>
      </c>
      <c r="CX108" s="136" t="n">
        <v>0.0075</v>
      </c>
      <c r="CY108" s="136" t="n">
        <v>-0.65</v>
      </c>
      <c r="CZ108" s="136" t="n">
        <v>0</v>
      </c>
      <c r="DA108" s="136" t="n">
        <v>-0.47</v>
      </c>
      <c r="DB108" s="136" t="n">
        <v>0</v>
      </c>
      <c r="DC108" s="136" t="n">
        <v>0.75</v>
      </c>
      <c r="DE108" s="136" t="n">
        <v>-0.0525</v>
      </c>
      <c r="DF108" s="136" t="n">
        <v>0.01</v>
      </c>
      <c r="DG108" s="136" t="n">
        <v>0.0155</v>
      </c>
      <c r="DH108" s="136" t="n">
        <v>0.01</v>
      </c>
      <c r="DI108" s="136" t="n">
        <v>-0.0045</v>
      </c>
      <c r="DJ108" s="136" t="n">
        <v>0.0075</v>
      </c>
      <c r="DK108" s="136" t="n">
        <v>-0.095</v>
      </c>
      <c r="DL108" s="136" t="n">
        <v>0.005</v>
      </c>
      <c r="DM108" s="136" t="n">
        <v>-0.059</v>
      </c>
      <c r="DN108" s="136" t="n">
        <v>0.0025</v>
      </c>
      <c r="DO108" s="136" t="n">
        <v>-0.0815</v>
      </c>
      <c r="DP108" s="136" t="n">
        <v>0.0025</v>
      </c>
      <c r="DQ108" s="136" t="n">
        <v>-0.125</v>
      </c>
      <c r="DR108" s="136" t="n">
        <v>-0.005</v>
      </c>
      <c r="DS108" s="136" t="n">
        <v>0.325</v>
      </c>
      <c r="DT108" s="136" t="n">
        <v>0.005</v>
      </c>
      <c r="DU108" s="136" t="n">
        <v>0</v>
      </c>
      <c r="DV108" s="136" t="n">
        <v>0</v>
      </c>
    </row>
    <row r="109" customFormat="false" ht="12.75" hidden="false" customHeight="false" outlineLevel="0" collapsed="false">
      <c r="D109" s="135" t="n">
        <v>39965</v>
      </c>
      <c r="F109" s="174" t="n">
        <v>3.622</v>
      </c>
      <c r="G109" s="175" t="n">
        <v>0.0586917657044355</v>
      </c>
      <c r="H109" s="174" t="n">
        <v>0.2025</v>
      </c>
      <c r="I109" s="174" t="n">
        <v>0.45</v>
      </c>
      <c r="J109" s="174" t="n">
        <v>0.5</v>
      </c>
      <c r="K109" s="174" t="n">
        <v>0.4</v>
      </c>
      <c r="L109" s="172" t="n">
        <v>0.5</v>
      </c>
      <c r="M109" s="172" t="n">
        <v>0.45</v>
      </c>
      <c r="N109" s="174" t="n">
        <v>0.5</v>
      </c>
      <c r="O109" s="174" t="n">
        <v>0.5</v>
      </c>
      <c r="P109" s="174" t="n">
        <v>0.5</v>
      </c>
      <c r="Q109" s="174" t="n">
        <v>0.5</v>
      </c>
      <c r="R109" s="175" t="n">
        <v>0.45</v>
      </c>
      <c r="S109" s="175" t="n">
        <v>0.5</v>
      </c>
      <c r="T109" s="174" t="n">
        <v>0.45</v>
      </c>
      <c r="U109" s="174" t="n">
        <v>0.5</v>
      </c>
      <c r="V109" s="174" t="n">
        <v>0.6</v>
      </c>
      <c r="W109" s="174" t="n">
        <v>-0.09</v>
      </c>
      <c r="X109" s="174" t="n">
        <v>0</v>
      </c>
      <c r="Y109" s="174" t="n">
        <v>0.04</v>
      </c>
      <c r="Z109" s="174" t="n">
        <v>0.005</v>
      </c>
      <c r="AA109" s="174" t="n">
        <v>0.175</v>
      </c>
      <c r="AB109" s="174" t="n">
        <v>0</v>
      </c>
      <c r="AC109" s="174" t="n">
        <v>0.14</v>
      </c>
      <c r="AD109" s="174" t="n">
        <v>0</v>
      </c>
      <c r="AE109" s="174" t="n">
        <v>0.175</v>
      </c>
      <c r="AF109" s="174" t="n">
        <v>0</v>
      </c>
      <c r="AG109" s="174" t="n">
        <v>0.14</v>
      </c>
      <c r="AH109" s="174" t="n">
        <v>0</v>
      </c>
      <c r="AI109" s="174" t="n">
        <v>0.14</v>
      </c>
      <c r="AJ109" s="174" t="n">
        <v>0</v>
      </c>
      <c r="AK109" s="174" t="n">
        <v>0.04</v>
      </c>
      <c r="AL109" s="174" t="n">
        <v>0.04</v>
      </c>
      <c r="AM109" s="174" t="n">
        <v>-0.055</v>
      </c>
      <c r="AN109" s="174" t="n">
        <v>0.021</v>
      </c>
      <c r="AO109" s="174" t="n">
        <v>-0.5</v>
      </c>
      <c r="AP109" s="174" t="n">
        <v>0.155</v>
      </c>
      <c r="AQ109" s="174" t="n">
        <v>-0.05</v>
      </c>
      <c r="AR109" s="174" t="n">
        <v>0</v>
      </c>
      <c r="AS109" s="174" t="n">
        <v>-0.15</v>
      </c>
      <c r="AT109" s="174" t="n">
        <v>-0.015</v>
      </c>
      <c r="AU109" s="174" t="n">
        <v>-0.11</v>
      </c>
      <c r="AV109" s="174" t="n">
        <v>0.02</v>
      </c>
      <c r="AW109" s="174" t="n">
        <v>-0.05</v>
      </c>
      <c r="AX109" s="174" t="n">
        <v>0.014</v>
      </c>
      <c r="AY109" s="175" t="n">
        <v>0.125</v>
      </c>
      <c r="AZ109" s="175" t="n">
        <v>0</v>
      </c>
      <c r="BA109" s="175" t="n">
        <v>-0.195</v>
      </c>
      <c r="BB109" s="174" t="n">
        <v>0.0025</v>
      </c>
      <c r="BC109" s="174" t="n">
        <v>-0.07</v>
      </c>
      <c r="BD109" s="174" t="n">
        <v>0.005</v>
      </c>
      <c r="BE109" s="174" t="n">
        <v>0.26</v>
      </c>
      <c r="BF109" s="174" t="n">
        <v>0.038</v>
      </c>
      <c r="BG109" s="174" t="n">
        <v>-0.06</v>
      </c>
      <c r="BH109" s="174" t="n">
        <v>0</v>
      </c>
      <c r="BI109" s="174" t="n">
        <v>0</v>
      </c>
      <c r="BJ109" s="136" t="n">
        <v>0.03</v>
      </c>
      <c r="BK109" s="136" t="n">
        <v>0.26</v>
      </c>
      <c r="BL109" s="136" t="n">
        <v>0.038</v>
      </c>
      <c r="BM109" s="136" t="n">
        <v>-0.2</v>
      </c>
      <c r="BN109" s="136" t="n">
        <v>0</v>
      </c>
      <c r="BO109" s="136" t="n">
        <v>-0.39</v>
      </c>
      <c r="BP109" s="136" t="n">
        <v>0</v>
      </c>
      <c r="BQ109" s="136" t="n">
        <v>0.5</v>
      </c>
      <c r="BR109" s="136" t="n">
        <v>0.038</v>
      </c>
      <c r="BS109" s="136" t="n">
        <v>-0.07</v>
      </c>
      <c r="BT109" s="136" t="n">
        <v>0.005</v>
      </c>
      <c r="BU109" s="136" t="n">
        <v>0.3</v>
      </c>
      <c r="BV109" s="136" t="n">
        <v>0</v>
      </c>
      <c r="BW109" s="136" t="n">
        <v>0</v>
      </c>
      <c r="BX109" s="136" t="n">
        <v>0</v>
      </c>
      <c r="BY109" s="136" t="n">
        <v>-0.017</v>
      </c>
      <c r="BZ109" s="136" t="n">
        <v>0.0575</v>
      </c>
      <c r="CA109" s="136" t="n">
        <v>0.145</v>
      </c>
      <c r="CB109" s="136" t="n">
        <v>0.005</v>
      </c>
      <c r="CC109" s="136" t="n">
        <v>-0.017</v>
      </c>
      <c r="CD109" s="136" t="n">
        <v>0.0035</v>
      </c>
      <c r="CE109" s="136" t="n">
        <v>0.0025</v>
      </c>
      <c r="CF109" s="136" t="n">
        <v>0.0025</v>
      </c>
      <c r="CG109" s="136" t="n">
        <v>-0.017</v>
      </c>
      <c r="CH109" s="136" t="n">
        <v>0.0035</v>
      </c>
      <c r="CI109" s="136" t="n">
        <v>-0.0775</v>
      </c>
      <c r="CJ109" s="136" t="n">
        <v>0.0025</v>
      </c>
      <c r="CK109" s="136" t="n">
        <v>0.0775</v>
      </c>
      <c r="CL109" s="136" t="n">
        <v>0.0025</v>
      </c>
      <c r="CM109" s="136" t="n">
        <v>-0.072</v>
      </c>
      <c r="CN109" s="136" t="n">
        <v>0.0075</v>
      </c>
      <c r="CO109" s="136" t="n">
        <v>-0.017</v>
      </c>
      <c r="CP109" s="136" t="n">
        <v>0.005</v>
      </c>
      <c r="CQ109" s="136" t="n">
        <v>0.023</v>
      </c>
      <c r="CR109" s="136" t="n">
        <v>0.0075</v>
      </c>
      <c r="CS109" s="136" t="n">
        <v>0.37</v>
      </c>
      <c r="CT109" s="136" t="n">
        <v>0.035</v>
      </c>
      <c r="CU109" s="136" t="n">
        <v>-0.2</v>
      </c>
      <c r="CV109" s="136" t="n">
        <v>0</v>
      </c>
      <c r="CW109" s="136" t="n">
        <v>0.165</v>
      </c>
      <c r="CX109" s="136" t="n">
        <v>0.0075</v>
      </c>
      <c r="CY109" s="136" t="n">
        <v>-0.65</v>
      </c>
      <c r="CZ109" s="136" t="n">
        <v>0</v>
      </c>
      <c r="DA109" s="136" t="n">
        <v>-0.47</v>
      </c>
      <c r="DB109" s="136" t="n">
        <v>0</v>
      </c>
      <c r="DC109" s="136" t="n">
        <v>0.85</v>
      </c>
      <c r="DE109" s="136" t="n">
        <v>-0.05</v>
      </c>
      <c r="DF109" s="136" t="n">
        <v>0.01</v>
      </c>
      <c r="DG109" s="136" t="n">
        <v>0.0155</v>
      </c>
      <c r="DH109" s="136" t="n">
        <v>0.01</v>
      </c>
      <c r="DI109" s="136" t="n">
        <v>-0.0045</v>
      </c>
      <c r="DJ109" s="136" t="n">
        <v>0.0075</v>
      </c>
      <c r="DK109" s="136" t="n">
        <v>-0.0425</v>
      </c>
      <c r="DL109" s="136" t="n">
        <v>0.005</v>
      </c>
      <c r="DM109" s="136" t="n">
        <v>-0.059</v>
      </c>
      <c r="DN109" s="136" t="n">
        <v>0.0025</v>
      </c>
      <c r="DO109" s="136" t="n">
        <v>-0.0815</v>
      </c>
      <c r="DP109" s="136" t="n">
        <v>0.0025</v>
      </c>
      <c r="DQ109" s="136" t="n">
        <v>-0.0725</v>
      </c>
      <c r="DR109" s="136" t="n">
        <v>-0.005</v>
      </c>
      <c r="DS109" s="136" t="n">
        <v>0.335</v>
      </c>
      <c r="DT109" s="136" t="n">
        <v>0.005</v>
      </c>
      <c r="DU109" s="136" t="n">
        <v>0</v>
      </c>
      <c r="DV109" s="136" t="n">
        <v>0</v>
      </c>
    </row>
    <row r="110" customFormat="false" ht="12.75" hidden="false" customHeight="false" outlineLevel="0" collapsed="false">
      <c r="D110" s="135" t="n">
        <v>39995</v>
      </c>
      <c r="F110" s="174" t="n">
        <v>3.662</v>
      </c>
      <c r="G110" s="175" t="n">
        <v>0.0587973588762392</v>
      </c>
      <c r="H110" s="174" t="n">
        <v>0.2025</v>
      </c>
      <c r="I110" s="174" t="n">
        <v>0.5</v>
      </c>
      <c r="J110" s="174" t="n">
        <v>0.5</v>
      </c>
      <c r="K110" s="174" t="n">
        <v>0.4</v>
      </c>
      <c r="L110" s="172" t="n">
        <v>0.5</v>
      </c>
      <c r="M110" s="172" t="n">
        <v>0.5</v>
      </c>
      <c r="N110" s="174" t="n">
        <v>0.5</v>
      </c>
      <c r="O110" s="174" t="n">
        <v>0.5</v>
      </c>
      <c r="P110" s="174" t="n">
        <v>0.5</v>
      </c>
      <c r="Q110" s="174" t="n">
        <v>0.5</v>
      </c>
      <c r="R110" s="175" t="n">
        <v>0.5</v>
      </c>
      <c r="S110" s="175" t="n">
        <v>0.55</v>
      </c>
      <c r="T110" s="174" t="n">
        <v>0.5</v>
      </c>
      <c r="U110" s="174" t="n">
        <v>0.5</v>
      </c>
      <c r="V110" s="174" t="n">
        <v>0.6</v>
      </c>
      <c r="W110" s="174" t="n">
        <v>-0.09</v>
      </c>
      <c r="X110" s="174" t="n">
        <v>0</v>
      </c>
      <c r="Y110" s="174" t="n">
        <v>0.04</v>
      </c>
      <c r="Z110" s="174" t="n">
        <v>0.005</v>
      </c>
      <c r="AA110" s="174" t="n">
        <v>0.175</v>
      </c>
      <c r="AB110" s="174" t="n">
        <v>0</v>
      </c>
      <c r="AC110" s="174" t="n">
        <v>0.14</v>
      </c>
      <c r="AD110" s="174" t="n">
        <v>0</v>
      </c>
      <c r="AE110" s="174" t="n">
        <v>0.175</v>
      </c>
      <c r="AF110" s="174" t="n">
        <v>0</v>
      </c>
      <c r="AG110" s="174" t="n">
        <v>0.14</v>
      </c>
      <c r="AH110" s="174" t="n">
        <v>0</v>
      </c>
      <c r="AI110" s="174" t="n">
        <v>0.14</v>
      </c>
      <c r="AJ110" s="174" t="n">
        <v>0</v>
      </c>
      <c r="AK110" s="174" t="n">
        <v>0.04</v>
      </c>
      <c r="AL110" s="174" t="n">
        <v>0.04</v>
      </c>
      <c r="AM110" s="174" t="n">
        <v>-0.055</v>
      </c>
      <c r="AN110" s="174" t="n">
        <v>0.021</v>
      </c>
      <c r="AO110" s="174" t="n">
        <v>-0.5</v>
      </c>
      <c r="AP110" s="174" t="n">
        <v>0.155</v>
      </c>
      <c r="AQ110" s="174" t="n">
        <v>-0.05</v>
      </c>
      <c r="AR110" s="174" t="n">
        <v>0</v>
      </c>
      <c r="AS110" s="174" t="n">
        <v>-0.15</v>
      </c>
      <c r="AT110" s="174" t="n">
        <v>-0.015</v>
      </c>
      <c r="AU110" s="174" t="n">
        <v>-0.11</v>
      </c>
      <c r="AV110" s="174" t="n">
        <v>0.02</v>
      </c>
      <c r="AW110" s="174" t="n">
        <v>-0.05</v>
      </c>
      <c r="AX110" s="174" t="n">
        <v>0.012</v>
      </c>
      <c r="AY110" s="175" t="n">
        <v>0.125</v>
      </c>
      <c r="AZ110" s="175" t="n">
        <v>0</v>
      </c>
      <c r="BA110" s="175" t="n">
        <v>-0.195</v>
      </c>
      <c r="BB110" s="174" t="n">
        <v>0.0025</v>
      </c>
      <c r="BC110" s="174" t="n">
        <v>-0.07</v>
      </c>
      <c r="BD110" s="174" t="n">
        <v>0.005</v>
      </c>
      <c r="BE110" s="174" t="n">
        <v>0.26</v>
      </c>
      <c r="BF110" s="174" t="n">
        <v>0.038</v>
      </c>
      <c r="BG110" s="174" t="n">
        <v>-0.06</v>
      </c>
      <c r="BH110" s="174" t="n">
        <v>0</v>
      </c>
      <c r="BI110" s="174" t="n">
        <v>0</v>
      </c>
      <c r="BJ110" s="136" t="n">
        <v>0.03</v>
      </c>
      <c r="BK110" s="136" t="n">
        <v>0.26</v>
      </c>
      <c r="BL110" s="136" t="n">
        <v>0.038</v>
      </c>
      <c r="BM110" s="136" t="n">
        <v>-0.2</v>
      </c>
      <c r="BN110" s="136" t="n">
        <v>0</v>
      </c>
      <c r="BO110" s="136" t="n">
        <v>-0.39</v>
      </c>
      <c r="BP110" s="136" t="n">
        <v>0</v>
      </c>
      <c r="BQ110" s="136" t="n">
        <v>0.5</v>
      </c>
      <c r="BR110" s="136" t="n">
        <v>0.038</v>
      </c>
      <c r="BS110" s="136" t="n">
        <v>-0.07</v>
      </c>
      <c r="BT110" s="136" t="n">
        <v>0.005</v>
      </c>
      <c r="BU110" s="136" t="n">
        <v>0.3</v>
      </c>
      <c r="BV110" s="136" t="n">
        <v>0</v>
      </c>
      <c r="BW110" s="136" t="n">
        <v>0</v>
      </c>
      <c r="BX110" s="136" t="n">
        <v>0</v>
      </c>
      <c r="BY110" s="136" t="n">
        <v>-0.017</v>
      </c>
      <c r="BZ110" s="136" t="n">
        <v>0.0575</v>
      </c>
      <c r="CA110" s="136" t="n">
        <v>0.15</v>
      </c>
      <c r="CB110" s="136" t="n">
        <v>0.005</v>
      </c>
      <c r="CC110" s="136" t="n">
        <v>-0.017</v>
      </c>
      <c r="CD110" s="136" t="n">
        <v>0.0035</v>
      </c>
      <c r="CE110" s="136" t="n">
        <v>0.0025</v>
      </c>
      <c r="CF110" s="136" t="n">
        <v>0.0025</v>
      </c>
      <c r="CG110" s="136" t="n">
        <v>-0.017</v>
      </c>
      <c r="CH110" s="136" t="n">
        <v>0.0035</v>
      </c>
      <c r="CI110" s="136" t="n">
        <v>-0.075</v>
      </c>
      <c r="CJ110" s="136" t="n">
        <v>0.0025</v>
      </c>
      <c r="CK110" s="136" t="n">
        <v>0.0775</v>
      </c>
      <c r="CL110" s="136" t="n">
        <v>0.0025</v>
      </c>
      <c r="CM110" s="136" t="n">
        <v>-0.072</v>
      </c>
      <c r="CN110" s="136" t="n">
        <v>0.0075</v>
      </c>
      <c r="CO110" s="136" t="n">
        <v>-0.017</v>
      </c>
      <c r="CP110" s="136" t="n">
        <v>0.005</v>
      </c>
      <c r="CQ110" s="136" t="n">
        <v>0.023</v>
      </c>
      <c r="CR110" s="136" t="n">
        <v>0.0075</v>
      </c>
      <c r="CS110" s="136" t="n">
        <v>0.41</v>
      </c>
      <c r="CT110" s="136" t="n">
        <v>0.035</v>
      </c>
      <c r="CU110" s="136" t="n">
        <v>-0.2</v>
      </c>
      <c r="CV110" s="136" t="n">
        <v>0</v>
      </c>
      <c r="CW110" s="136" t="n">
        <v>0.205</v>
      </c>
      <c r="CX110" s="136" t="n">
        <v>0.0075</v>
      </c>
      <c r="CY110" s="136" t="n">
        <v>-0.65</v>
      </c>
      <c r="CZ110" s="136" t="n">
        <v>0</v>
      </c>
      <c r="DA110" s="136" t="n">
        <v>-0.47</v>
      </c>
      <c r="DB110" s="136" t="n">
        <v>0</v>
      </c>
      <c r="DC110" s="136" t="n">
        <v>1.05</v>
      </c>
      <c r="DE110" s="136" t="n">
        <v>-0.05</v>
      </c>
      <c r="DF110" s="136" t="n">
        <v>0.01</v>
      </c>
      <c r="DG110" s="136" t="n">
        <v>0.0155</v>
      </c>
      <c r="DH110" s="136" t="n">
        <v>0.01</v>
      </c>
      <c r="DI110" s="136" t="n">
        <v>-0.0045</v>
      </c>
      <c r="DJ110" s="136" t="n">
        <v>0.0075</v>
      </c>
      <c r="DK110" s="136" t="n">
        <v>-0.0525</v>
      </c>
      <c r="DL110" s="136" t="n">
        <v>0.005</v>
      </c>
      <c r="DM110" s="136" t="n">
        <v>-0.059</v>
      </c>
      <c r="DN110" s="136" t="n">
        <v>0.0025</v>
      </c>
      <c r="DO110" s="136" t="n">
        <v>-0.0815</v>
      </c>
      <c r="DP110" s="136" t="n">
        <v>0.0025</v>
      </c>
      <c r="DQ110" s="136" t="n">
        <v>-0.0825</v>
      </c>
      <c r="DR110" s="136" t="n">
        <v>-0.005</v>
      </c>
      <c r="DS110" s="136" t="n">
        <v>0.35</v>
      </c>
      <c r="DT110" s="136" t="n">
        <v>0.005</v>
      </c>
      <c r="DU110" s="136" t="n">
        <v>0</v>
      </c>
      <c r="DV110" s="136" t="n">
        <v>0</v>
      </c>
    </row>
    <row r="111" customFormat="false" ht="12.75" hidden="false" customHeight="false" outlineLevel="0" collapsed="false">
      <c r="D111" s="135" t="n">
        <v>40026</v>
      </c>
      <c r="F111" s="174" t="n">
        <v>3.702</v>
      </c>
      <c r="G111" s="175" t="n">
        <v>0.0589064718243306</v>
      </c>
      <c r="H111" s="174" t="n">
        <v>0.2025</v>
      </c>
      <c r="I111" s="174" t="n">
        <v>0.55</v>
      </c>
      <c r="J111" s="174" t="n">
        <v>0.55</v>
      </c>
      <c r="K111" s="174" t="n">
        <v>0.5</v>
      </c>
      <c r="L111" s="172" t="n">
        <v>0.6</v>
      </c>
      <c r="M111" s="172" t="n">
        <v>0.55</v>
      </c>
      <c r="N111" s="174" t="n">
        <v>0.6</v>
      </c>
      <c r="O111" s="174" t="n">
        <v>0.55</v>
      </c>
      <c r="P111" s="174" t="n">
        <v>0.6</v>
      </c>
      <c r="Q111" s="174" t="n">
        <v>0.45</v>
      </c>
      <c r="R111" s="175" t="n">
        <v>0.55</v>
      </c>
      <c r="S111" s="175" t="n">
        <v>0.6</v>
      </c>
      <c r="T111" s="174" t="n">
        <v>0.55</v>
      </c>
      <c r="U111" s="174" t="n">
        <v>0.6</v>
      </c>
      <c r="V111" s="174" t="n">
        <v>0.7</v>
      </c>
      <c r="W111" s="174" t="n">
        <v>-0.09</v>
      </c>
      <c r="X111" s="174" t="n">
        <v>0</v>
      </c>
      <c r="Y111" s="174" t="n">
        <v>0.04</v>
      </c>
      <c r="Z111" s="174" t="n">
        <v>0.005</v>
      </c>
      <c r="AA111" s="174" t="n">
        <v>0.175</v>
      </c>
      <c r="AB111" s="174" t="n">
        <v>0</v>
      </c>
      <c r="AC111" s="174" t="n">
        <v>0.14</v>
      </c>
      <c r="AD111" s="174" t="n">
        <v>0</v>
      </c>
      <c r="AE111" s="174" t="n">
        <v>0.175</v>
      </c>
      <c r="AF111" s="174" t="n">
        <v>0</v>
      </c>
      <c r="AG111" s="174" t="n">
        <v>0.14</v>
      </c>
      <c r="AH111" s="174" t="n">
        <v>0</v>
      </c>
      <c r="AI111" s="174" t="n">
        <v>0.14</v>
      </c>
      <c r="AJ111" s="174" t="n">
        <v>0</v>
      </c>
      <c r="AK111" s="174" t="n">
        <v>0.04</v>
      </c>
      <c r="AL111" s="174" t="n">
        <v>0.04</v>
      </c>
      <c r="AM111" s="174" t="n">
        <v>-0.055</v>
      </c>
      <c r="AN111" s="174" t="n">
        <v>0.021</v>
      </c>
      <c r="AO111" s="174" t="n">
        <v>-0.5</v>
      </c>
      <c r="AP111" s="174" t="n">
        <v>0.155</v>
      </c>
      <c r="AQ111" s="174" t="n">
        <v>-0.05</v>
      </c>
      <c r="AR111" s="174" t="n">
        <v>0</v>
      </c>
      <c r="AS111" s="174" t="n">
        <v>-0.15</v>
      </c>
      <c r="AT111" s="174" t="n">
        <v>-0.015</v>
      </c>
      <c r="AU111" s="174" t="n">
        <v>-0.11</v>
      </c>
      <c r="AV111" s="174" t="n">
        <v>0.02</v>
      </c>
      <c r="AW111" s="174" t="n">
        <v>-0.05</v>
      </c>
      <c r="AX111" s="174" t="n">
        <v>0.012</v>
      </c>
      <c r="AY111" s="175" t="n">
        <v>0.125</v>
      </c>
      <c r="AZ111" s="175" t="n">
        <v>0</v>
      </c>
      <c r="BA111" s="175" t="n">
        <v>-0.195</v>
      </c>
      <c r="BB111" s="174" t="n">
        <v>0.0025</v>
      </c>
      <c r="BC111" s="174" t="n">
        <v>-0.07</v>
      </c>
      <c r="BD111" s="174" t="n">
        <v>0.005</v>
      </c>
      <c r="BE111" s="174" t="n">
        <v>0.26</v>
      </c>
      <c r="BF111" s="174" t="n">
        <v>0.038</v>
      </c>
      <c r="BG111" s="174" t="n">
        <v>-0.06</v>
      </c>
      <c r="BH111" s="174" t="n">
        <v>0</v>
      </c>
      <c r="BI111" s="174" t="n">
        <v>0</v>
      </c>
      <c r="BJ111" s="136" t="n">
        <v>0.03</v>
      </c>
      <c r="BK111" s="136" t="n">
        <v>0.26</v>
      </c>
      <c r="BL111" s="136" t="n">
        <v>0.038</v>
      </c>
      <c r="BM111" s="136" t="n">
        <v>-0.2</v>
      </c>
      <c r="BN111" s="136" t="n">
        <v>0</v>
      </c>
      <c r="BO111" s="136" t="n">
        <v>-0.39</v>
      </c>
      <c r="BP111" s="136" t="n">
        <v>0</v>
      </c>
      <c r="BQ111" s="136" t="n">
        <v>0.5</v>
      </c>
      <c r="BR111" s="136" t="n">
        <v>0.038</v>
      </c>
      <c r="BS111" s="136" t="n">
        <v>-0.07</v>
      </c>
      <c r="BT111" s="136" t="n">
        <v>0.005</v>
      </c>
      <c r="BU111" s="136" t="n">
        <v>0.3</v>
      </c>
      <c r="BV111" s="136" t="n">
        <v>0</v>
      </c>
      <c r="BW111" s="136" t="n">
        <v>0</v>
      </c>
      <c r="BX111" s="136" t="n">
        <v>0</v>
      </c>
      <c r="BY111" s="136" t="n">
        <v>-0.017</v>
      </c>
      <c r="BZ111" s="136" t="n">
        <v>0.0575</v>
      </c>
      <c r="CA111" s="136" t="n">
        <v>0.15</v>
      </c>
      <c r="CB111" s="136" t="n">
        <v>0.005</v>
      </c>
      <c r="CC111" s="136" t="n">
        <v>-0.017</v>
      </c>
      <c r="CD111" s="136" t="n">
        <v>0.0035</v>
      </c>
      <c r="CE111" s="136" t="n">
        <v>0.0025</v>
      </c>
      <c r="CF111" s="136" t="n">
        <v>0.0025</v>
      </c>
      <c r="CG111" s="136" t="n">
        <v>-0.017</v>
      </c>
      <c r="CH111" s="136" t="n">
        <v>0.0035</v>
      </c>
      <c r="CI111" s="136" t="n">
        <v>-0.0725</v>
      </c>
      <c r="CJ111" s="136" t="n">
        <v>0.0025</v>
      </c>
      <c r="CK111" s="136" t="n">
        <v>0.0775</v>
      </c>
      <c r="CL111" s="136" t="n">
        <v>0.0025</v>
      </c>
      <c r="CM111" s="136" t="n">
        <v>-0.072</v>
      </c>
      <c r="CN111" s="136" t="n">
        <v>0.0075</v>
      </c>
      <c r="CO111" s="136" t="n">
        <v>-0.017</v>
      </c>
      <c r="CP111" s="136" t="n">
        <v>0.005</v>
      </c>
      <c r="CQ111" s="136" t="n">
        <v>0.023</v>
      </c>
      <c r="CR111" s="136" t="n">
        <v>0.0075</v>
      </c>
      <c r="CS111" s="136" t="n">
        <v>0.41</v>
      </c>
      <c r="CT111" s="136" t="n">
        <v>0.01</v>
      </c>
      <c r="CU111" s="136" t="n">
        <v>-0.2</v>
      </c>
      <c r="CV111" s="136" t="n">
        <v>0</v>
      </c>
      <c r="CW111" s="136" t="n">
        <v>0.205</v>
      </c>
      <c r="CX111" s="136" t="n">
        <v>0.0075</v>
      </c>
      <c r="CY111" s="136" t="n">
        <v>-0.65</v>
      </c>
      <c r="CZ111" s="136" t="n">
        <v>0</v>
      </c>
      <c r="DA111" s="136" t="n">
        <v>-0.47</v>
      </c>
      <c r="DB111" s="136" t="n">
        <v>0</v>
      </c>
      <c r="DC111" s="136" t="n">
        <v>1.05</v>
      </c>
      <c r="DE111" s="136" t="n">
        <v>-0.05</v>
      </c>
      <c r="DF111" s="136" t="n">
        <v>0.01</v>
      </c>
      <c r="DG111" s="136" t="n">
        <v>0.0105</v>
      </c>
      <c r="DH111" s="136" t="n">
        <v>0.01</v>
      </c>
      <c r="DI111" s="136" t="n">
        <v>-0.0095</v>
      </c>
      <c r="DJ111" s="136" t="n">
        <v>0.0075</v>
      </c>
      <c r="DK111" s="136" t="n">
        <v>-0.0475</v>
      </c>
      <c r="DL111" s="136" t="n">
        <v>0.005</v>
      </c>
      <c r="DM111" s="136" t="n">
        <v>-0.059</v>
      </c>
      <c r="DN111" s="136" t="n">
        <v>0.0025</v>
      </c>
      <c r="DO111" s="136" t="n">
        <v>-0.0815</v>
      </c>
      <c r="DP111" s="136" t="n">
        <v>0.0025</v>
      </c>
      <c r="DQ111" s="136" t="n">
        <v>-0.0775</v>
      </c>
      <c r="DR111" s="136" t="n">
        <v>-0.005</v>
      </c>
      <c r="DS111" s="136" t="n">
        <v>0.35</v>
      </c>
      <c r="DT111" s="136" t="n">
        <v>-0.005</v>
      </c>
      <c r="DU111" s="136" t="n">
        <v>0</v>
      </c>
      <c r="DV111" s="136" t="n">
        <v>0</v>
      </c>
    </row>
    <row r="112" customFormat="false" ht="12.75" hidden="false" customHeight="false" outlineLevel="0" collapsed="false">
      <c r="D112" s="135" t="n">
        <v>40057</v>
      </c>
      <c r="F112" s="174" t="n">
        <v>3.697</v>
      </c>
      <c r="G112" s="175" t="n">
        <v>0.0590155847763798</v>
      </c>
      <c r="H112" s="174" t="n">
        <v>0.2025</v>
      </c>
      <c r="I112" s="174" t="n">
        <v>0.55</v>
      </c>
      <c r="J112" s="174" t="n">
        <v>0.55</v>
      </c>
      <c r="K112" s="174" t="n">
        <v>0.55</v>
      </c>
      <c r="L112" s="172" t="n">
        <v>0.55</v>
      </c>
      <c r="M112" s="172" t="n">
        <v>0.55</v>
      </c>
      <c r="N112" s="174" t="n">
        <v>0.6</v>
      </c>
      <c r="O112" s="174" t="n">
        <v>0.6</v>
      </c>
      <c r="P112" s="174" t="n">
        <v>0.55</v>
      </c>
      <c r="Q112" s="174" t="n">
        <v>0.5</v>
      </c>
      <c r="R112" s="175" t="n">
        <v>0.55</v>
      </c>
      <c r="S112" s="175" t="n">
        <v>0.6</v>
      </c>
      <c r="T112" s="174" t="n">
        <v>0.55</v>
      </c>
      <c r="U112" s="174" t="n">
        <v>0.6</v>
      </c>
      <c r="V112" s="174" t="n">
        <v>0.65</v>
      </c>
      <c r="W112" s="174" t="n">
        <v>-0.09</v>
      </c>
      <c r="X112" s="174" t="n">
        <v>0</v>
      </c>
      <c r="Y112" s="174" t="n">
        <v>0.04</v>
      </c>
      <c r="Z112" s="174" t="n">
        <v>0.005</v>
      </c>
      <c r="AA112" s="174" t="n">
        <v>0.175</v>
      </c>
      <c r="AB112" s="174" t="n">
        <v>0</v>
      </c>
      <c r="AC112" s="174" t="n">
        <v>0.14</v>
      </c>
      <c r="AD112" s="174" t="n">
        <v>0</v>
      </c>
      <c r="AE112" s="174" t="n">
        <v>0.175</v>
      </c>
      <c r="AF112" s="174" t="n">
        <v>0</v>
      </c>
      <c r="AG112" s="174" t="n">
        <v>0.14</v>
      </c>
      <c r="AH112" s="174" t="n">
        <v>0</v>
      </c>
      <c r="AI112" s="174" t="n">
        <v>0.14</v>
      </c>
      <c r="AJ112" s="174" t="n">
        <v>0</v>
      </c>
      <c r="AK112" s="174" t="n">
        <v>0.04</v>
      </c>
      <c r="AL112" s="174" t="n">
        <v>0.04</v>
      </c>
      <c r="AM112" s="174" t="n">
        <v>-0.055</v>
      </c>
      <c r="AN112" s="174" t="n">
        <v>0.021</v>
      </c>
      <c r="AO112" s="174" t="n">
        <v>-0.5</v>
      </c>
      <c r="AP112" s="174" t="n">
        <v>0.155</v>
      </c>
      <c r="AQ112" s="174" t="n">
        <v>-0.05</v>
      </c>
      <c r="AR112" s="174" t="n">
        <v>0</v>
      </c>
      <c r="AS112" s="174" t="n">
        <v>-0.15</v>
      </c>
      <c r="AT112" s="174" t="n">
        <v>-0.015</v>
      </c>
      <c r="AU112" s="174" t="n">
        <v>-0.11</v>
      </c>
      <c r="AV112" s="174" t="n">
        <v>0.02</v>
      </c>
      <c r="AW112" s="174" t="n">
        <v>-0.05</v>
      </c>
      <c r="AX112" s="174" t="n">
        <v>0.012</v>
      </c>
      <c r="AY112" s="175" t="n">
        <v>0.125</v>
      </c>
      <c r="AZ112" s="175" t="n">
        <v>0</v>
      </c>
      <c r="BA112" s="175" t="n">
        <v>-0.195</v>
      </c>
      <c r="BB112" s="174" t="n">
        <v>0.0025</v>
      </c>
      <c r="BC112" s="174" t="n">
        <v>-0.07</v>
      </c>
      <c r="BD112" s="174" t="n">
        <v>0.005</v>
      </c>
      <c r="BE112" s="174" t="n">
        <v>0.26</v>
      </c>
      <c r="BF112" s="174" t="n">
        <v>0.038</v>
      </c>
      <c r="BG112" s="174" t="n">
        <v>-0.06</v>
      </c>
      <c r="BH112" s="174" t="n">
        <v>0</v>
      </c>
      <c r="BI112" s="174" t="n">
        <v>0</v>
      </c>
      <c r="BJ112" s="136" t="n">
        <v>0.03</v>
      </c>
      <c r="BK112" s="136" t="n">
        <v>0.26</v>
      </c>
      <c r="BL112" s="136" t="n">
        <v>0.038</v>
      </c>
      <c r="BM112" s="136" t="n">
        <v>-0.2</v>
      </c>
      <c r="BN112" s="136" t="n">
        <v>0</v>
      </c>
      <c r="BO112" s="136" t="n">
        <v>-0.39</v>
      </c>
      <c r="BP112" s="136" t="n">
        <v>0</v>
      </c>
      <c r="BQ112" s="136" t="n">
        <v>0.5</v>
      </c>
      <c r="BR112" s="136" t="n">
        <v>0.038</v>
      </c>
      <c r="BS112" s="136" t="n">
        <v>-0.07</v>
      </c>
      <c r="BT112" s="136" t="n">
        <v>0.005</v>
      </c>
      <c r="BU112" s="136" t="n">
        <v>0.3</v>
      </c>
      <c r="BV112" s="136" t="n">
        <v>0</v>
      </c>
      <c r="BW112" s="136" t="n">
        <v>0</v>
      </c>
      <c r="BX112" s="136" t="n">
        <v>0</v>
      </c>
      <c r="BY112" s="136" t="n">
        <v>-0.017</v>
      </c>
      <c r="BZ112" s="136" t="n">
        <v>0.0575</v>
      </c>
      <c r="CA112" s="136" t="n">
        <v>0.125</v>
      </c>
      <c r="CB112" s="136" t="n">
        <v>0.005</v>
      </c>
      <c r="CC112" s="136" t="n">
        <v>-0.017</v>
      </c>
      <c r="CD112" s="136" t="n">
        <v>0.0035</v>
      </c>
      <c r="CE112" s="136" t="n">
        <v>0.0025</v>
      </c>
      <c r="CF112" s="136" t="n">
        <v>0.0025</v>
      </c>
      <c r="CG112" s="136" t="n">
        <v>-0.017</v>
      </c>
      <c r="CH112" s="136" t="n">
        <v>0.0035</v>
      </c>
      <c r="CI112" s="136" t="n">
        <v>-0.0775</v>
      </c>
      <c r="CJ112" s="136" t="n">
        <v>0.0025</v>
      </c>
      <c r="CK112" s="136" t="n">
        <v>0.0775</v>
      </c>
      <c r="CL112" s="136" t="n">
        <v>0.0025</v>
      </c>
      <c r="CM112" s="136" t="n">
        <v>-0.072</v>
      </c>
      <c r="CN112" s="136" t="n">
        <v>0.0075</v>
      </c>
      <c r="CO112" s="136" t="n">
        <v>-0.017</v>
      </c>
      <c r="CP112" s="136" t="n">
        <v>0.005</v>
      </c>
      <c r="CQ112" s="136" t="n">
        <v>0.023</v>
      </c>
      <c r="CR112" s="136" t="n">
        <v>0.0075</v>
      </c>
      <c r="CS112" s="136" t="n">
        <v>0.36</v>
      </c>
      <c r="CT112" s="136" t="n">
        <v>0.01</v>
      </c>
      <c r="CU112" s="136" t="n">
        <v>-0.2</v>
      </c>
      <c r="CV112" s="136" t="n">
        <v>0</v>
      </c>
      <c r="CW112" s="136" t="n">
        <v>0.145</v>
      </c>
      <c r="CX112" s="136" t="n">
        <v>0.0075</v>
      </c>
      <c r="CY112" s="136" t="n">
        <v>-0.65</v>
      </c>
      <c r="CZ112" s="136" t="n">
        <v>0</v>
      </c>
      <c r="DA112" s="136" t="n">
        <v>-0.47</v>
      </c>
      <c r="DB112" s="136" t="n">
        <v>0</v>
      </c>
      <c r="DC112" s="136" t="n">
        <v>0.75</v>
      </c>
      <c r="DE112" s="136" t="n">
        <v>-0.055</v>
      </c>
      <c r="DF112" s="136" t="n">
        <v>0.01</v>
      </c>
      <c r="DG112" s="136" t="n">
        <v>0.0105</v>
      </c>
      <c r="DH112" s="136" t="n">
        <v>0.01</v>
      </c>
      <c r="DI112" s="136" t="n">
        <v>-0.0095</v>
      </c>
      <c r="DJ112" s="136" t="n">
        <v>0.0075</v>
      </c>
      <c r="DK112" s="136" t="n">
        <v>-0.0575</v>
      </c>
      <c r="DL112" s="136" t="n">
        <v>0.005</v>
      </c>
      <c r="DM112" s="136" t="n">
        <v>-0.059</v>
      </c>
      <c r="DN112" s="136" t="n">
        <v>0.0025</v>
      </c>
      <c r="DO112" s="136" t="n">
        <v>-0.0815</v>
      </c>
      <c r="DP112" s="136" t="n">
        <v>0.0025</v>
      </c>
      <c r="DQ112" s="136" t="n">
        <v>-0.0875</v>
      </c>
      <c r="DR112" s="136" t="n">
        <v>-0.005</v>
      </c>
      <c r="DS112" s="136" t="n">
        <v>0.315</v>
      </c>
      <c r="DT112" s="136" t="n">
        <v>-0.005</v>
      </c>
      <c r="DU112" s="136" t="n">
        <v>0</v>
      </c>
      <c r="DV112" s="136" t="n">
        <v>0</v>
      </c>
    </row>
    <row r="113" customFormat="false" ht="12.75" hidden="false" customHeight="false" outlineLevel="0" collapsed="false">
      <c r="D113" s="135" t="n">
        <v>40087</v>
      </c>
      <c r="F113" s="174" t="n">
        <v>3.722</v>
      </c>
      <c r="G113" s="175" t="n">
        <v>0.0591211779595508</v>
      </c>
      <c r="H113" s="174" t="n">
        <v>0.2025</v>
      </c>
      <c r="I113" s="174" t="n">
        <v>0.6</v>
      </c>
      <c r="J113" s="174" t="n">
        <v>0.6</v>
      </c>
      <c r="K113" s="174" t="n">
        <v>0.55</v>
      </c>
      <c r="L113" s="172" t="n">
        <v>0.6</v>
      </c>
      <c r="M113" s="172" t="n">
        <v>0.6</v>
      </c>
      <c r="N113" s="174" t="n">
        <v>0.65</v>
      </c>
      <c r="O113" s="174" t="n">
        <v>0.65</v>
      </c>
      <c r="P113" s="174" t="n">
        <v>0.6</v>
      </c>
      <c r="Q113" s="174" t="n">
        <v>0.5</v>
      </c>
      <c r="R113" s="175" t="n">
        <v>0.6</v>
      </c>
      <c r="S113" s="175" t="n">
        <v>0.65</v>
      </c>
      <c r="T113" s="174" t="n">
        <v>0.6</v>
      </c>
      <c r="U113" s="174" t="n">
        <v>0.65</v>
      </c>
      <c r="V113" s="174" t="n">
        <v>0.7</v>
      </c>
      <c r="W113" s="174" t="n">
        <v>-0.09</v>
      </c>
      <c r="X113" s="174" t="n">
        <v>0</v>
      </c>
      <c r="Y113" s="174" t="n">
        <v>0.04</v>
      </c>
      <c r="Z113" s="174" t="n">
        <v>0.005</v>
      </c>
      <c r="AA113" s="174" t="n">
        <v>0.175</v>
      </c>
      <c r="AB113" s="174" t="n">
        <v>0</v>
      </c>
      <c r="AC113" s="174" t="n">
        <v>0.14</v>
      </c>
      <c r="AD113" s="174" t="n">
        <v>0</v>
      </c>
      <c r="AE113" s="174" t="n">
        <v>0.175</v>
      </c>
      <c r="AF113" s="174" t="n">
        <v>0</v>
      </c>
      <c r="AG113" s="174" t="n">
        <v>0.14</v>
      </c>
      <c r="AH113" s="174" t="n">
        <v>0</v>
      </c>
      <c r="AI113" s="174" t="n">
        <v>0.14</v>
      </c>
      <c r="AJ113" s="174" t="n">
        <v>0</v>
      </c>
      <c r="AK113" s="174" t="n">
        <v>0.04</v>
      </c>
      <c r="AL113" s="174" t="n">
        <v>0.04</v>
      </c>
      <c r="AM113" s="174" t="n">
        <v>-0.055</v>
      </c>
      <c r="AN113" s="174" t="n">
        <v>0.021</v>
      </c>
      <c r="AO113" s="174" t="n">
        <v>-0.5</v>
      </c>
      <c r="AP113" s="174" t="n">
        <v>0.155</v>
      </c>
      <c r="AQ113" s="174" t="n">
        <v>-0.05</v>
      </c>
      <c r="AR113" s="174" t="n">
        <v>0</v>
      </c>
      <c r="AS113" s="174" t="n">
        <v>-0.15</v>
      </c>
      <c r="AT113" s="174" t="n">
        <v>-0.015</v>
      </c>
      <c r="AU113" s="174" t="n">
        <v>-0.11</v>
      </c>
      <c r="AV113" s="174" t="n">
        <v>0.02</v>
      </c>
      <c r="AW113" s="174" t="n">
        <v>-0.05</v>
      </c>
      <c r="AX113" s="174" t="n">
        <v>0.012</v>
      </c>
      <c r="AY113" s="175" t="n">
        <v>0.125</v>
      </c>
      <c r="AZ113" s="175" t="n">
        <v>0</v>
      </c>
      <c r="BA113" s="175" t="n">
        <v>-0.195</v>
      </c>
      <c r="BB113" s="174" t="n">
        <v>0.0025</v>
      </c>
      <c r="BC113" s="174" t="n">
        <v>-0.07</v>
      </c>
      <c r="BD113" s="174" t="n">
        <v>0.005</v>
      </c>
      <c r="BE113" s="174" t="n">
        <v>0.26</v>
      </c>
      <c r="BF113" s="174" t="n">
        <v>0.038</v>
      </c>
      <c r="BG113" s="174" t="n">
        <v>-0.06</v>
      </c>
      <c r="BH113" s="174" t="n">
        <v>0</v>
      </c>
      <c r="BI113" s="174" t="n">
        <v>0</v>
      </c>
      <c r="BJ113" s="136" t="n">
        <v>0.03</v>
      </c>
      <c r="BK113" s="136" t="n">
        <v>0.26</v>
      </c>
      <c r="BL113" s="136" t="n">
        <v>0.038</v>
      </c>
      <c r="BM113" s="136" t="n">
        <v>-0.2</v>
      </c>
      <c r="BN113" s="136" t="n">
        <v>0</v>
      </c>
      <c r="BO113" s="136" t="n">
        <v>-0.39</v>
      </c>
      <c r="BP113" s="136" t="n">
        <v>0</v>
      </c>
      <c r="BQ113" s="136" t="n">
        <v>0.5</v>
      </c>
      <c r="BR113" s="136" t="n">
        <v>0.038</v>
      </c>
      <c r="BS113" s="136" t="n">
        <v>-0.07</v>
      </c>
      <c r="BT113" s="136" t="n">
        <v>0.005</v>
      </c>
      <c r="BU113" s="136" t="n">
        <v>0.3</v>
      </c>
      <c r="BV113" s="136" t="n">
        <v>0</v>
      </c>
      <c r="BW113" s="136" t="n">
        <v>0</v>
      </c>
      <c r="BX113" s="136" t="n">
        <v>0</v>
      </c>
      <c r="BY113" s="136" t="n">
        <v>-0.017</v>
      </c>
      <c r="BZ113" s="136" t="n">
        <v>0.0575</v>
      </c>
      <c r="CA113" s="136" t="n">
        <v>0.145</v>
      </c>
      <c r="CB113" s="136" t="n">
        <v>0.005</v>
      </c>
      <c r="CC113" s="136" t="n">
        <v>-0.017</v>
      </c>
      <c r="CD113" s="136" t="n">
        <v>0.0035</v>
      </c>
      <c r="CE113" s="136" t="n">
        <v>0.0025</v>
      </c>
      <c r="CF113" s="136" t="n">
        <v>0.0025</v>
      </c>
      <c r="CG113" s="136" t="n">
        <v>-0.017</v>
      </c>
      <c r="CH113" s="136" t="n">
        <v>0.0035</v>
      </c>
      <c r="CI113" s="136" t="n">
        <v>-0.08</v>
      </c>
      <c r="CJ113" s="136" t="n">
        <v>0.0025</v>
      </c>
      <c r="CK113" s="136" t="n">
        <v>0.0775</v>
      </c>
      <c r="CL113" s="136" t="n">
        <v>0.0025</v>
      </c>
      <c r="CM113" s="136" t="n">
        <v>-0.072</v>
      </c>
      <c r="CN113" s="136" t="n">
        <v>0.0075</v>
      </c>
      <c r="CO113" s="136" t="n">
        <v>-0.017</v>
      </c>
      <c r="CP113" s="136" t="n">
        <v>0.005</v>
      </c>
      <c r="CQ113" s="136" t="n">
        <v>0.023</v>
      </c>
      <c r="CR113" s="136" t="n">
        <v>0.0075</v>
      </c>
      <c r="CS113" s="136" t="n">
        <v>0.4</v>
      </c>
      <c r="CT113" s="136" t="n">
        <v>0.01</v>
      </c>
      <c r="CU113" s="136" t="n">
        <v>-0.2</v>
      </c>
      <c r="CV113" s="136" t="n">
        <v>0</v>
      </c>
      <c r="CW113" s="136" t="n">
        <v>0.175</v>
      </c>
      <c r="CX113" s="136" t="n">
        <v>0.0075</v>
      </c>
      <c r="CY113" s="136" t="n">
        <v>-0.65</v>
      </c>
      <c r="CZ113" s="136" t="n">
        <v>0</v>
      </c>
      <c r="DA113" s="136" t="n">
        <v>-0.47</v>
      </c>
      <c r="DB113" s="136" t="n">
        <v>0</v>
      </c>
      <c r="DC113" s="136" t="n">
        <v>0.45</v>
      </c>
      <c r="DE113" s="136" t="n">
        <v>-0.055</v>
      </c>
      <c r="DF113" s="136" t="n">
        <v>0.01</v>
      </c>
      <c r="DG113" s="136" t="n">
        <v>0.008</v>
      </c>
      <c r="DH113" s="136" t="n">
        <v>0.01</v>
      </c>
      <c r="DI113" s="136" t="n">
        <v>-0.012</v>
      </c>
      <c r="DJ113" s="136" t="n">
        <v>0.0075</v>
      </c>
      <c r="DK113" s="136" t="n">
        <v>-0.045</v>
      </c>
      <c r="DL113" s="136" t="n">
        <v>0.005</v>
      </c>
      <c r="DM113" s="136" t="n">
        <v>-0.059</v>
      </c>
      <c r="DN113" s="136" t="n">
        <v>0.0025</v>
      </c>
      <c r="DO113" s="136" t="n">
        <v>-0.0815</v>
      </c>
      <c r="DP113" s="136" t="n">
        <v>0.0025</v>
      </c>
      <c r="DQ113" s="136" t="n">
        <v>-0.075</v>
      </c>
      <c r="DR113" s="136" t="n">
        <v>-0.005</v>
      </c>
      <c r="DS113" s="136" t="n">
        <v>0.36</v>
      </c>
      <c r="DT113" s="136" t="n">
        <v>-0.005</v>
      </c>
      <c r="DU113" s="136" t="n">
        <v>0</v>
      </c>
      <c r="DV113" s="136" t="n">
        <v>0</v>
      </c>
    </row>
    <row r="114" customFormat="false" ht="12.75" hidden="false" customHeight="false" outlineLevel="0" collapsed="false">
      <c r="D114" s="135" t="n">
        <v>40118</v>
      </c>
      <c r="F114" s="174" t="n">
        <v>3.874</v>
      </c>
      <c r="G114" s="175" t="n">
        <v>0.0592302909193876</v>
      </c>
      <c r="H114" s="174" t="n">
        <v>0.2025</v>
      </c>
      <c r="I114" s="174" t="n">
        <v>0.8</v>
      </c>
      <c r="J114" s="174" t="n">
        <v>0.85</v>
      </c>
      <c r="K114" s="174" t="n">
        <v>0.8</v>
      </c>
      <c r="L114" s="172" t="n">
        <v>0.8</v>
      </c>
      <c r="M114" s="172" t="n">
        <v>0.9</v>
      </c>
      <c r="N114" s="174" t="n">
        <v>0.95</v>
      </c>
      <c r="O114" s="174" t="n">
        <v>0.85</v>
      </c>
      <c r="P114" s="174" t="n">
        <v>0.8</v>
      </c>
      <c r="Q114" s="174" t="n">
        <v>0.95</v>
      </c>
      <c r="R114" s="175" t="n">
        <v>0.8</v>
      </c>
      <c r="S114" s="175" t="n">
        <v>0.8</v>
      </c>
      <c r="T114" s="174" t="n">
        <v>0.8</v>
      </c>
      <c r="U114" s="174" t="n">
        <v>0.95</v>
      </c>
      <c r="V114" s="174" t="n">
        <v>0.9</v>
      </c>
      <c r="W114" s="174" t="n">
        <v>0</v>
      </c>
      <c r="X114" s="174" t="n">
        <v>0.03</v>
      </c>
      <c r="Y114" s="174" t="n">
        <v>0.13</v>
      </c>
      <c r="Z114" s="174" t="n">
        <v>0.02</v>
      </c>
      <c r="AA114" s="174" t="n">
        <v>0.29</v>
      </c>
      <c r="AB114" s="174" t="n">
        <v>0</v>
      </c>
      <c r="AC114" s="174" t="n">
        <v>0.345</v>
      </c>
      <c r="AD114" s="174" t="n">
        <v>0</v>
      </c>
      <c r="AE114" s="174" t="n">
        <v>0.29</v>
      </c>
      <c r="AF114" s="174" t="n">
        <v>0</v>
      </c>
      <c r="AG114" s="174" t="n">
        <v>0.17</v>
      </c>
      <c r="AH114" s="174" t="n">
        <v>0</v>
      </c>
      <c r="AI114" s="174" t="n">
        <v>0.14816</v>
      </c>
      <c r="AJ114" s="174" t="n">
        <v>0</v>
      </c>
      <c r="AK114" s="174" t="n">
        <v>0.13</v>
      </c>
      <c r="AL114" s="174" t="n">
        <v>0.035</v>
      </c>
      <c r="AM114" s="174" t="n">
        <v>-0.0695</v>
      </c>
      <c r="AN114" s="174" t="n">
        <v>0.016</v>
      </c>
      <c r="AO114" s="174" t="n">
        <v>-0.43</v>
      </c>
      <c r="AP114" s="174" t="n">
        <v>0.155</v>
      </c>
      <c r="AQ114" s="174" t="n">
        <v>-0.0495</v>
      </c>
      <c r="AR114" s="174" t="n">
        <v>0.005</v>
      </c>
      <c r="AS114" s="174" t="n">
        <v>-0.15</v>
      </c>
      <c r="AT114" s="174" t="n">
        <v>-0.005</v>
      </c>
      <c r="AU114" s="174" t="n">
        <v>-0.11</v>
      </c>
      <c r="AV114" s="174" t="n">
        <v>-0.01</v>
      </c>
      <c r="AW114" s="174" t="n">
        <v>-0.0495</v>
      </c>
      <c r="AX114" s="174" t="n">
        <v>0.022</v>
      </c>
      <c r="AY114" s="175" t="n">
        <v>0.155</v>
      </c>
      <c r="AZ114" s="175" t="n">
        <v>0</v>
      </c>
      <c r="BA114" s="175" t="n">
        <v>-0.13</v>
      </c>
      <c r="BB114" s="174" t="n">
        <v>0.005</v>
      </c>
      <c r="BC114" s="174" t="n">
        <v>-0.07</v>
      </c>
      <c r="BD114" s="174" t="n">
        <v>0.005</v>
      </c>
      <c r="BE114" s="174" t="n">
        <v>0.24</v>
      </c>
      <c r="BF114" s="174" t="n">
        <v>0.04</v>
      </c>
      <c r="BG114" s="174" t="n">
        <v>-0.06</v>
      </c>
      <c r="BH114" s="174" t="n">
        <v>0</v>
      </c>
      <c r="BI114" s="174" t="n">
        <v>0</v>
      </c>
      <c r="BJ114" s="136" t="n">
        <v>0.03</v>
      </c>
      <c r="BK114" s="136" t="n">
        <v>0.24</v>
      </c>
      <c r="BL114" s="136" t="n">
        <v>0.04</v>
      </c>
      <c r="BM114" s="136" t="n">
        <v>0.298</v>
      </c>
      <c r="BN114" s="136" t="n">
        <v>0</v>
      </c>
      <c r="BO114" s="136" t="n">
        <v>-0.26</v>
      </c>
      <c r="BP114" s="136" t="n">
        <v>0</v>
      </c>
      <c r="BQ114" s="136" t="n">
        <v>0.5</v>
      </c>
      <c r="BR114" s="136" t="n">
        <v>0.04</v>
      </c>
      <c r="BS114" s="136" t="n">
        <v>-0.07</v>
      </c>
      <c r="BT114" s="136" t="n">
        <v>0.005</v>
      </c>
      <c r="BU114" s="136" t="n">
        <v>0.3</v>
      </c>
      <c r="BV114" s="136" t="n">
        <v>0</v>
      </c>
      <c r="BW114" s="136" t="n">
        <v>0</v>
      </c>
      <c r="BX114" s="136" t="n">
        <v>0</v>
      </c>
      <c r="BY114" s="136" t="n">
        <v>-0.017</v>
      </c>
      <c r="BZ114" s="136" t="n">
        <v>0.0575</v>
      </c>
      <c r="CA114" s="136" t="n">
        <v>0.195</v>
      </c>
      <c r="CB114" s="136" t="n">
        <v>0.005</v>
      </c>
      <c r="CC114" s="136" t="n">
        <v>-0.017</v>
      </c>
      <c r="CD114" s="136" t="n">
        <v>0.0037</v>
      </c>
      <c r="CE114" s="136" t="n">
        <v>0.0025</v>
      </c>
      <c r="CF114" s="136" t="n">
        <v>0.0025</v>
      </c>
      <c r="CG114" s="136" t="n">
        <v>-0.017</v>
      </c>
      <c r="CH114" s="136" t="n">
        <v>0.0037</v>
      </c>
      <c r="CI114" s="136" t="n">
        <v>-0.085</v>
      </c>
      <c r="CJ114" s="136" t="n">
        <v>0.0025</v>
      </c>
      <c r="CK114" s="136" t="n">
        <v>0.075</v>
      </c>
      <c r="CL114" s="136" t="n">
        <v>0.0025</v>
      </c>
      <c r="CM114" s="136" t="n">
        <v>-0.064</v>
      </c>
      <c r="CN114" s="136" t="n">
        <v>0.01</v>
      </c>
      <c r="CO114" s="136" t="n">
        <v>-0.008999999</v>
      </c>
      <c r="CP114" s="136" t="n">
        <v>0.0075</v>
      </c>
      <c r="CQ114" s="136" t="n">
        <v>0.031</v>
      </c>
      <c r="CR114" s="136" t="n">
        <v>0.0125</v>
      </c>
      <c r="CS114" s="136" t="n">
        <v>0.65</v>
      </c>
      <c r="CT114" s="136" t="n">
        <v>0.055</v>
      </c>
      <c r="CU114" s="136" t="n">
        <v>0.298</v>
      </c>
      <c r="CV114" s="136" t="n">
        <v>0</v>
      </c>
      <c r="CW114" s="136" t="n">
        <v>0.21</v>
      </c>
      <c r="CX114" s="136" t="n">
        <v>0.02</v>
      </c>
      <c r="CY114" s="136" t="n">
        <v>-0.52</v>
      </c>
      <c r="CZ114" s="136" t="n">
        <v>0</v>
      </c>
      <c r="DA114" s="136" t="n">
        <v>-0.34</v>
      </c>
      <c r="DB114" s="136" t="n">
        <v>0</v>
      </c>
      <c r="DC114" s="136" t="n">
        <v>0.45</v>
      </c>
      <c r="DE114" s="136" t="n">
        <v>-0.0435</v>
      </c>
      <c r="DF114" s="136" t="n">
        <v>0.0125</v>
      </c>
      <c r="DG114" s="136" t="n">
        <v>0.009</v>
      </c>
      <c r="DH114" s="136" t="n">
        <v>0.0075</v>
      </c>
      <c r="DI114" s="136" t="n">
        <v>-0.0085</v>
      </c>
      <c r="DJ114" s="136" t="n">
        <v>0.0025</v>
      </c>
      <c r="DK114" s="136" t="n">
        <v>-0.05</v>
      </c>
      <c r="DL114" s="136" t="n">
        <v>0.0025</v>
      </c>
      <c r="DM114" s="136" t="n">
        <v>-0.0615</v>
      </c>
      <c r="DN114" s="136" t="n">
        <v>0.0025</v>
      </c>
      <c r="DO114" s="136" t="n">
        <v>-0.084</v>
      </c>
      <c r="DP114" s="136" t="n">
        <v>0.0025</v>
      </c>
      <c r="DQ114" s="136" t="n">
        <v>-0.08</v>
      </c>
      <c r="DR114" s="136" t="n">
        <v>-0.005</v>
      </c>
      <c r="DS114" s="136" t="n">
        <v>0.46</v>
      </c>
      <c r="DT114" s="136" t="n">
        <v>0.05</v>
      </c>
      <c r="DU114" s="136" t="n">
        <v>0</v>
      </c>
      <c r="DV114" s="136" t="n">
        <v>0</v>
      </c>
    </row>
    <row r="115" customFormat="false" ht="12.75" hidden="false" customHeight="false" outlineLevel="0" collapsed="false">
      <c r="D115" s="135" t="n">
        <v>40148</v>
      </c>
      <c r="F115" s="174" t="n">
        <v>4.017</v>
      </c>
      <c r="G115" s="175" t="n">
        <v>0.0593358841100948</v>
      </c>
      <c r="H115" s="174" t="n">
        <v>0.2025</v>
      </c>
      <c r="I115" s="174" t="n">
        <v>1</v>
      </c>
      <c r="J115" s="174" t="n">
        <v>1.05</v>
      </c>
      <c r="K115" s="174" t="n">
        <v>1</v>
      </c>
      <c r="L115" s="172" t="n">
        <v>1</v>
      </c>
      <c r="M115" s="172" t="n">
        <v>1.15</v>
      </c>
      <c r="N115" s="174" t="n">
        <v>1.25</v>
      </c>
      <c r="O115" s="174" t="n">
        <v>1.05</v>
      </c>
      <c r="P115" s="174" t="n">
        <v>1</v>
      </c>
      <c r="Q115" s="174" t="n">
        <v>1.35</v>
      </c>
      <c r="R115" s="175" t="n">
        <v>1</v>
      </c>
      <c r="S115" s="175" t="n">
        <v>1.1</v>
      </c>
      <c r="T115" s="174" t="n">
        <v>1</v>
      </c>
      <c r="U115" s="174" t="n">
        <v>1.25</v>
      </c>
      <c r="V115" s="174" t="n">
        <v>1.1</v>
      </c>
      <c r="W115" s="174" t="n">
        <v>0.005</v>
      </c>
      <c r="X115" s="174" t="n">
        <v>0.03</v>
      </c>
      <c r="Y115" s="174" t="n">
        <v>0.13</v>
      </c>
      <c r="Z115" s="174" t="n">
        <v>0.02</v>
      </c>
      <c r="AA115" s="174" t="n">
        <v>0.29</v>
      </c>
      <c r="AB115" s="174" t="n">
        <v>0</v>
      </c>
      <c r="AC115" s="174" t="n">
        <v>0.345</v>
      </c>
      <c r="AD115" s="174" t="n">
        <v>0</v>
      </c>
      <c r="AE115" s="174" t="n">
        <v>0.29</v>
      </c>
      <c r="AF115" s="174" t="n">
        <v>0</v>
      </c>
      <c r="AG115" s="174" t="n">
        <v>0.17</v>
      </c>
      <c r="AH115" s="174" t="n">
        <v>0</v>
      </c>
      <c r="AI115" s="174" t="n">
        <v>0.15328</v>
      </c>
      <c r="AJ115" s="174" t="n">
        <v>0</v>
      </c>
      <c r="AK115" s="174" t="n">
        <v>0.13</v>
      </c>
      <c r="AL115" s="174" t="n">
        <v>0.035</v>
      </c>
      <c r="AM115" s="174" t="n">
        <v>-0.0695</v>
      </c>
      <c r="AN115" s="174" t="n">
        <v>0.016</v>
      </c>
      <c r="AO115" s="174" t="n">
        <v>-0.43</v>
      </c>
      <c r="AP115" s="174" t="n">
        <v>0.155</v>
      </c>
      <c r="AQ115" s="174" t="n">
        <v>-0.0495</v>
      </c>
      <c r="AR115" s="174" t="n">
        <v>0.005</v>
      </c>
      <c r="AS115" s="174" t="n">
        <v>-0.1525</v>
      </c>
      <c r="AT115" s="174" t="n">
        <v>-0.005</v>
      </c>
      <c r="AU115" s="174" t="n">
        <v>-0.1125</v>
      </c>
      <c r="AV115" s="174" t="n">
        <v>-0.01</v>
      </c>
      <c r="AW115" s="174" t="n">
        <v>-0.0495</v>
      </c>
      <c r="AX115" s="174" t="n">
        <v>0.022</v>
      </c>
      <c r="AY115" s="175" t="n">
        <v>0.155</v>
      </c>
      <c r="AZ115" s="175" t="n">
        <v>0</v>
      </c>
      <c r="BA115" s="175" t="n">
        <v>-0.13</v>
      </c>
      <c r="BB115" s="174" t="n">
        <v>0.005</v>
      </c>
      <c r="BC115" s="174" t="n">
        <v>-0.07</v>
      </c>
      <c r="BD115" s="174" t="n">
        <v>0.005</v>
      </c>
      <c r="BE115" s="174" t="n">
        <v>0.24</v>
      </c>
      <c r="BF115" s="174" t="n">
        <v>0.04</v>
      </c>
      <c r="BG115" s="174" t="n">
        <v>-0.06</v>
      </c>
      <c r="BH115" s="174" t="n">
        <v>0</v>
      </c>
      <c r="BI115" s="174" t="n">
        <v>0</v>
      </c>
      <c r="BJ115" s="136" t="n">
        <v>0.03</v>
      </c>
      <c r="BK115" s="136" t="n">
        <v>0.24</v>
      </c>
      <c r="BL115" s="136" t="n">
        <v>0.04</v>
      </c>
      <c r="BM115" s="136" t="n">
        <v>0.358</v>
      </c>
      <c r="BN115" s="136" t="n">
        <v>0</v>
      </c>
      <c r="BO115" s="136" t="n">
        <v>-0.26</v>
      </c>
      <c r="BP115" s="136" t="n">
        <v>0</v>
      </c>
      <c r="BQ115" s="136" t="n">
        <v>0.5</v>
      </c>
      <c r="BR115" s="136" t="n">
        <v>0.04</v>
      </c>
      <c r="BS115" s="136" t="n">
        <v>-0.07</v>
      </c>
      <c r="BT115" s="136" t="n">
        <v>0.005</v>
      </c>
      <c r="BU115" s="136" t="n">
        <v>0.3</v>
      </c>
      <c r="BV115" s="136" t="n">
        <v>0</v>
      </c>
      <c r="BW115" s="136" t="n">
        <v>0</v>
      </c>
      <c r="BX115" s="136" t="n">
        <v>0</v>
      </c>
      <c r="BY115" s="136" t="n">
        <v>-0.017</v>
      </c>
      <c r="BZ115" s="136" t="n">
        <v>0.0575</v>
      </c>
      <c r="CA115" s="136" t="n">
        <v>0.215</v>
      </c>
      <c r="CB115" s="136" t="n">
        <v>0.005</v>
      </c>
      <c r="CC115" s="136" t="n">
        <v>-0.017</v>
      </c>
      <c r="CD115" s="136" t="n">
        <v>0.0037</v>
      </c>
      <c r="CE115" s="136" t="n">
        <v>0.0025</v>
      </c>
      <c r="CF115" s="136" t="n">
        <v>0.0025</v>
      </c>
      <c r="CG115" s="136" t="n">
        <v>-0.017</v>
      </c>
      <c r="CH115" s="136" t="n">
        <v>0.0037</v>
      </c>
      <c r="CI115" s="136" t="n">
        <v>-0.1125</v>
      </c>
      <c r="CJ115" s="136" t="n">
        <v>0.0025</v>
      </c>
      <c r="CK115" s="136" t="n">
        <v>0.075</v>
      </c>
      <c r="CL115" s="136" t="n">
        <v>0.0025</v>
      </c>
      <c r="CM115" s="136" t="n">
        <v>-0.064</v>
      </c>
      <c r="CN115" s="136" t="n">
        <v>0.01</v>
      </c>
      <c r="CO115" s="136" t="n">
        <v>-0.008999999</v>
      </c>
      <c r="CP115" s="136" t="n">
        <v>0.0075</v>
      </c>
      <c r="CQ115" s="136" t="n">
        <v>0.031</v>
      </c>
      <c r="CR115" s="136" t="n">
        <v>0.0125</v>
      </c>
      <c r="CS115" s="136" t="n">
        <v>0.98</v>
      </c>
      <c r="CT115" s="136" t="n">
        <v>0.25</v>
      </c>
      <c r="CU115" s="136" t="n">
        <v>0.358</v>
      </c>
      <c r="CV115" s="136" t="n">
        <v>0</v>
      </c>
      <c r="CW115" s="136" t="n">
        <v>0.29</v>
      </c>
      <c r="CX115" s="136" t="n">
        <v>0.02</v>
      </c>
      <c r="CY115" s="136" t="n">
        <v>-0.52</v>
      </c>
      <c r="CZ115" s="136" t="n">
        <v>0</v>
      </c>
      <c r="DA115" s="136" t="n">
        <v>-0.34</v>
      </c>
      <c r="DB115" s="136" t="n">
        <v>0</v>
      </c>
      <c r="DC115" s="136" t="n">
        <v>0.4</v>
      </c>
      <c r="DE115" s="136" t="n">
        <v>-0.0435</v>
      </c>
      <c r="DF115" s="136" t="n">
        <v>0.0125</v>
      </c>
      <c r="DG115" s="136" t="n">
        <v>0.009</v>
      </c>
      <c r="DH115" s="136" t="n">
        <v>0.0075</v>
      </c>
      <c r="DI115" s="136" t="n">
        <v>-0.0085</v>
      </c>
      <c r="DJ115" s="136" t="n">
        <v>0.0025</v>
      </c>
      <c r="DK115" s="136" t="n">
        <v>-0.0775</v>
      </c>
      <c r="DL115" s="136" t="n">
        <v>0.0025</v>
      </c>
      <c r="DM115" s="136" t="n">
        <v>-0.0595</v>
      </c>
      <c r="DN115" s="136" t="n">
        <v>0.0025</v>
      </c>
      <c r="DO115" s="136" t="n">
        <v>-0.082</v>
      </c>
      <c r="DP115" s="136" t="n">
        <v>0.0025</v>
      </c>
      <c r="DQ115" s="136" t="n">
        <v>-0.1075</v>
      </c>
      <c r="DR115" s="136" t="n">
        <v>-0.005</v>
      </c>
      <c r="DS115" s="136" t="n">
        <v>0.77</v>
      </c>
      <c r="DT115" s="136" t="n">
        <v>0.05</v>
      </c>
      <c r="DU115" s="136" t="n">
        <v>0</v>
      </c>
      <c r="DV115" s="136" t="n">
        <v>0</v>
      </c>
    </row>
    <row r="116" customFormat="false" ht="12.75" hidden="false" customHeight="false" outlineLevel="0" collapsed="false">
      <c r="D116" s="135" t="n">
        <v>40179</v>
      </c>
      <c r="F116" s="174" t="n">
        <v>4.072</v>
      </c>
      <c r="G116" s="175" t="n">
        <v>0.0594449970777187</v>
      </c>
      <c r="H116" s="174" t="n">
        <v>0.2025</v>
      </c>
      <c r="I116" s="174" t="n">
        <v>1</v>
      </c>
      <c r="J116" s="174" t="n">
        <v>1.05</v>
      </c>
      <c r="K116" s="174" t="n">
        <v>1</v>
      </c>
      <c r="L116" s="172" t="n">
        <v>1</v>
      </c>
      <c r="M116" s="172" t="n">
        <v>1.15</v>
      </c>
      <c r="N116" s="174" t="n">
        <v>1.45</v>
      </c>
      <c r="O116" s="174" t="n">
        <v>1.05</v>
      </c>
      <c r="P116" s="174" t="n">
        <v>1</v>
      </c>
      <c r="Q116" s="174" t="n">
        <v>1.35</v>
      </c>
      <c r="R116" s="175" t="n">
        <v>1</v>
      </c>
      <c r="S116" s="175" t="n">
        <v>1.1</v>
      </c>
      <c r="T116" s="174" t="n">
        <v>1</v>
      </c>
      <c r="U116" s="174" t="n">
        <v>1.45</v>
      </c>
      <c r="V116" s="174" t="n">
        <v>1.1</v>
      </c>
      <c r="W116" s="174" t="n">
        <v>0.025</v>
      </c>
      <c r="X116" s="174" t="n">
        <v>0.03</v>
      </c>
      <c r="Y116" s="174" t="n">
        <v>0.13</v>
      </c>
      <c r="Z116" s="174" t="n">
        <v>0.02</v>
      </c>
      <c r="AA116" s="174" t="n">
        <v>0.29</v>
      </c>
      <c r="AB116" s="174" t="n">
        <v>0</v>
      </c>
      <c r="AC116" s="174" t="n">
        <v>0.345</v>
      </c>
      <c r="AD116" s="174" t="n">
        <v>0</v>
      </c>
      <c r="AE116" s="174" t="n">
        <v>0.29</v>
      </c>
      <c r="AF116" s="174" t="n">
        <v>0</v>
      </c>
      <c r="AG116" s="174" t="n">
        <v>0.17</v>
      </c>
      <c r="AH116" s="174" t="n">
        <v>0</v>
      </c>
      <c r="AI116" s="174" t="n">
        <v>0.15512</v>
      </c>
      <c r="AJ116" s="174" t="n">
        <v>0</v>
      </c>
      <c r="AK116" s="174" t="n">
        <v>0.13</v>
      </c>
      <c r="AL116" s="174" t="n">
        <v>0.035</v>
      </c>
      <c r="AM116" s="174" t="n">
        <v>-0.0695</v>
      </c>
      <c r="AN116" s="174" t="n">
        <v>0.016</v>
      </c>
      <c r="AO116" s="174" t="n">
        <v>-0.43</v>
      </c>
      <c r="AP116" s="174" t="n">
        <v>0.155</v>
      </c>
      <c r="AQ116" s="174" t="n">
        <v>-0.0495</v>
      </c>
      <c r="AR116" s="174" t="n">
        <v>0.005</v>
      </c>
      <c r="AS116" s="174" t="n">
        <v>-0.155</v>
      </c>
      <c r="AT116" s="174" t="n">
        <v>-0.005</v>
      </c>
      <c r="AU116" s="174" t="n">
        <v>-0.115</v>
      </c>
      <c r="AV116" s="174" t="n">
        <v>-0.01</v>
      </c>
      <c r="AW116" s="174" t="n">
        <v>-0.0495</v>
      </c>
      <c r="AX116" s="174" t="n">
        <v>0.022</v>
      </c>
      <c r="AY116" s="175" t="n">
        <v>0.155</v>
      </c>
      <c r="AZ116" s="175" t="n">
        <v>0</v>
      </c>
      <c r="BA116" s="175" t="n">
        <v>-0.13</v>
      </c>
      <c r="BB116" s="174" t="n">
        <v>0.005</v>
      </c>
      <c r="BC116" s="174" t="n">
        <v>-0.07</v>
      </c>
      <c r="BD116" s="174" t="n">
        <v>0.005</v>
      </c>
      <c r="BE116" s="174" t="n">
        <v>0.24</v>
      </c>
      <c r="BF116" s="174" t="n">
        <v>0.04</v>
      </c>
      <c r="BG116" s="174" t="n">
        <v>-0.06</v>
      </c>
      <c r="BH116" s="174" t="n">
        <v>0</v>
      </c>
      <c r="BI116" s="174" t="n">
        <v>0</v>
      </c>
      <c r="BJ116" s="136" t="n">
        <v>0.03</v>
      </c>
      <c r="BK116" s="136" t="n">
        <v>0.24</v>
      </c>
      <c r="BL116" s="136" t="n">
        <v>0.04</v>
      </c>
      <c r="BM116" s="136" t="n">
        <v>0.428</v>
      </c>
      <c r="BN116" s="136" t="n">
        <v>0</v>
      </c>
      <c r="BO116" s="136" t="n">
        <v>-0.26</v>
      </c>
      <c r="BP116" s="136" t="n">
        <v>0</v>
      </c>
      <c r="BQ116" s="136" t="n">
        <v>0.5</v>
      </c>
      <c r="BR116" s="136" t="n">
        <v>0.04</v>
      </c>
      <c r="BS116" s="136" t="n">
        <v>-0.07</v>
      </c>
      <c r="BT116" s="136" t="n">
        <v>0.005</v>
      </c>
      <c r="BU116" s="136" t="n">
        <v>0.3</v>
      </c>
      <c r="BV116" s="136" t="n">
        <v>0</v>
      </c>
      <c r="BW116" s="136" t="n">
        <v>0</v>
      </c>
      <c r="BX116" s="136" t="n">
        <v>0</v>
      </c>
      <c r="BY116" s="136" t="n">
        <v>-0.015</v>
      </c>
      <c r="BZ116" s="136" t="n">
        <v>0.0575</v>
      </c>
      <c r="CA116" s="136" t="n">
        <v>0.235</v>
      </c>
      <c r="CB116" s="136" t="n">
        <v>0.005</v>
      </c>
      <c r="CC116" s="136" t="n">
        <v>-0.015</v>
      </c>
      <c r="CD116" s="136" t="n">
        <v>0.0037</v>
      </c>
      <c r="CE116" s="136" t="n">
        <v>0.0025</v>
      </c>
      <c r="CF116" s="136" t="n">
        <v>0.0025</v>
      </c>
      <c r="CG116" s="136" t="n">
        <v>-0.015</v>
      </c>
      <c r="CH116" s="136" t="n">
        <v>0.0037</v>
      </c>
      <c r="CI116" s="136" t="n">
        <v>-0.1105</v>
      </c>
      <c r="CJ116" s="136" t="n">
        <v>0.0025</v>
      </c>
      <c r="CK116" s="136" t="n">
        <v>0.075</v>
      </c>
      <c r="CL116" s="136" t="n">
        <v>0.0025</v>
      </c>
      <c r="CM116" s="136" t="n">
        <v>-0.064</v>
      </c>
      <c r="CN116" s="136" t="n">
        <v>0.01</v>
      </c>
      <c r="CO116" s="136" t="n">
        <v>-0.008999999</v>
      </c>
      <c r="CP116" s="136" t="n">
        <v>0.0075</v>
      </c>
      <c r="CQ116" s="136" t="n">
        <v>0.031</v>
      </c>
      <c r="CR116" s="136" t="n">
        <v>0.0125</v>
      </c>
      <c r="CS116" s="136" t="n">
        <v>1.6</v>
      </c>
      <c r="CT116" s="136" t="n">
        <v>0.45</v>
      </c>
      <c r="CU116" s="136" t="n">
        <v>0.428</v>
      </c>
      <c r="CV116" s="136" t="n">
        <v>0</v>
      </c>
      <c r="CW116" s="136" t="n">
        <v>0.34</v>
      </c>
      <c r="CX116" s="136" t="n">
        <v>0.02</v>
      </c>
      <c r="CY116" s="136" t="n">
        <v>-0.52</v>
      </c>
      <c r="CZ116" s="136" t="n">
        <v>0</v>
      </c>
      <c r="DA116" s="136" t="n">
        <v>-0.34</v>
      </c>
      <c r="DB116" s="136" t="n">
        <v>0</v>
      </c>
      <c r="DC116" s="136" t="n">
        <v>0.35</v>
      </c>
      <c r="DE116" s="136" t="n">
        <v>-0.0435</v>
      </c>
      <c r="DF116" s="136" t="n">
        <v>0.0125</v>
      </c>
      <c r="DG116" s="136" t="n">
        <v>0.009</v>
      </c>
      <c r="DH116" s="136" t="n">
        <v>0.0075</v>
      </c>
      <c r="DI116" s="136" t="n">
        <v>-0.0085</v>
      </c>
      <c r="DJ116" s="136" t="n">
        <v>0.0025</v>
      </c>
      <c r="DK116" s="136" t="n">
        <v>-0.0925</v>
      </c>
      <c r="DL116" s="136" t="n">
        <v>0.0025</v>
      </c>
      <c r="DM116" s="136" t="n">
        <v>-0.0595</v>
      </c>
      <c r="DN116" s="136" t="n">
        <v>0.0025</v>
      </c>
      <c r="DO116" s="136" t="n">
        <v>-0.082</v>
      </c>
      <c r="DP116" s="136" t="n">
        <v>0.0025</v>
      </c>
      <c r="DQ116" s="136" t="n">
        <v>-0.1225</v>
      </c>
      <c r="DR116" s="136" t="n">
        <v>-0.005</v>
      </c>
      <c r="DS116" s="136" t="n">
        <v>1.04</v>
      </c>
      <c r="DT116" s="136" t="n">
        <v>0.05</v>
      </c>
      <c r="DU116" s="136" t="n">
        <v>0</v>
      </c>
      <c r="DV116" s="136" t="n">
        <v>0</v>
      </c>
    </row>
    <row r="117" customFormat="false" ht="12.75" hidden="false" customHeight="false" outlineLevel="0" collapsed="false">
      <c r="D117" s="135" t="n">
        <v>40210</v>
      </c>
      <c r="F117" s="174" t="n">
        <v>3.987</v>
      </c>
      <c r="G117" s="175" t="n">
        <v>0.0595541100492993</v>
      </c>
      <c r="H117" s="174" t="n">
        <v>0.2</v>
      </c>
      <c r="I117" s="174" t="n">
        <v>1</v>
      </c>
      <c r="J117" s="174" t="n">
        <v>1.05</v>
      </c>
      <c r="K117" s="174" t="n">
        <v>1</v>
      </c>
      <c r="L117" s="172" t="n">
        <v>1</v>
      </c>
      <c r="M117" s="172" t="n">
        <v>1.15</v>
      </c>
      <c r="N117" s="174" t="n">
        <v>1.45</v>
      </c>
      <c r="O117" s="174" t="n">
        <v>1.05</v>
      </c>
      <c r="P117" s="174" t="n">
        <v>1</v>
      </c>
      <c r="Q117" s="174" t="n">
        <v>1.35</v>
      </c>
      <c r="R117" s="175" t="n">
        <v>1</v>
      </c>
      <c r="S117" s="175" t="n">
        <v>1.1</v>
      </c>
      <c r="T117" s="174" t="n">
        <v>1</v>
      </c>
      <c r="U117" s="174" t="n">
        <v>1.45</v>
      </c>
      <c r="V117" s="174" t="n">
        <v>1.1</v>
      </c>
      <c r="W117" s="174" t="n">
        <v>0.02</v>
      </c>
      <c r="X117" s="174" t="n">
        <v>0.03</v>
      </c>
      <c r="Y117" s="174" t="n">
        <v>0.13</v>
      </c>
      <c r="Z117" s="174" t="n">
        <v>0.02</v>
      </c>
      <c r="AA117" s="174" t="n">
        <v>0.29</v>
      </c>
      <c r="AB117" s="174" t="n">
        <v>0</v>
      </c>
      <c r="AC117" s="174" t="n">
        <v>0.345</v>
      </c>
      <c r="AD117" s="174" t="n">
        <v>0</v>
      </c>
      <c r="AE117" s="174" t="n">
        <v>0.29</v>
      </c>
      <c r="AF117" s="174" t="n">
        <v>0</v>
      </c>
      <c r="AG117" s="174" t="n">
        <v>0.17</v>
      </c>
      <c r="AH117" s="174" t="n">
        <v>0</v>
      </c>
      <c r="AI117" s="174" t="n">
        <v>0.15256</v>
      </c>
      <c r="AJ117" s="174" t="n">
        <v>0</v>
      </c>
      <c r="AK117" s="174" t="n">
        <v>0.13</v>
      </c>
      <c r="AL117" s="174" t="n">
        <v>0.035</v>
      </c>
      <c r="AM117" s="174" t="n">
        <v>-0.0695</v>
      </c>
      <c r="AN117" s="174" t="n">
        <v>0.016</v>
      </c>
      <c r="AO117" s="174" t="n">
        <v>-0.43</v>
      </c>
      <c r="AP117" s="174" t="n">
        <v>0.155</v>
      </c>
      <c r="AQ117" s="174" t="n">
        <v>-0.0495</v>
      </c>
      <c r="AR117" s="174" t="n">
        <v>0.005</v>
      </c>
      <c r="AS117" s="174" t="n">
        <v>-0.1475</v>
      </c>
      <c r="AT117" s="174" t="n">
        <v>-0.005</v>
      </c>
      <c r="AU117" s="174" t="n">
        <v>-0.1075</v>
      </c>
      <c r="AV117" s="174" t="n">
        <v>-0.01</v>
      </c>
      <c r="AW117" s="174" t="n">
        <v>-0.0495</v>
      </c>
      <c r="AX117" s="174" t="n">
        <v>0.022</v>
      </c>
      <c r="AY117" s="175" t="n">
        <v>0.155</v>
      </c>
      <c r="AZ117" s="175" t="n">
        <v>0</v>
      </c>
      <c r="BA117" s="175" t="n">
        <v>-0.13</v>
      </c>
      <c r="BB117" s="174" t="n">
        <v>0.005</v>
      </c>
      <c r="BC117" s="174" t="n">
        <v>-0.07</v>
      </c>
      <c r="BD117" s="174" t="n">
        <v>0.005</v>
      </c>
      <c r="BE117" s="174" t="n">
        <v>0.24</v>
      </c>
      <c r="BF117" s="174" t="n">
        <v>0.04</v>
      </c>
      <c r="BG117" s="174" t="n">
        <v>-0.06</v>
      </c>
      <c r="BH117" s="174" t="n">
        <v>0</v>
      </c>
      <c r="BI117" s="174" t="n">
        <v>0</v>
      </c>
      <c r="BJ117" s="136" t="n">
        <v>0.03</v>
      </c>
      <c r="BK117" s="136" t="n">
        <v>0.24</v>
      </c>
      <c r="BL117" s="136" t="n">
        <v>0.04</v>
      </c>
      <c r="BM117" s="136" t="n">
        <v>0.298</v>
      </c>
      <c r="BN117" s="136" t="n">
        <v>0</v>
      </c>
      <c r="BO117" s="136" t="n">
        <v>-0.26</v>
      </c>
      <c r="BP117" s="136" t="n">
        <v>0</v>
      </c>
      <c r="BQ117" s="136" t="n">
        <v>0.5</v>
      </c>
      <c r="BR117" s="136" t="n">
        <v>0.04</v>
      </c>
      <c r="BS117" s="136" t="n">
        <v>-0.07</v>
      </c>
      <c r="BT117" s="136" t="n">
        <v>0.005</v>
      </c>
      <c r="BU117" s="136" t="n">
        <v>0.3</v>
      </c>
      <c r="BV117" s="136" t="n">
        <v>0</v>
      </c>
      <c r="BW117" s="136" t="n">
        <v>0</v>
      </c>
      <c r="BX117" s="136" t="n">
        <v>0</v>
      </c>
      <c r="BY117" s="136" t="n">
        <v>-0.015</v>
      </c>
      <c r="BZ117" s="136" t="n">
        <v>0.0575</v>
      </c>
      <c r="CA117" s="136" t="n">
        <v>0.235</v>
      </c>
      <c r="CB117" s="136" t="n">
        <v>0.005</v>
      </c>
      <c r="CC117" s="136" t="n">
        <v>-0.015</v>
      </c>
      <c r="CD117" s="136" t="n">
        <v>0.0037</v>
      </c>
      <c r="CE117" s="136" t="n">
        <v>0.0025</v>
      </c>
      <c r="CF117" s="136" t="n">
        <v>0.0025</v>
      </c>
      <c r="CG117" s="136" t="n">
        <v>-0.015</v>
      </c>
      <c r="CH117" s="136" t="n">
        <v>0.0037</v>
      </c>
      <c r="CI117" s="136" t="n">
        <v>-0.1105</v>
      </c>
      <c r="CJ117" s="136" t="n">
        <v>0.0025</v>
      </c>
      <c r="CK117" s="136" t="n">
        <v>0.075</v>
      </c>
      <c r="CL117" s="136" t="n">
        <v>0.0025</v>
      </c>
      <c r="CM117" s="136" t="n">
        <v>-0.064</v>
      </c>
      <c r="CN117" s="136" t="n">
        <v>0.01</v>
      </c>
      <c r="CO117" s="136" t="n">
        <v>-0.008999999</v>
      </c>
      <c r="CP117" s="136" t="n">
        <v>0.0075</v>
      </c>
      <c r="CQ117" s="136" t="n">
        <v>0.031</v>
      </c>
      <c r="CR117" s="136" t="n">
        <v>0.0125</v>
      </c>
      <c r="CS117" s="136" t="n">
        <v>1.6</v>
      </c>
      <c r="CT117" s="136" t="n">
        <v>0.45</v>
      </c>
      <c r="CU117" s="136" t="n">
        <v>0.298</v>
      </c>
      <c r="CV117" s="136" t="n">
        <v>0</v>
      </c>
      <c r="CW117" s="136" t="n">
        <v>0.34</v>
      </c>
      <c r="CX117" s="136" t="n">
        <v>0.02</v>
      </c>
      <c r="CY117" s="136" t="n">
        <v>-0.52</v>
      </c>
      <c r="CZ117" s="136" t="n">
        <v>0</v>
      </c>
      <c r="DA117" s="136" t="n">
        <v>-0.34</v>
      </c>
      <c r="DB117" s="136" t="n">
        <v>0</v>
      </c>
      <c r="DC117" s="136" t="n">
        <v>0.35</v>
      </c>
      <c r="DE117" s="136" t="n">
        <v>-0.0435</v>
      </c>
      <c r="DF117" s="136" t="n">
        <v>0.0125</v>
      </c>
      <c r="DG117" s="136" t="n">
        <v>0.009</v>
      </c>
      <c r="DH117" s="136" t="n">
        <v>0.0075</v>
      </c>
      <c r="DI117" s="136" t="n">
        <v>-0.0085</v>
      </c>
      <c r="DJ117" s="136" t="n">
        <v>0.0025</v>
      </c>
      <c r="DK117" s="136" t="n">
        <v>-0.0825</v>
      </c>
      <c r="DL117" s="136" t="n">
        <v>0.0025</v>
      </c>
      <c r="DM117" s="136" t="n">
        <v>-0.0595</v>
      </c>
      <c r="DN117" s="136" t="n">
        <v>0.0025</v>
      </c>
      <c r="DO117" s="136" t="n">
        <v>-0.082</v>
      </c>
      <c r="DP117" s="136" t="n">
        <v>0.0025</v>
      </c>
      <c r="DQ117" s="136" t="n">
        <v>-0.1125</v>
      </c>
      <c r="DR117" s="136" t="n">
        <v>-0.005</v>
      </c>
      <c r="DS117" s="136" t="n">
        <v>1.04</v>
      </c>
      <c r="DT117" s="136" t="n">
        <v>0.05</v>
      </c>
      <c r="DU117" s="136" t="n">
        <v>0</v>
      </c>
      <c r="DV117" s="136" t="n">
        <v>0</v>
      </c>
    </row>
    <row r="118" customFormat="false" ht="12.75" hidden="false" customHeight="false" outlineLevel="0" collapsed="false">
      <c r="D118" s="135" t="n">
        <v>40238</v>
      </c>
      <c r="F118" s="174" t="n">
        <v>3.857</v>
      </c>
      <c r="G118" s="175" t="n">
        <v>0.0596526637044499</v>
      </c>
      <c r="H118" s="174" t="n">
        <v>0.195</v>
      </c>
      <c r="I118" s="174" t="n">
        <v>0.75</v>
      </c>
      <c r="J118" s="174" t="n">
        <v>0.8</v>
      </c>
      <c r="K118" s="174" t="n">
        <v>0.75</v>
      </c>
      <c r="L118" s="172" t="n">
        <v>0.75</v>
      </c>
      <c r="M118" s="172" t="n">
        <v>0.85</v>
      </c>
      <c r="N118" s="174" t="n">
        <v>1</v>
      </c>
      <c r="O118" s="174" t="n">
        <v>0.75</v>
      </c>
      <c r="P118" s="174" t="n">
        <v>0.75</v>
      </c>
      <c r="Q118" s="174" t="n">
        <v>0.95</v>
      </c>
      <c r="R118" s="175" t="n">
        <v>0.75</v>
      </c>
      <c r="S118" s="175" t="n">
        <v>0.75</v>
      </c>
      <c r="T118" s="174" t="n">
        <v>0.75</v>
      </c>
      <c r="U118" s="174" t="n">
        <v>1</v>
      </c>
      <c r="V118" s="174" t="n">
        <v>0.85</v>
      </c>
      <c r="W118" s="174" t="n">
        <v>0</v>
      </c>
      <c r="X118" s="174" t="n">
        <v>0.03</v>
      </c>
      <c r="Y118" s="174" t="n">
        <v>0.13</v>
      </c>
      <c r="Z118" s="174" t="n">
        <v>0.02</v>
      </c>
      <c r="AA118" s="174" t="n">
        <v>0.29</v>
      </c>
      <c r="AB118" s="174" t="n">
        <v>0</v>
      </c>
      <c r="AC118" s="174" t="n">
        <v>0.345</v>
      </c>
      <c r="AD118" s="174" t="n">
        <v>0</v>
      </c>
      <c r="AE118" s="174" t="n">
        <v>0.29</v>
      </c>
      <c r="AF118" s="174" t="n">
        <v>0</v>
      </c>
      <c r="AG118" s="174" t="n">
        <v>0.17</v>
      </c>
      <c r="AH118" s="174" t="n">
        <v>0</v>
      </c>
      <c r="AI118" s="174" t="n">
        <v>0.1484</v>
      </c>
      <c r="AJ118" s="174" t="n">
        <v>0</v>
      </c>
      <c r="AK118" s="174" t="n">
        <v>0.13</v>
      </c>
      <c r="AL118" s="174" t="n">
        <v>0.035</v>
      </c>
      <c r="AM118" s="174" t="n">
        <v>-0.0695</v>
      </c>
      <c r="AN118" s="174" t="n">
        <v>0.016</v>
      </c>
      <c r="AO118" s="174" t="n">
        <v>-0.43</v>
      </c>
      <c r="AP118" s="174" t="n">
        <v>0.155</v>
      </c>
      <c r="AQ118" s="174" t="n">
        <v>-0.0495</v>
      </c>
      <c r="AR118" s="174" t="n">
        <v>0.005</v>
      </c>
      <c r="AS118" s="174" t="n">
        <v>-0.145</v>
      </c>
      <c r="AT118" s="174" t="n">
        <v>-0.005</v>
      </c>
      <c r="AU118" s="174" t="n">
        <v>-0.105</v>
      </c>
      <c r="AV118" s="174" t="n">
        <v>-0.01</v>
      </c>
      <c r="AW118" s="174" t="n">
        <v>-0.0495</v>
      </c>
      <c r="AX118" s="174" t="n">
        <v>0.022</v>
      </c>
      <c r="AY118" s="175" t="n">
        <v>0.155</v>
      </c>
      <c r="AZ118" s="175" t="n">
        <v>0</v>
      </c>
      <c r="BA118" s="175" t="n">
        <v>-0.13</v>
      </c>
      <c r="BB118" s="174" t="n">
        <v>0.005</v>
      </c>
      <c r="BC118" s="174" t="n">
        <v>-0.07</v>
      </c>
      <c r="BD118" s="174" t="n">
        <v>0.005</v>
      </c>
      <c r="BE118" s="174" t="n">
        <v>0.24</v>
      </c>
      <c r="BF118" s="174" t="n">
        <v>0.04</v>
      </c>
      <c r="BG118" s="174" t="n">
        <v>-0.06</v>
      </c>
      <c r="BH118" s="174" t="n">
        <v>0</v>
      </c>
      <c r="BI118" s="174" t="n">
        <v>0</v>
      </c>
      <c r="BJ118" s="136" t="n">
        <v>0.03</v>
      </c>
      <c r="BK118" s="136" t="n">
        <v>0.24</v>
      </c>
      <c r="BL118" s="136" t="n">
        <v>0.04</v>
      </c>
      <c r="BM118" s="136" t="n">
        <v>0.118</v>
      </c>
      <c r="BN118" s="136" t="n">
        <v>0</v>
      </c>
      <c r="BO118" s="136" t="n">
        <v>-0.26</v>
      </c>
      <c r="BP118" s="136" t="n">
        <v>0</v>
      </c>
      <c r="BQ118" s="136" t="n">
        <v>0.5</v>
      </c>
      <c r="BR118" s="136" t="n">
        <v>0.04</v>
      </c>
      <c r="BS118" s="136" t="n">
        <v>-0.07</v>
      </c>
      <c r="BT118" s="136" t="n">
        <v>0.005</v>
      </c>
      <c r="BU118" s="136" t="n">
        <v>0.3</v>
      </c>
      <c r="BV118" s="136" t="n">
        <v>0</v>
      </c>
      <c r="BW118" s="136" t="n">
        <v>0</v>
      </c>
      <c r="BX118" s="136" t="n">
        <v>0</v>
      </c>
      <c r="BY118" s="136" t="n">
        <v>-0.015</v>
      </c>
      <c r="BZ118" s="136" t="n">
        <v>0.0575</v>
      </c>
      <c r="CA118" s="136" t="n">
        <v>0.195</v>
      </c>
      <c r="CB118" s="136" t="n">
        <v>0.005</v>
      </c>
      <c r="CC118" s="136" t="n">
        <v>-0.015</v>
      </c>
      <c r="CD118" s="136" t="n">
        <v>0.0037</v>
      </c>
      <c r="CE118" s="136" t="n">
        <v>0.0025</v>
      </c>
      <c r="CF118" s="136" t="n">
        <v>0.0025</v>
      </c>
      <c r="CG118" s="136" t="n">
        <v>-0.015</v>
      </c>
      <c r="CH118" s="136" t="n">
        <v>0.0037</v>
      </c>
      <c r="CI118" s="136" t="n">
        <v>-0.1105</v>
      </c>
      <c r="CJ118" s="136" t="n">
        <v>0.0025</v>
      </c>
      <c r="CK118" s="136" t="n">
        <v>0.075</v>
      </c>
      <c r="CL118" s="136" t="n">
        <v>0.0025</v>
      </c>
      <c r="CM118" s="136" t="n">
        <v>-0.064</v>
      </c>
      <c r="CN118" s="136" t="n">
        <v>0.01</v>
      </c>
      <c r="CO118" s="136" t="n">
        <v>-0.008999999</v>
      </c>
      <c r="CP118" s="136" t="n">
        <v>0.0075</v>
      </c>
      <c r="CQ118" s="136" t="n">
        <v>0.031</v>
      </c>
      <c r="CR118" s="136" t="n">
        <v>0.0125</v>
      </c>
      <c r="CS118" s="136" t="n">
        <v>0.64</v>
      </c>
      <c r="CT118" s="136" t="n">
        <v>0.1</v>
      </c>
      <c r="CU118" s="136" t="n">
        <v>0.118</v>
      </c>
      <c r="CV118" s="136" t="n">
        <v>0</v>
      </c>
      <c r="CW118" s="136" t="n">
        <v>0.29</v>
      </c>
      <c r="CX118" s="136" t="n">
        <v>0.02</v>
      </c>
      <c r="CY118" s="136" t="n">
        <v>-0.52</v>
      </c>
      <c r="CZ118" s="136" t="n">
        <v>0</v>
      </c>
      <c r="DA118" s="136" t="n">
        <v>-0.34</v>
      </c>
      <c r="DB118" s="136" t="n">
        <v>0</v>
      </c>
      <c r="DC118" s="136" t="n">
        <v>0.4</v>
      </c>
      <c r="DE118" s="136" t="n">
        <v>-0.0435</v>
      </c>
      <c r="DF118" s="136" t="n">
        <v>0.0125</v>
      </c>
      <c r="DG118" s="136" t="n">
        <v>0.014</v>
      </c>
      <c r="DH118" s="136" t="n">
        <v>0.0075</v>
      </c>
      <c r="DI118" s="136" t="n">
        <v>-0.0035</v>
      </c>
      <c r="DJ118" s="136" t="n">
        <v>0.0025</v>
      </c>
      <c r="DK118" s="136" t="n">
        <v>-0.0725</v>
      </c>
      <c r="DL118" s="136" t="n">
        <v>0.0025</v>
      </c>
      <c r="DM118" s="136" t="n">
        <v>-0.0595</v>
      </c>
      <c r="DN118" s="136" t="n">
        <v>0.0025</v>
      </c>
      <c r="DO118" s="136" t="n">
        <v>-0.082</v>
      </c>
      <c r="DP118" s="136" t="n">
        <v>0.0025</v>
      </c>
      <c r="DQ118" s="136" t="n">
        <v>-0.1025</v>
      </c>
      <c r="DR118" s="136" t="n">
        <v>-0.005</v>
      </c>
      <c r="DS118" s="136" t="n">
        <v>0.54</v>
      </c>
      <c r="DT118" s="136" t="n">
        <v>0.05</v>
      </c>
      <c r="DU118" s="136" t="n">
        <v>0</v>
      </c>
      <c r="DV118" s="136" t="n">
        <v>0</v>
      </c>
    </row>
    <row r="119" customFormat="false" ht="12.75" hidden="false" customHeight="false" outlineLevel="0" collapsed="false">
      <c r="D119" s="135" t="n">
        <v>40269</v>
      </c>
      <c r="F119" s="174" t="n">
        <v>3.672</v>
      </c>
      <c r="G119" s="175" t="n">
        <v>0.059761776683561</v>
      </c>
      <c r="H119" s="174" t="n">
        <v>0.19</v>
      </c>
      <c r="I119" s="174" t="n">
        <v>0.4</v>
      </c>
      <c r="J119" s="174" t="n">
        <v>0.45</v>
      </c>
      <c r="K119" s="174" t="n">
        <v>0.4</v>
      </c>
      <c r="L119" s="172" t="n">
        <v>0.45</v>
      </c>
      <c r="M119" s="172" t="n">
        <v>0.45</v>
      </c>
      <c r="N119" s="174" t="n">
        <v>0.45</v>
      </c>
      <c r="O119" s="174" t="n">
        <v>0.45</v>
      </c>
      <c r="P119" s="174" t="n">
        <v>0.45</v>
      </c>
      <c r="Q119" s="174" t="n">
        <v>0.5</v>
      </c>
      <c r="R119" s="175" t="n">
        <v>0.4</v>
      </c>
      <c r="S119" s="175" t="n">
        <v>0.45</v>
      </c>
      <c r="T119" s="174" t="n">
        <v>0.4</v>
      </c>
      <c r="U119" s="174" t="n">
        <v>0.45</v>
      </c>
      <c r="V119" s="174" t="n">
        <v>0.55</v>
      </c>
      <c r="W119" s="174" t="n">
        <v>-0.09</v>
      </c>
      <c r="X119" s="174" t="n">
        <v>0</v>
      </c>
      <c r="Y119" s="174" t="n">
        <v>0.04</v>
      </c>
      <c r="Z119" s="174" t="n">
        <v>0.005</v>
      </c>
      <c r="AA119" s="174" t="n">
        <v>0.175</v>
      </c>
      <c r="AB119" s="174" t="n">
        <v>0</v>
      </c>
      <c r="AC119" s="174" t="n">
        <v>0.14</v>
      </c>
      <c r="AD119" s="174" t="n">
        <v>0</v>
      </c>
      <c r="AE119" s="174" t="n">
        <v>0.175</v>
      </c>
      <c r="AF119" s="174" t="n">
        <v>0</v>
      </c>
      <c r="AG119" s="174" t="n">
        <v>0.14</v>
      </c>
      <c r="AH119" s="174" t="n">
        <v>0</v>
      </c>
      <c r="AI119" s="174" t="n">
        <v>0.14</v>
      </c>
      <c r="AJ119" s="174" t="n">
        <v>0</v>
      </c>
      <c r="AK119" s="174" t="n">
        <v>0.04</v>
      </c>
      <c r="AL119" s="174" t="n">
        <v>0.04</v>
      </c>
      <c r="AM119" s="174" t="n">
        <v>-0.052</v>
      </c>
      <c r="AN119" s="174" t="n">
        <v>0.023</v>
      </c>
      <c r="AO119" s="174" t="n">
        <v>-0.55</v>
      </c>
      <c r="AP119" s="174" t="n">
        <v>0.155</v>
      </c>
      <c r="AQ119" s="174" t="n">
        <v>-0.047</v>
      </c>
      <c r="AR119" s="174" t="n">
        <v>0</v>
      </c>
      <c r="AS119" s="174" t="n">
        <v>-0.15</v>
      </c>
      <c r="AT119" s="174" t="n">
        <v>-0.015</v>
      </c>
      <c r="AU119" s="174" t="n">
        <v>-0.11</v>
      </c>
      <c r="AV119" s="174" t="n">
        <v>0.02</v>
      </c>
      <c r="AW119" s="174" t="n">
        <v>-0.047</v>
      </c>
      <c r="AX119" s="174" t="n">
        <v>0.014</v>
      </c>
      <c r="AY119" s="175" t="n">
        <v>0.125</v>
      </c>
      <c r="AZ119" s="175" t="n">
        <v>0</v>
      </c>
      <c r="BA119" s="175" t="n">
        <v>-0.195</v>
      </c>
      <c r="BB119" s="174" t="n">
        <v>0.0025</v>
      </c>
      <c r="BC119" s="174" t="n">
        <v>-0.07</v>
      </c>
      <c r="BD119" s="174" t="n">
        <v>0.005</v>
      </c>
      <c r="BE119" s="174" t="n">
        <v>0.26</v>
      </c>
      <c r="BF119" s="174" t="n">
        <v>0.04</v>
      </c>
      <c r="BG119" s="174" t="n">
        <v>-0.06</v>
      </c>
      <c r="BH119" s="174" t="n">
        <v>0</v>
      </c>
      <c r="BI119" s="174" t="n">
        <v>0</v>
      </c>
      <c r="BJ119" s="136" t="n">
        <v>0.03</v>
      </c>
      <c r="BK119" s="136" t="n">
        <v>0.26</v>
      </c>
      <c r="BL119" s="136" t="n">
        <v>0.04</v>
      </c>
      <c r="BM119" s="136" t="n">
        <v>-0.2</v>
      </c>
      <c r="BN119" s="136" t="n">
        <v>0</v>
      </c>
      <c r="BO119" s="136" t="n">
        <v>-0.37</v>
      </c>
      <c r="BP119" s="136" t="n">
        <v>0</v>
      </c>
      <c r="BQ119" s="136" t="n">
        <v>0.5</v>
      </c>
      <c r="BR119" s="136" t="n">
        <v>0.04</v>
      </c>
      <c r="BS119" s="136" t="n">
        <v>-0.07</v>
      </c>
      <c r="BT119" s="136" t="n">
        <v>0.005</v>
      </c>
      <c r="BU119" s="136" t="n">
        <v>0.3</v>
      </c>
      <c r="BV119" s="136" t="n">
        <v>0</v>
      </c>
      <c r="BW119" s="136" t="n">
        <v>0</v>
      </c>
      <c r="BX119" s="136" t="n">
        <v>0</v>
      </c>
      <c r="BY119" s="136" t="n">
        <v>-0.015</v>
      </c>
      <c r="BZ119" s="136" t="n">
        <v>0.0575</v>
      </c>
      <c r="CA119" s="136" t="n">
        <v>0.145</v>
      </c>
      <c r="CB119" s="136" t="n">
        <v>0.005</v>
      </c>
      <c r="CC119" s="136" t="n">
        <v>-0.015</v>
      </c>
      <c r="CD119" s="136" t="n">
        <v>0.0035</v>
      </c>
      <c r="CE119" s="136" t="n">
        <v>0.0025</v>
      </c>
      <c r="CF119" s="136" t="n">
        <v>0.0025</v>
      </c>
      <c r="CG119" s="136" t="n">
        <v>-0.015</v>
      </c>
      <c r="CH119" s="136" t="n">
        <v>0.0035</v>
      </c>
      <c r="CI119" s="136" t="n">
        <v>-0.1305</v>
      </c>
      <c r="CJ119" s="136" t="n">
        <v>0.0025</v>
      </c>
      <c r="CK119" s="136" t="n">
        <v>0.0775</v>
      </c>
      <c r="CL119" s="136" t="n">
        <v>0.0025</v>
      </c>
      <c r="CM119" s="136" t="n">
        <v>-0.072</v>
      </c>
      <c r="CN119" s="136" t="n">
        <v>0.0075</v>
      </c>
      <c r="CO119" s="136" t="n">
        <v>-0.017</v>
      </c>
      <c r="CP119" s="136" t="n">
        <v>0.005</v>
      </c>
      <c r="CQ119" s="136" t="n">
        <v>0.023</v>
      </c>
      <c r="CR119" s="136" t="n">
        <v>0.0075</v>
      </c>
      <c r="CS119" s="136" t="n">
        <v>0.38</v>
      </c>
      <c r="CT119" s="136" t="n">
        <v>0.02</v>
      </c>
      <c r="CU119" s="136" t="n">
        <v>-0.2</v>
      </c>
      <c r="CV119" s="136" t="n">
        <v>0</v>
      </c>
      <c r="CW119" s="136" t="n">
        <v>0.195</v>
      </c>
      <c r="CX119" s="136" t="n">
        <v>0.0075</v>
      </c>
      <c r="CY119" s="136" t="n">
        <v>-0.63</v>
      </c>
      <c r="CZ119" s="136" t="n">
        <v>0</v>
      </c>
      <c r="DA119" s="136" t="n">
        <v>-0.45</v>
      </c>
      <c r="DB119" s="136" t="n">
        <v>0</v>
      </c>
      <c r="DC119" s="136" t="n">
        <v>0.6</v>
      </c>
      <c r="DE119" s="136" t="n">
        <v>-0.051</v>
      </c>
      <c r="DF119" s="136" t="n">
        <v>0.01</v>
      </c>
      <c r="DG119" s="136" t="n">
        <v>0.014</v>
      </c>
      <c r="DH119" s="136" t="n">
        <v>0.01</v>
      </c>
      <c r="DI119" s="136" t="n">
        <v>-0.0035</v>
      </c>
      <c r="DJ119" s="136" t="n">
        <v>0.0075</v>
      </c>
      <c r="DK119" s="136" t="n">
        <v>-0.1155</v>
      </c>
      <c r="DL119" s="136" t="n">
        <v>0.005</v>
      </c>
      <c r="DM119" s="136" t="n">
        <v>-0.057</v>
      </c>
      <c r="DN119" s="136" t="n">
        <v>0.0025</v>
      </c>
      <c r="DO119" s="136" t="n">
        <v>-0.0795</v>
      </c>
      <c r="DP119" s="136" t="n">
        <v>0.0025</v>
      </c>
      <c r="DQ119" s="136" t="n">
        <v>-0.1455</v>
      </c>
      <c r="DR119" s="136" t="n">
        <v>-0.005</v>
      </c>
      <c r="DS119" s="136" t="n">
        <v>0.36</v>
      </c>
      <c r="DT119" s="136" t="n">
        <v>0.005</v>
      </c>
      <c r="DU119" s="136" t="n">
        <v>0</v>
      </c>
      <c r="DV119" s="136" t="n">
        <v>0</v>
      </c>
    </row>
    <row r="120" customFormat="false" ht="12.75" hidden="false" customHeight="false" outlineLevel="0" collapsed="false">
      <c r="D120" s="135" t="n">
        <v>40299</v>
      </c>
      <c r="F120" s="174" t="n">
        <v>3.667</v>
      </c>
      <c r="G120" s="175" t="n">
        <v>0.0598673698929186</v>
      </c>
      <c r="H120" s="174" t="n">
        <v>0.185</v>
      </c>
      <c r="I120" s="174" t="n">
        <v>0.45</v>
      </c>
      <c r="J120" s="174" t="n">
        <v>0.5</v>
      </c>
      <c r="K120" s="174" t="n">
        <v>0.4</v>
      </c>
      <c r="L120" s="172" t="n">
        <v>0.4</v>
      </c>
      <c r="M120" s="172" t="n">
        <v>0.45</v>
      </c>
      <c r="N120" s="174" t="n">
        <v>0.5</v>
      </c>
      <c r="O120" s="174" t="n">
        <v>0.45</v>
      </c>
      <c r="P120" s="174" t="n">
        <v>0.4</v>
      </c>
      <c r="Q120" s="174" t="n">
        <v>0.45</v>
      </c>
      <c r="R120" s="175" t="n">
        <v>0.45</v>
      </c>
      <c r="S120" s="175" t="n">
        <v>0.5</v>
      </c>
      <c r="T120" s="174" t="n">
        <v>0.45</v>
      </c>
      <c r="U120" s="174" t="n">
        <v>0.5</v>
      </c>
      <c r="V120" s="174" t="n">
        <v>0.5</v>
      </c>
      <c r="W120" s="174" t="n">
        <v>-0.09</v>
      </c>
      <c r="X120" s="174" t="n">
        <v>0</v>
      </c>
      <c r="Y120" s="174" t="n">
        <v>0.04</v>
      </c>
      <c r="Z120" s="174" t="n">
        <v>0.005</v>
      </c>
      <c r="AA120" s="174" t="n">
        <v>0.175</v>
      </c>
      <c r="AB120" s="174" t="n">
        <v>0</v>
      </c>
      <c r="AC120" s="174" t="n">
        <v>0.14</v>
      </c>
      <c r="AD120" s="174" t="n">
        <v>0</v>
      </c>
      <c r="AE120" s="174" t="n">
        <v>0.175</v>
      </c>
      <c r="AF120" s="174" t="n">
        <v>0</v>
      </c>
      <c r="AG120" s="174" t="n">
        <v>0.14</v>
      </c>
      <c r="AH120" s="174" t="n">
        <v>0</v>
      </c>
      <c r="AI120" s="174" t="n">
        <v>0.14</v>
      </c>
      <c r="AJ120" s="174" t="n">
        <v>0</v>
      </c>
      <c r="AK120" s="174" t="n">
        <v>0.04</v>
      </c>
      <c r="AL120" s="174" t="n">
        <v>0.04</v>
      </c>
      <c r="AM120" s="174" t="n">
        <v>-0.052</v>
      </c>
      <c r="AN120" s="174" t="n">
        <v>0.023</v>
      </c>
      <c r="AO120" s="174" t="n">
        <v>-0.55</v>
      </c>
      <c r="AP120" s="174" t="n">
        <v>0.155</v>
      </c>
      <c r="AQ120" s="174" t="n">
        <v>-0.047</v>
      </c>
      <c r="AR120" s="174" t="n">
        <v>0</v>
      </c>
      <c r="AS120" s="174" t="n">
        <v>-0.15</v>
      </c>
      <c r="AT120" s="174" t="n">
        <v>-0.015</v>
      </c>
      <c r="AU120" s="174" t="n">
        <v>-0.11</v>
      </c>
      <c r="AV120" s="174" t="n">
        <v>0.02</v>
      </c>
      <c r="AW120" s="174" t="n">
        <v>-0.047</v>
      </c>
      <c r="AX120" s="174" t="n">
        <v>0.014</v>
      </c>
      <c r="AY120" s="175" t="n">
        <v>0.125</v>
      </c>
      <c r="AZ120" s="175" t="n">
        <v>0</v>
      </c>
      <c r="BA120" s="175" t="n">
        <v>-0.195</v>
      </c>
      <c r="BB120" s="174" t="n">
        <v>0.0025</v>
      </c>
      <c r="BC120" s="174" t="n">
        <v>-0.07</v>
      </c>
      <c r="BD120" s="174" t="n">
        <v>0.005</v>
      </c>
      <c r="BE120" s="174" t="n">
        <v>0.26</v>
      </c>
      <c r="BF120" s="174" t="n">
        <v>0.04</v>
      </c>
      <c r="BG120" s="174" t="n">
        <v>-0.06</v>
      </c>
      <c r="BH120" s="174" t="n">
        <v>0</v>
      </c>
      <c r="BI120" s="174" t="n">
        <v>0</v>
      </c>
      <c r="BJ120" s="136" t="n">
        <v>0.03</v>
      </c>
      <c r="BK120" s="136" t="n">
        <v>0.26</v>
      </c>
      <c r="BL120" s="136" t="n">
        <v>0.04</v>
      </c>
      <c r="BM120" s="136" t="n">
        <v>-0.2</v>
      </c>
      <c r="BN120" s="136" t="n">
        <v>0</v>
      </c>
      <c r="BO120" s="136" t="n">
        <v>-0.37</v>
      </c>
      <c r="BP120" s="136" t="n">
        <v>0</v>
      </c>
      <c r="BQ120" s="136" t="n">
        <v>0.5</v>
      </c>
      <c r="BR120" s="136" t="n">
        <v>0.04</v>
      </c>
      <c r="BS120" s="136" t="n">
        <v>-0.07</v>
      </c>
      <c r="BT120" s="136" t="n">
        <v>0.005</v>
      </c>
      <c r="BU120" s="136" t="n">
        <v>0.3</v>
      </c>
      <c r="BV120" s="136" t="n">
        <v>0</v>
      </c>
      <c r="BW120" s="136" t="n">
        <v>0</v>
      </c>
      <c r="BX120" s="136" t="n">
        <v>0</v>
      </c>
      <c r="BY120" s="136" t="n">
        <v>-0.015</v>
      </c>
      <c r="BZ120" s="136" t="n">
        <v>0.0575</v>
      </c>
      <c r="CA120" s="136" t="n">
        <v>0.125</v>
      </c>
      <c r="CB120" s="136" t="n">
        <v>0.005</v>
      </c>
      <c r="CC120" s="136" t="n">
        <v>-0.015</v>
      </c>
      <c r="CD120" s="136" t="n">
        <v>0.0035</v>
      </c>
      <c r="CE120" s="136" t="n">
        <v>0.0025</v>
      </c>
      <c r="CF120" s="136" t="n">
        <v>0.0025</v>
      </c>
      <c r="CG120" s="136" t="n">
        <v>-0.015</v>
      </c>
      <c r="CH120" s="136" t="n">
        <v>0.0035</v>
      </c>
      <c r="CI120" s="136" t="n">
        <v>-0.118</v>
      </c>
      <c r="CJ120" s="136" t="n">
        <v>0.0025</v>
      </c>
      <c r="CK120" s="136" t="n">
        <v>0.0775</v>
      </c>
      <c r="CL120" s="136" t="n">
        <v>0.0025</v>
      </c>
      <c r="CM120" s="136" t="n">
        <v>-0.072</v>
      </c>
      <c r="CN120" s="136" t="n">
        <v>0.0075</v>
      </c>
      <c r="CO120" s="136" t="n">
        <v>-0.017</v>
      </c>
      <c r="CP120" s="136" t="n">
        <v>0.005</v>
      </c>
      <c r="CQ120" s="136" t="n">
        <v>0.023</v>
      </c>
      <c r="CR120" s="136" t="n">
        <v>0.0075</v>
      </c>
      <c r="CS120" s="136" t="n">
        <v>0.33</v>
      </c>
      <c r="CT120" s="136" t="n">
        <v>0.02</v>
      </c>
      <c r="CU120" s="136" t="n">
        <v>-0.2</v>
      </c>
      <c r="CV120" s="136" t="n">
        <v>0</v>
      </c>
      <c r="CW120" s="136" t="n">
        <v>0.135</v>
      </c>
      <c r="CX120" s="136" t="n">
        <v>0.0075</v>
      </c>
      <c r="CY120" s="136" t="n">
        <v>-0.63</v>
      </c>
      <c r="CZ120" s="136" t="n">
        <v>0</v>
      </c>
      <c r="DA120" s="136" t="n">
        <v>-0.45</v>
      </c>
      <c r="DB120" s="136" t="n">
        <v>0</v>
      </c>
      <c r="DC120" s="136" t="n">
        <v>0.75</v>
      </c>
      <c r="DE120" s="136" t="n">
        <v>-0.051</v>
      </c>
      <c r="DF120" s="136" t="n">
        <v>0.01</v>
      </c>
      <c r="DG120" s="136" t="n">
        <v>0.0165</v>
      </c>
      <c r="DH120" s="136" t="n">
        <v>0.01</v>
      </c>
      <c r="DI120" s="136" t="n">
        <v>0.001</v>
      </c>
      <c r="DJ120" s="136" t="n">
        <v>0.0075</v>
      </c>
      <c r="DK120" s="136" t="n">
        <v>-0.093</v>
      </c>
      <c r="DL120" s="136" t="n">
        <v>0.005</v>
      </c>
      <c r="DM120" s="136" t="n">
        <v>-0.057</v>
      </c>
      <c r="DN120" s="136" t="n">
        <v>0.0025</v>
      </c>
      <c r="DO120" s="136" t="n">
        <v>-0.0795</v>
      </c>
      <c r="DP120" s="136" t="n">
        <v>0.0025</v>
      </c>
      <c r="DQ120" s="136" t="n">
        <v>-0.123</v>
      </c>
      <c r="DR120" s="136" t="n">
        <v>-0.005</v>
      </c>
      <c r="DS120" s="136" t="n">
        <v>0.325</v>
      </c>
      <c r="DT120" s="136" t="n">
        <v>0.005</v>
      </c>
      <c r="DU120" s="136" t="n">
        <v>0</v>
      </c>
      <c r="DV120" s="136" t="n">
        <v>0</v>
      </c>
    </row>
    <row r="121" customFormat="false" ht="12.75" hidden="false" customHeight="false" outlineLevel="0" collapsed="false">
      <c r="D121" s="135" t="n">
        <v>40330</v>
      </c>
      <c r="F121" s="174" t="n">
        <v>3.702</v>
      </c>
      <c r="G121" s="175" t="n">
        <v>0.0599764828798142</v>
      </c>
      <c r="H121" s="174" t="n">
        <v>0.185</v>
      </c>
      <c r="I121" s="174" t="n">
        <v>0.45</v>
      </c>
      <c r="J121" s="174" t="n">
        <v>0.5</v>
      </c>
      <c r="K121" s="174" t="n">
        <v>0.4</v>
      </c>
      <c r="L121" s="172" t="n">
        <v>0.5</v>
      </c>
      <c r="M121" s="172" t="n">
        <v>0.45</v>
      </c>
      <c r="N121" s="174" t="n">
        <v>0.5</v>
      </c>
      <c r="O121" s="174" t="n">
        <v>0.5</v>
      </c>
      <c r="P121" s="174" t="n">
        <v>0.5</v>
      </c>
      <c r="Q121" s="174" t="n">
        <v>0.5</v>
      </c>
      <c r="R121" s="175" t="n">
        <v>0.45</v>
      </c>
      <c r="S121" s="175" t="n">
        <v>0.5</v>
      </c>
      <c r="T121" s="174" t="n">
        <v>0.45</v>
      </c>
      <c r="U121" s="174" t="n">
        <v>0.5</v>
      </c>
      <c r="V121" s="174" t="n">
        <v>0.6</v>
      </c>
      <c r="W121" s="174" t="n">
        <v>-0.09</v>
      </c>
      <c r="X121" s="174" t="n">
        <v>0</v>
      </c>
      <c r="Y121" s="174" t="n">
        <v>0.04</v>
      </c>
      <c r="Z121" s="174" t="n">
        <v>0.005</v>
      </c>
      <c r="AA121" s="174" t="n">
        <v>0.175</v>
      </c>
      <c r="AB121" s="174" t="n">
        <v>0</v>
      </c>
      <c r="AC121" s="174" t="n">
        <v>0.14</v>
      </c>
      <c r="AD121" s="174" t="n">
        <v>0</v>
      </c>
      <c r="AE121" s="174" t="n">
        <v>0.175</v>
      </c>
      <c r="AF121" s="174" t="n">
        <v>0</v>
      </c>
      <c r="AG121" s="174" t="n">
        <v>0.14</v>
      </c>
      <c r="AH121" s="174" t="n">
        <v>0</v>
      </c>
      <c r="AI121" s="174" t="n">
        <v>0.14</v>
      </c>
      <c r="AJ121" s="174" t="n">
        <v>0</v>
      </c>
      <c r="AK121" s="174" t="n">
        <v>0.04</v>
      </c>
      <c r="AL121" s="174" t="n">
        <v>0.04</v>
      </c>
      <c r="AM121" s="174" t="n">
        <v>-0.052</v>
      </c>
      <c r="AN121" s="174" t="n">
        <v>0.023</v>
      </c>
      <c r="AO121" s="174" t="n">
        <v>-0.55</v>
      </c>
      <c r="AP121" s="174" t="n">
        <v>0.155</v>
      </c>
      <c r="AQ121" s="174" t="n">
        <v>-0.047</v>
      </c>
      <c r="AR121" s="174" t="n">
        <v>0</v>
      </c>
      <c r="AS121" s="174" t="n">
        <v>-0.15</v>
      </c>
      <c r="AT121" s="174" t="n">
        <v>-0.015</v>
      </c>
      <c r="AU121" s="174" t="n">
        <v>-0.11</v>
      </c>
      <c r="AV121" s="174" t="n">
        <v>0.02</v>
      </c>
      <c r="AW121" s="174" t="n">
        <v>-0.047</v>
      </c>
      <c r="AX121" s="174" t="n">
        <v>0.014</v>
      </c>
      <c r="AY121" s="175" t="n">
        <v>0.125</v>
      </c>
      <c r="AZ121" s="175" t="n">
        <v>0</v>
      </c>
      <c r="BA121" s="175" t="n">
        <v>-0.195</v>
      </c>
      <c r="BB121" s="174" t="n">
        <v>0.0025</v>
      </c>
      <c r="BC121" s="174" t="n">
        <v>-0.07</v>
      </c>
      <c r="BD121" s="174" t="n">
        <v>0.005</v>
      </c>
      <c r="BE121" s="174" t="n">
        <v>0.26</v>
      </c>
      <c r="BF121" s="174" t="n">
        <v>0.04</v>
      </c>
      <c r="BG121" s="174" t="n">
        <v>-0.06</v>
      </c>
      <c r="BH121" s="174" t="n">
        <v>0</v>
      </c>
      <c r="BI121" s="174" t="n">
        <v>0</v>
      </c>
      <c r="BJ121" s="136" t="n">
        <v>0.03</v>
      </c>
      <c r="BK121" s="136" t="n">
        <v>0.26</v>
      </c>
      <c r="BL121" s="136" t="n">
        <v>0.04</v>
      </c>
      <c r="BM121" s="136" t="n">
        <v>-0.2</v>
      </c>
      <c r="BN121" s="136" t="n">
        <v>0</v>
      </c>
      <c r="BO121" s="136" t="n">
        <v>-0.37</v>
      </c>
      <c r="BP121" s="136" t="n">
        <v>0</v>
      </c>
      <c r="BQ121" s="136" t="n">
        <v>0.5</v>
      </c>
      <c r="BR121" s="136" t="n">
        <v>0.04</v>
      </c>
      <c r="BS121" s="136" t="n">
        <v>-0.07</v>
      </c>
      <c r="BT121" s="136" t="n">
        <v>0.005</v>
      </c>
      <c r="BU121" s="136" t="n">
        <v>0.3</v>
      </c>
      <c r="BV121" s="136" t="n">
        <v>0</v>
      </c>
      <c r="BW121" s="136" t="n">
        <v>0</v>
      </c>
      <c r="BX121" s="136" t="n">
        <v>0</v>
      </c>
      <c r="BY121" s="136" t="n">
        <v>-0.015</v>
      </c>
      <c r="BZ121" s="136" t="n">
        <v>0.0575</v>
      </c>
      <c r="CA121" s="136" t="n">
        <v>0.145</v>
      </c>
      <c r="CB121" s="136" t="n">
        <v>0.005</v>
      </c>
      <c r="CC121" s="136" t="n">
        <v>-0.015</v>
      </c>
      <c r="CD121" s="136" t="n">
        <v>0.0035</v>
      </c>
      <c r="CE121" s="136" t="n">
        <v>0.0025</v>
      </c>
      <c r="CF121" s="136" t="n">
        <v>0.0025</v>
      </c>
      <c r="CG121" s="136" t="n">
        <v>-0.015</v>
      </c>
      <c r="CH121" s="136" t="n">
        <v>0.0035</v>
      </c>
      <c r="CI121" s="136" t="n">
        <v>-0.0755</v>
      </c>
      <c r="CJ121" s="136" t="n">
        <v>0.0025</v>
      </c>
      <c r="CK121" s="136" t="n">
        <v>0.0775</v>
      </c>
      <c r="CL121" s="136" t="n">
        <v>0.0025</v>
      </c>
      <c r="CM121" s="136" t="n">
        <v>-0.072</v>
      </c>
      <c r="CN121" s="136" t="n">
        <v>0.0075</v>
      </c>
      <c r="CO121" s="136" t="n">
        <v>-0.017</v>
      </c>
      <c r="CP121" s="136" t="n">
        <v>0.005</v>
      </c>
      <c r="CQ121" s="136" t="n">
        <v>0.023</v>
      </c>
      <c r="CR121" s="136" t="n">
        <v>0.0075</v>
      </c>
      <c r="CS121" s="136" t="n">
        <v>0.37</v>
      </c>
      <c r="CT121" s="136" t="n">
        <v>0.035</v>
      </c>
      <c r="CU121" s="136" t="n">
        <v>-0.2</v>
      </c>
      <c r="CV121" s="136" t="n">
        <v>0</v>
      </c>
      <c r="CW121" s="136" t="n">
        <v>0.165</v>
      </c>
      <c r="CX121" s="136" t="n">
        <v>0.0075</v>
      </c>
      <c r="CY121" s="136" t="n">
        <v>-0.63</v>
      </c>
      <c r="CZ121" s="136" t="n">
        <v>0</v>
      </c>
      <c r="DA121" s="136" t="n">
        <v>-0.45</v>
      </c>
      <c r="DB121" s="136" t="n">
        <v>0</v>
      </c>
      <c r="DC121" s="136" t="n">
        <v>0.85</v>
      </c>
      <c r="DE121" s="136" t="n">
        <v>-0.0485</v>
      </c>
      <c r="DF121" s="136" t="n">
        <v>0.01</v>
      </c>
      <c r="DG121" s="136" t="n">
        <v>0.0165</v>
      </c>
      <c r="DH121" s="136" t="n">
        <v>0.01</v>
      </c>
      <c r="DI121" s="136" t="n">
        <v>0.000999999999999997</v>
      </c>
      <c r="DJ121" s="136" t="n">
        <v>0.0075</v>
      </c>
      <c r="DK121" s="136" t="n">
        <v>-0.0405</v>
      </c>
      <c r="DL121" s="136" t="n">
        <v>0.005</v>
      </c>
      <c r="DM121" s="136" t="n">
        <v>-0.057</v>
      </c>
      <c r="DN121" s="136" t="n">
        <v>0.0025</v>
      </c>
      <c r="DO121" s="136" t="n">
        <v>-0.0795</v>
      </c>
      <c r="DP121" s="136" t="n">
        <v>0.0025</v>
      </c>
      <c r="DQ121" s="136" t="n">
        <v>-0.0705</v>
      </c>
      <c r="DR121" s="136" t="n">
        <v>-0.005</v>
      </c>
      <c r="DS121" s="136" t="n">
        <v>0.335</v>
      </c>
      <c r="DT121" s="136" t="n">
        <v>0.005</v>
      </c>
      <c r="DU121" s="136" t="n">
        <v>0</v>
      </c>
      <c r="DV121" s="136" t="n">
        <v>0</v>
      </c>
    </row>
    <row r="122" customFormat="false" ht="12.75" hidden="false" customHeight="false" outlineLevel="0" collapsed="false">
      <c r="D122" s="135" t="n">
        <v>40360</v>
      </c>
      <c r="F122" s="174" t="n">
        <v>3.742</v>
      </c>
      <c r="G122" s="175" t="n">
        <v>0.0600820760967058</v>
      </c>
      <c r="H122" s="174" t="n">
        <v>0.185</v>
      </c>
      <c r="I122" s="174" t="n">
        <v>0.5</v>
      </c>
      <c r="J122" s="174" t="n">
        <v>0.5</v>
      </c>
      <c r="K122" s="174" t="n">
        <v>0.4</v>
      </c>
      <c r="L122" s="172" t="n">
        <v>0.5</v>
      </c>
      <c r="M122" s="172" t="n">
        <v>0.5</v>
      </c>
      <c r="N122" s="174" t="n">
        <v>0.5</v>
      </c>
      <c r="O122" s="174" t="n">
        <v>0.5</v>
      </c>
      <c r="P122" s="174" t="n">
        <v>0.5</v>
      </c>
      <c r="Q122" s="174" t="n">
        <v>0.5</v>
      </c>
      <c r="R122" s="175" t="n">
        <v>0.5</v>
      </c>
      <c r="S122" s="175" t="n">
        <v>0.55</v>
      </c>
      <c r="T122" s="174" t="n">
        <v>0.5</v>
      </c>
      <c r="U122" s="174" t="n">
        <v>0.5</v>
      </c>
      <c r="V122" s="174" t="n">
        <v>0.6</v>
      </c>
      <c r="W122" s="174" t="n">
        <v>-0.09</v>
      </c>
      <c r="X122" s="174" t="n">
        <v>0</v>
      </c>
      <c r="Y122" s="174" t="n">
        <v>0.04</v>
      </c>
      <c r="Z122" s="174" t="n">
        <v>0.005</v>
      </c>
      <c r="AA122" s="174" t="n">
        <v>0.175</v>
      </c>
      <c r="AB122" s="174" t="n">
        <v>0</v>
      </c>
      <c r="AC122" s="174" t="n">
        <v>0.14</v>
      </c>
      <c r="AD122" s="174" t="n">
        <v>0</v>
      </c>
      <c r="AE122" s="174" t="n">
        <v>0.175</v>
      </c>
      <c r="AF122" s="174" t="n">
        <v>0</v>
      </c>
      <c r="AG122" s="174" t="n">
        <v>0.14</v>
      </c>
      <c r="AH122" s="174" t="n">
        <v>0</v>
      </c>
      <c r="AI122" s="174" t="n">
        <v>0.14</v>
      </c>
      <c r="AJ122" s="174" t="n">
        <v>0</v>
      </c>
      <c r="AK122" s="174" t="n">
        <v>0.04</v>
      </c>
      <c r="AL122" s="174" t="n">
        <v>0.04</v>
      </c>
      <c r="AM122" s="174" t="n">
        <v>-0.052</v>
      </c>
      <c r="AN122" s="174" t="n">
        <v>0.023</v>
      </c>
      <c r="AO122" s="174" t="n">
        <v>-0.55</v>
      </c>
      <c r="AP122" s="174" t="n">
        <v>0.155</v>
      </c>
      <c r="AQ122" s="174" t="n">
        <v>-0.047</v>
      </c>
      <c r="AR122" s="174" t="n">
        <v>0</v>
      </c>
      <c r="AS122" s="174" t="n">
        <v>-0.15</v>
      </c>
      <c r="AT122" s="174" t="n">
        <v>-0.015</v>
      </c>
      <c r="AU122" s="174" t="n">
        <v>-0.11</v>
      </c>
      <c r="AV122" s="174" t="n">
        <v>0.02</v>
      </c>
      <c r="AW122" s="174" t="n">
        <v>-0.047</v>
      </c>
      <c r="AX122" s="174" t="n">
        <v>0.012</v>
      </c>
      <c r="AY122" s="175" t="n">
        <v>0.125</v>
      </c>
      <c r="AZ122" s="175" t="n">
        <v>0</v>
      </c>
      <c r="BA122" s="175" t="n">
        <v>-0.195</v>
      </c>
      <c r="BB122" s="174" t="n">
        <v>0.0025</v>
      </c>
      <c r="BC122" s="174" t="n">
        <v>-0.07</v>
      </c>
      <c r="BD122" s="174" t="n">
        <v>0.005</v>
      </c>
      <c r="BE122" s="174" t="n">
        <v>0.26</v>
      </c>
      <c r="BF122" s="174" t="n">
        <v>0.04</v>
      </c>
      <c r="BG122" s="174" t="n">
        <v>-0.06</v>
      </c>
      <c r="BH122" s="174" t="n">
        <v>0</v>
      </c>
      <c r="BI122" s="174" t="n">
        <v>0</v>
      </c>
      <c r="BJ122" s="136" t="n">
        <v>0.03</v>
      </c>
      <c r="BK122" s="136" t="n">
        <v>0.26</v>
      </c>
      <c r="BL122" s="136" t="n">
        <v>0.04</v>
      </c>
      <c r="BM122" s="136" t="n">
        <v>-0.2</v>
      </c>
      <c r="BN122" s="136" t="n">
        <v>0</v>
      </c>
      <c r="BO122" s="136" t="n">
        <v>-0.37</v>
      </c>
      <c r="BP122" s="136" t="n">
        <v>0</v>
      </c>
      <c r="BQ122" s="136" t="n">
        <v>0.5</v>
      </c>
      <c r="BR122" s="136" t="n">
        <v>0.04</v>
      </c>
      <c r="BS122" s="136" t="n">
        <v>-0.07</v>
      </c>
      <c r="BT122" s="136" t="n">
        <v>0.005</v>
      </c>
      <c r="BU122" s="136" t="n">
        <v>0.3</v>
      </c>
      <c r="BV122" s="136" t="n">
        <v>0</v>
      </c>
      <c r="BW122" s="136" t="n">
        <v>0</v>
      </c>
      <c r="BX122" s="136" t="n">
        <v>0</v>
      </c>
      <c r="BY122" s="136" t="n">
        <v>-0.015</v>
      </c>
      <c r="BZ122" s="136" t="n">
        <v>0.0575</v>
      </c>
      <c r="CA122" s="136" t="n">
        <v>0.15</v>
      </c>
      <c r="CB122" s="136" t="n">
        <v>0.005</v>
      </c>
      <c r="CC122" s="136" t="n">
        <v>-0.015</v>
      </c>
      <c r="CD122" s="136" t="n">
        <v>0.0035</v>
      </c>
      <c r="CE122" s="136" t="n">
        <v>0.0025</v>
      </c>
      <c r="CF122" s="136" t="n">
        <v>0.0025</v>
      </c>
      <c r="CG122" s="136" t="n">
        <v>-0.015</v>
      </c>
      <c r="CH122" s="136" t="n">
        <v>0.0035</v>
      </c>
      <c r="CI122" s="136" t="n">
        <v>-0.073</v>
      </c>
      <c r="CJ122" s="136" t="n">
        <v>0.0025</v>
      </c>
      <c r="CK122" s="136" t="n">
        <v>0.0775</v>
      </c>
      <c r="CL122" s="136" t="n">
        <v>0.0025</v>
      </c>
      <c r="CM122" s="136" t="n">
        <v>-0.072</v>
      </c>
      <c r="CN122" s="136" t="n">
        <v>0.0075</v>
      </c>
      <c r="CO122" s="136" t="n">
        <v>-0.017</v>
      </c>
      <c r="CP122" s="136" t="n">
        <v>0.005</v>
      </c>
      <c r="CQ122" s="136" t="n">
        <v>0.023</v>
      </c>
      <c r="CR122" s="136" t="n">
        <v>0.0075</v>
      </c>
      <c r="CS122" s="136" t="n">
        <v>0.41</v>
      </c>
      <c r="CT122" s="136" t="n">
        <v>0.035</v>
      </c>
      <c r="CU122" s="136" t="n">
        <v>-0.2</v>
      </c>
      <c r="CV122" s="136" t="n">
        <v>0</v>
      </c>
      <c r="CW122" s="136" t="n">
        <v>0.205</v>
      </c>
      <c r="CX122" s="136" t="n">
        <v>0.0075</v>
      </c>
      <c r="CY122" s="136" t="n">
        <v>-0.63</v>
      </c>
      <c r="CZ122" s="136" t="n">
        <v>0</v>
      </c>
      <c r="DA122" s="136" t="n">
        <v>-0.45</v>
      </c>
      <c r="DB122" s="136" t="n">
        <v>0</v>
      </c>
      <c r="DC122" s="136" t="n">
        <v>1.05</v>
      </c>
      <c r="DE122" s="136" t="n">
        <v>-0.0485</v>
      </c>
      <c r="DF122" s="136" t="n">
        <v>0.01</v>
      </c>
      <c r="DG122" s="136" t="n">
        <v>0.0165</v>
      </c>
      <c r="DH122" s="136" t="n">
        <v>0.01</v>
      </c>
      <c r="DI122" s="136" t="n">
        <v>0.000999999999999997</v>
      </c>
      <c r="DJ122" s="136" t="n">
        <v>0.0075</v>
      </c>
      <c r="DK122" s="136" t="n">
        <v>-0.0505</v>
      </c>
      <c r="DL122" s="136" t="n">
        <v>0.005</v>
      </c>
      <c r="DM122" s="136" t="n">
        <v>-0.057</v>
      </c>
      <c r="DN122" s="136" t="n">
        <v>0.0025</v>
      </c>
      <c r="DO122" s="136" t="n">
        <v>-0.0795</v>
      </c>
      <c r="DP122" s="136" t="n">
        <v>0.0025</v>
      </c>
      <c r="DQ122" s="136" t="n">
        <v>-0.0805</v>
      </c>
      <c r="DR122" s="136" t="n">
        <v>-0.005</v>
      </c>
      <c r="DS122" s="136" t="n">
        <v>0.35</v>
      </c>
      <c r="DT122" s="136" t="n">
        <v>0.005</v>
      </c>
      <c r="DU122" s="136" t="n">
        <v>0</v>
      </c>
      <c r="DV122" s="136" t="n">
        <v>0</v>
      </c>
    </row>
    <row r="123" customFormat="false" ht="12.75" hidden="false" customHeight="false" outlineLevel="0" collapsed="false">
      <c r="D123" s="135" t="n">
        <v>40391</v>
      </c>
      <c r="F123" s="174" t="n">
        <v>3.782</v>
      </c>
      <c r="G123" s="175" t="n">
        <v>0.0601911890913853</v>
      </c>
      <c r="H123" s="174" t="n">
        <v>0.185</v>
      </c>
      <c r="I123" s="174" t="n">
        <v>0.55</v>
      </c>
      <c r="J123" s="174" t="n">
        <v>0.55</v>
      </c>
      <c r="K123" s="174" t="n">
        <v>0.5</v>
      </c>
      <c r="L123" s="172" t="n">
        <v>0.6</v>
      </c>
      <c r="M123" s="172" t="n">
        <v>0.55</v>
      </c>
      <c r="N123" s="174" t="n">
        <v>0.6</v>
      </c>
      <c r="O123" s="174" t="n">
        <v>0.55</v>
      </c>
      <c r="P123" s="174" t="n">
        <v>0.6</v>
      </c>
      <c r="Q123" s="174" t="n">
        <v>0.45</v>
      </c>
      <c r="R123" s="175" t="n">
        <v>0.55</v>
      </c>
      <c r="S123" s="175" t="n">
        <v>0.6</v>
      </c>
      <c r="T123" s="174" t="n">
        <v>0.55</v>
      </c>
      <c r="U123" s="174" t="n">
        <v>0.6</v>
      </c>
      <c r="V123" s="174" t="n">
        <v>0.7</v>
      </c>
      <c r="W123" s="174" t="n">
        <v>-0.09</v>
      </c>
      <c r="X123" s="174" t="n">
        <v>0</v>
      </c>
      <c r="Y123" s="174" t="n">
        <v>0.04</v>
      </c>
      <c r="Z123" s="174" t="n">
        <v>0.005</v>
      </c>
      <c r="AA123" s="174" t="n">
        <v>0.175</v>
      </c>
      <c r="AB123" s="174" t="n">
        <v>0</v>
      </c>
      <c r="AC123" s="174" t="n">
        <v>0.14</v>
      </c>
      <c r="AD123" s="174" t="n">
        <v>0</v>
      </c>
      <c r="AE123" s="174" t="n">
        <v>0.175</v>
      </c>
      <c r="AF123" s="174" t="n">
        <v>0</v>
      </c>
      <c r="AG123" s="174" t="n">
        <v>0.14</v>
      </c>
      <c r="AH123" s="174" t="n">
        <v>0</v>
      </c>
      <c r="AI123" s="174" t="n">
        <v>0.14</v>
      </c>
      <c r="AJ123" s="174" t="n">
        <v>0</v>
      </c>
      <c r="AK123" s="174" t="n">
        <v>0.04</v>
      </c>
      <c r="AL123" s="174" t="n">
        <v>0.04</v>
      </c>
      <c r="AM123" s="174" t="n">
        <v>-0.052</v>
      </c>
      <c r="AN123" s="174" t="n">
        <v>0.023</v>
      </c>
      <c r="AO123" s="174" t="n">
        <v>-0.55</v>
      </c>
      <c r="AP123" s="174" t="n">
        <v>0.155</v>
      </c>
      <c r="AQ123" s="174" t="n">
        <v>-0.047</v>
      </c>
      <c r="AR123" s="174" t="n">
        <v>0</v>
      </c>
      <c r="AS123" s="174" t="n">
        <v>-0.15</v>
      </c>
      <c r="AT123" s="174" t="n">
        <v>-0.015</v>
      </c>
      <c r="AU123" s="174" t="n">
        <v>-0.11</v>
      </c>
      <c r="AV123" s="174" t="n">
        <v>0.02</v>
      </c>
      <c r="AW123" s="174" t="n">
        <v>-0.047</v>
      </c>
      <c r="AX123" s="174" t="n">
        <v>0.012</v>
      </c>
      <c r="AY123" s="175" t="n">
        <v>0.125</v>
      </c>
      <c r="AZ123" s="175" t="n">
        <v>0</v>
      </c>
      <c r="BA123" s="175" t="n">
        <v>-0.195</v>
      </c>
      <c r="BB123" s="174" t="n">
        <v>0.0025</v>
      </c>
      <c r="BC123" s="174" t="n">
        <v>-0.07</v>
      </c>
      <c r="BD123" s="174" t="n">
        <v>0.005</v>
      </c>
      <c r="BE123" s="174" t="n">
        <v>0.26</v>
      </c>
      <c r="BF123" s="174" t="n">
        <v>0.04</v>
      </c>
      <c r="BG123" s="174" t="n">
        <v>-0.06</v>
      </c>
      <c r="BH123" s="174" t="n">
        <v>0</v>
      </c>
      <c r="BI123" s="174" t="n">
        <v>0</v>
      </c>
      <c r="BJ123" s="136" t="n">
        <v>0.03</v>
      </c>
      <c r="BK123" s="136" t="n">
        <v>0.26</v>
      </c>
      <c r="BL123" s="136" t="n">
        <v>0.04</v>
      </c>
      <c r="BM123" s="136" t="n">
        <v>-0.2</v>
      </c>
      <c r="BN123" s="136" t="n">
        <v>0</v>
      </c>
      <c r="BO123" s="136" t="n">
        <v>-0.37</v>
      </c>
      <c r="BP123" s="136" t="n">
        <v>0</v>
      </c>
      <c r="BQ123" s="136" t="n">
        <v>0.5</v>
      </c>
      <c r="BR123" s="136" t="n">
        <v>0.04</v>
      </c>
      <c r="BS123" s="136" t="n">
        <v>-0.07</v>
      </c>
      <c r="BT123" s="136" t="n">
        <v>0.005</v>
      </c>
      <c r="BU123" s="136" t="n">
        <v>0.3</v>
      </c>
      <c r="BV123" s="136" t="n">
        <v>0</v>
      </c>
      <c r="BW123" s="136" t="n">
        <v>0</v>
      </c>
      <c r="BX123" s="136" t="n">
        <v>0</v>
      </c>
      <c r="BY123" s="136" t="n">
        <v>-0.015</v>
      </c>
      <c r="BZ123" s="136" t="n">
        <v>0.0575</v>
      </c>
      <c r="CA123" s="136" t="n">
        <v>0.15</v>
      </c>
      <c r="CB123" s="136" t="n">
        <v>0.005</v>
      </c>
      <c r="CC123" s="136" t="n">
        <v>-0.015</v>
      </c>
      <c r="CD123" s="136" t="n">
        <v>0.0035</v>
      </c>
      <c r="CE123" s="136" t="n">
        <v>0.0025</v>
      </c>
      <c r="CF123" s="136" t="n">
        <v>0.0025</v>
      </c>
      <c r="CG123" s="136" t="n">
        <v>-0.015</v>
      </c>
      <c r="CH123" s="136" t="n">
        <v>0.0035</v>
      </c>
      <c r="CI123" s="136" t="n">
        <v>-0.0705</v>
      </c>
      <c r="CJ123" s="136" t="n">
        <v>0.0025</v>
      </c>
      <c r="CK123" s="136" t="n">
        <v>0.0775</v>
      </c>
      <c r="CL123" s="136" t="n">
        <v>0.0025</v>
      </c>
      <c r="CM123" s="136" t="n">
        <v>-0.072</v>
      </c>
      <c r="CN123" s="136" t="n">
        <v>0.0075</v>
      </c>
      <c r="CO123" s="136" t="n">
        <v>-0.017</v>
      </c>
      <c r="CP123" s="136" t="n">
        <v>0.005</v>
      </c>
      <c r="CQ123" s="136" t="n">
        <v>0.023</v>
      </c>
      <c r="CR123" s="136" t="n">
        <v>0.0075</v>
      </c>
      <c r="CS123" s="136" t="n">
        <v>0.41</v>
      </c>
      <c r="CT123" s="136" t="n">
        <v>0.01</v>
      </c>
      <c r="CU123" s="136" t="n">
        <v>-0.2</v>
      </c>
      <c r="CV123" s="136" t="n">
        <v>0</v>
      </c>
      <c r="CW123" s="136" t="n">
        <v>0.205</v>
      </c>
      <c r="CX123" s="136" t="n">
        <v>0.0075</v>
      </c>
      <c r="CY123" s="136" t="n">
        <v>-0.63</v>
      </c>
      <c r="CZ123" s="136" t="n">
        <v>0</v>
      </c>
      <c r="DA123" s="136" t="n">
        <v>-0.45</v>
      </c>
      <c r="DB123" s="136" t="n">
        <v>0</v>
      </c>
      <c r="DC123" s="136" t="n">
        <v>1.05</v>
      </c>
      <c r="DE123" s="136" t="n">
        <v>-0.0485</v>
      </c>
      <c r="DF123" s="136" t="n">
        <v>0.01</v>
      </c>
      <c r="DG123" s="136" t="n">
        <v>0.0115</v>
      </c>
      <c r="DH123" s="136" t="n">
        <v>0.01</v>
      </c>
      <c r="DI123" s="136" t="n">
        <v>-0.006</v>
      </c>
      <c r="DJ123" s="136" t="n">
        <v>0.0075</v>
      </c>
      <c r="DK123" s="136" t="n">
        <v>-0.0455</v>
      </c>
      <c r="DL123" s="136" t="n">
        <v>0.005</v>
      </c>
      <c r="DM123" s="136" t="n">
        <v>-0.057</v>
      </c>
      <c r="DN123" s="136" t="n">
        <v>0.0025</v>
      </c>
      <c r="DO123" s="136" t="n">
        <v>-0.0795</v>
      </c>
      <c r="DP123" s="136" t="n">
        <v>0.0025</v>
      </c>
      <c r="DQ123" s="136" t="n">
        <v>-0.0755</v>
      </c>
      <c r="DR123" s="136" t="n">
        <v>-0.005</v>
      </c>
      <c r="DS123" s="136" t="n">
        <v>0.35</v>
      </c>
      <c r="DT123" s="136" t="n">
        <v>-0.005</v>
      </c>
      <c r="DU123" s="136" t="n">
        <v>0</v>
      </c>
      <c r="DV123" s="136" t="n">
        <v>0</v>
      </c>
    </row>
    <row r="124" customFormat="false" ht="12.75" hidden="false" customHeight="false" outlineLevel="0" collapsed="false">
      <c r="D124" s="135" t="n">
        <v>40422</v>
      </c>
      <c r="F124" s="174" t="n">
        <v>3.777</v>
      </c>
      <c r="G124" s="175" t="n">
        <v>0.0603003020900204</v>
      </c>
      <c r="H124" s="174" t="n">
        <v>0.185</v>
      </c>
      <c r="I124" s="174" t="n">
        <v>0.55</v>
      </c>
      <c r="J124" s="174" t="n">
        <v>0.55</v>
      </c>
      <c r="K124" s="174" t="n">
        <v>0.55</v>
      </c>
      <c r="L124" s="172" t="n">
        <v>0.55</v>
      </c>
      <c r="M124" s="172" t="n">
        <v>0.55</v>
      </c>
      <c r="N124" s="174" t="n">
        <v>0.6</v>
      </c>
      <c r="O124" s="174" t="n">
        <v>0.6</v>
      </c>
      <c r="P124" s="174" t="n">
        <v>0.55</v>
      </c>
      <c r="Q124" s="174" t="n">
        <v>0.5</v>
      </c>
      <c r="R124" s="175" t="n">
        <v>0.55</v>
      </c>
      <c r="S124" s="175" t="n">
        <v>0.6</v>
      </c>
      <c r="T124" s="174" t="n">
        <v>0.55</v>
      </c>
      <c r="U124" s="174" t="n">
        <v>0.6</v>
      </c>
      <c r="V124" s="174" t="n">
        <v>0.65</v>
      </c>
      <c r="W124" s="174" t="n">
        <v>-0.09</v>
      </c>
      <c r="X124" s="174" t="n">
        <v>0</v>
      </c>
      <c r="Y124" s="174" t="n">
        <v>0.04</v>
      </c>
      <c r="Z124" s="174" t="n">
        <v>0.005</v>
      </c>
      <c r="AA124" s="174" t="n">
        <v>0.175</v>
      </c>
      <c r="AB124" s="174" t="n">
        <v>0</v>
      </c>
      <c r="AC124" s="174" t="n">
        <v>0.14</v>
      </c>
      <c r="AD124" s="174" t="n">
        <v>0</v>
      </c>
      <c r="AE124" s="174" t="n">
        <v>0.175</v>
      </c>
      <c r="AF124" s="174" t="n">
        <v>0</v>
      </c>
      <c r="AG124" s="174" t="n">
        <v>0.14</v>
      </c>
      <c r="AH124" s="174" t="n">
        <v>0</v>
      </c>
      <c r="AI124" s="174" t="n">
        <v>0.14</v>
      </c>
      <c r="AJ124" s="174" t="n">
        <v>0</v>
      </c>
      <c r="AK124" s="174" t="n">
        <v>0.04</v>
      </c>
      <c r="AL124" s="174" t="n">
        <v>0.04</v>
      </c>
      <c r="AM124" s="174" t="n">
        <v>-0.052</v>
      </c>
      <c r="AN124" s="174" t="n">
        <v>0.023</v>
      </c>
      <c r="AO124" s="174" t="n">
        <v>-0.55</v>
      </c>
      <c r="AP124" s="174" t="n">
        <v>0.155</v>
      </c>
      <c r="AQ124" s="174" t="n">
        <v>-0.047</v>
      </c>
      <c r="AR124" s="174" t="n">
        <v>0</v>
      </c>
      <c r="AS124" s="174" t="n">
        <v>-0.15</v>
      </c>
      <c r="AT124" s="174" t="n">
        <v>-0.015</v>
      </c>
      <c r="AU124" s="174" t="n">
        <v>-0.11</v>
      </c>
      <c r="AV124" s="174" t="n">
        <v>0.02</v>
      </c>
      <c r="AW124" s="174" t="n">
        <v>-0.047</v>
      </c>
      <c r="AX124" s="174" t="n">
        <v>0.012</v>
      </c>
      <c r="AY124" s="175" t="n">
        <v>0.125</v>
      </c>
      <c r="AZ124" s="175" t="n">
        <v>0</v>
      </c>
      <c r="BA124" s="175" t="n">
        <v>-0.195</v>
      </c>
      <c r="BB124" s="174" t="n">
        <v>0.0025</v>
      </c>
      <c r="BC124" s="174" t="n">
        <v>-0.07</v>
      </c>
      <c r="BD124" s="174" t="n">
        <v>0.005</v>
      </c>
      <c r="BE124" s="174" t="n">
        <v>0.26</v>
      </c>
      <c r="BF124" s="174" t="n">
        <v>0.04</v>
      </c>
      <c r="BG124" s="174" t="n">
        <v>-0.06</v>
      </c>
      <c r="BH124" s="174" t="n">
        <v>0</v>
      </c>
      <c r="BI124" s="174" t="n">
        <v>0</v>
      </c>
      <c r="BJ124" s="136" t="n">
        <v>0.03</v>
      </c>
      <c r="BK124" s="136" t="n">
        <v>0.26</v>
      </c>
      <c r="BL124" s="136" t="n">
        <v>0.04</v>
      </c>
      <c r="BM124" s="136" t="n">
        <v>-0.2</v>
      </c>
      <c r="BN124" s="136" t="n">
        <v>0</v>
      </c>
      <c r="BO124" s="136" t="n">
        <v>-0.37</v>
      </c>
      <c r="BP124" s="136" t="n">
        <v>0</v>
      </c>
      <c r="BQ124" s="136" t="n">
        <v>0.5</v>
      </c>
      <c r="BR124" s="136" t="n">
        <v>0.04</v>
      </c>
      <c r="BS124" s="136" t="n">
        <v>-0.07</v>
      </c>
      <c r="BT124" s="136" t="n">
        <v>0.005</v>
      </c>
      <c r="BU124" s="136" t="n">
        <v>0.3</v>
      </c>
      <c r="BV124" s="136" t="n">
        <v>0</v>
      </c>
      <c r="BW124" s="136" t="n">
        <v>0</v>
      </c>
      <c r="BX124" s="136" t="n">
        <v>0</v>
      </c>
      <c r="BY124" s="136" t="n">
        <v>-0.015</v>
      </c>
      <c r="BZ124" s="136" t="n">
        <v>0.0575</v>
      </c>
      <c r="CA124" s="136" t="n">
        <v>0.125</v>
      </c>
      <c r="CB124" s="136" t="n">
        <v>0.005</v>
      </c>
      <c r="CC124" s="136" t="n">
        <v>-0.015</v>
      </c>
      <c r="CD124" s="136" t="n">
        <v>0.0035</v>
      </c>
      <c r="CE124" s="136" t="n">
        <v>0.0025</v>
      </c>
      <c r="CF124" s="136" t="n">
        <v>0.0025</v>
      </c>
      <c r="CG124" s="136" t="n">
        <v>-0.015</v>
      </c>
      <c r="CH124" s="136" t="n">
        <v>0.0035</v>
      </c>
      <c r="CI124" s="136" t="n">
        <v>-0.0755</v>
      </c>
      <c r="CJ124" s="136" t="n">
        <v>0.0025</v>
      </c>
      <c r="CK124" s="136" t="n">
        <v>0.0775</v>
      </c>
      <c r="CL124" s="136" t="n">
        <v>0.0025</v>
      </c>
      <c r="CM124" s="136" t="n">
        <v>-0.072</v>
      </c>
      <c r="CN124" s="136" t="n">
        <v>0.0075</v>
      </c>
      <c r="CO124" s="136" t="n">
        <v>-0.017</v>
      </c>
      <c r="CP124" s="136" t="n">
        <v>0.005</v>
      </c>
      <c r="CQ124" s="136" t="n">
        <v>0.023</v>
      </c>
      <c r="CR124" s="136" t="n">
        <v>0.0075</v>
      </c>
      <c r="CS124" s="136" t="n">
        <v>0.36</v>
      </c>
      <c r="CT124" s="136" t="n">
        <v>0.01</v>
      </c>
      <c r="CU124" s="136" t="n">
        <v>-0.2</v>
      </c>
      <c r="CV124" s="136" t="n">
        <v>0</v>
      </c>
      <c r="CW124" s="136" t="n">
        <v>0.145</v>
      </c>
      <c r="CX124" s="136" t="n">
        <v>0.0075</v>
      </c>
      <c r="CY124" s="136" t="n">
        <v>-0.63</v>
      </c>
      <c r="CZ124" s="136" t="n">
        <v>0</v>
      </c>
      <c r="DA124" s="136" t="n">
        <v>-0.45</v>
      </c>
      <c r="DB124" s="136" t="n">
        <v>0</v>
      </c>
      <c r="DC124" s="136" t="n">
        <v>0.75</v>
      </c>
      <c r="DE124" s="136" t="n">
        <v>-0.0535</v>
      </c>
      <c r="DF124" s="136" t="n">
        <v>0.01</v>
      </c>
      <c r="DG124" s="136" t="n">
        <v>0.0115</v>
      </c>
      <c r="DH124" s="136" t="n">
        <v>0.01</v>
      </c>
      <c r="DI124" s="136" t="n">
        <v>-0.006</v>
      </c>
      <c r="DJ124" s="136" t="n">
        <v>0.0075</v>
      </c>
      <c r="DK124" s="136" t="n">
        <v>-0.0555</v>
      </c>
      <c r="DL124" s="136" t="n">
        <v>0.005</v>
      </c>
      <c r="DM124" s="136" t="n">
        <v>-0.057</v>
      </c>
      <c r="DN124" s="136" t="n">
        <v>0.0025</v>
      </c>
      <c r="DO124" s="136" t="n">
        <v>-0.0795</v>
      </c>
      <c r="DP124" s="136" t="n">
        <v>0.0025</v>
      </c>
      <c r="DQ124" s="136" t="n">
        <v>-0.0855</v>
      </c>
      <c r="DR124" s="136" t="n">
        <v>-0.005</v>
      </c>
      <c r="DS124" s="136" t="n">
        <v>0.315</v>
      </c>
      <c r="DT124" s="136" t="n">
        <v>-0.005</v>
      </c>
      <c r="DU124" s="136" t="n">
        <v>0</v>
      </c>
      <c r="DV124" s="136" t="n">
        <v>0</v>
      </c>
    </row>
    <row r="125" customFormat="false" ht="12.75" hidden="false" customHeight="false" outlineLevel="0" collapsed="false">
      <c r="D125" s="135" t="n">
        <v>40452</v>
      </c>
      <c r="F125" s="174" t="n">
        <v>3.802</v>
      </c>
      <c r="G125" s="175" t="n">
        <v>0.0604058953182713</v>
      </c>
      <c r="H125" s="174" t="n">
        <v>0.185</v>
      </c>
      <c r="I125" s="174" t="n">
        <v>0.6</v>
      </c>
      <c r="J125" s="174" t="n">
        <v>0.6</v>
      </c>
      <c r="K125" s="174" t="n">
        <v>0.55</v>
      </c>
      <c r="L125" s="172" t="n">
        <v>0.6</v>
      </c>
      <c r="M125" s="172" t="n">
        <v>0.6</v>
      </c>
      <c r="N125" s="174" t="n">
        <v>0.65</v>
      </c>
      <c r="O125" s="174" t="n">
        <v>0.65</v>
      </c>
      <c r="P125" s="174" t="n">
        <v>0.6</v>
      </c>
      <c r="Q125" s="174" t="n">
        <v>0.5</v>
      </c>
      <c r="R125" s="175" t="n">
        <v>0.6</v>
      </c>
      <c r="S125" s="175" t="n">
        <v>0.65</v>
      </c>
      <c r="T125" s="174" t="n">
        <v>0.6</v>
      </c>
      <c r="U125" s="174" t="n">
        <v>0.65</v>
      </c>
      <c r="V125" s="174" t="n">
        <v>0.7</v>
      </c>
      <c r="W125" s="174" t="n">
        <v>-0.09</v>
      </c>
      <c r="X125" s="174" t="n">
        <v>0</v>
      </c>
      <c r="Y125" s="174" t="n">
        <v>0.04</v>
      </c>
      <c r="Z125" s="174" t="n">
        <v>0.005</v>
      </c>
      <c r="AA125" s="174" t="n">
        <v>0.175</v>
      </c>
      <c r="AB125" s="174" t="n">
        <v>0</v>
      </c>
      <c r="AC125" s="174" t="n">
        <v>0.14</v>
      </c>
      <c r="AD125" s="174" t="n">
        <v>0</v>
      </c>
      <c r="AE125" s="174" t="n">
        <v>0.175</v>
      </c>
      <c r="AF125" s="174" t="n">
        <v>0</v>
      </c>
      <c r="AG125" s="174" t="n">
        <v>0.14</v>
      </c>
      <c r="AH125" s="174" t="n">
        <v>0</v>
      </c>
      <c r="AI125" s="174" t="n">
        <v>0.14</v>
      </c>
      <c r="AJ125" s="174" t="n">
        <v>0</v>
      </c>
      <c r="AK125" s="174" t="n">
        <v>0.04</v>
      </c>
      <c r="AL125" s="174" t="n">
        <v>0.04</v>
      </c>
      <c r="AM125" s="174" t="n">
        <v>-0.052</v>
      </c>
      <c r="AN125" s="174" t="n">
        <v>0.023</v>
      </c>
      <c r="AO125" s="174" t="n">
        <v>-0.55</v>
      </c>
      <c r="AP125" s="174" t="n">
        <v>0.155</v>
      </c>
      <c r="AQ125" s="174" t="n">
        <v>-0.047</v>
      </c>
      <c r="AR125" s="174" t="n">
        <v>0</v>
      </c>
      <c r="AS125" s="174" t="n">
        <v>-0.15</v>
      </c>
      <c r="AT125" s="174" t="n">
        <v>-0.015</v>
      </c>
      <c r="AU125" s="174" t="n">
        <v>-0.11</v>
      </c>
      <c r="AV125" s="174" t="n">
        <v>0.02</v>
      </c>
      <c r="AW125" s="174" t="n">
        <v>-0.047</v>
      </c>
      <c r="AX125" s="174" t="n">
        <v>0.012</v>
      </c>
      <c r="AY125" s="175" t="n">
        <v>0.125</v>
      </c>
      <c r="AZ125" s="175" t="n">
        <v>0</v>
      </c>
      <c r="BA125" s="175" t="n">
        <v>-0.195</v>
      </c>
      <c r="BB125" s="174" t="n">
        <v>0.0025</v>
      </c>
      <c r="BC125" s="174" t="n">
        <v>-0.07</v>
      </c>
      <c r="BD125" s="174" t="n">
        <v>0.005</v>
      </c>
      <c r="BE125" s="174" t="n">
        <v>0.26</v>
      </c>
      <c r="BF125" s="174" t="n">
        <v>0.04</v>
      </c>
      <c r="BG125" s="174" t="n">
        <v>-0.06</v>
      </c>
      <c r="BH125" s="174" t="n">
        <v>0</v>
      </c>
      <c r="BI125" s="174" t="n">
        <v>0</v>
      </c>
      <c r="BJ125" s="136" t="n">
        <v>0.03</v>
      </c>
      <c r="BK125" s="136" t="n">
        <v>0.26</v>
      </c>
      <c r="BL125" s="136" t="n">
        <v>0.04</v>
      </c>
      <c r="BM125" s="136" t="n">
        <v>-0.2</v>
      </c>
      <c r="BN125" s="136" t="n">
        <v>0</v>
      </c>
      <c r="BO125" s="136" t="n">
        <v>-0.37</v>
      </c>
      <c r="BP125" s="136" t="n">
        <v>0</v>
      </c>
      <c r="BQ125" s="136" t="n">
        <v>0.5</v>
      </c>
      <c r="BR125" s="136" t="n">
        <v>0.04</v>
      </c>
      <c r="BS125" s="136" t="n">
        <v>-0.07</v>
      </c>
      <c r="BT125" s="136" t="n">
        <v>0.005</v>
      </c>
      <c r="BU125" s="136" t="n">
        <v>0.3</v>
      </c>
      <c r="BV125" s="136" t="n">
        <v>0</v>
      </c>
      <c r="BW125" s="136" t="n">
        <v>0</v>
      </c>
      <c r="BX125" s="136" t="n">
        <v>0</v>
      </c>
      <c r="BY125" s="136" t="n">
        <v>-0.015</v>
      </c>
      <c r="BZ125" s="136" t="n">
        <v>0.0575</v>
      </c>
      <c r="CA125" s="136" t="n">
        <v>0.145</v>
      </c>
      <c r="CB125" s="136" t="n">
        <v>0.005</v>
      </c>
      <c r="CC125" s="136" t="n">
        <v>-0.015</v>
      </c>
      <c r="CD125" s="136" t="n">
        <v>0.0035</v>
      </c>
      <c r="CE125" s="136" t="n">
        <v>0.0025</v>
      </c>
      <c r="CF125" s="136" t="n">
        <v>0.0025</v>
      </c>
      <c r="CG125" s="136" t="n">
        <v>-0.015</v>
      </c>
      <c r="CH125" s="136" t="n">
        <v>0.0035</v>
      </c>
      <c r="CI125" s="136" t="n">
        <v>-0.078</v>
      </c>
      <c r="CJ125" s="136" t="n">
        <v>0.0025</v>
      </c>
      <c r="CK125" s="136" t="n">
        <v>0.0775</v>
      </c>
      <c r="CL125" s="136" t="n">
        <v>0.0025</v>
      </c>
      <c r="CM125" s="136" t="n">
        <v>-0.072</v>
      </c>
      <c r="CN125" s="136" t="n">
        <v>0.0075</v>
      </c>
      <c r="CO125" s="136" t="n">
        <v>-0.017</v>
      </c>
      <c r="CP125" s="136" t="n">
        <v>0.005</v>
      </c>
      <c r="CQ125" s="136" t="n">
        <v>0.023</v>
      </c>
      <c r="CR125" s="136" t="n">
        <v>0.0075</v>
      </c>
      <c r="CS125" s="136" t="n">
        <v>0.4</v>
      </c>
      <c r="CT125" s="136" t="n">
        <v>0.01</v>
      </c>
      <c r="CU125" s="136" t="n">
        <v>-0.2</v>
      </c>
      <c r="CV125" s="136" t="n">
        <v>0</v>
      </c>
      <c r="CW125" s="136" t="n">
        <v>0.175</v>
      </c>
      <c r="CX125" s="136" t="n">
        <v>0.0075</v>
      </c>
      <c r="CY125" s="136" t="n">
        <v>-0.63</v>
      </c>
      <c r="CZ125" s="136" t="n">
        <v>0</v>
      </c>
      <c r="DA125" s="136" t="n">
        <v>-0.45</v>
      </c>
      <c r="DB125" s="136" t="n">
        <v>0</v>
      </c>
      <c r="DC125" s="136" t="n">
        <v>0.45</v>
      </c>
      <c r="DE125" s="136" t="n">
        <v>-0.0535</v>
      </c>
      <c r="DF125" s="136" t="n">
        <v>0.01</v>
      </c>
      <c r="DG125" s="136" t="n">
        <v>0.009</v>
      </c>
      <c r="DH125" s="136" t="n">
        <v>0.01</v>
      </c>
      <c r="DI125" s="136" t="n">
        <v>-0.0085</v>
      </c>
      <c r="DJ125" s="136" t="n">
        <v>0.0075</v>
      </c>
      <c r="DK125" s="136" t="n">
        <v>-0.043</v>
      </c>
      <c r="DL125" s="136" t="n">
        <v>0.005</v>
      </c>
      <c r="DM125" s="136" t="n">
        <v>-0.057</v>
      </c>
      <c r="DN125" s="136" t="n">
        <v>0.0025</v>
      </c>
      <c r="DO125" s="136" t="n">
        <v>-0.0795</v>
      </c>
      <c r="DP125" s="136" t="n">
        <v>0.0025</v>
      </c>
      <c r="DQ125" s="136" t="n">
        <v>-0.073</v>
      </c>
      <c r="DR125" s="136" t="n">
        <v>-0.005</v>
      </c>
      <c r="DS125" s="136" t="n">
        <v>0.36</v>
      </c>
      <c r="DT125" s="136" t="n">
        <v>-0.005</v>
      </c>
      <c r="DU125" s="136" t="n">
        <v>0</v>
      </c>
      <c r="DV125" s="136" t="n">
        <v>0</v>
      </c>
    </row>
    <row r="126" customFormat="false" ht="12.75" hidden="false" customHeight="false" outlineLevel="0" collapsed="false">
      <c r="D126" s="135" t="n">
        <v>40483</v>
      </c>
      <c r="F126" s="174" t="n">
        <v>3.954</v>
      </c>
      <c r="G126" s="175" t="n">
        <v>0.060515008324689</v>
      </c>
      <c r="H126" s="174" t="n">
        <v>0.185</v>
      </c>
      <c r="I126" s="174" t="n">
        <v>0.8</v>
      </c>
      <c r="J126" s="174" t="n">
        <v>0.85</v>
      </c>
      <c r="K126" s="174" t="n">
        <v>0.8</v>
      </c>
      <c r="L126" s="172" t="n">
        <v>0.8</v>
      </c>
      <c r="M126" s="172" t="n">
        <v>0.9</v>
      </c>
      <c r="N126" s="174" t="n">
        <v>0.95</v>
      </c>
      <c r="O126" s="174" t="n">
        <v>0.85</v>
      </c>
      <c r="P126" s="174" t="n">
        <v>0.8</v>
      </c>
      <c r="Q126" s="174" t="n">
        <v>0.95</v>
      </c>
      <c r="R126" s="175" t="n">
        <v>0.8</v>
      </c>
      <c r="S126" s="175" t="n">
        <v>0.8</v>
      </c>
      <c r="T126" s="174" t="n">
        <v>0.8</v>
      </c>
      <c r="U126" s="174" t="n">
        <v>0.95</v>
      </c>
      <c r="V126" s="174" t="n">
        <v>0.9</v>
      </c>
      <c r="W126" s="174" t="n">
        <v>0</v>
      </c>
      <c r="X126" s="174" t="n">
        <v>0.03</v>
      </c>
      <c r="Y126" s="174" t="n">
        <v>0.13</v>
      </c>
      <c r="Z126" s="174" t="n">
        <v>0.02</v>
      </c>
      <c r="AA126" s="174" t="n">
        <v>0.29</v>
      </c>
      <c r="AB126" s="174" t="n">
        <v>0</v>
      </c>
      <c r="AC126" s="174" t="n">
        <v>0.34</v>
      </c>
      <c r="AD126" s="174" t="n">
        <v>0</v>
      </c>
      <c r="AE126" s="174" t="n">
        <v>0.29</v>
      </c>
      <c r="AF126" s="174" t="n">
        <v>0</v>
      </c>
      <c r="AG126" s="174" t="n">
        <v>0.17</v>
      </c>
      <c r="AH126" s="174" t="n">
        <v>0</v>
      </c>
      <c r="AI126" s="174" t="n">
        <v>0.15112</v>
      </c>
      <c r="AJ126" s="174" t="n">
        <v>0</v>
      </c>
      <c r="AK126" s="174" t="n">
        <v>0.13</v>
      </c>
      <c r="AL126" s="174" t="n">
        <v>0.035</v>
      </c>
      <c r="AM126" s="174" t="n">
        <v>-0.0665</v>
      </c>
      <c r="AN126" s="174" t="n">
        <v>0.018</v>
      </c>
      <c r="AO126" s="174" t="n">
        <v>-0.51</v>
      </c>
      <c r="AP126" s="174" t="n">
        <v>0.155</v>
      </c>
      <c r="AQ126" s="174" t="n">
        <v>-0.0465</v>
      </c>
      <c r="AR126" s="174" t="n">
        <v>0.005</v>
      </c>
      <c r="AS126" s="174" t="n">
        <v>-0.15</v>
      </c>
      <c r="AT126" s="174" t="n">
        <v>-0.005</v>
      </c>
      <c r="AU126" s="174" t="n">
        <v>-0.11</v>
      </c>
      <c r="AV126" s="174" t="n">
        <v>-0.01</v>
      </c>
      <c r="AW126" s="174" t="n">
        <v>-0.0465</v>
      </c>
      <c r="AX126" s="174" t="n">
        <v>0.022</v>
      </c>
      <c r="AY126" s="175" t="n">
        <v>0.155</v>
      </c>
      <c r="AZ126" s="175" t="n">
        <v>0</v>
      </c>
      <c r="BA126" s="175" t="n">
        <v>-0.13</v>
      </c>
      <c r="BB126" s="174" t="n">
        <v>0.005</v>
      </c>
      <c r="BC126" s="174" t="n">
        <v>-0.07</v>
      </c>
      <c r="BD126" s="174" t="n">
        <v>0.005</v>
      </c>
      <c r="BE126" s="174" t="n">
        <v>0.35</v>
      </c>
      <c r="BF126" s="174" t="n">
        <v>0.042</v>
      </c>
      <c r="BG126" s="174" t="n">
        <v>-0.06</v>
      </c>
      <c r="BH126" s="174" t="n">
        <v>0</v>
      </c>
      <c r="BI126" s="174" t="n">
        <v>0</v>
      </c>
      <c r="BJ126" s="136" t="n">
        <v>0.03</v>
      </c>
      <c r="BK126" s="136" t="n">
        <v>0.35</v>
      </c>
      <c r="BL126" s="136" t="n">
        <v>0.042</v>
      </c>
      <c r="BM126" s="136" t="n">
        <v>0.298</v>
      </c>
      <c r="BN126" s="136" t="n">
        <v>0</v>
      </c>
      <c r="BO126" s="136" t="n">
        <v>-0.26</v>
      </c>
      <c r="BP126" s="136" t="n">
        <v>0</v>
      </c>
      <c r="BQ126" s="136" t="n">
        <v>0.5</v>
      </c>
      <c r="BR126" s="136" t="n">
        <v>0.042</v>
      </c>
      <c r="BS126" s="136" t="n">
        <v>-0.07</v>
      </c>
      <c r="BT126" s="136" t="n">
        <v>0.005</v>
      </c>
      <c r="BU126" s="136" t="n">
        <v>0.3</v>
      </c>
      <c r="BV126" s="136" t="n">
        <v>0</v>
      </c>
      <c r="BW126" s="136" t="n">
        <v>0</v>
      </c>
      <c r="BX126" s="136" t="n">
        <v>0</v>
      </c>
      <c r="BY126" s="136" t="n">
        <v>-0.015</v>
      </c>
      <c r="BZ126" s="136" t="n">
        <v>0.0575</v>
      </c>
      <c r="CA126" s="136" t="n">
        <v>0.195</v>
      </c>
      <c r="CB126" s="136" t="n">
        <v>0.005</v>
      </c>
      <c r="CC126" s="136" t="n">
        <v>-0.015</v>
      </c>
      <c r="CD126" s="136" t="n">
        <v>0.0037</v>
      </c>
      <c r="CE126" s="136" t="n">
        <v>0.0025</v>
      </c>
      <c r="CF126" s="136" t="n">
        <v>0.0025</v>
      </c>
      <c r="CG126" s="136" t="n">
        <v>-0.015</v>
      </c>
      <c r="CH126" s="136" t="n">
        <v>0.0037</v>
      </c>
      <c r="CI126" s="136" t="n">
        <v>-0.083</v>
      </c>
      <c r="CJ126" s="136" t="n">
        <v>0.0025</v>
      </c>
      <c r="CK126" s="136" t="n">
        <v>0.075</v>
      </c>
      <c r="CL126" s="136" t="n">
        <v>0.0025</v>
      </c>
      <c r="CM126" s="136" t="n">
        <v>-0.064</v>
      </c>
      <c r="CN126" s="136" t="n">
        <v>0.01</v>
      </c>
      <c r="CO126" s="136" t="n">
        <v>-0.008999999</v>
      </c>
      <c r="CP126" s="136" t="n">
        <v>0.0075</v>
      </c>
      <c r="CQ126" s="136" t="n">
        <v>0.031</v>
      </c>
      <c r="CR126" s="136" t="n">
        <v>0.0125</v>
      </c>
      <c r="CS126" s="136" t="n">
        <v>0.65</v>
      </c>
      <c r="CT126" s="136" t="n">
        <v>0.055</v>
      </c>
      <c r="CU126" s="136" t="n">
        <v>0.298</v>
      </c>
      <c r="CV126" s="136" t="n">
        <v>0</v>
      </c>
      <c r="CW126" s="136" t="n">
        <v>0.21</v>
      </c>
      <c r="CX126" s="136" t="n">
        <v>0.02</v>
      </c>
      <c r="CY126" s="136" t="n">
        <v>-0.52</v>
      </c>
      <c r="CZ126" s="136" t="n">
        <v>0</v>
      </c>
      <c r="DA126" s="136" t="n">
        <v>-0.34</v>
      </c>
      <c r="DB126" s="136" t="n">
        <v>0</v>
      </c>
      <c r="DC126" s="136" t="n">
        <v>0.45</v>
      </c>
      <c r="DE126" s="136" t="n">
        <v>-0.042</v>
      </c>
      <c r="DF126" s="136" t="n">
        <v>0.0125</v>
      </c>
      <c r="DG126" s="136" t="n">
        <v>0.01</v>
      </c>
      <c r="DH126" s="136" t="n">
        <v>0.0075</v>
      </c>
      <c r="DI126" s="136" t="n">
        <v>-0.0075</v>
      </c>
      <c r="DJ126" s="136" t="n">
        <v>0.0025</v>
      </c>
      <c r="DK126" s="136" t="n">
        <v>-0.048</v>
      </c>
      <c r="DL126" s="136" t="n">
        <v>0.0025</v>
      </c>
      <c r="DM126" s="136" t="n">
        <v>-0.0595</v>
      </c>
      <c r="DN126" s="136" t="n">
        <v>0.0025</v>
      </c>
      <c r="DO126" s="136" t="n">
        <v>-0.082</v>
      </c>
      <c r="DP126" s="136" t="n">
        <v>0.0025</v>
      </c>
      <c r="DQ126" s="136" t="n">
        <v>-0.078</v>
      </c>
      <c r="DR126" s="136" t="n">
        <v>-0.005</v>
      </c>
      <c r="DS126" s="136" t="n">
        <v>0.46</v>
      </c>
      <c r="DT126" s="136" t="n">
        <v>0.05</v>
      </c>
      <c r="DU126" s="136" t="n">
        <v>0</v>
      </c>
      <c r="DV126" s="136" t="n">
        <v>0</v>
      </c>
    </row>
    <row r="127" customFormat="false" ht="12.75" hidden="false" customHeight="false" outlineLevel="0" collapsed="false">
      <c r="D127" s="135" t="n">
        <v>40513</v>
      </c>
      <c r="F127" s="174" t="n">
        <v>4.097</v>
      </c>
      <c r="G127" s="175" t="n">
        <v>0.0606206015604713</v>
      </c>
      <c r="H127" s="174" t="n">
        <v>0.185</v>
      </c>
      <c r="I127" s="174" t="n">
        <v>1</v>
      </c>
      <c r="J127" s="174" t="n">
        <v>1.05</v>
      </c>
      <c r="K127" s="174" t="n">
        <v>1</v>
      </c>
      <c r="L127" s="172" t="n">
        <v>1</v>
      </c>
      <c r="M127" s="172" t="n">
        <v>1.15</v>
      </c>
      <c r="N127" s="174" t="n">
        <v>1.25</v>
      </c>
      <c r="O127" s="174" t="n">
        <v>1.05</v>
      </c>
      <c r="P127" s="174" t="n">
        <v>1</v>
      </c>
      <c r="Q127" s="174" t="n">
        <v>1.35</v>
      </c>
      <c r="R127" s="175" t="n">
        <v>1</v>
      </c>
      <c r="S127" s="175" t="n">
        <v>1.1</v>
      </c>
      <c r="T127" s="174" t="n">
        <v>1</v>
      </c>
      <c r="U127" s="174" t="n">
        <v>1.25</v>
      </c>
      <c r="V127" s="174" t="n">
        <v>1.1</v>
      </c>
      <c r="W127" s="174" t="n">
        <v>0.005</v>
      </c>
      <c r="X127" s="174" t="n">
        <v>0.03</v>
      </c>
      <c r="Y127" s="174" t="n">
        <v>0.13</v>
      </c>
      <c r="Z127" s="174" t="n">
        <v>0.02</v>
      </c>
      <c r="AA127" s="174" t="n">
        <v>0.29</v>
      </c>
      <c r="AB127" s="174" t="n">
        <v>0</v>
      </c>
      <c r="AC127" s="174" t="n">
        <v>0.34</v>
      </c>
      <c r="AD127" s="174" t="n">
        <v>0</v>
      </c>
      <c r="AE127" s="174" t="n">
        <v>0.29</v>
      </c>
      <c r="AF127" s="174" t="n">
        <v>0</v>
      </c>
      <c r="AG127" s="174" t="n">
        <v>0.17</v>
      </c>
      <c r="AH127" s="174" t="n">
        <v>0</v>
      </c>
      <c r="AI127" s="174" t="n">
        <v>0.15624</v>
      </c>
      <c r="AJ127" s="174" t="n">
        <v>0</v>
      </c>
      <c r="AK127" s="174" t="n">
        <v>0.13</v>
      </c>
      <c r="AL127" s="174" t="n">
        <v>0.035</v>
      </c>
      <c r="AM127" s="174" t="n">
        <v>-0.0665</v>
      </c>
      <c r="AN127" s="174" t="n">
        <v>0.018</v>
      </c>
      <c r="AO127" s="174" t="n">
        <v>-0.51</v>
      </c>
      <c r="AP127" s="174" t="n">
        <v>0.155</v>
      </c>
      <c r="AQ127" s="174" t="n">
        <v>-0.0465</v>
      </c>
      <c r="AR127" s="174" t="n">
        <v>0.005</v>
      </c>
      <c r="AS127" s="174" t="n">
        <v>-0.1525</v>
      </c>
      <c r="AT127" s="174" t="n">
        <v>-0.005</v>
      </c>
      <c r="AU127" s="174" t="n">
        <v>-0.1125</v>
      </c>
      <c r="AV127" s="174" t="n">
        <v>-0.01</v>
      </c>
      <c r="AW127" s="174" t="n">
        <v>-0.0465</v>
      </c>
      <c r="AX127" s="174" t="n">
        <v>0.022</v>
      </c>
      <c r="AY127" s="175" t="n">
        <v>0.155</v>
      </c>
      <c r="AZ127" s="175" t="n">
        <v>0</v>
      </c>
      <c r="BA127" s="175" t="n">
        <v>-0.13</v>
      </c>
      <c r="BB127" s="174" t="n">
        <v>0.005</v>
      </c>
      <c r="BC127" s="174" t="n">
        <v>-0.07</v>
      </c>
      <c r="BD127" s="174" t="n">
        <v>0.005</v>
      </c>
      <c r="BE127" s="174" t="n">
        <v>0.35</v>
      </c>
      <c r="BF127" s="174" t="n">
        <v>0.042</v>
      </c>
      <c r="BG127" s="174" t="n">
        <v>-0.06</v>
      </c>
      <c r="BH127" s="174" t="n">
        <v>0</v>
      </c>
      <c r="BI127" s="174" t="n">
        <v>0</v>
      </c>
      <c r="BJ127" s="136" t="n">
        <v>0.03</v>
      </c>
      <c r="BK127" s="136" t="n">
        <v>0.35</v>
      </c>
      <c r="BL127" s="136" t="n">
        <v>0.042</v>
      </c>
      <c r="BM127" s="136" t="n">
        <v>0.358</v>
      </c>
      <c r="BN127" s="136" t="n">
        <v>0</v>
      </c>
      <c r="BO127" s="136" t="n">
        <v>-0.26</v>
      </c>
      <c r="BP127" s="136" t="n">
        <v>0</v>
      </c>
      <c r="BQ127" s="136" t="n">
        <v>0.5</v>
      </c>
      <c r="BR127" s="136" t="n">
        <v>0.042</v>
      </c>
      <c r="BS127" s="136" t="n">
        <v>-0.07</v>
      </c>
      <c r="BT127" s="136" t="n">
        <v>0.005</v>
      </c>
      <c r="BU127" s="136" t="n">
        <v>0.3</v>
      </c>
      <c r="BV127" s="136" t="n">
        <v>0</v>
      </c>
      <c r="BW127" s="136" t="n">
        <v>0</v>
      </c>
      <c r="BX127" s="136" t="n">
        <v>0</v>
      </c>
      <c r="BY127" s="136" t="n">
        <v>-0.015</v>
      </c>
      <c r="BZ127" s="136" t="n">
        <v>0.0575</v>
      </c>
      <c r="CA127" s="136" t="n">
        <v>0.215</v>
      </c>
      <c r="CB127" s="136" t="n">
        <v>0.005</v>
      </c>
      <c r="CC127" s="136" t="n">
        <v>-0.015</v>
      </c>
      <c r="CD127" s="136" t="n">
        <v>0.0037</v>
      </c>
      <c r="CE127" s="136" t="n">
        <v>0.0025</v>
      </c>
      <c r="CF127" s="136" t="n">
        <v>0.0025</v>
      </c>
      <c r="CG127" s="136" t="n">
        <v>-0.015</v>
      </c>
      <c r="CH127" s="136" t="n">
        <v>0.0037</v>
      </c>
      <c r="CI127" s="136" t="n">
        <v>-0.1105</v>
      </c>
      <c r="CJ127" s="136" t="n">
        <v>0.0025</v>
      </c>
      <c r="CK127" s="136" t="n">
        <v>0.075</v>
      </c>
      <c r="CL127" s="136" t="n">
        <v>0.0025</v>
      </c>
      <c r="CM127" s="136" t="n">
        <v>-0.064</v>
      </c>
      <c r="CN127" s="136" t="n">
        <v>0.01</v>
      </c>
      <c r="CO127" s="136" t="n">
        <v>-0.008999999</v>
      </c>
      <c r="CP127" s="136" t="n">
        <v>0.0075</v>
      </c>
      <c r="CQ127" s="136" t="n">
        <v>0.031</v>
      </c>
      <c r="CR127" s="136" t="n">
        <v>0.0125</v>
      </c>
      <c r="CS127" s="136" t="n">
        <v>0.98</v>
      </c>
      <c r="CT127" s="136" t="n">
        <v>0.25</v>
      </c>
      <c r="CU127" s="136" t="n">
        <v>0.358</v>
      </c>
      <c r="CV127" s="136" t="n">
        <v>0</v>
      </c>
      <c r="CW127" s="136" t="n">
        <v>0.29</v>
      </c>
      <c r="CX127" s="136" t="n">
        <v>0.02</v>
      </c>
      <c r="CY127" s="136" t="n">
        <v>-0.52</v>
      </c>
      <c r="CZ127" s="136" t="n">
        <v>0</v>
      </c>
      <c r="DA127" s="136" t="n">
        <v>-0.34</v>
      </c>
      <c r="DB127" s="136" t="n">
        <v>0</v>
      </c>
      <c r="DC127" s="136" t="n">
        <v>0.4</v>
      </c>
      <c r="DE127" s="136" t="n">
        <v>-0.042</v>
      </c>
      <c r="DF127" s="136" t="n">
        <v>0.0125</v>
      </c>
      <c r="DG127" s="136" t="n">
        <v>0.01</v>
      </c>
      <c r="DH127" s="136" t="n">
        <v>0.0075</v>
      </c>
      <c r="DI127" s="136" t="n">
        <v>-0.0075</v>
      </c>
      <c r="DJ127" s="136" t="n">
        <v>0.0025</v>
      </c>
      <c r="DK127" s="136" t="n">
        <v>-0.0755</v>
      </c>
      <c r="DL127" s="136" t="n">
        <v>0.0025</v>
      </c>
      <c r="DM127" s="136" t="n">
        <v>-0.0575</v>
      </c>
      <c r="DN127" s="136" t="n">
        <v>0.0025</v>
      </c>
      <c r="DO127" s="136" t="n">
        <v>-0.08</v>
      </c>
      <c r="DP127" s="136" t="n">
        <v>0.0025</v>
      </c>
      <c r="DQ127" s="136" t="n">
        <v>-0.1055</v>
      </c>
      <c r="DR127" s="136" t="n">
        <v>-0.005</v>
      </c>
      <c r="DS127" s="136" t="n">
        <v>0.77</v>
      </c>
      <c r="DT127" s="136" t="n">
        <v>0.05</v>
      </c>
      <c r="DU127" s="136" t="n">
        <v>0</v>
      </c>
      <c r="DV127" s="136" t="n">
        <v>0</v>
      </c>
    </row>
    <row r="128" customFormat="false" ht="12.75" hidden="false" customHeight="false" outlineLevel="0" collapsed="false">
      <c r="D128" s="135" t="n">
        <v>40544</v>
      </c>
      <c r="F128" s="174" t="n">
        <v>4.1545</v>
      </c>
      <c r="G128" s="175" t="n">
        <v>0.0607297145746708</v>
      </c>
      <c r="H128" s="174" t="n">
        <v>0.185</v>
      </c>
      <c r="I128" s="174" t="n">
        <v>1</v>
      </c>
      <c r="J128" s="174" t="n">
        <v>1.05</v>
      </c>
      <c r="K128" s="174" t="n">
        <v>1</v>
      </c>
      <c r="L128" s="172" t="n">
        <v>1</v>
      </c>
      <c r="M128" s="172" t="n">
        <v>1.15</v>
      </c>
      <c r="N128" s="174" t="n">
        <v>1.45</v>
      </c>
      <c r="O128" s="174" t="n">
        <v>1.05</v>
      </c>
      <c r="P128" s="174" t="n">
        <v>1</v>
      </c>
      <c r="Q128" s="174" t="n">
        <v>1.35</v>
      </c>
      <c r="R128" s="175" t="n">
        <v>1</v>
      </c>
      <c r="S128" s="175" t="n">
        <v>1.1</v>
      </c>
      <c r="T128" s="174" t="n">
        <v>1</v>
      </c>
      <c r="U128" s="174" t="n">
        <v>1.45</v>
      </c>
      <c r="V128" s="174" t="n">
        <v>1.1</v>
      </c>
      <c r="W128" s="174" t="n">
        <v>0.025</v>
      </c>
      <c r="X128" s="174" t="n">
        <v>0.03</v>
      </c>
      <c r="Y128" s="174" t="n">
        <v>0.13</v>
      </c>
      <c r="Z128" s="174" t="n">
        <v>0.02</v>
      </c>
      <c r="AA128" s="174" t="n">
        <v>0.29</v>
      </c>
      <c r="AB128" s="174" t="n">
        <v>0</v>
      </c>
      <c r="AC128" s="174" t="n">
        <v>0.34</v>
      </c>
      <c r="AD128" s="174" t="n">
        <v>0</v>
      </c>
      <c r="AE128" s="174" t="n">
        <v>0.29</v>
      </c>
      <c r="AF128" s="174" t="n">
        <v>0</v>
      </c>
      <c r="AG128" s="174" t="n">
        <v>0.17</v>
      </c>
      <c r="AH128" s="174" t="n">
        <v>0</v>
      </c>
      <c r="AI128" s="174" t="n">
        <v>0.15816</v>
      </c>
      <c r="AJ128" s="174" t="n">
        <v>0</v>
      </c>
      <c r="AK128" s="174" t="n">
        <v>0.13</v>
      </c>
      <c r="AL128" s="174" t="n">
        <v>0.035</v>
      </c>
      <c r="AM128" s="174" t="n">
        <v>-0.0665</v>
      </c>
      <c r="AN128" s="174" t="n">
        <v>0.018</v>
      </c>
      <c r="AO128" s="174" t="n">
        <v>-0.51</v>
      </c>
      <c r="AP128" s="174" t="n">
        <v>0.155</v>
      </c>
      <c r="AQ128" s="174" t="n">
        <v>-0.0465</v>
      </c>
      <c r="AR128" s="174" t="n">
        <v>0.005</v>
      </c>
      <c r="AS128" s="174" t="n">
        <v>-0.155</v>
      </c>
      <c r="AT128" s="174" t="n">
        <v>-0.005</v>
      </c>
      <c r="AU128" s="174" t="n">
        <v>-0.115</v>
      </c>
      <c r="AV128" s="174" t="n">
        <v>-0.01</v>
      </c>
      <c r="AW128" s="174" t="n">
        <v>-0.0465</v>
      </c>
      <c r="AX128" s="174" t="n">
        <v>0.022</v>
      </c>
      <c r="AY128" s="175" t="n">
        <v>0.155</v>
      </c>
      <c r="AZ128" s="175" t="n">
        <v>0</v>
      </c>
      <c r="BA128" s="175" t="n">
        <v>-0.13</v>
      </c>
      <c r="BB128" s="174" t="n">
        <v>0.005</v>
      </c>
      <c r="BC128" s="174" t="n">
        <v>-0.07</v>
      </c>
      <c r="BD128" s="174" t="n">
        <v>0.005</v>
      </c>
      <c r="BE128" s="174" t="n">
        <v>0.35</v>
      </c>
      <c r="BF128" s="174" t="n">
        <v>0.042</v>
      </c>
      <c r="BG128" s="174" t="n">
        <v>-0.06</v>
      </c>
      <c r="BH128" s="174" t="n">
        <v>0</v>
      </c>
      <c r="BI128" s="174" t="n">
        <v>0</v>
      </c>
      <c r="BJ128" s="136" t="n">
        <v>0.03</v>
      </c>
      <c r="BK128" s="136" t="n">
        <v>0.35</v>
      </c>
      <c r="BL128" s="136" t="n">
        <v>0.042</v>
      </c>
      <c r="BM128" s="136" t="n">
        <v>0.428</v>
      </c>
      <c r="BN128" s="136" t="n">
        <v>0</v>
      </c>
      <c r="BO128" s="136" t="n">
        <v>-0.26</v>
      </c>
      <c r="BP128" s="136" t="n">
        <v>0</v>
      </c>
      <c r="BQ128" s="136" t="n">
        <v>0.5</v>
      </c>
      <c r="BR128" s="136" t="n">
        <v>0.042</v>
      </c>
      <c r="BS128" s="136" t="n">
        <v>-0.07</v>
      </c>
      <c r="BT128" s="136" t="n">
        <v>0.005</v>
      </c>
      <c r="BU128" s="136" t="n">
        <v>0.3</v>
      </c>
      <c r="BV128" s="136" t="n">
        <v>0</v>
      </c>
      <c r="BW128" s="136" t="n">
        <v>0</v>
      </c>
      <c r="BX128" s="136" t="n">
        <v>0</v>
      </c>
      <c r="BY128" s="136" t="n">
        <v>-0.013</v>
      </c>
      <c r="BZ128" s="136" t="n">
        <v>0.0575</v>
      </c>
      <c r="CA128" s="136" t="n">
        <v>0.235</v>
      </c>
      <c r="CB128" s="136" t="n">
        <v>0.005</v>
      </c>
      <c r="CC128" s="136" t="n">
        <v>-0.013</v>
      </c>
      <c r="CD128" s="136" t="n">
        <v>0.0037</v>
      </c>
      <c r="CE128" s="136" t="n">
        <v>0.0025</v>
      </c>
      <c r="CF128" s="136" t="n">
        <v>0.0025</v>
      </c>
      <c r="CG128" s="136" t="n">
        <v>-0.013</v>
      </c>
      <c r="CH128" s="136" t="n">
        <v>0.0037</v>
      </c>
      <c r="CI128" s="136" t="n">
        <v>-0.1085</v>
      </c>
      <c r="CJ128" s="136" t="n">
        <v>0.0025</v>
      </c>
      <c r="CK128" s="136" t="n">
        <v>0.075</v>
      </c>
      <c r="CL128" s="136" t="n">
        <v>0.0025</v>
      </c>
      <c r="CM128" s="136" t="n">
        <v>-0.064</v>
      </c>
      <c r="CN128" s="136" t="n">
        <v>0.01</v>
      </c>
      <c r="CO128" s="136" t="n">
        <v>-0.008999999</v>
      </c>
      <c r="CP128" s="136" t="n">
        <v>0.0075</v>
      </c>
      <c r="CQ128" s="136" t="n">
        <v>0.031</v>
      </c>
      <c r="CR128" s="136" t="n">
        <v>0.0125</v>
      </c>
      <c r="CS128" s="136" t="n">
        <v>1.6</v>
      </c>
      <c r="CT128" s="136" t="n">
        <v>0.45</v>
      </c>
      <c r="CU128" s="136" t="n">
        <v>0.428</v>
      </c>
      <c r="CV128" s="136" t="n">
        <v>0</v>
      </c>
      <c r="CW128" s="136" t="n">
        <v>0.34</v>
      </c>
      <c r="CX128" s="136" t="n">
        <v>0.02</v>
      </c>
      <c r="CY128" s="136" t="n">
        <v>-0.52</v>
      </c>
      <c r="CZ128" s="136" t="n">
        <v>0</v>
      </c>
      <c r="DA128" s="136" t="n">
        <v>-0.34</v>
      </c>
      <c r="DB128" s="136" t="n">
        <v>0</v>
      </c>
      <c r="DC128" s="136" t="n">
        <v>0.35</v>
      </c>
      <c r="DE128" s="136" t="n">
        <v>-0.042</v>
      </c>
      <c r="DF128" s="136" t="n">
        <v>0.0125</v>
      </c>
      <c r="DG128" s="136" t="n">
        <v>0.01</v>
      </c>
      <c r="DH128" s="136" t="n">
        <v>0.0075</v>
      </c>
      <c r="DI128" s="136" t="n">
        <v>-0.0075</v>
      </c>
      <c r="DJ128" s="136" t="n">
        <v>0.0025</v>
      </c>
      <c r="DK128" s="136" t="n">
        <v>-0.0905</v>
      </c>
      <c r="DL128" s="136" t="n">
        <v>0.0025</v>
      </c>
      <c r="DM128" s="136" t="n">
        <v>-0.0575</v>
      </c>
      <c r="DN128" s="136" t="n">
        <v>0.0025</v>
      </c>
      <c r="DO128" s="136" t="n">
        <v>-0.08</v>
      </c>
      <c r="DP128" s="136" t="n">
        <v>0.0025</v>
      </c>
      <c r="DQ128" s="136" t="n">
        <v>-0.1205</v>
      </c>
      <c r="DR128" s="136" t="n">
        <v>-0.005</v>
      </c>
      <c r="DS128" s="136" t="n">
        <v>1.04</v>
      </c>
      <c r="DT128" s="136" t="n">
        <v>0.05</v>
      </c>
      <c r="DU128" s="136" t="n">
        <v>0</v>
      </c>
      <c r="DV128" s="136" t="n">
        <v>0</v>
      </c>
    </row>
    <row r="129" customFormat="false" ht="12.75" hidden="false" customHeight="false" outlineLevel="0" collapsed="false">
      <c r="D129" s="135" t="n">
        <v>40575</v>
      </c>
      <c r="F129" s="174" t="n">
        <v>4.0695</v>
      </c>
      <c r="G129" s="175" t="n">
        <v>0.0608388275928244</v>
      </c>
      <c r="H129" s="174" t="n">
        <v>0.185</v>
      </c>
      <c r="I129" s="174" t="n">
        <v>1</v>
      </c>
      <c r="J129" s="174" t="n">
        <v>1.05</v>
      </c>
      <c r="K129" s="174" t="n">
        <v>1</v>
      </c>
      <c r="L129" s="172" t="n">
        <v>1</v>
      </c>
      <c r="M129" s="172" t="n">
        <v>1.15</v>
      </c>
      <c r="N129" s="174" t="n">
        <v>1.45</v>
      </c>
      <c r="O129" s="174" t="n">
        <v>1.05</v>
      </c>
      <c r="P129" s="174" t="n">
        <v>1</v>
      </c>
      <c r="Q129" s="174" t="n">
        <v>1.35</v>
      </c>
      <c r="R129" s="175" t="n">
        <v>1</v>
      </c>
      <c r="S129" s="175" t="n">
        <v>1.1</v>
      </c>
      <c r="T129" s="174" t="n">
        <v>1</v>
      </c>
      <c r="U129" s="174" t="n">
        <v>1.45</v>
      </c>
      <c r="V129" s="174" t="n">
        <v>1.1</v>
      </c>
      <c r="W129" s="174" t="n">
        <v>0.02</v>
      </c>
      <c r="X129" s="174" t="n">
        <v>0.03</v>
      </c>
      <c r="Y129" s="174" t="n">
        <v>0.13</v>
      </c>
      <c r="Z129" s="174" t="n">
        <v>0.02</v>
      </c>
      <c r="AA129" s="174" t="n">
        <v>0.29</v>
      </c>
      <c r="AB129" s="174" t="n">
        <v>0</v>
      </c>
      <c r="AC129" s="174" t="n">
        <v>0.34</v>
      </c>
      <c r="AD129" s="174" t="n">
        <v>0</v>
      </c>
      <c r="AE129" s="174" t="n">
        <v>0.29</v>
      </c>
      <c r="AF129" s="174" t="n">
        <v>0</v>
      </c>
      <c r="AG129" s="174" t="n">
        <v>0.17</v>
      </c>
      <c r="AH129" s="174" t="n">
        <v>0</v>
      </c>
      <c r="AI129" s="174" t="n">
        <v>0.1556</v>
      </c>
      <c r="AJ129" s="174" t="n">
        <v>0</v>
      </c>
      <c r="AK129" s="174" t="n">
        <v>0.13</v>
      </c>
      <c r="AL129" s="174" t="n">
        <v>0.035</v>
      </c>
      <c r="AM129" s="174" t="n">
        <v>-0.0665</v>
      </c>
      <c r="AN129" s="174" t="n">
        <v>0.018</v>
      </c>
      <c r="AO129" s="174" t="n">
        <v>-0.51</v>
      </c>
      <c r="AP129" s="174" t="n">
        <v>0.155</v>
      </c>
      <c r="AQ129" s="174" t="n">
        <v>-0.0465</v>
      </c>
      <c r="AR129" s="174" t="n">
        <v>0.005</v>
      </c>
      <c r="AS129" s="174" t="n">
        <v>-0.1475</v>
      </c>
      <c r="AT129" s="174" t="n">
        <v>-0.005</v>
      </c>
      <c r="AU129" s="174" t="n">
        <v>-0.1075</v>
      </c>
      <c r="AV129" s="174" t="n">
        <v>-0.01</v>
      </c>
      <c r="AW129" s="174" t="n">
        <v>-0.0465</v>
      </c>
      <c r="AX129" s="174" t="n">
        <v>0.022</v>
      </c>
      <c r="AY129" s="175" t="n">
        <v>0.155</v>
      </c>
      <c r="AZ129" s="175" t="n">
        <v>0</v>
      </c>
      <c r="BA129" s="175" t="n">
        <v>-0.13</v>
      </c>
      <c r="BB129" s="174" t="n">
        <v>0.005</v>
      </c>
      <c r="BC129" s="174" t="n">
        <v>-0.07</v>
      </c>
      <c r="BD129" s="174" t="n">
        <v>0.005</v>
      </c>
      <c r="BE129" s="174" t="n">
        <v>0.35</v>
      </c>
      <c r="BF129" s="174" t="n">
        <v>0.042</v>
      </c>
      <c r="BG129" s="174" t="n">
        <v>-0.06</v>
      </c>
      <c r="BH129" s="174" t="n">
        <v>0</v>
      </c>
      <c r="BI129" s="174" t="n">
        <v>0</v>
      </c>
      <c r="BJ129" s="136" t="n">
        <v>0.03</v>
      </c>
      <c r="BK129" s="136" t="n">
        <v>0.35</v>
      </c>
      <c r="BL129" s="136" t="n">
        <v>0.042</v>
      </c>
      <c r="BM129" s="136" t="n">
        <v>0.298</v>
      </c>
      <c r="BN129" s="136" t="n">
        <v>0</v>
      </c>
      <c r="BO129" s="136" t="n">
        <v>-0.26</v>
      </c>
      <c r="BP129" s="136" t="n">
        <v>0</v>
      </c>
      <c r="BQ129" s="136" t="n">
        <v>0.5</v>
      </c>
      <c r="BR129" s="136" t="n">
        <v>0.042</v>
      </c>
      <c r="BS129" s="136" t="n">
        <v>-0.07</v>
      </c>
      <c r="BT129" s="136" t="n">
        <v>0.005</v>
      </c>
      <c r="BU129" s="136" t="n">
        <v>0.3</v>
      </c>
      <c r="BV129" s="136" t="n">
        <v>0</v>
      </c>
      <c r="BW129" s="136" t="n">
        <v>0</v>
      </c>
      <c r="BX129" s="136" t="n">
        <v>0</v>
      </c>
      <c r="BY129" s="136" t="n">
        <v>-0.013</v>
      </c>
      <c r="BZ129" s="136" t="n">
        <v>0.0575</v>
      </c>
      <c r="CA129" s="136" t="n">
        <v>0.235</v>
      </c>
      <c r="CB129" s="136" t="n">
        <v>0.005</v>
      </c>
      <c r="CC129" s="136" t="n">
        <v>-0.013</v>
      </c>
      <c r="CD129" s="136" t="n">
        <v>0.0037</v>
      </c>
      <c r="CE129" s="136" t="n">
        <v>0.0025</v>
      </c>
      <c r="CF129" s="136" t="n">
        <v>0.0025</v>
      </c>
      <c r="CG129" s="136" t="n">
        <v>-0.013</v>
      </c>
      <c r="CH129" s="136" t="n">
        <v>0.0037</v>
      </c>
      <c r="CI129" s="136" t="n">
        <v>-0.1085</v>
      </c>
      <c r="CJ129" s="136" t="n">
        <v>0.0025</v>
      </c>
      <c r="CK129" s="136" t="n">
        <v>0.075</v>
      </c>
      <c r="CL129" s="136" t="n">
        <v>0.0025</v>
      </c>
      <c r="CM129" s="136" t="n">
        <v>-0.064</v>
      </c>
      <c r="CN129" s="136" t="n">
        <v>0.01</v>
      </c>
      <c r="CO129" s="136" t="n">
        <v>-0.008999999</v>
      </c>
      <c r="CP129" s="136" t="n">
        <v>0.0075</v>
      </c>
      <c r="CQ129" s="136" t="n">
        <v>0.031</v>
      </c>
      <c r="CR129" s="136" t="n">
        <v>0.0125</v>
      </c>
      <c r="CS129" s="136" t="n">
        <v>1.6</v>
      </c>
      <c r="CT129" s="136" t="n">
        <v>0.45</v>
      </c>
      <c r="CU129" s="136" t="n">
        <v>0.298</v>
      </c>
      <c r="CV129" s="136" t="n">
        <v>0</v>
      </c>
      <c r="CW129" s="136" t="n">
        <v>0.34</v>
      </c>
      <c r="CX129" s="136" t="n">
        <v>0.02</v>
      </c>
      <c r="CY129" s="136" t="n">
        <v>-0.52</v>
      </c>
      <c r="CZ129" s="136" t="n">
        <v>0</v>
      </c>
      <c r="DA129" s="136" t="n">
        <v>-0.34</v>
      </c>
      <c r="DB129" s="136" t="n">
        <v>0</v>
      </c>
      <c r="DC129" s="136" t="n">
        <v>0.35</v>
      </c>
      <c r="DE129" s="136" t="n">
        <v>-0.042</v>
      </c>
      <c r="DF129" s="136" t="n">
        <v>0.0125</v>
      </c>
      <c r="DG129" s="136" t="n">
        <v>0.01</v>
      </c>
      <c r="DH129" s="136" t="n">
        <v>0.0075</v>
      </c>
      <c r="DI129" s="136" t="n">
        <v>-0.0075</v>
      </c>
      <c r="DJ129" s="136" t="n">
        <v>0.0025</v>
      </c>
      <c r="DK129" s="136" t="n">
        <v>-0.0805</v>
      </c>
      <c r="DL129" s="136" t="n">
        <v>0.0025</v>
      </c>
      <c r="DM129" s="136" t="n">
        <v>-0.0575</v>
      </c>
      <c r="DN129" s="136" t="n">
        <v>0.0025</v>
      </c>
      <c r="DO129" s="136" t="n">
        <v>-0.08</v>
      </c>
      <c r="DP129" s="136" t="n">
        <v>0.0025</v>
      </c>
      <c r="DQ129" s="136" t="n">
        <v>-0.1105</v>
      </c>
      <c r="DR129" s="136" t="n">
        <v>-0.005</v>
      </c>
      <c r="DS129" s="136" t="n">
        <v>1.04</v>
      </c>
      <c r="DT129" s="136" t="n">
        <v>0.05</v>
      </c>
      <c r="DU129" s="136" t="n">
        <v>0</v>
      </c>
      <c r="DV129" s="136" t="n">
        <v>0</v>
      </c>
    </row>
    <row r="130" customFormat="false" ht="12.75" hidden="false" customHeight="false" outlineLevel="0" collapsed="false">
      <c r="D130" s="135" t="n">
        <v>40603</v>
      </c>
      <c r="F130" s="174" t="n">
        <v>3.9395</v>
      </c>
      <c r="G130" s="175" t="n">
        <v>0.0609373812900396</v>
      </c>
      <c r="H130" s="174" t="n">
        <v>0.18</v>
      </c>
      <c r="I130" s="174" t="n">
        <v>0.75</v>
      </c>
      <c r="J130" s="174" t="n">
        <v>0.8</v>
      </c>
      <c r="K130" s="174" t="n">
        <v>0.75</v>
      </c>
      <c r="L130" s="172" t="n">
        <v>0.75</v>
      </c>
      <c r="M130" s="172" t="n">
        <v>0.85</v>
      </c>
      <c r="N130" s="174" t="n">
        <v>1</v>
      </c>
      <c r="O130" s="174" t="n">
        <v>0.75</v>
      </c>
      <c r="P130" s="174" t="n">
        <v>0.75</v>
      </c>
      <c r="Q130" s="174" t="n">
        <v>0.95</v>
      </c>
      <c r="R130" s="175" t="n">
        <v>0.75</v>
      </c>
      <c r="S130" s="175" t="n">
        <v>0.75</v>
      </c>
      <c r="T130" s="174" t="n">
        <v>0.75</v>
      </c>
      <c r="U130" s="174" t="n">
        <v>1</v>
      </c>
      <c r="V130" s="174" t="n">
        <v>0.85</v>
      </c>
      <c r="W130" s="174" t="n">
        <v>0</v>
      </c>
      <c r="X130" s="174" t="n">
        <v>0.03</v>
      </c>
      <c r="Y130" s="174" t="n">
        <v>0.13</v>
      </c>
      <c r="Z130" s="174" t="n">
        <v>0.02</v>
      </c>
      <c r="AA130" s="174" t="n">
        <v>0.29</v>
      </c>
      <c r="AB130" s="174" t="n">
        <v>0</v>
      </c>
      <c r="AC130" s="174" t="n">
        <v>0.34</v>
      </c>
      <c r="AD130" s="174" t="n">
        <v>0</v>
      </c>
      <c r="AE130" s="174" t="n">
        <v>0.29</v>
      </c>
      <c r="AF130" s="174" t="n">
        <v>0</v>
      </c>
      <c r="AG130" s="174" t="n">
        <v>0.17</v>
      </c>
      <c r="AH130" s="174" t="n">
        <v>0</v>
      </c>
      <c r="AI130" s="174" t="n">
        <v>0.15144</v>
      </c>
      <c r="AJ130" s="174" t="n">
        <v>0</v>
      </c>
      <c r="AK130" s="174" t="n">
        <v>0.13</v>
      </c>
      <c r="AL130" s="174" t="n">
        <v>0.035</v>
      </c>
      <c r="AM130" s="174" t="n">
        <v>-0.0665</v>
      </c>
      <c r="AN130" s="174" t="n">
        <v>0.018</v>
      </c>
      <c r="AO130" s="174" t="n">
        <v>-0.51</v>
      </c>
      <c r="AP130" s="174" t="n">
        <v>0.155</v>
      </c>
      <c r="AQ130" s="174" t="n">
        <v>-0.0465</v>
      </c>
      <c r="AR130" s="174" t="n">
        <v>0.005</v>
      </c>
      <c r="AS130" s="174" t="n">
        <v>-0.145</v>
      </c>
      <c r="AT130" s="174" t="n">
        <v>-0.005</v>
      </c>
      <c r="AU130" s="174" t="n">
        <v>-0.105</v>
      </c>
      <c r="AV130" s="174" t="n">
        <v>-0.01</v>
      </c>
      <c r="AW130" s="174" t="n">
        <v>-0.0465</v>
      </c>
      <c r="AX130" s="174" t="n">
        <v>0.022</v>
      </c>
      <c r="AY130" s="175" t="n">
        <v>0.155</v>
      </c>
      <c r="AZ130" s="175" t="n">
        <v>0</v>
      </c>
      <c r="BA130" s="175" t="n">
        <v>-0.13</v>
      </c>
      <c r="BB130" s="174" t="n">
        <v>0.005</v>
      </c>
      <c r="BC130" s="174" t="n">
        <v>-0.07</v>
      </c>
      <c r="BD130" s="174" t="n">
        <v>0.005</v>
      </c>
      <c r="BE130" s="174" t="n">
        <v>0.35</v>
      </c>
      <c r="BF130" s="174" t="n">
        <v>0.042</v>
      </c>
      <c r="BG130" s="174" t="n">
        <v>-0.06</v>
      </c>
      <c r="BH130" s="174" t="n">
        <v>0</v>
      </c>
      <c r="BI130" s="174" t="n">
        <v>0</v>
      </c>
      <c r="BJ130" s="136" t="n">
        <v>0.03</v>
      </c>
      <c r="BK130" s="136" t="n">
        <v>0.35</v>
      </c>
      <c r="BL130" s="136" t="n">
        <v>0.042</v>
      </c>
      <c r="BM130" s="136" t="n">
        <v>0.118</v>
      </c>
      <c r="BN130" s="136" t="n">
        <v>0</v>
      </c>
      <c r="BO130" s="136" t="n">
        <v>-0.26</v>
      </c>
      <c r="BP130" s="136" t="n">
        <v>0</v>
      </c>
      <c r="BQ130" s="136" t="n">
        <v>0.5</v>
      </c>
      <c r="BR130" s="136" t="n">
        <v>0.042</v>
      </c>
      <c r="BS130" s="136" t="n">
        <v>-0.07</v>
      </c>
      <c r="BT130" s="136" t="n">
        <v>0.005</v>
      </c>
      <c r="BU130" s="136" t="n">
        <v>0.3</v>
      </c>
      <c r="BV130" s="136" t="n">
        <v>0</v>
      </c>
      <c r="BW130" s="136" t="n">
        <v>0</v>
      </c>
      <c r="BX130" s="136" t="n">
        <v>0</v>
      </c>
      <c r="BY130" s="136" t="n">
        <v>-0.013</v>
      </c>
      <c r="BZ130" s="136" t="n">
        <v>0.0575</v>
      </c>
      <c r="CA130" s="136" t="n">
        <v>0.195</v>
      </c>
      <c r="CB130" s="136" t="n">
        <v>0.005</v>
      </c>
      <c r="CC130" s="136" t="n">
        <v>-0.013</v>
      </c>
      <c r="CD130" s="136" t="n">
        <v>0.0037</v>
      </c>
      <c r="CE130" s="136" t="n">
        <v>0.0025</v>
      </c>
      <c r="CF130" s="136" t="n">
        <v>0.0025</v>
      </c>
      <c r="CG130" s="136" t="n">
        <v>-0.013</v>
      </c>
      <c r="CH130" s="136" t="n">
        <v>0.0037</v>
      </c>
      <c r="CI130" s="136" t="n">
        <v>-0.1085</v>
      </c>
      <c r="CJ130" s="136" t="n">
        <v>0.0025</v>
      </c>
      <c r="CK130" s="136" t="n">
        <v>0.075</v>
      </c>
      <c r="CL130" s="136" t="n">
        <v>0.0025</v>
      </c>
      <c r="CM130" s="136" t="n">
        <v>-0.064</v>
      </c>
      <c r="CN130" s="136" t="n">
        <v>0.01</v>
      </c>
      <c r="CO130" s="136" t="n">
        <v>-0.008999999</v>
      </c>
      <c r="CP130" s="136" t="n">
        <v>0.0075</v>
      </c>
      <c r="CQ130" s="136" t="n">
        <v>0.031</v>
      </c>
      <c r="CR130" s="136" t="n">
        <v>0.0125</v>
      </c>
      <c r="CS130" s="136" t="n">
        <v>0.64</v>
      </c>
      <c r="CT130" s="136" t="n">
        <v>0.1</v>
      </c>
      <c r="CU130" s="136" t="n">
        <v>0.118</v>
      </c>
      <c r="CV130" s="136" t="n">
        <v>0</v>
      </c>
      <c r="CW130" s="136" t="n">
        <v>0.29</v>
      </c>
      <c r="CX130" s="136" t="n">
        <v>0.02</v>
      </c>
      <c r="CY130" s="136" t="n">
        <v>-0.52</v>
      </c>
      <c r="CZ130" s="136" t="n">
        <v>0</v>
      </c>
      <c r="DA130" s="136" t="n">
        <v>-0.34</v>
      </c>
      <c r="DB130" s="136" t="n">
        <v>0</v>
      </c>
      <c r="DC130" s="136" t="n">
        <v>0.4</v>
      </c>
      <c r="DE130" s="136" t="n">
        <v>-0.042</v>
      </c>
      <c r="DF130" s="136" t="n">
        <v>0.0125</v>
      </c>
      <c r="DG130" s="136" t="n">
        <v>0.015</v>
      </c>
      <c r="DH130" s="136" t="n">
        <v>0.0075</v>
      </c>
      <c r="DI130" s="136" t="n">
        <v>-0.0025</v>
      </c>
      <c r="DJ130" s="136" t="n">
        <v>0.0025</v>
      </c>
      <c r="DK130" s="136" t="n">
        <v>-0.0705</v>
      </c>
      <c r="DL130" s="136" t="n">
        <v>0.0025</v>
      </c>
      <c r="DM130" s="136" t="n">
        <v>-0.0575</v>
      </c>
      <c r="DN130" s="136" t="n">
        <v>0.0025</v>
      </c>
      <c r="DO130" s="136" t="n">
        <v>-0.08</v>
      </c>
      <c r="DP130" s="136" t="n">
        <v>0.0025</v>
      </c>
      <c r="DQ130" s="136" t="n">
        <v>-0.1005</v>
      </c>
      <c r="DR130" s="136" t="n">
        <v>-0.005</v>
      </c>
      <c r="DS130" s="136" t="n">
        <v>0.54</v>
      </c>
      <c r="DT130" s="136" t="n">
        <v>0.05</v>
      </c>
      <c r="DU130" s="136" t="n">
        <v>0</v>
      </c>
      <c r="DV130" s="136" t="n">
        <v>0</v>
      </c>
    </row>
    <row r="131" customFormat="false" ht="12.75" hidden="false" customHeight="false" outlineLevel="0" collapsed="false">
      <c r="D131" s="135" t="n">
        <v>40634</v>
      </c>
      <c r="F131" s="174" t="n">
        <v>3.7545</v>
      </c>
      <c r="G131" s="175" t="n">
        <v>0.0610464943157187</v>
      </c>
      <c r="H131" s="174" t="n">
        <v>0.18</v>
      </c>
      <c r="I131" s="174" t="n">
        <v>0.4</v>
      </c>
      <c r="J131" s="174" t="n">
        <v>0.45</v>
      </c>
      <c r="K131" s="174" t="n">
        <v>0.4</v>
      </c>
      <c r="L131" s="172" t="n">
        <v>0.45</v>
      </c>
      <c r="M131" s="172" t="n">
        <v>0.45</v>
      </c>
      <c r="N131" s="174" t="n">
        <v>0.45</v>
      </c>
      <c r="O131" s="174" t="n">
        <v>0.45</v>
      </c>
      <c r="P131" s="174" t="n">
        <v>0.45</v>
      </c>
      <c r="Q131" s="174" t="n">
        <v>0.5</v>
      </c>
      <c r="R131" s="175" t="n">
        <v>0.4</v>
      </c>
      <c r="S131" s="175" t="n">
        <v>0.45</v>
      </c>
      <c r="T131" s="174" t="n">
        <v>0.4</v>
      </c>
      <c r="U131" s="174" t="n">
        <v>0.45</v>
      </c>
      <c r="V131" s="174" t="n">
        <v>0.55</v>
      </c>
      <c r="W131" s="174" t="n">
        <v>-0.09</v>
      </c>
      <c r="X131" s="174" t="n">
        <v>0</v>
      </c>
      <c r="Y131" s="174" t="n">
        <v>0.04</v>
      </c>
      <c r="Z131" s="174" t="n">
        <v>0.005</v>
      </c>
      <c r="AA131" s="174" t="n">
        <v>0.175</v>
      </c>
      <c r="AB131" s="174" t="n">
        <v>0</v>
      </c>
      <c r="AC131" s="174" t="n">
        <v>0.14</v>
      </c>
      <c r="AD131" s="174" t="n">
        <v>0</v>
      </c>
      <c r="AE131" s="174" t="n">
        <v>0.175</v>
      </c>
      <c r="AF131" s="174" t="n">
        <v>0</v>
      </c>
      <c r="AG131" s="174" t="n">
        <v>0.14</v>
      </c>
      <c r="AH131" s="174" t="n">
        <v>0</v>
      </c>
      <c r="AI131" s="174" t="n">
        <v>0.14</v>
      </c>
      <c r="AJ131" s="174" t="n">
        <v>0</v>
      </c>
      <c r="AK131" s="174" t="n">
        <v>0.04</v>
      </c>
      <c r="AL131" s="174" t="n">
        <v>0.04</v>
      </c>
      <c r="AM131" s="174" t="n">
        <v>-0.049</v>
      </c>
      <c r="AN131" s="174" t="n">
        <v>0.025</v>
      </c>
      <c r="AO131" s="174" t="n">
        <v>-0.56</v>
      </c>
      <c r="AP131" s="174" t="n">
        <v>0.155</v>
      </c>
      <c r="AQ131" s="174" t="n">
        <v>-0.044</v>
      </c>
      <c r="AR131" s="174" t="n">
        <v>0</v>
      </c>
      <c r="AS131" s="174" t="n">
        <v>-0.15</v>
      </c>
      <c r="AT131" s="174" t="n">
        <v>-0.015</v>
      </c>
      <c r="AU131" s="174" t="n">
        <v>-0.11</v>
      </c>
      <c r="AV131" s="174" t="n">
        <v>0.02</v>
      </c>
      <c r="AW131" s="174" t="n">
        <v>-0.044</v>
      </c>
      <c r="AX131" s="174" t="n">
        <v>0.014</v>
      </c>
      <c r="AY131" s="175" t="n">
        <v>0.125</v>
      </c>
      <c r="AZ131" s="175" t="n">
        <v>0</v>
      </c>
      <c r="BA131" s="175" t="n">
        <v>-0.195</v>
      </c>
      <c r="BB131" s="174" t="n">
        <v>0.0025</v>
      </c>
      <c r="BC131" s="174" t="n">
        <v>-0.07</v>
      </c>
      <c r="BD131" s="174" t="n">
        <v>0.005</v>
      </c>
      <c r="BE131" s="174" t="n">
        <v>0.43</v>
      </c>
      <c r="BF131" s="174" t="n">
        <v>0.042</v>
      </c>
      <c r="BG131" s="174" t="n">
        <v>-0.06</v>
      </c>
      <c r="BH131" s="174" t="n">
        <v>0</v>
      </c>
      <c r="BI131" s="174" t="n">
        <v>0</v>
      </c>
      <c r="BJ131" s="136" t="n">
        <v>0.03</v>
      </c>
      <c r="BK131" s="136" t="n">
        <v>0.43</v>
      </c>
      <c r="BL131" s="136" t="n">
        <v>0.042</v>
      </c>
      <c r="BM131" s="136" t="n">
        <v>-0.2</v>
      </c>
      <c r="BN131" s="136" t="n">
        <v>0</v>
      </c>
      <c r="BO131" s="136" t="n">
        <v>-0.37</v>
      </c>
      <c r="BP131" s="136" t="n">
        <v>0</v>
      </c>
      <c r="BQ131" s="136" t="n">
        <v>0.5</v>
      </c>
      <c r="BR131" s="136" t="n">
        <v>0.042</v>
      </c>
      <c r="BS131" s="136" t="n">
        <v>-0.07</v>
      </c>
      <c r="BT131" s="136" t="n">
        <v>0.005</v>
      </c>
      <c r="BU131" s="136" t="n">
        <v>0.3</v>
      </c>
      <c r="BV131" s="136" t="n">
        <v>0</v>
      </c>
      <c r="BW131" s="136" t="n">
        <v>0</v>
      </c>
      <c r="BX131" s="136" t="n">
        <v>0</v>
      </c>
      <c r="BY131" s="136" t="n">
        <v>-0.013</v>
      </c>
      <c r="BZ131" s="136" t="n">
        <v>0.0575</v>
      </c>
      <c r="CA131" s="136" t="n">
        <v>0.145</v>
      </c>
      <c r="CB131" s="136" t="n">
        <v>0.005</v>
      </c>
      <c r="CC131" s="136" t="n">
        <v>-0.013</v>
      </c>
      <c r="CD131" s="136" t="n">
        <v>0.0035</v>
      </c>
      <c r="CE131" s="136" t="n">
        <v>0.0025</v>
      </c>
      <c r="CF131" s="136" t="n">
        <v>0.0025</v>
      </c>
      <c r="CG131" s="136" t="n">
        <v>-0.013</v>
      </c>
      <c r="CH131" s="136" t="n">
        <v>0.0035</v>
      </c>
      <c r="CI131" s="136" t="n">
        <v>-0.1285</v>
      </c>
      <c r="CJ131" s="136" t="n">
        <v>0.0025</v>
      </c>
      <c r="CK131" s="136" t="n">
        <v>0.0775</v>
      </c>
      <c r="CL131" s="136" t="n">
        <v>0.0025</v>
      </c>
      <c r="CM131" s="136" t="n">
        <v>-0.072</v>
      </c>
      <c r="CN131" s="136" t="n">
        <v>0.0075</v>
      </c>
      <c r="CO131" s="136" t="n">
        <v>-0.017</v>
      </c>
      <c r="CP131" s="136" t="n">
        <v>0.005</v>
      </c>
      <c r="CQ131" s="136" t="n">
        <v>0.023</v>
      </c>
      <c r="CR131" s="136" t="n">
        <v>0.0075</v>
      </c>
      <c r="CS131" s="136" t="n">
        <v>0.38</v>
      </c>
      <c r="CT131" s="136" t="n">
        <v>0.02</v>
      </c>
      <c r="CU131" s="136" t="n">
        <v>-0.2</v>
      </c>
      <c r="CV131" s="136" t="n">
        <v>0</v>
      </c>
      <c r="CW131" s="136" t="n">
        <v>0.195</v>
      </c>
      <c r="CX131" s="136" t="n">
        <v>0.0075</v>
      </c>
      <c r="CY131" s="136" t="n">
        <v>-0.63</v>
      </c>
      <c r="CZ131" s="136" t="n">
        <v>0</v>
      </c>
      <c r="DA131" s="136" t="n">
        <v>-0.45</v>
      </c>
      <c r="DB131" s="136" t="n">
        <v>0</v>
      </c>
      <c r="DC131" s="136" t="n">
        <v>0.6</v>
      </c>
      <c r="DE131" s="136" t="n">
        <v>-0.0495</v>
      </c>
      <c r="DF131" s="136" t="n">
        <v>0.01</v>
      </c>
      <c r="DG131" s="136" t="n">
        <v>0.015</v>
      </c>
      <c r="DH131" s="136" t="n">
        <v>0.01</v>
      </c>
      <c r="DI131" s="136" t="n">
        <v>-0.0025</v>
      </c>
      <c r="DJ131" s="136" t="n">
        <v>0.0075</v>
      </c>
      <c r="DK131" s="136" t="n">
        <v>-0.1135</v>
      </c>
      <c r="DL131" s="136" t="n">
        <v>0.005</v>
      </c>
      <c r="DM131" s="136" t="n">
        <v>-0.055</v>
      </c>
      <c r="DN131" s="136" t="n">
        <v>0.0025</v>
      </c>
      <c r="DO131" s="136" t="n">
        <v>-0.0775</v>
      </c>
      <c r="DP131" s="136" t="n">
        <v>0.0025</v>
      </c>
      <c r="DQ131" s="136" t="n">
        <v>-0.1435</v>
      </c>
      <c r="DR131" s="136" t="n">
        <v>-0.005</v>
      </c>
      <c r="DS131" s="136" t="n">
        <v>0.36</v>
      </c>
      <c r="DT131" s="136" t="n">
        <v>0.005</v>
      </c>
      <c r="DU131" s="136" t="n">
        <v>0</v>
      </c>
      <c r="DV131" s="136" t="n">
        <v>0</v>
      </c>
    </row>
    <row r="132" customFormat="false" ht="12.75" hidden="false" customHeight="false" outlineLevel="0" collapsed="false">
      <c r="D132" s="135" t="n">
        <v>40664</v>
      </c>
      <c r="F132" s="174" t="n">
        <v>3.7495</v>
      </c>
      <c r="G132" s="175" t="n">
        <v>0.0611520875701412</v>
      </c>
      <c r="H132" s="174" t="n">
        <v>0.18</v>
      </c>
      <c r="I132" s="174" t="n">
        <v>0.45</v>
      </c>
      <c r="J132" s="174" t="n">
        <v>0.5</v>
      </c>
      <c r="K132" s="174" t="n">
        <v>0.4</v>
      </c>
      <c r="L132" s="172" t="n">
        <v>0.4</v>
      </c>
      <c r="M132" s="172" t="n">
        <v>0.45</v>
      </c>
      <c r="N132" s="174" t="n">
        <v>0.5</v>
      </c>
      <c r="O132" s="174" t="n">
        <v>0.45</v>
      </c>
      <c r="P132" s="174" t="n">
        <v>0.4</v>
      </c>
      <c r="Q132" s="174" t="n">
        <v>0.45</v>
      </c>
      <c r="R132" s="175" t="n">
        <v>0.45</v>
      </c>
      <c r="S132" s="175" t="n">
        <v>0.5</v>
      </c>
      <c r="T132" s="174" t="n">
        <v>0.45</v>
      </c>
      <c r="U132" s="174" t="n">
        <v>0.5</v>
      </c>
      <c r="V132" s="174" t="n">
        <v>0.5</v>
      </c>
      <c r="W132" s="174" t="n">
        <v>-0.09</v>
      </c>
      <c r="X132" s="174" t="n">
        <v>0</v>
      </c>
      <c r="Y132" s="174" t="n">
        <v>0.04</v>
      </c>
      <c r="Z132" s="174" t="n">
        <v>0.005</v>
      </c>
      <c r="AA132" s="174" t="n">
        <v>0.175</v>
      </c>
      <c r="AB132" s="174" t="n">
        <v>0</v>
      </c>
      <c r="AC132" s="174" t="n">
        <v>0.14</v>
      </c>
      <c r="AD132" s="174" t="n">
        <v>0</v>
      </c>
      <c r="AE132" s="174" t="n">
        <v>0.175</v>
      </c>
      <c r="AF132" s="174" t="n">
        <v>0</v>
      </c>
      <c r="AG132" s="174" t="n">
        <v>0.14</v>
      </c>
      <c r="AH132" s="174" t="n">
        <v>0</v>
      </c>
      <c r="AI132" s="174" t="n">
        <v>0.14</v>
      </c>
      <c r="AJ132" s="174" t="n">
        <v>0</v>
      </c>
      <c r="AK132" s="174" t="n">
        <v>0.04</v>
      </c>
      <c r="AL132" s="174" t="n">
        <v>0.04</v>
      </c>
      <c r="AM132" s="174" t="n">
        <v>-0.049</v>
      </c>
      <c r="AN132" s="174" t="n">
        <v>0.025</v>
      </c>
      <c r="AO132" s="174" t="n">
        <v>-0.56</v>
      </c>
      <c r="AP132" s="174" t="n">
        <v>0.155</v>
      </c>
      <c r="AQ132" s="174" t="n">
        <v>-0.044</v>
      </c>
      <c r="AR132" s="174" t="n">
        <v>0</v>
      </c>
      <c r="AS132" s="174" t="n">
        <v>-0.15</v>
      </c>
      <c r="AT132" s="174" t="n">
        <v>-0.015</v>
      </c>
      <c r="AU132" s="174" t="n">
        <v>-0.11</v>
      </c>
      <c r="AV132" s="174" t="n">
        <v>0.02</v>
      </c>
      <c r="AW132" s="174" t="n">
        <v>-0.044</v>
      </c>
      <c r="AX132" s="174" t="n">
        <v>0.014</v>
      </c>
      <c r="AY132" s="175" t="n">
        <v>0.125</v>
      </c>
      <c r="AZ132" s="175" t="n">
        <v>0</v>
      </c>
      <c r="BA132" s="175" t="n">
        <v>-0.195</v>
      </c>
      <c r="BB132" s="174" t="n">
        <v>0.0025</v>
      </c>
      <c r="BC132" s="174" t="n">
        <v>-0.07</v>
      </c>
      <c r="BD132" s="174" t="n">
        <v>0.005</v>
      </c>
      <c r="BE132" s="174" t="n">
        <v>0.43</v>
      </c>
      <c r="BF132" s="174" t="n">
        <v>0</v>
      </c>
      <c r="BG132" s="174" t="n">
        <v>-0.06</v>
      </c>
      <c r="BH132" s="174" t="n">
        <v>0</v>
      </c>
      <c r="BI132" s="174" t="n">
        <v>0</v>
      </c>
      <c r="BJ132" s="136" t="n">
        <v>0.03</v>
      </c>
      <c r="BK132" s="136" t="n">
        <v>0.43</v>
      </c>
      <c r="BL132" s="136" t="n">
        <v>0</v>
      </c>
      <c r="BM132" s="136" t="n">
        <v>-0.05</v>
      </c>
      <c r="BN132" s="136" t="n">
        <v>0</v>
      </c>
      <c r="BO132" s="136" t="n">
        <v>-0.37</v>
      </c>
      <c r="BP132" s="136" t="n">
        <v>0</v>
      </c>
      <c r="BQ132" s="136" t="n">
        <v>0.5</v>
      </c>
      <c r="BR132" s="136" t="n">
        <v>0</v>
      </c>
      <c r="BS132" s="136" t="n">
        <v>-0.07</v>
      </c>
      <c r="BT132" s="136" t="n">
        <v>0.005</v>
      </c>
      <c r="BU132" s="136" t="n">
        <v>0.3</v>
      </c>
      <c r="BV132" s="136" t="n">
        <v>0</v>
      </c>
      <c r="BW132" s="136" t="n">
        <v>0</v>
      </c>
      <c r="BX132" s="136" t="n">
        <v>0</v>
      </c>
      <c r="BY132" s="136" t="n">
        <v>-0.013</v>
      </c>
      <c r="BZ132" s="136" t="n">
        <v>0.0575</v>
      </c>
      <c r="CA132" s="136" t="n">
        <v>0.125</v>
      </c>
      <c r="CB132" s="136" t="n">
        <v>0.005</v>
      </c>
      <c r="CC132" s="136" t="n">
        <v>-0.013</v>
      </c>
      <c r="CD132" s="136" t="n">
        <v>0.0035</v>
      </c>
      <c r="CE132" s="136" t="n">
        <v>0.0025</v>
      </c>
      <c r="CF132" s="136" t="n">
        <v>0.0025</v>
      </c>
      <c r="CG132" s="136" t="n">
        <v>-0.013</v>
      </c>
      <c r="CH132" s="136" t="n">
        <v>0.0035</v>
      </c>
      <c r="CI132" s="136" t="n">
        <v>-0.116</v>
      </c>
      <c r="CJ132" s="136" t="n">
        <v>0.0025</v>
      </c>
      <c r="CK132" s="136" t="n">
        <v>0.0775</v>
      </c>
      <c r="CL132" s="136" t="n">
        <v>0.0025</v>
      </c>
      <c r="CM132" s="136" t="n">
        <v>-0.072</v>
      </c>
      <c r="CN132" s="136" t="n">
        <v>0.0075</v>
      </c>
      <c r="CO132" s="136" t="n">
        <v>-0.017</v>
      </c>
      <c r="CP132" s="136" t="n">
        <v>0.005</v>
      </c>
      <c r="CQ132" s="136" t="n">
        <v>0.023</v>
      </c>
      <c r="CR132" s="136" t="n">
        <v>0.0075</v>
      </c>
      <c r="CS132" s="136" t="n">
        <v>0.33</v>
      </c>
      <c r="CT132" s="136" t="n">
        <v>0.02</v>
      </c>
      <c r="CU132" s="136" t="n">
        <v>-0.05</v>
      </c>
      <c r="CV132" s="136" t="n">
        <v>0</v>
      </c>
      <c r="CW132" s="136" t="n">
        <v>0.135</v>
      </c>
      <c r="CX132" s="136" t="n">
        <v>0.0075</v>
      </c>
      <c r="CY132" s="136" t="n">
        <v>-0.63</v>
      </c>
      <c r="CZ132" s="136" t="n">
        <v>0</v>
      </c>
      <c r="DA132" s="136" t="n">
        <v>-0.45</v>
      </c>
      <c r="DB132" s="136" t="n">
        <v>0</v>
      </c>
      <c r="DC132" s="136" t="n">
        <v>0.75</v>
      </c>
      <c r="DE132" s="136" t="n">
        <v>-0.0495</v>
      </c>
      <c r="DF132" s="136" t="n">
        <v>0.01</v>
      </c>
      <c r="DG132" s="136" t="n">
        <v>0.0175</v>
      </c>
      <c r="DH132" s="136" t="n">
        <v>0.01</v>
      </c>
      <c r="DI132" s="136" t="n">
        <v>0</v>
      </c>
      <c r="DJ132" s="136" t="n">
        <v>0.0075</v>
      </c>
      <c r="DK132" s="136" t="n">
        <v>-0.091</v>
      </c>
      <c r="DL132" s="136" t="n">
        <v>0.005</v>
      </c>
      <c r="DM132" s="136" t="n">
        <v>-0.055</v>
      </c>
      <c r="DN132" s="136" t="n">
        <v>0.0025</v>
      </c>
      <c r="DO132" s="136" t="n">
        <v>-0.0775</v>
      </c>
      <c r="DP132" s="136" t="n">
        <v>0.0025</v>
      </c>
      <c r="DQ132" s="136" t="n">
        <v>-0.121</v>
      </c>
      <c r="DR132" s="136" t="n">
        <v>-0.005</v>
      </c>
      <c r="DS132" s="136" t="n">
        <v>0.325</v>
      </c>
      <c r="DT132" s="136" t="n">
        <v>0.005</v>
      </c>
      <c r="DU132" s="136" t="n">
        <v>0</v>
      </c>
      <c r="DV132" s="136" t="n">
        <v>0</v>
      </c>
    </row>
    <row r="133" customFormat="false" ht="12.75" hidden="false" customHeight="false" outlineLevel="0" collapsed="false">
      <c r="D133" s="135" t="n">
        <v>40695</v>
      </c>
      <c r="F133" s="174" t="n">
        <v>3.7845</v>
      </c>
      <c r="G133" s="175" t="n">
        <v>0.0612612006036004</v>
      </c>
      <c r="H133" s="174" t="n">
        <v>0.18</v>
      </c>
      <c r="I133" s="174" t="n">
        <v>0.45</v>
      </c>
      <c r="J133" s="174" t="n">
        <v>0.5</v>
      </c>
      <c r="K133" s="174" t="n">
        <v>0.4</v>
      </c>
      <c r="L133" s="172" t="n">
        <v>0.5</v>
      </c>
      <c r="M133" s="172" t="n">
        <v>0.45</v>
      </c>
      <c r="N133" s="174" t="n">
        <v>0.5</v>
      </c>
      <c r="O133" s="174" t="n">
        <v>0.5</v>
      </c>
      <c r="P133" s="174" t="n">
        <v>0.5</v>
      </c>
      <c r="Q133" s="174" t="n">
        <v>0.5</v>
      </c>
      <c r="R133" s="175" t="n">
        <v>0.45</v>
      </c>
      <c r="S133" s="175" t="n">
        <v>0.5</v>
      </c>
      <c r="T133" s="174" t="n">
        <v>0.45</v>
      </c>
      <c r="U133" s="174" t="n">
        <v>0.5</v>
      </c>
      <c r="V133" s="174" t="n">
        <v>0.6</v>
      </c>
      <c r="W133" s="174" t="n">
        <v>-0.09</v>
      </c>
      <c r="X133" s="174" t="n">
        <v>0</v>
      </c>
      <c r="Y133" s="174" t="n">
        <v>0.04</v>
      </c>
      <c r="Z133" s="174" t="n">
        <v>0.005</v>
      </c>
      <c r="AA133" s="174" t="n">
        <v>0.175</v>
      </c>
      <c r="AB133" s="174" t="n">
        <v>0</v>
      </c>
      <c r="AC133" s="174" t="n">
        <v>0.14</v>
      </c>
      <c r="AD133" s="174" t="n">
        <v>0</v>
      </c>
      <c r="AE133" s="174" t="n">
        <v>0.175</v>
      </c>
      <c r="AF133" s="174" t="n">
        <v>0</v>
      </c>
      <c r="AG133" s="174" t="n">
        <v>0.14</v>
      </c>
      <c r="AH133" s="174" t="n">
        <v>0</v>
      </c>
      <c r="AI133" s="174" t="n">
        <v>0.14</v>
      </c>
      <c r="AJ133" s="174" t="n">
        <v>0</v>
      </c>
      <c r="AK133" s="174" t="n">
        <v>0.04</v>
      </c>
      <c r="AL133" s="174" t="n">
        <v>0.04</v>
      </c>
      <c r="AM133" s="174" t="n">
        <v>-0.049</v>
      </c>
      <c r="AN133" s="174" t="n">
        <v>0.025</v>
      </c>
      <c r="AO133" s="174" t="n">
        <v>-0.56</v>
      </c>
      <c r="AP133" s="174" t="n">
        <v>0.155</v>
      </c>
      <c r="AQ133" s="174" t="n">
        <v>-0.044</v>
      </c>
      <c r="AR133" s="174" t="n">
        <v>0</v>
      </c>
      <c r="AS133" s="174" t="n">
        <v>-0.15</v>
      </c>
      <c r="AT133" s="174" t="n">
        <v>-0.015</v>
      </c>
      <c r="AU133" s="174" t="n">
        <v>-0.11</v>
      </c>
      <c r="AV133" s="174" t="n">
        <v>0.02</v>
      </c>
      <c r="AW133" s="174" t="n">
        <v>-0.044</v>
      </c>
      <c r="AX133" s="174" t="n">
        <v>0.014</v>
      </c>
      <c r="AY133" s="175" t="n">
        <v>0.125</v>
      </c>
      <c r="AZ133" s="175" t="n">
        <v>0</v>
      </c>
      <c r="BA133" s="175" t="n">
        <v>-0.195</v>
      </c>
      <c r="BB133" s="174" t="n">
        <v>0.0025</v>
      </c>
      <c r="BC133" s="174" t="n">
        <v>-0.07</v>
      </c>
      <c r="BD133" s="174" t="n">
        <v>0.005</v>
      </c>
      <c r="BE133" s="174" t="n">
        <v>0.43</v>
      </c>
      <c r="BF133" s="174" t="n">
        <v>0</v>
      </c>
      <c r="BG133" s="174" t="n">
        <v>-0.06</v>
      </c>
      <c r="BH133" s="174" t="n">
        <v>0</v>
      </c>
      <c r="BI133" s="174" t="n">
        <v>0</v>
      </c>
      <c r="BJ133" s="136" t="n">
        <v>0.03</v>
      </c>
      <c r="BK133" s="136" t="n">
        <v>0.43</v>
      </c>
      <c r="BL133" s="136" t="n">
        <v>0</v>
      </c>
      <c r="BM133" s="136" t="n">
        <v>-0.05</v>
      </c>
      <c r="BN133" s="136" t="n">
        <v>0</v>
      </c>
      <c r="BO133" s="136" t="n">
        <v>-0.37</v>
      </c>
      <c r="BP133" s="136" t="n">
        <v>0</v>
      </c>
      <c r="BQ133" s="136" t="n">
        <v>0.5</v>
      </c>
      <c r="BR133" s="136" t="n">
        <v>0</v>
      </c>
      <c r="BS133" s="136" t="n">
        <v>-0.07</v>
      </c>
      <c r="BT133" s="136" t="n">
        <v>0.005</v>
      </c>
      <c r="BU133" s="136" t="n">
        <v>0.3</v>
      </c>
      <c r="BV133" s="136" t="n">
        <v>0</v>
      </c>
      <c r="BW133" s="136" t="n">
        <v>0</v>
      </c>
      <c r="BX133" s="136" t="n">
        <v>0</v>
      </c>
      <c r="BY133" s="136" t="n">
        <v>-0.013</v>
      </c>
      <c r="BZ133" s="136" t="n">
        <v>0.0575</v>
      </c>
      <c r="CA133" s="136" t="n">
        <v>0.145</v>
      </c>
      <c r="CB133" s="136" t="n">
        <v>0.005</v>
      </c>
      <c r="CC133" s="136" t="n">
        <v>-0.013</v>
      </c>
      <c r="CD133" s="136" t="n">
        <v>0.0035</v>
      </c>
      <c r="CE133" s="136" t="n">
        <v>0.0025</v>
      </c>
      <c r="CF133" s="136" t="n">
        <v>0.0025</v>
      </c>
      <c r="CG133" s="136" t="n">
        <v>-0.013</v>
      </c>
      <c r="CH133" s="136" t="n">
        <v>0.0035</v>
      </c>
      <c r="CI133" s="136" t="n">
        <v>-0.0735</v>
      </c>
      <c r="CJ133" s="136" t="n">
        <v>0.0025</v>
      </c>
      <c r="CK133" s="136" t="n">
        <v>0.0775</v>
      </c>
      <c r="CL133" s="136" t="n">
        <v>0.0025</v>
      </c>
      <c r="CM133" s="136" t="n">
        <v>-0.072</v>
      </c>
      <c r="CN133" s="136" t="n">
        <v>0.0075</v>
      </c>
      <c r="CO133" s="136" t="n">
        <v>-0.017</v>
      </c>
      <c r="CP133" s="136" t="n">
        <v>0.005</v>
      </c>
      <c r="CQ133" s="136" t="n">
        <v>0.023</v>
      </c>
      <c r="CR133" s="136" t="n">
        <v>0.0075</v>
      </c>
      <c r="CS133" s="136" t="n">
        <v>0.37</v>
      </c>
      <c r="CT133" s="136" t="n">
        <v>0.035</v>
      </c>
      <c r="CU133" s="136" t="n">
        <v>-0.05</v>
      </c>
      <c r="CV133" s="136" t="n">
        <v>0</v>
      </c>
      <c r="CW133" s="136" t="n">
        <v>0.165</v>
      </c>
      <c r="CX133" s="136" t="n">
        <v>0.0075</v>
      </c>
      <c r="CY133" s="136" t="n">
        <v>-0.63</v>
      </c>
      <c r="CZ133" s="136" t="n">
        <v>0</v>
      </c>
      <c r="DA133" s="136" t="n">
        <v>-0.45</v>
      </c>
      <c r="DB133" s="136" t="n">
        <v>0</v>
      </c>
      <c r="DC133" s="136" t="n">
        <v>0.85</v>
      </c>
      <c r="DE133" s="136" t="n">
        <v>-0.047</v>
      </c>
      <c r="DF133" s="136" t="n">
        <v>0.01</v>
      </c>
      <c r="DG133" s="136" t="n">
        <v>0.0175</v>
      </c>
      <c r="DH133" s="136" t="n">
        <v>0.01</v>
      </c>
      <c r="DI133" s="136" t="n">
        <v>0</v>
      </c>
      <c r="DJ133" s="136" t="n">
        <v>0.0075</v>
      </c>
      <c r="DK133" s="136" t="n">
        <v>-0.0385</v>
      </c>
      <c r="DL133" s="136" t="n">
        <v>0.005</v>
      </c>
      <c r="DM133" s="136" t="n">
        <v>-0.055</v>
      </c>
      <c r="DN133" s="136" t="n">
        <v>0.0025</v>
      </c>
      <c r="DO133" s="136" t="n">
        <v>-0.0775</v>
      </c>
      <c r="DP133" s="136" t="n">
        <v>0.0025</v>
      </c>
      <c r="DQ133" s="136" t="n">
        <v>-0.0685</v>
      </c>
      <c r="DR133" s="136" t="n">
        <v>-0.005</v>
      </c>
      <c r="DS133" s="136" t="n">
        <v>0.335</v>
      </c>
      <c r="DT133" s="136" t="n">
        <v>0.005</v>
      </c>
      <c r="DU133" s="136" t="n">
        <v>0</v>
      </c>
      <c r="DV133" s="136" t="n">
        <v>0</v>
      </c>
    </row>
    <row r="134" customFormat="false" ht="12.75" hidden="false" customHeight="false" outlineLevel="0" collapsed="false">
      <c r="D134" s="135" t="n">
        <v>40725</v>
      </c>
      <c r="F134" s="174" t="n">
        <v>3.8245</v>
      </c>
      <c r="G134" s="175" t="n">
        <v>0.0613667938655507</v>
      </c>
      <c r="H134" s="174" t="n">
        <v>0.18</v>
      </c>
      <c r="I134" s="174" t="n">
        <v>0.5</v>
      </c>
      <c r="J134" s="174" t="n">
        <v>0.5</v>
      </c>
      <c r="K134" s="174" t="n">
        <v>0.4</v>
      </c>
      <c r="L134" s="172" t="n">
        <v>0.5</v>
      </c>
      <c r="M134" s="172" t="n">
        <v>0.5</v>
      </c>
      <c r="N134" s="174" t="n">
        <v>0.5</v>
      </c>
      <c r="O134" s="174" t="n">
        <v>0.5</v>
      </c>
      <c r="P134" s="174" t="n">
        <v>0.5</v>
      </c>
      <c r="Q134" s="174" t="n">
        <v>0.5</v>
      </c>
      <c r="R134" s="175" t="n">
        <v>0.5</v>
      </c>
      <c r="S134" s="175" t="n">
        <v>0.55</v>
      </c>
      <c r="T134" s="174" t="n">
        <v>0.5</v>
      </c>
      <c r="U134" s="174" t="n">
        <v>0.5</v>
      </c>
      <c r="V134" s="174" t="n">
        <v>0.6</v>
      </c>
      <c r="W134" s="174" t="n">
        <v>-0.09</v>
      </c>
      <c r="X134" s="174" t="n">
        <v>0</v>
      </c>
      <c r="Y134" s="174" t="n">
        <v>0.04</v>
      </c>
      <c r="Z134" s="174" t="n">
        <v>0.005</v>
      </c>
      <c r="AA134" s="174" t="n">
        <v>0.175</v>
      </c>
      <c r="AB134" s="174" t="n">
        <v>0</v>
      </c>
      <c r="AC134" s="174" t="n">
        <v>0.14</v>
      </c>
      <c r="AD134" s="174" t="n">
        <v>0</v>
      </c>
      <c r="AE134" s="174" t="n">
        <v>0.175</v>
      </c>
      <c r="AF134" s="174" t="n">
        <v>0</v>
      </c>
      <c r="AG134" s="174" t="n">
        <v>0.14</v>
      </c>
      <c r="AH134" s="174" t="n">
        <v>0</v>
      </c>
      <c r="AI134" s="174" t="n">
        <v>0.14</v>
      </c>
      <c r="AJ134" s="174" t="n">
        <v>0</v>
      </c>
      <c r="AK134" s="174" t="n">
        <v>0.04</v>
      </c>
      <c r="AL134" s="174" t="n">
        <v>0.04</v>
      </c>
      <c r="AM134" s="174" t="n">
        <v>-0.049</v>
      </c>
      <c r="AN134" s="174" t="n">
        <v>0.025</v>
      </c>
      <c r="AO134" s="174" t="n">
        <v>-0.56</v>
      </c>
      <c r="AP134" s="174" t="n">
        <v>0.155</v>
      </c>
      <c r="AQ134" s="174" t="n">
        <v>-0.044</v>
      </c>
      <c r="AR134" s="174" t="n">
        <v>0</v>
      </c>
      <c r="AS134" s="174" t="n">
        <v>-0.15</v>
      </c>
      <c r="AT134" s="174" t="n">
        <v>-0.015</v>
      </c>
      <c r="AU134" s="174" t="n">
        <v>-0.11</v>
      </c>
      <c r="AV134" s="174" t="n">
        <v>0.02</v>
      </c>
      <c r="AW134" s="174" t="n">
        <v>-0.044</v>
      </c>
      <c r="AX134" s="174" t="n">
        <v>0.012</v>
      </c>
      <c r="AY134" s="175" t="n">
        <v>0.125</v>
      </c>
      <c r="AZ134" s="175" t="n">
        <v>0</v>
      </c>
      <c r="BA134" s="175" t="n">
        <v>-0.195</v>
      </c>
      <c r="BB134" s="174" t="n">
        <v>0.0025</v>
      </c>
      <c r="BC134" s="174" t="n">
        <v>-0.07</v>
      </c>
      <c r="BD134" s="174" t="n">
        <v>0.005</v>
      </c>
      <c r="BE134" s="174" t="n">
        <v>0.43</v>
      </c>
      <c r="BF134" s="174" t="n">
        <v>0</v>
      </c>
      <c r="BG134" s="174" t="n">
        <v>-0.06</v>
      </c>
      <c r="BH134" s="174" t="n">
        <v>0</v>
      </c>
      <c r="BI134" s="174" t="n">
        <v>0</v>
      </c>
      <c r="BJ134" s="136" t="n">
        <v>0.03</v>
      </c>
      <c r="BK134" s="136" t="n">
        <v>0.43</v>
      </c>
      <c r="BL134" s="136" t="n">
        <v>0</v>
      </c>
      <c r="BM134" s="136" t="n">
        <v>-0.05</v>
      </c>
      <c r="BN134" s="136" t="n">
        <v>0</v>
      </c>
      <c r="BO134" s="136" t="n">
        <v>-0.37</v>
      </c>
      <c r="BP134" s="136" t="n">
        <v>0</v>
      </c>
      <c r="BQ134" s="136" t="n">
        <v>0.5</v>
      </c>
      <c r="BR134" s="136" t="n">
        <v>0</v>
      </c>
      <c r="BS134" s="136" t="n">
        <v>-0.07</v>
      </c>
      <c r="BT134" s="136" t="n">
        <v>0.005</v>
      </c>
      <c r="BU134" s="136" t="n">
        <v>0.3</v>
      </c>
      <c r="BV134" s="136" t="n">
        <v>0</v>
      </c>
      <c r="BW134" s="136" t="n">
        <v>0</v>
      </c>
      <c r="BX134" s="136" t="n">
        <v>0</v>
      </c>
      <c r="BY134" s="136" t="n">
        <v>-0.013</v>
      </c>
      <c r="BZ134" s="136" t="n">
        <v>0.0575</v>
      </c>
      <c r="CA134" s="136" t="n">
        <v>0.15</v>
      </c>
      <c r="CB134" s="136" t="n">
        <v>0.005</v>
      </c>
      <c r="CC134" s="136" t="n">
        <v>-0.013</v>
      </c>
      <c r="CD134" s="136" t="n">
        <v>0.0035</v>
      </c>
      <c r="CE134" s="136" t="n">
        <v>0.0025</v>
      </c>
      <c r="CF134" s="136" t="n">
        <v>0.0025</v>
      </c>
      <c r="CG134" s="136" t="n">
        <v>-0.013</v>
      </c>
      <c r="CH134" s="136" t="n">
        <v>0.0035</v>
      </c>
      <c r="CI134" s="136" t="n">
        <v>-0.071</v>
      </c>
      <c r="CJ134" s="136" t="n">
        <v>0.0025</v>
      </c>
      <c r="CK134" s="136" t="n">
        <v>0.0775</v>
      </c>
      <c r="CL134" s="136" t="n">
        <v>0.0025</v>
      </c>
      <c r="CM134" s="136" t="n">
        <v>-0.072</v>
      </c>
      <c r="CN134" s="136" t="n">
        <v>0.0075</v>
      </c>
      <c r="CO134" s="136" t="n">
        <v>-0.017</v>
      </c>
      <c r="CP134" s="136" t="n">
        <v>0.005</v>
      </c>
      <c r="CQ134" s="136" t="n">
        <v>0.023</v>
      </c>
      <c r="CR134" s="136" t="n">
        <v>0.0075</v>
      </c>
      <c r="CS134" s="136" t="n">
        <v>0.41</v>
      </c>
      <c r="CT134" s="136" t="n">
        <v>0.035</v>
      </c>
      <c r="CU134" s="136" t="n">
        <v>-0.05</v>
      </c>
      <c r="CV134" s="136" t="n">
        <v>0</v>
      </c>
      <c r="CW134" s="136" t="n">
        <v>0.205</v>
      </c>
      <c r="CX134" s="136" t="n">
        <v>0.0075</v>
      </c>
      <c r="CY134" s="136" t="n">
        <v>-0.63</v>
      </c>
      <c r="CZ134" s="136" t="n">
        <v>0</v>
      </c>
      <c r="DA134" s="136" t="n">
        <v>-0.45</v>
      </c>
      <c r="DB134" s="136" t="n">
        <v>0</v>
      </c>
      <c r="DC134" s="136" t="n">
        <v>1.05</v>
      </c>
      <c r="DE134" s="136" t="n">
        <v>-0.047</v>
      </c>
      <c r="DF134" s="136" t="n">
        <v>0.01</v>
      </c>
      <c r="DG134" s="136" t="n">
        <v>0.0175</v>
      </c>
      <c r="DH134" s="136" t="n">
        <v>0.01</v>
      </c>
      <c r="DI134" s="136" t="n">
        <v>0</v>
      </c>
      <c r="DJ134" s="136" t="n">
        <v>0.0075</v>
      </c>
      <c r="DK134" s="136" t="n">
        <v>-0.0485</v>
      </c>
      <c r="DL134" s="136" t="n">
        <v>0.005</v>
      </c>
      <c r="DM134" s="136" t="n">
        <v>-0.055</v>
      </c>
      <c r="DN134" s="136" t="n">
        <v>0.0025</v>
      </c>
      <c r="DO134" s="136" t="n">
        <v>-0.0775</v>
      </c>
      <c r="DP134" s="136" t="n">
        <v>0.0025</v>
      </c>
      <c r="DQ134" s="136" t="n">
        <v>-0.0785</v>
      </c>
      <c r="DR134" s="136" t="n">
        <v>-0.005</v>
      </c>
      <c r="DS134" s="136" t="n">
        <v>0.35</v>
      </c>
      <c r="DT134" s="136" t="n">
        <v>0.005</v>
      </c>
      <c r="DU134" s="136" t="n">
        <v>0</v>
      </c>
      <c r="DV134" s="136" t="n">
        <v>0</v>
      </c>
    </row>
    <row r="135" customFormat="false" ht="12.75" hidden="false" customHeight="false" outlineLevel="0" collapsed="false">
      <c r="D135" s="135" t="n">
        <v>40756</v>
      </c>
      <c r="F135" s="174" t="n">
        <v>3.8645</v>
      </c>
      <c r="G135" s="175" t="n">
        <v>0.0614759069067894</v>
      </c>
      <c r="H135" s="174" t="n">
        <v>0.18</v>
      </c>
      <c r="I135" s="174" t="n">
        <v>0.55</v>
      </c>
      <c r="J135" s="174" t="n">
        <v>0.55</v>
      </c>
      <c r="K135" s="174" t="n">
        <v>0.5</v>
      </c>
      <c r="L135" s="172" t="n">
        <v>0.6</v>
      </c>
      <c r="M135" s="172" t="n">
        <v>0.55</v>
      </c>
      <c r="N135" s="174" t="n">
        <v>0.6</v>
      </c>
      <c r="O135" s="174" t="n">
        <v>0.55</v>
      </c>
      <c r="P135" s="174" t="n">
        <v>0.6</v>
      </c>
      <c r="Q135" s="174" t="n">
        <v>0.45</v>
      </c>
      <c r="R135" s="175" t="n">
        <v>0.55</v>
      </c>
      <c r="S135" s="175" t="n">
        <v>0.6</v>
      </c>
      <c r="T135" s="174" t="n">
        <v>0.55</v>
      </c>
      <c r="U135" s="174" t="n">
        <v>0.6</v>
      </c>
      <c r="V135" s="174" t="n">
        <v>0.7</v>
      </c>
      <c r="W135" s="174" t="n">
        <v>-0.09</v>
      </c>
      <c r="X135" s="174" t="n">
        <v>0</v>
      </c>
      <c r="Y135" s="174" t="n">
        <v>0.04</v>
      </c>
      <c r="Z135" s="174" t="n">
        <v>0.005</v>
      </c>
      <c r="AA135" s="174" t="n">
        <v>0.175</v>
      </c>
      <c r="AB135" s="174" t="n">
        <v>0</v>
      </c>
      <c r="AC135" s="174" t="n">
        <v>0.14</v>
      </c>
      <c r="AD135" s="174" t="n">
        <v>0</v>
      </c>
      <c r="AE135" s="174" t="n">
        <v>0.175</v>
      </c>
      <c r="AF135" s="174" t="n">
        <v>0</v>
      </c>
      <c r="AG135" s="174" t="n">
        <v>0.14</v>
      </c>
      <c r="AH135" s="174" t="n">
        <v>0</v>
      </c>
      <c r="AI135" s="174" t="n">
        <v>0.14</v>
      </c>
      <c r="AJ135" s="174" t="n">
        <v>0</v>
      </c>
      <c r="AK135" s="174" t="n">
        <v>0.04</v>
      </c>
      <c r="AL135" s="174" t="n">
        <v>0.04</v>
      </c>
      <c r="AM135" s="174" t="n">
        <v>-0.049</v>
      </c>
      <c r="AN135" s="174" t="n">
        <v>0.025</v>
      </c>
      <c r="AO135" s="174" t="n">
        <v>-0.56</v>
      </c>
      <c r="AP135" s="174" t="n">
        <v>0.155</v>
      </c>
      <c r="AQ135" s="174" t="n">
        <v>-0.044</v>
      </c>
      <c r="AR135" s="174" t="n">
        <v>0</v>
      </c>
      <c r="AS135" s="174" t="n">
        <v>-0.15</v>
      </c>
      <c r="AT135" s="174" t="n">
        <v>-0.015</v>
      </c>
      <c r="AU135" s="174" t="n">
        <v>-0.11</v>
      </c>
      <c r="AV135" s="174" t="n">
        <v>0.02</v>
      </c>
      <c r="AW135" s="174" t="n">
        <v>-0.044</v>
      </c>
      <c r="AX135" s="174" t="n">
        <v>0.012</v>
      </c>
      <c r="AY135" s="175" t="n">
        <v>0.125</v>
      </c>
      <c r="AZ135" s="175" t="n">
        <v>0</v>
      </c>
      <c r="BA135" s="175" t="n">
        <v>-0.195</v>
      </c>
      <c r="BB135" s="174" t="n">
        <v>0.0025</v>
      </c>
      <c r="BC135" s="174" t="n">
        <v>-0.07</v>
      </c>
      <c r="BD135" s="174" t="n">
        <v>0.005</v>
      </c>
      <c r="BE135" s="174" t="n">
        <v>0.43</v>
      </c>
      <c r="BF135" s="174" t="n">
        <v>0</v>
      </c>
      <c r="BG135" s="174" t="n">
        <v>-0.06</v>
      </c>
      <c r="BH135" s="174" t="n">
        <v>0</v>
      </c>
      <c r="BI135" s="174" t="n">
        <v>0</v>
      </c>
      <c r="BJ135" s="136" t="n">
        <v>0.03</v>
      </c>
      <c r="BK135" s="136" t="n">
        <v>0.43</v>
      </c>
      <c r="BL135" s="136" t="n">
        <v>0</v>
      </c>
      <c r="BM135" s="136" t="n">
        <v>-0.05</v>
      </c>
      <c r="BN135" s="136" t="n">
        <v>0</v>
      </c>
      <c r="BO135" s="136" t="n">
        <v>-0.37</v>
      </c>
      <c r="BP135" s="136" t="n">
        <v>0</v>
      </c>
      <c r="BQ135" s="136" t="n">
        <v>0.5</v>
      </c>
      <c r="BR135" s="136" t="n">
        <v>0</v>
      </c>
      <c r="BS135" s="136" t="n">
        <v>-0.07</v>
      </c>
      <c r="BT135" s="136" t="n">
        <v>0.005</v>
      </c>
      <c r="BU135" s="136" t="n">
        <v>0.3</v>
      </c>
      <c r="BV135" s="136" t="n">
        <v>0</v>
      </c>
      <c r="BW135" s="136" t="n">
        <v>0</v>
      </c>
      <c r="BX135" s="136" t="n">
        <v>0</v>
      </c>
      <c r="BY135" s="136" t="n">
        <v>-0.013</v>
      </c>
      <c r="BZ135" s="136" t="n">
        <v>0.0575</v>
      </c>
      <c r="CA135" s="136" t="n">
        <v>0.15</v>
      </c>
      <c r="CB135" s="136" t="n">
        <v>0.005</v>
      </c>
      <c r="CC135" s="136" t="n">
        <v>-0.013</v>
      </c>
      <c r="CD135" s="136" t="n">
        <v>0.0035</v>
      </c>
      <c r="CE135" s="136" t="n">
        <v>0.0025</v>
      </c>
      <c r="CF135" s="136" t="n">
        <v>0.0025</v>
      </c>
      <c r="CG135" s="136" t="n">
        <v>-0.013</v>
      </c>
      <c r="CH135" s="136" t="n">
        <v>0.0035</v>
      </c>
      <c r="CI135" s="136" t="n">
        <v>-0.0685</v>
      </c>
      <c r="CJ135" s="136" t="n">
        <v>0.0025</v>
      </c>
      <c r="CK135" s="136" t="n">
        <v>0.0775</v>
      </c>
      <c r="CL135" s="136" t="n">
        <v>0.0025</v>
      </c>
      <c r="CM135" s="136" t="n">
        <v>-0.072</v>
      </c>
      <c r="CN135" s="136" t="n">
        <v>0.0075</v>
      </c>
      <c r="CO135" s="136" t="n">
        <v>-0.017</v>
      </c>
      <c r="CP135" s="136" t="n">
        <v>0.005</v>
      </c>
      <c r="CQ135" s="136" t="n">
        <v>0.023</v>
      </c>
      <c r="CR135" s="136" t="n">
        <v>0.0075</v>
      </c>
      <c r="CS135" s="136" t="n">
        <v>0.41</v>
      </c>
      <c r="CT135" s="136" t="n">
        <v>0.01</v>
      </c>
      <c r="CU135" s="136" t="n">
        <v>-0.05</v>
      </c>
      <c r="CV135" s="136" t="n">
        <v>0</v>
      </c>
      <c r="CW135" s="136" t="n">
        <v>0.205</v>
      </c>
      <c r="CX135" s="136" t="n">
        <v>0.0075</v>
      </c>
      <c r="CY135" s="136" t="n">
        <v>-0.63</v>
      </c>
      <c r="CZ135" s="136" t="n">
        <v>0</v>
      </c>
      <c r="DA135" s="136" t="n">
        <v>-0.45</v>
      </c>
      <c r="DB135" s="136" t="n">
        <v>0</v>
      </c>
      <c r="DC135" s="136" t="n">
        <v>1.05</v>
      </c>
      <c r="DE135" s="136" t="n">
        <v>-0.047</v>
      </c>
      <c r="DF135" s="136" t="n">
        <v>0.01</v>
      </c>
      <c r="DG135" s="136" t="n">
        <v>0.0125</v>
      </c>
      <c r="DH135" s="136" t="n">
        <v>0.01</v>
      </c>
      <c r="DI135" s="136" t="n">
        <v>-0.005</v>
      </c>
      <c r="DJ135" s="136" t="n">
        <v>0.0075</v>
      </c>
      <c r="DK135" s="136" t="n">
        <v>-0.0435</v>
      </c>
      <c r="DL135" s="136" t="n">
        <v>0.005</v>
      </c>
      <c r="DM135" s="136" t="n">
        <v>-0.055</v>
      </c>
      <c r="DN135" s="136" t="n">
        <v>0.0025</v>
      </c>
      <c r="DO135" s="136" t="n">
        <v>-0.0775</v>
      </c>
      <c r="DP135" s="136" t="n">
        <v>0.0025</v>
      </c>
      <c r="DQ135" s="136" t="n">
        <v>-0.0735</v>
      </c>
      <c r="DR135" s="136" t="n">
        <v>-0.005</v>
      </c>
      <c r="DS135" s="136" t="n">
        <v>0.35</v>
      </c>
      <c r="DT135" s="136" t="n">
        <v>-0.005</v>
      </c>
      <c r="DU135" s="136" t="n">
        <v>0</v>
      </c>
      <c r="DV135" s="136" t="n">
        <v>0</v>
      </c>
    </row>
    <row r="136" customFormat="false" ht="12.75" hidden="false" customHeight="false" outlineLevel="0" collapsed="false">
      <c r="D136" s="135" t="n">
        <v>40787</v>
      </c>
      <c r="F136" s="174" t="n">
        <v>3.8595</v>
      </c>
      <c r="G136" s="175" t="n">
        <v>0.0615850199519805</v>
      </c>
      <c r="H136" s="174" t="n">
        <v>0.18</v>
      </c>
      <c r="I136" s="174" t="n">
        <v>0.55</v>
      </c>
      <c r="J136" s="174" t="n">
        <v>0.55</v>
      </c>
      <c r="K136" s="174" t="n">
        <v>0.55</v>
      </c>
      <c r="L136" s="172" t="n">
        <v>0.55</v>
      </c>
      <c r="M136" s="172" t="n">
        <v>0.55</v>
      </c>
      <c r="N136" s="174" t="n">
        <v>0.6</v>
      </c>
      <c r="O136" s="174" t="n">
        <v>0.6</v>
      </c>
      <c r="P136" s="174" t="n">
        <v>0.55</v>
      </c>
      <c r="Q136" s="174" t="n">
        <v>0.5</v>
      </c>
      <c r="R136" s="175" t="n">
        <v>0.55</v>
      </c>
      <c r="S136" s="175" t="n">
        <v>0.6</v>
      </c>
      <c r="T136" s="174" t="n">
        <v>0.55</v>
      </c>
      <c r="U136" s="174" t="n">
        <v>0.6</v>
      </c>
      <c r="V136" s="174" t="n">
        <v>0.65</v>
      </c>
      <c r="W136" s="174" t="n">
        <v>-0.09</v>
      </c>
      <c r="X136" s="174" t="n">
        <v>0</v>
      </c>
      <c r="Y136" s="174" t="n">
        <v>0.04</v>
      </c>
      <c r="Z136" s="174" t="n">
        <v>0.005</v>
      </c>
      <c r="AA136" s="174" t="n">
        <v>0.175</v>
      </c>
      <c r="AB136" s="174" t="n">
        <v>0</v>
      </c>
      <c r="AC136" s="174" t="n">
        <v>0.14</v>
      </c>
      <c r="AD136" s="174" t="n">
        <v>0</v>
      </c>
      <c r="AE136" s="174" t="n">
        <v>0.175</v>
      </c>
      <c r="AF136" s="174" t="n">
        <v>0</v>
      </c>
      <c r="AG136" s="174" t="n">
        <v>0.14</v>
      </c>
      <c r="AH136" s="174" t="n">
        <v>0</v>
      </c>
      <c r="AI136" s="174" t="n">
        <v>0.14</v>
      </c>
      <c r="AJ136" s="174" t="n">
        <v>0</v>
      </c>
      <c r="AK136" s="174" t="n">
        <v>0.04</v>
      </c>
      <c r="AL136" s="174" t="n">
        <v>0.04</v>
      </c>
      <c r="AM136" s="174" t="n">
        <v>-0.049</v>
      </c>
      <c r="AN136" s="174" t="n">
        <v>0.025</v>
      </c>
      <c r="AO136" s="174" t="n">
        <v>-0.56</v>
      </c>
      <c r="AP136" s="174" t="n">
        <v>0.155</v>
      </c>
      <c r="AQ136" s="174" t="n">
        <v>-0.044</v>
      </c>
      <c r="AR136" s="174" t="n">
        <v>0</v>
      </c>
      <c r="AS136" s="174" t="n">
        <v>-0.15</v>
      </c>
      <c r="AT136" s="174" t="n">
        <v>-0.015</v>
      </c>
      <c r="AU136" s="174" t="n">
        <v>-0.11</v>
      </c>
      <c r="AV136" s="174" t="n">
        <v>0.02</v>
      </c>
      <c r="AW136" s="174" t="n">
        <v>-0.044</v>
      </c>
      <c r="AX136" s="174" t="n">
        <v>0.012</v>
      </c>
      <c r="AY136" s="175" t="n">
        <v>0.125</v>
      </c>
      <c r="AZ136" s="175" t="n">
        <v>0</v>
      </c>
      <c r="BA136" s="175" t="n">
        <v>-0.195</v>
      </c>
      <c r="BB136" s="174" t="n">
        <v>0.0025</v>
      </c>
      <c r="BC136" s="174" t="n">
        <v>-0.07</v>
      </c>
      <c r="BD136" s="174" t="n">
        <v>0.005</v>
      </c>
      <c r="BE136" s="174" t="n">
        <v>0.43</v>
      </c>
      <c r="BF136" s="174" t="n">
        <v>0</v>
      </c>
      <c r="BG136" s="174" t="n">
        <v>-0.06</v>
      </c>
      <c r="BH136" s="174" t="n">
        <v>0</v>
      </c>
      <c r="BI136" s="174" t="n">
        <v>0</v>
      </c>
      <c r="BJ136" s="136" t="n">
        <v>0.03</v>
      </c>
      <c r="BK136" s="136" t="n">
        <v>0.43</v>
      </c>
      <c r="BL136" s="136" t="n">
        <v>0</v>
      </c>
      <c r="BM136" s="136" t="n">
        <v>-0.05</v>
      </c>
      <c r="BN136" s="136" t="n">
        <v>0</v>
      </c>
      <c r="BO136" s="136" t="n">
        <v>-0.37</v>
      </c>
      <c r="BP136" s="136" t="n">
        <v>0</v>
      </c>
      <c r="BQ136" s="136" t="n">
        <v>0.5</v>
      </c>
      <c r="BR136" s="136" t="n">
        <v>0</v>
      </c>
      <c r="BS136" s="136" t="n">
        <v>-0.07</v>
      </c>
      <c r="BT136" s="136" t="n">
        <v>0.005</v>
      </c>
      <c r="BU136" s="136" t="n">
        <v>0.3</v>
      </c>
      <c r="BV136" s="136" t="n">
        <v>0</v>
      </c>
      <c r="BW136" s="136" t="n">
        <v>0</v>
      </c>
      <c r="BX136" s="136" t="n">
        <v>0</v>
      </c>
      <c r="BY136" s="136" t="n">
        <v>-0.013</v>
      </c>
      <c r="BZ136" s="136" t="n">
        <v>0.0575</v>
      </c>
      <c r="CA136" s="136" t="n">
        <v>0.125</v>
      </c>
      <c r="CB136" s="136" t="n">
        <v>0.005</v>
      </c>
      <c r="CC136" s="136" t="n">
        <v>-0.013</v>
      </c>
      <c r="CD136" s="136" t="n">
        <v>0.0035</v>
      </c>
      <c r="CE136" s="136" t="n">
        <v>0.0025</v>
      </c>
      <c r="CF136" s="136" t="n">
        <v>0.0025</v>
      </c>
      <c r="CG136" s="136" t="n">
        <v>-0.013</v>
      </c>
      <c r="CH136" s="136" t="n">
        <v>0.0035</v>
      </c>
      <c r="CI136" s="136" t="n">
        <v>-0.0735</v>
      </c>
      <c r="CJ136" s="136" t="n">
        <v>0.0025</v>
      </c>
      <c r="CK136" s="136" t="n">
        <v>0.0775</v>
      </c>
      <c r="CL136" s="136" t="n">
        <v>0.0025</v>
      </c>
      <c r="CM136" s="136" t="n">
        <v>-0.072</v>
      </c>
      <c r="CN136" s="136" t="n">
        <v>0.0075</v>
      </c>
      <c r="CO136" s="136" t="n">
        <v>-0.017</v>
      </c>
      <c r="CP136" s="136" t="n">
        <v>0.005</v>
      </c>
      <c r="CQ136" s="136" t="n">
        <v>0.023</v>
      </c>
      <c r="CR136" s="136" t="n">
        <v>0.0075</v>
      </c>
      <c r="CS136" s="136" t="n">
        <v>0.36</v>
      </c>
      <c r="CT136" s="136" t="n">
        <v>0.01</v>
      </c>
      <c r="CU136" s="136" t="n">
        <v>-0.05</v>
      </c>
      <c r="CV136" s="136" t="n">
        <v>0</v>
      </c>
      <c r="CW136" s="136" t="n">
        <v>0.145</v>
      </c>
      <c r="CX136" s="136" t="n">
        <v>0.0075</v>
      </c>
      <c r="CY136" s="136" t="n">
        <v>-0.63</v>
      </c>
      <c r="CZ136" s="136" t="n">
        <v>0</v>
      </c>
      <c r="DA136" s="136" t="n">
        <v>-0.45</v>
      </c>
      <c r="DB136" s="136" t="n">
        <v>0</v>
      </c>
      <c r="DC136" s="136" t="n">
        <v>0.75</v>
      </c>
      <c r="DE136" s="136" t="n">
        <v>-0.052</v>
      </c>
      <c r="DF136" s="136" t="n">
        <v>0.01</v>
      </c>
      <c r="DG136" s="136" t="n">
        <v>0.0125</v>
      </c>
      <c r="DH136" s="136" t="n">
        <v>0.01</v>
      </c>
      <c r="DI136" s="136" t="n">
        <v>-0.005</v>
      </c>
      <c r="DJ136" s="136" t="n">
        <v>0.0075</v>
      </c>
      <c r="DK136" s="136" t="n">
        <v>-0.0535</v>
      </c>
      <c r="DL136" s="136" t="n">
        <v>0.005</v>
      </c>
      <c r="DM136" s="136" t="n">
        <v>-0.055</v>
      </c>
      <c r="DN136" s="136" t="n">
        <v>0.0025</v>
      </c>
      <c r="DO136" s="136" t="n">
        <v>-0.0775</v>
      </c>
      <c r="DP136" s="136" t="n">
        <v>0.0025</v>
      </c>
      <c r="DQ136" s="136" t="n">
        <v>-0.0835</v>
      </c>
      <c r="DR136" s="136" t="n">
        <v>-0.005</v>
      </c>
      <c r="DS136" s="136" t="n">
        <v>0.315</v>
      </c>
      <c r="DT136" s="136" t="n">
        <v>-0.005</v>
      </c>
      <c r="DU136" s="136" t="n">
        <v>0</v>
      </c>
      <c r="DV136" s="136" t="n">
        <v>0</v>
      </c>
    </row>
    <row r="137" customFormat="false" ht="12.75" hidden="false" customHeight="false" outlineLevel="0" collapsed="false">
      <c r="D137" s="135" t="n">
        <v>40817</v>
      </c>
      <c r="F137" s="174" t="n">
        <v>3.8845</v>
      </c>
      <c r="G137" s="175" t="n">
        <v>0.0616906132252839</v>
      </c>
      <c r="H137" s="174" t="n">
        <v>0.18</v>
      </c>
      <c r="I137" s="174" t="n">
        <v>0.6</v>
      </c>
      <c r="J137" s="174" t="n">
        <v>0.6</v>
      </c>
      <c r="K137" s="174" t="n">
        <v>0.55</v>
      </c>
      <c r="L137" s="172" t="n">
        <v>0.6</v>
      </c>
      <c r="M137" s="172" t="n">
        <v>0.6</v>
      </c>
      <c r="N137" s="174" t="n">
        <v>0.65</v>
      </c>
      <c r="O137" s="174" t="n">
        <v>0.65</v>
      </c>
      <c r="P137" s="174" t="n">
        <v>0.6</v>
      </c>
      <c r="Q137" s="174" t="n">
        <v>0.5</v>
      </c>
      <c r="R137" s="175" t="n">
        <v>0.6</v>
      </c>
      <c r="S137" s="175" t="n">
        <v>0.65</v>
      </c>
      <c r="T137" s="174" t="n">
        <v>0.6</v>
      </c>
      <c r="U137" s="174" t="n">
        <v>0.65</v>
      </c>
      <c r="V137" s="174" t="n">
        <v>0.7</v>
      </c>
      <c r="W137" s="174" t="n">
        <v>-0.09</v>
      </c>
      <c r="X137" s="174" t="n">
        <v>0</v>
      </c>
      <c r="Y137" s="174" t="n">
        <v>0.04</v>
      </c>
      <c r="Z137" s="174" t="n">
        <v>0.005</v>
      </c>
      <c r="AA137" s="174" t="n">
        <v>0.175</v>
      </c>
      <c r="AB137" s="174" t="n">
        <v>0</v>
      </c>
      <c r="AC137" s="174" t="n">
        <v>0.14</v>
      </c>
      <c r="AD137" s="174" t="n">
        <v>0</v>
      </c>
      <c r="AE137" s="174" t="n">
        <v>0.175</v>
      </c>
      <c r="AF137" s="174" t="n">
        <v>0</v>
      </c>
      <c r="AG137" s="174" t="n">
        <v>0.14</v>
      </c>
      <c r="AH137" s="174" t="n">
        <v>0</v>
      </c>
      <c r="AI137" s="174" t="n">
        <v>0.14</v>
      </c>
      <c r="AJ137" s="174" t="n">
        <v>0</v>
      </c>
      <c r="AK137" s="174" t="n">
        <v>0.04</v>
      </c>
      <c r="AL137" s="174" t="n">
        <v>0.04</v>
      </c>
      <c r="AM137" s="174" t="n">
        <v>-0.049</v>
      </c>
      <c r="AN137" s="174" t="n">
        <v>0.025</v>
      </c>
      <c r="AO137" s="174" t="n">
        <v>-0.56</v>
      </c>
      <c r="AP137" s="174" t="n">
        <v>0.155</v>
      </c>
      <c r="AQ137" s="174" t="n">
        <v>-0.044</v>
      </c>
      <c r="AR137" s="174" t="n">
        <v>0</v>
      </c>
      <c r="AS137" s="174" t="n">
        <v>-0.15</v>
      </c>
      <c r="AT137" s="174" t="n">
        <v>-0.015</v>
      </c>
      <c r="AU137" s="174" t="n">
        <v>-0.11</v>
      </c>
      <c r="AV137" s="174" t="n">
        <v>0.02</v>
      </c>
      <c r="AW137" s="174" t="n">
        <v>-0.044</v>
      </c>
      <c r="AX137" s="174" t="n">
        <v>0.012</v>
      </c>
      <c r="AY137" s="175" t="n">
        <v>0.125</v>
      </c>
      <c r="AZ137" s="175" t="n">
        <v>0</v>
      </c>
      <c r="BA137" s="175" t="n">
        <v>-0.195</v>
      </c>
      <c r="BB137" s="174" t="n">
        <v>0.0025</v>
      </c>
      <c r="BC137" s="174" t="n">
        <v>-0.07</v>
      </c>
      <c r="BD137" s="174" t="n">
        <v>0.005</v>
      </c>
      <c r="BE137" s="174" t="n">
        <v>0.43</v>
      </c>
      <c r="BF137" s="174" t="n">
        <v>0</v>
      </c>
      <c r="BG137" s="174" t="n">
        <v>-0.06</v>
      </c>
      <c r="BH137" s="174" t="n">
        <v>0</v>
      </c>
      <c r="BI137" s="174" t="n">
        <v>0</v>
      </c>
      <c r="BJ137" s="136" t="n">
        <v>0.03</v>
      </c>
      <c r="BK137" s="136" t="n">
        <v>0.43</v>
      </c>
      <c r="BL137" s="136" t="n">
        <v>0</v>
      </c>
      <c r="BM137" s="136" t="n">
        <v>-0.05</v>
      </c>
      <c r="BN137" s="136" t="n">
        <v>0</v>
      </c>
      <c r="BO137" s="136" t="n">
        <v>-0.37</v>
      </c>
      <c r="BP137" s="136" t="n">
        <v>0</v>
      </c>
      <c r="BQ137" s="136" t="n">
        <v>0.5</v>
      </c>
      <c r="BR137" s="136" t="n">
        <v>0</v>
      </c>
      <c r="BS137" s="136" t="n">
        <v>-0.07</v>
      </c>
      <c r="BT137" s="136" t="n">
        <v>0.005</v>
      </c>
      <c r="BU137" s="136" t="n">
        <v>0.3</v>
      </c>
      <c r="BV137" s="136" t="n">
        <v>0</v>
      </c>
      <c r="BW137" s="136" t="n">
        <v>0</v>
      </c>
      <c r="BX137" s="136" t="n">
        <v>0</v>
      </c>
      <c r="BY137" s="136" t="n">
        <v>-0.013</v>
      </c>
      <c r="BZ137" s="136" t="n">
        <v>0.0575</v>
      </c>
      <c r="CA137" s="136" t="n">
        <v>0.145</v>
      </c>
      <c r="CB137" s="136" t="n">
        <v>0.005</v>
      </c>
      <c r="CC137" s="136" t="n">
        <v>-0.013</v>
      </c>
      <c r="CD137" s="136" t="n">
        <v>0.0035</v>
      </c>
      <c r="CE137" s="136" t="n">
        <v>0.0025</v>
      </c>
      <c r="CF137" s="136" t="n">
        <v>0.0025</v>
      </c>
      <c r="CG137" s="136" t="n">
        <v>-0.013</v>
      </c>
      <c r="CH137" s="136" t="n">
        <v>0.0035</v>
      </c>
      <c r="CI137" s="136" t="n">
        <v>-0.076</v>
      </c>
      <c r="CJ137" s="136" t="n">
        <v>0.0025</v>
      </c>
      <c r="CK137" s="136" t="n">
        <v>0.0775</v>
      </c>
      <c r="CL137" s="136" t="n">
        <v>0.0025</v>
      </c>
      <c r="CM137" s="136" t="n">
        <v>-0.072</v>
      </c>
      <c r="CN137" s="136" t="n">
        <v>0.0075</v>
      </c>
      <c r="CO137" s="136" t="n">
        <v>-0.017</v>
      </c>
      <c r="CP137" s="136" t="n">
        <v>0.005</v>
      </c>
      <c r="CQ137" s="136" t="n">
        <v>0.023</v>
      </c>
      <c r="CR137" s="136" t="n">
        <v>0.0075</v>
      </c>
      <c r="CS137" s="136" t="n">
        <v>0.4</v>
      </c>
      <c r="CT137" s="136" t="n">
        <v>0.01</v>
      </c>
      <c r="CU137" s="136" t="n">
        <v>-0.05</v>
      </c>
      <c r="CV137" s="136" t="n">
        <v>0</v>
      </c>
      <c r="CW137" s="136" t="n">
        <v>0.175</v>
      </c>
      <c r="CX137" s="136" t="n">
        <v>0.0075</v>
      </c>
      <c r="CY137" s="136" t="n">
        <v>-0.63</v>
      </c>
      <c r="CZ137" s="136" t="n">
        <v>0</v>
      </c>
      <c r="DA137" s="136" t="n">
        <v>-0.45</v>
      </c>
      <c r="DB137" s="136" t="n">
        <v>0</v>
      </c>
      <c r="DC137" s="136" t="n">
        <v>0.45</v>
      </c>
      <c r="DE137" s="136" t="n">
        <v>-0.052</v>
      </c>
      <c r="DF137" s="136" t="n">
        <v>0.01</v>
      </c>
      <c r="DG137" s="136" t="n">
        <v>0.01</v>
      </c>
      <c r="DH137" s="136" t="n">
        <v>0.01</v>
      </c>
      <c r="DI137" s="136" t="n">
        <v>-0.0075</v>
      </c>
      <c r="DJ137" s="136" t="n">
        <v>0.0075</v>
      </c>
      <c r="DK137" s="136" t="n">
        <v>-0.041</v>
      </c>
      <c r="DL137" s="136" t="n">
        <v>0.005</v>
      </c>
      <c r="DM137" s="136" t="n">
        <v>-0.055</v>
      </c>
      <c r="DN137" s="136" t="n">
        <v>0.0025</v>
      </c>
      <c r="DO137" s="136" t="n">
        <v>-0.0775</v>
      </c>
      <c r="DP137" s="136" t="n">
        <v>0.0025</v>
      </c>
      <c r="DQ137" s="136" t="n">
        <v>-0.071</v>
      </c>
      <c r="DR137" s="136" t="n">
        <v>-0.005</v>
      </c>
      <c r="DS137" s="136" t="n">
        <v>0.36</v>
      </c>
      <c r="DT137" s="136" t="n">
        <v>-0.005</v>
      </c>
      <c r="DU137" s="136" t="n">
        <v>0</v>
      </c>
      <c r="DV137" s="136" t="n">
        <v>0</v>
      </c>
    </row>
    <row r="138" customFormat="false" ht="12.75" hidden="false" customHeight="false" outlineLevel="0" collapsed="false">
      <c r="D138" s="135" t="n">
        <v>40848</v>
      </c>
      <c r="F138" s="174" t="n">
        <v>4.0365</v>
      </c>
      <c r="G138" s="175" t="n">
        <v>0.0617997262782532</v>
      </c>
      <c r="H138" s="174" t="n">
        <v>0.18</v>
      </c>
      <c r="I138" s="174" t="n">
        <v>0.8</v>
      </c>
      <c r="J138" s="174" t="n">
        <v>0.85</v>
      </c>
      <c r="K138" s="174" t="n">
        <v>0.8</v>
      </c>
      <c r="L138" s="172" t="n">
        <v>0.8</v>
      </c>
      <c r="M138" s="172" t="n">
        <v>0.9</v>
      </c>
      <c r="N138" s="174" t="n">
        <v>0.95</v>
      </c>
      <c r="O138" s="174" t="n">
        <v>0.85</v>
      </c>
      <c r="P138" s="174" t="n">
        <v>0.8</v>
      </c>
      <c r="Q138" s="174" t="n">
        <v>0.95</v>
      </c>
      <c r="R138" s="175" t="n">
        <v>0.8</v>
      </c>
      <c r="S138" s="175" t="n">
        <v>0.8</v>
      </c>
      <c r="T138" s="174" t="n">
        <v>0.8</v>
      </c>
      <c r="U138" s="174" t="n">
        <v>0.95</v>
      </c>
      <c r="V138" s="174" t="n">
        <v>0.9</v>
      </c>
      <c r="W138" s="174" t="n">
        <v>0</v>
      </c>
      <c r="X138" s="174" t="n">
        <v>0.03</v>
      </c>
      <c r="Y138" s="174" t="n">
        <v>0.13</v>
      </c>
      <c r="Z138" s="174" t="n">
        <v>0.02</v>
      </c>
      <c r="AA138" s="174" t="n">
        <v>0.29</v>
      </c>
      <c r="AB138" s="174" t="n">
        <v>0</v>
      </c>
      <c r="AC138" s="174" t="n">
        <v>0.335</v>
      </c>
      <c r="AD138" s="174" t="n">
        <v>0</v>
      </c>
      <c r="AE138" s="174" t="n">
        <v>0.29</v>
      </c>
      <c r="AF138" s="174" t="n">
        <v>0</v>
      </c>
      <c r="AG138" s="174" t="n">
        <v>0.17</v>
      </c>
      <c r="AH138" s="174" t="n">
        <v>0</v>
      </c>
      <c r="AI138" s="174" t="n">
        <v>0.15416</v>
      </c>
      <c r="AJ138" s="174" t="n">
        <v>0</v>
      </c>
      <c r="AK138" s="174" t="n">
        <v>0.13</v>
      </c>
      <c r="AL138" s="174" t="n">
        <v>0.035</v>
      </c>
      <c r="AM138" s="174" t="n">
        <v>-0.0635</v>
      </c>
      <c r="AN138" s="174" t="n">
        <v>0.02</v>
      </c>
      <c r="AO138" s="174" t="n">
        <v>-0.5</v>
      </c>
      <c r="AP138" s="174" t="n">
        <v>0.155</v>
      </c>
      <c r="AQ138" s="174" t="n">
        <v>-0.0435</v>
      </c>
      <c r="AR138" s="174" t="n">
        <v>0.005</v>
      </c>
      <c r="AS138" s="174" t="n">
        <v>-0.15</v>
      </c>
      <c r="AT138" s="174" t="n">
        <v>-0.005</v>
      </c>
      <c r="AU138" s="174" t="n">
        <v>-0.11</v>
      </c>
      <c r="AV138" s="174" t="n">
        <v>-0.01</v>
      </c>
      <c r="AW138" s="174" t="n">
        <v>-0.0435</v>
      </c>
      <c r="AX138" s="174" t="n">
        <v>0.022</v>
      </c>
      <c r="AY138" s="175" t="n">
        <v>0.155</v>
      </c>
      <c r="AZ138" s="175" t="n">
        <v>0</v>
      </c>
      <c r="BA138" s="175" t="n">
        <v>-0.13</v>
      </c>
      <c r="BB138" s="174" t="n">
        <v>0.005</v>
      </c>
      <c r="BC138" s="174" t="n">
        <v>-0.07</v>
      </c>
      <c r="BD138" s="174" t="n">
        <v>0.005</v>
      </c>
      <c r="BE138" s="174" t="n">
        <v>0.35</v>
      </c>
      <c r="BF138" s="174" t="n">
        <v>0</v>
      </c>
      <c r="BG138" s="174" t="n">
        <v>-0.06</v>
      </c>
      <c r="BH138" s="174" t="n">
        <v>0</v>
      </c>
      <c r="BI138" s="174" t="n">
        <v>0</v>
      </c>
      <c r="BJ138" s="136" t="n">
        <v>0.03</v>
      </c>
      <c r="BK138" s="136" t="n">
        <v>0.35</v>
      </c>
      <c r="BL138" s="136" t="n">
        <v>0</v>
      </c>
      <c r="BM138" s="136" t="n">
        <v>0.298</v>
      </c>
      <c r="BN138" s="136" t="n">
        <v>0</v>
      </c>
      <c r="BO138" s="136" t="n">
        <v>-0.26</v>
      </c>
      <c r="BP138" s="136" t="n">
        <v>0</v>
      </c>
      <c r="BQ138" s="136" t="n">
        <v>0.5</v>
      </c>
      <c r="BR138" s="136" t="n">
        <v>0</v>
      </c>
      <c r="BS138" s="136" t="n">
        <v>-0.07</v>
      </c>
      <c r="BT138" s="136" t="n">
        <v>0.005</v>
      </c>
      <c r="BU138" s="136" t="n">
        <v>0.3</v>
      </c>
      <c r="BV138" s="136" t="n">
        <v>0</v>
      </c>
      <c r="BW138" s="136" t="n">
        <v>0</v>
      </c>
      <c r="BX138" s="136" t="n">
        <v>0</v>
      </c>
      <c r="BY138" s="136" t="n">
        <v>-0.013</v>
      </c>
      <c r="BZ138" s="136" t="n">
        <v>0.0575</v>
      </c>
      <c r="CA138" s="136" t="n">
        <v>0.195</v>
      </c>
      <c r="CB138" s="136" t="n">
        <v>0.005</v>
      </c>
      <c r="CC138" s="136" t="n">
        <v>-0.013</v>
      </c>
      <c r="CD138" s="136" t="n">
        <v>0.0037</v>
      </c>
      <c r="CE138" s="136" t="n">
        <v>0.0025</v>
      </c>
      <c r="CF138" s="136" t="n">
        <v>0.0025</v>
      </c>
      <c r="CG138" s="136" t="n">
        <v>-0.013</v>
      </c>
      <c r="CH138" s="136" t="n">
        <v>0.0037</v>
      </c>
      <c r="CI138" s="136" t="n">
        <v>-0.081</v>
      </c>
      <c r="CJ138" s="136" t="n">
        <v>0.0025</v>
      </c>
      <c r="CK138" s="136" t="n">
        <v>0.075</v>
      </c>
      <c r="CL138" s="136" t="n">
        <v>0.0025</v>
      </c>
      <c r="CM138" s="136" t="n">
        <v>-0.064</v>
      </c>
      <c r="CN138" s="136" t="n">
        <v>0.01</v>
      </c>
      <c r="CO138" s="136" t="n">
        <v>-0.008999999</v>
      </c>
      <c r="CP138" s="136" t="n">
        <v>0.0075</v>
      </c>
      <c r="CQ138" s="136" t="n">
        <v>0.031</v>
      </c>
      <c r="CR138" s="136" t="n">
        <v>0.0125</v>
      </c>
      <c r="CS138" s="136" t="n">
        <v>0.65</v>
      </c>
      <c r="CT138" s="136" t="n">
        <v>0.055</v>
      </c>
      <c r="CU138" s="136" t="n">
        <v>0.298</v>
      </c>
      <c r="CV138" s="136" t="n">
        <v>0</v>
      </c>
      <c r="CW138" s="136" t="n">
        <v>0.21</v>
      </c>
      <c r="CX138" s="136" t="n">
        <v>0.02</v>
      </c>
      <c r="CY138" s="136" t="n">
        <v>-0.52</v>
      </c>
      <c r="CZ138" s="136" t="n">
        <v>0</v>
      </c>
      <c r="DA138" s="136" t="n">
        <v>-0.34</v>
      </c>
      <c r="DB138" s="136" t="n">
        <v>0</v>
      </c>
      <c r="DC138" s="136" t="n">
        <v>0.45</v>
      </c>
      <c r="DE138" s="136" t="n">
        <v>-0.0405</v>
      </c>
      <c r="DF138" s="136" t="n">
        <v>0.0125</v>
      </c>
      <c r="DG138" s="136" t="n">
        <v>0.011</v>
      </c>
      <c r="DH138" s="136" t="n">
        <v>0.0075</v>
      </c>
      <c r="DI138" s="136" t="n">
        <v>-0.0065</v>
      </c>
      <c r="DJ138" s="136" t="n">
        <v>0.0025</v>
      </c>
      <c r="DK138" s="136" t="n">
        <v>-0.046</v>
      </c>
      <c r="DL138" s="136" t="n">
        <v>0.0025</v>
      </c>
      <c r="DM138" s="136" t="n">
        <v>-0.0575</v>
      </c>
      <c r="DN138" s="136" t="n">
        <v>0.0025</v>
      </c>
      <c r="DO138" s="136" t="n">
        <v>-0.08</v>
      </c>
      <c r="DP138" s="136" t="n">
        <v>0.0025</v>
      </c>
      <c r="DQ138" s="136" t="n">
        <v>-0.076</v>
      </c>
      <c r="DR138" s="136" t="n">
        <v>-0.005</v>
      </c>
      <c r="DS138" s="136" t="n">
        <v>0.46</v>
      </c>
      <c r="DT138" s="136" t="n">
        <v>0.05</v>
      </c>
      <c r="DU138" s="136" t="n">
        <v>0</v>
      </c>
      <c r="DV138" s="136" t="n">
        <v>0</v>
      </c>
    </row>
    <row r="139" customFormat="false" ht="12.75" hidden="false" customHeight="false" outlineLevel="0" collapsed="false">
      <c r="D139" s="135" t="n">
        <v>40878</v>
      </c>
      <c r="F139" s="174" t="n">
        <v>4.1795</v>
      </c>
      <c r="G139" s="175" t="n">
        <v>0.0619053195590835</v>
      </c>
      <c r="H139" s="174" t="n">
        <v>0.18</v>
      </c>
      <c r="I139" s="174" t="n">
        <v>1</v>
      </c>
      <c r="J139" s="174" t="n">
        <v>1.05</v>
      </c>
      <c r="K139" s="174" t="n">
        <v>1</v>
      </c>
      <c r="L139" s="172" t="n">
        <v>1</v>
      </c>
      <c r="M139" s="172" t="n">
        <v>1.15</v>
      </c>
      <c r="N139" s="174" t="n">
        <v>1.25</v>
      </c>
      <c r="O139" s="174" t="n">
        <v>1.05</v>
      </c>
      <c r="P139" s="174" t="n">
        <v>1</v>
      </c>
      <c r="Q139" s="174" t="n">
        <v>1.35</v>
      </c>
      <c r="R139" s="175" t="n">
        <v>1</v>
      </c>
      <c r="S139" s="175" t="n">
        <v>1.1</v>
      </c>
      <c r="T139" s="174" t="n">
        <v>1</v>
      </c>
      <c r="U139" s="174" t="n">
        <v>1.25</v>
      </c>
      <c r="V139" s="174" t="n">
        <v>1.1</v>
      </c>
      <c r="W139" s="174" t="n">
        <v>0.005</v>
      </c>
      <c r="X139" s="174" t="n">
        <v>0.03</v>
      </c>
      <c r="Y139" s="174" t="n">
        <v>0.13</v>
      </c>
      <c r="Z139" s="174" t="n">
        <v>0.02</v>
      </c>
      <c r="AA139" s="174" t="n">
        <v>0.29</v>
      </c>
      <c r="AB139" s="174" t="n">
        <v>0</v>
      </c>
      <c r="AC139" s="174" t="n">
        <v>0.335</v>
      </c>
      <c r="AD139" s="174" t="n">
        <v>0</v>
      </c>
      <c r="AE139" s="174" t="n">
        <v>0.29</v>
      </c>
      <c r="AF139" s="174" t="n">
        <v>0</v>
      </c>
      <c r="AG139" s="174" t="n">
        <v>0.17</v>
      </c>
      <c r="AH139" s="174" t="n">
        <v>0</v>
      </c>
      <c r="AI139" s="174" t="n">
        <v>0.15928</v>
      </c>
      <c r="AJ139" s="174" t="n">
        <v>0</v>
      </c>
      <c r="AK139" s="174" t="n">
        <v>0.13</v>
      </c>
      <c r="AL139" s="174" t="n">
        <v>0.035</v>
      </c>
      <c r="AM139" s="174" t="n">
        <v>-0.0635</v>
      </c>
      <c r="AN139" s="174" t="n">
        <v>0.02</v>
      </c>
      <c r="AO139" s="174" t="n">
        <v>-0.5</v>
      </c>
      <c r="AP139" s="174" t="n">
        <v>0.155</v>
      </c>
      <c r="AQ139" s="174" t="n">
        <v>-0.0435</v>
      </c>
      <c r="AR139" s="174" t="n">
        <v>0.005</v>
      </c>
      <c r="AS139" s="174" t="n">
        <v>-0.1525</v>
      </c>
      <c r="AT139" s="174" t="n">
        <v>-0.005</v>
      </c>
      <c r="AU139" s="174" t="n">
        <v>-0.1125</v>
      </c>
      <c r="AV139" s="174" t="n">
        <v>-0.01</v>
      </c>
      <c r="AW139" s="174" t="n">
        <v>-0.0435</v>
      </c>
      <c r="AX139" s="174" t="n">
        <v>0.022</v>
      </c>
      <c r="AY139" s="175" t="n">
        <v>0.155</v>
      </c>
      <c r="AZ139" s="175" t="n">
        <v>0</v>
      </c>
      <c r="BA139" s="175" t="n">
        <v>-0.13</v>
      </c>
      <c r="BB139" s="174" t="n">
        <v>0.005</v>
      </c>
      <c r="BC139" s="174" t="n">
        <v>-0.07</v>
      </c>
      <c r="BD139" s="174" t="n">
        <v>0.005</v>
      </c>
      <c r="BE139" s="174" t="n">
        <v>0.35</v>
      </c>
      <c r="BF139" s="174" t="n">
        <v>0</v>
      </c>
      <c r="BG139" s="174" t="n">
        <v>-0.06</v>
      </c>
      <c r="BH139" s="174" t="n">
        <v>0</v>
      </c>
      <c r="BI139" s="174" t="n">
        <v>0</v>
      </c>
      <c r="BJ139" s="136" t="n">
        <v>0.03</v>
      </c>
      <c r="BK139" s="136" t="n">
        <v>0.35</v>
      </c>
      <c r="BL139" s="136" t="n">
        <v>0</v>
      </c>
      <c r="BM139" s="136" t="n">
        <v>0.358</v>
      </c>
      <c r="BN139" s="136" t="n">
        <v>0</v>
      </c>
      <c r="BO139" s="136" t="n">
        <v>-0.26</v>
      </c>
      <c r="BP139" s="136" t="n">
        <v>0</v>
      </c>
      <c r="BQ139" s="136" t="n">
        <v>0.5</v>
      </c>
      <c r="BR139" s="136" t="n">
        <v>0</v>
      </c>
      <c r="BS139" s="136" t="n">
        <v>-0.07</v>
      </c>
      <c r="BT139" s="136" t="n">
        <v>0.005</v>
      </c>
      <c r="BU139" s="136" t="n">
        <v>0.3</v>
      </c>
      <c r="BV139" s="136" t="n">
        <v>0</v>
      </c>
      <c r="BW139" s="136" t="n">
        <v>0</v>
      </c>
      <c r="BX139" s="136" t="n">
        <v>0</v>
      </c>
      <c r="BY139" s="136" t="n">
        <v>-0.013</v>
      </c>
      <c r="BZ139" s="136" t="n">
        <v>0.0575</v>
      </c>
      <c r="CA139" s="136" t="n">
        <v>0.215</v>
      </c>
      <c r="CB139" s="136" t="n">
        <v>0.005</v>
      </c>
      <c r="CC139" s="136" t="n">
        <v>-0.013</v>
      </c>
      <c r="CD139" s="136" t="n">
        <v>0.0037</v>
      </c>
      <c r="CE139" s="136" t="n">
        <v>0.0025</v>
      </c>
      <c r="CF139" s="136" t="n">
        <v>0.0025</v>
      </c>
      <c r="CG139" s="136" t="n">
        <v>-0.013</v>
      </c>
      <c r="CH139" s="136" t="n">
        <v>0.0037</v>
      </c>
      <c r="CI139" s="136" t="n">
        <v>-0.1085</v>
      </c>
      <c r="CJ139" s="136" t="n">
        <v>0.0025</v>
      </c>
      <c r="CK139" s="136" t="n">
        <v>0.075</v>
      </c>
      <c r="CL139" s="136" t="n">
        <v>0.0025</v>
      </c>
      <c r="CM139" s="136" t="n">
        <v>-0.064</v>
      </c>
      <c r="CN139" s="136" t="n">
        <v>0.01</v>
      </c>
      <c r="CO139" s="136" t="n">
        <v>-0.008999999</v>
      </c>
      <c r="CP139" s="136" t="n">
        <v>0.0075</v>
      </c>
      <c r="CQ139" s="136" t="n">
        <v>0.031</v>
      </c>
      <c r="CR139" s="136" t="n">
        <v>0.0125</v>
      </c>
      <c r="CS139" s="136" t="n">
        <v>0.98</v>
      </c>
      <c r="CT139" s="136" t="n">
        <v>0.25</v>
      </c>
      <c r="CU139" s="136" t="n">
        <v>0.358</v>
      </c>
      <c r="CV139" s="136" t="n">
        <v>0</v>
      </c>
      <c r="CW139" s="136" t="n">
        <v>0.29</v>
      </c>
      <c r="CX139" s="136" t="n">
        <v>0.02</v>
      </c>
      <c r="CY139" s="136" t="n">
        <v>-0.52</v>
      </c>
      <c r="CZ139" s="136" t="n">
        <v>0</v>
      </c>
      <c r="DA139" s="136" t="n">
        <v>-0.34</v>
      </c>
      <c r="DB139" s="136" t="n">
        <v>0</v>
      </c>
      <c r="DC139" s="136" t="n">
        <v>0.4</v>
      </c>
      <c r="DE139" s="136" t="n">
        <v>-0.0405</v>
      </c>
      <c r="DF139" s="136" t="n">
        <v>0.0125</v>
      </c>
      <c r="DG139" s="136" t="n">
        <v>0.011</v>
      </c>
      <c r="DH139" s="136" t="n">
        <v>0.0075</v>
      </c>
      <c r="DI139" s="136" t="n">
        <v>-0.0065</v>
      </c>
      <c r="DJ139" s="136" t="n">
        <v>0.0025</v>
      </c>
      <c r="DK139" s="136" t="n">
        <v>-0.0735</v>
      </c>
      <c r="DL139" s="136" t="n">
        <v>0.0025</v>
      </c>
      <c r="DM139" s="136" t="n">
        <v>-0.0555</v>
      </c>
      <c r="DN139" s="136" t="n">
        <v>0.0025</v>
      </c>
      <c r="DO139" s="136" t="n">
        <v>-0.078</v>
      </c>
      <c r="DP139" s="136" t="n">
        <v>0.0025</v>
      </c>
      <c r="DQ139" s="136" t="n">
        <v>-0.1035</v>
      </c>
      <c r="DR139" s="136" t="n">
        <v>-0.005</v>
      </c>
      <c r="DS139" s="136" t="n">
        <v>0.77</v>
      </c>
      <c r="DT139" s="136" t="n">
        <v>0.05</v>
      </c>
      <c r="DU139" s="136" t="n">
        <v>0</v>
      </c>
      <c r="DV139" s="136" t="n">
        <v>0</v>
      </c>
    </row>
    <row r="140" customFormat="false" ht="12.75" hidden="false" customHeight="false" outlineLevel="0" collapsed="false">
      <c r="D140" s="135" t="n">
        <v>40909</v>
      </c>
      <c r="F140" s="174" t="n">
        <v>4.2395</v>
      </c>
      <c r="G140" s="175" t="n">
        <v>0.0619856778870891</v>
      </c>
      <c r="H140" s="174" t="n">
        <v>0.18</v>
      </c>
      <c r="I140" s="174" t="n">
        <v>1</v>
      </c>
      <c r="J140" s="174" t="n">
        <v>1.05</v>
      </c>
      <c r="K140" s="174" t="n">
        <v>1</v>
      </c>
      <c r="L140" s="172" t="n">
        <v>1</v>
      </c>
      <c r="M140" s="172" t="n">
        <v>1.15</v>
      </c>
      <c r="N140" s="174" t="n">
        <v>1.45</v>
      </c>
      <c r="O140" s="174" t="n">
        <v>1.05</v>
      </c>
      <c r="P140" s="174" t="n">
        <v>1</v>
      </c>
      <c r="Q140" s="174" t="n">
        <v>1.35</v>
      </c>
      <c r="R140" s="175" t="n">
        <v>1</v>
      </c>
      <c r="S140" s="175" t="n">
        <v>1.1</v>
      </c>
      <c r="T140" s="174" t="n">
        <v>1</v>
      </c>
      <c r="U140" s="174" t="n">
        <v>1.45</v>
      </c>
      <c r="V140" s="174" t="n">
        <v>1.1</v>
      </c>
      <c r="W140" s="174" t="n">
        <v>0.025</v>
      </c>
      <c r="X140" s="174" t="n">
        <v>0.03</v>
      </c>
      <c r="Y140" s="174" t="n">
        <v>0.13</v>
      </c>
      <c r="Z140" s="174" t="n">
        <v>0.02</v>
      </c>
      <c r="AA140" s="174" t="n">
        <v>0.29</v>
      </c>
      <c r="AB140" s="174" t="n">
        <v>0</v>
      </c>
      <c r="AC140" s="174" t="n">
        <v>0.335</v>
      </c>
      <c r="AD140" s="174" t="n">
        <v>0</v>
      </c>
      <c r="AE140" s="174" t="n">
        <v>0.29</v>
      </c>
      <c r="AF140" s="174" t="n">
        <v>0</v>
      </c>
      <c r="AG140" s="174" t="n">
        <v>0.17</v>
      </c>
      <c r="AH140" s="174" t="n">
        <v>0</v>
      </c>
      <c r="AI140" s="174" t="n">
        <v>0.16128</v>
      </c>
      <c r="AJ140" s="174" t="n">
        <v>0</v>
      </c>
      <c r="AK140" s="174" t="n">
        <v>0.13</v>
      </c>
      <c r="AL140" s="174" t="n">
        <v>0.035</v>
      </c>
      <c r="AM140" s="174" t="n">
        <v>-0.0635</v>
      </c>
      <c r="AN140" s="174" t="n">
        <v>0.02</v>
      </c>
      <c r="AO140" s="174" t="n">
        <v>-0.5</v>
      </c>
      <c r="AP140" s="174" t="n">
        <v>0.155</v>
      </c>
      <c r="AQ140" s="174" t="n">
        <v>-0.0435</v>
      </c>
      <c r="AR140" s="174" t="n">
        <v>0.005</v>
      </c>
      <c r="AS140" s="174" t="n">
        <v>-0.155</v>
      </c>
      <c r="AT140" s="174" t="n">
        <v>-0.005</v>
      </c>
      <c r="AU140" s="174" t="n">
        <v>-0.115</v>
      </c>
      <c r="AV140" s="174" t="n">
        <v>-0.01</v>
      </c>
      <c r="AW140" s="174" t="n">
        <v>-0.0435</v>
      </c>
      <c r="AX140" s="174" t="n">
        <v>0.022</v>
      </c>
      <c r="AY140" s="175" t="n">
        <v>0.155</v>
      </c>
      <c r="AZ140" s="175" t="n">
        <v>0</v>
      </c>
      <c r="BA140" s="175" t="n">
        <v>-0.13</v>
      </c>
      <c r="BB140" s="174" t="n">
        <v>0.005</v>
      </c>
      <c r="BC140" s="174" t="n">
        <v>-0.07</v>
      </c>
      <c r="BD140" s="174" t="n">
        <v>0.005</v>
      </c>
      <c r="BE140" s="174" t="n">
        <v>0.35</v>
      </c>
      <c r="BF140" s="174" t="n">
        <v>0</v>
      </c>
      <c r="BG140" s="174" t="n">
        <v>-0.06</v>
      </c>
      <c r="BH140" s="174" t="n">
        <v>0</v>
      </c>
      <c r="BI140" s="174" t="n">
        <v>0</v>
      </c>
      <c r="BJ140" s="136" t="n">
        <v>0.03</v>
      </c>
      <c r="BK140" s="136" t="n">
        <v>0.35</v>
      </c>
      <c r="BL140" s="136" t="n">
        <v>0</v>
      </c>
      <c r="BM140" s="136" t="n">
        <v>0.428</v>
      </c>
      <c r="BN140" s="136" t="n">
        <v>0</v>
      </c>
      <c r="BO140" s="136" t="n">
        <v>-0.26</v>
      </c>
      <c r="BP140" s="136" t="n">
        <v>0</v>
      </c>
      <c r="BQ140" s="136" t="n">
        <v>0.5</v>
      </c>
      <c r="BR140" s="136" t="n">
        <v>0</v>
      </c>
      <c r="BS140" s="136" t="n">
        <v>-0.07</v>
      </c>
      <c r="BT140" s="136" t="n">
        <v>0.005</v>
      </c>
      <c r="BU140" s="136" t="n">
        <v>0.3</v>
      </c>
      <c r="BV140" s="136" t="n">
        <v>0</v>
      </c>
      <c r="BW140" s="136" t="n">
        <v>0</v>
      </c>
      <c r="BX140" s="136" t="n">
        <v>0</v>
      </c>
      <c r="BY140" s="136" t="n">
        <v>-0.011</v>
      </c>
      <c r="BZ140" s="136" t="n">
        <v>0.0575</v>
      </c>
      <c r="CA140" s="136" t="n">
        <v>0.235</v>
      </c>
      <c r="CB140" s="136" t="n">
        <v>0.005</v>
      </c>
      <c r="CC140" s="136" t="n">
        <v>-0.011</v>
      </c>
      <c r="CD140" s="136" t="n">
        <v>0.0037</v>
      </c>
      <c r="CE140" s="136" t="n">
        <v>0.0025</v>
      </c>
      <c r="CF140" s="136" t="n">
        <v>0.0025</v>
      </c>
      <c r="CG140" s="136" t="n">
        <v>-0.011</v>
      </c>
      <c r="CH140" s="136" t="n">
        <v>0.0037</v>
      </c>
      <c r="CI140" s="136" t="n">
        <v>-0.1065</v>
      </c>
      <c r="CJ140" s="136" t="n">
        <v>0.0025</v>
      </c>
      <c r="CK140" s="136" t="n">
        <v>0.075</v>
      </c>
      <c r="CL140" s="136" t="n">
        <v>0.0025</v>
      </c>
      <c r="CM140" s="136" t="n">
        <v>-0.064</v>
      </c>
      <c r="CN140" s="136" t="n">
        <v>0.01</v>
      </c>
      <c r="CO140" s="136" t="n">
        <v>-0.008999999</v>
      </c>
      <c r="CP140" s="136" t="n">
        <v>0.0075</v>
      </c>
      <c r="CQ140" s="136" t="n">
        <v>0.031</v>
      </c>
      <c r="CR140" s="136" t="n">
        <v>0.0125</v>
      </c>
      <c r="CS140" s="136" t="n">
        <v>1.6</v>
      </c>
      <c r="CT140" s="136" t="n">
        <v>0.45</v>
      </c>
      <c r="CU140" s="136" t="n">
        <v>0.428</v>
      </c>
      <c r="CV140" s="136" t="n">
        <v>0</v>
      </c>
      <c r="CW140" s="136" t="n">
        <v>0.34</v>
      </c>
      <c r="CX140" s="136" t="n">
        <v>0.02</v>
      </c>
      <c r="CY140" s="136" t="n">
        <v>-0.52</v>
      </c>
      <c r="CZ140" s="136" t="n">
        <v>0</v>
      </c>
      <c r="DA140" s="136" t="n">
        <v>-0.34</v>
      </c>
      <c r="DB140" s="136" t="n">
        <v>0</v>
      </c>
      <c r="DC140" s="136" t="n">
        <v>0.35</v>
      </c>
      <c r="DE140" s="136" t="n">
        <v>-0.0405</v>
      </c>
      <c r="DF140" s="136" t="n">
        <v>0.0125</v>
      </c>
      <c r="DG140" s="136" t="n">
        <v>0.011</v>
      </c>
      <c r="DH140" s="136" t="n">
        <v>0.0075</v>
      </c>
      <c r="DI140" s="136" t="n">
        <v>-0.0065</v>
      </c>
      <c r="DJ140" s="136" t="n">
        <v>0.0025</v>
      </c>
      <c r="DK140" s="136" t="n">
        <v>-0.0885</v>
      </c>
      <c r="DL140" s="136" t="n">
        <v>0.0025</v>
      </c>
      <c r="DM140" s="136" t="n">
        <v>-0.0555</v>
      </c>
      <c r="DN140" s="136" t="n">
        <v>0.0025</v>
      </c>
      <c r="DO140" s="136" t="n">
        <v>-0.078</v>
      </c>
      <c r="DP140" s="136" t="n">
        <v>0.0025</v>
      </c>
      <c r="DQ140" s="136" t="n">
        <v>-0.1185</v>
      </c>
      <c r="DR140" s="136" t="n">
        <v>-0.005</v>
      </c>
      <c r="DS140" s="136" t="n">
        <v>1.04</v>
      </c>
      <c r="DT140" s="136" t="n">
        <v>0.05</v>
      </c>
      <c r="DU140" s="136" t="n">
        <v>0</v>
      </c>
      <c r="DV140" s="136" t="n">
        <v>0</v>
      </c>
    </row>
    <row r="141" customFormat="false" ht="12.75" hidden="false" customHeight="false" outlineLevel="0" collapsed="false">
      <c r="D141" s="135" t="n">
        <v>40940</v>
      </c>
      <c r="F141" s="174" t="n">
        <v>4.1545</v>
      </c>
      <c r="G141" s="175" t="n">
        <v>0.0620262219712964</v>
      </c>
      <c r="H141" s="174" t="n">
        <v>0.175</v>
      </c>
      <c r="I141" s="174" t="n">
        <v>1</v>
      </c>
      <c r="J141" s="174" t="n">
        <v>1.05</v>
      </c>
      <c r="K141" s="174" t="n">
        <v>1</v>
      </c>
      <c r="L141" s="172" t="n">
        <v>1</v>
      </c>
      <c r="M141" s="172" t="n">
        <v>1.15</v>
      </c>
      <c r="N141" s="174" t="n">
        <v>1.45</v>
      </c>
      <c r="O141" s="174" t="n">
        <v>1.05</v>
      </c>
      <c r="P141" s="174" t="n">
        <v>1</v>
      </c>
      <c r="Q141" s="174" t="n">
        <v>1.35</v>
      </c>
      <c r="R141" s="175" t="n">
        <v>1</v>
      </c>
      <c r="S141" s="175" t="n">
        <v>1.1</v>
      </c>
      <c r="T141" s="174" t="n">
        <v>1</v>
      </c>
      <c r="U141" s="174" t="n">
        <v>1.45</v>
      </c>
      <c r="V141" s="174" t="n">
        <v>1.1</v>
      </c>
      <c r="W141" s="174" t="n">
        <v>0.02</v>
      </c>
      <c r="X141" s="174" t="n">
        <v>0.03</v>
      </c>
      <c r="Y141" s="174" t="n">
        <v>0.13</v>
      </c>
      <c r="Z141" s="174" t="n">
        <v>0.02</v>
      </c>
      <c r="AA141" s="174" t="n">
        <v>0.29</v>
      </c>
      <c r="AB141" s="174" t="n">
        <v>0</v>
      </c>
      <c r="AC141" s="174" t="n">
        <v>0.335</v>
      </c>
      <c r="AD141" s="174" t="n">
        <v>0</v>
      </c>
      <c r="AE141" s="174" t="n">
        <v>0.29</v>
      </c>
      <c r="AF141" s="174" t="n">
        <v>0</v>
      </c>
      <c r="AG141" s="174" t="n">
        <v>0.17</v>
      </c>
      <c r="AH141" s="174" t="n">
        <v>0</v>
      </c>
      <c r="AI141" s="174" t="n">
        <v>0.15872</v>
      </c>
      <c r="AJ141" s="174" t="n">
        <v>0</v>
      </c>
      <c r="AK141" s="174" t="n">
        <v>0.13</v>
      </c>
      <c r="AL141" s="174" t="n">
        <v>0.035</v>
      </c>
      <c r="AM141" s="174" t="n">
        <v>-0.0635</v>
      </c>
      <c r="AN141" s="174" t="n">
        <v>0.02</v>
      </c>
      <c r="AO141" s="174" t="n">
        <v>-0.5</v>
      </c>
      <c r="AP141" s="174" t="n">
        <v>0.155</v>
      </c>
      <c r="AQ141" s="174" t="n">
        <v>-0.0435</v>
      </c>
      <c r="AR141" s="174" t="n">
        <v>0.005</v>
      </c>
      <c r="AS141" s="174" t="n">
        <v>-0.1475</v>
      </c>
      <c r="AT141" s="174" t="n">
        <v>-0.005</v>
      </c>
      <c r="AU141" s="174" t="n">
        <v>-0.1075</v>
      </c>
      <c r="AV141" s="174" t="n">
        <v>-0.01</v>
      </c>
      <c r="AW141" s="174" t="n">
        <v>-0.0435</v>
      </c>
      <c r="AX141" s="174" t="n">
        <v>0.022</v>
      </c>
      <c r="AY141" s="175" t="n">
        <v>0.155</v>
      </c>
      <c r="AZ141" s="175" t="n">
        <v>0</v>
      </c>
      <c r="BA141" s="175" t="n">
        <v>-0.13</v>
      </c>
      <c r="BB141" s="174" t="n">
        <v>0.005</v>
      </c>
      <c r="BC141" s="174" t="n">
        <v>-0.07</v>
      </c>
      <c r="BD141" s="174" t="n">
        <v>0.005</v>
      </c>
      <c r="BE141" s="174" t="n">
        <v>0.35</v>
      </c>
      <c r="BF141" s="174" t="n">
        <v>0</v>
      </c>
      <c r="BG141" s="174" t="n">
        <v>-0.06</v>
      </c>
      <c r="BH141" s="174" t="n">
        <v>0</v>
      </c>
      <c r="BI141" s="174" t="n">
        <v>0</v>
      </c>
      <c r="BJ141" s="136" t="n">
        <v>0.03</v>
      </c>
      <c r="BK141" s="136" t="n">
        <v>0.35</v>
      </c>
      <c r="BL141" s="136" t="n">
        <v>0</v>
      </c>
      <c r="BM141" s="136" t="n">
        <v>0.298</v>
      </c>
      <c r="BN141" s="136" t="n">
        <v>0</v>
      </c>
      <c r="BO141" s="136" t="n">
        <v>-0.26</v>
      </c>
      <c r="BP141" s="136" t="n">
        <v>0</v>
      </c>
      <c r="BQ141" s="136" t="n">
        <v>0.5</v>
      </c>
      <c r="BR141" s="136" t="n">
        <v>0</v>
      </c>
      <c r="BS141" s="136" t="n">
        <v>-0.07</v>
      </c>
      <c r="BT141" s="136" t="n">
        <v>0.005</v>
      </c>
      <c r="BU141" s="136" t="n">
        <v>0.3</v>
      </c>
      <c r="BV141" s="136" t="n">
        <v>0</v>
      </c>
      <c r="BW141" s="136" t="n">
        <v>0</v>
      </c>
      <c r="BX141" s="136" t="n">
        <v>0</v>
      </c>
      <c r="BY141" s="136" t="n">
        <v>-0.011</v>
      </c>
      <c r="BZ141" s="136" t="n">
        <v>0.0575</v>
      </c>
      <c r="CA141" s="136" t="n">
        <v>0.235</v>
      </c>
      <c r="CB141" s="136" t="n">
        <v>0.005</v>
      </c>
      <c r="CC141" s="136" t="n">
        <v>-0.011</v>
      </c>
      <c r="CD141" s="136" t="n">
        <v>0.0037</v>
      </c>
      <c r="CE141" s="136" t="n">
        <v>0.0025</v>
      </c>
      <c r="CF141" s="136" t="n">
        <v>0.0025</v>
      </c>
      <c r="CG141" s="136" t="n">
        <v>-0.011</v>
      </c>
      <c r="CH141" s="136" t="n">
        <v>0.0037</v>
      </c>
      <c r="CI141" s="136" t="n">
        <v>-0.1065</v>
      </c>
      <c r="CJ141" s="136" t="n">
        <v>0.0025</v>
      </c>
      <c r="CK141" s="136" t="n">
        <v>0.075</v>
      </c>
      <c r="CL141" s="136" t="n">
        <v>0.0025</v>
      </c>
      <c r="CM141" s="136" t="n">
        <v>-0.064</v>
      </c>
      <c r="CN141" s="136" t="n">
        <v>0.01</v>
      </c>
      <c r="CO141" s="136" t="n">
        <v>-0.008999999</v>
      </c>
      <c r="CP141" s="136" t="n">
        <v>0.0075</v>
      </c>
      <c r="CQ141" s="136" t="n">
        <v>0.031</v>
      </c>
      <c r="CR141" s="136" t="n">
        <v>0.0125</v>
      </c>
      <c r="CS141" s="136" t="n">
        <v>1.6</v>
      </c>
      <c r="CT141" s="136" t="n">
        <v>0.45</v>
      </c>
      <c r="CU141" s="136" t="n">
        <v>0.298</v>
      </c>
      <c r="CV141" s="136" t="n">
        <v>0</v>
      </c>
      <c r="CW141" s="136" t="n">
        <v>0.34</v>
      </c>
      <c r="CX141" s="136" t="n">
        <v>0.02</v>
      </c>
      <c r="CY141" s="136" t="n">
        <v>-0.52</v>
      </c>
      <c r="CZ141" s="136" t="n">
        <v>0</v>
      </c>
      <c r="DA141" s="136" t="n">
        <v>-0.34</v>
      </c>
      <c r="DB141" s="136" t="n">
        <v>0</v>
      </c>
      <c r="DC141" s="136" t="n">
        <v>0.35</v>
      </c>
      <c r="DE141" s="136" t="n">
        <v>-0.0405</v>
      </c>
      <c r="DF141" s="136" t="n">
        <v>0.0125</v>
      </c>
      <c r="DG141" s="136" t="n">
        <v>0.011</v>
      </c>
      <c r="DH141" s="136" t="n">
        <v>0.0075</v>
      </c>
      <c r="DI141" s="136" t="n">
        <v>-0.0065</v>
      </c>
      <c r="DJ141" s="136" t="n">
        <v>0.0025</v>
      </c>
      <c r="DK141" s="136" t="n">
        <v>-0.0785</v>
      </c>
      <c r="DL141" s="136" t="n">
        <v>0.0025</v>
      </c>
      <c r="DM141" s="136" t="n">
        <v>-0.0555</v>
      </c>
      <c r="DN141" s="136" t="n">
        <v>0.0025</v>
      </c>
      <c r="DO141" s="136" t="n">
        <v>-0.078</v>
      </c>
      <c r="DP141" s="136" t="n">
        <v>0.0025</v>
      </c>
      <c r="DQ141" s="136" t="n">
        <v>-0.1085</v>
      </c>
      <c r="DR141" s="136" t="n">
        <v>-0.005</v>
      </c>
      <c r="DS141" s="136" t="n">
        <v>1.04</v>
      </c>
      <c r="DT141" s="136" t="n">
        <v>0.05</v>
      </c>
      <c r="DU141" s="136" t="n">
        <v>0</v>
      </c>
      <c r="DV141" s="136" t="n">
        <v>0</v>
      </c>
    </row>
    <row r="142" customFormat="false" ht="12.75" hidden="false" customHeight="false" outlineLevel="0" collapsed="false">
      <c r="D142" s="135" t="n">
        <v>40969</v>
      </c>
      <c r="F142" s="174" t="n">
        <v>4.0245</v>
      </c>
      <c r="G142" s="175" t="n">
        <v>0.0620641503086294</v>
      </c>
      <c r="H142" s="174" t="n">
        <v>0.17</v>
      </c>
      <c r="I142" s="174" t="n">
        <v>0.75</v>
      </c>
      <c r="J142" s="174" t="n">
        <v>0.8</v>
      </c>
      <c r="K142" s="174" t="n">
        <v>0.75</v>
      </c>
      <c r="L142" s="172" t="n">
        <v>0.75</v>
      </c>
      <c r="M142" s="172" t="n">
        <v>0.85</v>
      </c>
      <c r="N142" s="174" t="n">
        <v>1</v>
      </c>
      <c r="O142" s="174" t="n">
        <v>0.75</v>
      </c>
      <c r="P142" s="174" t="n">
        <v>0.75</v>
      </c>
      <c r="Q142" s="174" t="n">
        <v>0.95</v>
      </c>
      <c r="R142" s="175" t="n">
        <v>0.75</v>
      </c>
      <c r="S142" s="175" t="n">
        <v>0.75</v>
      </c>
      <c r="T142" s="174" t="n">
        <v>0.75</v>
      </c>
      <c r="U142" s="174" t="n">
        <v>1</v>
      </c>
      <c r="V142" s="174" t="n">
        <v>0.85</v>
      </c>
      <c r="W142" s="174" t="n">
        <v>0</v>
      </c>
      <c r="X142" s="174" t="n">
        <v>0.03</v>
      </c>
      <c r="Y142" s="174" t="n">
        <v>0.13</v>
      </c>
      <c r="Z142" s="174" t="n">
        <v>0.02</v>
      </c>
      <c r="AA142" s="174" t="n">
        <v>0.29</v>
      </c>
      <c r="AB142" s="174" t="n">
        <v>0</v>
      </c>
      <c r="AC142" s="174" t="n">
        <v>0.335</v>
      </c>
      <c r="AD142" s="174" t="n">
        <v>0</v>
      </c>
      <c r="AE142" s="174" t="n">
        <v>0.29</v>
      </c>
      <c r="AF142" s="174" t="n">
        <v>0</v>
      </c>
      <c r="AG142" s="174" t="n">
        <v>0.17</v>
      </c>
      <c r="AH142" s="174" t="n">
        <v>0</v>
      </c>
      <c r="AI142" s="174" t="n">
        <v>0.15456</v>
      </c>
      <c r="AJ142" s="174" t="n">
        <v>0</v>
      </c>
      <c r="AK142" s="174" t="n">
        <v>0.13</v>
      </c>
      <c r="AL142" s="174" t="n">
        <v>0.035</v>
      </c>
      <c r="AM142" s="174" t="n">
        <v>-0.0635</v>
      </c>
      <c r="AN142" s="174" t="n">
        <v>0.02</v>
      </c>
      <c r="AO142" s="174" t="n">
        <v>-0.5</v>
      </c>
      <c r="AP142" s="174" t="n">
        <v>0.155</v>
      </c>
      <c r="AQ142" s="174" t="n">
        <v>-0.0435</v>
      </c>
      <c r="AR142" s="174" t="n">
        <v>0.005</v>
      </c>
      <c r="AS142" s="174" t="n">
        <v>-0.145</v>
      </c>
      <c r="AT142" s="174" t="n">
        <v>-0.005</v>
      </c>
      <c r="AU142" s="174" t="n">
        <v>-0.105</v>
      </c>
      <c r="AV142" s="174" t="n">
        <v>-0.01</v>
      </c>
      <c r="AW142" s="174" t="n">
        <v>-0.0435</v>
      </c>
      <c r="AX142" s="174" t="n">
        <v>0.022</v>
      </c>
      <c r="AY142" s="175" t="n">
        <v>0.155</v>
      </c>
      <c r="AZ142" s="175" t="n">
        <v>0</v>
      </c>
      <c r="BA142" s="175" t="n">
        <v>-0.13</v>
      </c>
      <c r="BB142" s="174" t="n">
        <v>0.005</v>
      </c>
      <c r="BC142" s="174" t="n">
        <v>-0.07</v>
      </c>
      <c r="BD142" s="174" t="n">
        <v>0.005</v>
      </c>
      <c r="BE142" s="174" t="n">
        <v>0.35</v>
      </c>
      <c r="BF142" s="174" t="n">
        <v>0</v>
      </c>
      <c r="BG142" s="174" t="n">
        <v>-0.06</v>
      </c>
      <c r="BH142" s="174" t="n">
        <v>0</v>
      </c>
      <c r="BI142" s="174" t="n">
        <v>0</v>
      </c>
      <c r="BJ142" s="136" t="n">
        <v>0.03</v>
      </c>
      <c r="BK142" s="136" t="n">
        <v>0.35</v>
      </c>
      <c r="BL142" s="136" t="n">
        <v>0</v>
      </c>
      <c r="BM142" s="136" t="n">
        <v>0.118</v>
      </c>
      <c r="BN142" s="136" t="n">
        <v>0</v>
      </c>
      <c r="BO142" s="136" t="n">
        <v>-0.26</v>
      </c>
      <c r="BP142" s="136" t="n">
        <v>0</v>
      </c>
      <c r="BQ142" s="136" t="n">
        <v>0.5</v>
      </c>
      <c r="BR142" s="136" t="n">
        <v>0</v>
      </c>
      <c r="BS142" s="136" t="n">
        <v>-0.07</v>
      </c>
      <c r="BT142" s="136" t="n">
        <v>0.005</v>
      </c>
      <c r="BU142" s="136" t="n">
        <v>0.3</v>
      </c>
      <c r="BV142" s="136" t="n">
        <v>0</v>
      </c>
      <c r="BW142" s="136" t="n">
        <v>0</v>
      </c>
      <c r="BX142" s="136" t="n">
        <v>0</v>
      </c>
      <c r="BY142" s="136" t="n">
        <v>-0.011</v>
      </c>
      <c r="BZ142" s="136" t="n">
        <v>0.0575</v>
      </c>
      <c r="CA142" s="136" t="n">
        <v>0.195</v>
      </c>
      <c r="CB142" s="136" t="n">
        <v>0.005</v>
      </c>
      <c r="CC142" s="136" t="n">
        <v>-0.011</v>
      </c>
      <c r="CD142" s="136" t="n">
        <v>0.0037</v>
      </c>
      <c r="CE142" s="136" t="n">
        <v>0.0025</v>
      </c>
      <c r="CF142" s="136" t="n">
        <v>0.0025</v>
      </c>
      <c r="CG142" s="136" t="n">
        <v>-0.011</v>
      </c>
      <c r="CH142" s="136" t="n">
        <v>0.0037</v>
      </c>
      <c r="CI142" s="136" t="n">
        <v>-0.1065</v>
      </c>
      <c r="CJ142" s="136" t="n">
        <v>0.0025</v>
      </c>
      <c r="CK142" s="136" t="n">
        <v>0.075</v>
      </c>
      <c r="CL142" s="136" t="n">
        <v>0.0025</v>
      </c>
      <c r="CM142" s="136" t="n">
        <v>-0.064</v>
      </c>
      <c r="CN142" s="136" t="n">
        <v>0.01</v>
      </c>
      <c r="CO142" s="136" t="n">
        <v>-0.008999999</v>
      </c>
      <c r="CP142" s="136" t="n">
        <v>0.0075</v>
      </c>
      <c r="CQ142" s="136" t="n">
        <v>0.031</v>
      </c>
      <c r="CR142" s="136" t="n">
        <v>0.0125</v>
      </c>
      <c r="CS142" s="136" t="n">
        <v>0.64</v>
      </c>
      <c r="CT142" s="136" t="n">
        <v>0.1</v>
      </c>
      <c r="CU142" s="136" t="n">
        <v>0.118</v>
      </c>
      <c r="CV142" s="136" t="n">
        <v>0</v>
      </c>
      <c r="CW142" s="136" t="n">
        <v>0.29</v>
      </c>
      <c r="CX142" s="136" t="n">
        <v>0.02</v>
      </c>
      <c r="CY142" s="136" t="n">
        <v>-0.52</v>
      </c>
      <c r="CZ142" s="136" t="n">
        <v>0</v>
      </c>
      <c r="DA142" s="136" t="n">
        <v>-0.34</v>
      </c>
      <c r="DB142" s="136" t="n">
        <v>0</v>
      </c>
      <c r="DC142" s="136" t="n">
        <v>0.4</v>
      </c>
      <c r="DE142" s="136" t="n">
        <v>-0.0405</v>
      </c>
      <c r="DF142" s="136" t="n">
        <v>0.0125</v>
      </c>
      <c r="DG142" s="136" t="n">
        <v>0.016</v>
      </c>
      <c r="DH142" s="136" t="n">
        <v>0.0075</v>
      </c>
      <c r="DI142" s="136" t="n">
        <v>-0.0015</v>
      </c>
      <c r="DJ142" s="136" t="n">
        <v>0.0025</v>
      </c>
      <c r="DK142" s="136" t="n">
        <v>-0.0685</v>
      </c>
      <c r="DL142" s="136" t="n">
        <v>0.0025</v>
      </c>
      <c r="DM142" s="136" t="n">
        <v>-0.0555</v>
      </c>
      <c r="DN142" s="136" t="n">
        <v>0.0025</v>
      </c>
      <c r="DO142" s="136" t="n">
        <v>-0.078</v>
      </c>
      <c r="DP142" s="136" t="n">
        <v>0.0025</v>
      </c>
      <c r="DQ142" s="136" t="n">
        <v>-0.0985</v>
      </c>
      <c r="DR142" s="136" t="n">
        <v>-0.005</v>
      </c>
      <c r="DS142" s="136" t="n">
        <v>0.54</v>
      </c>
      <c r="DT142" s="136" t="n">
        <v>0.05</v>
      </c>
      <c r="DU142" s="136" t="n">
        <v>0</v>
      </c>
      <c r="DV142" s="136" t="n">
        <v>0</v>
      </c>
    </row>
    <row r="143" customFormat="false" ht="12.75" hidden="false" customHeight="false" outlineLevel="0" collapsed="false">
      <c r="D143" s="135" t="n">
        <v>41000</v>
      </c>
      <c r="F143" s="174" t="n">
        <v>3.8395</v>
      </c>
      <c r="G143" s="175" t="n">
        <v>0.0621046943938932</v>
      </c>
      <c r="H143" s="174" t="n">
        <v>0.17</v>
      </c>
      <c r="I143" s="174" t="n">
        <v>0.4</v>
      </c>
      <c r="J143" s="174" t="n">
        <v>0.45</v>
      </c>
      <c r="K143" s="174" t="n">
        <v>0.4</v>
      </c>
      <c r="L143" s="172" t="n">
        <v>0.45</v>
      </c>
      <c r="M143" s="172" t="n">
        <v>0.45</v>
      </c>
      <c r="N143" s="174" t="n">
        <v>0.45</v>
      </c>
      <c r="O143" s="174" t="n">
        <v>0.45</v>
      </c>
      <c r="P143" s="174" t="n">
        <v>0.45</v>
      </c>
      <c r="Q143" s="174" t="n">
        <v>0.5</v>
      </c>
      <c r="R143" s="175" t="n">
        <v>0.4</v>
      </c>
      <c r="S143" s="175" t="n">
        <v>0.45</v>
      </c>
      <c r="T143" s="174" t="n">
        <v>0.4</v>
      </c>
      <c r="U143" s="174" t="n">
        <v>0.45</v>
      </c>
      <c r="V143" s="174" t="n">
        <v>0.55</v>
      </c>
      <c r="W143" s="174" t="n">
        <v>-0.09</v>
      </c>
      <c r="X143" s="174" t="n">
        <v>0</v>
      </c>
      <c r="Y143" s="174" t="n">
        <v>0.04</v>
      </c>
      <c r="Z143" s="174" t="n">
        <v>0.005</v>
      </c>
      <c r="AA143" s="174" t="n">
        <v>0.175</v>
      </c>
      <c r="AB143" s="174" t="n">
        <v>0</v>
      </c>
      <c r="AC143" s="174" t="n">
        <v>0.14</v>
      </c>
      <c r="AD143" s="174" t="n">
        <v>0</v>
      </c>
      <c r="AE143" s="174" t="n">
        <v>0.175</v>
      </c>
      <c r="AF143" s="174" t="n">
        <v>0</v>
      </c>
      <c r="AG143" s="174" t="n">
        <v>0.14</v>
      </c>
      <c r="AH143" s="174" t="n">
        <v>0</v>
      </c>
      <c r="AI143" s="174" t="n">
        <v>0.14</v>
      </c>
      <c r="AJ143" s="174" t="n">
        <v>0</v>
      </c>
      <c r="AK143" s="174" t="n">
        <v>0.04</v>
      </c>
      <c r="AL143" s="174" t="n">
        <v>0.04</v>
      </c>
      <c r="AM143" s="174" t="n">
        <v>-0.046</v>
      </c>
      <c r="AN143" s="174" t="n">
        <v>0.027</v>
      </c>
      <c r="AO143" s="174" t="n">
        <v>-0.613</v>
      </c>
      <c r="AP143" s="174" t="n">
        <v>0.155</v>
      </c>
      <c r="AQ143" s="174" t="n">
        <v>-0.041</v>
      </c>
      <c r="AR143" s="174" t="n">
        <v>0</v>
      </c>
      <c r="AS143" s="174" t="n">
        <v>-0.15</v>
      </c>
      <c r="AT143" s="174" t="n">
        <v>-0.015</v>
      </c>
      <c r="AU143" s="174" t="n">
        <v>-0.11</v>
      </c>
      <c r="AV143" s="174" t="n">
        <v>0.02</v>
      </c>
      <c r="AW143" s="174" t="n">
        <v>-0.041</v>
      </c>
      <c r="AX143" s="174" t="n">
        <v>0.014</v>
      </c>
      <c r="AY143" s="175" t="n">
        <v>0.125</v>
      </c>
      <c r="AZ143" s="175" t="n">
        <v>0</v>
      </c>
      <c r="BA143" s="175" t="n">
        <v>-0.195</v>
      </c>
      <c r="BB143" s="174" t="n">
        <v>0.0025</v>
      </c>
      <c r="BC143" s="174" t="n">
        <v>-0.07</v>
      </c>
      <c r="BD143" s="174" t="n">
        <v>0.005</v>
      </c>
      <c r="BE143" s="174" t="n">
        <v>0.43</v>
      </c>
      <c r="BF143" s="174" t="n">
        <v>0</v>
      </c>
      <c r="BG143" s="174" t="n">
        <v>-0.06</v>
      </c>
      <c r="BH143" s="174" t="n">
        <v>0</v>
      </c>
      <c r="BI143" s="174" t="n">
        <v>0</v>
      </c>
      <c r="BJ143" s="136" t="n">
        <v>0.03</v>
      </c>
      <c r="BK143" s="136" t="n">
        <v>0.43</v>
      </c>
      <c r="BL143" s="136" t="n">
        <v>0</v>
      </c>
      <c r="BM143" s="136" t="n">
        <v>-0.2</v>
      </c>
      <c r="BN143" s="136" t="n">
        <v>0</v>
      </c>
      <c r="BO143" s="136" t="n">
        <v>-0.37</v>
      </c>
      <c r="BP143" s="136" t="n">
        <v>0</v>
      </c>
      <c r="BQ143" s="136" t="n">
        <v>0.5</v>
      </c>
      <c r="BR143" s="136" t="n">
        <v>0</v>
      </c>
      <c r="BS143" s="136" t="n">
        <v>-0.07</v>
      </c>
      <c r="BT143" s="136" t="n">
        <v>0.005</v>
      </c>
      <c r="BU143" s="136" t="n">
        <v>0.3</v>
      </c>
      <c r="BV143" s="136" t="n">
        <v>0</v>
      </c>
      <c r="BW143" s="136" t="n">
        <v>0</v>
      </c>
      <c r="BX143" s="136" t="n">
        <v>0</v>
      </c>
      <c r="BY143" s="136" t="n">
        <v>-0.011</v>
      </c>
      <c r="BZ143" s="136" t="n">
        <v>0.0575</v>
      </c>
      <c r="CA143" s="136" t="n">
        <v>0.145</v>
      </c>
      <c r="CB143" s="136" t="n">
        <v>0.005</v>
      </c>
      <c r="CC143" s="136" t="n">
        <v>-0.011</v>
      </c>
      <c r="CD143" s="136" t="n">
        <v>0.0035</v>
      </c>
      <c r="CE143" s="136" t="n">
        <v>0.0025</v>
      </c>
      <c r="CF143" s="136" t="n">
        <v>0.0025</v>
      </c>
      <c r="CG143" s="136" t="n">
        <v>-0.011</v>
      </c>
      <c r="CH143" s="136" t="n">
        <v>0.0035</v>
      </c>
      <c r="CI143" s="136" t="n">
        <v>-0.1265</v>
      </c>
      <c r="CJ143" s="136" t="n">
        <v>0.0025</v>
      </c>
      <c r="CK143" s="136" t="n">
        <v>0.0775</v>
      </c>
      <c r="CL143" s="136" t="n">
        <v>0.0025</v>
      </c>
      <c r="CM143" s="136" t="n">
        <v>-0.072</v>
      </c>
      <c r="CN143" s="136" t="n">
        <v>0.0075</v>
      </c>
      <c r="CO143" s="136" t="n">
        <v>-0.017</v>
      </c>
      <c r="CP143" s="136" t="n">
        <v>0.005</v>
      </c>
      <c r="CQ143" s="136" t="n">
        <v>0.023</v>
      </c>
      <c r="CR143" s="136" t="n">
        <v>0.0075</v>
      </c>
      <c r="CS143" s="136" t="n">
        <v>0.38</v>
      </c>
      <c r="CT143" s="136" t="n">
        <v>0.02</v>
      </c>
      <c r="CU143" s="136" t="n">
        <v>-0.2</v>
      </c>
      <c r="CV143" s="136" t="n">
        <v>0</v>
      </c>
      <c r="CW143" s="136" t="n">
        <v>0.195</v>
      </c>
      <c r="CX143" s="136" t="n">
        <v>0.0075</v>
      </c>
      <c r="CY143" s="136" t="n">
        <v>-0.63</v>
      </c>
      <c r="CZ143" s="136" t="n">
        <v>0</v>
      </c>
      <c r="DA143" s="136" t="n">
        <v>-0.45</v>
      </c>
      <c r="DB143" s="136" t="n">
        <v>0</v>
      </c>
      <c r="DC143" s="136" t="n">
        <v>0.6</v>
      </c>
      <c r="DE143" s="136" t="n">
        <v>-0.048</v>
      </c>
      <c r="DF143" s="136" t="n">
        <v>0.01</v>
      </c>
      <c r="DG143" s="136" t="n">
        <v>0.016</v>
      </c>
      <c r="DH143" s="136" t="n">
        <v>0.01</v>
      </c>
      <c r="DI143" s="136" t="n">
        <v>-0.0015</v>
      </c>
      <c r="DJ143" s="136" t="n">
        <v>0.0075</v>
      </c>
      <c r="DK143" s="136" t="n">
        <v>-0.1115</v>
      </c>
      <c r="DL143" s="136" t="n">
        <v>0.005</v>
      </c>
      <c r="DM143" s="136" t="n">
        <v>-0.053</v>
      </c>
      <c r="DN143" s="136" t="n">
        <v>0.0025</v>
      </c>
      <c r="DO143" s="136" t="n">
        <v>-0.0755</v>
      </c>
      <c r="DP143" s="136" t="n">
        <v>0.0025</v>
      </c>
      <c r="DQ143" s="136" t="n">
        <v>-0.1415</v>
      </c>
      <c r="DR143" s="136" t="n">
        <v>-0.005</v>
      </c>
      <c r="DS143" s="136" t="n">
        <v>0.36</v>
      </c>
      <c r="DT143" s="136" t="n">
        <v>0.005</v>
      </c>
      <c r="DU143" s="136" t="n">
        <v>0</v>
      </c>
      <c r="DV143" s="136" t="n">
        <v>0</v>
      </c>
    </row>
    <row r="144" customFormat="false" ht="12.75" hidden="false" customHeight="false" outlineLevel="0" collapsed="false">
      <c r="D144" s="135" t="n">
        <v>41030</v>
      </c>
      <c r="F144" s="174" t="n">
        <v>3.8345</v>
      </c>
      <c r="G144" s="175" t="n">
        <v>0.0621439306059584</v>
      </c>
      <c r="H144" s="174" t="n">
        <v>0.17</v>
      </c>
      <c r="I144" s="174" t="n">
        <v>0.45</v>
      </c>
      <c r="J144" s="174" t="n">
        <v>0.5</v>
      </c>
      <c r="K144" s="174" t="n">
        <v>0.4</v>
      </c>
      <c r="L144" s="172" t="n">
        <v>0.4</v>
      </c>
      <c r="M144" s="172" t="n">
        <v>0.45</v>
      </c>
      <c r="N144" s="174" t="n">
        <v>0.5</v>
      </c>
      <c r="O144" s="174" t="n">
        <v>0.45</v>
      </c>
      <c r="P144" s="174" t="n">
        <v>0.4</v>
      </c>
      <c r="Q144" s="174" t="n">
        <v>0.45</v>
      </c>
      <c r="R144" s="175" t="n">
        <v>0.45</v>
      </c>
      <c r="S144" s="175" t="n">
        <v>0.5</v>
      </c>
      <c r="T144" s="174" t="n">
        <v>0.45</v>
      </c>
      <c r="U144" s="174" t="n">
        <v>0.5</v>
      </c>
      <c r="V144" s="174" t="n">
        <v>0.5</v>
      </c>
      <c r="W144" s="174" t="n">
        <v>-0.09</v>
      </c>
      <c r="X144" s="174" t="n">
        <v>0</v>
      </c>
      <c r="Y144" s="174" t="n">
        <v>0.04</v>
      </c>
      <c r="Z144" s="174" t="n">
        <v>0.005</v>
      </c>
      <c r="AA144" s="174" t="n">
        <v>0.175</v>
      </c>
      <c r="AB144" s="174" t="n">
        <v>0</v>
      </c>
      <c r="AC144" s="174" t="n">
        <v>0.14</v>
      </c>
      <c r="AD144" s="174" t="n">
        <v>0</v>
      </c>
      <c r="AE144" s="174" t="n">
        <v>0.175</v>
      </c>
      <c r="AF144" s="174" t="n">
        <v>0</v>
      </c>
      <c r="AG144" s="174" t="n">
        <v>0.14</v>
      </c>
      <c r="AH144" s="174" t="n">
        <v>0</v>
      </c>
      <c r="AI144" s="174" t="n">
        <v>0.14</v>
      </c>
      <c r="AJ144" s="174" t="n">
        <v>0</v>
      </c>
      <c r="AK144" s="174" t="n">
        <v>0.04</v>
      </c>
      <c r="AL144" s="174" t="n">
        <v>0.04</v>
      </c>
      <c r="AM144" s="174" t="n">
        <v>-0.046</v>
      </c>
      <c r="AN144" s="174" t="n">
        <v>0.027</v>
      </c>
      <c r="AO144" s="174" t="n">
        <v>-0.613</v>
      </c>
      <c r="AP144" s="174" t="n">
        <v>0.155</v>
      </c>
      <c r="AQ144" s="174" t="n">
        <v>-0.041</v>
      </c>
      <c r="AR144" s="174" t="n">
        <v>0</v>
      </c>
      <c r="AS144" s="174" t="n">
        <v>-0.15</v>
      </c>
      <c r="AT144" s="174" t="n">
        <v>-0.015</v>
      </c>
      <c r="AU144" s="174" t="n">
        <v>-0.11</v>
      </c>
      <c r="AV144" s="174" t="n">
        <v>0.02</v>
      </c>
      <c r="AW144" s="174" t="n">
        <v>-0.041</v>
      </c>
      <c r="AX144" s="174" t="n">
        <v>0.014</v>
      </c>
      <c r="AY144" s="175" t="n">
        <v>0.125</v>
      </c>
      <c r="AZ144" s="175" t="n">
        <v>0</v>
      </c>
      <c r="BA144" s="175" t="n">
        <v>-0.195</v>
      </c>
      <c r="BB144" s="174" t="n">
        <v>0.0025</v>
      </c>
      <c r="BC144" s="174" t="n">
        <v>-0.07</v>
      </c>
      <c r="BD144" s="174" t="n">
        <v>0.005</v>
      </c>
      <c r="BE144" s="174" t="n">
        <v>0.43</v>
      </c>
      <c r="BF144" s="174" t="n">
        <v>0</v>
      </c>
      <c r="BG144" s="174" t="n">
        <v>-0.06</v>
      </c>
      <c r="BH144" s="174" t="n">
        <v>0</v>
      </c>
      <c r="BI144" s="174" t="n">
        <v>0</v>
      </c>
      <c r="BJ144" s="136" t="n">
        <v>0.03</v>
      </c>
      <c r="BK144" s="136" t="n">
        <v>0.43</v>
      </c>
      <c r="BL144" s="136" t="n">
        <v>0</v>
      </c>
      <c r="BM144" s="136" t="n">
        <v>-0.05</v>
      </c>
      <c r="BN144" s="136" t="n">
        <v>0</v>
      </c>
      <c r="BO144" s="136" t="n">
        <v>-0.37</v>
      </c>
      <c r="BP144" s="136" t="n">
        <v>0</v>
      </c>
      <c r="BQ144" s="136" t="n">
        <v>0.5</v>
      </c>
      <c r="BR144" s="136" t="n">
        <v>0</v>
      </c>
      <c r="BS144" s="136" t="n">
        <v>-0.07</v>
      </c>
      <c r="BT144" s="136" t="n">
        <v>0.005</v>
      </c>
      <c r="BU144" s="136" t="n">
        <v>0.3</v>
      </c>
      <c r="BV144" s="136" t="n">
        <v>0</v>
      </c>
      <c r="BW144" s="136" t="n">
        <v>0</v>
      </c>
      <c r="BX144" s="136" t="n">
        <v>0</v>
      </c>
      <c r="BY144" s="136" t="n">
        <v>-0.011</v>
      </c>
      <c r="BZ144" s="136" t="n">
        <v>0.0575</v>
      </c>
      <c r="CA144" s="136" t="n">
        <v>0.125</v>
      </c>
      <c r="CB144" s="136" t="n">
        <v>0.005</v>
      </c>
      <c r="CC144" s="136" t="n">
        <v>-0.011</v>
      </c>
      <c r="CD144" s="136" t="n">
        <v>0.0035</v>
      </c>
      <c r="CE144" s="136" t="n">
        <v>0.0025</v>
      </c>
      <c r="CF144" s="136" t="n">
        <v>0.0025</v>
      </c>
      <c r="CG144" s="136" t="n">
        <v>-0.011</v>
      </c>
      <c r="CH144" s="136" t="n">
        <v>0.0035</v>
      </c>
      <c r="CI144" s="136" t="n">
        <v>-0.114</v>
      </c>
      <c r="CJ144" s="136" t="n">
        <v>0.0025</v>
      </c>
      <c r="CK144" s="136" t="n">
        <v>0.0775</v>
      </c>
      <c r="CL144" s="136" t="n">
        <v>0.0025</v>
      </c>
      <c r="CM144" s="136" t="n">
        <v>-0.072</v>
      </c>
      <c r="CN144" s="136" t="n">
        <v>0.0075</v>
      </c>
      <c r="CO144" s="136" t="n">
        <v>-0.017</v>
      </c>
      <c r="CP144" s="136" t="n">
        <v>0.005</v>
      </c>
      <c r="CQ144" s="136" t="n">
        <v>0.023</v>
      </c>
      <c r="CR144" s="136" t="n">
        <v>0.0075</v>
      </c>
      <c r="CS144" s="136" t="n">
        <v>0.33</v>
      </c>
      <c r="CT144" s="136" t="n">
        <v>0.02</v>
      </c>
      <c r="CU144" s="136" t="n">
        <v>-0.05</v>
      </c>
      <c r="CV144" s="136" t="n">
        <v>0</v>
      </c>
      <c r="CW144" s="136" t="n">
        <v>0.135</v>
      </c>
      <c r="CX144" s="136" t="n">
        <v>0.0075</v>
      </c>
      <c r="CY144" s="136" t="n">
        <v>-0.63</v>
      </c>
      <c r="CZ144" s="136" t="n">
        <v>0</v>
      </c>
      <c r="DA144" s="136" t="n">
        <v>-0.45</v>
      </c>
      <c r="DB144" s="136" t="n">
        <v>0</v>
      </c>
      <c r="DC144" s="136" t="n">
        <v>0.75</v>
      </c>
      <c r="DE144" s="136" t="n">
        <v>-0.048</v>
      </c>
      <c r="DF144" s="136" t="n">
        <v>0.01</v>
      </c>
      <c r="DG144" s="136" t="n">
        <v>0.0185</v>
      </c>
      <c r="DH144" s="136" t="n">
        <v>0.01</v>
      </c>
      <c r="DI144" s="136" t="n">
        <v>0.001</v>
      </c>
      <c r="DJ144" s="136" t="n">
        <v>0.0075</v>
      </c>
      <c r="DK144" s="136" t="n">
        <v>-0.089</v>
      </c>
      <c r="DL144" s="136" t="n">
        <v>0.005</v>
      </c>
      <c r="DM144" s="136" t="n">
        <v>-0.053</v>
      </c>
      <c r="DN144" s="136" t="n">
        <v>0.0025</v>
      </c>
      <c r="DO144" s="136" t="n">
        <v>-0.0755</v>
      </c>
      <c r="DP144" s="136" t="n">
        <v>0.0025</v>
      </c>
      <c r="DQ144" s="136" t="n">
        <v>-0.119</v>
      </c>
      <c r="DR144" s="136" t="n">
        <v>-0.005</v>
      </c>
      <c r="DS144" s="136" t="n">
        <v>0.325</v>
      </c>
      <c r="DT144" s="136" t="n">
        <v>0.005</v>
      </c>
      <c r="DU144" s="136" t="n">
        <v>0</v>
      </c>
      <c r="DV144" s="136" t="n">
        <v>0</v>
      </c>
    </row>
    <row r="145" customFormat="false" ht="12.75" hidden="false" customHeight="false" outlineLevel="0" collapsed="false">
      <c r="D145" s="135" t="n">
        <v>41061</v>
      </c>
      <c r="F145" s="174" t="n">
        <v>3.8695</v>
      </c>
      <c r="G145" s="175" t="n">
        <v>0.0621844746922955</v>
      </c>
      <c r="H145" s="174" t="n">
        <v>0.17</v>
      </c>
      <c r="I145" s="174" t="n">
        <v>0.45</v>
      </c>
      <c r="J145" s="174" t="n">
        <v>0.5</v>
      </c>
      <c r="K145" s="174" t="n">
        <v>0.4</v>
      </c>
      <c r="L145" s="172" t="n">
        <v>0.5</v>
      </c>
      <c r="M145" s="172" t="n">
        <v>0.45</v>
      </c>
      <c r="N145" s="174" t="n">
        <v>0.5</v>
      </c>
      <c r="O145" s="174" t="n">
        <v>0.5</v>
      </c>
      <c r="P145" s="174" t="n">
        <v>0.5</v>
      </c>
      <c r="Q145" s="174" t="n">
        <v>0.5</v>
      </c>
      <c r="R145" s="175" t="n">
        <v>0.45</v>
      </c>
      <c r="S145" s="175" t="n">
        <v>0.5</v>
      </c>
      <c r="T145" s="174" t="n">
        <v>0.45</v>
      </c>
      <c r="U145" s="174" t="n">
        <v>0.5</v>
      </c>
      <c r="V145" s="174" t="n">
        <v>0.6</v>
      </c>
      <c r="W145" s="174" t="n">
        <v>-0.09</v>
      </c>
      <c r="X145" s="174" t="n">
        <v>0</v>
      </c>
      <c r="Y145" s="174" t="n">
        <v>0.04</v>
      </c>
      <c r="Z145" s="174" t="n">
        <v>0.005</v>
      </c>
      <c r="AA145" s="174" t="n">
        <v>0.175</v>
      </c>
      <c r="AB145" s="174" t="n">
        <v>0</v>
      </c>
      <c r="AC145" s="174" t="n">
        <v>0.14</v>
      </c>
      <c r="AD145" s="174" t="n">
        <v>0</v>
      </c>
      <c r="AE145" s="174" t="n">
        <v>0.175</v>
      </c>
      <c r="AF145" s="174" t="n">
        <v>0</v>
      </c>
      <c r="AG145" s="174" t="n">
        <v>0.14</v>
      </c>
      <c r="AH145" s="174" t="n">
        <v>0</v>
      </c>
      <c r="AI145" s="174" t="n">
        <v>0.14</v>
      </c>
      <c r="AJ145" s="174" t="n">
        <v>0</v>
      </c>
      <c r="AK145" s="174" t="n">
        <v>0.04</v>
      </c>
      <c r="AL145" s="174" t="n">
        <v>0.04</v>
      </c>
      <c r="AM145" s="174" t="n">
        <v>-0.046</v>
      </c>
      <c r="AN145" s="174" t="n">
        <v>0.027</v>
      </c>
      <c r="AO145" s="174" t="n">
        <v>-0.613</v>
      </c>
      <c r="AP145" s="174" t="n">
        <v>0.155</v>
      </c>
      <c r="AQ145" s="174" t="n">
        <v>-0.041</v>
      </c>
      <c r="AR145" s="174" t="n">
        <v>0</v>
      </c>
      <c r="AS145" s="174" t="n">
        <v>-0.15</v>
      </c>
      <c r="AT145" s="174" t="n">
        <v>-0.015</v>
      </c>
      <c r="AU145" s="174" t="n">
        <v>-0.11</v>
      </c>
      <c r="AV145" s="174" t="n">
        <v>0.02</v>
      </c>
      <c r="AW145" s="174" t="n">
        <v>-0.041</v>
      </c>
      <c r="AX145" s="174" t="n">
        <v>0.014</v>
      </c>
      <c r="AY145" s="175" t="n">
        <v>0.125</v>
      </c>
      <c r="AZ145" s="175" t="n">
        <v>0</v>
      </c>
      <c r="BA145" s="175" t="n">
        <v>-0.195</v>
      </c>
      <c r="BB145" s="174" t="n">
        <v>0.0025</v>
      </c>
      <c r="BC145" s="174" t="n">
        <v>-0.07</v>
      </c>
      <c r="BD145" s="174" t="n">
        <v>0.005</v>
      </c>
      <c r="BE145" s="174" t="n">
        <v>0.43</v>
      </c>
      <c r="BF145" s="174" t="n">
        <v>0</v>
      </c>
      <c r="BG145" s="174" t="n">
        <v>-0.06</v>
      </c>
      <c r="BH145" s="174" t="n">
        <v>0</v>
      </c>
      <c r="BI145" s="174" t="n">
        <v>0</v>
      </c>
      <c r="BJ145" s="136" t="n">
        <v>0.03</v>
      </c>
      <c r="BK145" s="136" t="n">
        <v>0.43</v>
      </c>
      <c r="BL145" s="136" t="n">
        <v>0</v>
      </c>
      <c r="BM145" s="136" t="n">
        <v>-0.05</v>
      </c>
      <c r="BN145" s="136" t="n">
        <v>0</v>
      </c>
      <c r="BO145" s="136" t="n">
        <v>-0.37</v>
      </c>
      <c r="BP145" s="136" t="n">
        <v>0</v>
      </c>
      <c r="BQ145" s="136" t="n">
        <v>0.5</v>
      </c>
      <c r="BR145" s="136" t="n">
        <v>0</v>
      </c>
      <c r="BS145" s="136" t="n">
        <v>-0.07</v>
      </c>
      <c r="BT145" s="136" t="n">
        <v>0.005</v>
      </c>
      <c r="BU145" s="136" t="n">
        <v>0.3</v>
      </c>
      <c r="BV145" s="136" t="n">
        <v>0</v>
      </c>
      <c r="BW145" s="136" t="n">
        <v>0</v>
      </c>
      <c r="BX145" s="136" t="n">
        <v>0</v>
      </c>
      <c r="BY145" s="136" t="n">
        <v>-0.011</v>
      </c>
      <c r="BZ145" s="136" t="n">
        <v>0.0575</v>
      </c>
      <c r="CA145" s="136" t="n">
        <v>0.145</v>
      </c>
      <c r="CB145" s="136" t="n">
        <v>0.005</v>
      </c>
      <c r="CC145" s="136" t="n">
        <v>-0.011</v>
      </c>
      <c r="CD145" s="136" t="n">
        <v>0.0035</v>
      </c>
      <c r="CE145" s="136" t="n">
        <v>0.0025</v>
      </c>
      <c r="CF145" s="136" t="n">
        <v>0.0025</v>
      </c>
      <c r="CG145" s="136" t="n">
        <v>-0.011</v>
      </c>
      <c r="CH145" s="136" t="n">
        <v>0.0035</v>
      </c>
      <c r="CI145" s="136" t="n">
        <v>-0.0715</v>
      </c>
      <c r="CJ145" s="136" t="n">
        <v>0.0025</v>
      </c>
      <c r="CK145" s="136" t="n">
        <v>0.0775</v>
      </c>
      <c r="CL145" s="136" t="n">
        <v>0.0025</v>
      </c>
      <c r="CM145" s="136" t="n">
        <v>-0.072</v>
      </c>
      <c r="CN145" s="136" t="n">
        <v>0.0075</v>
      </c>
      <c r="CO145" s="136" t="n">
        <v>-0.017</v>
      </c>
      <c r="CP145" s="136" t="n">
        <v>0.005</v>
      </c>
      <c r="CQ145" s="136" t="n">
        <v>0.023</v>
      </c>
      <c r="CR145" s="136" t="n">
        <v>0.0075</v>
      </c>
      <c r="CS145" s="136" t="n">
        <v>0.37</v>
      </c>
      <c r="CT145" s="136" t="n">
        <v>0.035</v>
      </c>
      <c r="CU145" s="136" t="n">
        <v>-0.05</v>
      </c>
      <c r="CV145" s="136" t="n">
        <v>0</v>
      </c>
      <c r="CW145" s="136" t="n">
        <v>0.165</v>
      </c>
      <c r="CX145" s="136" t="n">
        <v>0.0075</v>
      </c>
      <c r="CY145" s="136" t="n">
        <v>-0.63</v>
      </c>
      <c r="CZ145" s="136" t="n">
        <v>0</v>
      </c>
      <c r="DA145" s="136" t="n">
        <v>-0.45</v>
      </c>
      <c r="DB145" s="136" t="n">
        <v>0</v>
      </c>
      <c r="DC145" s="136" t="n">
        <v>0.85</v>
      </c>
      <c r="DE145" s="136" t="n">
        <v>-0.0455</v>
      </c>
      <c r="DF145" s="136" t="n">
        <v>0.01</v>
      </c>
      <c r="DG145" s="136" t="n">
        <v>0.0185</v>
      </c>
      <c r="DH145" s="136" t="n">
        <v>0.01</v>
      </c>
      <c r="DI145" s="136" t="n">
        <v>0.001</v>
      </c>
      <c r="DJ145" s="136" t="n">
        <v>0.0075</v>
      </c>
      <c r="DK145" s="136" t="n">
        <v>-0.0365</v>
      </c>
      <c r="DL145" s="136" t="n">
        <v>0.005</v>
      </c>
      <c r="DM145" s="136" t="n">
        <v>-0.053</v>
      </c>
      <c r="DN145" s="136" t="n">
        <v>0.0025</v>
      </c>
      <c r="DO145" s="136" t="n">
        <v>-0.0755</v>
      </c>
      <c r="DP145" s="136" t="n">
        <v>0.0025</v>
      </c>
      <c r="DQ145" s="136" t="n">
        <v>-0.0665</v>
      </c>
      <c r="DR145" s="136" t="n">
        <v>-0.005</v>
      </c>
      <c r="DS145" s="136" t="n">
        <v>0.335</v>
      </c>
      <c r="DT145" s="136" t="n">
        <v>0.005</v>
      </c>
      <c r="DU145" s="136" t="n">
        <v>0</v>
      </c>
      <c r="DV145" s="136" t="n">
        <v>0</v>
      </c>
    </row>
    <row r="146" customFormat="false" ht="12.75" hidden="false" customHeight="false" outlineLevel="0" collapsed="false">
      <c r="D146" s="135" t="n">
        <v>41091</v>
      </c>
      <c r="F146" s="174" t="n">
        <v>3.9095</v>
      </c>
      <c r="G146" s="175" t="n">
        <v>0.0622237109053994</v>
      </c>
      <c r="H146" s="174" t="n">
        <v>0.17</v>
      </c>
      <c r="I146" s="174" t="n">
        <v>0.5</v>
      </c>
      <c r="J146" s="174" t="n">
        <v>0.5</v>
      </c>
      <c r="K146" s="174" t="n">
        <v>0.4</v>
      </c>
      <c r="L146" s="172" t="n">
        <v>0.5</v>
      </c>
      <c r="M146" s="172" t="n">
        <v>0.5</v>
      </c>
      <c r="N146" s="174" t="n">
        <v>0.5</v>
      </c>
      <c r="O146" s="174" t="n">
        <v>0.5</v>
      </c>
      <c r="P146" s="174" t="n">
        <v>0.5</v>
      </c>
      <c r="Q146" s="174" t="n">
        <v>0.5</v>
      </c>
      <c r="R146" s="175" t="n">
        <v>0.5</v>
      </c>
      <c r="S146" s="175" t="n">
        <v>0.55</v>
      </c>
      <c r="T146" s="174" t="n">
        <v>0.5</v>
      </c>
      <c r="U146" s="174" t="n">
        <v>0.5</v>
      </c>
      <c r="V146" s="174" t="n">
        <v>0.6</v>
      </c>
      <c r="W146" s="174" t="n">
        <v>-0.09</v>
      </c>
      <c r="X146" s="174" t="n">
        <v>0</v>
      </c>
      <c r="Y146" s="174" t="n">
        <v>0.04</v>
      </c>
      <c r="Z146" s="174" t="n">
        <v>0.005</v>
      </c>
      <c r="AA146" s="174" t="n">
        <v>0.175</v>
      </c>
      <c r="AB146" s="174" t="n">
        <v>0</v>
      </c>
      <c r="AC146" s="174" t="n">
        <v>0.14</v>
      </c>
      <c r="AD146" s="174" t="n">
        <v>0</v>
      </c>
      <c r="AE146" s="174" t="n">
        <v>0.175</v>
      </c>
      <c r="AF146" s="174" t="n">
        <v>0</v>
      </c>
      <c r="AG146" s="174" t="n">
        <v>0.14</v>
      </c>
      <c r="AH146" s="174" t="n">
        <v>0</v>
      </c>
      <c r="AI146" s="174" t="n">
        <v>0.14</v>
      </c>
      <c r="AJ146" s="174" t="n">
        <v>0</v>
      </c>
      <c r="AK146" s="174" t="n">
        <v>0.04</v>
      </c>
      <c r="AL146" s="174" t="n">
        <v>0.04</v>
      </c>
      <c r="AM146" s="174" t="n">
        <v>-0.046</v>
      </c>
      <c r="AN146" s="174" t="n">
        <v>0.027</v>
      </c>
      <c r="AO146" s="174" t="n">
        <v>-0.613</v>
      </c>
      <c r="AP146" s="174" t="n">
        <v>0.155</v>
      </c>
      <c r="AQ146" s="174" t="n">
        <v>-0.041</v>
      </c>
      <c r="AR146" s="174" t="n">
        <v>0</v>
      </c>
      <c r="AS146" s="174" t="n">
        <v>-0.15</v>
      </c>
      <c r="AT146" s="174" t="n">
        <v>-0.015</v>
      </c>
      <c r="AU146" s="174" t="n">
        <v>-0.11</v>
      </c>
      <c r="AV146" s="174" t="n">
        <v>0.02</v>
      </c>
      <c r="AW146" s="174" t="n">
        <v>-0.041</v>
      </c>
      <c r="AX146" s="174" t="n">
        <v>0.012</v>
      </c>
      <c r="AY146" s="175" t="n">
        <v>0.125</v>
      </c>
      <c r="AZ146" s="175" t="n">
        <v>0</v>
      </c>
      <c r="BA146" s="175" t="n">
        <v>-0.195</v>
      </c>
      <c r="BB146" s="174" t="n">
        <v>0.0025</v>
      </c>
      <c r="BC146" s="174" t="n">
        <v>-0.07</v>
      </c>
      <c r="BD146" s="174" t="n">
        <v>0.005</v>
      </c>
      <c r="BE146" s="174" t="n">
        <v>0.43</v>
      </c>
      <c r="BF146" s="174" t="n">
        <v>0</v>
      </c>
      <c r="BG146" s="174" t="n">
        <v>-0.06</v>
      </c>
      <c r="BH146" s="174" t="n">
        <v>0</v>
      </c>
      <c r="BI146" s="174" t="n">
        <v>0</v>
      </c>
      <c r="BJ146" s="136" t="n">
        <v>0.03</v>
      </c>
      <c r="BK146" s="136" t="n">
        <v>0.43</v>
      </c>
      <c r="BL146" s="136" t="n">
        <v>0</v>
      </c>
      <c r="BM146" s="136" t="n">
        <v>-0.05</v>
      </c>
      <c r="BN146" s="136" t="n">
        <v>0</v>
      </c>
      <c r="BO146" s="136" t="n">
        <v>-0.37</v>
      </c>
      <c r="BP146" s="136" t="n">
        <v>0</v>
      </c>
      <c r="BQ146" s="136" t="n">
        <v>0.5</v>
      </c>
      <c r="BR146" s="136" t="n">
        <v>0</v>
      </c>
      <c r="BS146" s="136" t="n">
        <v>-0.07</v>
      </c>
      <c r="BT146" s="136" t="n">
        <v>0.005</v>
      </c>
      <c r="BU146" s="136" t="n">
        <v>0.3</v>
      </c>
      <c r="BV146" s="136" t="n">
        <v>0</v>
      </c>
      <c r="BW146" s="136" t="n">
        <v>0</v>
      </c>
      <c r="BX146" s="136" t="n">
        <v>0</v>
      </c>
      <c r="BY146" s="136" t="n">
        <v>-0.011</v>
      </c>
      <c r="BZ146" s="136" t="n">
        <v>0.0575</v>
      </c>
      <c r="CA146" s="136" t="n">
        <v>0.15</v>
      </c>
      <c r="CB146" s="136" t="n">
        <v>0.005</v>
      </c>
      <c r="CC146" s="136" t="n">
        <v>-0.011</v>
      </c>
      <c r="CD146" s="136" t="n">
        <v>0.0035</v>
      </c>
      <c r="CE146" s="136" t="n">
        <v>0.0025</v>
      </c>
      <c r="CF146" s="136" t="n">
        <v>0.0025</v>
      </c>
      <c r="CG146" s="136" t="n">
        <v>-0.011</v>
      </c>
      <c r="CH146" s="136" t="n">
        <v>0.0035</v>
      </c>
      <c r="CI146" s="136" t="n">
        <v>-0.069</v>
      </c>
      <c r="CJ146" s="136" t="n">
        <v>0.0025</v>
      </c>
      <c r="CK146" s="136" t="n">
        <v>0.0775</v>
      </c>
      <c r="CL146" s="136" t="n">
        <v>0.0025</v>
      </c>
      <c r="CM146" s="136" t="n">
        <v>-0.072</v>
      </c>
      <c r="CN146" s="136" t="n">
        <v>0.0075</v>
      </c>
      <c r="CO146" s="136" t="n">
        <v>-0.017</v>
      </c>
      <c r="CP146" s="136" t="n">
        <v>0.005</v>
      </c>
      <c r="CQ146" s="136" t="n">
        <v>0.023</v>
      </c>
      <c r="CR146" s="136" t="n">
        <v>0.0075</v>
      </c>
      <c r="CS146" s="136" t="n">
        <v>0.41</v>
      </c>
      <c r="CT146" s="136" t="n">
        <v>0.035</v>
      </c>
      <c r="CU146" s="136" t="n">
        <v>-0.05</v>
      </c>
      <c r="CV146" s="136" t="n">
        <v>0</v>
      </c>
      <c r="CW146" s="136" t="n">
        <v>0.205</v>
      </c>
      <c r="CX146" s="136" t="n">
        <v>0.0075</v>
      </c>
      <c r="CY146" s="136" t="n">
        <v>-0.63</v>
      </c>
      <c r="CZ146" s="136" t="n">
        <v>0</v>
      </c>
      <c r="DA146" s="136" t="n">
        <v>-0.45</v>
      </c>
      <c r="DB146" s="136" t="n">
        <v>0</v>
      </c>
      <c r="DC146" s="136" t="n">
        <v>1.05</v>
      </c>
      <c r="DE146" s="136" t="n">
        <v>-0.0455</v>
      </c>
      <c r="DF146" s="136" t="n">
        <v>0.01</v>
      </c>
      <c r="DG146" s="136" t="n">
        <v>0.0185</v>
      </c>
      <c r="DH146" s="136" t="n">
        <v>0.01</v>
      </c>
      <c r="DI146" s="136" t="n">
        <v>0.001</v>
      </c>
      <c r="DJ146" s="136" t="n">
        <v>0.0075</v>
      </c>
      <c r="DK146" s="136" t="n">
        <v>-0.0465</v>
      </c>
      <c r="DL146" s="136" t="n">
        <v>0.005</v>
      </c>
      <c r="DM146" s="136" t="n">
        <v>-0.053</v>
      </c>
      <c r="DN146" s="136" t="n">
        <v>0.0025</v>
      </c>
      <c r="DO146" s="136" t="n">
        <v>-0.0755</v>
      </c>
      <c r="DP146" s="136" t="n">
        <v>0.0025</v>
      </c>
      <c r="DQ146" s="136" t="n">
        <v>-0.0765</v>
      </c>
      <c r="DR146" s="136" t="n">
        <v>-0.005</v>
      </c>
      <c r="DS146" s="136" t="n">
        <v>0.35</v>
      </c>
      <c r="DT146" s="136" t="n">
        <v>0.005</v>
      </c>
      <c r="DU146" s="136" t="n">
        <v>0</v>
      </c>
      <c r="DV146" s="136" t="n">
        <v>0</v>
      </c>
    </row>
    <row r="147" customFormat="false" ht="12.75" hidden="false" customHeight="false" outlineLevel="0" collapsed="false">
      <c r="D147" s="135" t="n">
        <v>41122</v>
      </c>
      <c r="F147" s="174" t="n">
        <v>3.9495</v>
      </c>
      <c r="G147" s="175" t="n">
        <v>0.0622642549928103</v>
      </c>
      <c r="H147" s="174" t="n">
        <v>0.17</v>
      </c>
      <c r="I147" s="174" t="n">
        <v>0.55</v>
      </c>
      <c r="J147" s="174" t="n">
        <v>0.55</v>
      </c>
      <c r="K147" s="174" t="n">
        <v>0.5</v>
      </c>
      <c r="L147" s="172" t="n">
        <v>0.6</v>
      </c>
      <c r="M147" s="172" t="n">
        <v>0.55</v>
      </c>
      <c r="N147" s="174" t="n">
        <v>0.6</v>
      </c>
      <c r="O147" s="174" t="n">
        <v>0.55</v>
      </c>
      <c r="P147" s="174" t="n">
        <v>0.6</v>
      </c>
      <c r="Q147" s="174" t="n">
        <v>0.45</v>
      </c>
      <c r="R147" s="175" t="n">
        <v>0.55</v>
      </c>
      <c r="S147" s="175" t="n">
        <v>0.6</v>
      </c>
      <c r="T147" s="174" t="n">
        <v>0.55</v>
      </c>
      <c r="U147" s="174" t="n">
        <v>0.6</v>
      </c>
      <c r="V147" s="174" t="n">
        <v>0.7</v>
      </c>
      <c r="W147" s="174" t="n">
        <v>-0.09</v>
      </c>
      <c r="X147" s="174" t="n">
        <v>0</v>
      </c>
      <c r="Y147" s="174" t="n">
        <v>0.04</v>
      </c>
      <c r="Z147" s="174" t="n">
        <v>0.005</v>
      </c>
      <c r="AA147" s="174" t="n">
        <v>0.175</v>
      </c>
      <c r="AB147" s="174" t="n">
        <v>0</v>
      </c>
      <c r="AC147" s="174" t="n">
        <v>0.14</v>
      </c>
      <c r="AD147" s="174" t="n">
        <v>0</v>
      </c>
      <c r="AE147" s="174" t="n">
        <v>0.175</v>
      </c>
      <c r="AF147" s="174" t="n">
        <v>0</v>
      </c>
      <c r="AG147" s="174" t="n">
        <v>0.14</v>
      </c>
      <c r="AH147" s="174" t="n">
        <v>0</v>
      </c>
      <c r="AI147" s="174" t="n">
        <v>0.14</v>
      </c>
      <c r="AJ147" s="174" t="n">
        <v>0</v>
      </c>
      <c r="AK147" s="174" t="n">
        <v>0.04</v>
      </c>
      <c r="AL147" s="174" t="n">
        <v>0.04</v>
      </c>
      <c r="AM147" s="174" t="n">
        <v>-0.046</v>
      </c>
      <c r="AN147" s="174" t="n">
        <v>0.027</v>
      </c>
      <c r="AO147" s="174" t="n">
        <v>-0.613</v>
      </c>
      <c r="AP147" s="174" t="n">
        <v>0.155</v>
      </c>
      <c r="AQ147" s="174" t="n">
        <v>-0.041</v>
      </c>
      <c r="AR147" s="174" t="n">
        <v>0</v>
      </c>
      <c r="AS147" s="174" t="n">
        <v>-0.15</v>
      </c>
      <c r="AT147" s="174" t="n">
        <v>-0.015</v>
      </c>
      <c r="AU147" s="174" t="n">
        <v>-0.11</v>
      </c>
      <c r="AV147" s="174" t="n">
        <v>0.02</v>
      </c>
      <c r="AW147" s="174" t="n">
        <v>-0.041</v>
      </c>
      <c r="AX147" s="174" t="n">
        <v>0.012</v>
      </c>
      <c r="AY147" s="175" t="n">
        <v>0.125</v>
      </c>
      <c r="AZ147" s="175" t="n">
        <v>0</v>
      </c>
      <c r="BA147" s="175" t="n">
        <v>-0.195</v>
      </c>
      <c r="BB147" s="174" t="n">
        <v>0.0025</v>
      </c>
      <c r="BC147" s="174" t="n">
        <v>-0.07</v>
      </c>
      <c r="BD147" s="174" t="n">
        <v>0.005</v>
      </c>
      <c r="BE147" s="174" t="n">
        <v>0.43</v>
      </c>
      <c r="BF147" s="174" t="n">
        <v>0</v>
      </c>
      <c r="BG147" s="174" t="n">
        <v>-0.06</v>
      </c>
      <c r="BH147" s="174" t="n">
        <v>0</v>
      </c>
      <c r="BI147" s="174" t="n">
        <v>0</v>
      </c>
      <c r="BJ147" s="136" t="n">
        <v>0.03</v>
      </c>
      <c r="BK147" s="136" t="n">
        <v>0.43</v>
      </c>
      <c r="BL147" s="136" t="n">
        <v>0</v>
      </c>
      <c r="BM147" s="136" t="n">
        <v>-0.05</v>
      </c>
      <c r="BN147" s="136" t="n">
        <v>0</v>
      </c>
      <c r="BO147" s="136" t="n">
        <v>-0.37</v>
      </c>
      <c r="BP147" s="136" t="n">
        <v>0</v>
      </c>
      <c r="BQ147" s="136" t="n">
        <v>0.5</v>
      </c>
      <c r="BR147" s="136" t="n">
        <v>0</v>
      </c>
      <c r="BS147" s="136" t="n">
        <v>-0.07</v>
      </c>
      <c r="BT147" s="136" t="n">
        <v>0.005</v>
      </c>
      <c r="BU147" s="136" t="n">
        <v>0.3</v>
      </c>
      <c r="BV147" s="136" t="n">
        <v>0</v>
      </c>
      <c r="BW147" s="136" t="n">
        <v>0</v>
      </c>
      <c r="BX147" s="136" t="n">
        <v>0</v>
      </c>
      <c r="BY147" s="136" t="n">
        <v>-0.011</v>
      </c>
      <c r="BZ147" s="136" t="n">
        <v>0.0575</v>
      </c>
      <c r="CA147" s="136" t="n">
        <v>0.15</v>
      </c>
      <c r="CB147" s="136" t="n">
        <v>0.005</v>
      </c>
      <c r="CC147" s="136" t="n">
        <v>-0.011</v>
      </c>
      <c r="CD147" s="136" t="n">
        <v>0.0035</v>
      </c>
      <c r="CE147" s="136" t="n">
        <v>0.0025</v>
      </c>
      <c r="CF147" s="136" t="n">
        <v>0.0025</v>
      </c>
      <c r="CG147" s="136" t="n">
        <v>-0.011</v>
      </c>
      <c r="CH147" s="136" t="n">
        <v>0.0035</v>
      </c>
      <c r="CI147" s="136" t="n">
        <v>-0.0665</v>
      </c>
      <c r="CJ147" s="136" t="n">
        <v>0.0025</v>
      </c>
      <c r="CK147" s="136" t="n">
        <v>0.0775</v>
      </c>
      <c r="CL147" s="136" t="n">
        <v>0.0025</v>
      </c>
      <c r="CM147" s="136" t="n">
        <v>-0.072</v>
      </c>
      <c r="CN147" s="136" t="n">
        <v>0.0075</v>
      </c>
      <c r="CO147" s="136" t="n">
        <v>-0.017</v>
      </c>
      <c r="CP147" s="136" t="n">
        <v>0.005</v>
      </c>
      <c r="CQ147" s="136" t="n">
        <v>0.023</v>
      </c>
      <c r="CR147" s="136" t="n">
        <v>0.0075</v>
      </c>
      <c r="CS147" s="136" t="n">
        <v>0.41</v>
      </c>
      <c r="CT147" s="136" t="n">
        <v>0.01</v>
      </c>
      <c r="CU147" s="136" t="n">
        <v>-0.05</v>
      </c>
      <c r="CV147" s="136" t="n">
        <v>0</v>
      </c>
      <c r="CW147" s="136" t="n">
        <v>0.205</v>
      </c>
      <c r="CX147" s="136" t="n">
        <v>0.0075</v>
      </c>
      <c r="CY147" s="136" t="n">
        <v>-0.63</v>
      </c>
      <c r="CZ147" s="136" t="n">
        <v>0</v>
      </c>
      <c r="DA147" s="136" t="n">
        <v>-0.45</v>
      </c>
      <c r="DB147" s="136" t="n">
        <v>0</v>
      </c>
      <c r="DC147" s="136" t="n">
        <v>1.05</v>
      </c>
      <c r="DE147" s="136" t="n">
        <v>-0.0455</v>
      </c>
      <c r="DF147" s="136" t="n">
        <v>0.01</v>
      </c>
      <c r="DG147" s="136" t="n">
        <v>0.0135</v>
      </c>
      <c r="DH147" s="136" t="n">
        <v>0.01</v>
      </c>
      <c r="DI147" s="136" t="n">
        <v>-0.004</v>
      </c>
      <c r="DJ147" s="136" t="n">
        <v>0.0075</v>
      </c>
      <c r="DK147" s="136" t="n">
        <v>-0.0415</v>
      </c>
      <c r="DL147" s="136" t="n">
        <v>0.005</v>
      </c>
      <c r="DM147" s="136" t="n">
        <v>-0.053</v>
      </c>
      <c r="DN147" s="136" t="n">
        <v>0.0025</v>
      </c>
      <c r="DO147" s="136" t="n">
        <v>-0.0755</v>
      </c>
      <c r="DP147" s="136" t="n">
        <v>0.0025</v>
      </c>
      <c r="DQ147" s="136" t="n">
        <v>-0.0715</v>
      </c>
      <c r="DR147" s="136" t="n">
        <v>-0.005</v>
      </c>
      <c r="DS147" s="136" t="n">
        <v>0.35</v>
      </c>
      <c r="DT147" s="136" t="n">
        <v>-0.005</v>
      </c>
      <c r="DU147" s="136" t="n">
        <v>0</v>
      </c>
      <c r="DV147" s="136" t="n">
        <v>0</v>
      </c>
    </row>
    <row r="148" customFormat="false" ht="12.75" hidden="false" customHeight="false" outlineLevel="0" collapsed="false">
      <c r="D148" s="135" t="n">
        <v>41153</v>
      </c>
      <c r="F148" s="174" t="n">
        <v>3.9445</v>
      </c>
      <c r="G148" s="175" t="n">
        <v>0.0623047990807666</v>
      </c>
      <c r="H148" s="174" t="n">
        <v>0.17</v>
      </c>
      <c r="I148" s="174" t="n">
        <v>0.55</v>
      </c>
      <c r="J148" s="174" t="n">
        <v>0.55</v>
      </c>
      <c r="K148" s="174" t="n">
        <v>0.55</v>
      </c>
      <c r="L148" s="172" t="n">
        <v>0.55</v>
      </c>
      <c r="M148" s="172" t="n">
        <v>0.55</v>
      </c>
      <c r="N148" s="174" t="n">
        <v>0.6</v>
      </c>
      <c r="O148" s="174" t="n">
        <v>0.6</v>
      </c>
      <c r="P148" s="174" t="n">
        <v>0.55</v>
      </c>
      <c r="Q148" s="174" t="n">
        <v>0.5</v>
      </c>
      <c r="R148" s="175" t="n">
        <v>0.55</v>
      </c>
      <c r="S148" s="175" t="n">
        <v>0.6</v>
      </c>
      <c r="T148" s="174" t="n">
        <v>0.55</v>
      </c>
      <c r="U148" s="174" t="n">
        <v>0.6</v>
      </c>
      <c r="V148" s="174" t="n">
        <v>0.65</v>
      </c>
      <c r="W148" s="174" t="n">
        <v>-0.09</v>
      </c>
      <c r="X148" s="174" t="n">
        <v>0</v>
      </c>
      <c r="Y148" s="174" t="n">
        <v>0.04</v>
      </c>
      <c r="Z148" s="174" t="n">
        <v>0.005</v>
      </c>
      <c r="AA148" s="174" t="n">
        <v>0.175</v>
      </c>
      <c r="AB148" s="174" t="n">
        <v>0</v>
      </c>
      <c r="AC148" s="174" t="n">
        <v>0.14</v>
      </c>
      <c r="AD148" s="174" t="n">
        <v>0</v>
      </c>
      <c r="AE148" s="174" t="n">
        <v>0.175</v>
      </c>
      <c r="AF148" s="174" t="n">
        <v>0</v>
      </c>
      <c r="AG148" s="174" t="n">
        <v>0.14</v>
      </c>
      <c r="AH148" s="174" t="n">
        <v>0</v>
      </c>
      <c r="AI148" s="174" t="n">
        <v>0.14</v>
      </c>
      <c r="AJ148" s="174" t="n">
        <v>0</v>
      </c>
      <c r="AK148" s="174" t="n">
        <v>0.04</v>
      </c>
      <c r="AL148" s="174" t="n">
        <v>0.04</v>
      </c>
      <c r="AM148" s="174" t="n">
        <v>-0.046</v>
      </c>
      <c r="AN148" s="174" t="n">
        <v>0.027</v>
      </c>
      <c r="AO148" s="174" t="n">
        <v>-0.613</v>
      </c>
      <c r="AP148" s="174" t="n">
        <v>0.155</v>
      </c>
      <c r="AQ148" s="174" t="n">
        <v>-0.041</v>
      </c>
      <c r="AR148" s="174" t="n">
        <v>0</v>
      </c>
      <c r="AS148" s="174" t="n">
        <v>-0.15</v>
      </c>
      <c r="AT148" s="174" t="n">
        <v>-0.015</v>
      </c>
      <c r="AU148" s="174" t="n">
        <v>-0.11</v>
      </c>
      <c r="AV148" s="174" t="n">
        <v>0.02</v>
      </c>
      <c r="AW148" s="174" t="n">
        <v>-0.041</v>
      </c>
      <c r="AX148" s="174" t="n">
        <v>0.012</v>
      </c>
      <c r="AY148" s="175" t="n">
        <v>0.125</v>
      </c>
      <c r="AZ148" s="175" t="n">
        <v>0</v>
      </c>
      <c r="BA148" s="175" t="n">
        <v>-0.195</v>
      </c>
      <c r="BB148" s="174" t="n">
        <v>0.0025</v>
      </c>
      <c r="BC148" s="174" t="n">
        <v>-0.07</v>
      </c>
      <c r="BD148" s="174" t="n">
        <v>0.005</v>
      </c>
      <c r="BE148" s="174" t="n">
        <v>0.43</v>
      </c>
      <c r="BF148" s="174" t="n">
        <v>0</v>
      </c>
      <c r="BG148" s="174" t="n">
        <v>-0.06</v>
      </c>
      <c r="BH148" s="174" t="n">
        <v>0</v>
      </c>
      <c r="BI148" s="174" t="n">
        <v>0</v>
      </c>
      <c r="BJ148" s="136" t="n">
        <v>0.03</v>
      </c>
      <c r="BK148" s="136" t="n">
        <v>0.43</v>
      </c>
      <c r="BL148" s="136" t="n">
        <v>0</v>
      </c>
      <c r="BM148" s="136" t="n">
        <v>-0.05</v>
      </c>
      <c r="BN148" s="136" t="n">
        <v>0</v>
      </c>
      <c r="BO148" s="136" t="n">
        <v>-0.37</v>
      </c>
      <c r="BP148" s="136" t="n">
        <v>0</v>
      </c>
      <c r="BQ148" s="136" t="n">
        <v>0.5</v>
      </c>
      <c r="BR148" s="136" t="n">
        <v>0</v>
      </c>
      <c r="BS148" s="136" t="n">
        <v>-0.07</v>
      </c>
      <c r="BT148" s="136" t="n">
        <v>0.005</v>
      </c>
      <c r="BU148" s="136" t="n">
        <v>0.3</v>
      </c>
      <c r="BV148" s="136" t="n">
        <v>0</v>
      </c>
      <c r="BW148" s="136" t="n">
        <v>0</v>
      </c>
      <c r="BX148" s="136" t="n">
        <v>0</v>
      </c>
      <c r="BY148" s="136" t="n">
        <v>-0.011</v>
      </c>
      <c r="BZ148" s="136" t="n">
        <v>0.0575</v>
      </c>
      <c r="CA148" s="136" t="n">
        <v>0.125</v>
      </c>
      <c r="CB148" s="136" t="n">
        <v>0.005</v>
      </c>
      <c r="CC148" s="136" t="n">
        <v>-0.011</v>
      </c>
      <c r="CD148" s="136" t="n">
        <v>0.0035</v>
      </c>
      <c r="CE148" s="136" t="n">
        <v>0.0025</v>
      </c>
      <c r="CF148" s="136" t="n">
        <v>0.0025</v>
      </c>
      <c r="CG148" s="136" t="n">
        <v>-0.011</v>
      </c>
      <c r="CH148" s="136" t="n">
        <v>0.0035</v>
      </c>
      <c r="CI148" s="136" t="n">
        <v>-0.0715</v>
      </c>
      <c r="CJ148" s="136" t="n">
        <v>0.0025</v>
      </c>
      <c r="CK148" s="136" t="n">
        <v>0.0775</v>
      </c>
      <c r="CL148" s="136" t="n">
        <v>0.0025</v>
      </c>
      <c r="CM148" s="136" t="n">
        <v>-0.072</v>
      </c>
      <c r="CN148" s="136" t="n">
        <v>0.0075</v>
      </c>
      <c r="CO148" s="136" t="n">
        <v>-0.017</v>
      </c>
      <c r="CP148" s="136" t="n">
        <v>0.005</v>
      </c>
      <c r="CQ148" s="136" t="n">
        <v>0.023</v>
      </c>
      <c r="CR148" s="136" t="n">
        <v>0.0075</v>
      </c>
      <c r="CS148" s="136" t="n">
        <v>0.36</v>
      </c>
      <c r="CT148" s="136" t="n">
        <v>0.01</v>
      </c>
      <c r="CU148" s="136" t="n">
        <v>-0.05</v>
      </c>
      <c r="CV148" s="136" t="n">
        <v>0</v>
      </c>
      <c r="CW148" s="136" t="n">
        <v>0.145</v>
      </c>
      <c r="CX148" s="136" t="n">
        <v>0.0075</v>
      </c>
      <c r="CY148" s="136" t="n">
        <v>-0.63</v>
      </c>
      <c r="CZ148" s="136" t="n">
        <v>0</v>
      </c>
      <c r="DA148" s="136" t="n">
        <v>-0.45</v>
      </c>
      <c r="DB148" s="136" t="n">
        <v>0</v>
      </c>
      <c r="DC148" s="136" t="n">
        <v>0.75</v>
      </c>
      <c r="DE148" s="136" t="n">
        <v>-0.0505</v>
      </c>
      <c r="DF148" s="136" t="n">
        <v>0.01</v>
      </c>
      <c r="DG148" s="136" t="n">
        <v>0.0135</v>
      </c>
      <c r="DH148" s="136" t="n">
        <v>0.01</v>
      </c>
      <c r="DI148" s="136" t="n">
        <v>-0.004</v>
      </c>
      <c r="DJ148" s="136" t="n">
        <v>0.0075</v>
      </c>
      <c r="DK148" s="136" t="n">
        <v>-0.0515</v>
      </c>
      <c r="DL148" s="136" t="n">
        <v>0.005</v>
      </c>
      <c r="DM148" s="136" t="n">
        <v>-0.053</v>
      </c>
      <c r="DN148" s="136" t="n">
        <v>0.0025</v>
      </c>
      <c r="DO148" s="136" t="n">
        <v>-0.0755</v>
      </c>
      <c r="DP148" s="136" t="n">
        <v>0.0025</v>
      </c>
      <c r="DQ148" s="136" t="n">
        <v>-0.0815</v>
      </c>
      <c r="DR148" s="136" t="n">
        <v>-0.005</v>
      </c>
      <c r="DS148" s="136" t="n">
        <v>0.315</v>
      </c>
      <c r="DT148" s="136" t="n">
        <v>-0.005</v>
      </c>
      <c r="DU148" s="136" t="n">
        <v>0</v>
      </c>
      <c r="DV148" s="136" t="n">
        <v>0</v>
      </c>
    </row>
    <row r="149" customFormat="false" ht="12.75" hidden="false" customHeight="false" outlineLevel="0" collapsed="false">
      <c r="D149" s="135" t="n">
        <v>41183</v>
      </c>
      <c r="F149" s="174" t="n">
        <v>3.9695</v>
      </c>
      <c r="G149" s="175" t="n">
        <v>0.0623440352954372</v>
      </c>
      <c r="H149" s="174" t="n">
        <v>0.17</v>
      </c>
      <c r="I149" s="174" t="n">
        <v>0.6</v>
      </c>
      <c r="J149" s="174" t="n">
        <v>0.6</v>
      </c>
      <c r="K149" s="174" t="n">
        <v>0.55</v>
      </c>
      <c r="L149" s="172" t="n">
        <v>0.6</v>
      </c>
      <c r="M149" s="172" t="n">
        <v>0.6</v>
      </c>
      <c r="N149" s="174" t="n">
        <v>0.65</v>
      </c>
      <c r="O149" s="174" t="n">
        <v>0.65</v>
      </c>
      <c r="P149" s="174" t="n">
        <v>0.6</v>
      </c>
      <c r="Q149" s="174" t="n">
        <v>0.5</v>
      </c>
      <c r="R149" s="175" t="n">
        <v>0.6</v>
      </c>
      <c r="S149" s="175" t="n">
        <v>0.65</v>
      </c>
      <c r="T149" s="174" t="n">
        <v>0.6</v>
      </c>
      <c r="U149" s="174" t="n">
        <v>0.65</v>
      </c>
      <c r="V149" s="174" t="n">
        <v>0.7</v>
      </c>
      <c r="W149" s="174" t="n">
        <v>-0.09</v>
      </c>
      <c r="X149" s="174" t="n">
        <v>0</v>
      </c>
      <c r="Y149" s="174" t="n">
        <v>0.04</v>
      </c>
      <c r="Z149" s="174" t="n">
        <v>0.005</v>
      </c>
      <c r="AA149" s="174" t="n">
        <v>0.175</v>
      </c>
      <c r="AB149" s="174" t="n">
        <v>0</v>
      </c>
      <c r="AC149" s="174" t="n">
        <v>0.14</v>
      </c>
      <c r="AD149" s="174" t="n">
        <v>0</v>
      </c>
      <c r="AE149" s="174" t="n">
        <v>0.175</v>
      </c>
      <c r="AF149" s="174" t="n">
        <v>0</v>
      </c>
      <c r="AG149" s="174" t="n">
        <v>0.14</v>
      </c>
      <c r="AH149" s="174" t="n">
        <v>0</v>
      </c>
      <c r="AI149" s="174" t="n">
        <v>0.14</v>
      </c>
      <c r="AJ149" s="174" t="n">
        <v>0</v>
      </c>
      <c r="AK149" s="174" t="n">
        <v>0.04</v>
      </c>
      <c r="AL149" s="174" t="n">
        <v>0.04</v>
      </c>
      <c r="AM149" s="174" t="n">
        <v>-0.046</v>
      </c>
      <c r="AN149" s="174" t="n">
        <v>0.027</v>
      </c>
      <c r="AO149" s="174" t="n">
        <v>-0.613</v>
      </c>
      <c r="AP149" s="174" t="n">
        <v>0.155</v>
      </c>
      <c r="AQ149" s="174" t="n">
        <v>-0.041</v>
      </c>
      <c r="AR149" s="174" t="n">
        <v>0</v>
      </c>
      <c r="AS149" s="174" t="n">
        <v>-0.15</v>
      </c>
      <c r="AT149" s="174" t="n">
        <v>-0.015</v>
      </c>
      <c r="AU149" s="174" t="n">
        <v>-0.11</v>
      </c>
      <c r="AV149" s="174" t="n">
        <v>0.02</v>
      </c>
      <c r="AW149" s="174" t="n">
        <v>-0.041</v>
      </c>
      <c r="AX149" s="174" t="n">
        <v>0.012</v>
      </c>
      <c r="AY149" s="175" t="n">
        <v>0.125</v>
      </c>
      <c r="AZ149" s="175" t="n">
        <v>0</v>
      </c>
      <c r="BA149" s="175" t="n">
        <v>-0.195</v>
      </c>
      <c r="BB149" s="174" t="n">
        <v>0.0025</v>
      </c>
      <c r="BC149" s="174" t="n">
        <v>-0.07</v>
      </c>
      <c r="BD149" s="174" t="n">
        <v>0.005</v>
      </c>
      <c r="BE149" s="174" t="n">
        <v>0.43</v>
      </c>
      <c r="BF149" s="174" t="n">
        <v>0</v>
      </c>
      <c r="BG149" s="174" t="n">
        <v>-0.06</v>
      </c>
      <c r="BH149" s="174" t="n">
        <v>0</v>
      </c>
      <c r="BI149" s="174" t="n">
        <v>0</v>
      </c>
      <c r="BJ149" s="136" t="n">
        <v>0.03</v>
      </c>
      <c r="BK149" s="136" t="n">
        <v>0.43</v>
      </c>
      <c r="BL149" s="136" t="n">
        <v>0</v>
      </c>
      <c r="BM149" s="136" t="n">
        <v>-0.05</v>
      </c>
      <c r="BN149" s="136" t="n">
        <v>0</v>
      </c>
      <c r="BO149" s="136" t="n">
        <v>-0.37</v>
      </c>
      <c r="BP149" s="136" t="n">
        <v>0</v>
      </c>
      <c r="BQ149" s="136" t="n">
        <v>0.5</v>
      </c>
      <c r="BR149" s="136" t="n">
        <v>0</v>
      </c>
      <c r="BS149" s="136" t="n">
        <v>-0.07</v>
      </c>
      <c r="BT149" s="136" t="n">
        <v>0.005</v>
      </c>
      <c r="BU149" s="136" t="n">
        <v>0.3</v>
      </c>
      <c r="BV149" s="136" t="n">
        <v>0</v>
      </c>
      <c r="BW149" s="136" t="n">
        <v>0</v>
      </c>
      <c r="BX149" s="136" t="n">
        <v>0</v>
      </c>
      <c r="BY149" s="136" t="n">
        <v>-0.011</v>
      </c>
      <c r="BZ149" s="136" t="n">
        <v>0.0575</v>
      </c>
      <c r="CA149" s="136" t="n">
        <v>0.145</v>
      </c>
      <c r="CB149" s="136" t="n">
        <v>0.005</v>
      </c>
      <c r="CC149" s="136" t="n">
        <v>-0.011</v>
      </c>
      <c r="CD149" s="136" t="n">
        <v>0.0035</v>
      </c>
      <c r="CE149" s="136" t="n">
        <v>0.0025</v>
      </c>
      <c r="CF149" s="136" t="n">
        <v>0.0025</v>
      </c>
      <c r="CG149" s="136" t="n">
        <v>-0.011</v>
      </c>
      <c r="CH149" s="136" t="n">
        <v>0.0035</v>
      </c>
      <c r="CI149" s="136" t="n">
        <v>-0.074</v>
      </c>
      <c r="CJ149" s="136" t="n">
        <v>0.0025</v>
      </c>
      <c r="CK149" s="136" t="n">
        <v>0.0775</v>
      </c>
      <c r="CL149" s="136" t="n">
        <v>0.0025</v>
      </c>
      <c r="CM149" s="136" t="n">
        <v>-0.072</v>
      </c>
      <c r="CN149" s="136" t="n">
        <v>0.0075</v>
      </c>
      <c r="CO149" s="136" t="n">
        <v>-0.017</v>
      </c>
      <c r="CP149" s="136" t="n">
        <v>0.005</v>
      </c>
      <c r="CQ149" s="136" t="n">
        <v>0.023</v>
      </c>
      <c r="CR149" s="136" t="n">
        <v>0.0075</v>
      </c>
      <c r="CS149" s="136" t="n">
        <v>0.4</v>
      </c>
      <c r="CT149" s="136" t="n">
        <v>0.01</v>
      </c>
      <c r="CU149" s="136" t="n">
        <v>-0.05</v>
      </c>
      <c r="CV149" s="136" t="n">
        <v>0</v>
      </c>
      <c r="CW149" s="136" t="n">
        <v>0.175</v>
      </c>
      <c r="CX149" s="136" t="n">
        <v>0.0075</v>
      </c>
      <c r="CY149" s="136" t="n">
        <v>-0.63</v>
      </c>
      <c r="CZ149" s="136" t="n">
        <v>0</v>
      </c>
      <c r="DA149" s="136" t="n">
        <v>-0.45</v>
      </c>
      <c r="DB149" s="136" t="n">
        <v>0</v>
      </c>
      <c r="DC149" s="136" t="n">
        <v>0.45</v>
      </c>
      <c r="DE149" s="136" t="n">
        <v>-0.0505</v>
      </c>
      <c r="DF149" s="136" t="n">
        <v>0.01</v>
      </c>
      <c r="DG149" s="136" t="n">
        <v>0.011</v>
      </c>
      <c r="DH149" s="136" t="n">
        <v>0.01</v>
      </c>
      <c r="DI149" s="136" t="n">
        <v>-0.0065</v>
      </c>
      <c r="DJ149" s="136" t="n">
        <v>0.0075</v>
      </c>
      <c r="DK149" s="136" t="n">
        <v>-0.039</v>
      </c>
      <c r="DL149" s="136" t="n">
        <v>0.005</v>
      </c>
      <c r="DM149" s="136" t="n">
        <v>-0.053</v>
      </c>
      <c r="DN149" s="136" t="n">
        <v>0.0025</v>
      </c>
      <c r="DO149" s="136" t="n">
        <v>-0.0755</v>
      </c>
      <c r="DP149" s="136" t="n">
        <v>0.0025</v>
      </c>
      <c r="DQ149" s="136" t="n">
        <v>-0.069</v>
      </c>
      <c r="DR149" s="136" t="n">
        <v>-0.005</v>
      </c>
      <c r="DS149" s="136" t="n">
        <v>0.36</v>
      </c>
      <c r="DT149" s="136" t="n">
        <v>-0.005</v>
      </c>
      <c r="DU149" s="136" t="n">
        <v>0</v>
      </c>
      <c r="DV149" s="136" t="n">
        <v>0</v>
      </c>
    </row>
    <row r="150" customFormat="false" ht="12.75" hidden="false" customHeight="false" outlineLevel="0" collapsed="false">
      <c r="D150" s="135" t="n">
        <v>41214</v>
      </c>
      <c r="F150" s="174" t="n">
        <v>4.1215</v>
      </c>
      <c r="G150" s="175" t="n">
        <v>0.0623845793844673</v>
      </c>
      <c r="H150" s="174" t="n">
        <v>0.17</v>
      </c>
      <c r="I150" s="174" t="n">
        <v>0.8</v>
      </c>
      <c r="J150" s="174" t="n">
        <v>0.85</v>
      </c>
      <c r="K150" s="174" t="n">
        <v>0.8</v>
      </c>
      <c r="L150" s="172" t="n">
        <v>0.8</v>
      </c>
      <c r="M150" s="172" t="n">
        <v>0.9</v>
      </c>
      <c r="N150" s="174" t="n">
        <v>0.95</v>
      </c>
      <c r="O150" s="174" t="n">
        <v>0.85</v>
      </c>
      <c r="P150" s="174" t="n">
        <v>0.8</v>
      </c>
      <c r="Q150" s="174" t="n">
        <v>0.95</v>
      </c>
      <c r="R150" s="175" t="n">
        <v>0.8</v>
      </c>
      <c r="S150" s="175" t="n">
        <v>0.8</v>
      </c>
      <c r="T150" s="174" t="n">
        <v>0.8</v>
      </c>
      <c r="U150" s="174" t="n">
        <v>0.95</v>
      </c>
      <c r="V150" s="174" t="n">
        <v>0.9</v>
      </c>
      <c r="W150" s="174" t="n">
        <v>0</v>
      </c>
      <c r="X150" s="174" t="n">
        <v>0.03</v>
      </c>
      <c r="Y150" s="174" t="n">
        <v>0.13</v>
      </c>
      <c r="Z150" s="174" t="n">
        <v>0.02</v>
      </c>
      <c r="AA150" s="174" t="n">
        <v>0.29</v>
      </c>
      <c r="AB150" s="174" t="n">
        <v>0</v>
      </c>
      <c r="AC150" s="174" t="n">
        <v>0.33</v>
      </c>
      <c r="AD150" s="174" t="n">
        <v>0</v>
      </c>
      <c r="AE150" s="174" t="n">
        <v>0.29</v>
      </c>
      <c r="AF150" s="174" t="n">
        <v>0</v>
      </c>
      <c r="AG150" s="174" t="n">
        <v>0.17</v>
      </c>
      <c r="AH150" s="174" t="n">
        <v>0</v>
      </c>
      <c r="AI150" s="174" t="n">
        <v>0.15728</v>
      </c>
      <c r="AJ150" s="174" t="n">
        <v>0</v>
      </c>
      <c r="AK150" s="174" t="n">
        <v>0.13</v>
      </c>
      <c r="AL150" s="174" t="n">
        <v>0.035</v>
      </c>
      <c r="AM150" s="174" t="n">
        <v>-0.0605</v>
      </c>
      <c r="AN150" s="174" t="n">
        <v>0.022</v>
      </c>
      <c r="AO150" s="174" t="n">
        <v>-0.553</v>
      </c>
      <c r="AP150" s="174" t="n">
        <v>0.155</v>
      </c>
      <c r="AQ150" s="174" t="n">
        <v>-0.0405</v>
      </c>
      <c r="AR150" s="174" t="n">
        <v>0.005</v>
      </c>
      <c r="AS150" s="174" t="n">
        <v>-0.15</v>
      </c>
      <c r="AT150" s="174" t="n">
        <v>-0.005</v>
      </c>
      <c r="AU150" s="174" t="n">
        <v>-0.11</v>
      </c>
      <c r="AV150" s="174" t="n">
        <v>-0.01</v>
      </c>
      <c r="AW150" s="174" t="n">
        <v>-0.0405</v>
      </c>
      <c r="AX150" s="174" t="n">
        <v>0.022</v>
      </c>
      <c r="AY150" s="175" t="n">
        <v>0.155</v>
      </c>
      <c r="AZ150" s="175" t="n">
        <v>0</v>
      </c>
      <c r="BA150" s="175" t="n">
        <v>-0.13</v>
      </c>
      <c r="BB150" s="174" t="n">
        <v>0.005</v>
      </c>
      <c r="BC150" s="174" t="n">
        <v>-0.07</v>
      </c>
      <c r="BD150" s="174" t="n">
        <v>0.005</v>
      </c>
      <c r="BE150" s="174" t="n">
        <v>0.35</v>
      </c>
      <c r="BF150" s="174" t="n">
        <v>0</v>
      </c>
      <c r="BG150" s="174" t="n">
        <v>-0.06</v>
      </c>
      <c r="BH150" s="174" t="n">
        <v>0</v>
      </c>
      <c r="BI150" s="174" t="n">
        <v>0</v>
      </c>
      <c r="BJ150" s="136" t="n">
        <v>0.03</v>
      </c>
      <c r="BK150" s="136" t="n">
        <v>0.35</v>
      </c>
      <c r="BL150" s="136" t="n">
        <v>0</v>
      </c>
      <c r="BM150" s="136" t="n">
        <v>0.298</v>
      </c>
      <c r="BN150" s="136" t="n">
        <v>0</v>
      </c>
      <c r="BO150" s="136" t="n">
        <v>-0.26</v>
      </c>
      <c r="BP150" s="136" t="n">
        <v>0</v>
      </c>
      <c r="BQ150" s="136" t="n">
        <v>0.5</v>
      </c>
      <c r="BR150" s="136" t="n">
        <v>0</v>
      </c>
      <c r="BS150" s="136" t="n">
        <v>-0.07</v>
      </c>
      <c r="BT150" s="136" t="n">
        <v>0.005</v>
      </c>
      <c r="BU150" s="136" t="n">
        <v>0.3</v>
      </c>
      <c r="BV150" s="136" t="n">
        <v>0</v>
      </c>
      <c r="BW150" s="136" t="n">
        <v>0</v>
      </c>
      <c r="BX150" s="136" t="n">
        <v>0</v>
      </c>
      <c r="BY150" s="136" t="n">
        <v>-0.011</v>
      </c>
      <c r="BZ150" s="136" t="n">
        <v>0.0575</v>
      </c>
      <c r="CA150" s="136" t="n">
        <v>0.195</v>
      </c>
      <c r="CB150" s="136" t="n">
        <v>0.005</v>
      </c>
      <c r="CC150" s="136" t="n">
        <v>-0.011</v>
      </c>
      <c r="CD150" s="136" t="n">
        <v>0.0037</v>
      </c>
      <c r="CE150" s="136" t="n">
        <v>0.0025</v>
      </c>
      <c r="CF150" s="136" t="n">
        <v>0.0025</v>
      </c>
      <c r="CG150" s="136" t="n">
        <v>-0.011</v>
      </c>
      <c r="CH150" s="136" t="n">
        <v>0.0037</v>
      </c>
      <c r="CI150" s="136" t="n">
        <v>-0.079</v>
      </c>
      <c r="CJ150" s="136" t="n">
        <v>0.0025</v>
      </c>
      <c r="CK150" s="136" t="n">
        <v>0.075</v>
      </c>
      <c r="CL150" s="136" t="n">
        <v>0.0025</v>
      </c>
      <c r="CM150" s="136" t="n">
        <v>-0.064</v>
      </c>
      <c r="CN150" s="136" t="n">
        <v>0.01</v>
      </c>
      <c r="CO150" s="136" t="n">
        <v>-0.008999999</v>
      </c>
      <c r="CP150" s="136" t="n">
        <v>0.0075</v>
      </c>
      <c r="CQ150" s="136" t="n">
        <v>0.031</v>
      </c>
      <c r="CR150" s="136" t="n">
        <v>0.0125</v>
      </c>
      <c r="CS150" s="136" t="n">
        <v>0.65</v>
      </c>
      <c r="CT150" s="136" t="n">
        <v>0.055</v>
      </c>
      <c r="CU150" s="136" t="n">
        <v>0.298</v>
      </c>
      <c r="CV150" s="136" t="n">
        <v>0</v>
      </c>
      <c r="CW150" s="136" t="n">
        <v>0.21</v>
      </c>
      <c r="CX150" s="136" t="n">
        <v>0.02</v>
      </c>
      <c r="CY150" s="136" t="n">
        <v>-0.52</v>
      </c>
      <c r="CZ150" s="136" t="n">
        <v>0</v>
      </c>
      <c r="DA150" s="136" t="n">
        <v>-0.34</v>
      </c>
      <c r="DB150" s="136" t="n">
        <v>0</v>
      </c>
      <c r="DC150" s="136" t="n">
        <v>0.45</v>
      </c>
      <c r="DE150" s="136" t="n">
        <v>-0.039</v>
      </c>
      <c r="DF150" s="136" t="n">
        <v>0.0125</v>
      </c>
      <c r="DG150" s="136" t="n">
        <v>0.012</v>
      </c>
      <c r="DH150" s="136" t="n">
        <v>0.0075</v>
      </c>
      <c r="DI150" s="136" t="n">
        <v>-0.0055</v>
      </c>
      <c r="DJ150" s="136" t="n">
        <v>0.0025</v>
      </c>
      <c r="DK150" s="136" t="n">
        <v>-0.044</v>
      </c>
      <c r="DL150" s="136" t="n">
        <v>0.0025</v>
      </c>
      <c r="DM150" s="136" t="n">
        <v>-0.0555</v>
      </c>
      <c r="DN150" s="136" t="n">
        <v>0.0025</v>
      </c>
      <c r="DO150" s="136" t="n">
        <v>-0.078</v>
      </c>
      <c r="DP150" s="136" t="n">
        <v>0.0025</v>
      </c>
      <c r="DQ150" s="136" t="n">
        <v>-0.074</v>
      </c>
      <c r="DR150" s="136" t="n">
        <v>-0.005</v>
      </c>
      <c r="DS150" s="136" t="n">
        <v>0.46</v>
      </c>
      <c r="DT150" s="136" t="n">
        <v>0.05</v>
      </c>
      <c r="DU150" s="136" t="n">
        <v>0</v>
      </c>
      <c r="DV150" s="136" t="n">
        <v>0</v>
      </c>
    </row>
    <row r="151" customFormat="false" ht="12.75" hidden="false" customHeight="false" outlineLevel="0" collapsed="false">
      <c r="D151" s="135" t="n">
        <v>41244</v>
      </c>
      <c r="F151" s="174" t="n">
        <v>4.2645</v>
      </c>
      <c r="G151" s="175" t="n">
        <v>0.0624238156001771</v>
      </c>
      <c r="H151" s="174" t="n">
        <v>0.17</v>
      </c>
      <c r="I151" s="174" t="n">
        <v>1</v>
      </c>
      <c r="J151" s="174" t="n">
        <v>1.05</v>
      </c>
      <c r="K151" s="174" t="n">
        <v>1</v>
      </c>
      <c r="L151" s="172" t="n">
        <v>1</v>
      </c>
      <c r="M151" s="172" t="n">
        <v>1.15</v>
      </c>
      <c r="N151" s="174" t="n">
        <v>1.25</v>
      </c>
      <c r="O151" s="174" t="n">
        <v>1.05</v>
      </c>
      <c r="P151" s="174" t="n">
        <v>1</v>
      </c>
      <c r="Q151" s="174" t="n">
        <v>1.35</v>
      </c>
      <c r="R151" s="175" t="n">
        <v>1</v>
      </c>
      <c r="S151" s="175" t="n">
        <v>1.1</v>
      </c>
      <c r="T151" s="174" t="n">
        <v>1</v>
      </c>
      <c r="U151" s="174" t="n">
        <v>1.25</v>
      </c>
      <c r="V151" s="174" t="n">
        <v>1.1</v>
      </c>
      <c r="W151" s="174" t="n">
        <v>0.005</v>
      </c>
      <c r="X151" s="174" t="n">
        <v>0.03</v>
      </c>
      <c r="Y151" s="174" t="n">
        <v>0.13</v>
      </c>
      <c r="Z151" s="174" t="n">
        <v>0.02</v>
      </c>
      <c r="AA151" s="174" t="n">
        <v>0.29</v>
      </c>
      <c r="AB151" s="174" t="n">
        <v>0</v>
      </c>
      <c r="AC151" s="174" t="n">
        <v>0.33</v>
      </c>
      <c r="AD151" s="174" t="n">
        <v>0</v>
      </c>
      <c r="AE151" s="174" t="n">
        <v>0.29</v>
      </c>
      <c r="AF151" s="174" t="n">
        <v>0</v>
      </c>
      <c r="AG151" s="174" t="n">
        <v>0.17</v>
      </c>
      <c r="AH151" s="174" t="n">
        <v>0</v>
      </c>
      <c r="AI151" s="174" t="n">
        <v>0.1624</v>
      </c>
      <c r="AJ151" s="174" t="n">
        <v>0</v>
      </c>
      <c r="AK151" s="174" t="n">
        <v>0.13</v>
      </c>
      <c r="AL151" s="174" t="n">
        <v>0.035</v>
      </c>
      <c r="AM151" s="174" t="n">
        <v>-0.0605</v>
      </c>
      <c r="AN151" s="174" t="n">
        <v>0.022</v>
      </c>
      <c r="AO151" s="174" t="n">
        <v>-0.553</v>
      </c>
      <c r="AP151" s="174" t="n">
        <v>0.155</v>
      </c>
      <c r="AQ151" s="174" t="n">
        <v>-0.0405</v>
      </c>
      <c r="AR151" s="174" t="n">
        <v>0.005</v>
      </c>
      <c r="AS151" s="174" t="n">
        <v>-0.1525</v>
      </c>
      <c r="AT151" s="174" t="n">
        <v>-0.005</v>
      </c>
      <c r="AU151" s="174" t="n">
        <v>-0.1125</v>
      </c>
      <c r="AV151" s="174" t="n">
        <v>-0.01</v>
      </c>
      <c r="AW151" s="174" t="n">
        <v>-0.0405</v>
      </c>
      <c r="AX151" s="174" t="n">
        <v>0.022</v>
      </c>
      <c r="AY151" s="175" t="n">
        <v>0.155</v>
      </c>
      <c r="AZ151" s="175" t="n">
        <v>0</v>
      </c>
      <c r="BA151" s="175" t="n">
        <v>-0.13</v>
      </c>
      <c r="BB151" s="174" t="n">
        <v>0.005</v>
      </c>
      <c r="BC151" s="174" t="n">
        <v>-0.07</v>
      </c>
      <c r="BD151" s="174" t="n">
        <v>0.005</v>
      </c>
      <c r="BE151" s="174" t="n">
        <v>0.35</v>
      </c>
      <c r="BF151" s="174" t="n">
        <v>0</v>
      </c>
      <c r="BG151" s="174" t="n">
        <v>-0.06</v>
      </c>
      <c r="BH151" s="174" t="n">
        <v>0</v>
      </c>
      <c r="BI151" s="174" t="n">
        <v>0</v>
      </c>
      <c r="BJ151" s="136" t="n">
        <v>0.03</v>
      </c>
      <c r="BK151" s="136" t="n">
        <v>0.35</v>
      </c>
      <c r="BL151" s="136" t="n">
        <v>0</v>
      </c>
      <c r="BM151" s="136" t="n">
        <v>0.358</v>
      </c>
      <c r="BN151" s="136" t="n">
        <v>0</v>
      </c>
      <c r="BO151" s="136" t="n">
        <v>-0.26</v>
      </c>
      <c r="BP151" s="136" t="n">
        <v>0</v>
      </c>
      <c r="BQ151" s="136" t="n">
        <v>0.5</v>
      </c>
      <c r="BR151" s="136" t="n">
        <v>0</v>
      </c>
      <c r="BS151" s="136" t="n">
        <v>-0.07</v>
      </c>
      <c r="BT151" s="136" t="n">
        <v>0.005</v>
      </c>
      <c r="BU151" s="136" t="n">
        <v>0.3</v>
      </c>
      <c r="BV151" s="136" t="n">
        <v>0</v>
      </c>
      <c r="BW151" s="136" t="n">
        <v>0</v>
      </c>
      <c r="BX151" s="136" t="n">
        <v>0</v>
      </c>
      <c r="BY151" s="136" t="n">
        <v>-0.011</v>
      </c>
      <c r="BZ151" s="136" t="n">
        <v>0.0575</v>
      </c>
      <c r="CA151" s="136" t="n">
        <v>0.215</v>
      </c>
      <c r="CB151" s="136" t="n">
        <v>0.005</v>
      </c>
      <c r="CC151" s="136" t="n">
        <v>-0.011</v>
      </c>
      <c r="CD151" s="136" t="n">
        <v>0.0037</v>
      </c>
      <c r="CE151" s="136" t="n">
        <v>0.0025</v>
      </c>
      <c r="CF151" s="136" t="n">
        <v>0.0025</v>
      </c>
      <c r="CG151" s="136" t="n">
        <v>-0.011</v>
      </c>
      <c r="CH151" s="136" t="n">
        <v>0.0037</v>
      </c>
      <c r="CI151" s="136" t="n">
        <v>-0.1065</v>
      </c>
      <c r="CJ151" s="136" t="n">
        <v>0.0025</v>
      </c>
      <c r="CK151" s="136" t="n">
        <v>0.075</v>
      </c>
      <c r="CL151" s="136" t="n">
        <v>0.0025</v>
      </c>
      <c r="CM151" s="136" t="n">
        <v>-0.064</v>
      </c>
      <c r="CN151" s="136" t="n">
        <v>0.01</v>
      </c>
      <c r="CO151" s="136" t="n">
        <v>-0.008999999</v>
      </c>
      <c r="CP151" s="136" t="n">
        <v>0.0075</v>
      </c>
      <c r="CQ151" s="136" t="n">
        <v>0.031</v>
      </c>
      <c r="CR151" s="136" t="n">
        <v>0.0125</v>
      </c>
      <c r="CS151" s="136" t="n">
        <v>0.98</v>
      </c>
      <c r="CT151" s="136" t="n">
        <v>0.25</v>
      </c>
      <c r="CU151" s="136" t="n">
        <v>0.358</v>
      </c>
      <c r="CV151" s="136" t="n">
        <v>0</v>
      </c>
      <c r="CW151" s="136" t="n">
        <v>0.29</v>
      </c>
      <c r="CX151" s="136" t="n">
        <v>0.02</v>
      </c>
      <c r="CY151" s="136" t="n">
        <v>-0.52</v>
      </c>
      <c r="CZ151" s="136" t="n">
        <v>0</v>
      </c>
      <c r="DA151" s="136" t="n">
        <v>-0.34</v>
      </c>
      <c r="DB151" s="136" t="n">
        <v>0</v>
      </c>
      <c r="DC151" s="136" t="n">
        <v>0.4</v>
      </c>
      <c r="DE151" s="136" t="n">
        <v>-0.039</v>
      </c>
      <c r="DF151" s="136" t="n">
        <v>0.0125</v>
      </c>
      <c r="DG151" s="136" t="n">
        <v>0.012</v>
      </c>
      <c r="DH151" s="136" t="n">
        <v>0.0075</v>
      </c>
      <c r="DI151" s="136" t="n">
        <v>-0.0055</v>
      </c>
      <c r="DJ151" s="136" t="n">
        <v>0.0025</v>
      </c>
      <c r="DK151" s="136" t="n">
        <v>-0.0715</v>
      </c>
      <c r="DL151" s="136" t="n">
        <v>0.0025</v>
      </c>
      <c r="DM151" s="136" t="n">
        <v>-0.0535</v>
      </c>
      <c r="DN151" s="136" t="n">
        <v>0.0025</v>
      </c>
      <c r="DO151" s="136" t="n">
        <v>-0.076</v>
      </c>
      <c r="DP151" s="136" t="n">
        <v>0.0025</v>
      </c>
      <c r="DQ151" s="136" t="n">
        <v>-0.1015</v>
      </c>
      <c r="DR151" s="136" t="n">
        <v>-0.005</v>
      </c>
      <c r="DS151" s="136" t="n">
        <v>0.77</v>
      </c>
      <c r="DT151" s="136" t="n">
        <v>0.05</v>
      </c>
      <c r="DU151" s="136" t="n">
        <v>0</v>
      </c>
      <c r="DV151" s="136" t="n">
        <v>0</v>
      </c>
    </row>
    <row r="152" customFormat="false" ht="12.75" hidden="false" customHeight="false" outlineLevel="0" collapsed="false">
      <c r="D152" s="135" t="n">
        <v>41275</v>
      </c>
      <c r="F152" s="174" t="n">
        <v>4.3245</v>
      </c>
      <c r="G152" s="175" t="n">
        <v>0.0624643596902805</v>
      </c>
      <c r="H152" s="174" t="n">
        <v>0.17</v>
      </c>
      <c r="I152" s="174" t="n">
        <v>1</v>
      </c>
      <c r="J152" s="174" t="n">
        <v>1.05</v>
      </c>
      <c r="K152" s="174" t="n">
        <v>1</v>
      </c>
      <c r="L152" s="172" t="n">
        <v>1</v>
      </c>
      <c r="M152" s="172" t="n">
        <v>1.15</v>
      </c>
      <c r="N152" s="174" t="n">
        <v>1.45</v>
      </c>
      <c r="O152" s="174" t="n">
        <v>1.05</v>
      </c>
      <c r="P152" s="174" t="n">
        <v>1</v>
      </c>
      <c r="Q152" s="174" t="n">
        <v>1.35</v>
      </c>
      <c r="R152" s="175" t="n">
        <v>1</v>
      </c>
      <c r="S152" s="175" t="n">
        <v>1.1</v>
      </c>
      <c r="T152" s="174" t="n">
        <v>1</v>
      </c>
      <c r="U152" s="174" t="n">
        <v>1.45</v>
      </c>
      <c r="V152" s="174" t="n">
        <v>1.1</v>
      </c>
      <c r="W152" s="174" t="n">
        <v>0.025</v>
      </c>
      <c r="X152" s="174" t="n">
        <v>0.03</v>
      </c>
      <c r="Y152" s="174" t="n">
        <v>0.13</v>
      </c>
      <c r="Z152" s="174" t="n">
        <v>0.02</v>
      </c>
      <c r="AA152" s="174" t="n">
        <v>0.29</v>
      </c>
      <c r="AB152" s="174" t="n">
        <v>0</v>
      </c>
      <c r="AC152" s="174" t="n">
        <v>0.33</v>
      </c>
      <c r="AD152" s="174" t="n">
        <v>0</v>
      </c>
      <c r="AE152" s="174" t="n">
        <v>0.29</v>
      </c>
      <c r="AF152" s="174" t="n">
        <v>0</v>
      </c>
      <c r="AG152" s="174" t="n">
        <v>0.17</v>
      </c>
      <c r="AH152" s="174" t="n">
        <v>0</v>
      </c>
      <c r="AI152" s="174" t="n">
        <v>0.1644</v>
      </c>
      <c r="AJ152" s="174" t="n">
        <v>0</v>
      </c>
      <c r="AK152" s="174" t="n">
        <v>0.13</v>
      </c>
      <c r="AL152" s="174" t="n">
        <v>0.035</v>
      </c>
      <c r="AM152" s="174" t="n">
        <v>-0.0605</v>
      </c>
      <c r="AN152" s="174" t="n">
        <v>0.022</v>
      </c>
      <c r="AO152" s="174" t="n">
        <v>-0.553</v>
      </c>
      <c r="AP152" s="174" t="n">
        <v>0.155</v>
      </c>
      <c r="AQ152" s="174" t="n">
        <v>-0.0405</v>
      </c>
      <c r="AR152" s="174" t="n">
        <v>0.005</v>
      </c>
      <c r="AS152" s="174" t="n">
        <v>-0.155</v>
      </c>
      <c r="AT152" s="174" t="n">
        <v>-0.005</v>
      </c>
      <c r="AU152" s="174" t="n">
        <v>-0.115</v>
      </c>
      <c r="AV152" s="174" t="n">
        <v>-0.01</v>
      </c>
      <c r="AW152" s="174" t="n">
        <v>-0.0405</v>
      </c>
      <c r="AX152" s="174" t="n">
        <v>0.022</v>
      </c>
      <c r="AY152" s="175" t="n">
        <v>0.155</v>
      </c>
      <c r="AZ152" s="175" t="n">
        <v>0</v>
      </c>
      <c r="BA152" s="175" t="n">
        <v>-0.13</v>
      </c>
      <c r="BB152" s="174" t="n">
        <v>0.005</v>
      </c>
      <c r="BC152" s="174" t="n">
        <v>-0.07</v>
      </c>
      <c r="BD152" s="174" t="n">
        <v>0.005</v>
      </c>
      <c r="BE152" s="174" t="n">
        <v>0.35</v>
      </c>
      <c r="BF152" s="174" t="n">
        <v>0</v>
      </c>
      <c r="BG152" s="174" t="n">
        <v>-0.06</v>
      </c>
      <c r="BH152" s="174" t="n">
        <v>0</v>
      </c>
      <c r="BI152" s="174" t="n">
        <v>0</v>
      </c>
      <c r="BJ152" s="136" t="n">
        <v>0.03</v>
      </c>
      <c r="BK152" s="136" t="n">
        <v>0.35</v>
      </c>
      <c r="BL152" s="136" t="n">
        <v>0</v>
      </c>
      <c r="BM152" s="136" t="n">
        <v>0.428</v>
      </c>
      <c r="BN152" s="136" t="n">
        <v>0</v>
      </c>
      <c r="BO152" s="136" t="n">
        <v>-0.26</v>
      </c>
      <c r="BP152" s="136" t="n">
        <v>0</v>
      </c>
      <c r="BQ152" s="136" t="n">
        <v>0.5</v>
      </c>
      <c r="BR152" s="136" t="n">
        <v>0</v>
      </c>
      <c r="BS152" s="136" t="n">
        <v>-0.07</v>
      </c>
      <c r="BT152" s="136" t="n">
        <v>0.005</v>
      </c>
      <c r="BU152" s="136" t="n">
        <v>0.3</v>
      </c>
      <c r="BV152" s="136" t="n">
        <v>0</v>
      </c>
      <c r="BW152" s="136" t="n">
        <v>0</v>
      </c>
      <c r="BX152" s="136" t="n">
        <v>0</v>
      </c>
      <c r="BY152" s="136" t="n">
        <v>-0.008999999</v>
      </c>
      <c r="BZ152" s="136" t="n">
        <v>0.0575</v>
      </c>
      <c r="CA152" s="136" t="n">
        <v>0.235</v>
      </c>
      <c r="CB152" s="136" t="n">
        <v>0.005</v>
      </c>
      <c r="CC152" s="136" t="n">
        <v>-0.008999999</v>
      </c>
      <c r="CD152" s="136" t="n">
        <v>0.0037</v>
      </c>
      <c r="CE152" s="136" t="n">
        <v>0.0025</v>
      </c>
      <c r="CF152" s="136" t="n">
        <v>0.0025</v>
      </c>
      <c r="CG152" s="136" t="n">
        <v>-0.008999999</v>
      </c>
      <c r="CH152" s="136" t="n">
        <v>0.0037</v>
      </c>
      <c r="CI152" s="136" t="n">
        <v>-0.1045</v>
      </c>
      <c r="CJ152" s="136" t="n">
        <v>0.0025</v>
      </c>
      <c r="CK152" s="136" t="n">
        <v>0.075</v>
      </c>
      <c r="CL152" s="136" t="n">
        <v>0.0025</v>
      </c>
      <c r="CM152" s="136" t="n">
        <v>-0.064</v>
      </c>
      <c r="CN152" s="136" t="n">
        <v>0.01</v>
      </c>
      <c r="CO152" s="136" t="n">
        <v>-0.008999999</v>
      </c>
      <c r="CP152" s="136" t="n">
        <v>0.0075</v>
      </c>
      <c r="CQ152" s="136" t="n">
        <v>0.031</v>
      </c>
      <c r="CR152" s="136" t="n">
        <v>0.0125</v>
      </c>
      <c r="CS152" s="136" t="n">
        <v>1.6</v>
      </c>
      <c r="CT152" s="136" t="n">
        <v>0.45</v>
      </c>
      <c r="CU152" s="136" t="n">
        <v>0.428</v>
      </c>
      <c r="CV152" s="136" t="n">
        <v>0</v>
      </c>
      <c r="CW152" s="136" t="n">
        <v>0.34</v>
      </c>
      <c r="CX152" s="136" t="n">
        <v>0.02</v>
      </c>
      <c r="CY152" s="136" t="n">
        <v>-0.52</v>
      </c>
      <c r="CZ152" s="136" t="n">
        <v>0</v>
      </c>
      <c r="DA152" s="136" t="n">
        <v>-0.34</v>
      </c>
      <c r="DB152" s="136" t="n">
        <v>0</v>
      </c>
      <c r="DC152" s="136" t="n">
        <v>0.35</v>
      </c>
      <c r="DE152" s="136" t="n">
        <v>-0.039</v>
      </c>
      <c r="DF152" s="136" t="n">
        <v>0.0125</v>
      </c>
      <c r="DG152" s="136" t="n">
        <v>0.012</v>
      </c>
      <c r="DH152" s="136" t="n">
        <v>0.0075</v>
      </c>
      <c r="DI152" s="136" t="n">
        <v>-0.003</v>
      </c>
      <c r="DJ152" s="136" t="n">
        <v>0.0025</v>
      </c>
      <c r="DK152" s="136" t="n">
        <v>-0.0865</v>
      </c>
      <c r="DL152" s="136" t="n">
        <v>0.0025</v>
      </c>
      <c r="DM152" s="136" t="n">
        <v>-0.0535</v>
      </c>
      <c r="DN152" s="136" t="n">
        <v>0.0025</v>
      </c>
      <c r="DO152" s="136" t="n">
        <v>-0.076</v>
      </c>
      <c r="DP152" s="136" t="n">
        <v>0.0025</v>
      </c>
      <c r="DQ152" s="136" t="n">
        <v>-0.1165</v>
      </c>
      <c r="DR152" s="136" t="n">
        <v>-0.005</v>
      </c>
      <c r="DS152" s="136" t="n">
        <v>1.04</v>
      </c>
      <c r="DT152" s="136" t="n">
        <v>0.05</v>
      </c>
      <c r="DU152" s="136" t="n">
        <v>0</v>
      </c>
      <c r="DV152" s="136" t="n">
        <v>0</v>
      </c>
    </row>
    <row r="153" customFormat="false" ht="12.75" hidden="false" customHeight="false" outlineLevel="0" collapsed="false">
      <c r="D153" s="135" t="n">
        <v>41306</v>
      </c>
      <c r="F153" s="174" t="n">
        <v>4.2395</v>
      </c>
      <c r="G153" s="175" t="n">
        <v>0.0625049037809293</v>
      </c>
      <c r="H153" s="174" t="n">
        <v>0.17</v>
      </c>
      <c r="I153" s="174" t="n">
        <v>1</v>
      </c>
      <c r="J153" s="174" t="n">
        <v>1.05</v>
      </c>
      <c r="K153" s="174" t="n">
        <v>1</v>
      </c>
      <c r="L153" s="172" t="n">
        <v>1</v>
      </c>
      <c r="M153" s="172" t="n">
        <v>1.15</v>
      </c>
      <c r="N153" s="174" t="n">
        <v>1.45</v>
      </c>
      <c r="O153" s="174" t="n">
        <v>1.05</v>
      </c>
      <c r="P153" s="174" t="n">
        <v>1</v>
      </c>
      <c r="Q153" s="174" t="n">
        <v>1.35</v>
      </c>
      <c r="R153" s="175" t="n">
        <v>1</v>
      </c>
      <c r="S153" s="175" t="n">
        <v>1.1</v>
      </c>
      <c r="T153" s="174" t="n">
        <v>1</v>
      </c>
      <c r="U153" s="174" t="n">
        <v>1.45</v>
      </c>
      <c r="V153" s="174" t="n">
        <v>1.1</v>
      </c>
      <c r="W153" s="174" t="n">
        <v>0.02</v>
      </c>
      <c r="X153" s="174" t="n">
        <v>0.03</v>
      </c>
      <c r="Y153" s="174" t="n">
        <v>0.13</v>
      </c>
      <c r="Z153" s="174" t="n">
        <v>0.02</v>
      </c>
      <c r="AA153" s="174" t="n">
        <v>0.29</v>
      </c>
      <c r="AB153" s="174" t="n">
        <v>0</v>
      </c>
      <c r="AC153" s="174" t="n">
        <v>0.33</v>
      </c>
      <c r="AD153" s="174" t="n">
        <v>0</v>
      </c>
      <c r="AE153" s="174" t="n">
        <v>0.29</v>
      </c>
      <c r="AF153" s="174" t="n">
        <v>0</v>
      </c>
      <c r="AG153" s="174" t="n">
        <v>0.17</v>
      </c>
      <c r="AH153" s="174" t="n">
        <v>0</v>
      </c>
      <c r="AI153" s="174" t="n">
        <v>0.16184</v>
      </c>
      <c r="AJ153" s="174" t="n">
        <v>0</v>
      </c>
      <c r="AK153" s="174" t="n">
        <v>0.13</v>
      </c>
      <c r="AL153" s="174" t="n">
        <v>0.035</v>
      </c>
      <c r="AM153" s="174" t="n">
        <v>-0.0605</v>
      </c>
      <c r="AN153" s="174" t="n">
        <v>0.022</v>
      </c>
      <c r="AO153" s="174" t="n">
        <v>-0.553</v>
      </c>
      <c r="AP153" s="174" t="n">
        <v>0.155</v>
      </c>
      <c r="AQ153" s="174" t="n">
        <v>-0.0405</v>
      </c>
      <c r="AR153" s="174" t="n">
        <v>0.005</v>
      </c>
      <c r="AS153" s="174" t="n">
        <v>-0.1475</v>
      </c>
      <c r="AT153" s="174" t="n">
        <v>-0.005</v>
      </c>
      <c r="AU153" s="174" t="n">
        <v>-0.1075</v>
      </c>
      <c r="AV153" s="174" t="n">
        <v>-0.01</v>
      </c>
      <c r="AW153" s="174" t="n">
        <v>-0.0405</v>
      </c>
      <c r="AX153" s="174" t="n">
        <v>0.022</v>
      </c>
      <c r="AY153" s="175" t="n">
        <v>0.155</v>
      </c>
      <c r="AZ153" s="175" t="n">
        <v>0</v>
      </c>
      <c r="BA153" s="175" t="n">
        <v>-0.13</v>
      </c>
      <c r="BB153" s="174" t="n">
        <v>0.005</v>
      </c>
      <c r="BC153" s="174" t="n">
        <v>-0.07</v>
      </c>
      <c r="BD153" s="174" t="n">
        <v>0.005</v>
      </c>
      <c r="BE153" s="174" t="n">
        <v>0.35</v>
      </c>
      <c r="BF153" s="174" t="n">
        <v>0</v>
      </c>
      <c r="BG153" s="174" t="n">
        <v>-0.06</v>
      </c>
      <c r="BH153" s="174" t="n">
        <v>0</v>
      </c>
      <c r="BI153" s="174" t="n">
        <v>0</v>
      </c>
      <c r="BJ153" s="136" t="n">
        <v>0.03</v>
      </c>
      <c r="BK153" s="136" t="n">
        <v>0.35</v>
      </c>
      <c r="BL153" s="136" t="n">
        <v>0</v>
      </c>
      <c r="BM153" s="136" t="n">
        <v>0.298</v>
      </c>
      <c r="BN153" s="136" t="n">
        <v>0</v>
      </c>
      <c r="BO153" s="136" t="n">
        <v>-0.26</v>
      </c>
      <c r="BP153" s="136" t="n">
        <v>0</v>
      </c>
      <c r="BQ153" s="136" t="n">
        <v>0.5</v>
      </c>
      <c r="BR153" s="136" t="n">
        <v>0</v>
      </c>
      <c r="BS153" s="136" t="n">
        <v>-0.07</v>
      </c>
      <c r="BT153" s="136" t="n">
        <v>0.005</v>
      </c>
      <c r="BU153" s="136" t="n">
        <v>0.3</v>
      </c>
      <c r="BV153" s="136" t="n">
        <v>0</v>
      </c>
      <c r="BW153" s="136" t="n">
        <v>0</v>
      </c>
      <c r="BX153" s="136" t="n">
        <v>0</v>
      </c>
      <c r="BY153" s="136" t="n">
        <v>-0.008999999</v>
      </c>
      <c r="BZ153" s="136" t="n">
        <v>0.0575</v>
      </c>
      <c r="CA153" s="136" t="n">
        <v>0.235</v>
      </c>
      <c r="CB153" s="136" t="n">
        <v>0.005</v>
      </c>
      <c r="CC153" s="136" t="n">
        <v>-0.008999999</v>
      </c>
      <c r="CD153" s="136" t="n">
        <v>0.0037</v>
      </c>
      <c r="CE153" s="136" t="n">
        <v>0.0025</v>
      </c>
      <c r="CF153" s="136" t="n">
        <v>0.0025</v>
      </c>
      <c r="CG153" s="136" t="n">
        <v>-0.008999999</v>
      </c>
      <c r="CH153" s="136" t="n">
        <v>0.0037</v>
      </c>
      <c r="CI153" s="136" t="n">
        <v>-0.1045</v>
      </c>
      <c r="CJ153" s="136" t="n">
        <v>0.0025</v>
      </c>
      <c r="CK153" s="136" t="n">
        <v>0.075</v>
      </c>
      <c r="CL153" s="136" t="n">
        <v>0.0025</v>
      </c>
      <c r="CM153" s="136" t="n">
        <v>-0.064</v>
      </c>
      <c r="CN153" s="136" t="n">
        <v>0.01</v>
      </c>
      <c r="CO153" s="136" t="n">
        <v>-0.008999999</v>
      </c>
      <c r="CP153" s="136" t="n">
        <v>0.0075</v>
      </c>
      <c r="CQ153" s="136" t="n">
        <v>0.031</v>
      </c>
      <c r="CR153" s="136" t="n">
        <v>0.0125</v>
      </c>
      <c r="CS153" s="136" t="n">
        <v>1.6</v>
      </c>
      <c r="CT153" s="136" t="n">
        <v>0.45</v>
      </c>
      <c r="CU153" s="136" t="n">
        <v>0.298</v>
      </c>
      <c r="CV153" s="136" t="n">
        <v>0</v>
      </c>
      <c r="CW153" s="136" t="n">
        <v>0.34</v>
      </c>
      <c r="CX153" s="136" t="n">
        <v>0.02</v>
      </c>
      <c r="CY153" s="136" t="n">
        <v>-0.52</v>
      </c>
      <c r="CZ153" s="136" t="n">
        <v>0</v>
      </c>
      <c r="DA153" s="136" t="n">
        <v>-0.34</v>
      </c>
      <c r="DB153" s="136" t="n">
        <v>0</v>
      </c>
      <c r="DC153" s="136" t="n">
        <v>0.35</v>
      </c>
      <c r="DE153" s="136" t="n">
        <v>-0.039</v>
      </c>
      <c r="DF153" s="136" t="n">
        <v>0.0125</v>
      </c>
      <c r="DG153" s="136" t="n">
        <v>0.012</v>
      </c>
      <c r="DH153" s="136" t="n">
        <v>0.0075</v>
      </c>
      <c r="DI153" s="136" t="n">
        <v>-0.003</v>
      </c>
      <c r="DJ153" s="136" t="n">
        <v>0.0025</v>
      </c>
      <c r="DK153" s="136" t="n">
        <v>-0.0765</v>
      </c>
      <c r="DL153" s="136" t="n">
        <v>0.0025</v>
      </c>
      <c r="DM153" s="136" t="n">
        <v>-0.0535</v>
      </c>
      <c r="DN153" s="136" t="n">
        <v>0.0025</v>
      </c>
      <c r="DO153" s="136" t="n">
        <v>-0.076</v>
      </c>
      <c r="DP153" s="136" t="n">
        <v>0.0025</v>
      </c>
      <c r="DQ153" s="136" t="n">
        <v>-0.1065</v>
      </c>
      <c r="DR153" s="136" t="n">
        <v>-0.005</v>
      </c>
      <c r="DS153" s="136" t="n">
        <v>1.04</v>
      </c>
      <c r="DT153" s="136" t="n">
        <v>0.05</v>
      </c>
      <c r="DU153" s="136" t="n">
        <v>0</v>
      </c>
      <c r="DV153" s="136" t="n">
        <v>0</v>
      </c>
    </row>
    <row r="154" customFormat="false" ht="12.75" hidden="false" customHeight="false" outlineLevel="0" collapsed="false">
      <c r="D154" s="135" t="n">
        <v>41334</v>
      </c>
      <c r="F154" s="174" t="n">
        <v>4.1095</v>
      </c>
      <c r="G154" s="175" t="n">
        <v>0.0625415242503715</v>
      </c>
      <c r="H154" s="174" t="n">
        <v>0.17</v>
      </c>
      <c r="I154" s="174" t="n">
        <v>0.75</v>
      </c>
      <c r="J154" s="174" t="n">
        <v>0.8</v>
      </c>
      <c r="K154" s="174" t="n">
        <v>0.75</v>
      </c>
      <c r="L154" s="172" t="n">
        <v>0.75</v>
      </c>
      <c r="M154" s="172" t="n">
        <v>0.85</v>
      </c>
      <c r="N154" s="174" t="n">
        <v>1</v>
      </c>
      <c r="O154" s="174" t="n">
        <v>0.75</v>
      </c>
      <c r="P154" s="174" t="n">
        <v>0.75</v>
      </c>
      <c r="Q154" s="174" t="n">
        <v>0.95</v>
      </c>
      <c r="R154" s="175" t="n">
        <v>0.75</v>
      </c>
      <c r="S154" s="175" t="n">
        <v>0.75</v>
      </c>
      <c r="T154" s="174" t="n">
        <v>0.75</v>
      </c>
      <c r="U154" s="174" t="n">
        <v>1</v>
      </c>
      <c r="V154" s="174" t="n">
        <v>0.85</v>
      </c>
      <c r="W154" s="174" t="n">
        <v>0</v>
      </c>
      <c r="X154" s="174" t="n">
        <v>0.03</v>
      </c>
      <c r="Y154" s="174" t="n">
        <v>0.13</v>
      </c>
      <c r="Z154" s="174" t="n">
        <v>0.02</v>
      </c>
      <c r="AA154" s="174" t="n">
        <v>0.29</v>
      </c>
      <c r="AB154" s="174" t="n">
        <v>0</v>
      </c>
      <c r="AC154" s="174" t="n">
        <v>0.33</v>
      </c>
      <c r="AD154" s="174" t="n">
        <v>0</v>
      </c>
      <c r="AE154" s="174" t="n">
        <v>0.29</v>
      </c>
      <c r="AF154" s="174" t="n">
        <v>0</v>
      </c>
      <c r="AG154" s="174" t="n">
        <v>0.17</v>
      </c>
      <c r="AH154" s="174" t="n">
        <v>0</v>
      </c>
      <c r="AI154" s="174" t="n">
        <v>0.15768</v>
      </c>
      <c r="AJ154" s="174" t="n">
        <v>0</v>
      </c>
      <c r="AK154" s="174" t="n">
        <v>0.13</v>
      </c>
      <c r="AL154" s="174" t="n">
        <v>0.035</v>
      </c>
      <c r="AM154" s="174" t="n">
        <v>-0.0605</v>
      </c>
      <c r="AN154" s="174" t="n">
        <v>0.022</v>
      </c>
      <c r="AO154" s="174" t="n">
        <v>-0.553</v>
      </c>
      <c r="AP154" s="174" t="n">
        <v>0.155</v>
      </c>
      <c r="AQ154" s="174" t="n">
        <v>-0.0405</v>
      </c>
      <c r="AR154" s="174" t="n">
        <v>0.005</v>
      </c>
      <c r="AS154" s="174" t="n">
        <v>-0.145</v>
      </c>
      <c r="AT154" s="174" t="n">
        <v>-0.005</v>
      </c>
      <c r="AU154" s="174" t="n">
        <v>-0.105</v>
      </c>
      <c r="AV154" s="174" t="n">
        <v>-0.01</v>
      </c>
      <c r="AW154" s="174" t="n">
        <v>-0.0405</v>
      </c>
      <c r="AX154" s="174" t="n">
        <v>0.022</v>
      </c>
      <c r="AY154" s="175" t="n">
        <v>0.155</v>
      </c>
      <c r="AZ154" s="175" t="n">
        <v>0</v>
      </c>
      <c r="BA154" s="175" t="n">
        <v>-0.13</v>
      </c>
      <c r="BB154" s="174" t="n">
        <v>0.005</v>
      </c>
      <c r="BC154" s="174" t="n">
        <v>-0.07</v>
      </c>
      <c r="BD154" s="174" t="n">
        <v>0.005</v>
      </c>
      <c r="BE154" s="174" t="n">
        <v>0.35</v>
      </c>
      <c r="BF154" s="174" t="n">
        <v>0</v>
      </c>
      <c r="BG154" s="174" t="n">
        <v>-0.06</v>
      </c>
      <c r="BH154" s="174" t="n">
        <v>0</v>
      </c>
      <c r="BI154" s="174" t="n">
        <v>0</v>
      </c>
      <c r="BJ154" s="136" t="n">
        <v>0.03</v>
      </c>
      <c r="BK154" s="136" t="n">
        <v>0.35</v>
      </c>
      <c r="BL154" s="136" t="n">
        <v>0</v>
      </c>
      <c r="BM154" s="136" t="n">
        <v>0.118</v>
      </c>
      <c r="BN154" s="136" t="n">
        <v>0</v>
      </c>
      <c r="BO154" s="136" t="n">
        <v>-0.26</v>
      </c>
      <c r="BP154" s="136" t="n">
        <v>0</v>
      </c>
      <c r="BQ154" s="136" t="n">
        <v>0.5</v>
      </c>
      <c r="BR154" s="136" t="n">
        <v>0</v>
      </c>
      <c r="BS154" s="136" t="n">
        <v>-0.07</v>
      </c>
      <c r="BT154" s="136" t="n">
        <v>0.005</v>
      </c>
      <c r="BU154" s="136" t="n">
        <v>0.3</v>
      </c>
      <c r="BV154" s="136" t="n">
        <v>0</v>
      </c>
      <c r="BW154" s="136" t="n">
        <v>0</v>
      </c>
      <c r="BX154" s="136" t="n">
        <v>0</v>
      </c>
      <c r="BY154" s="136" t="n">
        <v>-0.008999999</v>
      </c>
      <c r="BZ154" s="136" t="n">
        <v>0.0575</v>
      </c>
      <c r="CA154" s="136" t="n">
        <v>0.195</v>
      </c>
      <c r="CB154" s="136" t="n">
        <v>0.005</v>
      </c>
      <c r="CC154" s="136" t="n">
        <v>-0.008999999</v>
      </c>
      <c r="CD154" s="136" t="n">
        <v>0.0037</v>
      </c>
      <c r="CE154" s="136" t="n">
        <v>0.0025</v>
      </c>
      <c r="CF154" s="136" t="n">
        <v>0.0025</v>
      </c>
      <c r="CG154" s="136" t="n">
        <v>-0.008999999</v>
      </c>
      <c r="CH154" s="136" t="n">
        <v>0.0037</v>
      </c>
      <c r="CI154" s="136" t="n">
        <v>-0.1045</v>
      </c>
      <c r="CJ154" s="136" t="n">
        <v>0.0025</v>
      </c>
      <c r="CK154" s="136" t="n">
        <v>0.075</v>
      </c>
      <c r="CL154" s="136" t="n">
        <v>0.0025</v>
      </c>
      <c r="CM154" s="136" t="n">
        <v>-0.064</v>
      </c>
      <c r="CN154" s="136" t="n">
        <v>0.01</v>
      </c>
      <c r="CO154" s="136" t="n">
        <v>-0.008999999</v>
      </c>
      <c r="CP154" s="136" t="n">
        <v>0.0075</v>
      </c>
      <c r="CQ154" s="136" t="n">
        <v>0.031</v>
      </c>
      <c r="CR154" s="136" t="n">
        <v>0.0125</v>
      </c>
      <c r="CS154" s="136" t="n">
        <v>0.64</v>
      </c>
      <c r="CT154" s="136" t="n">
        <v>0.1</v>
      </c>
      <c r="CU154" s="136" t="n">
        <v>0.118</v>
      </c>
      <c r="CV154" s="136" t="n">
        <v>0</v>
      </c>
      <c r="CW154" s="136" t="n">
        <v>0.29</v>
      </c>
      <c r="CX154" s="136" t="n">
        <v>0.02</v>
      </c>
      <c r="CY154" s="136" t="n">
        <v>-0.52</v>
      </c>
      <c r="CZ154" s="136" t="n">
        <v>0</v>
      </c>
      <c r="DA154" s="136" t="n">
        <v>-0.34</v>
      </c>
      <c r="DB154" s="136" t="n">
        <v>0</v>
      </c>
      <c r="DC154" s="136" t="n">
        <v>0.4</v>
      </c>
      <c r="DE154" s="136" t="n">
        <v>-0.039</v>
      </c>
      <c r="DF154" s="136" t="n">
        <v>0.0125</v>
      </c>
      <c r="DG154" s="136" t="n">
        <v>0.017</v>
      </c>
      <c r="DH154" s="136" t="n">
        <v>0.0075</v>
      </c>
      <c r="DI154" s="136" t="n">
        <v>0.002</v>
      </c>
      <c r="DJ154" s="136" t="n">
        <v>0.0025</v>
      </c>
      <c r="DK154" s="136" t="n">
        <v>-0.0665</v>
      </c>
      <c r="DL154" s="136" t="n">
        <v>0.0025</v>
      </c>
      <c r="DM154" s="136" t="n">
        <v>-0.0535</v>
      </c>
      <c r="DN154" s="136" t="n">
        <v>0.0025</v>
      </c>
      <c r="DO154" s="136" t="n">
        <v>-0.076</v>
      </c>
      <c r="DP154" s="136" t="n">
        <v>0.0025</v>
      </c>
      <c r="DQ154" s="136" t="n">
        <v>-0.0965</v>
      </c>
      <c r="DR154" s="136" t="n">
        <v>-0.005</v>
      </c>
      <c r="DS154" s="136" t="n">
        <v>0.54</v>
      </c>
      <c r="DT154" s="136" t="n">
        <v>0.05</v>
      </c>
      <c r="DU154" s="136" t="n">
        <v>0</v>
      </c>
      <c r="DV154" s="136" t="n">
        <v>0</v>
      </c>
    </row>
    <row r="155" customFormat="false" ht="12.75" hidden="false" customHeight="false" outlineLevel="0" collapsed="false">
      <c r="D155" s="135" t="n">
        <v>41365</v>
      </c>
      <c r="F155" s="174" t="n">
        <v>3.9245</v>
      </c>
      <c r="G155" s="175" t="n">
        <v>0.0625820683420586</v>
      </c>
      <c r="H155" s="174" t="n">
        <v>0.17</v>
      </c>
      <c r="I155" s="174" t="n">
        <v>0.4</v>
      </c>
      <c r="J155" s="174" t="n">
        <v>0.45</v>
      </c>
      <c r="K155" s="174" t="n">
        <v>0.4</v>
      </c>
      <c r="L155" s="172" t="n">
        <v>0.45</v>
      </c>
      <c r="M155" s="172" t="n">
        <v>0.45</v>
      </c>
      <c r="N155" s="174" t="n">
        <v>0.45</v>
      </c>
      <c r="O155" s="174" t="n">
        <v>0.45</v>
      </c>
      <c r="P155" s="174" t="n">
        <v>0.45</v>
      </c>
      <c r="Q155" s="174" t="n">
        <v>0.5</v>
      </c>
      <c r="R155" s="175" t="n">
        <v>0.4</v>
      </c>
      <c r="S155" s="175" t="n">
        <v>0.45</v>
      </c>
      <c r="T155" s="174" t="n">
        <v>0.4</v>
      </c>
      <c r="U155" s="174" t="n">
        <v>0.45</v>
      </c>
      <c r="V155" s="174" t="n">
        <v>0.55</v>
      </c>
      <c r="W155" s="174" t="n">
        <v>-0.09</v>
      </c>
      <c r="X155" s="174" t="n">
        <v>0</v>
      </c>
      <c r="Y155" s="174" t="n">
        <v>0.04</v>
      </c>
      <c r="Z155" s="174" t="n">
        <v>0.005</v>
      </c>
      <c r="AA155" s="174" t="n">
        <v>0.175</v>
      </c>
      <c r="AB155" s="174" t="n">
        <v>0</v>
      </c>
      <c r="AC155" s="174" t="n">
        <v>0.14</v>
      </c>
      <c r="AD155" s="174" t="n">
        <v>0</v>
      </c>
      <c r="AE155" s="174" t="n">
        <v>0.175</v>
      </c>
      <c r="AF155" s="174" t="n">
        <v>0</v>
      </c>
      <c r="AG155" s="174" t="n">
        <v>0.14</v>
      </c>
      <c r="AH155" s="174" t="n">
        <v>0</v>
      </c>
      <c r="AI155" s="174" t="n">
        <v>0.14</v>
      </c>
      <c r="AJ155" s="174" t="n">
        <v>0</v>
      </c>
      <c r="AK155" s="174" t="n">
        <v>0.04</v>
      </c>
      <c r="AL155" s="174" t="n">
        <v>0.04</v>
      </c>
      <c r="AM155" s="174" t="n">
        <v>-0.043</v>
      </c>
      <c r="AN155" s="174" t="n">
        <v>0.029</v>
      </c>
      <c r="AO155" s="174" t="n">
        <v>-0.653</v>
      </c>
      <c r="AP155" s="174" t="n">
        <v>0.155</v>
      </c>
      <c r="AQ155" s="174" t="n">
        <v>-0.038</v>
      </c>
      <c r="AR155" s="174" t="n">
        <v>0</v>
      </c>
      <c r="AS155" s="174" t="n">
        <v>-0.15</v>
      </c>
      <c r="AT155" s="174" t="n">
        <v>-0.015</v>
      </c>
      <c r="AU155" s="174" t="n">
        <v>-0.11</v>
      </c>
      <c r="AV155" s="174" t="n">
        <v>0.02</v>
      </c>
      <c r="AW155" s="174" t="n">
        <v>-0.038</v>
      </c>
      <c r="AX155" s="174" t="n">
        <v>0.014</v>
      </c>
      <c r="AY155" s="175" t="n">
        <v>0.125</v>
      </c>
      <c r="AZ155" s="175" t="n">
        <v>0</v>
      </c>
      <c r="BA155" s="175" t="n">
        <v>-0.195</v>
      </c>
      <c r="BB155" s="174" t="n">
        <v>0.0025</v>
      </c>
      <c r="BC155" s="174" t="n">
        <v>-0.07</v>
      </c>
      <c r="BD155" s="174" t="n">
        <v>0.005</v>
      </c>
      <c r="BE155" s="174" t="n">
        <v>0.43</v>
      </c>
      <c r="BF155" s="174" t="n">
        <v>0</v>
      </c>
      <c r="BG155" s="174" t="n">
        <v>-0.06</v>
      </c>
      <c r="BH155" s="174" t="n">
        <v>0</v>
      </c>
      <c r="BI155" s="174" t="n">
        <v>0</v>
      </c>
      <c r="BJ155" s="136" t="n">
        <v>0.03</v>
      </c>
      <c r="BK155" s="136" t="n">
        <v>0.43</v>
      </c>
      <c r="BL155" s="136" t="n">
        <v>0</v>
      </c>
      <c r="BM155" s="136" t="n">
        <v>-0.2</v>
      </c>
      <c r="BN155" s="136" t="n">
        <v>0</v>
      </c>
      <c r="BO155" s="136" t="n">
        <v>-0.37</v>
      </c>
      <c r="BP155" s="136" t="n">
        <v>0</v>
      </c>
      <c r="BQ155" s="136" t="n">
        <v>0.5</v>
      </c>
      <c r="BR155" s="136" t="n">
        <v>0</v>
      </c>
      <c r="BS155" s="136" t="n">
        <v>-0.07</v>
      </c>
      <c r="BT155" s="136" t="n">
        <v>0.005</v>
      </c>
      <c r="BU155" s="136" t="n">
        <v>0.3</v>
      </c>
      <c r="BV155" s="136" t="n">
        <v>0</v>
      </c>
      <c r="BW155" s="136" t="n">
        <v>0</v>
      </c>
      <c r="BX155" s="136" t="n">
        <v>0</v>
      </c>
      <c r="BY155" s="136" t="n">
        <v>-0.008999999</v>
      </c>
      <c r="BZ155" s="136" t="n">
        <v>0.0575</v>
      </c>
      <c r="CA155" s="136" t="n">
        <v>0.145</v>
      </c>
      <c r="CB155" s="136" t="n">
        <v>0.005</v>
      </c>
      <c r="CC155" s="136" t="n">
        <v>-0.008999999</v>
      </c>
      <c r="CD155" s="136" t="n">
        <v>0.0035</v>
      </c>
      <c r="CE155" s="136" t="n">
        <v>0.0025</v>
      </c>
      <c r="CF155" s="136" t="n">
        <v>0.0025</v>
      </c>
      <c r="CG155" s="136" t="n">
        <v>-0.008999999</v>
      </c>
      <c r="CH155" s="136" t="n">
        <v>0.0035</v>
      </c>
      <c r="CI155" s="136" t="n">
        <v>-0.1245</v>
      </c>
      <c r="CJ155" s="136" t="n">
        <v>0.0025</v>
      </c>
      <c r="CK155" s="136" t="n">
        <v>0.0775</v>
      </c>
      <c r="CL155" s="136" t="n">
        <v>0.0025</v>
      </c>
      <c r="CM155" s="136" t="n">
        <v>-0.072</v>
      </c>
      <c r="CN155" s="136" t="n">
        <v>0.0075</v>
      </c>
      <c r="CO155" s="136" t="n">
        <v>-0.017</v>
      </c>
      <c r="CP155" s="136" t="n">
        <v>0.005</v>
      </c>
      <c r="CQ155" s="136" t="n">
        <v>0.023</v>
      </c>
      <c r="CR155" s="136" t="n">
        <v>0.0075</v>
      </c>
      <c r="CS155" s="136" t="n">
        <v>0.38</v>
      </c>
      <c r="CT155" s="136" t="n">
        <v>0.02</v>
      </c>
      <c r="CU155" s="136" t="n">
        <v>-0.2</v>
      </c>
      <c r="CV155" s="136" t="n">
        <v>0</v>
      </c>
      <c r="CW155" s="136" t="n">
        <v>0.195</v>
      </c>
      <c r="CX155" s="136" t="n">
        <v>0.0075</v>
      </c>
      <c r="CY155" s="136" t="n">
        <v>-0.63</v>
      </c>
      <c r="CZ155" s="136" t="n">
        <v>0</v>
      </c>
      <c r="DA155" s="136" t="n">
        <v>-0.45</v>
      </c>
      <c r="DB155" s="136" t="n">
        <v>0</v>
      </c>
      <c r="DC155" s="136" t="n">
        <v>0.6</v>
      </c>
      <c r="DE155" s="136" t="n">
        <v>-0.0465</v>
      </c>
      <c r="DF155" s="136" t="n">
        <v>0.01</v>
      </c>
      <c r="DG155" s="136" t="n">
        <v>0.017</v>
      </c>
      <c r="DH155" s="136" t="n">
        <v>0.01</v>
      </c>
      <c r="DI155" s="136" t="n">
        <v>0.002</v>
      </c>
      <c r="DJ155" s="136" t="n">
        <v>0.0075</v>
      </c>
      <c r="DK155" s="136" t="n">
        <v>-0.1095</v>
      </c>
      <c r="DL155" s="136" t="n">
        <v>0.005</v>
      </c>
      <c r="DM155" s="136" t="n">
        <v>-0.051</v>
      </c>
      <c r="DN155" s="136" t="n">
        <v>0.0025</v>
      </c>
      <c r="DO155" s="136" t="n">
        <v>-0.0735</v>
      </c>
      <c r="DP155" s="136" t="n">
        <v>0.0025</v>
      </c>
      <c r="DQ155" s="136" t="n">
        <v>-0.1395</v>
      </c>
      <c r="DR155" s="136" t="n">
        <v>-0.005</v>
      </c>
      <c r="DS155" s="136" t="n">
        <v>0.36</v>
      </c>
      <c r="DT155" s="136" t="n">
        <v>0.005</v>
      </c>
      <c r="DU155" s="136" t="n">
        <v>0</v>
      </c>
      <c r="DV155" s="136" t="n">
        <v>0</v>
      </c>
    </row>
    <row r="156" customFormat="false" ht="12.75" hidden="false" customHeight="false" outlineLevel="0" collapsed="false">
      <c r="D156" s="135" t="n">
        <v>41395</v>
      </c>
      <c r="F156" s="174" t="n">
        <v>3.9195</v>
      </c>
      <c r="G156" s="175" t="n">
        <v>0.0626213045603396</v>
      </c>
      <c r="H156" s="174" t="n">
        <v>0.17</v>
      </c>
      <c r="I156" s="174" t="n">
        <v>0.45</v>
      </c>
      <c r="J156" s="174" t="n">
        <v>0.5</v>
      </c>
      <c r="K156" s="174" t="n">
        <v>0.4</v>
      </c>
      <c r="L156" s="172" t="n">
        <v>0.4</v>
      </c>
      <c r="M156" s="172" t="n">
        <v>0.45</v>
      </c>
      <c r="N156" s="174" t="n">
        <v>0.5</v>
      </c>
      <c r="O156" s="174" t="n">
        <v>0.45</v>
      </c>
      <c r="P156" s="174" t="n">
        <v>0.4</v>
      </c>
      <c r="Q156" s="174" t="n">
        <v>0.45</v>
      </c>
      <c r="R156" s="175" t="n">
        <v>0.45</v>
      </c>
      <c r="S156" s="175" t="n">
        <v>0.5</v>
      </c>
      <c r="T156" s="174" t="n">
        <v>0.45</v>
      </c>
      <c r="U156" s="174" t="n">
        <v>0.5</v>
      </c>
      <c r="V156" s="174" t="n">
        <v>0.5</v>
      </c>
      <c r="W156" s="174" t="n">
        <v>-0.09</v>
      </c>
      <c r="X156" s="174" t="n">
        <v>0</v>
      </c>
      <c r="Y156" s="174" t="n">
        <v>0.04</v>
      </c>
      <c r="Z156" s="174" t="n">
        <v>0.005</v>
      </c>
      <c r="AA156" s="174" t="n">
        <v>0.175</v>
      </c>
      <c r="AB156" s="174" t="n">
        <v>0</v>
      </c>
      <c r="AC156" s="174" t="n">
        <v>0.14</v>
      </c>
      <c r="AD156" s="174" t="n">
        <v>0</v>
      </c>
      <c r="AE156" s="174" t="n">
        <v>0.175</v>
      </c>
      <c r="AF156" s="174" t="n">
        <v>0</v>
      </c>
      <c r="AG156" s="174" t="n">
        <v>0.14</v>
      </c>
      <c r="AH156" s="174" t="n">
        <v>0</v>
      </c>
      <c r="AI156" s="174" t="n">
        <v>0.14</v>
      </c>
      <c r="AJ156" s="174" t="n">
        <v>0</v>
      </c>
      <c r="AK156" s="174" t="n">
        <v>0.04</v>
      </c>
      <c r="AL156" s="174" t="n">
        <v>0.04</v>
      </c>
      <c r="AM156" s="174" t="n">
        <v>-0.043</v>
      </c>
      <c r="AN156" s="174" t="n">
        <v>0.029</v>
      </c>
      <c r="AO156" s="174" t="n">
        <v>-0.653</v>
      </c>
      <c r="AP156" s="174" t="n">
        <v>0.155</v>
      </c>
      <c r="AQ156" s="174" t="n">
        <v>-0.038</v>
      </c>
      <c r="AR156" s="174" t="n">
        <v>0</v>
      </c>
      <c r="AS156" s="174" t="n">
        <v>-0.15</v>
      </c>
      <c r="AT156" s="174" t="n">
        <v>-0.015</v>
      </c>
      <c r="AU156" s="174" t="n">
        <v>-0.11</v>
      </c>
      <c r="AV156" s="174" t="n">
        <v>0.02</v>
      </c>
      <c r="AW156" s="174" t="n">
        <v>-0.038</v>
      </c>
      <c r="AX156" s="174" t="n">
        <v>0.014</v>
      </c>
      <c r="AY156" s="175" t="n">
        <v>0.125</v>
      </c>
      <c r="AZ156" s="175" t="n">
        <v>0</v>
      </c>
      <c r="BA156" s="175" t="n">
        <v>-0.195</v>
      </c>
      <c r="BB156" s="174" t="n">
        <v>0.0025</v>
      </c>
      <c r="BC156" s="174" t="n">
        <v>-0.07</v>
      </c>
      <c r="BD156" s="174" t="n">
        <v>0.005</v>
      </c>
      <c r="BE156" s="174" t="n">
        <v>0.43</v>
      </c>
      <c r="BF156" s="174" t="n">
        <v>0</v>
      </c>
      <c r="BG156" s="174" t="n">
        <v>-0.06</v>
      </c>
      <c r="BH156" s="174" t="n">
        <v>0</v>
      </c>
      <c r="BI156" s="174" t="n">
        <v>0</v>
      </c>
      <c r="BJ156" s="136" t="n">
        <v>0.03</v>
      </c>
      <c r="BK156" s="136" t="n">
        <v>0.43</v>
      </c>
      <c r="BL156" s="136" t="n">
        <v>0</v>
      </c>
      <c r="BM156" s="136" t="n">
        <v>-0.05</v>
      </c>
      <c r="BN156" s="136" t="n">
        <v>0</v>
      </c>
      <c r="BO156" s="136" t="n">
        <v>-0.37</v>
      </c>
      <c r="BP156" s="136" t="n">
        <v>0</v>
      </c>
      <c r="BQ156" s="136" t="n">
        <v>0.5</v>
      </c>
      <c r="BR156" s="136" t="n">
        <v>0</v>
      </c>
      <c r="BS156" s="136" t="n">
        <v>-0.07</v>
      </c>
      <c r="BT156" s="136" t="n">
        <v>0.005</v>
      </c>
      <c r="BU156" s="136" t="n">
        <v>0.3</v>
      </c>
      <c r="BV156" s="136" t="n">
        <v>0</v>
      </c>
      <c r="BW156" s="136" t="n">
        <v>0</v>
      </c>
      <c r="BX156" s="136" t="n">
        <v>0</v>
      </c>
      <c r="BY156" s="136" t="n">
        <v>-0.008999999</v>
      </c>
      <c r="BZ156" s="136" t="n">
        <v>0.0575</v>
      </c>
      <c r="CA156" s="136" t="n">
        <v>0.125</v>
      </c>
      <c r="CB156" s="136" t="n">
        <v>0.005</v>
      </c>
      <c r="CC156" s="136" t="n">
        <v>-0.008999999</v>
      </c>
      <c r="CD156" s="136" t="n">
        <v>0.0035</v>
      </c>
      <c r="CE156" s="136" t="n">
        <v>0.0025</v>
      </c>
      <c r="CF156" s="136" t="n">
        <v>0.0025</v>
      </c>
      <c r="CG156" s="136" t="n">
        <v>-0.008999999</v>
      </c>
      <c r="CH156" s="136" t="n">
        <v>0.0035</v>
      </c>
      <c r="CI156" s="136" t="n">
        <v>-0.112</v>
      </c>
      <c r="CJ156" s="136" t="n">
        <v>0.0025</v>
      </c>
      <c r="CK156" s="136" t="n">
        <v>0.0775</v>
      </c>
      <c r="CL156" s="136" t="n">
        <v>0.0025</v>
      </c>
      <c r="CM156" s="136" t="n">
        <v>-0.072</v>
      </c>
      <c r="CN156" s="136" t="n">
        <v>0.0075</v>
      </c>
      <c r="CO156" s="136" t="n">
        <v>-0.017</v>
      </c>
      <c r="CP156" s="136" t="n">
        <v>0.005</v>
      </c>
      <c r="CQ156" s="136" t="n">
        <v>0.023</v>
      </c>
      <c r="CR156" s="136" t="n">
        <v>0.0075</v>
      </c>
      <c r="CS156" s="136" t="n">
        <v>0.33</v>
      </c>
      <c r="CT156" s="136" t="n">
        <v>0.02</v>
      </c>
      <c r="CU156" s="136" t="n">
        <v>-0.05</v>
      </c>
      <c r="CV156" s="136" t="n">
        <v>0</v>
      </c>
      <c r="CW156" s="136" t="n">
        <v>0.135</v>
      </c>
      <c r="CX156" s="136" t="n">
        <v>0.0075</v>
      </c>
      <c r="CY156" s="136" t="n">
        <v>-0.63</v>
      </c>
      <c r="CZ156" s="136" t="n">
        <v>0</v>
      </c>
      <c r="DA156" s="136" t="n">
        <v>-0.45</v>
      </c>
      <c r="DB156" s="136" t="n">
        <v>0</v>
      </c>
      <c r="DC156" s="136" t="n">
        <v>0.75</v>
      </c>
      <c r="DE156" s="136" t="n">
        <v>-0.0465</v>
      </c>
      <c r="DF156" s="136" t="n">
        <v>0.01</v>
      </c>
      <c r="DG156" s="136" t="n">
        <v>0.0195</v>
      </c>
      <c r="DH156" s="136" t="n">
        <v>0.01</v>
      </c>
      <c r="DI156" s="136" t="n">
        <v>0.0045</v>
      </c>
      <c r="DJ156" s="136" t="n">
        <v>0.0075</v>
      </c>
      <c r="DK156" s="136" t="n">
        <v>-0.087</v>
      </c>
      <c r="DL156" s="136" t="n">
        <v>0.005</v>
      </c>
      <c r="DM156" s="136" t="n">
        <v>-0.051</v>
      </c>
      <c r="DN156" s="136" t="n">
        <v>0.0025</v>
      </c>
      <c r="DO156" s="136" t="n">
        <v>-0.0735</v>
      </c>
      <c r="DP156" s="136" t="n">
        <v>0.0025</v>
      </c>
      <c r="DQ156" s="136" t="n">
        <v>-0.117</v>
      </c>
      <c r="DR156" s="136" t="n">
        <v>-0.005</v>
      </c>
      <c r="DS156" s="136" t="n">
        <v>0.325</v>
      </c>
      <c r="DT156" s="136" t="n">
        <v>0.005</v>
      </c>
      <c r="DU156" s="136" t="n">
        <v>0</v>
      </c>
      <c r="DV156" s="136" t="n">
        <v>0</v>
      </c>
    </row>
    <row r="157" customFormat="false" ht="12.75" hidden="false" customHeight="false" outlineLevel="0" collapsed="false">
      <c r="D157" s="135" t="n">
        <v>41426</v>
      </c>
      <c r="F157" s="174" t="n">
        <v>3.9545</v>
      </c>
      <c r="G157" s="175" t="n">
        <v>0.0626618486531001</v>
      </c>
      <c r="H157" s="174" t="n">
        <v>0.17</v>
      </c>
      <c r="I157" s="174" t="n">
        <v>0.45</v>
      </c>
      <c r="J157" s="174" t="n">
        <v>0.5</v>
      </c>
      <c r="K157" s="174" t="n">
        <v>0.4</v>
      </c>
      <c r="L157" s="172" t="n">
        <v>0.5</v>
      </c>
      <c r="M157" s="172" t="n">
        <v>0.45</v>
      </c>
      <c r="N157" s="174" t="n">
        <v>0.5</v>
      </c>
      <c r="O157" s="174" t="n">
        <v>0.5</v>
      </c>
      <c r="P157" s="174" t="n">
        <v>0.5</v>
      </c>
      <c r="Q157" s="174" t="n">
        <v>0.5</v>
      </c>
      <c r="R157" s="175" t="n">
        <v>0.45</v>
      </c>
      <c r="S157" s="175" t="n">
        <v>0.5</v>
      </c>
      <c r="T157" s="174" t="n">
        <v>0.45</v>
      </c>
      <c r="U157" s="174" t="n">
        <v>0.5</v>
      </c>
      <c r="V157" s="174" t="n">
        <v>0.6</v>
      </c>
      <c r="W157" s="174" t="n">
        <v>-0.09</v>
      </c>
      <c r="X157" s="174" t="n">
        <v>0</v>
      </c>
      <c r="Y157" s="174" t="n">
        <v>0.04</v>
      </c>
      <c r="Z157" s="174" t="n">
        <v>0.005</v>
      </c>
      <c r="AA157" s="174" t="n">
        <v>0.175</v>
      </c>
      <c r="AB157" s="174" t="n">
        <v>0</v>
      </c>
      <c r="AC157" s="174" t="n">
        <v>0.14</v>
      </c>
      <c r="AD157" s="174" t="n">
        <v>0</v>
      </c>
      <c r="AE157" s="174" t="n">
        <v>0.175</v>
      </c>
      <c r="AF157" s="174" t="n">
        <v>0</v>
      </c>
      <c r="AG157" s="174" t="n">
        <v>0.14</v>
      </c>
      <c r="AH157" s="174" t="n">
        <v>0</v>
      </c>
      <c r="AI157" s="174" t="n">
        <v>0.14</v>
      </c>
      <c r="AJ157" s="174" t="n">
        <v>0</v>
      </c>
      <c r="AK157" s="174" t="n">
        <v>0.04</v>
      </c>
      <c r="AL157" s="174" t="n">
        <v>0.04</v>
      </c>
      <c r="AM157" s="174" t="n">
        <v>-0.043</v>
      </c>
      <c r="AN157" s="174" t="n">
        <v>0.029</v>
      </c>
      <c r="AO157" s="174" t="n">
        <v>-0.653</v>
      </c>
      <c r="AP157" s="174" t="n">
        <v>0.155</v>
      </c>
      <c r="AQ157" s="174" t="n">
        <v>-0.038</v>
      </c>
      <c r="AR157" s="174" t="n">
        <v>0</v>
      </c>
      <c r="AS157" s="174" t="n">
        <v>-0.15</v>
      </c>
      <c r="AT157" s="174" t="n">
        <v>-0.015</v>
      </c>
      <c r="AU157" s="174" t="n">
        <v>-0.11</v>
      </c>
      <c r="AV157" s="174" t="n">
        <v>0.02</v>
      </c>
      <c r="AW157" s="174" t="n">
        <v>-0.038</v>
      </c>
      <c r="AX157" s="174" t="n">
        <v>0.014</v>
      </c>
      <c r="AY157" s="175" t="n">
        <v>0.125</v>
      </c>
      <c r="AZ157" s="175" t="n">
        <v>0</v>
      </c>
      <c r="BA157" s="175" t="n">
        <v>-0.195</v>
      </c>
      <c r="BB157" s="174" t="n">
        <v>0.0025</v>
      </c>
      <c r="BC157" s="174" t="n">
        <v>-0.07</v>
      </c>
      <c r="BD157" s="174" t="n">
        <v>0.005</v>
      </c>
      <c r="BE157" s="174" t="n">
        <v>0.43</v>
      </c>
      <c r="BF157" s="174" t="n">
        <v>0</v>
      </c>
      <c r="BG157" s="174" t="n">
        <v>-0.06</v>
      </c>
      <c r="BH157" s="174" t="n">
        <v>0</v>
      </c>
      <c r="BI157" s="174" t="n">
        <v>0</v>
      </c>
      <c r="BJ157" s="136" t="n">
        <v>0.03</v>
      </c>
      <c r="BK157" s="136" t="n">
        <v>0.43</v>
      </c>
      <c r="BL157" s="136" t="n">
        <v>0</v>
      </c>
      <c r="BM157" s="136" t="n">
        <v>-0.05</v>
      </c>
      <c r="BN157" s="136" t="n">
        <v>0</v>
      </c>
      <c r="BO157" s="136" t="n">
        <v>-0.37</v>
      </c>
      <c r="BP157" s="136" t="n">
        <v>0</v>
      </c>
      <c r="BQ157" s="136" t="n">
        <v>0.5</v>
      </c>
      <c r="BR157" s="136" t="n">
        <v>0</v>
      </c>
      <c r="BS157" s="136" t="n">
        <v>-0.07</v>
      </c>
      <c r="BT157" s="136" t="n">
        <v>0.005</v>
      </c>
      <c r="BU157" s="136" t="n">
        <v>0.3</v>
      </c>
      <c r="BV157" s="136" t="n">
        <v>0</v>
      </c>
      <c r="BW157" s="136" t="n">
        <v>0</v>
      </c>
      <c r="BX157" s="136" t="n">
        <v>0</v>
      </c>
      <c r="BY157" s="136" t="n">
        <v>-0.008999999</v>
      </c>
      <c r="BZ157" s="136" t="n">
        <v>0.0575</v>
      </c>
      <c r="CA157" s="136" t="n">
        <v>0.145</v>
      </c>
      <c r="CB157" s="136" t="n">
        <v>0.005</v>
      </c>
      <c r="CC157" s="136" t="n">
        <v>-0.008999999</v>
      </c>
      <c r="CD157" s="136" t="n">
        <v>0.0035</v>
      </c>
      <c r="CE157" s="136" t="n">
        <v>0.0025</v>
      </c>
      <c r="CF157" s="136" t="n">
        <v>0.0025</v>
      </c>
      <c r="CG157" s="136" t="n">
        <v>-0.008999999</v>
      </c>
      <c r="CH157" s="136" t="n">
        <v>0.0035</v>
      </c>
      <c r="CI157" s="136" t="n">
        <v>-0.0695</v>
      </c>
      <c r="CJ157" s="136" t="n">
        <v>0.0025</v>
      </c>
      <c r="CK157" s="136" t="n">
        <v>0.0775</v>
      </c>
      <c r="CL157" s="136" t="n">
        <v>0.0025</v>
      </c>
      <c r="CM157" s="136" t="n">
        <v>-0.072</v>
      </c>
      <c r="CN157" s="136" t="n">
        <v>0.0075</v>
      </c>
      <c r="CO157" s="136" t="n">
        <v>-0.017</v>
      </c>
      <c r="CP157" s="136" t="n">
        <v>0.005</v>
      </c>
      <c r="CQ157" s="136" t="n">
        <v>0.023</v>
      </c>
      <c r="CR157" s="136" t="n">
        <v>0.0075</v>
      </c>
      <c r="CS157" s="136" t="n">
        <v>0.37</v>
      </c>
      <c r="CT157" s="136" t="n">
        <v>0.035</v>
      </c>
      <c r="CU157" s="136" t="n">
        <v>-0.05</v>
      </c>
      <c r="CV157" s="136" t="n">
        <v>0</v>
      </c>
      <c r="CW157" s="136" t="n">
        <v>0.165</v>
      </c>
      <c r="CX157" s="136" t="n">
        <v>0.0075</v>
      </c>
      <c r="CY157" s="136" t="n">
        <v>-0.63</v>
      </c>
      <c r="CZ157" s="136" t="n">
        <v>0</v>
      </c>
      <c r="DA157" s="136" t="n">
        <v>-0.45</v>
      </c>
      <c r="DB157" s="136" t="n">
        <v>0</v>
      </c>
      <c r="DC157" s="136" t="n">
        <v>0.85</v>
      </c>
      <c r="DE157" s="136" t="n">
        <v>-0.044</v>
      </c>
      <c r="DF157" s="136" t="n">
        <v>0.01</v>
      </c>
      <c r="DG157" s="136" t="n">
        <v>0.0195</v>
      </c>
      <c r="DH157" s="136" t="n">
        <v>0.01</v>
      </c>
      <c r="DI157" s="136" t="n">
        <v>0.0055</v>
      </c>
      <c r="DJ157" s="136" t="n">
        <v>0.0075</v>
      </c>
      <c r="DK157" s="136" t="n">
        <v>-0.0345</v>
      </c>
      <c r="DL157" s="136" t="n">
        <v>0.005</v>
      </c>
      <c r="DM157" s="136" t="n">
        <v>-0.051</v>
      </c>
      <c r="DN157" s="136" t="n">
        <v>0.0025</v>
      </c>
      <c r="DO157" s="136" t="n">
        <v>-0.0735</v>
      </c>
      <c r="DP157" s="136" t="n">
        <v>0.0025</v>
      </c>
      <c r="DQ157" s="136" t="n">
        <v>-0.0645</v>
      </c>
      <c r="DR157" s="136" t="n">
        <v>-0.005</v>
      </c>
      <c r="DS157" s="136" t="n">
        <v>0.335</v>
      </c>
      <c r="DT157" s="136" t="n">
        <v>0.005</v>
      </c>
      <c r="DU157" s="136" t="n">
        <v>0</v>
      </c>
      <c r="DV157" s="136" t="n">
        <v>0</v>
      </c>
    </row>
    <row r="158" customFormat="false" ht="12.75" hidden="false" customHeight="false" outlineLevel="0" collapsed="false">
      <c r="D158" s="135" t="n">
        <v>41456</v>
      </c>
      <c r="F158" s="174" t="n">
        <v>3.9945</v>
      </c>
      <c r="G158" s="175" t="n">
        <v>0.0627010848724203</v>
      </c>
      <c r="H158" s="174" t="n">
        <v>0.17</v>
      </c>
      <c r="I158" s="174" t="n">
        <v>0.5</v>
      </c>
      <c r="J158" s="174" t="n">
        <v>0.5</v>
      </c>
      <c r="K158" s="174" t="n">
        <v>0.4</v>
      </c>
      <c r="L158" s="172" t="n">
        <v>0.5</v>
      </c>
      <c r="M158" s="172" t="n">
        <v>0.5</v>
      </c>
      <c r="N158" s="174" t="n">
        <v>0.5</v>
      </c>
      <c r="O158" s="174" t="n">
        <v>0.5</v>
      </c>
      <c r="P158" s="174" t="n">
        <v>0.5</v>
      </c>
      <c r="Q158" s="174" t="n">
        <v>0.5</v>
      </c>
      <c r="R158" s="175" t="n">
        <v>0.5</v>
      </c>
      <c r="S158" s="175" t="n">
        <v>0.55</v>
      </c>
      <c r="T158" s="174" t="n">
        <v>0.5</v>
      </c>
      <c r="U158" s="174" t="n">
        <v>0.5</v>
      </c>
      <c r="V158" s="174" t="n">
        <v>0.6</v>
      </c>
      <c r="W158" s="174" t="n">
        <v>-0.09</v>
      </c>
      <c r="X158" s="174" t="n">
        <v>0</v>
      </c>
      <c r="Y158" s="174" t="n">
        <v>0.04</v>
      </c>
      <c r="Z158" s="174" t="n">
        <v>0.005</v>
      </c>
      <c r="AA158" s="174" t="n">
        <v>0.175</v>
      </c>
      <c r="AB158" s="174" t="n">
        <v>0</v>
      </c>
      <c r="AC158" s="174" t="n">
        <v>0.14</v>
      </c>
      <c r="AD158" s="174" t="n">
        <v>0</v>
      </c>
      <c r="AE158" s="174" t="n">
        <v>0.175</v>
      </c>
      <c r="AF158" s="174" t="n">
        <v>0</v>
      </c>
      <c r="AG158" s="174" t="n">
        <v>0.14</v>
      </c>
      <c r="AH158" s="174" t="n">
        <v>0</v>
      </c>
      <c r="AI158" s="174" t="n">
        <v>0.14</v>
      </c>
      <c r="AJ158" s="174" t="n">
        <v>0</v>
      </c>
      <c r="AK158" s="174" t="n">
        <v>0.04</v>
      </c>
      <c r="AL158" s="174" t="n">
        <v>0.04</v>
      </c>
      <c r="AM158" s="174" t="n">
        <v>-0.043</v>
      </c>
      <c r="AN158" s="174" t="n">
        <v>0.029</v>
      </c>
      <c r="AO158" s="174" t="n">
        <v>-0.653</v>
      </c>
      <c r="AP158" s="174" t="n">
        <v>0.155</v>
      </c>
      <c r="AQ158" s="174" t="n">
        <v>-0.038</v>
      </c>
      <c r="AR158" s="174" t="n">
        <v>0</v>
      </c>
      <c r="AS158" s="174" t="n">
        <v>-0.15</v>
      </c>
      <c r="AT158" s="174" t="n">
        <v>-0.015</v>
      </c>
      <c r="AU158" s="174" t="n">
        <v>-0.11</v>
      </c>
      <c r="AV158" s="174" t="n">
        <v>0.02</v>
      </c>
      <c r="AW158" s="174" t="n">
        <v>-0.038</v>
      </c>
      <c r="AX158" s="174" t="n">
        <v>0.012</v>
      </c>
      <c r="AY158" s="175" t="n">
        <v>0.125</v>
      </c>
      <c r="AZ158" s="175" t="n">
        <v>0</v>
      </c>
      <c r="BA158" s="175" t="n">
        <v>-0.195</v>
      </c>
      <c r="BB158" s="174" t="n">
        <v>0.0025</v>
      </c>
      <c r="BC158" s="174" t="n">
        <v>-0.07</v>
      </c>
      <c r="BD158" s="174" t="n">
        <v>0.005</v>
      </c>
      <c r="BE158" s="174" t="n">
        <v>0.43</v>
      </c>
      <c r="BF158" s="174" t="n">
        <v>0</v>
      </c>
      <c r="BG158" s="174" t="n">
        <v>-0.06</v>
      </c>
      <c r="BH158" s="174" t="n">
        <v>0</v>
      </c>
      <c r="BI158" s="174" t="n">
        <v>0</v>
      </c>
      <c r="BJ158" s="136" t="n">
        <v>0.03</v>
      </c>
      <c r="BK158" s="136" t="n">
        <v>0.43</v>
      </c>
      <c r="BL158" s="136" t="n">
        <v>0</v>
      </c>
      <c r="BM158" s="136" t="n">
        <v>-0.05</v>
      </c>
      <c r="BN158" s="136" t="n">
        <v>0</v>
      </c>
      <c r="BO158" s="136" t="n">
        <v>-0.37</v>
      </c>
      <c r="BP158" s="136" t="n">
        <v>0</v>
      </c>
      <c r="BQ158" s="136" t="n">
        <v>0.5</v>
      </c>
      <c r="BR158" s="136" t="n">
        <v>0</v>
      </c>
      <c r="BS158" s="136" t="n">
        <v>-0.07</v>
      </c>
      <c r="BT158" s="136" t="n">
        <v>0.005</v>
      </c>
      <c r="BU158" s="136" t="n">
        <v>0.3</v>
      </c>
      <c r="BV158" s="136" t="n">
        <v>0</v>
      </c>
      <c r="BW158" s="136" t="n">
        <v>0</v>
      </c>
      <c r="BX158" s="136" t="n">
        <v>0</v>
      </c>
      <c r="BY158" s="136" t="n">
        <v>-0.008999999</v>
      </c>
      <c r="BZ158" s="136" t="n">
        <v>0.0575</v>
      </c>
      <c r="CA158" s="136" t="n">
        <v>0.15</v>
      </c>
      <c r="CB158" s="136" t="n">
        <v>0.005</v>
      </c>
      <c r="CC158" s="136" t="n">
        <v>-0.008999999</v>
      </c>
      <c r="CD158" s="136" t="n">
        <v>0.0035</v>
      </c>
      <c r="CE158" s="136" t="n">
        <v>0.0025</v>
      </c>
      <c r="CF158" s="136" t="n">
        <v>0.0025</v>
      </c>
      <c r="CG158" s="136" t="n">
        <v>-0.008999999</v>
      </c>
      <c r="CH158" s="136" t="n">
        <v>0.0035</v>
      </c>
      <c r="CI158" s="136" t="n">
        <v>-0.067</v>
      </c>
      <c r="CJ158" s="136" t="n">
        <v>0.0025</v>
      </c>
      <c r="CK158" s="136" t="n">
        <v>0.0775</v>
      </c>
      <c r="CL158" s="136" t="n">
        <v>0.0025</v>
      </c>
      <c r="CM158" s="136" t="n">
        <v>-0.072</v>
      </c>
      <c r="CN158" s="136" t="n">
        <v>0.0075</v>
      </c>
      <c r="CO158" s="136" t="n">
        <v>-0.017</v>
      </c>
      <c r="CP158" s="136" t="n">
        <v>0.005</v>
      </c>
      <c r="CQ158" s="136" t="n">
        <v>0.023</v>
      </c>
      <c r="CR158" s="136" t="n">
        <v>0.0075</v>
      </c>
      <c r="CS158" s="136" t="n">
        <v>0.41</v>
      </c>
      <c r="CT158" s="136" t="n">
        <v>0.035</v>
      </c>
      <c r="CU158" s="136" t="n">
        <v>-0.05</v>
      </c>
      <c r="CV158" s="136" t="n">
        <v>0</v>
      </c>
      <c r="CW158" s="136" t="n">
        <v>0.205</v>
      </c>
      <c r="CX158" s="136" t="n">
        <v>0.0075</v>
      </c>
      <c r="CY158" s="136" t="n">
        <v>-0.63</v>
      </c>
      <c r="CZ158" s="136" t="n">
        <v>0</v>
      </c>
      <c r="DA158" s="136" t="n">
        <v>-0.45</v>
      </c>
      <c r="DB158" s="136" t="n">
        <v>0</v>
      </c>
      <c r="DC158" s="136" t="n">
        <v>1.05</v>
      </c>
      <c r="DE158" s="136" t="n">
        <v>-0.044</v>
      </c>
      <c r="DF158" s="136" t="n">
        <v>0.01</v>
      </c>
      <c r="DG158" s="136" t="n">
        <v>0.0195</v>
      </c>
      <c r="DH158" s="136" t="n">
        <v>0.01</v>
      </c>
      <c r="DI158" s="136" t="n">
        <v>0.0055</v>
      </c>
      <c r="DJ158" s="136" t="n">
        <v>0.0075</v>
      </c>
      <c r="DK158" s="136" t="n">
        <v>-0.0445</v>
      </c>
      <c r="DL158" s="136" t="n">
        <v>0.005</v>
      </c>
      <c r="DM158" s="136" t="n">
        <v>-0.051</v>
      </c>
      <c r="DN158" s="136" t="n">
        <v>0.0025</v>
      </c>
      <c r="DO158" s="136" t="n">
        <v>-0.0735</v>
      </c>
      <c r="DP158" s="136" t="n">
        <v>0.0025</v>
      </c>
      <c r="DQ158" s="136" t="n">
        <v>-0.0745</v>
      </c>
      <c r="DR158" s="136" t="n">
        <v>-0.005</v>
      </c>
      <c r="DS158" s="136" t="n">
        <v>0.35</v>
      </c>
      <c r="DT158" s="136" t="n">
        <v>0.005</v>
      </c>
      <c r="DU158" s="136" t="n">
        <v>0</v>
      </c>
      <c r="DV158" s="136" t="n">
        <v>0</v>
      </c>
    </row>
    <row r="159" customFormat="false" ht="12.75" hidden="false" customHeight="false" outlineLevel="0" collapsed="false">
      <c r="D159" s="135" t="n">
        <v>41487</v>
      </c>
      <c r="F159" s="174" t="n">
        <v>4.0345</v>
      </c>
      <c r="G159" s="175" t="n">
        <v>0.0627416289662541</v>
      </c>
      <c r="H159" s="174" t="n">
        <v>0.17</v>
      </c>
      <c r="I159" s="174" t="n">
        <v>0.55</v>
      </c>
      <c r="J159" s="174" t="n">
        <v>0.55</v>
      </c>
      <c r="K159" s="174" t="n">
        <v>0.5</v>
      </c>
      <c r="L159" s="172" t="n">
        <v>0.6</v>
      </c>
      <c r="M159" s="172" t="n">
        <v>0.55</v>
      </c>
      <c r="N159" s="174" t="n">
        <v>0.6</v>
      </c>
      <c r="O159" s="174" t="n">
        <v>0.55</v>
      </c>
      <c r="P159" s="174" t="n">
        <v>0.6</v>
      </c>
      <c r="Q159" s="174" t="n">
        <v>0.45</v>
      </c>
      <c r="R159" s="175" t="n">
        <v>0.55</v>
      </c>
      <c r="S159" s="175" t="n">
        <v>0.6</v>
      </c>
      <c r="T159" s="174" t="n">
        <v>0.55</v>
      </c>
      <c r="U159" s="174" t="n">
        <v>0.6</v>
      </c>
      <c r="V159" s="174" t="n">
        <v>0.7</v>
      </c>
      <c r="W159" s="174" t="n">
        <v>-0.09</v>
      </c>
      <c r="X159" s="174" t="n">
        <v>0</v>
      </c>
      <c r="Y159" s="174" t="n">
        <v>0.04</v>
      </c>
      <c r="Z159" s="174" t="n">
        <v>0.005</v>
      </c>
      <c r="AA159" s="174" t="n">
        <v>0.175</v>
      </c>
      <c r="AB159" s="174" t="n">
        <v>0</v>
      </c>
      <c r="AC159" s="174" t="n">
        <v>0.14</v>
      </c>
      <c r="AD159" s="174" t="n">
        <v>0</v>
      </c>
      <c r="AE159" s="174" t="n">
        <v>0.175</v>
      </c>
      <c r="AF159" s="174" t="n">
        <v>0</v>
      </c>
      <c r="AG159" s="174" t="n">
        <v>0.14</v>
      </c>
      <c r="AH159" s="174" t="n">
        <v>0</v>
      </c>
      <c r="AI159" s="174" t="n">
        <v>0.14</v>
      </c>
      <c r="AJ159" s="174" t="n">
        <v>0</v>
      </c>
      <c r="AK159" s="174" t="n">
        <v>0.04</v>
      </c>
      <c r="AL159" s="174" t="n">
        <v>0.04</v>
      </c>
      <c r="AM159" s="174" t="n">
        <v>-0.043</v>
      </c>
      <c r="AN159" s="174" t="n">
        <v>0.029</v>
      </c>
      <c r="AO159" s="174" t="n">
        <v>-0.653</v>
      </c>
      <c r="AP159" s="174" t="n">
        <v>0.155</v>
      </c>
      <c r="AQ159" s="174" t="n">
        <v>-0.038</v>
      </c>
      <c r="AR159" s="174" t="n">
        <v>0</v>
      </c>
      <c r="AS159" s="174" t="n">
        <v>-0.15</v>
      </c>
      <c r="AT159" s="174" t="n">
        <v>-0.015</v>
      </c>
      <c r="AU159" s="174" t="n">
        <v>-0.11</v>
      </c>
      <c r="AV159" s="174" t="n">
        <v>0.02</v>
      </c>
      <c r="AW159" s="174" t="n">
        <v>-0.038</v>
      </c>
      <c r="AX159" s="174" t="n">
        <v>0.012</v>
      </c>
      <c r="AY159" s="175" t="n">
        <v>0.125</v>
      </c>
      <c r="AZ159" s="175" t="n">
        <v>0</v>
      </c>
      <c r="BA159" s="175" t="n">
        <v>-0.195</v>
      </c>
      <c r="BB159" s="174" t="n">
        <v>0.0025</v>
      </c>
      <c r="BC159" s="174" t="n">
        <v>-0.07</v>
      </c>
      <c r="BD159" s="174" t="n">
        <v>0.005</v>
      </c>
      <c r="BE159" s="174" t="n">
        <v>0.43</v>
      </c>
      <c r="BF159" s="174" t="n">
        <v>0</v>
      </c>
      <c r="BG159" s="174" t="n">
        <v>-0.06</v>
      </c>
      <c r="BH159" s="174" t="n">
        <v>0</v>
      </c>
      <c r="BI159" s="174" t="n">
        <v>0</v>
      </c>
      <c r="BJ159" s="136" t="n">
        <v>0.03</v>
      </c>
      <c r="BK159" s="136" t="n">
        <v>0.43</v>
      </c>
      <c r="BL159" s="136" t="n">
        <v>0</v>
      </c>
      <c r="BM159" s="136" t="n">
        <v>-0.05</v>
      </c>
      <c r="BN159" s="136" t="n">
        <v>0</v>
      </c>
      <c r="BO159" s="136" t="n">
        <v>-0.37</v>
      </c>
      <c r="BP159" s="136" t="n">
        <v>0</v>
      </c>
      <c r="BQ159" s="136" t="n">
        <v>0.5</v>
      </c>
      <c r="BR159" s="136" t="n">
        <v>0</v>
      </c>
      <c r="BS159" s="136" t="n">
        <v>-0.07</v>
      </c>
      <c r="BT159" s="136" t="n">
        <v>0.005</v>
      </c>
      <c r="BU159" s="136" t="n">
        <v>0.3</v>
      </c>
      <c r="BV159" s="136" t="n">
        <v>0</v>
      </c>
      <c r="BW159" s="136" t="n">
        <v>0</v>
      </c>
      <c r="BX159" s="136" t="n">
        <v>0</v>
      </c>
      <c r="BY159" s="136" t="n">
        <v>-0.008999999</v>
      </c>
      <c r="BZ159" s="136" t="n">
        <v>0.0575</v>
      </c>
      <c r="CA159" s="136" t="n">
        <v>0.15</v>
      </c>
      <c r="CB159" s="136" t="n">
        <v>0.005</v>
      </c>
      <c r="CC159" s="136" t="n">
        <v>-0.008999999</v>
      </c>
      <c r="CD159" s="136" t="n">
        <v>0.0035</v>
      </c>
      <c r="CE159" s="136" t="n">
        <v>0.0025</v>
      </c>
      <c r="CF159" s="136" t="n">
        <v>0.0025</v>
      </c>
      <c r="CG159" s="136" t="n">
        <v>-0.008999999</v>
      </c>
      <c r="CH159" s="136" t="n">
        <v>0.0035</v>
      </c>
      <c r="CI159" s="136" t="n">
        <v>-0.0645</v>
      </c>
      <c r="CJ159" s="136" t="n">
        <v>0.0025</v>
      </c>
      <c r="CK159" s="136" t="n">
        <v>0.0775</v>
      </c>
      <c r="CL159" s="136" t="n">
        <v>0.0025</v>
      </c>
      <c r="CM159" s="136" t="n">
        <v>-0.072</v>
      </c>
      <c r="CN159" s="136" t="n">
        <v>0.0075</v>
      </c>
      <c r="CO159" s="136" t="n">
        <v>-0.017</v>
      </c>
      <c r="CP159" s="136" t="n">
        <v>0.005</v>
      </c>
      <c r="CQ159" s="136" t="n">
        <v>0.023</v>
      </c>
      <c r="CR159" s="136" t="n">
        <v>0.0075</v>
      </c>
      <c r="CS159" s="136" t="n">
        <v>0.41</v>
      </c>
      <c r="CT159" s="136" t="n">
        <v>0.01</v>
      </c>
      <c r="CU159" s="136" t="n">
        <v>-0.05</v>
      </c>
      <c r="CV159" s="136" t="n">
        <v>0</v>
      </c>
      <c r="CW159" s="136" t="n">
        <v>0.205</v>
      </c>
      <c r="CX159" s="136" t="n">
        <v>0.0075</v>
      </c>
      <c r="CY159" s="136" t="n">
        <v>-0.63</v>
      </c>
      <c r="CZ159" s="136" t="n">
        <v>0</v>
      </c>
      <c r="DA159" s="136" t="n">
        <v>-0.45</v>
      </c>
      <c r="DB159" s="136" t="n">
        <v>0</v>
      </c>
      <c r="DC159" s="136" t="n">
        <v>1.05</v>
      </c>
      <c r="DE159" s="136" t="n">
        <v>-0.044</v>
      </c>
      <c r="DF159" s="136" t="n">
        <v>0.01</v>
      </c>
      <c r="DG159" s="136" t="n">
        <v>0.0145</v>
      </c>
      <c r="DH159" s="136" t="n">
        <v>0.01</v>
      </c>
      <c r="DI159" s="136" t="n">
        <v>0.000500000000000006</v>
      </c>
      <c r="DJ159" s="136" t="n">
        <v>0.0075</v>
      </c>
      <c r="DK159" s="136" t="n">
        <v>-0.0395</v>
      </c>
      <c r="DL159" s="136" t="n">
        <v>0.005</v>
      </c>
      <c r="DM159" s="136" t="n">
        <v>-0.051</v>
      </c>
      <c r="DN159" s="136" t="n">
        <v>0.0025</v>
      </c>
      <c r="DO159" s="136" t="n">
        <v>-0.0735</v>
      </c>
      <c r="DP159" s="136" t="n">
        <v>0.0025</v>
      </c>
      <c r="DQ159" s="136" t="n">
        <v>-0.0695</v>
      </c>
      <c r="DR159" s="136" t="n">
        <v>-0.005</v>
      </c>
      <c r="DS159" s="136" t="n">
        <v>0.35</v>
      </c>
      <c r="DT159" s="136" t="n">
        <v>-0.005</v>
      </c>
      <c r="DU159" s="136" t="n">
        <v>0</v>
      </c>
      <c r="DV159" s="136" t="n">
        <v>0</v>
      </c>
    </row>
    <row r="160" customFormat="false" ht="12.75" hidden="false" customHeight="false" outlineLevel="0" collapsed="false">
      <c r="D160" s="135" t="n">
        <v>41518</v>
      </c>
      <c r="F160" s="174" t="n">
        <v>4.0295</v>
      </c>
      <c r="G160" s="175" t="n">
        <v>0.0627821730606333</v>
      </c>
      <c r="H160" s="174" t="n">
        <v>0.17</v>
      </c>
      <c r="I160" s="174" t="n">
        <v>0.55</v>
      </c>
      <c r="J160" s="174" t="n">
        <v>0.55</v>
      </c>
      <c r="K160" s="174" t="n">
        <v>0.55</v>
      </c>
      <c r="L160" s="172" t="n">
        <v>0.55</v>
      </c>
      <c r="M160" s="172" t="n">
        <v>0.55</v>
      </c>
      <c r="N160" s="174" t="n">
        <v>0.6</v>
      </c>
      <c r="O160" s="174" t="n">
        <v>0.6</v>
      </c>
      <c r="P160" s="174" t="n">
        <v>0.55</v>
      </c>
      <c r="Q160" s="174" t="n">
        <v>0.5</v>
      </c>
      <c r="R160" s="175" t="n">
        <v>0.55</v>
      </c>
      <c r="S160" s="175" t="n">
        <v>0.6</v>
      </c>
      <c r="T160" s="174" t="n">
        <v>0.55</v>
      </c>
      <c r="U160" s="174" t="n">
        <v>0.6</v>
      </c>
      <c r="V160" s="174" t="n">
        <v>0.65</v>
      </c>
      <c r="W160" s="174" t="n">
        <v>-0.09</v>
      </c>
      <c r="X160" s="174" t="n">
        <v>0</v>
      </c>
      <c r="Y160" s="174" t="n">
        <v>0.04</v>
      </c>
      <c r="Z160" s="174" t="n">
        <v>0.005</v>
      </c>
      <c r="AA160" s="174" t="n">
        <v>0.175</v>
      </c>
      <c r="AB160" s="174" t="n">
        <v>0</v>
      </c>
      <c r="AC160" s="174" t="n">
        <v>0.14</v>
      </c>
      <c r="AD160" s="174" t="n">
        <v>0</v>
      </c>
      <c r="AE160" s="174" t="n">
        <v>0.175</v>
      </c>
      <c r="AF160" s="174" t="n">
        <v>0</v>
      </c>
      <c r="AG160" s="174" t="n">
        <v>0.14</v>
      </c>
      <c r="AH160" s="174" t="n">
        <v>0</v>
      </c>
      <c r="AI160" s="174" t="n">
        <v>0.14</v>
      </c>
      <c r="AJ160" s="174" t="n">
        <v>0</v>
      </c>
      <c r="AK160" s="174" t="n">
        <v>0.04</v>
      </c>
      <c r="AL160" s="174" t="n">
        <v>0.04</v>
      </c>
      <c r="AM160" s="174" t="n">
        <v>-0.043</v>
      </c>
      <c r="AN160" s="174" t="n">
        <v>0.029</v>
      </c>
      <c r="AO160" s="174" t="n">
        <v>-0.653</v>
      </c>
      <c r="AP160" s="174" t="n">
        <v>0.155</v>
      </c>
      <c r="AQ160" s="174" t="n">
        <v>-0.038</v>
      </c>
      <c r="AR160" s="174" t="n">
        <v>0</v>
      </c>
      <c r="AS160" s="174" t="n">
        <v>-0.15</v>
      </c>
      <c r="AT160" s="174" t="n">
        <v>-0.015</v>
      </c>
      <c r="AU160" s="174" t="n">
        <v>-0.11</v>
      </c>
      <c r="AV160" s="174" t="n">
        <v>0.02</v>
      </c>
      <c r="AW160" s="174" t="n">
        <v>-0.038</v>
      </c>
      <c r="AX160" s="174" t="n">
        <v>0.012</v>
      </c>
      <c r="AY160" s="175" t="n">
        <v>0.125</v>
      </c>
      <c r="AZ160" s="175" t="n">
        <v>0</v>
      </c>
      <c r="BA160" s="175" t="n">
        <v>-0.195</v>
      </c>
      <c r="BB160" s="174" t="n">
        <v>0.0025</v>
      </c>
      <c r="BC160" s="174" t="n">
        <v>-0.07</v>
      </c>
      <c r="BD160" s="174" t="n">
        <v>0.005</v>
      </c>
      <c r="BE160" s="174" t="n">
        <v>0.43</v>
      </c>
      <c r="BF160" s="174" t="n">
        <v>0</v>
      </c>
      <c r="BG160" s="174" t="n">
        <v>-0.06</v>
      </c>
      <c r="BH160" s="174" t="n">
        <v>0</v>
      </c>
      <c r="BI160" s="174" t="n">
        <v>0</v>
      </c>
      <c r="BJ160" s="136" t="n">
        <v>0.03</v>
      </c>
      <c r="BK160" s="136" t="n">
        <v>0.43</v>
      </c>
      <c r="BL160" s="136" t="n">
        <v>0</v>
      </c>
      <c r="BM160" s="136" t="n">
        <v>-0.05</v>
      </c>
      <c r="BN160" s="136" t="n">
        <v>0</v>
      </c>
      <c r="BO160" s="136" t="n">
        <v>-0.37</v>
      </c>
      <c r="BP160" s="136" t="n">
        <v>0</v>
      </c>
      <c r="BQ160" s="136" t="n">
        <v>0.5</v>
      </c>
      <c r="BR160" s="136" t="n">
        <v>0</v>
      </c>
      <c r="BS160" s="136" t="n">
        <v>-0.07</v>
      </c>
      <c r="BT160" s="136" t="n">
        <v>0.005</v>
      </c>
      <c r="BU160" s="136" t="n">
        <v>0.3</v>
      </c>
      <c r="BV160" s="136" t="n">
        <v>0</v>
      </c>
      <c r="BW160" s="136" t="n">
        <v>0</v>
      </c>
      <c r="BX160" s="136" t="n">
        <v>0</v>
      </c>
      <c r="BY160" s="136" t="n">
        <v>-0.008999999</v>
      </c>
      <c r="BZ160" s="136" t="n">
        <v>0.0575</v>
      </c>
      <c r="CA160" s="136" t="n">
        <v>0.125</v>
      </c>
      <c r="CB160" s="136" t="n">
        <v>0.005</v>
      </c>
      <c r="CC160" s="136" t="n">
        <v>-0.008999999</v>
      </c>
      <c r="CD160" s="136" t="n">
        <v>0.0035</v>
      </c>
      <c r="CE160" s="136" t="n">
        <v>0.0025</v>
      </c>
      <c r="CF160" s="136" t="n">
        <v>0.0025</v>
      </c>
      <c r="CG160" s="136" t="n">
        <v>-0.008999999</v>
      </c>
      <c r="CH160" s="136" t="n">
        <v>0.0035</v>
      </c>
      <c r="CI160" s="136" t="n">
        <v>-0.0695</v>
      </c>
      <c r="CJ160" s="136" t="n">
        <v>0.0025</v>
      </c>
      <c r="CK160" s="136" t="n">
        <v>0.0775</v>
      </c>
      <c r="CL160" s="136" t="n">
        <v>0.0025</v>
      </c>
      <c r="CM160" s="136" t="n">
        <v>-0.072</v>
      </c>
      <c r="CN160" s="136" t="n">
        <v>0.0075</v>
      </c>
      <c r="CO160" s="136" t="n">
        <v>-0.017</v>
      </c>
      <c r="CP160" s="136" t="n">
        <v>0.005</v>
      </c>
      <c r="CQ160" s="136" t="n">
        <v>0.023</v>
      </c>
      <c r="CR160" s="136" t="n">
        <v>0.0075</v>
      </c>
      <c r="CS160" s="136" t="n">
        <v>0.36</v>
      </c>
      <c r="CT160" s="136" t="n">
        <v>0.01</v>
      </c>
      <c r="CU160" s="136" t="n">
        <v>-0.05</v>
      </c>
      <c r="CV160" s="136" t="n">
        <v>0</v>
      </c>
      <c r="CW160" s="136" t="n">
        <v>0.145</v>
      </c>
      <c r="CX160" s="136" t="n">
        <v>0.0075</v>
      </c>
      <c r="CY160" s="136" t="n">
        <v>-0.63</v>
      </c>
      <c r="CZ160" s="136" t="n">
        <v>0</v>
      </c>
      <c r="DA160" s="136" t="n">
        <v>-0.45</v>
      </c>
      <c r="DB160" s="136" t="n">
        <v>0</v>
      </c>
      <c r="DC160" s="136" t="n">
        <v>0.75</v>
      </c>
      <c r="DE160" s="136" t="n">
        <v>-0.049</v>
      </c>
      <c r="DF160" s="136" t="n">
        <v>0.01</v>
      </c>
      <c r="DG160" s="136" t="n">
        <v>0.0145</v>
      </c>
      <c r="DH160" s="136" t="n">
        <v>0.01</v>
      </c>
      <c r="DI160" s="136" t="n">
        <v>0.000500000000000006</v>
      </c>
      <c r="DJ160" s="136" t="n">
        <v>0.0075</v>
      </c>
      <c r="DK160" s="136" t="n">
        <v>-0.0495</v>
      </c>
      <c r="DL160" s="136" t="n">
        <v>0.005</v>
      </c>
      <c r="DM160" s="136" t="n">
        <v>-0.051</v>
      </c>
      <c r="DN160" s="136" t="n">
        <v>0.0025</v>
      </c>
      <c r="DO160" s="136" t="n">
        <v>-0.0735</v>
      </c>
      <c r="DP160" s="136" t="n">
        <v>0.0025</v>
      </c>
      <c r="DQ160" s="136" t="n">
        <v>-0.0795</v>
      </c>
      <c r="DR160" s="136" t="n">
        <v>-0.005</v>
      </c>
      <c r="DS160" s="136" t="n">
        <v>0.315</v>
      </c>
      <c r="DT160" s="136" t="n">
        <v>-0.005</v>
      </c>
      <c r="DU160" s="136" t="n">
        <v>0</v>
      </c>
      <c r="DV160" s="136" t="n">
        <v>0</v>
      </c>
    </row>
    <row r="161" customFormat="false" ht="12.75" hidden="false" customHeight="false" outlineLevel="0" collapsed="false">
      <c r="D161" s="135" t="n">
        <v>41548</v>
      </c>
      <c r="F161" s="174" t="n">
        <v>4.0545</v>
      </c>
      <c r="G161" s="175" t="n">
        <v>0.0628214092815202</v>
      </c>
      <c r="H161" s="174" t="n">
        <v>0.17</v>
      </c>
      <c r="I161" s="174" t="n">
        <v>0.6</v>
      </c>
      <c r="J161" s="174" t="n">
        <v>0.6</v>
      </c>
      <c r="K161" s="174" t="n">
        <v>0.55</v>
      </c>
      <c r="L161" s="172" t="n">
        <v>0.6</v>
      </c>
      <c r="M161" s="172" t="n">
        <v>0.6</v>
      </c>
      <c r="N161" s="174" t="n">
        <v>0.65</v>
      </c>
      <c r="O161" s="174" t="n">
        <v>0.65</v>
      </c>
      <c r="P161" s="174" t="n">
        <v>0.6</v>
      </c>
      <c r="Q161" s="174" t="n">
        <v>0.5</v>
      </c>
      <c r="R161" s="175" t="n">
        <v>0.6</v>
      </c>
      <c r="S161" s="175" t="n">
        <v>0.65</v>
      </c>
      <c r="T161" s="174" t="n">
        <v>0.6</v>
      </c>
      <c r="U161" s="174" t="n">
        <v>0.65</v>
      </c>
      <c r="V161" s="174" t="n">
        <v>0.7</v>
      </c>
      <c r="W161" s="174" t="n">
        <v>-0.09</v>
      </c>
      <c r="X161" s="174" t="n">
        <v>0</v>
      </c>
      <c r="Y161" s="174" t="n">
        <v>0.04</v>
      </c>
      <c r="Z161" s="174" t="n">
        <v>0.005</v>
      </c>
      <c r="AA161" s="174" t="n">
        <v>0.175</v>
      </c>
      <c r="AB161" s="174" t="n">
        <v>0</v>
      </c>
      <c r="AC161" s="174" t="n">
        <v>0.14</v>
      </c>
      <c r="AD161" s="174" t="n">
        <v>0</v>
      </c>
      <c r="AE161" s="174" t="n">
        <v>0.175</v>
      </c>
      <c r="AF161" s="174" t="n">
        <v>0</v>
      </c>
      <c r="AG161" s="174" t="n">
        <v>0.14</v>
      </c>
      <c r="AH161" s="174" t="n">
        <v>0</v>
      </c>
      <c r="AI161" s="174" t="n">
        <v>0.14</v>
      </c>
      <c r="AJ161" s="174" t="n">
        <v>0</v>
      </c>
      <c r="AK161" s="174" t="n">
        <v>0.04</v>
      </c>
      <c r="AL161" s="174" t="n">
        <v>0.04</v>
      </c>
      <c r="AM161" s="174" t="n">
        <v>-0.043</v>
      </c>
      <c r="AN161" s="174" t="n">
        <v>0.029</v>
      </c>
      <c r="AO161" s="174" t="n">
        <v>-0.653</v>
      </c>
      <c r="AP161" s="174" t="n">
        <v>0.155</v>
      </c>
      <c r="AQ161" s="174" t="n">
        <v>-0.038</v>
      </c>
      <c r="AR161" s="174" t="n">
        <v>0</v>
      </c>
      <c r="AS161" s="174" t="n">
        <v>-0.15</v>
      </c>
      <c r="AT161" s="174" t="n">
        <v>-0.015</v>
      </c>
      <c r="AU161" s="174" t="n">
        <v>-0.11</v>
      </c>
      <c r="AV161" s="174" t="n">
        <v>0.02</v>
      </c>
      <c r="AW161" s="174" t="n">
        <v>-0.038</v>
      </c>
      <c r="AX161" s="174" t="n">
        <v>0.012</v>
      </c>
      <c r="AY161" s="175" t="n">
        <v>0.125</v>
      </c>
      <c r="AZ161" s="175" t="n">
        <v>0</v>
      </c>
      <c r="BA161" s="175" t="n">
        <v>-0.195</v>
      </c>
      <c r="BB161" s="174" t="n">
        <v>0.0025</v>
      </c>
      <c r="BC161" s="174" t="n">
        <v>-0.07</v>
      </c>
      <c r="BD161" s="174" t="n">
        <v>0.005</v>
      </c>
      <c r="BE161" s="174" t="n">
        <v>0.43</v>
      </c>
      <c r="BF161" s="174" t="n">
        <v>0</v>
      </c>
      <c r="BG161" s="174" t="n">
        <v>-0.06</v>
      </c>
      <c r="BH161" s="174" t="n">
        <v>0</v>
      </c>
      <c r="BI161" s="174" t="n">
        <v>0</v>
      </c>
      <c r="BJ161" s="136" t="n">
        <v>0.03</v>
      </c>
      <c r="BK161" s="136" t="n">
        <v>0.43</v>
      </c>
      <c r="BL161" s="136" t="n">
        <v>0</v>
      </c>
      <c r="BM161" s="136" t="n">
        <v>-0.05</v>
      </c>
      <c r="BN161" s="136" t="n">
        <v>0</v>
      </c>
      <c r="BO161" s="136" t="n">
        <v>-0.37</v>
      </c>
      <c r="BP161" s="136" t="n">
        <v>0</v>
      </c>
      <c r="BQ161" s="136" t="n">
        <v>0.5</v>
      </c>
      <c r="BR161" s="136" t="n">
        <v>0</v>
      </c>
      <c r="BS161" s="136" t="n">
        <v>-0.07</v>
      </c>
      <c r="BT161" s="136" t="n">
        <v>0.005</v>
      </c>
      <c r="BU161" s="136" t="n">
        <v>0.3</v>
      </c>
      <c r="BV161" s="136" t="n">
        <v>0</v>
      </c>
      <c r="BW161" s="136" t="n">
        <v>0</v>
      </c>
      <c r="BX161" s="136" t="n">
        <v>0</v>
      </c>
      <c r="BY161" s="136" t="n">
        <v>-0.008999999</v>
      </c>
      <c r="BZ161" s="136" t="n">
        <v>0.0575</v>
      </c>
      <c r="CA161" s="136" t="n">
        <v>0.145</v>
      </c>
      <c r="CB161" s="136" t="n">
        <v>0.005</v>
      </c>
      <c r="CC161" s="136" t="n">
        <v>-0.008999999</v>
      </c>
      <c r="CD161" s="136" t="n">
        <v>0.0035</v>
      </c>
      <c r="CE161" s="136" t="n">
        <v>0.0025</v>
      </c>
      <c r="CF161" s="136" t="n">
        <v>0.0025</v>
      </c>
      <c r="CG161" s="136" t="n">
        <v>-0.008999999</v>
      </c>
      <c r="CH161" s="136" t="n">
        <v>0.0035</v>
      </c>
      <c r="CI161" s="136" t="n">
        <v>-0.072</v>
      </c>
      <c r="CJ161" s="136" t="n">
        <v>0.0025</v>
      </c>
      <c r="CK161" s="136" t="n">
        <v>0.0775</v>
      </c>
      <c r="CL161" s="136" t="n">
        <v>0.0025</v>
      </c>
      <c r="CM161" s="136" t="n">
        <v>-0.072</v>
      </c>
      <c r="CN161" s="136" t="n">
        <v>0.0075</v>
      </c>
      <c r="CO161" s="136" t="n">
        <v>-0.017</v>
      </c>
      <c r="CP161" s="136" t="n">
        <v>0.005</v>
      </c>
      <c r="CQ161" s="136" t="n">
        <v>0.023</v>
      </c>
      <c r="CR161" s="136" t="n">
        <v>0.0075</v>
      </c>
      <c r="CS161" s="136" t="n">
        <v>0.4</v>
      </c>
      <c r="CT161" s="136" t="n">
        <v>0.01</v>
      </c>
      <c r="CU161" s="136" t="n">
        <v>-0.05</v>
      </c>
      <c r="CV161" s="136" t="n">
        <v>0</v>
      </c>
      <c r="CW161" s="136" t="n">
        <v>0.175</v>
      </c>
      <c r="CX161" s="136" t="n">
        <v>0.0075</v>
      </c>
      <c r="CY161" s="136" t="n">
        <v>-0.63</v>
      </c>
      <c r="CZ161" s="136" t="n">
        <v>0</v>
      </c>
      <c r="DA161" s="136" t="n">
        <v>-0.45</v>
      </c>
      <c r="DB161" s="136" t="n">
        <v>0</v>
      </c>
      <c r="DC161" s="136" t="n">
        <v>0.45</v>
      </c>
      <c r="DE161" s="136" t="n">
        <v>-0.049</v>
      </c>
      <c r="DF161" s="136" t="n">
        <v>0.01</v>
      </c>
      <c r="DG161" s="136" t="n">
        <v>0.012</v>
      </c>
      <c r="DH161" s="136" t="n">
        <v>0.01</v>
      </c>
      <c r="DI161" s="136" t="n">
        <v>-0.003</v>
      </c>
      <c r="DJ161" s="136" t="n">
        <v>0.0075</v>
      </c>
      <c r="DK161" s="136" t="n">
        <v>-0.037</v>
      </c>
      <c r="DL161" s="136" t="n">
        <v>0.005</v>
      </c>
      <c r="DM161" s="136" t="n">
        <v>-0.051</v>
      </c>
      <c r="DN161" s="136" t="n">
        <v>0.0025</v>
      </c>
      <c r="DO161" s="136" t="n">
        <v>-0.0735</v>
      </c>
      <c r="DP161" s="136" t="n">
        <v>0.0025</v>
      </c>
      <c r="DQ161" s="136" t="n">
        <v>-0.067</v>
      </c>
      <c r="DR161" s="136" t="n">
        <v>-0.005</v>
      </c>
      <c r="DS161" s="136" t="n">
        <v>0.36</v>
      </c>
      <c r="DT161" s="136" t="n">
        <v>-0.005</v>
      </c>
      <c r="DU161" s="136" t="n">
        <v>0</v>
      </c>
      <c r="DV161" s="136" t="n">
        <v>0</v>
      </c>
    </row>
    <row r="162" customFormat="false" ht="12.75" hidden="false" customHeight="false" outlineLevel="0" collapsed="false">
      <c r="D162" s="135" t="n">
        <v>41579</v>
      </c>
      <c r="F162" s="174" t="n">
        <v>4.2065</v>
      </c>
      <c r="G162" s="175" t="n">
        <v>0.0628619533769728</v>
      </c>
      <c r="H162" s="174" t="n">
        <v>0.17</v>
      </c>
      <c r="I162" s="174" t="n">
        <v>0.8</v>
      </c>
      <c r="J162" s="174" t="n">
        <v>0.85</v>
      </c>
      <c r="K162" s="174" t="n">
        <v>0.8</v>
      </c>
      <c r="L162" s="172" t="n">
        <v>0.8</v>
      </c>
      <c r="M162" s="172" t="n">
        <v>0.9</v>
      </c>
      <c r="N162" s="174" t="n">
        <v>0.95</v>
      </c>
      <c r="O162" s="174" t="n">
        <v>0.85</v>
      </c>
      <c r="P162" s="174" t="n">
        <v>0.8</v>
      </c>
      <c r="Q162" s="174" t="n">
        <v>0.95</v>
      </c>
      <c r="R162" s="175" t="n">
        <v>0.8</v>
      </c>
      <c r="S162" s="175" t="n">
        <v>0.8</v>
      </c>
      <c r="T162" s="174" t="n">
        <v>0.8</v>
      </c>
      <c r="U162" s="174" t="n">
        <v>0.95</v>
      </c>
      <c r="V162" s="174" t="n">
        <v>0.9</v>
      </c>
      <c r="W162" s="174" t="n">
        <v>0</v>
      </c>
      <c r="X162" s="174" t="n">
        <v>0.03</v>
      </c>
      <c r="Y162" s="174" t="n">
        <v>0.13</v>
      </c>
      <c r="Z162" s="174" t="n">
        <v>0.02</v>
      </c>
      <c r="AA162" s="174" t="n">
        <v>0.29</v>
      </c>
      <c r="AB162" s="174" t="n">
        <v>0</v>
      </c>
      <c r="AC162" s="174" t="n">
        <v>0.325</v>
      </c>
      <c r="AD162" s="174" t="n">
        <v>0</v>
      </c>
      <c r="AE162" s="174" t="n">
        <v>0.29</v>
      </c>
      <c r="AF162" s="174" t="n">
        <v>0</v>
      </c>
      <c r="AG162" s="174" t="n">
        <v>0.17</v>
      </c>
      <c r="AH162" s="174" t="n">
        <v>0</v>
      </c>
      <c r="AI162" s="174" t="n">
        <v>0.1604</v>
      </c>
      <c r="AJ162" s="174" t="n">
        <v>0</v>
      </c>
      <c r="AK162" s="174" t="n">
        <v>0.13</v>
      </c>
      <c r="AL162" s="174" t="n">
        <v>0.035</v>
      </c>
      <c r="AM162" s="174" t="n">
        <v>-0.0575</v>
      </c>
      <c r="AN162" s="174" t="n">
        <v>0.024</v>
      </c>
      <c r="AO162" s="174" t="n">
        <v>-0.593</v>
      </c>
      <c r="AP162" s="174" t="n">
        <v>0.155</v>
      </c>
      <c r="AQ162" s="174" t="n">
        <v>-0.0375</v>
      </c>
      <c r="AR162" s="174" t="n">
        <v>0.005</v>
      </c>
      <c r="AS162" s="174" t="n">
        <v>-0.15</v>
      </c>
      <c r="AT162" s="174" t="n">
        <v>-0.005</v>
      </c>
      <c r="AU162" s="174" t="n">
        <v>-0.11</v>
      </c>
      <c r="AV162" s="174" t="n">
        <v>-0.01</v>
      </c>
      <c r="AW162" s="174" t="n">
        <v>-0.0375</v>
      </c>
      <c r="AX162" s="174" t="n">
        <v>0.022</v>
      </c>
      <c r="AY162" s="175" t="n">
        <v>0.155</v>
      </c>
      <c r="AZ162" s="175" t="n">
        <v>0</v>
      </c>
      <c r="BA162" s="175" t="n">
        <v>-0.13</v>
      </c>
      <c r="BB162" s="174" t="n">
        <v>0.005</v>
      </c>
      <c r="BC162" s="174" t="n">
        <v>-0.07</v>
      </c>
      <c r="BD162" s="174" t="n">
        <v>0.005</v>
      </c>
      <c r="BE162" s="174" t="n">
        <v>0.35</v>
      </c>
      <c r="BF162" s="174" t="n">
        <v>0</v>
      </c>
      <c r="BG162" s="174" t="n">
        <v>-0.06</v>
      </c>
      <c r="BH162" s="174" t="n">
        <v>0</v>
      </c>
      <c r="BI162" s="174" t="n">
        <v>0</v>
      </c>
      <c r="BJ162" s="136" t="n">
        <v>0.03</v>
      </c>
      <c r="BK162" s="136" t="n">
        <v>0.35</v>
      </c>
      <c r="BL162" s="136" t="n">
        <v>0</v>
      </c>
      <c r="BM162" s="136" t="n">
        <v>0.298</v>
      </c>
      <c r="BN162" s="136" t="n">
        <v>0</v>
      </c>
      <c r="BO162" s="136" t="n">
        <v>-0.26</v>
      </c>
      <c r="BP162" s="136" t="n">
        <v>0</v>
      </c>
      <c r="BQ162" s="136" t="n">
        <v>0.5</v>
      </c>
      <c r="BR162" s="136" t="n">
        <v>0</v>
      </c>
      <c r="BS162" s="136" t="n">
        <v>-0.07</v>
      </c>
      <c r="BT162" s="136" t="n">
        <v>0.005</v>
      </c>
      <c r="BU162" s="136" t="n">
        <v>0.3</v>
      </c>
      <c r="BV162" s="136" t="n">
        <v>0</v>
      </c>
      <c r="BW162" s="136" t="n">
        <v>0</v>
      </c>
      <c r="BX162" s="136" t="n">
        <v>0</v>
      </c>
      <c r="BY162" s="136" t="n">
        <v>-0.008999999</v>
      </c>
      <c r="BZ162" s="136" t="n">
        <v>0.0575</v>
      </c>
      <c r="CA162" s="136" t="n">
        <v>0.195</v>
      </c>
      <c r="CB162" s="136" t="n">
        <v>0.005</v>
      </c>
      <c r="CC162" s="136" t="n">
        <v>-0.008999999</v>
      </c>
      <c r="CD162" s="136" t="n">
        <v>0.0037</v>
      </c>
      <c r="CE162" s="136" t="n">
        <v>0.0025</v>
      </c>
      <c r="CF162" s="136" t="n">
        <v>0.0025</v>
      </c>
      <c r="CG162" s="136" t="n">
        <v>-0.008999999</v>
      </c>
      <c r="CH162" s="136" t="n">
        <v>0.0037</v>
      </c>
      <c r="CI162" s="136" t="n">
        <v>-0.077</v>
      </c>
      <c r="CJ162" s="136" t="n">
        <v>0.0025</v>
      </c>
      <c r="CK162" s="136" t="n">
        <v>0.075</v>
      </c>
      <c r="CL162" s="136" t="n">
        <v>0.0025</v>
      </c>
      <c r="CM162" s="136" t="n">
        <v>-0.064</v>
      </c>
      <c r="CN162" s="136" t="n">
        <v>0.01</v>
      </c>
      <c r="CO162" s="136" t="n">
        <v>-0.008999999</v>
      </c>
      <c r="CP162" s="136" t="n">
        <v>0.0075</v>
      </c>
      <c r="CQ162" s="136" t="n">
        <v>0.031</v>
      </c>
      <c r="CR162" s="136" t="n">
        <v>0.0125</v>
      </c>
      <c r="CS162" s="136" t="n">
        <v>0.65</v>
      </c>
      <c r="CT162" s="136" t="n">
        <v>0.055</v>
      </c>
      <c r="CU162" s="136" t="n">
        <v>0.298</v>
      </c>
      <c r="CV162" s="136" t="n">
        <v>0</v>
      </c>
      <c r="CW162" s="136" t="n">
        <v>0.21</v>
      </c>
      <c r="CX162" s="136" t="n">
        <v>0.02</v>
      </c>
      <c r="CY162" s="136" t="n">
        <v>-0.52</v>
      </c>
      <c r="CZ162" s="136" t="n">
        <v>0</v>
      </c>
      <c r="DA162" s="136" t="n">
        <v>-0.34</v>
      </c>
      <c r="DB162" s="136" t="n">
        <v>0</v>
      </c>
      <c r="DC162" s="136" t="n">
        <v>0.45</v>
      </c>
      <c r="DE162" s="136" t="n">
        <v>-0.0375</v>
      </c>
      <c r="DF162" s="136" t="n">
        <v>0.0125</v>
      </c>
      <c r="DG162" s="136" t="n">
        <v>0.013</v>
      </c>
      <c r="DH162" s="136" t="n">
        <v>0.0075</v>
      </c>
      <c r="DI162" s="136" t="n">
        <v>0</v>
      </c>
      <c r="DJ162" s="136" t="n">
        <v>0.0025</v>
      </c>
      <c r="DK162" s="136" t="n">
        <v>-0.042</v>
      </c>
      <c r="DL162" s="136" t="n">
        <v>0.0025</v>
      </c>
      <c r="DM162" s="136" t="n">
        <v>-0.0535</v>
      </c>
      <c r="DN162" s="136" t="n">
        <v>0.0025</v>
      </c>
      <c r="DO162" s="136" t="n">
        <v>-0.076</v>
      </c>
      <c r="DP162" s="136" t="n">
        <v>0.0025</v>
      </c>
      <c r="DQ162" s="136" t="n">
        <v>-0.072</v>
      </c>
      <c r="DR162" s="136" t="n">
        <v>-0.005</v>
      </c>
      <c r="DS162" s="136" t="n">
        <v>0.46</v>
      </c>
      <c r="DT162" s="136" t="n">
        <v>0.05</v>
      </c>
      <c r="DU162" s="136" t="n">
        <v>0</v>
      </c>
      <c r="DV162" s="136" t="n">
        <v>0</v>
      </c>
    </row>
    <row r="163" customFormat="false" ht="12.75" hidden="false" customHeight="false" outlineLevel="0" collapsed="false">
      <c r="D163" s="135" t="n">
        <v>41609</v>
      </c>
      <c r="F163" s="174" t="n">
        <v>4.3495</v>
      </c>
      <c r="G163" s="175" t="n">
        <v>0.0629011895988976</v>
      </c>
      <c r="H163" s="174" t="n">
        <v>0.17</v>
      </c>
      <c r="I163" s="174" t="n">
        <v>1</v>
      </c>
      <c r="J163" s="174" t="n">
        <v>1.05</v>
      </c>
      <c r="K163" s="174" t="n">
        <v>1</v>
      </c>
      <c r="L163" s="172" t="n">
        <v>1</v>
      </c>
      <c r="M163" s="172" t="n">
        <v>1.15</v>
      </c>
      <c r="N163" s="174" t="n">
        <v>1.25</v>
      </c>
      <c r="O163" s="174" t="n">
        <v>1.05</v>
      </c>
      <c r="P163" s="174" t="n">
        <v>1</v>
      </c>
      <c r="Q163" s="174" t="n">
        <v>1.35</v>
      </c>
      <c r="R163" s="175" t="n">
        <v>1</v>
      </c>
      <c r="S163" s="175" t="n">
        <v>1.1</v>
      </c>
      <c r="T163" s="174" t="n">
        <v>1</v>
      </c>
      <c r="U163" s="174" t="n">
        <v>1.25</v>
      </c>
      <c r="V163" s="174" t="n">
        <v>1.1</v>
      </c>
      <c r="W163" s="174" t="n">
        <v>0.005</v>
      </c>
      <c r="X163" s="174" t="n">
        <v>0.03</v>
      </c>
      <c r="Y163" s="174" t="n">
        <v>0.13</v>
      </c>
      <c r="Z163" s="174" t="n">
        <v>0.02</v>
      </c>
      <c r="AA163" s="174" t="n">
        <v>0.29</v>
      </c>
      <c r="AB163" s="174" t="n">
        <v>0</v>
      </c>
      <c r="AC163" s="174" t="n">
        <v>0.325</v>
      </c>
      <c r="AD163" s="174" t="n">
        <v>0</v>
      </c>
      <c r="AE163" s="174" t="n">
        <v>0.29</v>
      </c>
      <c r="AF163" s="174" t="n">
        <v>0</v>
      </c>
      <c r="AG163" s="174" t="n">
        <v>0.17</v>
      </c>
      <c r="AH163" s="174" t="n">
        <v>0</v>
      </c>
      <c r="AI163" s="174" t="n">
        <v>0.16552</v>
      </c>
      <c r="AJ163" s="174" t="n">
        <v>0</v>
      </c>
      <c r="AK163" s="174" t="n">
        <v>0.13</v>
      </c>
      <c r="AL163" s="174" t="n">
        <v>0.035</v>
      </c>
      <c r="AM163" s="174" t="n">
        <v>-0.0575</v>
      </c>
      <c r="AN163" s="174" t="n">
        <v>0.024</v>
      </c>
      <c r="AO163" s="174" t="n">
        <v>-0.593</v>
      </c>
      <c r="AP163" s="174" t="n">
        <v>0.155</v>
      </c>
      <c r="AQ163" s="174" t="n">
        <v>-0.0375</v>
      </c>
      <c r="AR163" s="174" t="n">
        <v>0.005</v>
      </c>
      <c r="AS163" s="174" t="n">
        <v>-0.1525</v>
      </c>
      <c r="AT163" s="174" t="n">
        <v>-0.005</v>
      </c>
      <c r="AU163" s="174" t="n">
        <v>-0.1125</v>
      </c>
      <c r="AV163" s="174" t="n">
        <v>-0.01</v>
      </c>
      <c r="AW163" s="174" t="n">
        <v>-0.0375</v>
      </c>
      <c r="AX163" s="174" t="n">
        <v>0.022</v>
      </c>
      <c r="AY163" s="175" t="n">
        <v>0.155</v>
      </c>
      <c r="AZ163" s="175" t="n">
        <v>0</v>
      </c>
      <c r="BA163" s="175" t="n">
        <v>-0.13</v>
      </c>
      <c r="BB163" s="174" t="n">
        <v>0.005</v>
      </c>
      <c r="BC163" s="174" t="n">
        <v>-0.07</v>
      </c>
      <c r="BD163" s="174" t="n">
        <v>0.005</v>
      </c>
      <c r="BE163" s="174" t="n">
        <v>0.35</v>
      </c>
      <c r="BF163" s="174" t="n">
        <v>0</v>
      </c>
      <c r="BG163" s="174" t="n">
        <v>-0.06</v>
      </c>
      <c r="BH163" s="174" t="n">
        <v>0</v>
      </c>
      <c r="BI163" s="174" t="n">
        <v>0</v>
      </c>
      <c r="BJ163" s="136" t="n">
        <v>0.03</v>
      </c>
      <c r="BK163" s="136" t="n">
        <v>0.35</v>
      </c>
      <c r="BL163" s="136" t="n">
        <v>0</v>
      </c>
      <c r="BM163" s="136" t="n">
        <v>0.358</v>
      </c>
      <c r="BN163" s="136" t="n">
        <v>0</v>
      </c>
      <c r="BO163" s="136" t="n">
        <v>-0.26</v>
      </c>
      <c r="BP163" s="136" t="n">
        <v>0</v>
      </c>
      <c r="BQ163" s="136" t="n">
        <v>0.5</v>
      </c>
      <c r="BR163" s="136" t="n">
        <v>0</v>
      </c>
      <c r="BS163" s="136" t="n">
        <v>-0.07</v>
      </c>
      <c r="BT163" s="136" t="n">
        <v>0.005</v>
      </c>
      <c r="BU163" s="136" t="n">
        <v>0.3</v>
      </c>
      <c r="BV163" s="136" t="n">
        <v>0</v>
      </c>
      <c r="BW163" s="136" t="n">
        <v>0</v>
      </c>
      <c r="BX163" s="136" t="n">
        <v>0</v>
      </c>
      <c r="BY163" s="136" t="n">
        <v>-0.008999999</v>
      </c>
      <c r="BZ163" s="136" t="n">
        <v>0.0575</v>
      </c>
      <c r="CA163" s="136" t="n">
        <v>0.215</v>
      </c>
      <c r="CB163" s="136" t="n">
        <v>0.005</v>
      </c>
      <c r="CC163" s="136" t="n">
        <v>-0.008999999</v>
      </c>
      <c r="CD163" s="136" t="n">
        <v>0.0037</v>
      </c>
      <c r="CE163" s="136" t="n">
        <v>0.0025</v>
      </c>
      <c r="CF163" s="136" t="n">
        <v>0.0025</v>
      </c>
      <c r="CG163" s="136" t="n">
        <v>-0.008999999</v>
      </c>
      <c r="CH163" s="136" t="n">
        <v>0.0037</v>
      </c>
      <c r="CI163" s="136" t="n">
        <v>-0.1045</v>
      </c>
      <c r="CJ163" s="136" t="n">
        <v>0.0025</v>
      </c>
      <c r="CK163" s="136" t="n">
        <v>0.075</v>
      </c>
      <c r="CL163" s="136" t="n">
        <v>0.0025</v>
      </c>
      <c r="CM163" s="136" t="n">
        <v>-0.064</v>
      </c>
      <c r="CN163" s="136" t="n">
        <v>0.01</v>
      </c>
      <c r="CO163" s="136" t="n">
        <v>-0.008999999</v>
      </c>
      <c r="CP163" s="136" t="n">
        <v>0.0075</v>
      </c>
      <c r="CQ163" s="136" t="n">
        <v>0.031</v>
      </c>
      <c r="CR163" s="136" t="n">
        <v>0.0125</v>
      </c>
      <c r="CS163" s="136" t="n">
        <v>0.98</v>
      </c>
      <c r="CT163" s="136" t="n">
        <v>0.25</v>
      </c>
      <c r="CU163" s="136" t="n">
        <v>0.358</v>
      </c>
      <c r="CV163" s="136" t="n">
        <v>0</v>
      </c>
      <c r="CW163" s="136" t="n">
        <v>0.29</v>
      </c>
      <c r="CX163" s="136" t="n">
        <v>0.02</v>
      </c>
      <c r="CY163" s="136" t="n">
        <v>-0.52</v>
      </c>
      <c r="CZ163" s="136" t="n">
        <v>0</v>
      </c>
      <c r="DA163" s="136" t="n">
        <v>-0.34</v>
      </c>
      <c r="DB163" s="136" t="n">
        <v>0</v>
      </c>
      <c r="DC163" s="136" t="n">
        <v>0.4</v>
      </c>
      <c r="DE163" s="136" t="n">
        <v>-0.0375</v>
      </c>
      <c r="DF163" s="136" t="n">
        <v>0.0125</v>
      </c>
      <c r="DG163" s="136" t="n">
        <v>0.013</v>
      </c>
      <c r="DH163" s="136" t="n">
        <v>0.0075</v>
      </c>
      <c r="DI163" s="136" t="n">
        <v>0</v>
      </c>
      <c r="DJ163" s="136" t="n">
        <v>0.0025</v>
      </c>
      <c r="DK163" s="136" t="n">
        <v>-0.0695</v>
      </c>
      <c r="DL163" s="136" t="n">
        <v>0.0025</v>
      </c>
      <c r="DM163" s="136" t="n">
        <v>-0.0515</v>
      </c>
      <c r="DN163" s="136" t="n">
        <v>0.0025</v>
      </c>
      <c r="DO163" s="136" t="n">
        <v>-0.074</v>
      </c>
      <c r="DP163" s="136" t="n">
        <v>0.0025</v>
      </c>
      <c r="DQ163" s="136" t="n">
        <v>-0.0995</v>
      </c>
      <c r="DR163" s="136" t="n">
        <v>-0.005</v>
      </c>
      <c r="DS163" s="136" t="n">
        <v>0.77</v>
      </c>
      <c r="DT163" s="136" t="n">
        <v>0.05</v>
      </c>
      <c r="DU163" s="136" t="n">
        <v>0</v>
      </c>
      <c r="DV163" s="136" t="n">
        <v>0</v>
      </c>
    </row>
    <row r="164" customFormat="false" ht="12.75" hidden="false" customHeight="false" outlineLevel="0" collapsed="false">
      <c r="D164" s="135" t="n">
        <v>41640</v>
      </c>
      <c r="F164" s="174" t="n">
        <v>4.4095</v>
      </c>
      <c r="G164" s="175" t="n">
        <v>0.0629417336954234</v>
      </c>
      <c r="H164" s="174" t="n">
        <v>0.17</v>
      </c>
      <c r="I164" s="174" t="n">
        <v>1</v>
      </c>
      <c r="J164" s="174" t="n">
        <v>1.05</v>
      </c>
      <c r="K164" s="174" t="n">
        <v>1</v>
      </c>
      <c r="L164" s="172" t="n">
        <v>1</v>
      </c>
      <c r="M164" s="172" t="n">
        <v>1.15</v>
      </c>
      <c r="N164" s="174" t="n">
        <v>1.45</v>
      </c>
      <c r="O164" s="174" t="n">
        <v>1.05</v>
      </c>
      <c r="P164" s="174" t="n">
        <v>1</v>
      </c>
      <c r="Q164" s="174" t="n">
        <v>1.35</v>
      </c>
      <c r="R164" s="175" t="n">
        <v>1</v>
      </c>
      <c r="S164" s="175" t="n">
        <v>1.1</v>
      </c>
      <c r="T164" s="174" t="n">
        <v>1</v>
      </c>
      <c r="U164" s="174" t="n">
        <v>1.45</v>
      </c>
      <c r="V164" s="174" t="n">
        <v>1.1</v>
      </c>
      <c r="W164" s="174" t="n">
        <v>0.025</v>
      </c>
      <c r="X164" s="174" t="n">
        <v>0.03</v>
      </c>
      <c r="Y164" s="174" t="n">
        <v>0.13</v>
      </c>
      <c r="Z164" s="174" t="n">
        <v>0.02</v>
      </c>
      <c r="AA164" s="174" t="n">
        <v>0.29</v>
      </c>
      <c r="AB164" s="174" t="n">
        <v>0</v>
      </c>
      <c r="AC164" s="174" t="n">
        <v>0.325</v>
      </c>
      <c r="AD164" s="174" t="n">
        <v>0</v>
      </c>
      <c r="AE164" s="174" t="n">
        <v>0.29</v>
      </c>
      <c r="AF164" s="174" t="n">
        <v>0</v>
      </c>
      <c r="AG164" s="174" t="n">
        <v>0.17</v>
      </c>
      <c r="AH164" s="174" t="n">
        <v>0</v>
      </c>
      <c r="AI164" s="174" t="n">
        <v>0.16752</v>
      </c>
      <c r="AJ164" s="174" t="n">
        <v>0</v>
      </c>
      <c r="AK164" s="174" t="n">
        <v>0.13</v>
      </c>
      <c r="AL164" s="174" t="n">
        <v>0.035</v>
      </c>
      <c r="AM164" s="174" t="n">
        <v>-0.0575</v>
      </c>
      <c r="AN164" s="174" t="n">
        <v>0.024</v>
      </c>
      <c r="AO164" s="174" t="n">
        <v>-0.593</v>
      </c>
      <c r="AP164" s="174" t="n">
        <v>0.155</v>
      </c>
      <c r="AQ164" s="174" t="n">
        <v>-0.0375</v>
      </c>
      <c r="AR164" s="174" t="n">
        <v>0.005</v>
      </c>
      <c r="AS164" s="174" t="n">
        <v>-0.155</v>
      </c>
      <c r="AT164" s="174" t="n">
        <v>-0.005</v>
      </c>
      <c r="AU164" s="174" t="n">
        <v>-0.115</v>
      </c>
      <c r="AV164" s="174" t="n">
        <v>-0.01</v>
      </c>
      <c r="AW164" s="174" t="n">
        <v>-0.0375</v>
      </c>
      <c r="AX164" s="174" t="n">
        <v>0.022</v>
      </c>
      <c r="AY164" s="175" t="n">
        <v>0.155</v>
      </c>
      <c r="AZ164" s="175" t="n">
        <v>0</v>
      </c>
      <c r="BA164" s="175" t="n">
        <v>-0.13</v>
      </c>
      <c r="BB164" s="174" t="n">
        <v>0.005</v>
      </c>
      <c r="BC164" s="174" t="n">
        <v>-0.07</v>
      </c>
      <c r="BD164" s="174" t="n">
        <v>0.005</v>
      </c>
      <c r="BE164" s="174" t="n">
        <v>0.35</v>
      </c>
      <c r="BF164" s="174" t="n">
        <v>0</v>
      </c>
      <c r="BG164" s="174" t="n">
        <v>-0.06</v>
      </c>
      <c r="BH164" s="174" t="n">
        <v>0</v>
      </c>
      <c r="BI164" s="174" t="n">
        <v>0</v>
      </c>
      <c r="BJ164" s="136" t="n">
        <v>0.03</v>
      </c>
      <c r="BK164" s="136" t="n">
        <v>0.35</v>
      </c>
      <c r="BL164" s="136" t="n">
        <v>0</v>
      </c>
      <c r="BM164" s="136" t="n">
        <v>0.428</v>
      </c>
      <c r="BN164" s="136" t="n">
        <v>0</v>
      </c>
      <c r="BO164" s="136" t="n">
        <v>-0.26</v>
      </c>
      <c r="BP164" s="136" t="n">
        <v>0</v>
      </c>
      <c r="BQ164" s="136" t="n">
        <v>0.5</v>
      </c>
      <c r="BR164" s="136" t="n">
        <v>0</v>
      </c>
      <c r="BS164" s="136" t="n">
        <v>-0.07</v>
      </c>
      <c r="BT164" s="136" t="n">
        <v>0.005</v>
      </c>
      <c r="BU164" s="136" t="n">
        <v>0.3</v>
      </c>
      <c r="BV164" s="136" t="n">
        <v>0</v>
      </c>
      <c r="BW164" s="136" t="n">
        <v>0</v>
      </c>
      <c r="BX164" s="136" t="n">
        <v>0</v>
      </c>
      <c r="BY164" s="136" t="n">
        <v>-0.006999999</v>
      </c>
      <c r="BZ164" s="136" t="n">
        <v>0.0575</v>
      </c>
      <c r="CA164" s="136" t="n">
        <v>0.235</v>
      </c>
      <c r="CB164" s="136" t="n">
        <v>0.005</v>
      </c>
      <c r="CC164" s="136" t="n">
        <v>-0.006999999</v>
      </c>
      <c r="CD164" s="136" t="n">
        <v>0.0037</v>
      </c>
      <c r="CE164" s="136" t="n">
        <v>0.0025</v>
      </c>
      <c r="CF164" s="136" t="n">
        <v>0.0025</v>
      </c>
      <c r="CG164" s="136" t="n">
        <v>-0.006999999</v>
      </c>
      <c r="CH164" s="136" t="n">
        <v>0.0037</v>
      </c>
      <c r="CI164" s="136" t="n">
        <v>-0.1025</v>
      </c>
      <c r="CJ164" s="136" t="n">
        <v>0.0025</v>
      </c>
      <c r="CK164" s="136" t="n">
        <v>0.075</v>
      </c>
      <c r="CL164" s="136" t="n">
        <v>0.0025</v>
      </c>
      <c r="CM164" s="136" t="n">
        <v>-0.064</v>
      </c>
      <c r="CN164" s="136" t="n">
        <v>0.01</v>
      </c>
      <c r="CO164" s="136" t="n">
        <v>-0.008999999</v>
      </c>
      <c r="CP164" s="136" t="n">
        <v>0.0075</v>
      </c>
      <c r="CQ164" s="136" t="n">
        <v>0.031</v>
      </c>
      <c r="CR164" s="136" t="n">
        <v>0.0125</v>
      </c>
      <c r="CS164" s="136" t="n">
        <v>1.6</v>
      </c>
      <c r="CT164" s="136" t="n">
        <v>0.45</v>
      </c>
      <c r="CU164" s="136" t="n">
        <v>0.428</v>
      </c>
      <c r="CV164" s="136" t="n">
        <v>0</v>
      </c>
      <c r="CW164" s="136" t="n">
        <v>0.34</v>
      </c>
      <c r="CX164" s="136" t="n">
        <v>0.02</v>
      </c>
      <c r="CY164" s="136" t="n">
        <v>-0.52</v>
      </c>
      <c r="CZ164" s="136" t="n">
        <v>0</v>
      </c>
      <c r="DA164" s="136" t="n">
        <v>-0.34</v>
      </c>
      <c r="DB164" s="136" t="n">
        <v>0</v>
      </c>
      <c r="DC164" s="136" t="n">
        <v>0.35</v>
      </c>
      <c r="DE164" s="136" t="n">
        <v>-0.0375</v>
      </c>
      <c r="DF164" s="136" t="n">
        <v>0.0125</v>
      </c>
      <c r="DG164" s="136" t="n">
        <v>0.013</v>
      </c>
      <c r="DH164" s="136" t="n">
        <v>0.0075</v>
      </c>
      <c r="DI164" s="136" t="n">
        <v>0</v>
      </c>
      <c r="DJ164" s="136" t="n">
        <v>0.0025</v>
      </c>
      <c r="DK164" s="136" t="n">
        <v>-0.0845</v>
      </c>
      <c r="DL164" s="136" t="n">
        <v>0.0025</v>
      </c>
      <c r="DM164" s="136" t="n">
        <v>-0.0515</v>
      </c>
      <c r="DN164" s="136" t="n">
        <v>0.0025</v>
      </c>
      <c r="DO164" s="136" t="n">
        <v>-0.074</v>
      </c>
      <c r="DP164" s="136" t="n">
        <v>0.0025</v>
      </c>
      <c r="DQ164" s="136" t="n">
        <v>-0.1145</v>
      </c>
      <c r="DR164" s="136" t="n">
        <v>-0.005</v>
      </c>
      <c r="DS164" s="136" t="n">
        <v>1.04</v>
      </c>
      <c r="DT164" s="136" t="n">
        <v>0.05</v>
      </c>
      <c r="DU164" s="136" t="n">
        <v>0</v>
      </c>
      <c r="DV164" s="136" t="n">
        <v>0</v>
      </c>
    </row>
    <row r="165" customFormat="false" ht="12.75" hidden="false" customHeight="false" outlineLevel="0" collapsed="false">
      <c r="D165" s="135" t="n">
        <v>41671</v>
      </c>
      <c r="F165" s="174" t="n">
        <v>4.3245</v>
      </c>
      <c r="G165" s="175" t="n">
        <v>0.0629822777924947</v>
      </c>
      <c r="H165" s="174" t="n">
        <v>0.17</v>
      </c>
      <c r="I165" s="174" t="n">
        <v>1</v>
      </c>
      <c r="J165" s="174" t="n">
        <v>1.05</v>
      </c>
      <c r="K165" s="174" t="n">
        <v>1</v>
      </c>
      <c r="L165" s="172" t="n">
        <v>1</v>
      </c>
      <c r="M165" s="172" t="n">
        <v>1.15</v>
      </c>
      <c r="N165" s="174" t="n">
        <v>1.45</v>
      </c>
      <c r="O165" s="174" t="n">
        <v>1.05</v>
      </c>
      <c r="P165" s="174" t="n">
        <v>1</v>
      </c>
      <c r="Q165" s="174" t="n">
        <v>1.35</v>
      </c>
      <c r="R165" s="175" t="n">
        <v>1</v>
      </c>
      <c r="S165" s="175" t="n">
        <v>1.1</v>
      </c>
      <c r="T165" s="174" t="n">
        <v>1</v>
      </c>
      <c r="U165" s="174" t="n">
        <v>1.45</v>
      </c>
      <c r="V165" s="174" t="n">
        <v>1.1</v>
      </c>
      <c r="W165" s="174" t="n">
        <v>0.02</v>
      </c>
      <c r="X165" s="174" t="n">
        <v>0.03</v>
      </c>
      <c r="Y165" s="174" t="n">
        <v>0.13</v>
      </c>
      <c r="Z165" s="174" t="n">
        <v>0.02</v>
      </c>
      <c r="AA165" s="174" t="n">
        <v>0.29</v>
      </c>
      <c r="AB165" s="174" t="n">
        <v>0</v>
      </c>
      <c r="AC165" s="174" t="n">
        <v>0.325</v>
      </c>
      <c r="AD165" s="174" t="n">
        <v>0</v>
      </c>
      <c r="AE165" s="174" t="n">
        <v>0.29</v>
      </c>
      <c r="AF165" s="174" t="n">
        <v>0</v>
      </c>
      <c r="AG165" s="174" t="n">
        <v>0.17</v>
      </c>
      <c r="AH165" s="174" t="n">
        <v>0</v>
      </c>
      <c r="AI165" s="174" t="n">
        <v>0.16496</v>
      </c>
      <c r="AJ165" s="174" t="n">
        <v>0</v>
      </c>
      <c r="AK165" s="174" t="n">
        <v>0.13</v>
      </c>
      <c r="AL165" s="174" t="n">
        <v>0.035</v>
      </c>
      <c r="AM165" s="174" t="n">
        <v>-0.0575</v>
      </c>
      <c r="AN165" s="174" t="n">
        <v>0.024</v>
      </c>
      <c r="AO165" s="174" t="n">
        <v>-0.593</v>
      </c>
      <c r="AP165" s="174" t="n">
        <v>0.155</v>
      </c>
      <c r="AQ165" s="174" t="n">
        <v>-0.0375</v>
      </c>
      <c r="AR165" s="174" t="n">
        <v>0.005</v>
      </c>
      <c r="AS165" s="174" t="n">
        <v>-0.1475</v>
      </c>
      <c r="AT165" s="174" t="n">
        <v>-0.005</v>
      </c>
      <c r="AU165" s="174" t="n">
        <v>-0.1075</v>
      </c>
      <c r="AV165" s="174" t="n">
        <v>-0.01</v>
      </c>
      <c r="AW165" s="174" t="n">
        <v>-0.0375</v>
      </c>
      <c r="AX165" s="174" t="n">
        <v>0.022</v>
      </c>
      <c r="AY165" s="175" t="n">
        <v>0.155</v>
      </c>
      <c r="AZ165" s="175" t="n">
        <v>0</v>
      </c>
      <c r="BA165" s="175" t="n">
        <v>-0.13</v>
      </c>
      <c r="BB165" s="174" t="n">
        <v>0.005</v>
      </c>
      <c r="BC165" s="174" t="n">
        <v>-0.07</v>
      </c>
      <c r="BD165" s="174" t="n">
        <v>0.005</v>
      </c>
      <c r="BE165" s="174" t="n">
        <v>0.35</v>
      </c>
      <c r="BF165" s="174" t="n">
        <v>0</v>
      </c>
      <c r="BG165" s="174" t="n">
        <v>-0.06</v>
      </c>
      <c r="BH165" s="174" t="n">
        <v>0</v>
      </c>
      <c r="BI165" s="174" t="n">
        <v>0</v>
      </c>
      <c r="BJ165" s="136" t="n">
        <v>0.03</v>
      </c>
      <c r="BK165" s="136" t="n">
        <v>0.35</v>
      </c>
      <c r="BL165" s="136" t="n">
        <v>0</v>
      </c>
      <c r="BM165" s="136" t="n">
        <v>0.298</v>
      </c>
      <c r="BN165" s="136" t="n">
        <v>0</v>
      </c>
      <c r="BO165" s="136" t="n">
        <v>-0.26</v>
      </c>
      <c r="BP165" s="136" t="n">
        <v>0</v>
      </c>
      <c r="BQ165" s="136" t="n">
        <v>0.5</v>
      </c>
      <c r="BR165" s="136" t="n">
        <v>0</v>
      </c>
      <c r="BS165" s="136" t="n">
        <v>-0.07</v>
      </c>
      <c r="BT165" s="136" t="n">
        <v>0.005</v>
      </c>
      <c r="BU165" s="136" t="n">
        <v>0.3</v>
      </c>
      <c r="BV165" s="136" t="n">
        <v>0</v>
      </c>
      <c r="BW165" s="136" t="n">
        <v>0</v>
      </c>
      <c r="BX165" s="136" t="n">
        <v>0</v>
      </c>
      <c r="BY165" s="136" t="n">
        <v>-0.006999999</v>
      </c>
      <c r="BZ165" s="136" t="n">
        <v>0.0575</v>
      </c>
      <c r="CA165" s="136" t="n">
        <v>0.235</v>
      </c>
      <c r="CB165" s="136" t="n">
        <v>0.005</v>
      </c>
      <c r="CC165" s="136" t="n">
        <v>-0.006999999</v>
      </c>
      <c r="CD165" s="136" t="n">
        <v>0.0037</v>
      </c>
      <c r="CE165" s="136" t="n">
        <v>0.0025</v>
      </c>
      <c r="CF165" s="136" t="n">
        <v>0.0025</v>
      </c>
      <c r="CG165" s="136" t="n">
        <v>-0.006999999</v>
      </c>
      <c r="CH165" s="136" t="n">
        <v>0.0037</v>
      </c>
      <c r="CI165" s="136" t="n">
        <v>-0.1025</v>
      </c>
      <c r="CJ165" s="136" t="n">
        <v>0.0025</v>
      </c>
      <c r="CK165" s="136" t="n">
        <v>0.075</v>
      </c>
      <c r="CL165" s="136" t="n">
        <v>0.0025</v>
      </c>
      <c r="CM165" s="136" t="n">
        <v>-0.064</v>
      </c>
      <c r="CN165" s="136" t="n">
        <v>0.01</v>
      </c>
      <c r="CO165" s="136" t="n">
        <v>-0.008999999</v>
      </c>
      <c r="CP165" s="136" t="n">
        <v>0.0075</v>
      </c>
      <c r="CQ165" s="136" t="n">
        <v>0.031</v>
      </c>
      <c r="CR165" s="136" t="n">
        <v>0.0125</v>
      </c>
      <c r="CS165" s="136" t="n">
        <v>1.6</v>
      </c>
      <c r="CT165" s="136" t="n">
        <v>0.45</v>
      </c>
      <c r="CU165" s="136" t="n">
        <v>0.298</v>
      </c>
      <c r="CV165" s="136" t="n">
        <v>0</v>
      </c>
      <c r="CW165" s="136" t="n">
        <v>0.34</v>
      </c>
      <c r="CX165" s="136" t="n">
        <v>0.02</v>
      </c>
      <c r="CY165" s="136" t="n">
        <v>-0.52</v>
      </c>
      <c r="CZ165" s="136" t="n">
        <v>0</v>
      </c>
      <c r="DA165" s="136" t="n">
        <v>-0.34</v>
      </c>
      <c r="DB165" s="136" t="n">
        <v>0</v>
      </c>
      <c r="DC165" s="136" t="n">
        <v>0.35</v>
      </c>
      <c r="DE165" s="136" t="n">
        <v>-0.0375</v>
      </c>
      <c r="DF165" s="136" t="n">
        <v>0.0125</v>
      </c>
      <c r="DG165" s="136" t="n">
        <v>0.013</v>
      </c>
      <c r="DH165" s="136" t="n">
        <v>0.0075</v>
      </c>
      <c r="DI165" s="136" t="n">
        <v>0</v>
      </c>
      <c r="DJ165" s="136" t="n">
        <v>0.0025</v>
      </c>
      <c r="DK165" s="136" t="n">
        <v>-0.0745</v>
      </c>
      <c r="DL165" s="136" t="n">
        <v>0.0025</v>
      </c>
      <c r="DM165" s="136" t="n">
        <v>-0.0515</v>
      </c>
      <c r="DN165" s="136" t="n">
        <v>0.0025</v>
      </c>
      <c r="DO165" s="136" t="n">
        <v>-0.074</v>
      </c>
      <c r="DP165" s="136" t="n">
        <v>0.0025</v>
      </c>
      <c r="DQ165" s="136" t="n">
        <v>-0.1045</v>
      </c>
      <c r="DR165" s="136" t="n">
        <v>-0.005</v>
      </c>
      <c r="DS165" s="136" t="n">
        <v>1.04</v>
      </c>
      <c r="DT165" s="136" t="n">
        <v>0.05</v>
      </c>
      <c r="DU165" s="136" t="n">
        <v>0</v>
      </c>
      <c r="DV165" s="136" t="n">
        <v>0</v>
      </c>
    </row>
    <row r="166" customFormat="false" ht="12.75" hidden="false" customHeight="false" outlineLevel="0" collapsed="false">
      <c r="D166" s="135" t="n">
        <v>41699</v>
      </c>
      <c r="F166" s="174" t="n">
        <v>4.1945</v>
      </c>
      <c r="G166" s="175" t="n">
        <v>0.0630188982677375</v>
      </c>
      <c r="H166" s="174" t="n">
        <v>0.17</v>
      </c>
      <c r="I166" s="174" t="n">
        <v>0.75</v>
      </c>
      <c r="J166" s="174" t="n">
        <v>0.8</v>
      </c>
      <c r="K166" s="174" t="n">
        <v>0.75</v>
      </c>
      <c r="L166" s="172" t="n">
        <v>0.75</v>
      </c>
      <c r="M166" s="172" t="n">
        <v>0.85</v>
      </c>
      <c r="N166" s="174" t="n">
        <v>1</v>
      </c>
      <c r="O166" s="174" t="n">
        <v>0.75</v>
      </c>
      <c r="P166" s="174" t="n">
        <v>0.75</v>
      </c>
      <c r="Q166" s="174" t="n">
        <v>0.95</v>
      </c>
      <c r="R166" s="175" t="n">
        <v>0.75</v>
      </c>
      <c r="S166" s="175" t="n">
        <v>0.75</v>
      </c>
      <c r="T166" s="174" t="n">
        <v>0.75</v>
      </c>
      <c r="U166" s="174" t="n">
        <v>1</v>
      </c>
      <c r="V166" s="174" t="n">
        <v>0.85</v>
      </c>
      <c r="W166" s="174" t="n">
        <v>0</v>
      </c>
      <c r="X166" s="174" t="n">
        <v>0.03</v>
      </c>
      <c r="Y166" s="174" t="n">
        <v>0.13</v>
      </c>
      <c r="Z166" s="174" t="n">
        <v>0.02</v>
      </c>
      <c r="AA166" s="174" t="n">
        <v>0.29</v>
      </c>
      <c r="AB166" s="174" t="n">
        <v>0</v>
      </c>
      <c r="AC166" s="174" t="n">
        <v>0.325</v>
      </c>
      <c r="AD166" s="174" t="n">
        <v>0</v>
      </c>
      <c r="AE166" s="174" t="n">
        <v>0.29</v>
      </c>
      <c r="AF166" s="174" t="n">
        <v>0</v>
      </c>
      <c r="AG166" s="174" t="n">
        <v>0.17</v>
      </c>
      <c r="AH166" s="174" t="n">
        <v>0</v>
      </c>
      <c r="AI166" s="174" t="n">
        <v>0.1608</v>
      </c>
      <c r="AJ166" s="174" t="n">
        <v>0</v>
      </c>
      <c r="AK166" s="174" t="n">
        <v>0.13</v>
      </c>
      <c r="AL166" s="174" t="n">
        <v>0.035</v>
      </c>
      <c r="AM166" s="174" t="n">
        <v>-0.0575</v>
      </c>
      <c r="AN166" s="174" t="n">
        <v>0.024</v>
      </c>
      <c r="AO166" s="174" t="n">
        <v>-0.593</v>
      </c>
      <c r="AP166" s="174" t="n">
        <v>0.155</v>
      </c>
      <c r="AQ166" s="174" t="n">
        <v>-0.0375</v>
      </c>
      <c r="AR166" s="174" t="n">
        <v>0.005</v>
      </c>
      <c r="AS166" s="174" t="n">
        <v>-0.145</v>
      </c>
      <c r="AT166" s="174" t="n">
        <v>-0.005</v>
      </c>
      <c r="AU166" s="174" t="n">
        <v>-0.105</v>
      </c>
      <c r="AV166" s="174" t="n">
        <v>-0.01</v>
      </c>
      <c r="AW166" s="174" t="n">
        <v>-0.0375</v>
      </c>
      <c r="AX166" s="174" t="n">
        <v>0.022</v>
      </c>
      <c r="AY166" s="175" t="n">
        <v>0.155</v>
      </c>
      <c r="AZ166" s="175" t="n">
        <v>0</v>
      </c>
      <c r="BA166" s="175" t="n">
        <v>-0.13</v>
      </c>
      <c r="BB166" s="174" t="n">
        <v>0.005</v>
      </c>
      <c r="BC166" s="174" t="n">
        <v>-0.07</v>
      </c>
      <c r="BD166" s="174" t="n">
        <v>0.005</v>
      </c>
      <c r="BE166" s="174" t="n">
        <v>0.35</v>
      </c>
      <c r="BF166" s="174" t="n">
        <v>0</v>
      </c>
      <c r="BG166" s="174" t="n">
        <v>-0.06</v>
      </c>
      <c r="BH166" s="174" t="n">
        <v>0</v>
      </c>
      <c r="BI166" s="174" t="n">
        <v>0</v>
      </c>
      <c r="BJ166" s="136" t="n">
        <v>0.03</v>
      </c>
      <c r="BK166" s="136" t="n">
        <v>0.35</v>
      </c>
      <c r="BL166" s="136" t="n">
        <v>0</v>
      </c>
      <c r="BM166" s="136" t="n">
        <v>0.118</v>
      </c>
      <c r="BN166" s="136" t="n">
        <v>0</v>
      </c>
      <c r="BO166" s="136" t="n">
        <v>-0.26</v>
      </c>
      <c r="BP166" s="136" t="n">
        <v>0</v>
      </c>
      <c r="BQ166" s="136" t="n">
        <v>0.5</v>
      </c>
      <c r="BR166" s="136" t="n">
        <v>0</v>
      </c>
      <c r="BS166" s="136" t="n">
        <v>-0.07</v>
      </c>
      <c r="BT166" s="136" t="n">
        <v>0.005</v>
      </c>
      <c r="BU166" s="136" t="n">
        <v>0.3</v>
      </c>
      <c r="BV166" s="136" t="n">
        <v>0</v>
      </c>
      <c r="BW166" s="136" t="n">
        <v>0</v>
      </c>
      <c r="BX166" s="136" t="n">
        <v>0</v>
      </c>
      <c r="BY166" s="136" t="n">
        <v>-0.006999999</v>
      </c>
      <c r="BZ166" s="136" t="n">
        <v>0.0575</v>
      </c>
      <c r="CA166" s="136" t="n">
        <v>0.195</v>
      </c>
      <c r="CB166" s="136" t="n">
        <v>0.005</v>
      </c>
      <c r="CC166" s="136" t="n">
        <v>-0.006999999</v>
      </c>
      <c r="CD166" s="136" t="n">
        <v>0.0037</v>
      </c>
      <c r="CE166" s="136" t="n">
        <v>0.0025</v>
      </c>
      <c r="CF166" s="136" t="n">
        <v>0.0025</v>
      </c>
      <c r="CG166" s="136" t="n">
        <v>-0.006999999</v>
      </c>
      <c r="CH166" s="136" t="n">
        <v>0.0037</v>
      </c>
      <c r="CI166" s="136" t="n">
        <v>-0.1025</v>
      </c>
      <c r="CJ166" s="136" t="n">
        <v>0.0025</v>
      </c>
      <c r="CK166" s="136" t="n">
        <v>0.075</v>
      </c>
      <c r="CL166" s="136" t="n">
        <v>0.0025</v>
      </c>
      <c r="CM166" s="136" t="n">
        <v>-0.064</v>
      </c>
      <c r="CN166" s="136" t="n">
        <v>0.01</v>
      </c>
      <c r="CO166" s="136" t="n">
        <v>-0.008999999</v>
      </c>
      <c r="CP166" s="136" t="n">
        <v>0.0075</v>
      </c>
      <c r="CQ166" s="136" t="n">
        <v>0.031</v>
      </c>
      <c r="CR166" s="136" t="n">
        <v>0.0125</v>
      </c>
      <c r="CS166" s="136" t="n">
        <v>0.64</v>
      </c>
      <c r="CT166" s="136" t="n">
        <v>0.1</v>
      </c>
      <c r="CU166" s="136" t="n">
        <v>0.118</v>
      </c>
      <c r="CV166" s="136" t="n">
        <v>0</v>
      </c>
      <c r="CW166" s="136" t="n">
        <v>0.29</v>
      </c>
      <c r="CX166" s="136" t="n">
        <v>0.02</v>
      </c>
      <c r="CY166" s="136" t="n">
        <v>-0.52</v>
      </c>
      <c r="CZ166" s="136" t="n">
        <v>0</v>
      </c>
      <c r="DA166" s="136" t="n">
        <v>-0.34</v>
      </c>
      <c r="DB166" s="136" t="n">
        <v>0</v>
      </c>
      <c r="DC166" s="136" t="n">
        <v>0.4</v>
      </c>
      <c r="DE166" s="136" t="n">
        <v>-0.0375</v>
      </c>
      <c r="DF166" s="136" t="n">
        <v>0.0125</v>
      </c>
      <c r="DG166" s="136" t="n">
        <v>0.018</v>
      </c>
      <c r="DH166" s="136" t="n">
        <v>0.0075</v>
      </c>
      <c r="DI166" s="136" t="n">
        <v>0.003</v>
      </c>
      <c r="DJ166" s="136" t="n">
        <v>0.0025</v>
      </c>
      <c r="DK166" s="136" t="n">
        <v>-0.0645</v>
      </c>
      <c r="DL166" s="136" t="n">
        <v>0.0025</v>
      </c>
      <c r="DM166" s="136" t="n">
        <v>-0.0515</v>
      </c>
      <c r="DN166" s="136" t="n">
        <v>0.0025</v>
      </c>
      <c r="DO166" s="136" t="n">
        <v>-0.074</v>
      </c>
      <c r="DP166" s="136" t="n">
        <v>0.0025</v>
      </c>
      <c r="DQ166" s="136" t="n">
        <v>-0.0945</v>
      </c>
      <c r="DR166" s="136" t="n">
        <v>-0.005</v>
      </c>
      <c r="DS166" s="136" t="n">
        <v>0.54</v>
      </c>
      <c r="DT166" s="136" t="n">
        <v>0.05</v>
      </c>
      <c r="DU166" s="136" t="n">
        <v>0</v>
      </c>
      <c r="DV166" s="136" t="n">
        <v>0</v>
      </c>
    </row>
    <row r="167" customFormat="false" ht="12.75" hidden="false" customHeight="false" outlineLevel="0" collapsed="false">
      <c r="D167" s="135" t="n">
        <v>41730</v>
      </c>
      <c r="F167" s="174" t="n">
        <v>4.0095</v>
      </c>
      <c r="G167" s="175" t="n">
        <v>0.063059442365847</v>
      </c>
      <c r="H167" s="174" t="n">
        <v>0.17</v>
      </c>
      <c r="I167" s="174" t="n">
        <v>0.4</v>
      </c>
      <c r="J167" s="174" t="n">
        <v>0.45</v>
      </c>
      <c r="K167" s="174" t="n">
        <v>0.4</v>
      </c>
      <c r="L167" s="172" t="n">
        <v>0.45</v>
      </c>
      <c r="M167" s="172" t="n">
        <v>0.45</v>
      </c>
      <c r="N167" s="174" t="n">
        <v>0.45</v>
      </c>
      <c r="O167" s="174" t="n">
        <v>0.45</v>
      </c>
      <c r="P167" s="174" t="n">
        <v>0.45</v>
      </c>
      <c r="Q167" s="174" t="n">
        <v>0.5</v>
      </c>
      <c r="R167" s="175" t="n">
        <v>0.4</v>
      </c>
      <c r="S167" s="175" t="n">
        <v>0.45</v>
      </c>
      <c r="T167" s="174" t="n">
        <v>0.4</v>
      </c>
      <c r="U167" s="174" t="n">
        <v>0.45</v>
      </c>
      <c r="V167" s="174" t="n">
        <v>0.55</v>
      </c>
      <c r="W167" s="174" t="n">
        <v>-0.09</v>
      </c>
      <c r="X167" s="174" t="n">
        <v>0</v>
      </c>
      <c r="Y167" s="174" t="n">
        <v>0.04</v>
      </c>
      <c r="Z167" s="174" t="n">
        <v>0.005</v>
      </c>
      <c r="AA167" s="174" t="n">
        <v>0.175</v>
      </c>
      <c r="AB167" s="174" t="n">
        <v>0</v>
      </c>
      <c r="AC167" s="174" t="n">
        <v>0.14</v>
      </c>
      <c r="AD167" s="174" t="n">
        <v>0</v>
      </c>
      <c r="AE167" s="174" t="n">
        <v>0.175</v>
      </c>
      <c r="AF167" s="174" t="n">
        <v>0</v>
      </c>
      <c r="AG167" s="174" t="n">
        <v>0.14</v>
      </c>
      <c r="AH167" s="174" t="n">
        <v>0</v>
      </c>
      <c r="AI167" s="174" t="n">
        <v>0.14</v>
      </c>
      <c r="AJ167" s="174" t="n">
        <v>0</v>
      </c>
      <c r="AK167" s="174" t="n">
        <v>0.04</v>
      </c>
      <c r="AL167" s="174" t="n">
        <v>0.04</v>
      </c>
      <c r="AM167" s="174" t="n">
        <v>-0.0405</v>
      </c>
      <c r="AN167" s="174" t="n">
        <v>0.031</v>
      </c>
      <c r="AO167" s="174" t="n">
        <v>-0.693</v>
      </c>
      <c r="AP167" s="174" t="n">
        <v>0.155</v>
      </c>
      <c r="AQ167" s="174" t="n">
        <v>-0.03</v>
      </c>
      <c r="AR167" s="174" t="n">
        <v>0</v>
      </c>
      <c r="AS167" s="174" t="n">
        <v>-0.15</v>
      </c>
      <c r="AT167" s="174" t="n">
        <v>-0.015</v>
      </c>
      <c r="AU167" s="174" t="n">
        <v>-0.11</v>
      </c>
      <c r="AV167" s="174" t="n">
        <v>0.02</v>
      </c>
      <c r="AW167" s="174" t="n">
        <v>-0.035</v>
      </c>
      <c r="AX167" s="174" t="n">
        <v>0.014</v>
      </c>
      <c r="AY167" s="175" t="n">
        <v>0.125</v>
      </c>
      <c r="AZ167" s="175" t="n">
        <v>0</v>
      </c>
      <c r="BA167" s="175" t="n">
        <v>-0.195</v>
      </c>
      <c r="BB167" s="174" t="n">
        <v>0.0025</v>
      </c>
      <c r="BC167" s="174" t="n">
        <v>-0.07</v>
      </c>
      <c r="BD167" s="174" t="n">
        <v>0.005</v>
      </c>
      <c r="BE167" s="174" t="n">
        <v>0.43</v>
      </c>
      <c r="BF167" s="174" t="n">
        <v>0</v>
      </c>
      <c r="BG167" s="174" t="n">
        <v>-0.06</v>
      </c>
      <c r="BH167" s="174" t="n">
        <v>0</v>
      </c>
      <c r="BI167" s="174" t="n">
        <v>0</v>
      </c>
      <c r="BJ167" s="136" t="n">
        <v>0.03</v>
      </c>
      <c r="BK167" s="136" t="n">
        <v>0.43</v>
      </c>
      <c r="BL167" s="136" t="n">
        <v>0</v>
      </c>
      <c r="BM167" s="136" t="n">
        <v>-0.2</v>
      </c>
      <c r="BN167" s="136" t="n">
        <v>0</v>
      </c>
      <c r="BO167" s="136" t="n">
        <v>-0.37</v>
      </c>
      <c r="BP167" s="136" t="n">
        <v>0</v>
      </c>
      <c r="BQ167" s="136" t="n">
        <v>0.5</v>
      </c>
      <c r="BR167" s="136" t="n">
        <v>0</v>
      </c>
      <c r="BS167" s="136" t="n">
        <v>-0.07</v>
      </c>
      <c r="BT167" s="136" t="n">
        <v>0.005</v>
      </c>
      <c r="BU167" s="136" t="n">
        <v>0.3</v>
      </c>
      <c r="BV167" s="136" t="n">
        <v>0</v>
      </c>
      <c r="BW167" s="136" t="n">
        <v>0</v>
      </c>
      <c r="BX167" s="136" t="n">
        <v>0</v>
      </c>
      <c r="BY167" s="136" t="n">
        <v>-0.006999999</v>
      </c>
      <c r="BZ167" s="136" t="n">
        <v>0.0575</v>
      </c>
      <c r="CA167" s="136" t="n">
        <v>0.145</v>
      </c>
      <c r="CB167" s="136" t="n">
        <v>0.005</v>
      </c>
      <c r="CC167" s="136" t="n">
        <v>-0.006999999</v>
      </c>
      <c r="CD167" s="136" t="n">
        <v>0.0035</v>
      </c>
      <c r="CE167" s="136" t="n">
        <v>0.0025</v>
      </c>
      <c r="CF167" s="136" t="n">
        <v>0.0025</v>
      </c>
      <c r="CG167" s="136" t="n">
        <v>-0.006999999</v>
      </c>
      <c r="CH167" s="136" t="n">
        <v>0.0035</v>
      </c>
      <c r="CI167" s="136" t="n">
        <v>-0.1225</v>
      </c>
      <c r="CJ167" s="136" t="n">
        <v>0.0025</v>
      </c>
      <c r="CK167" s="136" t="n">
        <v>0.0775</v>
      </c>
      <c r="CL167" s="136" t="n">
        <v>0.0025</v>
      </c>
      <c r="CM167" s="136" t="n">
        <v>-0.072</v>
      </c>
      <c r="CN167" s="136" t="n">
        <v>0.0075</v>
      </c>
      <c r="CO167" s="136" t="n">
        <v>-0.017</v>
      </c>
      <c r="CP167" s="136" t="n">
        <v>0.005</v>
      </c>
      <c r="CQ167" s="136" t="n">
        <v>0.023</v>
      </c>
      <c r="CR167" s="136" t="n">
        <v>0.0075</v>
      </c>
      <c r="CS167" s="136" t="n">
        <v>0.38</v>
      </c>
      <c r="CT167" s="136" t="n">
        <v>0.02</v>
      </c>
      <c r="CU167" s="136" t="n">
        <v>-0.2</v>
      </c>
      <c r="CV167" s="136" t="n">
        <v>0</v>
      </c>
      <c r="CW167" s="136" t="n">
        <v>0.195</v>
      </c>
      <c r="CX167" s="136" t="n">
        <v>0.0075</v>
      </c>
      <c r="CY167" s="136" t="n">
        <v>-0.63</v>
      </c>
      <c r="CZ167" s="136" t="n">
        <v>0</v>
      </c>
      <c r="DA167" s="136" t="n">
        <v>-0.45</v>
      </c>
      <c r="DB167" s="136" t="n">
        <v>0</v>
      </c>
      <c r="DC167" s="136" t="n">
        <v>0.6</v>
      </c>
      <c r="DE167" s="136" t="n">
        <v>-0.045</v>
      </c>
      <c r="DF167" s="136" t="n">
        <v>0.01</v>
      </c>
      <c r="DG167" s="136" t="n">
        <v>0.018</v>
      </c>
      <c r="DH167" s="136" t="n">
        <v>0.01</v>
      </c>
      <c r="DI167" s="136" t="n">
        <v>0.003</v>
      </c>
      <c r="DJ167" s="136" t="n">
        <v>0.0075</v>
      </c>
      <c r="DK167" s="136" t="n">
        <v>-0.1075</v>
      </c>
      <c r="DL167" s="136" t="n">
        <v>0.005</v>
      </c>
      <c r="DM167" s="136" t="n">
        <v>-0.049</v>
      </c>
      <c r="DN167" s="136" t="n">
        <v>0.0025</v>
      </c>
      <c r="DO167" s="136" t="n">
        <v>-0.0715</v>
      </c>
      <c r="DP167" s="136" t="n">
        <v>0.0025</v>
      </c>
      <c r="DQ167" s="136" t="n">
        <v>-0.1375</v>
      </c>
      <c r="DR167" s="136" t="n">
        <v>-0.005</v>
      </c>
      <c r="DS167" s="136" t="n">
        <v>0.36</v>
      </c>
      <c r="DT167" s="136" t="n">
        <v>0.005</v>
      </c>
      <c r="DU167" s="136" t="n">
        <v>0</v>
      </c>
      <c r="DV167" s="136" t="n">
        <v>0</v>
      </c>
    </row>
    <row r="168" customFormat="false" ht="12.75" hidden="false" customHeight="false" outlineLevel="0" collapsed="false">
      <c r="D168" s="135" t="n">
        <v>41760</v>
      </c>
      <c r="F168" s="174" t="n">
        <v>4.0045</v>
      </c>
      <c r="G168" s="175" t="n">
        <v>0.0630986785903431</v>
      </c>
      <c r="H168" s="174" t="n">
        <v>0.17</v>
      </c>
      <c r="I168" s="174" t="n">
        <v>0.45</v>
      </c>
      <c r="J168" s="174" t="n">
        <v>0.5</v>
      </c>
      <c r="K168" s="174" t="n">
        <v>0.4</v>
      </c>
      <c r="L168" s="172" t="n">
        <v>0.4</v>
      </c>
      <c r="M168" s="172" t="n">
        <v>0.45</v>
      </c>
      <c r="N168" s="174" t="n">
        <v>0.5</v>
      </c>
      <c r="O168" s="174" t="n">
        <v>0.45</v>
      </c>
      <c r="P168" s="174" t="n">
        <v>0.4</v>
      </c>
      <c r="Q168" s="174" t="n">
        <v>0.45</v>
      </c>
      <c r="R168" s="175" t="n">
        <v>0.45</v>
      </c>
      <c r="S168" s="175" t="n">
        <v>0.5</v>
      </c>
      <c r="T168" s="174" t="n">
        <v>0.45</v>
      </c>
      <c r="U168" s="174" t="n">
        <v>0.5</v>
      </c>
      <c r="V168" s="174" t="n">
        <v>0.5</v>
      </c>
      <c r="W168" s="174" t="n">
        <v>-0.09</v>
      </c>
      <c r="X168" s="174" t="n">
        <v>0</v>
      </c>
      <c r="Y168" s="174" t="n">
        <v>0.04</v>
      </c>
      <c r="Z168" s="174" t="n">
        <v>0.005</v>
      </c>
      <c r="AA168" s="174" t="n">
        <v>0.175</v>
      </c>
      <c r="AB168" s="174" t="n">
        <v>0</v>
      </c>
      <c r="AC168" s="174" t="n">
        <v>0.14</v>
      </c>
      <c r="AD168" s="174" t="n">
        <v>0</v>
      </c>
      <c r="AE168" s="174" t="n">
        <v>0.175</v>
      </c>
      <c r="AF168" s="174" t="n">
        <v>0</v>
      </c>
      <c r="AG168" s="174" t="n">
        <v>0.14</v>
      </c>
      <c r="AH168" s="174" t="n">
        <v>0</v>
      </c>
      <c r="AI168" s="174" t="n">
        <v>0.14</v>
      </c>
      <c r="AJ168" s="174" t="n">
        <v>0</v>
      </c>
      <c r="AK168" s="174" t="n">
        <v>0.04</v>
      </c>
      <c r="AL168" s="174" t="n">
        <v>0.04</v>
      </c>
      <c r="AM168" s="174" t="n">
        <v>-0.0405</v>
      </c>
      <c r="AN168" s="174" t="n">
        <v>0.031</v>
      </c>
      <c r="AO168" s="174" t="n">
        <v>-0.693</v>
      </c>
      <c r="AP168" s="174" t="n">
        <v>0.155</v>
      </c>
      <c r="AQ168" s="174" t="n">
        <v>-0.03</v>
      </c>
      <c r="AR168" s="174" t="n">
        <v>0</v>
      </c>
      <c r="AS168" s="174" t="n">
        <v>-0.15</v>
      </c>
      <c r="AT168" s="174" t="n">
        <v>-0.015</v>
      </c>
      <c r="AU168" s="174" t="n">
        <v>-0.11</v>
      </c>
      <c r="AV168" s="174" t="n">
        <v>0.02</v>
      </c>
      <c r="AW168" s="174" t="n">
        <v>-0.035</v>
      </c>
      <c r="AX168" s="174" t="n">
        <v>0.014</v>
      </c>
      <c r="AY168" s="175" t="n">
        <v>0.125</v>
      </c>
      <c r="AZ168" s="175" t="n">
        <v>0</v>
      </c>
      <c r="BA168" s="175" t="n">
        <v>-0.195</v>
      </c>
      <c r="BB168" s="174" t="n">
        <v>0.0025</v>
      </c>
      <c r="BC168" s="174" t="n">
        <v>-0.07</v>
      </c>
      <c r="BD168" s="174" t="n">
        <v>0.005</v>
      </c>
      <c r="BE168" s="174" t="n">
        <v>0.43</v>
      </c>
      <c r="BF168" s="174" t="n">
        <v>0</v>
      </c>
      <c r="BG168" s="174" t="n">
        <v>-0.06</v>
      </c>
      <c r="BH168" s="174" t="n">
        <v>0</v>
      </c>
      <c r="BI168" s="174" t="n">
        <v>0</v>
      </c>
      <c r="BJ168" s="136" t="n">
        <v>0.03</v>
      </c>
      <c r="BK168" s="136" t="n">
        <v>0.43</v>
      </c>
      <c r="BL168" s="136" t="n">
        <v>0</v>
      </c>
      <c r="BM168" s="136" t="n">
        <v>-0.05</v>
      </c>
      <c r="BN168" s="136" t="n">
        <v>0</v>
      </c>
      <c r="BO168" s="136" t="n">
        <v>-0.37</v>
      </c>
      <c r="BP168" s="136" t="n">
        <v>0</v>
      </c>
      <c r="BQ168" s="136" t="n">
        <v>0.5</v>
      </c>
      <c r="BR168" s="136" t="n">
        <v>0</v>
      </c>
      <c r="BS168" s="136" t="n">
        <v>-0.07</v>
      </c>
      <c r="BT168" s="136" t="n">
        <v>0.005</v>
      </c>
      <c r="BU168" s="136" t="n">
        <v>0.3</v>
      </c>
      <c r="BV168" s="136" t="n">
        <v>0</v>
      </c>
      <c r="BW168" s="136" t="n">
        <v>0</v>
      </c>
      <c r="BX168" s="136" t="n">
        <v>0</v>
      </c>
      <c r="BY168" s="136" t="n">
        <v>-0.006999999</v>
      </c>
      <c r="BZ168" s="136" t="n">
        <v>0.0575</v>
      </c>
      <c r="CA168" s="136" t="n">
        <v>0.125</v>
      </c>
      <c r="CB168" s="136" t="n">
        <v>0.005</v>
      </c>
      <c r="CC168" s="136" t="n">
        <v>-0.006999999</v>
      </c>
      <c r="CD168" s="136" t="n">
        <v>0.0035</v>
      </c>
      <c r="CE168" s="136" t="n">
        <v>0.0025</v>
      </c>
      <c r="CF168" s="136" t="n">
        <v>0.0025</v>
      </c>
      <c r="CG168" s="136" t="n">
        <v>-0.006999999</v>
      </c>
      <c r="CH168" s="136" t="n">
        <v>0.0035</v>
      </c>
      <c r="CI168" s="136" t="n">
        <v>-0.11</v>
      </c>
      <c r="CJ168" s="136" t="n">
        <v>0.0025</v>
      </c>
      <c r="CK168" s="136" t="n">
        <v>0.0775</v>
      </c>
      <c r="CL168" s="136" t="n">
        <v>0.0025</v>
      </c>
      <c r="CM168" s="136" t="n">
        <v>-0.072</v>
      </c>
      <c r="CN168" s="136" t="n">
        <v>0.0075</v>
      </c>
      <c r="CO168" s="136" t="n">
        <v>-0.017</v>
      </c>
      <c r="CP168" s="136" t="n">
        <v>0.005</v>
      </c>
      <c r="CQ168" s="136" t="n">
        <v>0.023</v>
      </c>
      <c r="CR168" s="136" t="n">
        <v>0.0075</v>
      </c>
      <c r="CS168" s="136" t="n">
        <v>0.33</v>
      </c>
      <c r="CT168" s="136" t="n">
        <v>0.02</v>
      </c>
      <c r="CU168" s="136" t="n">
        <v>-0.05</v>
      </c>
      <c r="CV168" s="136" t="n">
        <v>0</v>
      </c>
      <c r="CW168" s="136" t="n">
        <v>0.135</v>
      </c>
      <c r="CX168" s="136" t="n">
        <v>0.0075</v>
      </c>
      <c r="CY168" s="136" t="n">
        <v>-0.63</v>
      </c>
      <c r="CZ168" s="136" t="n">
        <v>0</v>
      </c>
      <c r="DA168" s="136" t="n">
        <v>-0.45</v>
      </c>
      <c r="DB168" s="136" t="n">
        <v>0</v>
      </c>
      <c r="DC168" s="136" t="n">
        <v>0.75</v>
      </c>
      <c r="DE168" s="136" t="n">
        <v>-0.045</v>
      </c>
      <c r="DF168" s="136" t="n">
        <v>0.01</v>
      </c>
      <c r="DG168" s="136" t="n">
        <v>0.0205</v>
      </c>
      <c r="DH168" s="136" t="n">
        <v>0.01</v>
      </c>
      <c r="DI168" s="136" t="n">
        <v>0.0055</v>
      </c>
      <c r="DJ168" s="136" t="n">
        <v>0.0075</v>
      </c>
      <c r="DK168" s="136" t="n">
        <v>-0.085</v>
      </c>
      <c r="DL168" s="136" t="n">
        <v>0.005</v>
      </c>
      <c r="DM168" s="136" t="n">
        <v>-0.049</v>
      </c>
      <c r="DN168" s="136" t="n">
        <v>0.0025</v>
      </c>
      <c r="DO168" s="136" t="n">
        <v>-0.0715</v>
      </c>
      <c r="DP168" s="136" t="n">
        <v>0.0025</v>
      </c>
      <c r="DQ168" s="136" t="n">
        <v>-0.115</v>
      </c>
      <c r="DR168" s="136" t="n">
        <v>-0.005</v>
      </c>
      <c r="DS168" s="136" t="n">
        <v>0.325</v>
      </c>
      <c r="DT168" s="136" t="n">
        <v>0.005</v>
      </c>
      <c r="DU168" s="136" t="n">
        <v>0</v>
      </c>
      <c r="DV168" s="136" t="n">
        <v>0</v>
      </c>
    </row>
    <row r="169" customFormat="false" ht="12.75" hidden="false" customHeight="false" outlineLevel="0" collapsed="false">
      <c r="D169" s="135" t="n">
        <v>41791</v>
      </c>
      <c r="F169" s="174" t="n">
        <v>4.0395</v>
      </c>
      <c r="G169" s="175" t="n">
        <v>0.0631392226895255</v>
      </c>
      <c r="H169" s="174" t="n">
        <v>0.17</v>
      </c>
      <c r="I169" s="174" t="n">
        <v>0.45</v>
      </c>
      <c r="J169" s="174" t="n">
        <v>0.5</v>
      </c>
      <c r="K169" s="174" t="n">
        <v>0.4</v>
      </c>
      <c r="L169" s="172" t="n">
        <v>0.5</v>
      </c>
      <c r="M169" s="172" t="n">
        <v>0.45</v>
      </c>
      <c r="N169" s="174" t="n">
        <v>0.5</v>
      </c>
      <c r="O169" s="174" t="n">
        <v>0.5</v>
      </c>
      <c r="P169" s="174" t="n">
        <v>0.5</v>
      </c>
      <c r="Q169" s="174" t="n">
        <v>0.5</v>
      </c>
      <c r="R169" s="175" t="n">
        <v>0.45</v>
      </c>
      <c r="S169" s="175" t="n">
        <v>0.5</v>
      </c>
      <c r="T169" s="174" t="n">
        <v>0.45</v>
      </c>
      <c r="U169" s="174" t="n">
        <v>0.5</v>
      </c>
      <c r="V169" s="174" t="n">
        <v>0.6</v>
      </c>
      <c r="W169" s="174" t="n">
        <v>-0.09</v>
      </c>
      <c r="X169" s="174" t="n">
        <v>0</v>
      </c>
      <c r="Y169" s="174" t="n">
        <v>0.04</v>
      </c>
      <c r="Z169" s="174" t="n">
        <v>0.005</v>
      </c>
      <c r="AA169" s="174" t="n">
        <v>0.175</v>
      </c>
      <c r="AB169" s="174" t="n">
        <v>0</v>
      </c>
      <c r="AC169" s="174" t="n">
        <v>0.14</v>
      </c>
      <c r="AD169" s="174" t="n">
        <v>0</v>
      </c>
      <c r="AE169" s="174" t="n">
        <v>0.175</v>
      </c>
      <c r="AF169" s="174" t="n">
        <v>0</v>
      </c>
      <c r="AG169" s="174" t="n">
        <v>0.14</v>
      </c>
      <c r="AH169" s="174" t="n">
        <v>0</v>
      </c>
      <c r="AI169" s="174" t="n">
        <v>0.14</v>
      </c>
      <c r="AJ169" s="174" t="n">
        <v>0</v>
      </c>
      <c r="AK169" s="174" t="n">
        <v>0.04</v>
      </c>
      <c r="AL169" s="174" t="n">
        <v>0.04</v>
      </c>
      <c r="AM169" s="174" t="n">
        <v>-0.0405</v>
      </c>
      <c r="AN169" s="174" t="n">
        <v>0.031</v>
      </c>
      <c r="AO169" s="174" t="n">
        <v>-0.693</v>
      </c>
      <c r="AP169" s="174" t="n">
        <v>0.155</v>
      </c>
      <c r="AQ169" s="174" t="n">
        <v>-0.03</v>
      </c>
      <c r="AR169" s="174" t="n">
        <v>0</v>
      </c>
      <c r="AS169" s="174" t="n">
        <v>-0.15</v>
      </c>
      <c r="AT169" s="174" t="n">
        <v>-0.015</v>
      </c>
      <c r="AU169" s="174" t="n">
        <v>-0.11</v>
      </c>
      <c r="AV169" s="174" t="n">
        <v>0.02</v>
      </c>
      <c r="AW169" s="174" t="n">
        <v>-0.035</v>
      </c>
      <c r="AX169" s="174" t="n">
        <v>0.014</v>
      </c>
      <c r="AY169" s="175" t="n">
        <v>0.125</v>
      </c>
      <c r="AZ169" s="175" t="n">
        <v>0</v>
      </c>
      <c r="BA169" s="175" t="n">
        <v>-0.195</v>
      </c>
      <c r="BB169" s="174" t="n">
        <v>0.0025</v>
      </c>
      <c r="BC169" s="174" t="n">
        <v>-0.07</v>
      </c>
      <c r="BD169" s="174" t="n">
        <v>0.005</v>
      </c>
      <c r="BE169" s="174" t="n">
        <v>0.43</v>
      </c>
      <c r="BF169" s="174" t="n">
        <v>0</v>
      </c>
      <c r="BG169" s="174" t="n">
        <v>-0.06</v>
      </c>
      <c r="BH169" s="174" t="n">
        <v>0</v>
      </c>
      <c r="BI169" s="174" t="n">
        <v>0</v>
      </c>
      <c r="BJ169" s="136" t="n">
        <v>0.03</v>
      </c>
      <c r="BK169" s="136" t="n">
        <v>0.43</v>
      </c>
      <c r="BL169" s="136" t="n">
        <v>0</v>
      </c>
      <c r="BM169" s="136" t="n">
        <v>-0.05</v>
      </c>
      <c r="BN169" s="136" t="n">
        <v>0</v>
      </c>
      <c r="BO169" s="136" t="n">
        <v>-0.37</v>
      </c>
      <c r="BP169" s="136" t="n">
        <v>0</v>
      </c>
      <c r="BQ169" s="136" t="n">
        <v>0.5</v>
      </c>
      <c r="BR169" s="136" t="n">
        <v>0</v>
      </c>
      <c r="BS169" s="136" t="n">
        <v>-0.07</v>
      </c>
      <c r="BT169" s="136" t="n">
        <v>0.005</v>
      </c>
      <c r="BU169" s="136" t="n">
        <v>0.3</v>
      </c>
      <c r="BV169" s="136" t="n">
        <v>0</v>
      </c>
      <c r="BW169" s="136" t="n">
        <v>0</v>
      </c>
      <c r="BX169" s="136" t="n">
        <v>0</v>
      </c>
      <c r="BY169" s="136" t="n">
        <v>-0.006999999</v>
      </c>
      <c r="BZ169" s="136" t="n">
        <v>0.0575</v>
      </c>
      <c r="CA169" s="136" t="n">
        <v>0.145</v>
      </c>
      <c r="CB169" s="136" t="n">
        <v>0.005</v>
      </c>
      <c r="CC169" s="136" t="n">
        <v>-0.006999999</v>
      </c>
      <c r="CD169" s="136" t="n">
        <v>0.0035</v>
      </c>
      <c r="CE169" s="136" t="n">
        <v>0.0025</v>
      </c>
      <c r="CF169" s="136" t="n">
        <v>0.0025</v>
      </c>
      <c r="CG169" s="136" t="n">
        <v>-0.006999999</v>
      </c>
      <c r="CH169" s="136" t="n">
        <v>0.0035</v>
      </c>
      <c r="CI169" s="136" t="n">
        <v>-0.0675</v>
      </c>
      <c r="CJ169" s="136" t="n">
        <v>0.0025</v>
      </c>
      <c r="CK169" s="136" t="n">
        <v>0.0775</v>
      </c>
      <c r="CL169" s="136" t="n">
        <v>0.0025</v>
      </c>
      <c r="CM169" s="136" t="n">
        <v>-0.072</v>
      </c>
      <c r="CN169" s="136" t="n">
        <v>0.0075</v>
      </c>
      <c r="CO169" s="136" t="n">
        <v>-0.017</v>
      </c>
      <c r="CP169" s="136" t="n">
        <v>0.005</v>
      </c>
      <c r="CQ169" s="136" t="n">
        <v>0.023</v>
      </c>
      <c r="CR169" s="136" t="n">
        <v>0.0075</v>
      </c>
      <c r="CS169" s="136" t="n">
        <v>0.37</v>
      </c>
      <c r="CT169" s="136" t="n">
        <v>0.035</v>
      </c>
      <c r="CU169" s="136" t="n">
        <v>-0.05</v>
      </c>
      <c r="CV169" s="136" t="n">
        <v>0</v>
      </c>
      <c r="CW169" s="136" t="n">
        <v>0.165</v>
      </c>
      <c r="CX169" s="136" t="n">
        <v>0.0075</v>
      </c>
      <c r="CY169" s="136" t="n">
        <v>-0.63</v>
      </c>
      <c r="CZ169" s="136" t="n">
        <v>0</v>
      </c>
      <c r="DA169" s="136" t="n">
        <v>-0.45</v>
      </c>
      <c r="DB169" s="136" t="n">
        <v>0</v>
      </c>
      <c r="DC169" s="136" t="n">
        <v>0.85</v>
      </c>
      <c r="DE169" s="136" t="n">
        <v>-0.0425</v>
      </c>
      <c r="DF169" s="136" t="n">
        <v>0.01</v>
      </c>
      <c r="DG169" s="136" t="n">
        <v>0.0205</v>
      </c>
      <c r="DH169" s="136" t="n">
        <v>0.01</v>
      </c>
      <c r="DI169" s="136" t="n">
        <v>0.0055</v>
      </c>
      <c r="DJ169" s="136" t="n">
        <v>0.0075</v>
      </c>
      <c r="DK169" s="136" t="n">
        <v>-0.0325</v>
      </c>
      <c r="DL169" s="136" t="n">
        <v>0.005</v>
      </c>
      <c r="DM169" s="136" t="n">
        <v>-0.049</v>
      </c>
      <c r="DN169" s="136" t="n">
        <v>0.0025</v>
      </c>
      <c r="DO169" s="136" t="n">
        <v>-0.0715</v>
      </c>
      <c r="DP169" s="136" t="n">
        <v>0.0025</v>
      </c>
      <c r="DQ169" s="136" t="n">
        <v>-0.0625</v>
      </c>
      <c r="DR169" s="136" t="n">
        <v>-0.005</v>
      </c>
      <c r="DS169" s="136" t="n">
        <v>0.335</v>
      </c>
      <c r="DT169" s="136" t="n">
        <v>0.005</v>
      </c>
      <c r="DU169" s="136" t="n">
        <v>0</v>
      </c>
      <c r="DV169" s="136" t="n">
        <v>0</v>
      </c>
    </row>
    <row r="170" customFormat="false" ht="12.75" hidden="false" customHeight="false" outlineLevel="0" collapsed="false">
      <c r="D170" s="135" t="n">
        <v>41821</v>
      </c>
      <c r="F170" s="174" t="n">
        <v>4.0795</v>
      </c>
      <c r="G170" s="175" t="n">
        <v>0.0631784589150599</v>
      </c>
      <c r="H170" s="174" t="n">
        <v>0.17</v>
      </c>
      <c r="I170" s="174" t="n">
        <v>0.5</v>
      </c>
      <c r="J170" s="174" t="n">
        <v>0.5</v>
      </c>
      <c r="K170" s="174" t="n">
        <v>0.4</v>
      </c>
      <c r="L170" s="172" t="n">
        <v>0.5</v>
      </c>
      <c r="M170" s="172" t="n">
        <v>0.5</v>
      </c>
      <c r="N170" s="174" t="n">
        <v>0.5</v>
      </c>
      <c r="O170" s="174" t="n">
        <v>0.5</v>
      </c>
      <c r="P170" s="174" t="n">
        <v>0.5</v>
      </c>
      <c r="Q170" s="174" t="n">
        <v>0.5</v>
      </c>
      <c r="R170" s="175" t="n">
        <v>0.5</v>
      </c>
      <c r="S170" s="175" t="n">
        <v>0.55</v>
      </c>
      <c r="T170" s="174" t="n">
        <v>0.5</v>
      </c>
      <c r="U170" s="174" t="n">
        <v>0.5</v>
      </c>
      <c r="V170" s="174" t="n">
        <v>0.6</v>
      </c>
      <c r="W170" s="174" t="n">
        <v>-0.09</v>
      </c>
      <c r="X170" s="174" t="n">
        <v>0</v>
      </c>
      <c r="Y170" s="174" t="n">
        <v>0.04</v>
      </c>
      <c r="Z170" s="174" t="n">
        <v>0.005</v>
      </c>
      <c r="AA170" s="174" t="n">
        <v>0.175</v>
      </c>
      <c r="AB170" s="174" t="n">
        <v>0</v>
      </c>
      <c r="AC170" s="174" t="n">
        <v>0.14</v>
      </c>
      <c r="AD170" s="174" t="n">
        <v>0</v>
      </c>
      <c r="AE170" s="174" t="n">
        <v>0.175</v>
      </c>
      <c r="AF170" s="174" t="n">
        <v>0</v>
      </c>
      <c r="AG170" s="174" t="n">
        <v>0.14</v>
      </c>
      <c r="AH170" s="174" t="n">
        <v>0</v>
      </c>
      <c r="AI170" s="174" t="n">
        <v>0.14</v>
      </c>
      <c r="AJ170" s="174" t="n">
        <v>0</v>
      </c>
      <c r="AK170" s="174" t="n">
        <v>0.04</v>
      </c>
      <c r="AL170" s="174" t="n">
        <v>0.04</v>
      </c>
      <c r="AM170" s="174" t="n">
        <v>-0.0405</v>
      </c>
      <c r="AN170" s="174" t="n">
        <v>0.031</v>
      </c>
      <c r="AO170" s="174" t="n">
        <v>-0.693</v>
      </c>
      <c r="AP170" s="174" t="n">
        <v>0.155</v>
      </c>
      <c r="AQ170" s="174" t="n">
        <v>-0.03</v>
      </c>
      <c r="AR170" s="174" t="n">
        <v>0</v>
      </c>
      <c r="AS170" s="174" t="n">
        <v>-0.15</v>
      </c>
      <c r="AT170" s="174" t="n">
        <v>-0.015</v>
      </c>
      <c r="AU170" s="174" t="n">
        <v>-0.11</v>
      </c>
      <c r="AV170" s="174" t="n">
        <v>0.02</v>
      </c>
      <c r="AW170" s="174" t="n">
        <v>-0.035</v>
      </c>
      <c r="AX170" s="174" t="n">
        <v>0.012</v>
      </c>
      <c r="AY170" s="175" t="n">
        <v>0.125</v>
      </c>
      <c r="AZ170" s="175" t="n">
        <v>0</v>
      </c>
      <c r="BA170" s="175" t="n">
        <v>-0.195</v>
      </c>
      <c r="BB170" s="174" t="n">
        <v>0.0025</v>
      </c>
      <c r="BC170" s="174" t="n">
        <v>-0.07</v>
      </c>
      <c r="BD170" s="174" t="n">
        <v>0.005</v>
      </c>
      <c r="BE170" s="174" t="n">
        <v>0.43</v>
      </c>
      <c r="BF170" s="174" t="n">
        <v>0</v>
      </c>
      <c r="BG170" s="174" t="n">
        <v>-0.06</v>
      </c>
      <c r="BH170" s="174" t="n">
        <v>0</v>
      </c>
      <c r="BI170" s="174" t="n">
        <v>0</v>
      </c>
      <c r="BJ170" s="136" t="n">
        <v>0.03</v>
      </c>
      <c r="BK170" s="136" t="n">
        <v>0.43</v>
      </c>
      <c r="BL170" s="136" t="n">
        <v>0</v>
      </c>
      <c r="BM170" s="136" t="n">
        <v>-0.05</v>
      </c>
      <c r="BN170" s="136" t="n">
        <v>0</v>
      </c>
      <c r="BO170" s="136" t="n">
        <v>-0.37</v>
      </c>
      <c r="BP170" s="136" t="n">
        <v>0</v>
      </c>
      <c r="BQ170" s="136" t="n">
        <v>0.5</v>
      </c>
      <c r="BR170" s="136" t="n">
        <v>0</v>
      </c>
      <c r="BS170" s="136" t="n">
        <v>-0.07</v>
      </c>
      <c r="BT170" s="136" t="n">
        <v>0.005</v>
      </c>
      <c r="BU170" s="136" t="n">
        <v>0.3</v>
      </c>
      <c r="BV170" s="136" t="n">
        <v>0</v>
      </c>
      <c r="BW170" s="136" t="n">
        <v>0</v>
      </c>
      <c r="BX170" s="136" t="n">
        <v>0</v>
      </c>
      <c r="BY170" s="136" t="n">
        <v>-0.006999999</v>
      </c>
      <c r="BZ170" s="136" t="n">
        <v>0.0575</v>
      </c>
      <c r="CA170" s="136" t="n">
        <v>0.15</v>
      </c>
      <c r="CB170" s="136" t="n">
        <v>0.005</v>
      </c>
      <c r="CC170" s="136" t="n">
        <v>-0.006999999</v>
      </c>
      <c r="CD170" s="136" t="n">
        <v>0.0035</v>
      </c>
      <c r="CE170" s="136" t="n">
        <v>0.0025</v>
      </c>
      <c r="CF170" s="136" t="n">
        <v>0.0025</v>
      </c>
      <c r="CG170" s="136" t="n">
        <v>-0.006999999</v>
      </c>
      <c r="CH170" s="136" t="n">
        <v>0.0035</v>
      </c>
      <c r="CI170" s="136" t="n">
        <v>-0.065</v>
      </c>
      <c r="CJ170" s="136" t="n">
        <v>0.0025</v>
      </c>
      <c r="CK170" s="136" t="n">
        <v>0.0775</v>
      </c>
      <c r="CL170" s="136" t="n">
        <v>0.0025</v>
      </c>
      <c r="CM170" s="136" t="n">
        <v>-0.072</v>
      </c>
      <c r="CN170" s="136" t="n">
        <v>0.0075</v>
      </c>
      <c r="CO170" s="136" t="n">
        <v>-0.017</v>
      </c>
      <c r="CP170" s="136" t="n">
        <v>0.005</v>
      </c>
      <c r="CQ170" s="136" t="n">
        <v>0.023</v>
      </c>
      <c r="CR170" s="136" t="n">
        <v>0.0075</v>
      </c>
      <c r="CS170" s="136" t="n">
        <v>0.41</v>
      </c>
      <c r="CT170" s="136" t="n">
        <v>0.035</v>
      </c>
      <c r="CU170" s="136" t="n">
        <v>-0.05</v>
      </c>
      <c r="CV170" s="136" t="n">
        <v>0</v>
      </c>
      <c r="CW170" s="136" t="n">
        <v>0.205</v>
      </c>
      <c r="CX170" s="136" t="n">
        <v>0.0075</v>
      </c>
      <c r="CY170" s="136" t="n">
        <v>-0.63</v>
      </c>
      <c r="CZ170" s="136" t="n">
        <v>0</v>
      </c>
      <c r="DA170" s="136" t="n">
        <v>-0.45</v>
      </c>
      <c r="DB170" s="136" t="n">
        <v>0</v>
      </c>
      <c r="DC170" s="136" t="n">
        <v>1.05</v>
      </c>
      <c r="DE170" s="136" t="n">
        <v>-0.0425</v>
      </c>
      <c r="DF170" s="136" t="n">
        <v>0.01</v>
      </c>
      <c r="DG170" s="136" t="n">
        <v>0.0205</v>
      </c>
      <c r="DH170" s="136" t="n">
        <v>0.01</v>
      </c>
      <c r="DI170" s="136" t="n">
        <v>0.0055</v>
      </c>
      <c r="DJ170" s="136" t="n">
        <v>0.0075</v>
      </c>
      <c r="DK170" s="136" t="n">
        <v>-0.0425</v>
      </c>
      <c r="DL170" s="136" t="n">
        <v>0.005</v>
      </c>
      <c r="DM170" s="136" t="n">
        <v>-0.049</v>
      </c>
      <c r="DN170" s="136" t="n">
        <v>0.0025</v>
      </c>
      <c r="DO170" s="136" t="n">
        <v>-0.0715</v>
      </c>
      <c r="DP170" s="136" t="n">
        <v>0.0025</v>
      </c>
      <c r="DQ170" s="136" t="n">
        <v>-0.0725</v>
      </c>
      <c r="DR170" s="136" t="n">
        <v>-0.005</v>
      </c>
      <c r="DS170" s="136" t="n">
        <v>0.35</v>
      </c>
      <c r="DT170" s="136" t="n">
        <v>0.005</v>
      </c>
      <c r="DU170" s="136" t="n">
        <v>0</v>
      </c>
      <c r="DV170" s="136" t="n">
        <v>0</v>
      </c>
    </row>
    <row r="171" customFormat="false" ht="12.75" hidden="false" customHeight="false" outlineLevel="0" collapsed="false">
      <c r="D171" s="135" t="n">
        <v>41852</v>
      </c>
      <c r="F171" s="174" t="n">
        <v>4.1195</v>
      </c>
      <c r="G171" s="175" t="n">
        <v>0.0632190030153152</v>
      </c>
      <c r="H171" s="174" t="n">
        <v>0.17</v>
      </c>
      <c r="I171" s="174" t="n">
        <v>0.55</v>
      </c>
      <c r="J171" s="174" t="n">
        <v>0.55</v>
      </c>
      <c r="K171" s="174" t="n">
        <v>0.5</v>
      </c>
      <c r="L171" s="172" t="n">
        <v>0.6</v>
      </c>
      <c r="M171" s="172" t="n">
        <v>0.55</v>
      </c>
      <c r="N171" s="174" t="n">
        <v>0.6</v>
      </c>
      <c r="O171" s="174" t="n">
        <v>0.55</v>
      </c>
      <c r="P171" s="174" t="n">
        <v>0.6</v>
      </c>
      <c r="Q171" s="174" t="n">
        <v>0.45</v>
      </c>
      <c r="R171" s="175" t="n">
        <v>0.55</v>
      </c>
      <c r="S171" s="175" t="n">
        <v>0.6</v>
      </c>
      <c r="T171" s="174" t="n">
        <v>0.55</v>
      </c>
      <c r="U171" s="174" t="n">
        <v>0.6</v>
      </c>
      <c r="V171" s="174" t="n">
        <v>0.7</v>
      </c>
      <c r="W171" s="174" t="n">
        <v>-0.09</v>
      </c>
      <c r="X171" s="174" t="n">
        <v>0</v>
      </c>
      <c r="Y171" s="174" t="n">
        <v>0.04</v>
      </c>
      <c r="Z171" s="174" t="n">
        <v>0.005</v>
      </c>
      <c r="AA171" s="174" t="n">
        <v>0.175</v>
      </c>
      <c r="AB171" s="174" t="n">
        <v>0</v>
      </c>
      <c r="AC171" s="174" t="n">
        <v>0.14</v>
      </c>
      <c r="AD171" s="174" t="n">
        <v>0</v>
      </c>
      <c r="AE171" s="174" t="n">
        <v>0.175</v>
      </c>
      <c r="AF171" s="174" t="n">
        <v>0</v>
      </c>
      <c r="AG171" s="174" t="n">
        <v>0.14</v>
      </c>
      <c r="AH171" s="174" t="n">
        <v>0</v>
      </c>
      <c r="AI171" s="174" t="n">
        <v>0.14</v>
      </c>
      <c r="AJ171" s="174" t="n">
        <v>0</v>
      </c>
      <c r="AK171" s="174" t="n">
        <v>0.04</v>
      </c>
      <c r="AL171" s="174" t="n">
        <v>0.04</v>
      </c>
      <c r="AM171" s="174" t="n">
        <v>-0.0405</v>
      </c>
      <c r="AN171" s="174" t="n">
        <v>0.031</v>
      </c>
      <c r="AO171" s="174" t="n">
        <v>-0.693</v>
      </c>
      <c r="AP171" s="174" t="n">
        <v>0.155</v>
      </c>
      <c r="AQ171" s="174" t="n">
        <v>-0.03</v>
      </c>
      <c r="AR171" s="174" t="n">
        <v>0</v>
      </c>
      <c r="AS171" s="174" t="n">
        <v>-0.15</v>
      </c>
      <c r="AT171" s="174" t="n">
        <v>-0.015</v>
      </c>
      <c r="AU171" s="174" t="n">
        <v>-0.11</v>
      </c>
      <c r="AV171" s="174" t="n">
        <v>0.02</v>
      </c>
      <c r="AW171" s="174" t="n">
        <v>-0.035</v>
      </c>
      <c r="AX171" s="174" t="n">
        <v>0.012</v>
      </c>
      <c r="AY171" s="175" t="n">
        <v>0.125</v>
      </c>
      <c r="AZ171" s="175" t="n">
        <v>0</v>
      </c>
      <c r="BA171" s="175" t="n">
        <v>-0.195</v>
      </c>
      <c r="BB171" s="174" t="n">
        <v>0.0025</v>
      </c>
      <c r="BC171" s="174" t="n">
        <v>-0.07</v>
      </c>
      <c r="BD171" s="174" t="n">
        <v>0.005</v>
      </c>
      <c r="BE171" s="174" t="n">
        <v>0.43</v>
      </c>
      <c r="BF171" s="174" t="n">
        <v>0</v>
      </c>
      <c r="BG171" s="174" t="n">
        <v>-0.06</v>
      </c>
      <c r="BH171" s="174" t="n">
        <v>0</v>
      </c>
      <c r="BI171" s="174" t="n">
        <v>0</v>
      </c>
      <c r="BJ171" s="136" t="n">
        <v>0.03</v>
      </c>
      <c r="BK171" s="136" t="n">
        <v>0.43</v>
      </c>
      <c r="BL171" s="136" t="n">
        <v>0</v>
      </c>
      <c r="BM171" s="136" t="n">
        <v>-0.05</v>
      </c>
      <c r="BN171" s="136" t="n">
        <v>0</v>
      </c>
      <c r="BO171" s="136" t="n">
        <v>-0.37</v>
      </c>
      <c r="BP171" s="136" t="n">
        <v>0</v>
      </c>
      <c r="BQ171" s="136" t="n">
        <v>0.5</v>
      </c>
      <c r="BR171" s="136" t="n">
        <v>0</v>
      </c>
      <c r="BS171" s="136" t="n">
        <v>-0.07</v>
      </c>
      <c r="BT171" s="136" t="n">
        <v>0.005</v>
      </c>
      <c r="BU171" s="136" t="n">
        <v>0.3</v>
      </c>
      <c r="BV171" s="136" t="n">
        <v>0</v>
      </c>
      <c r="BW171" s="136" t="n">
        <v>0</v>
      </c>
      <c r="BX171" s="136" t="n">
        <v>0</v>
      </c>
      <c r="BY171" s="136" t="n">
        <v>-0.006999999</v>
      </c>
      <c r="BZ171" s="136" t="n">
        <v>0.0575</v>
      </c>
      <c r="CA171" s="136" t="n">
        <v>0.15</v>
      </c>
      <c r="CB171" s="136" t="n">
        <v>0.005</v>
      </c>
      <c r="CC171" s="136" t="n">
        <v>-0.006999999</v>
      </c>
      <c r="CD171" s="136" t="n">
        <v>0.0035</v>
      </c>
      <c r="CE171" s="136" t="n">
        <v>0.0025</v>
      </c>
      <c r="CF171" s="136" t="n">
        <v>0.0025</v>
      </c>
      <c r="CG171" s="136" t="n">
        <v>-0.006999999</v>
      </c>
      <c r="CH171" s="136" t="n">
        <v>0.0035</v>
      </c>
      <c r="CI171" s="136" t="n">
        <v>-0.0625</v>
      </c>
      <c r="CJ171" s="136" t="n">
        <v>0.0025</v>
      </c>
      <c r="CK171" s="136" t="n">
        <v>0.0775</v>
      </c>
      <c r="CL171" s="136" t="n">
        <v>0.0025</v>
      </c>
      <c r="CM171" s="136" t="n">
        <v>-0.072</v>
      </c>
      <c r="CN171" s="136" t="n">
        <v>0.0075</v>
      </c>
      <c r="CO171" s="136" t="n">
        <v>-0.017</v>
      </c>
      <c r="CP171" s="136" t="n">
        <v>0.005</v>
      </c>
      <c r="CQ171" s="136" t="n">
        <v>0.023</v>
      </c>
      <c r="CR171" s="136" t="n">
        <v>0.0075</v>
      </c>
      <c r="CS171" s="136" t="n">
        <v>0.41</v>
      </c>
      <c r="CT171" s="136" t="n">
        <v>0.01</v>
      </c>
      <c r="CU171" s="136" t="n">
        <v>-0.05</v>
      </c>
      <c r="CV171" s="136" t="n">
        <v>0</v>
      </c>
      <c r="CW171" s="136" t="n">
        <v>0.205</v>
      </c>
      <c r="CX171" s="136" t="n">
        <v>0.0075</v>
      </c>
      <c r="CY171" s="136" t="n">
        <v>-0.63</v>
      </c>
      <c r="CZ171" s="136" t="n">
        <v>0</v>
      </c>
      <c r="DA171" s="136" t="n">
        <v>-0.45</v>
      </c>
      <c r="DB171" s="136" t="n">
        <v>0</v>
      </c>
      <c r="DC171" s="136" t="n">
        <v>1.05</v>
      </c>
      <c r="DE171" s="136" t="n">
        <v>-0.0425</v>
      </c>
      <c r="DF171" s="136" t="n">
        <v>0.01</v>
      </c>
      <c r="DG171" s="136" t="n">
        <v>0.0155</v>
      </c>
      <c r="DH171" s="136" t="n">
        <v>0.01</v>
      </c>
      <c r="DI171" s="136" t="n">
        <v>0.000500000000000007</v>
      </c>
      <c r="DJ171" s="136" t="n">
        <v>0.0075</v>
      </c>
      <c r="DK171" s="136" t="n">
        <v>-0.0375</v>
      </c>
      <c r="DL171" s="136" t="n">
        <v>0.005</v>
      </c>
      <c r="DM171" s="136" t="n">
        <v>-0.049</v>
      </c>
      <c r="DN171" s="136" t="n">
        <v>0.0025</v>
      </c>
      <c r="DO171" s="136" t="n">
        <v>-0.0715</v>
      </c>
      <c r="DP171" s="136" t="n">
        <v>0.0025</v>
      </c>
      <c r="DQ171" s="136" t="n">
        <v>-0.0675</v>
      </c>
      <c r="DR171" s="136" t="n">
        <v>-0.005</v>
      </c>
      <c r="DS171" s="136" t="n">
        <v>0.35</v>
      </c>
      <c r="DT171" s="136" t="n">
        <v>-0.005</v>
      </c>
      <c r="DU171" s="136" t="n">
        <v>0</v>
      </c>
      <c r="DV171" s="136" t="n">
        <v>0</v>
      </c>
    </row>
    <row r="172" customFormat="false" ht="12.75" hidden="false" customHeight="false" outlineLevel="0" collapsed="false">
      <c r="D172" s="135" t="n">
        <v>41883</v>
      </c>
      <c r="F172" s="174" t="n">
        <v>4.1145</v>
      </c>
      <c r="G172" s="175" t="n">
        <v>0.0632595471161164</v>
      </c>
      <c r="H172" s="174" t="n">
        <v>0.17</v>
      </c>
      <c r="I172" s="174" t="n">
        <v>0.55</v>
      </c>
      <c r="J172" s="174" t="n">
        <v>0.55</v>
      </c>
      <c r="K172" s="174" t="n">
        <v>0.55</v>
      </c>
      <c r="L172" s="172" t="n">
        <v>0.55</v>
      </c>
      <c r="M172" s="172" t="n">
        <v>0.55</v>
      </c>
      <c r="N172" s="174" t="n">
        <v>0.6</v>
      </c>
      <c r="O172" s="174" t="n">
        <v>0.6</v>
      </c>
      <c r="P172" s="174" t="n">
        <v>0.55</v>
      </c>
      <c r="Q172" s="174" t="n">
        <v>0.5</v>
      </c>
      <c r="R172" s="175" t="n">
        <v>0.55</v>
      </c>
      <c r="S172" s="175" t="n">
        <v>0.6</v>
      </c>
      <c r="T172" s="174" t="n">
        <v>0.55</v>
      </c>
      <c r="U172" s="174" t="n">
        <v>0.6</v>
      </c>
      <c r="V172" s="174" t="n">
        <v>0.65</v>
      </c>
      <c r="W172" s="174" t="n">
        <v>-0.09</v>
      </c>
      <c r="X172" s="174" t="n">
        <v>0</v>
      </c>
      <c r="Y172" s="174" t="n">
        <v>0.04</v>
      </c>
      <c r="Z172" s="174" t="n">
        <v>0.005</v>
      </c>
      <c r="AA172" s="174" t="n">
        <v>0.175</v>
      </c>
      <c r="AB172" s="174" t="n">
        <v>0</v>
      </c>
      <c r="AC172" s="174" t="n">
        <v>0.14</v>
      </c>
      <c r="AD172" s="174" t="n">
        <v>0</v>
      </c>
      <c r="AE172" s="174" t="n">
        <v>0.175</v>
      </c>
      <c r="AF172" s="174" t="n">
        <v>0</v>
      </c>
      <c r="AG172" s="174" t="n">
        <v>0.14</v>
      </c>
      <c r="AH172" s="174" t="n">
        <v>0</v>
      </c>
      <c r="AI172" s="174" t="n">
        <v>0.14</v>
      </c>
      <c r="AJ172" s="174" t="n">
        <v>0</v>
      </c>
      <c r="AK172" s="174" t="n">
        <v>0.04</v>
      </c>
      <c r="AL172" s="174" t="n">
        <v>0.04</v>
      </c>
      <c r="AM172" s="174" t="n">
        <v>-0.0405</v>
      </c>
      <c r="AN172" s="174" t="n">
        <v>0.031</v>
      </c>
      <c r="AO172" s="174" t="n">
        <v>-0.693</v>
      </c>
      <c r="AP172" s="174" t="n">
        <v>0.155</v>
      </c>
      <c r="AQ172" s="174" t="n">
        <v>-0.03</v>
      </c>
      <c r="AR172" s="174" t="n">
        <v>0</v>
      </c>
      <c r="AS172" s="174" t="n">
        <v>-0.15</v>
      </c>
      <c r="AT172" s="174" t="n">
        <v>-0.015</v>
      </c>
      <c r="AU172" s="174" t="n">
        <v>-0.11</v>
      </c>
      <c r="AV172" s="174" t="n">
        <v>0.02</v>
      </c>
      <c r="AW172" s="174" t="n">
        <v>-0.035</v>
      </c>
      <c r="AX172" s="174" t="n">
        <v>0.012</v>
      </c>
      <c r="AY172" s="175" t="n">
        <v>0.125</v>
      </c>
      <c r="AZ172" s="175" t="n">
        <v>0</v>
      </c>
      <c r="BA172" s="175" t="n">
        <v>-0.195</v>
      </c>
      <c r="BB172" s="174" t="n">
        <v>0.0025</v>
      </c>
      <c r="BC172" s="174" t="n">
        <v>-0.07</v>
      </c>
      <c r="BD172" s="174" t="n">
        <v>0.005</v>
      </c>
      <c r="BE172" s="174" t="n">
        <v>0.43</v>
      </c>
      <c r="BF172" s="174" t="n">
        <v>0</v>
      </c>
      <c r="BG172" s="174" t="n">
        <v>-0.06</v>
      </c>
      <c r="BH172" s="174" t="n">
        <v>0</v>
      </c>
      <c r="BI172" s="174" t="n">
        <v>0</v>
      </c>
      <c r="BJ172" s="136" t="n">
        <v>0.03</v>
      </c>
      <c r="BK172" s="136" t="n">
        <v>0.43</v>
      </c>
      <c r="BL172" s="136" t="n">
        <v>0</v>
      </c>
      <c r="BM172" s="136" t="n">
        <v>-0.05</v>
      </c>
      <c r="BN172" s="136" t="n">
        <v>0</v>
      </c>
      <c r="BO172" s="136" t="n">
        <v>-0.37</v>
      </c>
      <c r="BP172" s="136" t="n">
        <v>0</v>
      </c>
      <c r="BQ172" s="136" t="n">
        <v>0.5</v>
      </c>
      <c r="BR172" s="136" t="n">
        <v>0</v>
      </c>
      <c r="BS172" s="136" t="n">
        <v>-0.07</v>
      </c>
      <c r="BT172" s="136" t="n">
        <v>0.005</v>
      </c>
      <c r="BU172" s="136" t="n">
        <v>0.3</v>
      </c>
      <c r="BV172" s="136" t="n">
        <v>0</v>
      </c>
      <c r="BW172" s="136" t="n">
        <v>0</v>
      </c>
      <c r="BX172" s="136" t="n">
        <v>0</v>
      </c>
      <c r="BY172" s="136" t="n">
        <v>-0.006999999</v>
      </c>
      <c r="BZ172" s="136" t="n">
        <v>0.0575</v>
      </c>
      <c r="CA172" s="136" t="n">
        <v>0.125</v>
      </c>
      <c r="CB172" s="136" t="n">
        <v>0.005</v>
      </c>
      <c r="CC172" s="136" t="n">
        <v>-0.006999999</v>
      </c>
      <c r="CD172" s="136" t="n">
        <v>0.0035</v>
      </c>
      <c r="CE172" s="136" t="n">
        <v>0.0025</v>
      </c>
      <c r="CF172" s="136" t="n">
        <v>0.0025</v>
      </c>
      <c r="CG172" s="136" t="n">
        <v>-0.006999999</v>
      </c>
      <c r="CH172" s="136" t="n">
        <v>0.0035</v>
      </c>
      <c r="CI172" s="136" t="n">
        <v>-0.0675</v>
      </c>
      <c r="CJ172" s="136" t="n">
        <v>0.0025</v>
      </c>
      <c r="CK172" s="136" t="n">
        <v>0.0775</v>
      </c>
      <c r="CL172" s="136" t="n">
        <v>0.0025</v>
      </c>
      <c r="CM172" s="136" t="n">
        <v>-0.072</v>
      </c>
      <c r="CN172" s="136" t="n">
        <v>0.0075</v>
      </c>
      <c r="CO172" s="136" t="n">
        <v>-0.017</v>
      </c>
      <c r="CP172" s="136" t="n">
        <v>0.005</v>
      </c>
      <c r="CQ172" s="136" t="n">
        <v>0.023</v>
      </c>
      <c r="CR172" s="136" t="n">
        <v>0.0075</v>
      </c>
      <c r="CS172" s="136" t="n">
        <v>0.36</v>
      </c>
      <c r="CT172" s="136" t="n">
        <v>0.01</v>
      </c>
      <c r="CU172" s="136" t="n">
        <v>-0.05</v>
      </c>
      <c r="CV172" s="136" t="n">
        <v>0</v>
      </c>
      <c r="CW172" s="136" t="n">
        <v>0.145</v>
      </c>
      <c r="CX172" s="136" t="n">
        <v>0.0075</v>
      </c>
      <c r="CY172" s="136" t="n">
        <v>-0.63</v>
      </c>
      <c r="CZ172" s="136" t="n">
        <v>0</v>
      </c>
      <c r="DA172" s="136" t="n">
        <v>-0.45</v>
      </c>
      <c r="DB172" s="136" t="n">
        <v>0</v>
      </c>
      <c r="DC172" s="136" t="n">
        <v>0.75</v>
      </c>
      <c r="DE172" s="136" t="n">
        <v>-0.0475</v>
      </c>
      <c r="DF172" s="136" t="n">
        <v>0.01</v>
      </c>
      <c r="DG172" s="136" t="n">
        <v>0.0155</v>
      </c>
      <c r="DH172" s="136" t="n">
        <v>0.01</v>
      </c>
      <c r="DI172" s="136" t="n">
        <v>0.000500000000000007</v>
      </c>
      <c r="DJ172" s="136" t="n">
        <v>0.0075</v>
      </c>
      <c r="DK172" s="136" t="n">
        <v>-0.0475</v>
      </c>
      <c r="DL172" s="136" t="n">
        <v>0.005</v>
      </c>
      <c r="DM172" s="136" t="n">
        <v>-0.049</v>
      </c>
      <c r="DN172" s="136" t="n">
        <v>0.0025</v>
      </c>
      <c r="DO172" s="136" t="n">
        <v>-0.0715</v>
      </c>
      <c r="DP172" s="136" t="n">
        <v>0.0025</v>
      </c>
      <c r="DQ172" s="136" t="n">
        <v>-0.0775</v>
      </c>
      <c r="DR172" s="136" t="n">
        <v>-0.005</v>
      </c>
      <c r="DS172" s="136" t="n">
        <v>0.315</v>
      </c>
      <c r="DT172" s="136" t="n">
        <v>-0.005</v>
      </c>
      <c r="DU172" s="136" t="n">
        <v>0</v>
      </c>
      <c r="DV172" s="136" t="n">
        <v>0</v>
      </c>
    </row>
    <row r="173" customFormat="false" ht="12.75" hidden="false" customHeight="false" outlineLevel="0" collapsed="false">
      <c r="D173" s="135" t="n">
        <v>41913</v>
      </c>
      <c r="F173" s="174" t="n">
        <v>4.1395</v>
      </c>
      <c r="G173" s="175" t="n">
        <v>0.063298783343217</v>
      </c>
      <c r="H173" s="174" t="n">
        <v>0.17</v>
      </c>
      <c r="I173" s="174" t="n">
        <v>0.6</v>
      </c>
      <c r="J173" s="174" t="n">
        <v>0.6</v>
      </c>
      <c r="K173" s="174" t="n">
        <v>0.55</v>
      </c>
      <c r="L173" s="172" t="n">
        <v>0.6</v>
      </c>
      <c r="M173" s="172" t="n">
        <v>0.6</v>
      </c>
      <c r="N173" s="174" t="n">
        <v>0.65</v>
      </c>
      <c r="O173" s="174" t="n">
        <v>0.65</v>
      </c>
      <c r="P173" s="174" t="n">
        <v>0.6</v>
      </c>
      <c r="Q173" s="174" t="n">
        <v>0.5</v>
      </c>
      <c r="R173" s="175" t="n">
        <v>0.6</v>
      </c>
      <c r="S173" s="175" t="n">
        <v>0.65</v>
      </c>
      <c r="T173" s="174" t="n">
        <v>0.6</v>
      </c>
      <c r="U173" s="174" t="n">
        <v>0.65</v>
      </c>
      <c r="V173" s="174" t="n">
        <v>0.7</v>
      </c>
      <c r="W173" s="174" t="n">
        <v>-0.09</v>
      </c>
      <c r="X173" s="174" t="n">
        <v>0</v>
      </c>
      <c r="Y173" s="174" t="n">
        <v>0.04</v>
      </c>
      <c r="Z173" s="174" t="n">
        <v>0.005</v>
      </c>
      <c r="AA173" s="174" t="n">
        <v>0.175</v>
      </c>
      <c r="AB173" s="174" t="n">
        <v>0</v>
      </c>
      <c r="AC173" s="174" t="n">
        <v>0.14</v>
      </c>
      <c r="AD173" s="174" t="n">
        <v>0</v>
      </c>
      <c r="AE173" s="174" t="n">
        <v>0.175</v>
      </c>
      <c r="AF173" s="174" t="n">
        <v>0</v>
      </c>
      <c r="AG173" s="174" t="n">
        <v>0.14</v>
      </c>
      <c r="AH173" s="174" t="n">
        <v>0</v>
      </c>
      <c r="AI173" s="174" t="n">
        <v>0.14</v>
      </c>
      <c r="AJ173" s="174" t="n">
        <v>0</v>
      </c>
      <c r="AK173" s="174" t="n">
        <v>0.04</v>
      </c>
      <c r="AL173" s="174" t="n">
        <v>0.04</v>
      </c>
      <c r="AM173" s="174" t="n">
        <v>-0.0405</v>
      </c>
      <c r="AN173" s="174" t="n">
        <v>0.031</v>
      </c>
      <c r="AO173" s="174" t="n">
        <v>-0.693</v>
      </c>
      <c r="AP173" s="174" t="n">
        <v>0.155</v>
      </c>
      <c r="AQ173" s="174" t="n">
        <v>-0.03</v>
      </c>
      <c r="AR173" s="174" t="n">
        <v>0</v>
      </c>
      <c r="AS173" s="174" t="n">
        <v>-0.15</v>
      </c>
      <c r="AT173" s="174" t="n">
        <v>-0.015</v>
      </c>
      <c r="AU173" s="174" t="n">
        <v>-0.11</v>
      </c>
      <c r="AV173" s="174" t="n">
        <v>0.02</v>
      </c>
      <c r="AW173" s="174" t="n">
        <v>-0.035</v>
      </c>
      <c r="AX173" s="174" t="n">
        <v>0.012</v>
      </c>
      <c r="AY173" s="175" t="n">
        <v>0.125</v>
      </c>
      <c r="AZ173" s="175" t="n">
        <v>0</v>
      </c>
      <c r="BA173" s="175" t="n">
        <v>-0.195</v>
      </c>
      <c r="BB173" s="174" t="n">
        <v>0.0025</v>
      </c>
      <c r="BC173" s="174" t="n">
        <v>-0.07</v>
      </c>
      <c r="BD173" s="174" t="n">
        <v>0.005</v>
      </c>
      <c r="BE173" s="174" t="n">
        <v>0.43</v>
      </c>
      <c r="BF173" s="174" t="n">
        <v>0</v>
      </c>
      <c r="BG173" s="174" t="n">
        <v>-0.06</v>
      </c>
      <c r="BH173" s="174" t="n">
        <v>0</v>
      </c>
      <c r="BI173" s="174" t="n">
        <v>0</v>
      </c>
      <c r="BJ173" s="136" t="n">
        <v>0.03</v>
      </c>
      <c r="BK173" s="136" t="n">
        <v>0.43</v>
      </c>
      <c r="BL173" s="136" t="n">
        <v>0</v>
      </c>
      <c r="BM173" s="136" t="n">
        <v>-0.05</v>
      </c>
      <c r="BN173" s="136" t="n">
        <v>0</v>
      </c>
      <c r="BO173" s="136" t="n">
        <v>-0.37</v>
      </c>
      <c r="BP173" s="136" t="n">
        <v>0</v>
      </c>
      <c r="BQ173" s="136" t="n">
        <v>0.5</v>
      </c>
      <c r="BR173" s="136" t="n">
        <v>0</v>
      </c>
      <c r="BS173" s="136" t="n">
        <v>-0.07</v>
      </c>
      <c r="BT173" s="136" t="n">
        <v>0.005</v>
      </c>
      <c r="BU173" s="136" t="n">
        <v>0.3</v>
      </c>
      <c r="BV173" s="136" t="n">
        <v>0</v>
      </c>
      <c r="BW173" s="136" t="n">
        <v>0</v>
      </c>
      <c r="BX173" s="136" t="n">
        <v>0</v>
      </c>
      <c r="BY173" s="136" t="n">
        <v>-0.006999999</v>
      </c>
      <c r="BZ173" s="136" t="n">
        <v>0.0575</v>
      </c>
      <c r="CA173" s="136" t="n">
        <v>0.145</v>
      </c>
      <c r="CB173" s="136" t="n">
        <v>0.005</v>
      </c>
      <c r="CC173" s="136" t="n">
        <v>-0.006999999</v>
      </c>
      <c r="CD173" s="136" t="n">
        <v>0.0035</v>
      </c>
      <c r="CE173" s="136" t="n">
        <v>0.0025</v>
      </c>
      <c r="CF173" s="136" t="n">
        <v>0.0025</v>
      </c>
      <c r="CG173" s="136" t="n">
        <v>-0.006999999</v>
      </c>
      <c r="CH173" s="136" t="n">
        <v>0.0035</v>
      </c>
      <c r="CI173" s="136" t="n">
        <v>-0.07</v>
      </c>
      <c r="CJ173" s="136" t="n">
        <v>0.0025</v>
      </c>
      <c r="CK173" s="136" t="n">
        <v>0.0775</v>
      </c>
      <c r="CL173" s="136" t="n">
        <v>0.0025</v>
      </c>
      <c r="CM173" s="136" t="n">
        <v>-0.072</v>
      </c>
      <c r="CN173" s="136" t="n">
        <v>0.0075</v>
      </c>
      <c r="CO173" s="136" t="n">
        <v>-0.017</v>
      </c>
      <c r="CP173" s="136" t="n">
        <v>0.005</v>
      </c>
      <c r="CQ173" s="136" t="n">
        <v>0.023</v>
      </c>
      <c r="CR173" s="136" t="n">
        <v>0.0075</v>
      </c>
      <c r="CS173" s="136" t="n">
        <v>0.4</v>
      </c>
      <c r="CT173" s="136" t="n">
        <v>0.01</v>
      </c>
      <c r="CU173" s="136" t="n">
        <v>-0.05</v>
      </c>
      <c r="CV173" s="136" t="n">
        <v>0</v>
      </c>
      <c r="CW173" s="136" t="n">
        <v>0.175</v>
      </c>
      <c r="CX173" s="136" t="n">
        <v>0.0075</v>
      </c>
      <c r="CY173" s="136" t="n">
        <v>-0.63</v>
      </c>
      <c r="CZ173" s="136" t="n">
        <v>0</v>
      </c>
      <c r="DA173" s="136" t="n">
        <v>-0.45</v>
      </c>
      <c r="DB173" s="136" t="n">
        <v>0</v>
      </c>
      <c r="DC173" s="136" t="n">
        <v>0.45</v>
      </c>
      <c r="DE173" s="136" t="n">
        <v>-0.0475</v>
      </c>
      <c r="DF173" s="136" t="n">
        <v>0.01</v>
      </c>
      <c r="DG173" s="136" t="n">
        <v>0.013</v>
      </c>
      <c r="DH173" s="136" t="n">
        <v>0.01</v>
      </c>
      <c r="DI173" s="136" t="n">
        <v>-0.001999999</v>
      </c>
      <c r="DJ173" s="136" t="n">
        <v>0.0075</v>
      </c>
      <c r="DK173" s="136" t="n">
        <v>-0.035</v>
      </c>
      <c r="DL173" s="136" t="n">
        <v>0.005</v>
      </c>
      <c r="DM173" s="136" t="n">
        <v>-0.049</v>
      </c>
      <c r="DN173" s="136" t="n">
        <v>0.0025</v>
      </c>
      <c r="DO173" s="136" t="n">
        <v>-0.0715</v>
      </c>
      <c r="DP173" s="136" t="n">
        <v>0.0025</v>
      </c>
      <c r="DQ173" s="136" t="n">
        <v>-0.065</v>
      </c>
      <c r="DR173" s="136" t="n">
        <v>-0.005</v>
      </c>
      <c r="DS173" s="136" t="n">
        <v>0.36</v>
      </c>
      <c r="DT173" s="136" t="n">
        <v>-0.005</v>
      </c>
      <c r="DU173" s="136" t="n">
        <v>0</v>
      </c>
      <c r="DV173" s="136" t="n">
        <v>0</v>
      </c>
    </row>
    <row r="174" customFormat="false" ht="12.75" hidden="false" customHeight="false" outlineLevel="0" collapsed="false">
      <c r="D174" s="135" t="n">
        <v>41944</v>
      </c>
      <c r="F174" s="174" t="n">
        <v>4.2915</v>
      </c>
      <c r="G174" s="175" t="n">
        <v>0.0633393274450911</v>
      </c>
      <c r="H174" s="174" t="n">
        <v>0.17</v>
      </c>
      <c r="I174" s="174" t="n">
        <v>0.8</v>
      </c>
      <c r="J174" s="174" t="n">
        <v>0.85</v>
      </c>
      <c r="K174" s="174" t="n">
        <v>0.8</v>
      </c>
      <c r="L174" s="172" t="n">
        <v>0.8</v>
      </c>
      <c r="M174" s="172" t="n">
        <v>0.9</v>
      </c>
      <c r="N174" s="174" t="n">
        <v>0.95</v>
      </c>
      <c r="O174" s="174" t="n">
        <v>0.85</v>
      </c>
      <c r="P174" s="174" t="n">
        <v>0.8</v>
      </c>
      <c r="Q174" s="174" t="n">
        <v>0.95</v>
      </c>
      <c r="R174" s="175" t="n">
        <v>0.8</v>
      </c>
      <c r="S174" s="175" t="n">
        <v>0.8</v>
      </c>
      <c r="T174" s="174" t="n">
        <v>0.8</v>
      </c>
      <c r="U174" s="174" t="n">
        <v>0.95</v>
      </c>
      <c r="V174" s="174" t="n">
        <v>0.9</v>
      </c>
      <c r="W174" s="174" t="n">
        <v>0</v>
      </c>
      <c r="X174" s="174" t="n">
        <v>0.03</v>
      </c>
      <c r="Y174" s="174" t="n">
        <v>0</v>
      </c>
      <c r="Z174" s="174" t="n">
        <v>0.02</v>
      </c>
      <c r="AA174" s="174" t="n">
        <v>0</v>
      </c>
      <c r="AB174" s="174" t="n">
        <v>0</v>
      </c>
      <c r="AC174" s="174" t="n">
        <v>0</v>
      </c>
      <c r="AD174" s="174" t="n">
        <v>0</v>
      </c>
      <c r="AE174" s="174" t="n">
        <v>0</v>
      </c>
      <c r="AF174" s="174" t="n">
        <v>0</v>
      </c>
      <c r="AG174" s="174" t="n">
        <v>0</v>
      </c>
      <c r="AH174" s="174" t="n">
        <v>0</v>
      </c>
      <c r="AI174" s="174" t="n">
        <v>0</v>
      </c>
      <c r="AJ174" s="174" t="n">
        <v>0</v>
      </c>
      <c r="AK174" s="174" t="n">
        <v>0</v>
      </c>
      <c r="AL174" s="174" t="n">
        <v>0.035</v>
      </c>
      <c r="AM174" s="174" t="n">
        <v>-0.055</v>
      </c>
      <c r="AN174" s="174" t="n">
        <v>0.026</v>
      </c>
      <c r="AO174" s="174" t="n">
        <v>-0.653</v>
      </c>
      <c r="AP174" s="174" t="n">
        <v>0.155</v>
      </c>
      <c r="AQ174" s="174" t="n">
        <v>-0.03</v>
      </c>
      <c r="AR174" s="174" t="n">
        <v>0.005</v>
      </c>
      <c r="AS174" s="174" t="n">
        <v>-0.15</v>
      </c>
      <c r="AT174" s="174" t="n">
        <v>-0.005</v>
      </c>
      <c r="AU174" s="174" t="n">
        <v>-0.11</v>
      </c>
      <c r="AV174" s="174" t="n">
        <v>-0.01</v>
      </c>
      <c r="AW174" s="174" t="n">
        <v>-0.0345</v>
      </c>
      <c r="AX174" s="174" t="n">
        <v>0.022</v>
      </c>
      <c r="AY174" s="175" t="n">
        <v>0</v>
      </c>
      <c r="AZ174" s="175" t="n">
        <v>0</v>
      </c>
      <c r="BA174" s="175" t="n">
        <v>-0.13</v>
      </c>
      <c r="BB174" s="174" t="n">
        <v>0.005</v>
      </c>
      <c r="BC174" s="174" t="n">
        <v>-0.07</v>
      </c>
      <c r="BD174" s="174" t="n">
        <v>0.005</v>
      </c>
      <c r="BE174" s="174" t="n">
        <v>0.35</v>
      </c>
      <c r="BF174" s="174" t="n">
        <v>0</v>
      </c>
      <c r="BG174" s="174" t="n">
        <v>-0.06</v>
      </c>
      <c r="BH174" s="174" t="n">
        <v>0</v>
      </c>
      <c r="BI174" s="174" t="n">
        <v>0</v>
      </c>
      <c r="BJ174" s="136" t="n">
        <v>0.03</v>
      </c>
      <c r="BK174" s="136" t="n">
        <v>0.35</v>
      </c>
      <c r="BL174" s="136" t="n">
        <v>0</v>
      </c>
      <c r="BM174" s="136" t="n">
        <v>0.298</v>
      </c>
      <c r="BN174" s="136" t="n">
        <v>0</v>
      </c>
      <c r="BO174" s="136" t="n">
        <v>-0.26</v>
      </c>
      <c r="BP174" s="136" t="n">
        <v>0</v>
      </c>
      <c r="BQ174" s="136" t="n">
        <v>0.5</v>
      </c>
      <c r="BR174" s="136" t="n">
        <v>0</v>
      </c>
      <c r="BS174" s="136" t="n">
        <v>-0.07</v>
      </c>
      <c r="BT174" s="136" t="n">
        <v>0.005</v>
      </c>
      <c r="BU174" s="136" t="n">
        <v>0.3</v>
      </c>
      <c r="BV174" s="136" t="n">
        <v>0</v>
      </c>
      <c r="BW174" s="136" t="n">
        <v>0</v>
      </c>
      <c r="BX174" s="136" t="n">
        <v>0</v>
      </c>
      <c r="BY174" s="136" t="n">
        <v>-0.006999999</v>
      </c>
      <c r="BZ174" s="136" t="n">
        <v>0.0575</v>
      </c>
      <c r="CA174" s="136" t="n">
        <v>0.195</v>
      </c>
      <c r="CB174" s="136" t="n">
        <v>0.005</v>
      </c>
      <c r="CC174" s="136" t="n">
        <v>-0.006999999</v>
      </c>
      <c r="CD174" s="136" t="n">
        <v>0.0037</v>
      </c>
      <c r="CE174" s="136" t="n">
        <v>0.0025</v>
      </c>
      <c r="CF174" s="136" t="n">
        <v>0.0025</v>
      </c>
      <c r="CG174" s="136" t="n">
        <v>-0.006999999</v>
      </c>
      <c r="CH174" s="136" t="n">
        <v>0.0037</v>
      </c>
      <c r="CI174" s="136" t="n">
        <v>-0.075</v>
      </c>
      <c r="CJ174" s="136" t="n">
        <v>0.0025</v>
      </c>
      <c r="CK174" s="136" t="n">
        <v>0.075</v>
      </c>
      <c r="CL174" s="136" t="n">
        <v>0.0025</v>
      </c>
      <c r="CM174" s="136" t="n">
        <v>-0.064</v>
      </c>
      <c r="CN174" s="136" t="n">
        <v>0.01</v>
      </c>
      <c r="CO174" s="136" t="n">
        <v>-0.008999999</v>
      </c>
      <c r="CP174" s="136" t="n">
        <v>0.0075</v>
      </c>
      <c r="CQ174" s="136" t="n">
        <v>0.031</v>
      </c>
      <c r="CR174" s="136" t="n">
        <v>0.0125</v>
      </c>
      <c r="CS174" s="136" t="n">
        <v>0.65</v>
      </c>
      <c r="CT174" s="136" t="n">
        <v>0.055</v>
      </c>
      <c r="CU174" s="136" t="n">
        <v>0.298</v>
      </c>
      <c r="CV174" s="136" t="n">
        <v>0</v>
      </c>
      <c r="CW174" s="136" t="n">
        <v>0.21</v>
      </c>
      <c r="CX174" s="136" t="n">
        <v>0.02</v>
      </c>
      <c r="CY174" s="136" t="n">
        <v>-0.52</v>
      </c>
      <c r="CZ174" s="136" t="n">
        <v>0</v>
      </c>
      <c r="DA174" s="136" t="n">
        <v>-0.34</v>
      </c>
      <c r="DB174" s="136" t="n">
        <v>0</v>
      </c>
      <c r="DC174" s="136" t="n">
        <v>0.45</v>
      </c>
      <c r="DE174" s="136" t="n">
        <v>-0.036</v>
      </c>
      <c r="DF174" s="136" t="n">
        <v>0.0125</v>
      </c>
      <c r="DG174" s="136" t="n">
        <v>0.014</v>
      </c>
      <c r="DH174" s="136" t="n">
        <v>0.0075</v>
      </c>
      <c r="DI174" s="136" t="n">
        <v>0.000999999999999994</v>
      </c>
      <c r="DJ174" s="136" t="n">
        <v>0.0025</v>
      </c>
      <c r="DK174" s="136" t="n">
        <v>-0.04</v>
      </c>
      <c r="DL174" s="136" t="n">
        <v>0.0025</v>
      </c>
      <c r="DM174" s="136" t="n">
        <v>-0.0515</v>
      </c>
      <c r="DN174" s="136" t="n">
        <v>0.0025</v>
      </c>
      <c r="DO174" s="136" t="n">
        <v>-0.074</v>
      </c>
      <c r="DP174" s="136" t="n">
        <v>0.0025</v>
      </c>
      <c r="DQ174" s="136" t="n">
        <v>-0.07</v>
      </c>
      <c r="DR174" s="136" t="n">
        <v>-0.005</v>
      </c>
      <c r="DS174" s="136" t="n">
        <v>0.46</v>
      </c>
      <c r="DT174" s="136" t="n">
        <v>0.05</v>
      </c>
      <c r="DU174" s="136" t="n">
        <v>0</v>
      </c>
      <c r="DV174" s="136" t="n">
        <v>0</v>
      </c>
    </row>
    <row r="175" customFormat="false" ht="12.75" hidden="false" customHeight="false" outlineLevel="0" collapsed="false">
      <c r="D175" s="135" t="n">
        <v>41974</v>
      </c>
      <c r="F175" s="174" t="n">
        <v>4.4345</v>
      </c>
      <c r="G175" s="175" t="n">
        <v>0.0633785636732305</v>
      </c>
      <c r="H175" s="174" t="n">
        <v>0.17</v>
      </c>
      <c r="I175" s="174" t="n">
        <v>1</v>
      </c>
      <c r="J175" s="174" t="n">
        <v>1.05</v>
      </c>
      <c r="K175" s="174" t="n">
        <v>1</v>
      </c>
      <c r="L175" s="172" t="n">
        <v>1</v>
      </c>
      <c r="M175" s="172" t="n">
        <v>1.15</v>
      </c>
      <c r="N175" s="174" t="n">
        <v>1.25</v>
      </c>
      <c r="O175" s="174" t="n">
        <v>1.05</v>
      </c>
      <c r="P175" s="174" t="n">
        <v>1</v>
      </c>
      <c r="Q175" s="174" t="n">
        <v>1.35</v>
      </c>
      <c r="R175" s="175" t="n">
        <v>1</v>
      </c>
      <c r="S175" s="175" t="n">
        <v>1.1</v>
      </c>
      <c r="T175" s="174" t="n">
        <v>1</v>
      </c>
      <c r="U175" s="174" t="n">
        <v>1.25</v>
      </c>
      <c r="V175" s="174" t="n">
        <v>1.1</v>
      </c>
      <c r="W175" s="174" t="n">
        <v>0.005</v>
      </c>
      <c r="X175" s="174" t="n">
        <v>0.03</v>
      </c>
      <c r="Y175" s="174" t="n">
        <v>0</v>
      </c>
      <c r="Z175" s="174" t="n">
        <v>0.02</v>
      </c>
      <c r="AA175" s="174" t="n">
        <v>0</v>
      </c>
      <c r="AB175" s="174" t="n">
        <v>0</v>
      </c>
      <c r="AC175" s="174" t="n">
        <v>0</v>
      </c>
      <c r="AD175" s="174" t="n">
        <v>0</v>
      </c>
      <c r="AE175" s="174" t="n">
        <v>0</v>
      </c>
      <c r="AF175" s="174" t="n">
        <v>0</v>
      </c>
      <c r="AG175" s="174" t="n">
        <v>0</v>
      </c>
      <c r="AH175" s="174" t="n">
        <v>0</v>
      </c>
      <c r="AI175" s="174" t="n">
        <v>0</v>
      </c>
      <c r="AJ175" s="174" t="n">
        <v>0</v>
      </c>
      <c r="AK175" s="174" t="n">
        <v>0</v>
      </c>
      <c r="AL175" s="174" t="n">
        <v>0.035</v>
      </c>
      <c r="AM175" s="174" t="n">
        <v>-0.055</v>
      </c>
      <c r="AN175" s="174" t="n">
        <v>0.026</v>
      </c>
      <c r="AO175" s="174" t="n">
        <v>-0.653</v>
      </c>
      <c r="AP175" s="174" t="n">
        <v>0.155</v>
      </c>
      <c r="AQ175" s="174" t="n">
        <v>-0.03</v>
      </c>
      <c r="AR175" s="174" t="n">
        <v>0.005</v>
      </c>
      <c r="AS175" s="174" t="n">
        <v>-0.1525</v>
      </c>
      <c r="AT175" s="174" t="n">
        <v>-0.005</v>
      </c>
      <c r="AU175" s="174" t="n">
        <v>-0.1125</v>
      </c>
      <c r="AV175" s="174" t="n">
        <v>-0.01</v>
      </c>
      <c r="AW175" s="174" t="n">
        <v>-0.0345</v>
      </c>
      <c r="AX175" s="174" t="n">
        <v>0.022</v>
      </c>
      <c r="AY175" s="175" t="n">
        <v>0</v>
      </c>
      <c r="AZ175" s="175" t="n">
        <v>0</v>
      </c>
      <c r="BA175" s="175" t="n">
        <v>-0.13</v>
      </c>
      <c r="BB175" s="174" t="n">
        <v>0.005</v>
      </c>
      <c r="BC175" s="174" t="n">
        <v>-0.07</v>
      </c>
      <c r="BD175" s="174" t="n">
        <v>0.005</v>
      </c>
      <c r="BE175" s="174" t="n">
        <v>0.35</v>
      </c>
      <c r="BF175" s="174" t="n">
        <v>0</v>
      </c>
      <c r="BG175" s="174" t="n">
        <v>-0.06</v>
      </c>
      <c r="BH175" s="174" t="n">
        <v>0</v>
      </c>
      <c r="BI175" s="174" t="n">
        <v>0</v>
      </c>
      <c r="BJ175" s="136" t="n">
        <v>0.03</v>
      </c>
      <c r="BK175" s="136" t="n">
        <v>0.35</v>
      </c>
      <c r="BL175" s="136" t="n">
        <v>0</v>
      </c>
      <c r="BM175" s="136" t="n">
        <v>0.358</v>
      </c>
      <c r="BN175" s="136" t="n">
        <v>0</v>
      </c>
      <c r="BO175" s="136" t="n">
        <v>-0.26</v>
      </c>
      <c r="BP175" s="136" t="n">
        <v>0</v>
      </c>
      <c r="BQ175" s="136" t="n">
        <v>0.5</v>
      </c>
      <c r="BR175" s="136" t="n">
        <v>0</v>
      </c>
      <c r="BS175" s="136" t="n">
        <v>-0.07</v>
      </c>
      <c r="BT175" s="136" t="n">
        <v>0.005</v>
      </c>
      <c r="BU175" s="136" t="n">
        <v>0.3</v>
      </c>
      <c r="BV175" s="136" t="n">
        <v>0</v>
      </c>
      <c r="BW175" s="136" t="n">
        <v>0</v>
      </c>
      <c r="BX175" s="136" t="n">
        <v>0</v>
      </c>
      <c r="BY175" s="136" t="n">
        <v>-0.006999999</v>
      </c>
      <c r="BZ175" s="136" t="n">
        <v>0.0575</v>
      </c>
      <c r="CA175" s="136" t="n">
        <v>0.215</v>
      </c>
      <c r="CB175" s="136" t="n">
        <v>0.005</v>
      </c>
      <c r="CC175" s="136" t="n">
        <v>-0.006999999</v>
      </c>
      <c r="CD175" s="136" t="n">
        <v>0.0037</v>
      </c>
      <c r="CE175" s="136" t="n">
        <v>0.0025</v>
      </c>
      <c r="CF175" s="136" t="n">
        <v>0.0025</v>
      </c>
      <c r="CG175" s="136" t="n">
        <v>-0.006999999</v>
      </c>
      <c r="CH175" s="136" t="n">
        <v>0.0037</v>
      </c>
      <c r="CI175" s="136" t="n">
        <v>-0.1025</v>
      </c>
      <c r="CJ175" s="136" t="n">
        <v>0.0025</v>
      </c>
      <c r="CK175" s="136" t="n">
        <v>0.075</v>
      </c>
      <c r="CL175" s="136" t="n">
        <v>0.0025</v>
      </c>
      <c r="CM175" s="136" t="n">
        <v>-0.064</v>
      </c>
      <c r="CN175" s="136" t="n">
        <v>0.01</v>
      </c>
      <c r="CO175" s="136" t="n">
        <v>-0.008999999</v>
      </c>
      <c r="CP175" s="136" t="n">
        <v>0.0075</v>
      </c>
      <c r="CQ175" s="136" t="n">
        <v>0.031</v>
      </c>
      <c r="CR175" s="136" t="n">
        <v>0.0125</v>
      </c>
      <c r="CS175" s="136" t="n">
        <v>0.98</v>
      </c>
      <c r="CT175" s="136" t="n">
        <v>0.25</v>
      </c>
      <c r="CU175" s="136" t="n">
        <v>0.358</v>
      </c>
      <c r="CV175" s="136" t="n">
        <v>0</v>
      </c>
      <c r="CW175" s="136" t="n">
        <v>0.29</v>
      </c>
      <c r="CX175" s="136" t="n">
        <v>0.02</v>
      </c>
      <c r="CY175" s="136" t="n">
        <v>-0.52</v>
      </c>
      <c r="CZ175" s="136" t="n">
        <v>0</v>
      </c>
      <c r="DA175" s="136" t="n">
        <v>-0.34</v>
      </c>
      <c r="DB175" s="136" t="n">
        <v>0</v>
      </c>
      <c r="DC175" s="136" t="n">
        <v>0.4</v>
      </c>
      <c r="DE175" s="136" t="n">
        <v>-0.036</v>
      </c>
      <c r="DF175" s="136" t="n">
        <v>0.0125</v>
      </c>
      <c r="DG175" s="136" t="n">
        <v>0.014</v>
      </c>
      <c r="DH175" s="136" t="n">
        <v>0.0075</v>
      </c>
      <c r="DI175" s="136" t="n">
        <v>0.000999999999999994</v>
      </c>
      <c r="DJ175" s="136" t="n">
        <v>0.0025</v>
      </c>
      <c r="DK175" s="136" t="n">
        <v>-0.0675</v>
      </c>
      <c r="DL175" s="136" t="n">
        <v>0.0025</v>
      </c>
      <c r="DM175" s="136" t="n">
        <v>-0.0495</v>
      </c>
      <c r="DN175" s="136" t="n">
        <v>0.0025</v>
      </c>
      <c r="DO175" s="136" t="n">
        <v>-0.072</v>
      </c>
      <c r="DP175" s="136" t="n">
        <v>0.0025</v>
      </c>
      <c r="DQ175" s="136" t="n">
        <v>-0.0975</v>
      </c>
      <c r="DR175" s="136" t="n">
        <v>-0.005</v>
      </c>
      <c r="DS175" s="136" t="n">
        <v>0.77</v>
      </c>
      <c r="DT175" s="136" t="n">
        <v>0.05</v>
      </c>
      <c r="DU175" s="136" t="n">
        <v>0</v>
      </c>
      <c r="DV175" s="136" t="n">
        <v>0</v>
      </c>
    </row>
    <row r="176" customFormat="false" ht="12.75" hidden="false" customHeight="false" outlineLevel="0" collapsed="false">
      <c r="D176" s="135" t="n">
        <v>42005</v>
      </c>
      <c r="F176" s="174" t="n">
        <v>4.4945</v>
      </c>
      <c r="G176" s="175" t="n">
        <v>0.0634191077761774</v>
      </c>
      <c r="H176" s="174" t="n">
        <v>0.17</v>
      </c>
      <c r="I176" s="174" t="n">
        <v>1</v>
      </c>
      <c r="J176" s="174" t="n">
        <v>1.05</v>
      </c>
      <c r="K176" s="174" t="n">
        <v>1</v>
      </c>
      <c r="L176" s="172" t="n">
        <v>1</v>
      </c>
      <c r="M176" s="172" t="n">
        <v>1.15</v>
      </c>
      <c r="N176" s="174" t="n">
        <v>1.45</v>
      </c>
      <c r="O176" s="174" t="n">
        <v>1.05</v>
      </c>
      <c r="P176" s="174" t="n">
        <v>1</v>
      </c>
      <c r="Q176" s="174" t="n">
        <v>1.35</v>
      </c>
      <c r="R176" s="175" t="n">
        <v>1</v>
      </c>
      <c r="S176" s="175" t="n">
        <v>1.1</v>
      </c>
      <c r="T176" s="174" t="n">
        <v>1</v>
      </c>
      <c r="U176" s="174" t="n">
        <v>1.45</v>
      </c>
      <c r="V176" s="174" t="n">
        <v>1.1</v>
      </c>
      <c r="W176" s="174" t="n">
        <v>0.025</v>
      </c>
      <c r="X176" s="174" t="n">
        <v>0.03</v>
      </c>
      <c r="Y176" s="174" t="n">
        <v>0</v>
      </c>
      <c r="Z176" s="174" t="n">
        <v>0.02</v>
      </c>
      <c r="AA176" s="174" t="n">
        <v>0</v>
      </c>
      <c r="AB176" s="174" t="n">
        <v>0</v>
      </c>
      <c r="AC176" s="174" t="n">
        <v>0</v>
      </c>
      <c r="AD176" s="174" t="n">
        <v>0</v>
      </c>
      <c r="AE176" s="174" t="n">
        <v>0</v>
      </c>
      <c r="AF176" s="174" t="n">
        <v>0</v>
      </c>
      <c r="AG176" s="174" t="n">
        <v>0</v>
      </c>
      <c r="AH176" s="174" t="n">
        <v>0</v>
      </c>
      <c r="AI176" s="174" t="n">
        <v>0</v>
      </c>
      <c r="AJ176" s="174" t="n">
        <v>0</v>
      </c>
      <c r="AK176" s="174" t="n">
        <v>0</v>
      </c>
      <c r="AL176" s="174" t="n">
        <v>0.035</v>
      </c>
      <c r="AM176" s="174" t="n">
        <v>-0.055</v>
      </c>
      <c r="AN176" s="174" t="n">
        <v>0.026</v>
      </c>
      <c r="AO176" s="174" t="n">
        <v>-0.653</v>
      </c>
      <c r="AP176" s="174" t="n">
        <v>0.155</v>
      </c>
      <c r="AQ176" s="174" t="n">
        <v>-0.03</v>
      </c>
      <c r="AR176" s="174" t="n">
        <v>0.005</v>
      </c>
      <c r="AS176" s="174" t="n">
        <v>-0.155</v>
      </c>
      <c r="AT176" s="174" t="n">
        <v>-0.005</v>
      </c>
      <c r="AU176" s="174" t="n">
        <v>-0.115</v>
      </c>
      <c r="AV176" s="174" t="n">
        <v>-0.01</v>
      </c>
      <c r="AW176" s="174" t="n">
        <v>-0.0325</v>
      </c>
      <c r="AX176" s="174" t="n">
        <v>0.022</v>
      </c>
      <c r="AY176" s="175" t="n">
        <v>0</v>
      </c>
      <c r="AZ176" s="175" t="n">
        <v>0</v>
      </c>
      <c r="BA176" s="175" t="n">
        <v>-0.13</v>
      </c>
      <c r="BB176" s="174" t="n">
        <v>0</v>
      </c>
      <c r="BC176" s="174" t="n">
        <v>-0.07</v>
      </c>
      <c r="BD176" s="174" t="n">
        <v>0.005</v>
      </c>
      <c r="BE176" s="174" t="n">
        <v>0.35</v>
      </c>
      <c r="BF176" s="174" t="n">
        <v>0</v>
      </c>
      <c r="BG176" s="174" t="n">
        <v>-0.06</v>
      </c>
      <c r="BH176" s="174" t="n">
        <v>0</v>
      </c>
      <c r="BI176" s="174" t="n">
        <v>0</v>
      </c>
      <c r="BJ176" s="136" t="n">
        <v>0.03</v>
      </c>
      <c r="BK176" s="136" t="n">
        <v>0.35</v>
      </c>
      <c r="BL176" s="136" t="n">
        <v>0</v>
      </c>
      <c r="BM176" s="136" t="n">
        <v>0.428</v>
      </c>
      <c r="BN176" s="136" t="n">
        <v>0</v>
      </c>
      <c r="BO176" s="136" t="n">
        <v>-0.26</v>
      </c>
      <c r="BP176" s="136" t="n">
        <v>0</v>
      </c>
      <c r="BQ176" s="136" t="n">
        <v>0.5</v>
      </c>
      <c r="BR176" s="136" t="n">
        <v>0</v>
      </c>
      <c r="BS176" s="136" t="n">
        <v>-0.07</v>
      </c>
      <c r="BT176" s="136" t="n">
        <v>0.005</v>
      </c>
      <c r="BU176" s="136" t="n">
        <v>0.3</v>
      </c>
      <c r="BV176" s="136" t="n">
        <v>0</v>
      </c>
      <c r="BW176" s="136" t="n">
        <v>0</v>
      </c>
      <c r="BX176" s="136" t="n">
        <v>0</v>
      </c>
      <c r="BY176" s="136" t="n">
        <v>-0.004999999</v>
      </c>
      <c r="BZ176" s="136" t="n">
        <v>0.0575</v>
      </c>
      <c r="CA176" s="136" t="n">
        <v>0.235</v>
      </c>
      <c r="CB176" s="136" t="n">
        <v>0.005</v>
      </c>
      <c r="CC176" s="136" t="n">
        <v>-0.004999999</v>
      </c>
      <c r="CD176" s="136" t="n">
        <v>0.0037</v>
      </c>
      <c r="CE176" s="136" t="n">
        <v>0.0025</v>
      </c>
      <c r="CF176" s="136" t="n">
        <v>0.0025</v>
      </c>
      <c r="CG176" s="136" t="n">
        <v>-0.004999999</v>
      </c>
      <c r="CH176" s="136" t="n">
        <v>0.0037</v>
      </c>
      <c r="CI176" s="136" t="n">
        <v>-0.1005</v>
      </c>
      <c r="CJ176" s="136" t="n">
        <v>0.0025</v>
      </c>
      <c r="CK176" s="136" t="n">
        <v>0.075</v>
      </c>
      <c r="CL176" s="136" t="n">
        <v>0.0025</v>
      </c>
      <c r="CM176" s="136" t="n">
        <v>-0.064</v>
      </c>
      <c r="CN176" s="136" t="n">
        <v>0.01</v>
      </c>
      <c r="CO176" s="136" t="n">
        <v>-0.008999999</v>
      </c>
      <c r="CP176" s="136" t="n">
        <v>0.0075</v>
      </c>
      <c r="CQ176" s="136" t="n">
        <v>0.031</v>
      </c>
      <c r="CR176" s="136" t="n">
        <v>0.0125</v>
      </c>
      <c r="CS176" s="136" t="n">
        <v>1.6</v>
      </c>
      <c r="CT176" s="136" t="n">
        <v>0.45</v>
      </c>
      <c r="CU176" s="136" t="n">
        <v>0.428</v>
      </c>
      <c r="CV176" s="136" t="n">
        <v>0</v>
      </c>
      <c r="CW176" s="136" t="n">
        <v>0.34</v>
      </c>
      <c r="CX176" s="136" t="n">
        <v>0.02</v>
      </c>
      <c r="CY176" s="136" t="n">
        <v>-0.52</v>
      </c>
      <c r="CZ176" s="136" t="n">
        <v>0</v>
      </c>
      <c r="DA176" s="136" t="n">
        <v>-0.34</v>
      </c>
      <c r="DB176" s="136" t="n">
        <v>0</v>
      </c>
      <c r="DC176" s="136" t="n">
        <v>0.35</v>
      </c>
      <c r="DE176" s="136" t="n">
        <v>-0.036</v>
      </c>
      <c r="DF176" s="136" t="n">
        <v>0.0125</v>
      </c>
      <c r="DG176" s="136" t="n">
        <v>0.014</v>
      </c>
      <c r="DH176" s="136" t="n">
        <v>0.0075</v>
      </c>
      <c r="DI176" s="136" t="n">
        <v>0.000999999999999994</v>
      </c>
      <c r="DJ176" s="136" t="n">
        <v>0.0025</v>
      </c>
      <c r="DK176" s="136" t="n">
        <v>-0.0825</v>
      </c>
      <c r="DL176" s="136" t="n">
        <v>0.0025</v>
      </c>
      <c r="DM176" s="136" t="n">
        <v>-0.0495</v>
      </c>
      <c r="DN176" s="136" t="n">
        <v>0.0025</v>
      </c>
      <c r="DO176" s="136" t="n">
        <v>-0.072</v>
      </c>
      <c r="DP176" s="136" t="n">
        <v>0.0025</v>
      </c>
      <c r="DQ176" s="136" t="n">
        <v>-0.1125</v>
      </c>
      <c r="DR176" s="136" t="n">
        <v>-0.005</v>
      </c>
      <c r="DS176" s="136" t="n">
        <v>1.04</v>
      </c>
      <c r="DT176" s="136" t="n">
        <v>0.05</v>
      </c>
      <c r="DU176" s="136" t="n">
        <v>0</v>
      </c>
      <c r="DV176" s="136" t="n">
        <v>0</v>
      </c>
    </row>
    <row r="177" customFormat="false" ht="12.75" hidden="false" customHeight="false" outlineLevel="0" collapsed="false">
      <c r="D177" s="135" t="n">
        <v>42036</v>
      </c>
      <c r="F177" s="174" t="n">
        <v>4.4095</v>
      </c>
      <c r="G177" s="175" t="n">
        <v>0.0634596518796693</v>
      </c>
      <c r="H177" s="174" t="n">
        <v>0.17</v>
      </c>
      <c r="I177" s="174" t="n">
        <v>1</v>
      </c>
      <c r="J177" s="174" t="n">
        <v>1.05</v>
      </c>
      <c r="K177" s="174" t="n">
        <v>1</v>
      </c>
      <c r="L177" s="172" t="n">
        <v>1</v>
      </c>
      <c r="M177" s="172" t="n">
        <v>1.15</v>
      </c>
      <c r="N177" s="174" t="n">
        <v>1.45</v>
      </c>
      <c r="O177" s="174" t="n">
        <v>1.05</v>
      </c>
      <c r="P177" s="174" t="n">
        <v>1</v>
      </c>
      <c r="Q177" s="174" t="n">
        <v>1.35</v>
      </c>
      <c r="R177" s="175" t="n">
        <v>1</v>
      </c>
      <c r="S177" s="175" t="n">
        <v>1.1</v>
      </c>
      <c r="T177" s="174" t="n">
        <v>1</v>
      </c>
      <c r="U177" s="174" t="n">
        <v>1.45</v>
      </c>
      <c r="V177" s="174" t="n">
        <v>1.1</v>
      </c>
      <c r="W177" s="174" t="n">
        <v>0.02</v>
      </c>
      <c r="X177" s="174" t="n">
        <v>0.03</v>
      </c>
      <c r="Y177" s="174" t="n">
        <v>0</v>
      </c>
      <c r="Z177" s="174" t="n">
        <v>0.02</v>
      </c>
      <c r="AA177" s="174" t="n">
        <v>0</v>
      </c>
      <c r="AB177" s="174" t="n">
        <v>0</v>
      </c>
      <c r="AC177" s="174" t="n">
        <v>0</v>
      </c>
      <c r="AD177" s="174" t="n">
        <v>0</v>
      </c>
      <c r="AE177" s="174" t="n">
        <v>0</v>
      </c>
      <c r="AF177" s="174" t="n">
        <v>0</v>
      </c>
      <c r="AG177" s="174" t="n">
        <v>0</v>
      </c>
      <c r="AH177" s="174" t="n">
        <v>0</v>
      </c>
      <c r="AI177" s="174" t="n">
        <v>0</v>
      </c>
      <c r="AJ177" s="174" t="n">
        <v>0</v>
      </c>
      <c r="AK177" s="174" t="n">
        <v>0</v>
      </c>
      <c r="AL177" s="174" t="n">
        <v>0.035</v>
      </c>
      <c r="AM177" s="174" t="n">
        <v>-0.055</v>
      </c>
      <c r="AN177" s="174" t="n">
        <v>0.026</v>
      </c>
      <c r="AO177" s="174" t="n">
        <v>-0.653</v>
      </c>
      <c r="AP177" s="174" t="n">
        <v>0.155</v>
      </c>
      <c r="AQ177" s="174" t="n">
        <v>-0.03</v>
      </c>
      <c r="AR177" s="174" t="n">
        <v>0.005</v>
      </c>
      <c r="AS177" s="174" t="n">
        <v>-0.1475</v>
      </c>
      <c r="AT177" s="174" t="n">
        <v>-0.005</v>
      </c>
      <c r="AU177" s="174" t="n">
        <v>-0.1075</v>
      </c>
      <c r="AV177" s="174" t="n">
        <v>-0.01</v>
      </c>
      <c r="AW177" s="174" t="n">
        <v>-0.0325</v>
      </c>
      <c r="AX177" s="174" t="n">
        <v>0.022</v>
      </c>
      <c r="AY177" s="175" t="n">
        <v>0</v>
      </c>
      <c r="AZ177" s="175" t="n">
        <v>0</v>
      </c>
      <c r="BA177" s="175" t="n">
        <v>-0.13</v>
      </c>
      <c r="BB177" s="174" t="n">
        <v>0</v>
      </c>
      <c r="BC177" s="174" t="n">
        <v>-0.07</v>
      </c>
      <c r="BD177" s="174" t="n">
        <v>0.005</v>
      </c>
      <c r="BE177" s="174" t="n">
        <v>0.35</v>
      </c>
      <c r="BF177" s="174" t="n">
        <v>0</v>
      </c>
      <c r="BG177" s="174" t="n">
        <v>-0.06</v>
      </c>
      <c r="BH177" s="174" t="n">
        <v>0</v>
      </c>
      <c r="BI177" s="174" t="n">
        <v>0</v>
      </c>
      <c r="BJ177" s="136" t="n">
        <v>0.03</v>
      </c>
      <c r="BK177" s="136" t="n">
        <v>0.35</v>
      </c>
      <c r="BL177" s="136" t="n">
        <v>0</v>
      </c>
      <c r="BM177" s="136" t="n">
        <v>0.298</v>
      </c>
      <c r="BN177" s="136" t="n">
        <v>0</v>
      </c>
      <c r="BO177" s="136" t="n">
        <v>-0.26</v>
      </c>
      <c r="BP177" s="136" t="n">
        <v>0</v>
      </c>
      <c r="BQ177" s="136" t="n">
        <v>0.5</v>
      </c>
      <c r="BR177" s="136" t="n">
        <v>0</v>
      </c>
      <c r="BS177" s="136" t="n">
        <v>-0.07</v>
      </c>
      <c r="BT177" s="136" t="n">
        <v>0.005</v>
      </c>
      <c r="BU177" s="136" t="n">
        <v>0.3</v>
      </c>
      <c r="BV177" s="136" t="n">
        <v>0</v>
      </c>
      <c r="BW177" s="136" t="n">
        <v>0</v>
      </c>
      <c r="BX177" s="136" t="n">
        <v>0</v>
      </c>
      <c r="BY177" s="136" t="n">
        <v>-0.004999999</v>
      </c>
      <c r="BZ177" s="136" t="n">
        <v>0.0575</v>
      </c>
      <c r="CA177" s="136" t="n">
        <v>0.235</v>
      </c>
      <c r="CB177" s="136" t="n">
        <v>0.005</v>
      </c>
      <c r="CC177" s="136" t="n">
        <v>-0.004999999</v>
      </c>
      <c r="CD177" s="136" t="n">
        <v>0.0037</v>
      </c>
      <c r="CE177" s="136" t="n">
        <v>0.0025</v>
      </c>
      <c r="CF177" s="136" t="n">
        <v>0.0025</v>
      </c>
      <c r="CG177" s="136" t="n">
        <v>-0.004999999</v>
      </c>
      <c r="CH177" s="136" t="n">
        <v>0.0037</v>
      </c>
      <c r="CI177" s="136" t="n">
        <v>-0.1005</v>
      </c>
      <c r="CJ177" s="136" t="n">
        <v>0.0025</v>
      </c>
      <c r="CK177" s="136" t="n">
        <v>0.075</v>
      </c>
      <c r="CL177" s="136" t="n">
        <v>0.0025</v>
      </c>
      <c r="CM177" s="136" t="n">
        <v>-0.064</v>
      </c>
      <c r="CN177" s="136" t="n">
        <v>0.01</v>
      </c>
      <c r="CO177" s="136" t="n">
        <v>-0.008999999</v>
      </c>
      <c r="CP177" s="136" t="n">
        <v>0.0075</v>
      </c>
      <c r="CQ177" s="136" t="n">
        <v>0.031</v>
      </c>
      <c r="CR177" s="136" t="n">
        <v>0.0125</v>
      </c>
      <c r="CS177" s="136" t="n">
        <v>1.6</v>
      </c>
      <c r="CT177" s="136" t="n">
        <v>0.45</v>
      </c>
      <c r="CU177" s="136" t="n">
        <v>0.298</v>
      </c>
      <c r="CV177" s="136" t="n">
        <v>0</v>
      </c>
      <c r="CW177" s="136" t="n">
        <v>0.34</v>
      </c>
      <c r="CX177" s="136" t="n">
        <v>0.02</v>
      </c>
      <c r="CY177" s="136" t="n">
        <v>-0.52</v>
      </c>
      <c r="CZ177" s="136" t="n">
        <v>0</v>
      </c>
      <c r="DA177" s="136" t="n">
        <v>-0.34</v>
      </c>
      <c r="DB177" s="136" t="n">
        <v>0</v>
      </c>
      <c r="DC177" s="136" t="n">
        <v>0.35</v>
      </c>
      <c r="DE177" s="136" t="n">
        <v>-0.036</v>
      </c>
      <c r="DF177" s="136" t="n">
        <v>0.0125</v>
      </c>
      <c r="DG177" s="136" t="n">
        <v>0.014</v>
      </c>
      <c r="DH177" s="136" t="n">
        <v>0.0075</v>
      </c>
      <c r="DI177" s="136" t="n">
        <v>0.000999999999999994</v>
      </c>
      <c r="DJ177" s="136" t="n">
        <v>0.0025</v>
      </c>
      <c r="DK177" s="136" t="n">
        <v>-0.0725</v>
      </c>
      <c r="DL177" s="136" t="n">
        <v>0.0025</v>
      </c>
      <c r="DM177" s="136" t="n">
        <v>-0.0495</v>
      </c>
      <c r="DN177" s="136" t="n">
        <v>0.0025</v>
      </c>
      <c r="DO177" s="136" t="n">
        <v>-0.072</v>
      </c>
      <c r="DP177" s="136" t="n">
        <v>0.0025</v>
      </c>
      <c r="DQ177" s="136" t="n">
        <v>-0.1025</v>
      </c>
      <c r="DR177" s="136" t="n">
        <v>-0.005</v>
      </c>
      <c r="DS177" s="136" t="n">
        <v>1.04</v>
      </c>
      <c r="DT177" s="136" t="n">
        <v>0.05</v>
      </c>
      <c r="DU177" s="136" t="n">
        <v>0</v>
      </c>
      <c r="DV177" s="136" t="n">
        <v>0</v>
      </c>
    </row>
    <row r="178" customFormat="false" ht="12.75" hidden="false" customHeight="false" outlineLevel="0" collapsed="false">
      <c r="D178" s="135" t="n">
        <v>42064</v>
      </c>
      <c r="F178" s="174" t="n">
        <v>4.2795</v>
      </c>
      <c r="G178" s="175" t="n">
        <v>0.063496272360712</v>
      </c>
      <c r="H178" s="174" t="n">
        <v>0.17</v>
      </c>
      <c r="I178" s="174" t="n">
        <v>0.75</v>
      </c>
      <c r="J178" s="174" t="n">
        <v>0.8</v>
      </c>
      <c r="K178" s="174" t="n">
        <v>0.75</v>
      </c>
      <c r="L178" s="172" t="n">
        <v>0.75</v>
      </c>
      <c r="M178" s="172" t="n">
        <v>0.85</v>
      </c>
      <c r="N178" s="174" t="n">
        <v>1</v>
      </c>
      <c r="O178" s="174" t="n">
        <v>0.75</v>
      </c>
      <c r="P178" s="174" t="n">
        <v>0.75</v>
      </c>
      <c r="Q178" s="174" t="n">
        <v>0.95</v>
      </c>
      <c r="R178" s="175" t="n">
        <v>0.75</v>
      </c>
      <c r="S178" s="175" t="n">
        <v>0.75</v>
      </c>
      <c r="T178" s="174" t="n">
        <v>0.75</v>
      </c>
      <c r="U178" s="174" t="n">
        <v>1</v>
      </c>
      <c r="V178" s="174" t="n">
        <v>0.85</v>
      </c>
      <c r="W178" s="174" t="n">
        <v>0</v>
      </c>
      <c r="X178" s="174" t="n">
        <v>0.03</v>
      </c>
      <c r="Y178" s="174" t="n">
        <v>0</v>
      </c>
      <c r="Z178" s="174" t="n">
        <v>0.02</v>
      </c>
      <c r="AA178" s="174" t="n">
        <v>0</v>
      </c>
      <c r="AB178" s="174" t="n">
        <v>0</v>
      </c>
      <c r="AC178" s="174" t="n">
        <v>0</v>
      </c>
      <c r="AD178" s="174" t="n">
        <v>0</v>
      </c>
      <c r="AE178" s="174" t="n">
        <v>0</v>
      </c>
      <c r="AF178" s="174" t="n">
        <v>0</v>
      </c>
      <c r="AG178" s="174" t="n">
        <v>0</v>
      </c>
      <c r="AH178" s="174" t="n">
        <v>0</v>
      </c>
      <c r="AI178" s="174" t="n">
        <v>0</v>
      </c>
      <c r="AJ178" s="174" t="n">
        <v>0</v>
      </c>
      <c r="AK178" s="174" t="n">
        <v>0</v>
      </c>
      <c r="AL178" s="174" t="n">
        <v>0.035</v>
      </c>
      <c r="AM178" s="174" t="n">
        <v>-0.055</v>
      </c>
      <c r="AN178" s="174" t="n">
        <v>0.026</v>
      </c>
      <c r="AO178" s="174" t="n">
        <v>-0.653</v>
      </c>
      <c r="AP178" s="174" t="n">
        <v>0.155</v>
      </c>
      <c r="AQ178" s="174" t="n">
        <v>-0.03</v>
      </c>
      <c r="AR178" s="174" t="n">
        <v>0.005</v>
      </c>
      <c r="AS178" s="174" t="n">
        <v>-0.145</v>
      </c>
      <c r="AT178" s="174" t="n">
        <v>-0.005</v>
      </c>
      <c r="AU178" s="174" t="n">
        <v>-0.105</v>
      </c>
      <c r="AV178" s="174" t="n">
        <v>-0.01</v>
      </c>
      <c r="AW178" s="174" t="n">
        <v>-0.0325</v>
      </c>
      <c r="AX178" s="174" t="n">
        <v>0.022</v>
      </c>
      <c r="AY178" s="175" t="n">
        <v>0</v>
      </c>
      <c r="AZ178" s="175" t="n">
        <v>0</v>
      </c>
      <c r="BA178" s="175" t="n">
        <v>-0.13</v>
      </c>
      <c r="BB178" s="174" t="n">
        <v>0</v>
      </c>
      <c r="BC178" s="174" t="n">
        <v>-0.07</v>
      </c>
      <c r="BD178" s="174" t="n">
        <v>0.005</v>
      </c>
      <c r="BE178" s="174" t="n">
        <v>0.35</v>
      </c>
      <c r="BF178" s="174" t="n">
        <v>0</v>
      </c>
      <c r="BG178" s="174" t="n">
        <v>-0.06</v>
      </c>
      <c r="BH178" s="174" t="n">
        <v>0</v>
      </c>
      <c r="BI178" s="174" t="n">
        <v>0</v>
      </c>
      <c r="BJ178" s="136" t="n">
        <v>0.03</v>
      </c>
      <c r="BK178" s="136" t="n">
        <v>0.35</v>
      </c>
      <c r="BL178" s="136" t="n">
        <v>0</v>
      </c>
      <c r="BM178" s="136" t="n">
        <v>0.118</v>
      </c>
      <c r="BN178" s="136" t="n">
        <v>0</v>
      </c>
      <c r="BO178" s="136" t="n">
        <v>-0.26</v>
      </c>
      <c r="BP178" s="136" t="n">
        <v>0</v>
      </c>
      <c r="BQ178" s="136" t="n">
        <v>0.5</v>
      </c>
      <c r="BR178" s="136" t="n">
        <v>0</v>
      </c>
      <c r="BS178" s="136" t="n">
        <v>-0.07</v>
      </c>
      <c r="BT178" s="136" t="n">
        <v>0.005</v>
      </c>
      <c r="BU178" s="136" t="n">
        <v>0.3</v>
      </c>
      <c r="BV178" s="136" t="n">
        <v>0</v>
      </c>
      <c r="BW178" s="136" t="n">
        <v>0</v>
      </c>
      <c r="BX178" s="136" t="n">
        <v>0</v>
      </c>
      <c r="BY178" s="136" t="n">
        <v>-0.004999999</v>
      </c>
      <c r="BZ178" s="136" t="n">
        <v>0.0575</v>
      </c>
      <c r="CA178" s="136" t="n">
        <v>0.195</v>
      </c>
      <c r="CB178" s="136" t="n">
        <v>0.005</v>
      </c>
      <c r="CC178" s="136" t="n">
        <v>-0.004999999</v>
      </c>
      <c r="CD178" s="136" t="n">
        <v>0.0037</v>
      </c>
      <c r="CE178" s="136" t="n">
        <v>0.0025</v>
      </c>
      <c r="CF178" s="136" t="n">
        <v>0.0025</v>
      </c>
      <c r="CG178" s="136" t="n">
        <v>-0.004999999</v>
      </c>
      <c r="CH178" s="136" t="n">
        <v>0.0037</v>
      </c>
      <c r="CI178" s="136" t="n">
        <v>-0.1005</v>
      </c>
      <c r="CJ178" s="136" t="n">
        <v>0.0025</v>
      </c>
      <c r="CK178" s="136" t="n">
        <v>0.075</v>
      </c>
      <c r="CL178" s="136" t="n">
        <v>0.0025</v>
      </c>
      <c r="CM178" s="136" t="n">
        <v>-0.064</v>
      </c>
      <c r="CN178" s="136" t="n">
        <v>0.01</v>
      </c>
      <c r="CO178" s="136" t="n">
        <v>-0.008999999</v>
      </c>
      <c r="CP178" s="136" t="n">
        <v>0.0075</v>
      </c>
      <c r="CQ178" s="136" t="n">
        <v>0.031</v>
      </c>
      <c r="CR178" s="136" t="n">
        <v>0.0125</v>
      </c>
      <c r="CS178" s="136" t="n">
        <v>0.64</v>
      </c>
      <c r="CT178" s="136" t="n">
        <v>0.1</v>
      </c>
      <c r="CU178" s="136" t="n">
        <v>0.118</v>
      </c>
      <c r="CV178" s="136" t="n">
        <v>0</v>
      </c>
      <c r="CW178" s="136" t="n">
        <v>0.29</v>
      </c>
      <c r="CX178" s="136" t="n">
        <v>0.02</v>
      </c>
      <c r="CY178" s="136" t="n">
        <v>-0.52</v>
      </c>
      <c r="CZ178" s="136" t="n">
        <v>0</v>
      </c>
      <c r="DA178" s="136" t="n">
        <v>-0.34</v>
      </c>
      <c r="DB178" s="136" t="n">
        <v>0</v>
      </c>
      <c r="DC178" s="136" t="n">
        <v>0.4</v>
      </c>
      <c r="DE178" s="136" t="n">
        <v>-0.036</v>
      </c>
      <c r="DF178" s="136" t="n">
        <v>0.0125</v>
      </c>
      <c r="DG178" s="136" t="n">
        <v>0.019</v>
      </c>
      <c r="DH178" s="136" t="n">
        <v>0.0075</v>
      </c>
      <c r="DI178" s="136" t="n">
        <v>0.004</v>
      </c>
      <c r="DJ178" s="136" t="n">
        <v>0.0025</v>
      </c>
      <c r="DK178" s="136" t="n">
        <v>-0.0625</v>
      </c>
      <c r="DL178" s="136" t="n">
        <v>0.0025</v>
      </c>
      <c r="DM178" s="136" t="n">
        <v>-0.0495</v>
      </c>
      <c r="DN178" s="136" t="n">
        <v>0.0025</v>
      </c>
      <c r="DO178" s="136" t="n">
        <v>-0.072</v>
      </c>
      <c r="DP178" s="136" t="n">
        <v>0.0025</v>
      </c>
      <c r="DQ178" s="136" t="n">
        <v>-0.0925</v>
      </c>
      <c r="DR178" s="136" t="n">
        <v>-0.005</v>
      </c>
      <c r="DS178" s="136" t="n">
        <v>0.54</v>
      </c>
      <c r="DT178" s="136" t="n">
        <v>0.05</v>
      </c>
      <c r="DU178" s="136" t="n">
        <v>0</v>
      </c>
      <c r="DV178" s="136" t="n">
        <v>0</v>
      </c>
    </row>
    <row r="179" customFormat="false" ht="12.75" hidden="false" customHeight="false" outlineLevel="0" collapsed="false">
      <c r="D179" s="135" t="n">
        <v>42095</v>
      </c>
      <c r="F179" s="174" t="n">
        <v>4.0945</v>
      </c>
      <c r="G179" s="175" t="n">
        <v>0.0635368164652417</v>
      </c>
      <c r="H179" s="174" t="n">
        <v>0.17</v>
      </c>
      <c r="I179" s="174" t="n">
        <v>0.4</v>
      </c>
      <c r="J179" s="174" t="n">
        <v>0.45</v>
      </c>
      <c r="K179" s="174" t="n">
        <v>0.4</v>
      </c>
      <c r="L179" s="172" t="n">
        <v>0.45</v>
      </c>
      <c r="M179" s="172" t="n">
        <v>0.45</v>
      </c>
      <c r="N179" s="174" t="n">
        <v>0.45</v>
      </c>
      <c r="O179" s="174" t="n">
        <v>0.45</v>
      </c>
      <c r="P179" s="174" t="n">
        <v>0.45</v>
      </c>
      <c r="Q179" s="174" t="n">
        <v>0.5</v>
      </c>
      <c r="R179" s="175" t="n">
        <v>0.4</v>
      </c>
      <c r="S179" s="175" t="n">
        <v>0.45</v>
      </c>
      <c r="T179" s="174" t="n">
        <v>0.4</v>
      </c>
      <c r="U179" s="174" t="n">
        <v>0.45</v>
      </c>
      <c r="V179" s="174" t="n">
        <v>0.55</v>
      </c>
      <c r="W179" s="174" t="n">
        <v>-0.09</v>
      </c>
      <c r="X179" s="174" t="n">
        <v>0</v>
      </c>
      <c r="Y179" s="174" t="n">
        <v>0</v>
      </c>
      <c r="Z179" s="174" t="n">
        <v>0.005</v>
      </c>
      <c r="AA179" s="174" t="n">
        <v>0</v>
      </c>
      <c r="AB179" s="174" t="n">
        <v>0</v>
      </c>
      <c r="AC179" s="174" t="n">
        <v>0</v>
      </c>
      <c r="AD179" s="174" t="n">
        <v>0</v>
      </c>
      <c r="AE179" s="174" t="n">
        <v>0</v>
      </c>
      <c r="AF179" s="174" t="n">
        <v>0</v>
      </c>
      <c r="AG179" s="174" t="n">
        <v>0</v>
      </c>
      <c r="AH179" s="174" t="n">
        <v>0</v>
      </c>
      <c r="AI179" s="174" t="n">
        <v>0</v>
      </c>
      <c r="AJ179" s="174" t="n">
        <v>0</v>
      </c>
      <c r="AK179" s="174" t="n">
        <v>0</v>
      </c>
      <c r="AL179" s="174" t="n">
        <v>0.04</v>
      </c>
      <c r="AM179" s="174" t="n">
        <v>-0.038</v>
      </c>
      <c r="AN179" s="174" t="n">
        <v>0.033</v>
      </c>
      <c r="AO179" s="174" t="n">
        <v>-0.788</v>
      </c>
      <c r="AP179" s="174" t="n">
        <v>0.155</v>
      </c>
      <c r="AQ179" s="174" t="n">
        <v>-0.03</v>
      </c>
      <c r="AR179" s="174" t="n">
        <v>0</v>
      </c>
      <c r="AS179" s="174" t="n">
        <v>-0.15</v>
      </c>
      <c r="AT179" s="174" t="n">
        <v>-0.015</v>
      </c>
      <c r="AU179" s="174" t="n">
        <v>-0.11</v>
      </c>
      <c r="AV179" s="174" t="n">
        <v>0.01</v>
      </c>
      <c r="AW179" s="174" t="n">
        <v>-0.03</v>
      </c>
      <c r="AX179" s="174" t="n">
        <v>0.014</v>
      </c>
      <c r="AY179" s="175" t="n">
        <v>0</v>
      </c>
      <c r="AZ179" s="175" t="n">
        <v>0</v>
      </c>
      <c r="BA179" s="175" t="n">
        <v>-0.195</v>
      </c>
      <c r="BB179" s="174" t="n">
        <v>0</v>
      </c>
      <c r="BC179" s="174" t="n">
        <v>-0.07</v>
      </c>
      <c r="BD179" s="174" t="n">
        <v>0.005</v>
      </c>
      <c r="BE179" s="174" t="n">
        <v>0.43</v>
      </c>
      <c r="BF179" s="174" t="n">
        <v>0</v>
      </c>
      <c r="BG179" s="174" t="n">
        <v>-0.06</v>
      </c>
      <c r="BH179" s="174" t="n">
        <v>0</v>
      </c>
      <c r="BI179" s="174" t="n">
        <v>0</v>
      </c>
      <c r="BJ179" s="136" t="n">
        <v>0.03</v>
      </c>
      <c r="BK179" s="136" t="n">
        <v>0.43</v>
      </c>
      <c r="BL179" s="136" t="n">
        <v>0</v>
      </c>
      <c r="BM179" s="136" t="n">
        <v>-0.2</v>
      </c>
      <c r="BN179" s="136" t="n">
        <v>0</v>
      </c>
      <c r="BO179" s="136" t="n">
        <v>-0.37</v>
      </c>
      <c r="BP179" s="136" t="n">
        <v>0</v>
      </c>
      <c r="BQ179" s="136" t="n">
        <v>0.5</v>
      </c>
      <c r="BR179" s="136" t="n">
        <v>0</v>
      </c>
      <c r="BS179" s="136" t="n">
        <v>-0.07</v>
      </c>
      <c r="BT179" s="136" t="n">
        <v>0.005</v>
      </c>
      <c r="BU179" s="136" t="n">
        <v>0.3</v>
      </c>
      <c r="BV179" s="136" t="n">
        <v>0</v>
      </c>
      <c r="BW179" s="136" t="n">
        <v>0</v>
      </c>
      <c r="BX179" s="136" t="n">
        <v>0</v>
      </c>
      <c r="BY179" s="136" t="n">
        <v>-0.004999999</v>
      </c>
      <c r="BZ179" s="136" t="n">
        <v>0.0575</v>
      </c>
      <c r="CA179" s="136" t="n">
        <v>0.145</v>
      </c>
      <c r="CB179" s="136" t="n">
        <v>0.005</v>
      </c>
      <c r="CC179" s="136" t="n">
        <v>-0.004999999</v>
      </c>
      <c r="CD179" s="136" t="n">
        <v>0.0035</v>
      </c>
      <c r="CE179" s="136" t="n">
        <v>0.0025</v>
      </c>
      <c r="CF179" s="136" t="n">
        <v>0.0025</v>
      </c>
      <c r="CG179" s="136" t="n">
        <v>-0.004999999</v>
      </c>
      <c r="CH179" s="136" t="n">
        <v>0.0035</v>
      </c>
      <c r="CI179" s="136" t="n">
        <v>-0.1205</v>
      </c>
      <c r="CJ179" s="136" t="n">
        <v>0.0025</v>
      </c>
      <c r="CK179" s="136" t="n">
        <v>0.0775</v>
      </c>
      <c r="CL179" s="136" t="n">
        <v>0.0025</v>
      </c>
      <c r="CM179" s="136" t="n">
        <v>-0.072</v>
      </c>
      <c r="CN179" s="136" t="n">
        <v>0.0075</v>
      </c>
      <c r="CO179" s="136" t="n">
        <v>-0.017</v>
      </c>
      <c r="CP179" s="136" t="n">
        <v>0.005</v>
      </c>
      <c r="CQ179" s="136" t="n">
        <v>0.023</v>
      </c>
      <c r="CR179" s="136" t="n">
        <v>0.0075</v>
      </c>
      <c r="CS179" s="136" t="n">
        <v>0.38</v>
      </c>
      <c r="CT179" s="136" t="n">
        <v>0.02</v>
      </c>
      <c r="CU179" s="136" t="n">
        <v>-0.2</v>
      </c>
      <c r="CV179" s="136" t="n">
        <v>0</v>
      </c>
      <c r="CW179" s="136" t="n">
        <v>0.195</v>
      </c>
      <c r="CX179" s="136" t="n">
        <v>0.0075</v>
      </c>
      <c r="CY179" s="136" t="n">
        <v>-0.18</v>
      </c>
      <c r="CZ179" s="136" t="n">
        <v>0</v>
      </c>
      <c r="DA179" s="136" t="n">
        <v>0</v>
      </c>
      <c r="DB179" s="136" t="n">
        <v>0</v>
      </c>
      <c r="DC179" s="136" t="n">
        <v>0.6</v>
      </c>
      <c r="DE179" s="136" t="n">
        <v>-0.0435</v>
      </c>
      <c r="DF179" s="136" t="n">
        <v>0.01</v>
      </c>
      <c r="DG179" s="136" t="n">
        <v>0.019</v>
      </c>
      <c r="DH179" s="136" t="n">
        <v>0.01</v>
      </c>
      <c r="DI179" s="136" t="n">
        <v>0.004</v>
      </c>
      <c r="DJ179" s="136" t="n">
        <v>0.0075</v>
      </c>
      <c r="DK179" s="136" t="n">
        <v>-0.1055</v>
      </c>
      <c r="DL179" s="136" t="n">
        <v>0.005</v>
      </c>
      <c r="DM179" s="136" t="n">
        <v>-0.047</v>
      </c>
      <c r="DN179" s="136" t="n">
        <v>0.0025</v>
      </c>
      <c r="DO179" s="136" t="n">
        <v>-0.0695</v>
      </c>
      <c r="DP179" s="136" t="n">
        <v>0.0025</v>
      </c>
      <c r="DQ179" s="136" t="n">
        <v>-0.1355</v>
      </c>
      <c r="DR179" s="136" t="n">
        <v>-0.005</v>
      </c>
      <c r="DS179" s="136" t="n">
        <v>0.36</v>
      </c>
      <c r="DT179" s="136" t="n">
        <v>0.005</v>
      </c>
      <c r="DU179" s="136" t="n">
        <v>0</v>
      </c>
      <c r="DV179" s="136" t="n">
        <v>0</v>
      </c>
    </row>
    <row r="180" customFormat="false" ht="12.75" hidden="false" customHeight="false" outlineLevel="0" collapsed="false">
      <c r="D180" s="135" t="n">
        <v>42125</v>
      </c>
      <c r="F180" s="174" t="n">
        <v>4.0895</v>
      </c>
      <c r="G180" s="175" t="n">
        <v>0.063576052695951</v>
      </c>
      <c r="H180" s="174" t="n">
        <v>0.17</v>
      </c>
      <c r="I180" s="174" t="n">
        <v>0.45</v>
      </c>
      <c r="J180" s="174" t="n">
        <v>0.5</v>
      </c>
      <c r="K180" s="174" t="n">
        <v>0.4</v>
      </c>
      <c r="L180" s="172" t="n">
        <v>0.4</v>
      </c>
      <c r="M180" s="172" t="n">
        <v>0.45</v>
      </c>
      <c r="N180" s="174" t="n">
        <v>0.5</v>
      </c>
      <c r="O180" s="174" t="n">
        <v>0.45</v>
      </c>
      <c r="P180" s="174" t="n">
        <v>0.4</v>
      </c>
      <c r="Q180" s="174" t="n">
        <v>0.45</v>
      </c>
      <c r="R180" s="175" t="n">
        <v>0.45</v>
      </c>
      <c r="S180" s="175" t="n">
        <v>0.5</v>
      </c>
      <c r="T180" s="174" t="n">
        <v>0.45</v>
      </c>
      <c r="U180" s="174" t="n">
        <v>0.5</v>
      </c>
      <c r="V180" s="174" t="n">
        <v>0.5</v>
      </c>
      <c r="W180" s="174" t="n">
        <v>-0.09</v>
      </c>
      <c r="X180" s="174" t="n">
        <v>0</v>
      </c>
      <c r="Y180" s="174" t="n">
        <v>0</v>
      </c>
      <c r="Z180" s="174" t="n">
        <v>0.005</v>
      </c>
      <c r="AA180" s="174" t="n">
        <v>0</v>
      </c>
      <c r="AB180" s="174" t="n">
        <v>0</v>
      </c>
      <c r="AC180" s="174" t="n">
        <v>0</v>
      </c>
      <c r="AD180" s="174" t="n">
        <v>0</v>
      </c>
      <c r="AE180" s="174" t="n">
        <v>0</v>
      </c>
      <c r="AF180" s="174" t="n">
        <v>0</v>
      </c>
      <c r="AG180" s="174" t="n">
        <v>0</v>
      </c>
      <c r="AH180" s="174" t="n">
        <v>0</v>
      </c>
      <c r="AI180" s="174" t="n">
        <v>0</v>
      </c>
      <c r="AJ180" s="174" t="n">
        <v>0</v>
      </c>
      <c r="AK180" s="174" t="n">
        <v>0</v>
      </c>
      <c r="AL180" s="174" t="n">
        <v>0.04</v>
      </c>
      <c r="AM180" s="174" t="n">
        <v>-0.038</v>
      </c>
      <c r="AN180" s="174" t="n">
        <v>0.033</v>
      </c>
      <c r="AO180" s="174" t="n">
        <v>-0.788</v>
      </c>
      <c r="AP180" s="174" t="n">
        <v>0.155</v>
      </c>
      <c r="AQ180" s="174" t="n">
        <v>-0.03</v>
      </c>
      <c r="AR180" s="174" t="n">
        <v>0</v>
      </c>
      <c r="AS180" s="174" t="n">
        <v>-0.15</v>
      </c>
      <c r="AT180" s="174" t="n">
        <v>-0.015</v>
      </c>
      <c r="AU180" s="174" t="n">
        <v>-0.11</v>
      </c>
      <c r="AV180" s="174" t="n">
        <v>0.01</v>
      </c>
      <c r="AW180" s="174" t="n">
        <v>-0.03</v>
      </c>
      <c r="AX180" s="174" t="n">
        <v>0.014</v>
      </c>
      <c r="AY180" s="175" t="n">
        <v>0</v>
      </c>
      <c r="AZ180" s="175" t="n">
        <v>0</v>
      </c>
      <c r="BA180" s="175" t="n">
        <v>-0.195</v>
      </c>
      <c r="BB180" s="174" t="n">
        <v>0</v>
      </c>
      <c r="BC180" s="174" t="n">
        <v>-0.07</v>
      </c>
      <c r="BD180" s="174" t="n">
        <v>0.005</v>
      </c>
      <c r="BE180" s="174" t="n">
        <v>0.43</v>
      </c>
      <c r="BF180" s="174" t="n">
        <v>0</v>
      </c>
      <c r="BG180" s="174" t="n">
        <v>-0.06</v>
      </c>
      <c r="BH180" s="174" t="n">
        <v>0</v>
      </c>
      <c r="BI180" s="174" t="n">
        <v>0</v>
      </c>
      <c r="BJ180" s="136" t="n">
        <v>0.03</v>
      </c>
      <c r="BK180" s="136" t="n">
        <v>0.43</v>
      </c>
      <c r="BL180" s="136" t="n">
        <v>0</v>
      </c>
      <c r="BM180" s="136" t="n">
        <v>-0.05</v>
      </c>
      <c r="BN180" s="136" t="n">
        <v>0</v>
      </c>
      <c r="BO180" s="136" t="n">
        <v>-0.37</v>
      </c>
      <c r="BP180" s="136" t="n">
        <v>0</v>
      </c>
      <c r="BQ180" s="136" t="n">
        <v>0.5</v>
      </c>
      <c r="BR180" s="136" t="n">
        <v>0</v>
      </c>
      <c r="BS180" s="136" t="n">
        <v>-0.07</v>
      </c>
      <c r="BT180" s="136" t="n">
        <v>0.005</v>
      </c>
      <c r="BU180" s="136" t="n">
        <v>0.3</v>
      </c>
      <c r="BV180" s="136" t="n">
        <v>0</v>
      </c>
      <c r="BW180" s="136" t="n">
        <v>0</v>
      </c>
      <c r="BX180" s="136" t="n">
        <v>0</v>
      </c>
      <c r="BY180" s="136" t="n">
        <v>-0.004999999</v>
      </c>
      <c r="BZ180" s="136" t="n">
        <v>0.0575</v>
      </c>
      <c r="CA180" s="136" t="n">
        <v>0.125</v>
      </c>
      <c r="CB180" s="136" t="n">
        <v>0.005</v>
      </c>
      <c r="CC180" s="136" t="n">
        <v>-0.004999999</v>
      </c>
      <c r="CD180" s="136" t="n">
        <v>0.0035</v>
      </c>
      <c r="CE180" s="136" t="n">
        <v>0.0025</v>
      </c>
      <c r="CF180" s="136" t="n">
        <v>0.0025</v>
      </c>
      <c r="CG180" s="136" t="n">
        <v>-0.004999999</v>
      </c>
      <c r="CH180" s="136" t="n">
        <v>0.0035</v>
      </c>
      <c r="CI180" s="136" t="n">
        <v>-0.108</v>
      </c>
      <c r="CJ180" s="136" t="n">
        <v>0.0025</v>
      </c>
      <c r="CK180" s="136" t="n">
        <v>0.0775</v>
      </c>
      <c r="CL180" s="136" t="n">
        <v>0.0025</v>
      </c>
      <c r="CM180" s="136" t="n">
        <v>-0.072</v>
      </c>
      <c r="CN180" s="136" t="n">
        <v>0.0075</v>
      </c>
      <c r="CO180" s="136" t="n">
        <v>-0.017</v>
      </c>
      <c r="CP180" s="136" t="n">
        <v>0.005</v>
      </c>
      <c r="CQ180" s="136" t="n">
        <v>0.023</v>
      </c>
      <c r="CR180" s="136" t="n">
        <v>0.0075</v>
      </c>
      <c r="CS180" s="136" t="n">
        <v>0.33</v>
      </c>
      <c r="CT180" s="136" t="n">
        <v>0.02</v>
      </c>
      <c r="CU180" s="136" t="n">
        <v>-0.05</v>
      </c>
      <c r="CV180" s="136" t="n">
        <v>0</v>
      </c>
      <c r="CW180" s="136" t="n">
        <v>0.135</v>
      </c>
      <c r="CX180" s="136" t="n">
        <v>0.0075</v>
      </c>
      <c r="CY180" s="136" t="n">
        <v>-0.18</v>
      </c>
      <c r="CZ180" s="136" t="n">
        <v>0</v>
      </c>
      <c r="DA180" s="136" t="n">
        <v>0</v>
      </c>
      <c r="DB180" s="136" t="n">
        <v>0</v>
      </c>
      <c r="DC180" s="136" t="n">
        <v>0.75</v>
      </c>
      <c r="DE180" s="136" t="n">
        <v>-0.0435</v>
      </c>
      <c r="DF180" s="136" t="n">
        <v>0.01</v>
      </c>
      <c r="DG180" s="136" t="n">
        <v>0.0215</v>
      </c>
      <c r="DH180" s="136" t="n">
        <v>0.01</v>
      </c>
      <c r="DI180" s="136" t="n">
        <v>0.0065</v>
      </c>
      <c r="DJ180" s="136" t="n">
        <v>0.0075</v>
      </c>
      <c r="DK180" s="136" t="n">
        <v>-0.083</v>
      </c>
      <c r="DL180" s="136" t="n">
        <v>0.005</v>
      </c>
      <c r="DM180" s="136" t="n">
        <v>-0.047</v>
      </c>
      <c r="DN180" s="136" t="n">
        <v>0.0025</v>
      </c>
      <c r="DO180" s="136" t="n">
        <v>-0.0695</v>
      </c>
      <c r="DP180" s="136" t="n">
        <v>0.0025</v>
      </c>
      <c r="DQ180" s="136" t="n">
        <v>-0.113</v>
      </c>
      <c r="DR180" s="136" t="n">
        <v>-0.005</v>
      </c>
      <c r="DS180" s="136" t="n">
        <v>0.325</v>
      </c>
      <c r="DT180" s="136" t="n">
        <v>0.005</v>
      </c>
      <c r="DU180" s="136" t="n">
        <v>0</v>
      </c>
      <c r="DV180" s="136" t="n">
        <v>0</v>
      </c>
    </row>
    <row r="181" customFormat="false" ht="12.75" hidden="false" customHeight="false" outlineLevel="0" collapsed="false">
      <c r="D181" s="135" t="n">
        <v>42156</v>
      </c>
      <c r="F181" s="174" t="n">
        <v>4.1245</v>
      </c>
      <c r="G181" s="175" t="n">
        <v>0.0636165968015536</v>
      </c>
      <c r="H181" s="174" t="n">
        <v>0.17</v>
      </c>
      <c r="I181" s="174" t="n">
        <v>0.45</v>
      </c>
      <c r="J181" s="174" t="n">
        <v>0.5</v>
      </c>
      <c r="K181" s="174" t="n">
        <v>0.4</v>
      </c>
      <c r="L181" s="172" t="n">
        <v>0.5</v>
      </c>
      <c r="M181" s="172" t="n">
        <v>0.45</v>
      </c>
      <c r="N181" s="174" t="n">
        <v>0.5</v>
      </c>
      <c r="O181" s="174" t="n">
        <v>0.5</v>
      </c>
      <c r="P181" s="174" t="n">
        <v>0.5</v>
      </c>
      <c r="Q181" s="174" t="n">
        <v>0.5</v>
      </c>
      <c r="R181" s="175" t="n">
        <v>0.45</v>
      </c>
      <c r="S181" s="175" t="n">
        <v>0.5</v>
      </c>
      <c r="T181" s="174" t="n">
        <v>0.45</v>
      </c>
      <c r="U181" s="174" t="n">
        <v>0.5</v>
      </c>
      <c r="V181" s="174" t="n">
        <v>0.6</v>
      </c>
      <c r="W181" s="174" t="n">
        <v>-0.09</v>
      </c>
      <c r="X181" s="174" t="n">
        <v>0</v>
      </c>
      <c r="Y181" s="174" t="n">
        <v>0</v>
      </c>
      <c r="Z181" s="174" t="n">
        <v>0.005</v>
      </c>
      <c r="AA181" s="174" t="n">
        <v>0</v>
      </c>
      <c r="AB181" s="174" t="n">
        <v>0</v>
      </c>
      <c r="AC181" s="174" t="n">
        <v>0</v>
      </c>
      <c r="AD181" s="174" t="n">
        <v>0</v>
      </c>
      <c r="AE181" s="174" t="n">
        <v>0</v>
      </c>
      <c r="AF181" s="174" t="n">
        <v>0</v>
      </c>
      <c r="AG181" s="174" t="n">
        <v>0</v>
      </c>
      <c r="AH181" s="174" t="n">
        <v>0</v>
      </c>
      <c r="AI181" s="174" t="n">
        <v>0</v>
      </c>
      <c r="AJ181" s="174" t="n">
        <v>0</v>
      </c>
      <c r="AK181" s="174" t="n">
        <v>0</v>
      </c>
      <c r="AL181" s="174" t="n">
        <v>0.04</v>
      </c>
      <c r="AM181" s="174" t="n">
        <v>-0.038</v>
      </c>
      <c r="AN181" s="174" t="n">
        <v>0.033</v>
      </c>
      <c r="AO181" s="174" t="n">
        <v>-0.788</v>
      </c>
      <c r="AP181" s="174" t="n">
        <v>0.155</v>
      </c>
      <c r="AQ181" s="174" t="n">
        <v>-0.03</v>
      </c>
      <c r="AR181" s="174" t="n">
        <v>0</v>
      </c>
      <c r="AS181" s="174" t="n">
        <v>-0.15</v>
      </c>
      <c r="AT181" s="174" t="n">
        <v>-0.015</v>
      </c>
      <c r="AU181" s="174" t="n">
        <v>-0.11</v>
      </c>
      <c r="AV181" s="174" t="n">
        <v>0.01</v>
      </c>
      <c r="AW181" s="174" t="n">
        <v>-0.03</v>
      </c>
      <c r="AX181" s="174" t="n">
        <v>0.014</v>
      </c>
      <c r="AY181" s="175" t="n">
        <v>0</v>
      </c>
      <c r="AZ181" s="175" t="n">
        <v>0</v>
      </c>
      <c r="BA181" s="175" t="n">
        <v>-0.195</v>
      </c>
      <c r="BB181" s="174" t="n">
        <v>0</v>
      </c>
      <c r="BC181" s="174" t="n">
        <v>-0.07</v>
      </c>
      <c r="BD181" s="174" t="n">
        <v>0.005</v>
      </c>
      <c r="BE181" s="174" t="n">
        <v>0.43</v>
      </c>
      <c r="BF181" s="174" t="n">
        <v>0</v>
      </c>
      <c r="BG181" s="174" t="n">
        <v>-0.06</v>
      </c>
      <c r="BH181" s="174" t="n">
        <v>0</v>
      </c>
      <c r="BI181" s="174" t="n">
        <v>0</v>
      </c>
      <c r="BJ181" s="136" t="n">
        <v>0.03</v>
      </c>
      <c r="BK181" s="136" t="n">
        <v>0.43</v>
      </c>
      <c r="BL181" s="136" t="n">
        <v>0</v>
      </c>
      <c r="BM181" s="136" t="n">
        <v>-0.05</v>
      </c>
      <c r="BN181" s="136" t="n">
        <v>0</v>
      </c>
      <c r="BO181" s="136" t="n">
        <v>-0.37</v>
      </c>
      <c r="BP181" s="136" t="n">
        <v>0</v>
      </c>
      <c r="BQ181" s="136" t="n">
        <v>0.5</v>
      </c>
      <c r="BR181" s="136" t="n">
        <v>0</v>
      </c>
      <c r="BS181" s="136" t="n">
        <v>-0.07</v>
      </c>
      <c r="BT181" s="136" t="n">
        <v>0.005</v>
      </c>
      <c r="BU181" s="136" t="n">
        <v>0.3</v>
      </c>
      <c r="BV181" s="136" t="n">
        <v>0</v>
      </c>
      <c r="BW181" s="136" t="n">
        <v>0</v>
      </c>
      <c r="BX181" s="136" t="n">
        <v>0</v>
      </c>
      <c r="BY181" s="136" t="n">
        <v>-0.004999999</v>
      </c>
      <c r="BZ181" s="136" t="n">
        <v>0.0575</v>
      </c>
      <c r="CA181" s="136" t="n">
        <v>0.145</v>
      </c>
      <c r="CB181" s="136" t="n">
        <v>0.005</v>
      </c>
      <c r="CC181" s="136" t="n">
        <v>-0.004999999</v>
      </c>
      <c r="CD181" s="136" t="n">
        <v>0.0035</v>
      </c>
      <c r="CE181" s="136" t="n">
        <v>0.0025</v>
      </c>
      <c r="CF181" s="136" t="n">
        <v>0.0025</v>
      </c>
      <c r="CG181" s="136" t="n">
        <v>-0.004999999</v>
      </c>
      <c r="CH181" s="136" t="n">
        <v>0.0035</v>
      </c>
      <c r="CI181" s="136" t="n">
        <v>-0.0655</v>
      </c>
      <c r="CJ181" s="136" t="n">
        <v>0.0025</v>
      </c>
      <c r="CK181" s="136" t="n">
        <v>0.0775</v>
      </c>
      <c r="CL181" s="136" t="n">
        <v>0.0025</v>
      </c>
      <c r="CM181" s="136" t="n">
        <v>-0.072</v>
      </c>
      <c r="CN181" s="136" t="n">
        <v>0.0075</v>
      </c>
      <c r="CO181" s="136" t="n">
        <v>-0.017</v>
      </c>
      <c r="CP181" s="136" t="n">
        <v>0.005</v>
      </c>
      <c r="CQ181" s="136" t="n">
        <v>0.023</v>
      </c>
      <c r="CR181" s="136" t="n">
        <v>0.0075</v>
      </c>
      <c r="CS181" s="136" t="n">
        <v>0.37</v>
      </c>
      <c r="CT181" s="136" t="n">
        <v>0.035</v>
      </c>
      <c r="CU181" s="136" t="n">
        <v>-0.05</v>
      </c>
      <c r="CV181" s="136" t="n">
        <v>0</v>
      </c>
      <c r="CW181" s="136" t="n">
        <v>0.165</v>
      </c>
      <c r="CX181" s="136" t="n">
        <v>0.0075</v>
      </c>
      <c r="CY181" s="136" t="n">
        <v>-0.18</v>
      </c>
      <c r="CZ181" s="136" t="n">
        <v>0</v>
      </c>
      <c r="DA181" s="136" t="n">
        <v>0</v>
      </c>
      <c r="DB181" s="136" t="n">
        <v>0</v>
      </c>
      <c r="DC181" s="136" t="n">
        <v>0.85</v>
      </c>
      <c r="DE181" s="136" t="n">
        <v>-0.041</v>
      </c>
      <c r="DF181" s="136" t="n">
        <v>0.01</v>
      </c>
      <c r="DG181" s="136" t="n">
        <v>0.0215</v>
      </c>
      <c r="DH181" s="136" t="n">
        <v>0.01</v>
      </c>
      <c r="DI181" s="136" t="n">
        <v>0.0065</v>
      </c>
      <c r="DJ181" s="136" t="n">
        <v>0.0075</v>
      </c>
      <c r="DK181" s="136" t="n">
        <v>-0.0305</v>
      </c>
      <c r="DL181" s="136" t="n">
        <v>0.005</v>
      </c>
      <c r="DM181" s="136" t="n">
        <v>-0.047</v>
      </c>
      <c r="DN181" s="136" t="n">
        <v>0.0025</v>
      </c>
      <c r="DO181" s="136" t="n">
        <v>-0.0695</v>
      </c>
      <c r="DP181" s="136" t="n">
        <v>0.0025</v>
      </c>
      <c r="DQ181" s="136" t="n">
        <v>-0.0605</v>
      </c>
      <c r="DR181" s="136" t="n">
        <v>-0.005</v>
      </c>
      <c r="DS181" s="136" t="n">
        <v>0.335</v>
      </c>
      <c r="DT181" s="136" t="n">
        <v>0.005</v>
      </c>
      <c r="DU181" s="136" t="n">
        <v>0</v>
      </c>
      <c r="DV181" s="136" t="n">
        <v>0</v>
      </c>
    </row>
    <row r="182" customFormat="false" ht="12.75" hidden="false" customHeight="false" outlineLevel="0" collapsed="false">
      <c r="D182" s="135" t="n">
        <v>42186</v>
      </c>
      <c r="F182" s="174" t="n">
        <v>4.1645</v>
      </c>
      <c r="G182" s="175" t="n">
        <v>0.0636558330333017</v>
      </c>
      <c r="H182" s="174" t="n">
        <v>0.17</v>
      </c>
      <c r="I182" s="174" t="n">
        <v>0.5</v>
      </c>
      <c r="J182" s="174" t="n">
        <v>0.5</v>
      </c>
      <c r="K182" s="174" t="n">
        <v>0.4</v>
      </c>
      <c r="L182" s="172" t="n">
        <v>0.5</v>
      </c>
      <c r="M182" s="172" t="n">
        <v>0.5</v>
      </c>
      <c r="N182" s="174" t="n">
        <v>0.5</v>
      </c>
      <c r="O182" s="174" t="n">
        <v>0.5</v>
      </c>
      <c r="P182" s="174" t="n">
        <v>0.5</v>
      </c>
      <c r="Q182" s="174" t="n">
        <v>0.5</v>
      </c>
      <c r="R182" s="175" t="n">
        <v>0.5</v>
      </c>
      <c r="S182" s="175" t="n">
        <v>0.55</v>
      </c>
      <c r="T182" s="174" t="n">
        <v>0.5</v>
      </c>
      <c r="U182" s="174" t="n">
        <v>0.5</v>
      </c>
      <c r="V182" s="174" t="n">
        <v>0.6</v>
      </c>
      <c r="W182" s="174" t="n">
        <v>-0.09</v>
      </c>
      <c r="X182" s="174" t="n">
        <v>0</v>
      </c>
      <c r="Y182" s="174" t="n">
        <v>0</v>
      </c>
      <c r="Z182" s="174" t="n">
        <v>0.005</v>
      </c>
      <c r="AA182" s="174" t="n">
        <v>0</v>
      </c>
      <c r="AB182" s="174" t="n">
        <v>0</v>
      </c>
      <c r="AC182" s="174" t="n">
        <v>0</v>
      </c>
      <c r="AD182" s="174" t="n">
        <v>0</v>
      </c>
      <c r="AE182" s="174" t="n">
        <v>0</v>
      </c>
      <c r="AF182" s="174" t="n">
        <v>0</v>
      </c>
      <c r="AG182" s="174" t="n">
        <v>0</v>
      </c>
      <c r="AH182" s="174" t="n">
        <v>0</v>
      </c>
      <c r="AI182" s="174" t="n">
        <v>0</v>
      </c>
      <c r="AJ182" s="174" t="n">
        <v>0</v>
      </c>
      <c r="AK182" s="174" t="n">
        <v>0</v>
      </c>
      <c r="AL182" s="174" t="n">
        <v>0.04</v>
      </c>
      <c r="AM182" s="174" t="n">
        <v>-0.038</v>
      </c>
      <c r="AN182" s="174" t="n">
        <v>0.033</v>
      </c>
      <c r="AO182" s="174" t="n">
        <v>-0.44</v>
      </c>
      <c r="AP182" s="174" t="n">
        <v>0.155</v>
      </c>
      <c r="AQ182" s="174" t="n">
        <v>-0.03</v>
      </c>
      <c r="AR182" s="174" t="n">
        <v>0</v>
      </c>
      <c r="AS182" s="174" t="n">
        <v>-0.15</v>
      </c>
      <c r="AT182" s="174" t="n">
        <v>-0.015</v>
      </c>
      <c r="AU182" s="174" t="n">
        <v>-0.11</v>
      </c>
      <c r="AV182" s="174" t="n">
        <v>0.01</v>
      </c>
      <c r="AW182" s="174" t="n">
        <v>-0.03</v>
      </c>
      <c r="AX182" s="174" t="n">
        <v>0.012</v>
      </c>
      <c r="AY182" s="175" t="n">
        <v>0</v>
      </c>
      <c r="AZ182" s="175" t="n">
        <v>0</v>
      </c>
      <c r="BA182" s="175" t="n">
        <v>-0.195</v>
      </c>
      <c r="BB182" s="174" t="n">
        <v>0</v>
      </c>
      <c r="BC182" s="174" t="n">
        <v>-0.07</v>
      </c>
      <c r="BD182" s="174" t="n">
        <v>0.005</v>
      </c>
      <c r="BE182" s="174" t="n">
        <v>0.43</v>
      </c>
      <c r="BF182" s="174" t="n">
        <v>0</v>
      </c>
      <c r="BG182" s="174" t="n">
        <v>-0.06</v>
      </c>
      <c r="BH182" s="174" t="n">
        <v>0</v>
      </c>
      <c r="BI182" s="174" t="n">
        <v>0</v>
      </c>
      <c r="BJ182" s="136" t="n">
        <v>0.03</v>
      </c>
      <c r="BK182" s="136" t="n">
        <v>0.43</v>
      </c>
      <c r="BL182" s="136" t="n">
        <v>0</v>
      </c>
      <c r="BM182" s="136" t="n">
        <v>-0.05</v>
      </c>
      <c r="BN182" s="136" t="n">
        <v>0</v>
      </c>
      <c r="BO182" s="136" t="n">
        <v>-0.37</v>
      </c>
      <c r="BP182" s="136" t="n">
        <v>0</v>
      </c>
      <c r="BQ182" s="136" t="n">
        <v>0.5</v>
      </c>
      <c r="BR182" s="136" t="n">
        <v>0</v>
      </c>
      <c r="BS182" s="136" t="n">
        <v>-0.07</v>
      </c>
      <c r="BT182" s="136" t="n">
        <v>0.005</v>
      </c>
      <c r="BU182" s="136" t="n">
        <v>0.3</v>
      </c>
      <c r="BV182" s="136" t="n">
        <v>0</v>
      </c>
      <c r="BW182" s="136" t="n">
        <v>0</v>
      </c>
      <c r="BX182" s="136" t="n">
        <v>0</v>
      </c>
      <c r="BY182" s="136" t="n">
        <v>-0.004999999</v>
      </c>
      <c r="BZ182" s="136" t="n">
        <v>0.0575</v>
      </c>
      <c r="CA182" s="136" t="n">
        <v>0.15</v>
      </c>
      <c r="CB182" s="136" t="n">
        <v>0.005</v>
      </c>
      <c r="CC182" s="136" t="n">
        <v>-0.004999999</v>
      </c>
      <c r="CD182" s="136" t="n">
        <v>0.0035</v>
      </c>
      <c r="CE182" s="136" t="n">
        <v>0.0025</v>
      </c>
      <c r="CF182" s="136" t="n">
        <v>0.0025</v>
      </c>
      <c r="CG182" s="136" t="n">
        <v>-0.004999999</v>
      </c>
      <c r="CH182" s="136" t="n">
        <v>0.0035</v>
      </c>
      <c r="CI182" s="136" t="n">
        <v>-0.063</v>
      </c>
      <c r="CJ182" s="136" t="n">
        <v>0.0025</v>
      </c>
      <c r="CK182" s="136" t="n">
        <v>0.0775</v>
      </c>
      <c r="CL182" s="136" t="n">
        <v>0.0025</v>
      </c>
      <c r="CM182" s="136" t="n">
        <v>-0.072</v>
      </c>
      <c r="CN182" s="136" t="n">
        <v>0.0075</v>
      </c>
      <c r="CO182" s="136" t="n">
        <v>-0.017</v>
      </c>
      <c r="CP182" s="136" t="n">
        <v>0.005</v>
      </c>
      <c r="CQ182" s="136" t="n">
        <v>0.023</v>
      </c>
      <c r="CR182" s="136" t="n">
        <v>0.0075</v>
      </c>
      <c r="CS182" s="136" t="n">
        <v>0.41</v>
      </c>
      <c r="CT182" s="136" t="n">
        <v>0.035</v>
      </c>
      <c r="CU182" s="136" t="n">
        <v>-0.05</v>
      </c>
      <c r="CV182" s="136" t="n">
        <v>0</v>
      </c>
      <c r="CW182" s="136" t="n">
        <v>0.205</v>
      </c>
      <c r="CX182" s="136" t="n">
        <v>0.0075</v>
      </c>
      <c r="CY182" s="136" t="n">
        <v>-0.18</v>
      </c>
      <c r="CZ182" s="136" t="n">
        <v>0</v>
      </c>
      <c r="DA182" s="136" t="n">
        <v>0</v>
      </c>
      <c r="DB182" s="136" t="n">
        <v>0</v>
      </c>
      <c r="DC182" s="136" t="n">
        <v>1.05</v>
      </c>
      <c r="DE182" s="136" t="n">
        <v>-0.041</v>
      </c>
      <c r="DF182" s="136" t="n">
        <v>0.01</v>
      </c>
      <c r="DG182" s="136" t="n">
        <v>0.0215</v>
      </c>
      <c r="DH182" s="136" t="n">
        <v>0.01</v>
      </c>
      <c r="DI182" s="136" t="n">
        <v>0.0065</v>
      </c>
      <c r="DJ182" s="136" t="n">
        <v>0.0075</v>
      </c>
      <c r="DK182" s="136" t="n">
        <v>-0.0405</v>
      </c>
      <c r="DL182" s="136" t="n">
        <v>0.005</v>
      </c>
      <c r="DM182" s="136" t="n">
        <v>-0.047</v>
      </c>
      <c r="DN182" s="136" t="n">
        <v>0.0025</v>
      </c>
      <c r="DO182" s="136" t="n">
        <v>-0.0695</v>
      </c>
      <c r="DP182" s="136" t="n">
        <v>0.0025</v>
      </c>
      <c r="DQ182" s="136" t="n">
        <v>-0.0705</v>
      </c>
      <c r="DR182" s="136" t="n">
        <v>-0.005</v>
      </c>
      <c r="DS182" s="136" t="n">
        <v>0.35</v>
      </c>
      <c r="DT182" s="136" t="n">
        <v>0.005</v>
      </c>
      <c r="DU182" s="136" t="n">
        <v>0</v>
      </c>
      <c r="DV182" s="136" t="n">
        <v>0</v>
      </c>
    </row>
    <row r="183" customFormat="false" ht="12.75" hidden="false" customHeight="false" outlineLevel="0" collapsed="false">
      <c r="D183" s="135" t="n">
        <v>42217</v>
      </c>
      <c r="F183" s="174" t="n">
        <v>4.2045</v>
      </c>
      <c r="G183" s="175" t="n">
        <v>0.0636963771399772</v>
      </c>
      <c r="H183" s="174" t="n">
        <v>0.17</v>
      </c>
      <c r="I183" s="174" t="n">
        <v>0.55</v>
      </c>
      <c r="J183" s="174" t="n">
        <v>0.55</v>
      </c>
      <c r="K183" s="174" t="n">
        <v>0.5</v>
      </c>
      <c r="L183" s="172" t="n">
        <v>0.6</v>
      </c>
      <c r="M183" s="172" t="n">
        <v>0.55</v>
      </c>
      <c r="N183" s="174" t="n">
        <v>0.6</v>
      </c>
      <c r="O183" s="174" t="n">
        <v>0.55</v>
      </c>
      <c r="P183" s="174" t="n">
        <v>0.6</v>
      </c>
      <c r="Q183" s="174" t="n">
        <v>0.45</v>
      </c>
      <c r="R183" s="175" t="n">
        <v>0.55</v>
      </c>
      <c r="S183" s="175" t="n">
        <v>0.6</v>
      </c>
      <c r="T183" s="174" t="n">
        <v>0.55</v>
      </c>
      <c r="U183" s="174" t="n">
        <v>0.6</v>
      </c>
      <c r="V183" s="174" t="n">
        <v>0.7</v>
      </c>
      <c r="W183" s="174" t="n">
        <v>-0.09</v>
      </c>
      <c r="X183" s="174" t="n">
        <v>0</v>
      </c>
      <c r="Y183" s="174" t="n">
        <v>0</v>
      </c>
      <c r="Z183" s="174" t="n">
        <v>0.005</v>
      </c>
      <c r="AA183" s="174" t="n">
        <v>0</v>
      </c>
      <c r="AB183" s="174" t="n">
        <v>0</v>
      </c>
      <c r="AC183" s="174" t="n">
        <v>0</v>
      </c>
      <c r="AD183" s="174" t="n">
        <v>0</v>
      </c>
      <c r="AE183" s="174" t="n">
        <v>0</v>
      </c>
      <c r="AF183" s="174" t="n">
        <v>0</v>
      </c>
      <c r="AG183" s="174" t="n">
        <v>0</v>
      </c>
      <c r="AH183" s="174" t="n">
        <v>0</v>
      </c>
      <c r="AI183" s="174" t="n">
        <v>0</v>
      </c>
      <c r="AJ183" s="174" t="n">
        <v>0</v>
      </c>
      <c r="AK183" s="174" t="n">
        <v>0</v>
      </c>
      <c r="AL183" s="174" t="n">
        <v>0.04</v>
      </c>
      <c r="AM183" s="174" t="n">
        <v>-0.038</v>
      </c>
      <c r="AN183" s="174" t="n">
        <v>0.033</v>
      </c>
      <c r="AO183" s="174" t="n">
        <v>-0.44</v>
      </c>
      <c r="AP183" s="174" t="n">
        <v>0.155</v>
      </c>
      <c r="AQ183" s="174" t="n">
        <v>-0.03</v>
      </c>
      <c r="AR183" s="174" t="n">
        <v>0</v>
      </c>
      <c r="AS183" s="174" t="n">
        <v>-0.15</v>
      </c>
      <c r="AT183" s="174" t="n">
        <v>-0.015</v>
      </c>
      <c r="AU183" s="174" t="n">
        <v>-0.11</v>
      </c>
      <c r="AV183" s="174" t="n">
        <v>0.01</v>
      </c>
      <c r="AW183" s="174" t="n">
        <v>-0.03</v>
      </c>
      <c r="AX183" s="174" t="n">
        <v>0.012</v>
      </c>
      <c r="AY183" s="175" t="n">
        <v>0</v>
      </c>
      <c r="AZ183" s="175" t="n">
        <v>0</v>
      </c>
      <c r="BA183" s="175" t="n">
        <v>-0.195</v>
      </c>
      <c r="BB183" s="174" t="n">
        <v>0</v>
      </c>
      <c r="BC183" s="174" t="n">
        <v>-0.07</v>
      </c>
      <c r="BD183" s="174" t="n">
        <v>0.005</v>
      </c>
      <c r="BE183" s="174" t="n">
        <v>0.43</v>
      </c>
      <c r="BF183" s="174" t="n">
        <v>0</v>
      </c>
      <c r="BG183" s="174" t="n">
        <v>-0.06</v>
      </c>
      <c r="BH183" s="174" t="n">
        <v>0</v>
      </c>
      <c r="BI183" s="174" t="n">
        <v>0</v>
      </c>
      <c r="BJ183" s="136" t="n">
        <v>0.03</v>
      </c>
      <c r="BK183" s="136" t="n">
        <v>0.43</v>
      </c>
      <c r="BL183" s="136" t="n">
        <v>0</v>
      </c>
      <c r="BM183" s="136" t="n">
        <v>-0.05</v>
      </c>
      <c r="BN183" s="136" t="n">
        <v>0</v>
      </c>
      <c r="BO183" s="136" t="n">
        <v>-0.37</v>
      </c>
      <c r="BP183" s="136" t="n">
        <v>0</v>
      </c>
      <c r="BQ183" s="136" t="n">
        <v>0.5</v>
      </c>
      <c r="BR183" s="136" t="n">
        <v>0</v>
      </c>
      <c r="BS183" s="136" t="n">
        <v>-0.07</v>
      </c>
      <c r="BT183" s="136" t="n">
        <v>0.005</v>
      </c>
      <c r="BU183" s="136" t="n">
        <v>0.3</v>
      </c>
      <c r="BV183" s="136" t="n">
        <v>0</v>
      </c>
      <c r="BW183" s="136" t="n">
        <v>0</v>
      </c>
      <c r="BX183" s="136" t="n">
        <v>0</v>
      </c>
      <c r="BY183" s="136" t="n">
        <v>-0.004999999</v>
      </c>
      <c r="BZ183" s="136" t="n">
        <v>0.0575</v>
      </c>
      <c r="CA183" s="136" t="n">
        <v>0.15</v>
      </c>
      <c r="CB183" s="136" t="n">
        <v>0.005</v>
      </c>
      <c r="CC183" s="136" t="n">
        <v>-0.004999999</v>
      </c>
      <c r="CD183" s="136" t="n">
        <v>0.0035</v>
      </c>
      <c r="CE183" s="136" t="n">
        <v>0.0025</v>
      </c>
      <c r="CF183" s="136" t="n">
        <v>0.0025</v>
      </c>
      <c r="CG183" s="136" t="n">
        <v>-0.004999999</v>
      </c>
      <c r="CH183" s="136" t="n">
        <v>0.0035</v>
      </c>
      <c r="CI183" s="136" t="n">
        <v>-0.0605</v>
      </c>
      <c r="CJ183" s="136" t="n">
        <v>0.0025</v>
      </c>
      <c r="CK183" s="136" t="n">
        <v>0.0775</v>
      </c>
      <c r="CL183" s="136" t="n">
        <v>0.0025</v>
      </c>
      <c r="CM183" s="136" t="n">
        <v>-0.072</v>
      </c>
      <c r="CN183" s="136" t="n">
        <v>0.0075</v>
      </c>
      <c r="CO183" s="136" t="n">
        <v>-0.017</v>
      </c>
      <c r="CP183" s="136" t="n">
        <v>0.005</v>
      </c>
      <c r="CQ183" s="136" t="n">
        <v>0.023</v>
      </c>
      <c r="CR183" s="136" t="n">
        <v>0.0075</v>
      </c>
      <c r="CS183" s="136" t="n">
        <v>0.41</v>
      </c>
      <c r="CT183" s="136" t="n">
        <v>0.01</v>
      </c>
      <c r="CU183" s="136" t="n">
        <v>-0.05</v>
      </c>
      <c r="CV183" s="136" t="n">
        <v>0</v>
      </c>
      <c r="CW183" s="136" t="n">
        <v>0.205</v>
      </c>
      <c r="CX183" s="136" t="n">
        <v>0.0075</v>
      </c>
      <c r="CY183" s="136" t="n">
        <v>-0.18</v>
      </c>
      <c r="CZ183" s="136" t="n">
        <v>0</v>
      </c>
      <c r="DA183" s="136" t="n">
        <v>0</v>
      </c>
      <c r="DB183" s="136" t="n">
        <v>0</v>
      </c>
      <c r="DC183" s="136" t="n">
        <v>1.05</v>
      </c>
      <c r="DE183" s="136" t="n">
        <v>-0.041</v>
      </c>
      <c r="DF183" s="136" t="n">
        <v>0.01</v>
      </c>
      <c r="DG183" s="136" t="n">
        <v>0.0165</v>
      </c>
      <c r="DH183" s="136" t="n">
        <v>0.01</v>
      </c>
      <c r="DI183" s="136" t="n">
        <v>0.0015</v>
      </c>
      <c r="DJ183" s="136" t="n">
        <v>0.0075</v>
      </c>
      <c r="DK183" s="136" t="n">
        <v>-0.0355</v>
      </c>
      <c r="DL183" s="136" t="n">
        <v>0.005</v>
      </c>
      <c r="DM183" s="136" t="n">
        <v>-0.047</v>
      </c>
      <c r="DN183" s="136" t="n">
        <v>0.0025</v>
      </c>
      <c r="DO183" s="136" t="n">
        <v>-0.0695</v>
      </c>
      <c r="DP183" s="136" t="n">
        <v>0.0025</v>
      </c>
      <c r="DQ183" s="136" t="n">
        <v>-0.0655</v>
      </c>
      <c r="DR183" s="136" t="n">
        <v>-0.005</v>
      </c>
      <c r="DS183" s="136" t="n">
        <v>0.35</v>
      </c>
      <c r="DT183" s="136" t="n">
        <v>-0.005</v>
      </c>
      <c r="DU183" s="136" t="n">
        <v>0</v>
      </c>
      <c r="DV183" s="136" t="n">
        <v>0</v>
      </c>
    </row>
    <row r="184" customFormat="false" ht="12.75" hidden="false" customHeight="false" outlineLevel="0" collapsed="false">
      <c r="D184" s="135" t="n">
        <v>42248</v>
      </c>
      <c r="F184" s="174" t="n">
        <v>4.1995</v>
      </c>
      <c r="G184" s="175" t="n">
        <v>0.0637369212471981</v>
      </c>
      <c r="H184" s="174" t="n">
        <v>0.17</v>
      </c>
      <c r="I184" s="174" t="n">
        <v>0.55</v>
      </c>
      <c r="J184" s="174" t="n">
        <v>0.55</v>
      </c>
      <c r="K184" s="174" t="n">
        <v>0.55</v>
      </c>
      <c r="L184" s="172" t="n">
        <v>0.55</v>
      </c>
      <c r="M184" s="172" t="n">
        <v>0.55</v>
      </c>
      <c r="N184" s="174" t="n">
        <v>0.6</v>
      </c>
      <c r="O184" s="174" t="n">
        <v>0.6</v>
      </c>
      <c r="P184" s="174" t="n">
        <v>0.55</v>
      </c>
      <c r="Q184" s="174" t="n">
        <v>0.5</v>
      </c>
      <c r="R184" s="175" t="n">
        <v>0.55</v>
      </c>
      <c r="S184" s="175" t="n">
        <v>0.6</v>
      </c>
      <c r="T184" s="174" t="n">
        <v>0.55</v>
      </c>
      <c r="U184" s="174" t="n">
        <v>0.6</v>
      </c>
      <c r="V184" s="174" t="n">
        <v>0.65</v>
      </c>
      <c r="W184" s="174" t="n">
        <v>-0.09</v>
      </c>
      <c r="X184" s="174" t="n">
        <v>0</v>
      </c>
      <c r="Y184" s="174" t="n">
        <v>0</v>
      </c>
      <c r="Z184" s="174" t="n">
        <v>0.005</v>
      </c>
      <c r="AA184" s="174" t="n">
        <v>0</v>
      </c>
      <c r="AB184" s="174" t="n">
        <v>0</v>
      </c>
      <c r="AC184" s="174" t="n">
        <v>0</v>
      </c>
      <c r="AD184" s="174" t="n">
        <v>0</v>
      </c>
      <c r="AE184" s="174" t="n">
        <v>0</v>
      </c>
      <c r="AF184" s="174" t="n">
        <v>0</v>
      </c>
      <c r="AG184" s="174" t="n">
        <v>0</v>
      </c>
      <c r="AH184" s="174" t="n">
        <v>0</v>
      </c>
      <c r="AI184" s="174" t="n">
        <v>0</v>
      </c>
      <c r="AJ184" s="174" t="n">
        <v>0</v>
      </c>
      <c r="AK184" s="174" t="n">
        <v>0</v>
      </c>
      <c r="AL184" s="174" t="n">
        <v>0.04</v>
      </c>
      <c r="AM184" s="174" t="n">
        <v>-0.038</v>
      </c>
      <c r="AN184" s="174" t="n">
        <v>0.033</v>
      </c>
      <c r="AO184" s="174" t="n">
        <v>-0.44</v>
      </c>
      <c r="AP184" s="174" t="n">
        <v>0.155</v>
      </c>
      <c r="AQ184" s="174" t="n">
        <v>0</v>
      </c>
      <c r="AR184" s="174" t="n">
        <v>0</v>
      </c>
      <c r="AS184" s="174" t="n">
        <v>-0.15</v>
      </c>
      <c r="AT184" s="174" t="n">
        <v>-0.015</v>
      </c>
      <c r="AU184" s="174" t="n">
        <v>-0.11</v>
      </c>
      <c r="AV184" s="174" t="n">
        <v>0.01</v>
      </c>
      <c r="AW184" s="174" t="n">
        <v>0</v>
      </c>
      <c r="AX184" s="174" t="n">
        <v>0</v>
      </c>
      <c r="AY184" s="175" t="n">
        <v>0</v>
      </c>
      <c r="AZ184" s="175" t="n">
        <v>0</v>
      </c>
      <c r="BA184" s="175" t="n">
        <v>-0.195</v>
      </c>
      <c r="BB184" s="174" t="n">
        <v>0</v>
      </c>
      <c r="BC184" s="174" t="n">
        <v>-0.07</v>
      </c>
      <c r="BD184" s="174" t="n">
        <v>0.005</v>
      </c>
      <c r="BE184" s="174" t="n">
        <v>0.43</v>
      </c>
      <c r="BF184" s="174" t="n">
        <v>0</v>
      </c>
      <c r="BG184" s="174" t="n">
        <v>-0.06</v>
      </c>
      <c r="BH184" s="174" t="n">
        <v>0</v>
      </c>
      <c r="BI184" s="174" t="n">
        <v>0</v>
      </c>
      <c r="BJ184" s="136" t="n">
        <v>0.03</v>
      </c>
      <c r="BK184" s="136" t="n">
        <v>0.43</v>
      </c>
      <c r="BL184" s="136" t="n">
        <v>0</v>
      </c>
      <c r="BM184" s="136" t="n">
        <v>-0.05</v>
      </c>
      <c r="BN184" s="136" t="n">
        <v>0</v>
      </c>
      <c r="BO184" s="136" t="n">
        <v>-0.37</v>
      </c>
      <c r="BP184" s="136" t="n">
        <v>0</v>
      </c>
      <c r="BQ184" s="136" t="n">
        <v>0.5</v>
      </c>
      <c r="BR184" s="136" t="n">
        <v>0</v>
      </c>
      <c r="BS184" s="136" t="n">
        <v>-0.07</v>
      </c>
      <c r="BT184" s="136" t="n">
        <v>0.005</v>
      </c>
      <c r="BU184" s="136" t="n">
        <v>0.3</v>
      </c>
      <c r="BV184" s="136" t="n">
        <v>0</v>
      </c>
      <c r="BW184" s="136" t="n">
        <v>0</v>
      </c>
      <c r="BX184" s="136" t="n">
        <v>0</v>
      </c>
      <c r="BY184" s="136" t="n">
        <v>-0.004999999</v>
      </c>
      <c r="BZ184" s="136" t="n">
        <v>0.0575</v>
      </c>
      <c r="CA184" s="136" t="n">
        <v>0.125</v>
      </c>
      <c r="CB184" s="136" t="n">
        <v>0.005</v>
      </c>
      <c r="CC184" s="136" t="n">
        <v>-0.004999999</v>
      </c>
      <c r="CD184" s="136" t="n">
        <v>0.0035</v>
      </c>
      <c r="CE184" s="136" t="n">
        <v>0.0025</v>
      </c>
      <c r="CF184" s="136" t="n">
        <v>0.0025</v>
      </c>
      <c r="CG184" s="136" t="n">
        <v>-0.004999999</v>
      </c>
      <c r="CH184" s="136" t="n">
        <v>0.0035</v>
      </c>
      <c r="CI184" s="136" t="n">
        <v>-0.0655</v>
      </c>
      <c r="CJ184" s="136" t="n">
        <v>0.0025</v>
      </c>
      <c r="CK184" s="136" t="n">
        <v>0.0775</v>
      </c>
      <c r="CL184" s="136" t="n">
        <v>0.0025</v>
      </c>
      <c r="CM184" s="136" t="n">
        <v>-0.072</v>
      </c>
      <c r="CN184" s="136" t="n">
        <v>0.0075</v>
      </c>
      <c r="CO184" s="136" t="n">
        <v>-0.017</v>
      </c>
      <c r="CP184" s="136" t="n">
        <v>0.005</v>
      </c>
      <c r="CQ184" s="136" t="n">
        <v>0.023</v>
      </c>
      <c r="CR184" s="136" t="n">
        <v>0.0075</v>
      </c>
      <c r="CS184" s="136" t="n">
        <v>0.36</v>
      </c>
      <c r="CT184" s="136" t="n">
        <v>0.01</v>
      </c>
      <c r="CU184" s="136" t="n">
        <v>-0.05</v>
      </c>
      <c r="CV184" s="136" t="n">
        <v>0</v>
      </c>
      <c r="CW184" s="136" t="n">
        <v>0.145</v>
      </c>
      <c r="CX184" s="136" t="n">
        <v>0.0075</v>
      </c>
      <c r="CY184" s="136" t="n">
        <v>-0.18</v>
      </c>
      <c r="CZ184" s="136" t="n">
        <v>0</v>
      </c>
      <c r="DA184" s="136" t="n">
        <v>0</v>
      </c>
      <c r="DB184" s="136" t="n">
        <v>0</v>
      </c>
      <c r="DC184" s="136" t="n">
        <v>0.75</v>
      </c>
      <c r="DE184" s="136" t="n">
        <v>-0.046</v>
      </c>
      <c r="DF184" s="136" t="n">
        <v>0.01</v>
      </c>
      <c r="DG184" s="136" t="n">
        <v>0.0165</v>
      </c>
      <c r="DH184" s="136" t="n">
        <v>0.01</v>
      </c>
      <c r="DI184" s="136" t="n">
        <v>0.0015</v>
      </c>
      <c r="DJ184" s="136" t="n">
        <v>0.0075</v>
      </c>
      <c r="DK184" s="136" t="n">
        <v>-0.0455</v>
      </c>
      <c r="DL184" s="136" t="n">
        <v>0.005</v>
      </c>
      <c r="DM184" s="136" t="n">
        <v>-0.047</v>
      </c>
      <c r="DN184" s="136" t="n">
        <v>0.0025</v>
      </c>
      <c r="DO184" s="136" t="n">
        <v>-0.0695</v>
      </c>
      <c r="DP184" s="136" t="n">
        <v>0.0025</v>
      </c>
      <c r="DQ184" s="136" t="n">
        <v>-0.0755</v>
      </c>
      <c r="DR184" s="136" t="n">
        <v>-0.005</v>
      </c>
      <c r="DS184" s="136" t="n">
        <v>0.315</v>
      </c>
      <c r="DT184" s="136" t="n">
        <v>-0.005</v>
      </c>
      <c r="DU184" s="136" t="n">
        <v>0</v>
      </c>
      <c r="DV184" s="136" t="n">
        <v>0</v>
      </c>
    </row>
    <row r="185" customFormat="false" ht="12.75" hidden="false" customHeight="false" outlineLevel="0" collapsed="false">
      <c r="D185" s="135" t="n">
        <v>42278</v>
      </c>
      <c r="F185" s="174" t="n">
        <v>4.2245</v>
      </c>
      <c r="G185" s="175" t="n">
        <v>0.0637761574805116</v>
      </c>
      <c r="H185" s="174" t="n">
        <v>0.17</v>
      </c>
      <c r="I185" s="174" t="n">
        <v>0.6</v>
      </c>
      <c r="J185" s="174" t="n">
        <v>0.6</v>
      </c>
      <c r="K185" s="174" t="n">
        <v>0.55</v>
      </c>
      <c r="L185" s="172" t="n">
        <v>0.6</v>
      </c>
      <c r="M185" s="172" t="n">
        <v>0.6</v>
      </c>
      <c r="N185" s="174" t="n">
        <v>0.65</v>
      </c>
      <c r="O185" s="174" t="n">
        <v>0.65</v>
      </c>
      <c r="P185" s="174" t="n">
        <v>0.6</v>
      </c>
      <c r="Q185" s="174" t="n">
        <v>0.5</v>
      </c>
      <c r="R185" s="175" t="n">
        <v>0.6</v>
      </c>
      <c r="S185" s="175" t="n">
        <v>0.65</v>
      </c>
      <c r="T185" s="174" t="n">
        <v>0.6</v>
      </c>
      <c r="U185" s="174" t="n">
        <v>0.65</v>
      </c>
      <c r="V185" s="174" t="n">
        <v>0.7</v>
      </c>
      <c r="W185" s="174" t="n">
        <v>-0.09</v>
      </c>
      <c r="X185" s="174" t="n">
        <v>0</v>
      </c>
      <c r="Y185" s="174" t="n">
        <v>0</v>
      </c>
      <c r="Z185" s="174" t="n">
        <v>0.005</v>
      </c>
      <c r="AA185" s="174" t="n">
        <v>0</v>
      </c>
      <c r="AB185" s="174" t="n">
        <v>0</v>
      </c>
      <c r="AC185" s="174" t="n">
        <v>0</v>
      </c>
      <c r="AD185" s="174" t="n">
        <v>0</v>
      </c>
      <c r="AE185" s="174" t="n">
        <v>0</v>
      </c>
      <c r="AF185" s="174" t="n">
        <v>0</v>
      </c>
      <c r="AG185" s="174" t="n">
        <v>0</v>
      </c>
      <c r="AH185" s="174" t="n">
        <v>0</v>
      </c>
      <c r="AI185" s="174" t="n">
        <v>0</v>
      </c>
      <c r="AJ185" s="174" t="n">
        <v>0</v>
      </c>
      <c r="AK185" s="174" t="n">
        <v>0</v>
      </c>
      <c r="AL185" s="174" t="n">
        <v>0.04</v>
      </c>
      <c r="AM185" s="174" t="n">
        <v>-0.038</v>
      </c>
      <c r="AN185" s="174" t="n">
        <v>0.033</v>
      </c>
      <c r="AO185" s="174" t="n">
        <v>-0.44</v>
      </c>
      <c r="AP185" s="174" t="n">
        <v>0.155</v>
      </c>
      <c r="AQ185" s="174" t="n">
        <v>0</v>
      </c>
      <c r="AR185" s="174" t="n">
        <v>0</v>
      </c>
      <c r="AS185" s="174" t="n">
        <v>-0.15</v>
      </c>
      <c r="AT185" s="174" t="n">
        <v>-0.015</v>
      </c>
      <c r="AU185" s="174" t="n">
        <v>-0.11</v>
      </c>
      <c r="AV185" s="174" t="n">
        <v>0.01</v>
      </c>
      <c r="AW185" s="174" t="n">
        <v>0</v>
      </c>
      <c r="AX185" s="174" t="n">
        <v>0</v>
      </c>
      <c r="AY185" s="175" t="n">
        <v>0</v>
      </c>
      <c r="AZ185" s="175" t="n">
        <v>0</v>
      </c>
      <c r="BA185" s="175" t="n">
        <v>-0.195</v>
      </c>
      <c r="BB185" s="174" t="n">
        <v>0</v>
      </c>
      <c r="BC185" s="174" t="n">
        <v>-0.07</v>
      </c>
      <c r="BD185" s="174" t="n">
        <v>0.005</v>
      </c>
      <c r="BE185" s="174" t="n">
        <v>0.43</v>
      </c>
      <c r="BF185" s="174" t="n">
        <v>0</v>
      </c>
      <c r="BG185" s="174" t="n">
        <v>-0.06</v>
      </c>
      <c r="BH185" s="174" t="n">
        <v>0</v>
      </c>
      <c r="BI185" s="174" t="n">
        <v>0</v>
      </c>
      <c r="BJ185" s="136" t="n">
        <v>0.03</v>
      </c>
      <c r="BK185" s="136" t="n">
        <v>0.43</v>
      </c>
      <c r="BL185" s="136" t="n">
        <v>0</v>
      </c>
      <c r="BM185" s="136" t="n">
        <v>-0.05</v>
      </c>
      <c r="BN185" s="136" t="n">
        <v>0</v>
      </c>
      <c r="BO185" s="136" t="n">
        <v>-0.37</v>
      </c>
      <c r="BP185" s="136" t="n">
        <v>0</v>
      </c>
      <c r="BQ185" s="136" t="n">
        <v>0.5</v>
      </c>
      <c r="BR185" s="136" t="n">
        <v>0</v>
      </c>
      <c r="BS185" s="136" t="n">
        <v>-0.07</v>
      </c>
      <c r="BT185" s="136" t="n">
        <v>0.005</v>
      </c>
      <c r="BU185" s="136" t="n">
        <v>0.3</v>
      </c>
      <c r="BV185" s="136" t="n">
        <v>0</v>
      </c>
      <c r="BW185" s="136" t="n">
        <v>0</v>
      </c>
      <c r="BX185" s="136" t="n">
        <v>0</v>
      </c>
      <c r="BY185" s="136" t="n">
        <v>-0.004999999</v>
      </c>
      <c r="BZ185" s="136" t="n">
        <v>0.0575</v>
      </c>
      <c r="CA185" s="136" t="n">
        <v>0.145</v>
      </c>
      <c r="CB185" s="136" t="n">
        <v>0.005</v>
      </c>
      <c r="CC185" s="136" t="n">
        <v>-0.004999999</v>
      </c>
      <c r="CD185" s="136" t="n">
        <v>0.0035</v>
      </c>
      <c r="CE185" s="136" t="n">
        <v>0.0025</v>
      </c>
      <c r="CF185" s="136" t="n">
        <v>0.0025</v>
      </c>
      <c r="CG185" s="136" t="n">
        <v>-0.004999999</v>
      </c>
      <c r="CH185" s="136" t="n">
        <v>0.0035</v>
      </c>
      <c r="CI185" s="136" t="n">
        <v>-0.068</v>
      </c>
      <c r="CJ185" s="136" t="n">
        <v>0.0025</v>
      </c>
      <c r="CK185" s="136" t="n">
        <v>0.0775</v>
      </c>
      <c r="CL185" s="136" t="n">
        <v>0.0025</v>
      </c>
      <c r="CM185" s="136" t="n">
        <v>-0.072</v>
      </c>
      <c r="CN185" s="136" t="n">
        <v>0.0075</v>
      </c>
      <c r="CO185" s="136" t="n">
        <v>-0.017</v>
      </c>
      <c r="CP185" s="136" t="n">
        <v>0.005</v>
      </c>
      <c r="CQ185" s="136" t="n">
        <v>0.023</v>
      </c>
      <c r="CR185" s="136" t="n">
        <v>0.0075</v>
      </c>
      <c r="CS185" s="136" t="n">
        <v>0.4</v>
      </c>
      <c r="CT185" s="136" t="n">
        <v>0.01</v>
      </c>
      <c r="CU185" s="136" t="n">
        <v>-0.05</v>
      </c>
      <c r="CV185" s="136" t="n">
        <v>0</v>
      </c>
      <c r="CW185" s="136" t="n">
        <v>0.175</v>
      </c>
      <c r="CX185" s="136" t="n">
        <v>0.0075</v>
      </c>
      <c r="CY185" s="136" t="n">
        <v>-0.18</v>
      </c>
      <c r="CZ185" s="136" t="n">
        <v>0</v>
      </c>
      <c r="DA185" s="136" t="n">
        <v>0</v>
      </c>
      <c r="DB185" s="136" t="n">
        <v>0</v>
      </c>
      <c r="DC185" s="136" t="n">
        <v>0.45</v>
      </c>
      <c r="DE185" s="136" t="n">
        <v>-0.046</v>
      </c>
      <c r="DF185" s="136" t="n">
        <v>0.01</v>
      </c>
      <c r="DG185" s="136" t="n">
        <v>0.014</v>
      </c>
      <c r="DH185" s="136" t="n">
        <v>0.01</v>
      </c>
      <c r="DI185" s="136" t="n">
        <v>0.000999999999999994</v>
      </c>
      <c r="DJ185" s="136" t="n">
        <v>0.0075</v>
      </c>
      <c r="DK185" s="136" t="n">
        <v>-0.033</v>
      </c>
      <c r="DL185" s="136" t="n">
        <v>0.005</v>
      </c>
      <c r="DM185" s="136" t="n">
        <v>-0.047</v>
      </c>
      <c r="DN185" s="136" t="n">
        <v>0.0025</v>
      </c>
      <c r="DO185" s="136" t="n">
        <v>-0.0695</v>
      </c>
      <c r="DP185" s="136" t="n">
        <v>0.0025</v>
      </c>
      <c r="DQ185" s="136" t="n">
        <v>-0.063</v>
      </c>
      <c r="DR185" s="136" t="n">
        <v>-0.005</v>
      </c>
      <c r="DS185" s="136" t="n">
        <v>0.36</v>
      </c>
      <c r="DT185" s="136" t="n">
        <v>-0.005</v>
      </c>
      <c r="DU185" s="136" t="n">
        <v>0</v>
      </c>
      <c r="DV185" s="136" t="n">
        <v>0</v>
      </c>
    </row>
    <row r="186" customFormat="false" ht="12.75" hidden="false" customHeight="false" outlineLevel="0" collapsed="false">
      <c r="D186" s="135" t="n">
        <v>42309</v>
      </c>
      <c r="F186" s="174" t="n">
        <v>4.3765</v>
      </c>
      <c r="G186" s="175" t="n">
        <v>0.0638167015888049</v>
      </c>
      <c r="H186" s="174" t="n">
        <v>0.17</v>
      </c>
      <c r="I186" s="174" t="n">
        <v>0.8</v>
      </c>
      <c r="J186" s="174" t="n">
        <v>0.85</v>
      </c>
      <c r="K186" s="174" t="n">
        <v>0.8</v>
      </c>
      <c r="L186" s="172" t="n">
        <v>0.8</v>
      </c>
      <c r="M186" s="172" t="n">
        <v>0.9</v>
      </c>
      <c r="N186" s="174" t="n">
        <v>0.95</v>
      </c>
      <c r="O186" s="174" t="n">
        <v>0.85</v>
      </c>
      <c r="P186" s="174" t="n">
        <v>0.8</v>
      </c>
      <c r="Q186" s="174" t="n">
        <v>0.95</v>
      </c>
      <c r="R186" s="175" t="n">
        <v>0.8</v>
      </c>
      <c r="S186" s="175" t="n">
        <v>0.8</v>
      </c>
      <c r="T186" s="174" t="n">
        <v>0.8</v>
      </c>
      <c r="U186" s="174" t="n">
        <v>0.95</v>
      </c>
      <c r="V186" s="174" t="n">
        <v>0.9</v>
      </c>
      <c r="W186" s="174" t="n">
        <v>0</v>
      </c>
      <c r="X186" s="174" t="n">
        <v>0.03</v>
      </c>
      <c r="Y186" s="174" t="n">
        <v>0</v>
      </c>
      <c r="Z186" s="174" t="n">
        <v>0.02</v>
      </c>
      <c r="AA186" s="174" t="n">
        <v>0</v>
      </c>
      <c r="AB186" s="174" t="n">
        <v>0</v>
      </c>
      <c r="AC186" s="174" t="n">
        <v>0</v>
      </c>
      <c r="AD186" s="174" t="n">
        <v>0</v>
      </c>
      <c r="AE186" s="174" t="n">
        <v>0</v>
      </c>
      <c r="AF186" s="174" t="n">
        <v>0</v>
      </c>
      <c r="AG186" s="174" t="n">
        <v>0</v>
      </c>
      <c r="AH186" s="174" t="n">
        <v>0</v>
      </c>
      <c r="AI186" s="174" t="n">
        <v>0</v>
      </c>
      <c r="AJ186" s="174" t="n">
        <v>0</v>
      </c>
      <c r="AK186" s="174" t="n">
        <v>0</v>
      </c>
      <c r="AL186" s="174" t="n">
        <v>0.035</v>
      </c>
      <c r="AM186" s="174" t="n">
        <v>-0.0525</v>
      </c>
      <c r="AN186" s="174" t="n">
        <v>0.028</v>
      </c>
      <c r="AO186" s="174" t="n">
        <v>-0.44</v>
      </c>
      <c r="AP186" s="174" t="n">
        <v>0.155</v>
      </c>
      <c r="AQ186" s="174" t="n">
        <v>0</v>
      </c>
      <c r="AR186" s="174" t="n">
        <v>0</v>
      </c>
      <c r="AS186" s="174" t="n">
        <v>-0.15</v>
      </c>
      <c r="AT186" s="174" t="n">
        <v>-0.005</v>
      </c>
      <c r="AU186" s="174" t="n">
        <v>-0.11</v>
      </c>
      <c r="AV186" s="174" t="n">
        <v>-0.01</v>
      </c>
      <c r="AW186" s="174" t="n">
        <v>0</v>
      </c>
      <c r="AX186" s="174" t="n">
        <v>0</v>
      </c>
      <c r="AY186" s="175" t="n">
        <v>0</v>
      </c>
      <c r="AZ186" s="175" t="n">
        <v>0</v>
      </c>
      <c r="BA186" s="175" t="n">
        <v>-0.13</v>
      </c>
      <c r="BB186" s="174" t="n">
        <v>0</v>
      </c>
      <c r="BC186" s="174" t="n">
        <v>-0.07</v>
      </c>
      <c r="BD186" s="174" t="n">
        <v>0.005</v>
      </c>
      <c r="BE186" s="174" t="n">
        <v>0.35</v>
      </c>
      <c r="BF186" s="174" t="n">
        <v>0</v>
      </c>
      <c r="BG186" s="174" t="n">
        <v>-0.06</v>
      </c>
      <c r="BH186" s="174" t="n">
        <v>0</v>
      </c>
      <c r="BI186" s="174" t="n">
        <v>0</v>
      </c>
      <c r="BJ186" s="136" t="n">
        <v>0</v>
      </c>
      <c r="BK186" s="136" t="n">
        <v>0.35</v>
      </c>
      <c r="BL186" s="136" t="n">
        <v>0</v>
      </c>
      <c r="BM186" s="136" t="n">
        <v>0.05</v>
      </c>
      <c r="BN186" s="136" t="n">
        <v>0</v>
      </c>
      <c r="BO186" s="136" t="n">
        <v>-0.26</v>
      </c>
      <c r="BP186" s="136" t="n">
        <v>0</v>
      </c>
      <c r="BQ186" s="136" t="n">
        <v>0.5</v>
      </c>
      <c r="BR186" s="136" t="n">
        <v>0</v>
      </c>
      <c r="BS186" s="136" t="n">
        <v>-0.07</v>
      </c>
      <c r="BT186" s="136" t="n">
        <v>0.005</v>
      </c>
      <c r="BU186" s="136" t="n">
        <v>0.3</v>
      </c>
      <c r="BV186" s="136" t="n">
        <v>0</v>
      </c>
      <c r="BW186" s="136" t="n">
        <v>0</v>
      </c>
      <c r="BX186" s="136" t="n">
        <v>0</v>
      </c>
      <c r="BY186" s="136" t="n">
        <v>-0.004999999</v>
      </c>
      <c r="BZ186" s="136" t="n">
        <v>0.0575</v>
      </c>
      <c r="CA186" s="136" t="n">
        <v>0.195</v>
      </c>
      <c r="CB186" s="136" t="n">
        <v>0.005</v>
      </c>
      <c r="CC186" s="136" t="n">
        <v>-0.004999999</v>
      </c>
      <c r="CD186" s="136" t="n">
        <v>0.0037</v>
      </c>
      <c r="CE186" s="136" t="n">
        <v>0.0025</v>
      </c>
      <c r="CF186" s="136" t="n">
        <v>0.0025</v>
      </c>
      <c r="CG186" s="136" t="n">
        <v>-0.004999999</v>
      </c>
      <c r="CH186" s="136" t="n">
        <v>0.0037</v>
      </c>
      <c r="CI186" s="136" t="n">
        <v>-0.073</v>
      </c>
      <c r="CJ186" s="136" t="n">
        <v>0.0025</v>
      </c>
      <c r="CK186" s="136" t="n">
        <v>0.075</v>
      </c>
      <c r="CL186" s="136" t="n">
        <v>0.0025</v>
      </c>
      <c r="CM186" s="136" t="n">
        <v>-0.064</v>
      </c>
      <c r="CN186" s="136" t="n">
        <v>0.01</v>
      </c>
      <c r="CO186" s="136" t="n">
        <v>-0.008999999</v>
      </c>
      <c r="CP186" s="136" t="n">
        <v>0.0075</v>
      </c>
      <c r="CQ186" s="136" t="n">
        <v>0.031</v>
      </c>
      <c r="CR186" s="136" t="n">
        <v>0.0125</v>
      </c>
      <c r="CS186" s="136" t="n">
        <v>0.65</v>
      </c>
      <c r="CT186" s="136" t="n">
        <v>0.055</v>
      </c>
      <c r="CU186" s="136" t="n">
        <v>0.05</v>
      </c>
      <c r="CV186" s="136" t="n">
        <v>0</v>
      </c>
      <c r="CW186" s="136" t="n">
        <v>0.21</v>
      </c>
      <c r="CX186" s="136" t="n">
        <v>0.02</v>
      </c>
      <c r="CY186" s="136" t="n">
        <v>-0.18</v>
      </c>
      <c r="CZ186" s="136" t="n">
        <v>0</v>
      </c>
      <c r="DA186" s="136" t="n">
        <v>0</v>
      </c>
      <c r="DB186" s="136" t="n">
        <v>0</v>
      </c>
      <c r="DC186" s="136" t="n">
        <v>0.45</v>
      </c>
      <c r="DE186" s="136" t="n">
        <v>-0.0345</v>
      </c>
      <c r="DF186" s="136" t="n">
        <v>0.0125</v>
      </c>
      <c r="DG186" s="136" t="n">
        <v>0.015</v>
      </c>
      <c r="DH186" s="136" t="n">
        <v>0.0075</v>
      </c>
      <c r="DI186" s="136" t="n">
        <v>0</v>
      </c>
      <c r="DJ186" s="136" t="n">
        <v>0.0025</v>
      </c>
      <c r="DK186" s="136" t="n">
        <v>-0.038</v>
      </c>
      <c r="DL186" s="136" t="n">
        <v>0.0025</v>
      </c>
      <c r="DM186" s="136" t="n">
        <v>-0.0495</v>
      </c>
      <c r="DN186" s="136" t="n">
        <v>0.0025</v>
      </c>
      <c r="DO186" s="136" t="n">
        <v>-0.072</v>
      </c>
      <c r="DP186" s="136" t="n">
        <v>0.0025</v>
      </c>
      <c r="DQ186" s="136" t="n">
        <v>-0.068</v>
      </c>
      <c r="DR186" s="136" t="n">
        <v>-0.005</v>
      </c>
      <c r="DS186" s="136" t="n">
        <v>0.46</v>
      </c>
      <c r="DT186" s="136" t="n">
        <v>0.05</v>
      </c>
      <c r="DU186" s="136" t="n">
        <v>0</v>
      </c>
      <c r="DV186" s="136" t="n">
        <v>0</v>
      </c>
    </row>
    <row r="187" customFormat="false" ht="12.75" hidden="false" customHeight="false" outlineLevel="0" collapsed="false">
      <c r="D187" s="135" t="n">
        <v>42339</v>
      </c>
      <c r="F187" s="174" t="n">
        <v>4.5195</v>
      </c>
      <c r="G187" s="175" t="n">
        <v>0.0638559378231571</v>
      </c>
      <c r="H187" s="174" t="n">
        <v>0.17</v>
      </c>
      <c r="I187" s="174" t="n">
        <v>1</v>
      </c>
      <c r="J187" s="174" t="n">
        <v>1.05</v>
      </c>
      <c r="K187" s="174" t="n">
        <v>1</v>
      </c>
      <c r="L187" s="172" t="n">
        <v>1</v>
      </c>
      <c r="M187" s="172" t="n">
        <v>1.15</v>
      </c>
      <c r="N187" s="174" t="n">
        <v>1.25</v>
      </c>
      <c r="O187" s="174" t="n">
        <v>1.05</v>
      </c>
      <c r="P187" s="174" t="n">
        <v>1</v>
      </c>
      <c r="Q187" s="174" t="n">
        <v>1.35</v>
      </c>
      <c r="R187" s="175" t="n">
        <v>1</v>
      </c>
      <c r="S187" s="175" t="n">
        <v>1.1</v>
      </c>
      <c r="T187" s="174" t="n">
        <v>1</v>
      </c>
      <c r="U187" s="174" t="n">
        <v>1.25</v>
      </c>
      <c r="V187" s="174" t="n">
        <v>1.1</v>
      </c>
      <c r="W187" s="174" t="n">
        <v>0.005</v>
      </c>
      <c r="X187" s="174" t="n">
        <v>0.03</v>
      </c>
      <c r="Y187" s="174" t="n">
        <v>0</v>
      </c>
      <c r="Z187" s="174" t="n">
        <v>0.02</v>
      </c>
      <c r="AA187" s="174" t="n">
        <v>0</v>
      </c>
      <c r="AB187" s="174" t="n">
        <v>0</v>
      </c>
      <c r="AC187" s="174" t="n">
        <v>0</v>
      </c>
      <c r="AD187" s="174" t="n">
        <v>0</v>
      </c>
      <c r="AE187" s="174" t="n">
        <v>0</v>
      </c>
      <c r="AF187" s="174" t="n">
        <v>0</v>
      </c>
      <c r="AG187" s="174" t="n">
        <v>0</v>
      </c>
      <c r="AH187" s="174" t="n">
        <v>0</v>
      </c>
      <c r="AI187" s="174" t="n">
        <v>0</v>
      </c>
      <c r="AJ187" s="174" t="n">
        <v>0</v>
      </c>
      <c r="AK187" s="174" t="n">
        <v>0</v>
      </c>
      <c r="AL187" s="174" t="n">
        <v>0.035</v>
      </c>
      <c r="AM187" s="174" t="n">
        <v>-0.0525</v>
      </c>
      <c r="AN187" s="174" t="n">
        <v>0.028</v>
      </c>
      <c r="AO187" s="174" t="n">
        <v>-0.44</v>
      </c>
      <c r="AP187" s="174" t="n">
        <v>0.155</v>
      </c>
      <c r="AQ187" s="174" t="n">
        <v>0</v>
      </c>
      <c r="AR187" s="174" t="n">
        <v>0</v>
      </c>
      <c r="AS187" s="174" t="n">
        <v>-0.1525</v>
      </c>
      <c r="AT187" s="174" t="n">
        <v>-0.005</v>
      </c>
      <c r="AU187" s="174" t="n">
        <v>-0.1125</v>
      </c>
      <c r="AV187" s="174" t="n">
        <v>-0.01</v>
      </c>
      <c r="AW187" s="174" t="n">
        <v>0</v>
      </c>
      <c r="AX187" s="174" t="n">
        <v>0</v>
      </c>
      <c r="AY187" s="175" t="n">
        <v>0</v>
      </c>
      <c r="AZ187" s="175" t="n">
        <v>0</v>
      </c>
      <c r="BA187" s="175" t="n">
        <v>-0.13</v>
      </c>
      <c r="BB187" s="174" t="n">
        <v>0</v>
      </c>
      <c r="BC187" s="174" t="n">
        <v>-0.07</v>
      </c>
      <c r="BD187" s="174" t="n">
        <v>0.005</v>
      </c>
      <c r="BE187" s="174" t="n">
        <v>0.35</v>
      </c>
      <c r="BF187" s="174" t="n">
        <v>0</v>
      </c>
      <c r="BG187" s="174" t="n">
        <v>-0.06</v>
      </c>
      <c r="BH187" s="174" t="n">
        <v>0</v>
      </c>
      <c r="BI187" s="174" t="n">
        <v>0</v>
      </c>
      <c r="BJ187" s="136" t="n">
        <v>0</v>
      </c>
      <c r="BK187" s="136" t="n">
        <v>0.35</v>
      </c>
      <c r="BL187" s="136" t="n">
        <v>0</v>
      </c>
      <c r="BM187" s="136" t="n">
        <v>0.05</v>
      </c>
      <c r="BN187" s="136" t="n">
        <v>0</v>
      </c>
      <c r="BO187" s="136" t="n">
        <v>-0.26</v>
      </c>
      <c r="BP187" s="136" t="n">
        <v>0</v>
      </c>
      <c r="BQ187" s="136" t="n">
        <v>0.5</v>
      </c>
      <c r="BR187" s="136" t="n">
        <v>0</v>
      </c>
      <c r="BS187" s="136" t="n">
        <v>-0.07</v>
      </c>
      <c r="BT187" s="136" t="n">
        <v>0.005</v>
      </c>
      <c r="BU187" s="136" t="n">
        <v>0.3</v>
      </c>
      <c r="BV187" s="136" t="n">
        <v>0</v>
      </c>
      <c r="BW187" s="136" t="n">
        <v>0</v>
      </c>
      <c r="BX187" s="136" t="n">
        <v>0</v>
      </c>
      <c r="BY187" s="136" t="n">
        <v>-0.004999999</v>
      </c>
      <c r="BZ187" s="136" t="n">
        <v>0.0575</v>
      </c>
      <c r="CA187" s="136" t="n">
        <v>0.215</v>
      </c>
      <c r="CB187" s="136" t="n">
        <v>0.005</v>
      </c>
      <c r="CC187" s="136" t="n">
        <v>-0.004999999</v>
      </c>
      <c r="CD187" s="136" t="n">
        <v>0.0037</v>
      </c>
      <c r="CE187" s="136" t="n">
        <v>0.0025</v>
      </c>
      <c r="CF187" s="136" t="n">
        <v>0.0025</v>
      </c>
      <c r="CG187" s="136" t="n">
        <v>-0.004999999</v>
      </c>
      <c r="CH187" s="136" t="n">
        <v>0.0037</v>
      </c>
      <c r="CI187" s="136" t="n">
        <v>-0.1005</v>
      </c>
      <c r="CJ187" s="136" t="n">
        <v>0.0025</v>
      </c>
      <c r="CK187" s="136" t="n">
        <v>0.075</v>
      </c>
      <c r="CL187" s="136" t="n">
        <v>0.0025</v>
      </c>
      <c r="CM187" s="136" t="n">
        <v>-0.064</v>
      </c>
      <c r="CN187" s="136" t="n">
        <v>0.01</v>
      </c>
      <c r="CO187" s="136" t="n">
        <v>-0.008999999</v>
      </c>
      <c r="CP187" s="136" t="n">
        <v>0.0075</v>
      </c>
      <c r="CQ187" s="136" t="n">
        <v>0.031</v>
      </c>
      <c r="CR187" s="136" t="n">
        <v>0.0125</v>
      </c>
      <c r="CS187" s="136" t="n">
        <v>0.98</v>
      </c>
      <c r="CT187" s="136" t="n">
        <v>0.25</v>
      </c>
      <c r="CU187" s="136" t="n">
        <v>0.05</v>
      </c>
      <c r="CV187" s="136" t="n">
        <v>0</v>
      </c>
      <c r="CW187" s="136" t="n">
        <v>0.29</v>
      </c>
      <c r="CX187" s="136" t="n">
        <v>0.02</v>
      </c>
      <c r="CY187" s="136" t="n">
        <v>-0.18</v>
      </c>
      <c r="CZ187" s="136" t="n">
        <v>0</v>
      </c>
      <c r="DA187" s="136" t="n">
        <v>0</v>
      </c>
      <c r="DB187" s="136" t="n">
        <v>0</v>
      </c>
      <c r="DC187" s="136" t="n">
        <v>0.4</v>
      </c>
      <c r="DE187" s="136" t="n">
        <v>-0.0345</v>
      </c>
      <c r="DF187" s="136" t="n">
        <v>0.0125</v>
      </c>
      <c r="DG187" s="136" t="n">
        <v>0.015</v>
      </c>
      <c r="DH187" s="136" t="n">
        <v>0.0075</v>
      </c>
      <c r="DI187" s="136" t="n">
        <v>0</v>
      </c>
      <c r="DJ187" s="136" t="n">
        <v>0.0025</v>
      </c>
      <c r="DK187" s="136" t="n">
        <v>-0.0655</v>
      </c>
      <c r="DL187" s="136" t="n">
        <v>0.0025</v>
      </c>
      <c r="DM187" s="136" t="n">
        <v>-0.0475</v>
      </c>
      <c r="DN187" s="136" t="n">
        <v>0.0025</v>
      </c>
      <c r="DO187" s="136" t="n">
        <v>-0.07</v>
      </c>
      <c r="DP187" s="136" t="n">
        <v>0.0025</v>
      </c>
      <c r="DQ187" s="136" t="n">
        <v>-0.0955</v>
      </c>
      <c r="DR187" s="136" t="n">
        <v>-0.005</v>
      </c>
      <c r="DS187" s="136" t="n">
        <v>0.77</v>
      </c>
      <c r="DT187" s="136" t="n">
        <v>0.05</v>
      </c>
      <c r="DU187" s="136" t="n">
        <v>0</v>
      </c>
      <c r="DV187" s="136" t="n">
        <v>0</v>
      </c>
    </row>
    <row r="188" customFormat="false" ht="12.75" hidden="false" customHeight="false" outlineLevel="0" collapsed="false">
      <c r="D188" s="135" t="n">
        <v>42370</v>
      </c>
      <c r="F188" s="174" t="n">
        <v>4.5795</v>
      </c>
      <c r="G188" s="175" t="n">
        <v>0.0638964819325234</v>
      </c>
      <c r="H188" s="174" t="n">
        <v>0.17</v>
      </c>
      <c r="I188" s="174" t="n">
        <v>1</v>
      </c>
      <c r="J188" s="174" t="n">
        <v>1.05</v>
      </c>
      <c r="K188" s="174" t="n">
        <v>1</v>
      </c>
      <c r="L188" s="172" t="n">
        <v>1</v>
      </c>
      <c r="M188" s="172" t="n">
        <v>1.15</v>
      </c>
      <c r="N188" s="174" t="n">
        <v>1.45</v>
      </c>
      <c r="O188" s="174" t="n">
        <v>1.05</v>
      </c>
      <c r="P188" s="174" t="n">
        <v>1</v>
      </c>
      <c r="Q188" s="174" t="n">
        <v>1.35</v>
      </c>
      <c r="R188" s="175" t="n">
        <v>1</v>
      </c>
      <c r="S188" s="175" t="n">
        <v>1.1</v>
      </c>
      <c r="T188" s="174" t="n">
        <v>1</v>
      </c>
      <c r="U188" s="174" t="n">
        <v>1.45</v>
      </c>
      <c r="V188" s="174" t="n">
        <v>1.1</v>
      </c>
      <c r="W188" s="174" t="n">
        <v>0.025</v>
      </c>
      <c r="X188" s="174" t="n">
        <v>0.03</v>
      </c>
      <c r="Y188" s="174" t="n">
        <v>0</v>
      </c>
      <c r="Z188" s="174" t="n">
        <v>0.02</v>
      </c>
      <c r="AA188" s="174" t="n">
        <v>0</v>
      </c>
      <c r="AB188" s="174" t="n">
        <v>0</v>
      </c>
      <c r="AC188" s="174" t="n">
        <v>0</v>
      </c>
      <c r="AD188" s="174" t="n">
        <v>0</v>
      </c>
      <c r="AE188" s="174" t="n">
        <v>0</v>
      </c>
      <c r="AF188" s="174" t="n">
        <v>0</v>
      </c>
      <c r="AG188" s="174" t="n">
        <v>0</v>
      </c>
      <c r="AH188" s="174" t="n">
        <v>0</v>
      </c>
      <c r="AI188" s="174" t="n">
        <v>0</v>
      </c>
      <c r="AJ188" s="174" t="n">
        <v>0</v>
      </c>
      <c r="AK188" s="174" t="n">
        <v>0</v>
      </c>
      <c r="AL188" s="174" t="n">
        <v>0.035</v>
      </c>
      <c r="AM188" s="174" t="n">
        <v>-0.0525</v>
      </c>
      <c r="AN188" s="174" t="n">
        <v>0.028</v>
      </c>
      <c r="AO188" s="174" t="n">
        <v>-0.44</v>
      </c>
      <c r="AP188" s="174" t="n">
        <v>0.155</v>
      </c>
      <c r="AQ188" s="174" t="n">
        <v>0</v>
      </c>
      <c r="AR188" s="174" t="n">
        <v>0</v>
      </c>
      <c r="AS188" s="174" t="n">
        <v>-0.155</v>
      </c>
      <c r="AT188" s="174" t="n">
        <v>-0.005</v>
      </c>
      <c r="AU188" s="174" t="n">
        <v>-0.115</v>
      </c>
      <c r="AV188" s="174" t="n">
        <v>-0.01</v>
      </c>
      <c r="AW188" s="174" t="n">
        <v>0</v>
      </c>
      <c r="AX188" s="174" t="n">
        <v>0</v>
      </c>
      <c r="AY188" s="175" t="n">
        <v>0</v>
      </c>
      <c r="AZ188" s="175" t="n">
        <v>0</v>
      </c>
      <c r="BA188" s="175" t="n">
        <v>-0.13</v>
      </c>
      <c r="BB188" s="174" t="n">
        <v>0</v>
      </c>
      <c r="BC188" s="174" t="n">
        <v>-0.07</v>
      </c>
      <c r="BD188" s="174" t="n">
        <v>0.005</v>
      </c>
      <c r="BE188" s="174" t="n">
        <v>0.35</v>
      </c>
      <c r="BF188" s="174" t="n">
        <v>0</v>
      </c>
      <c r="BG188" s="174" t="n">
        <v>-0.06</v>
      </c>
      <c r="BH188" s="174" t="n">
        <v>0</v>
      </c>
      <c r="BI188" s="174" t="n">
        <v>0</v>
      </c>
      <c r="BJ188" s="136" t="n">
        <v>0</v>
      </c>
      <c r="BK188" s="136" t="n">
        <v>0.35</v>
      </c>
      <c r="BL188" s="136" t="n">
        <v>0</v>
      </c>
      <c r="BM188" s="136" t="n">
        <v>0.05</v>
      </c>
      <c r="BN188" s="136" t="n">
        <v>0</v>
      </c>
      <c r="BO188" s="136" t="n">
        <v>-0.26</v>
      </c>
      <c r="BP188" s="136" t="n">
        <v>0</v>
      </c>
      <c r="BQ188" s="136" t="n">
        <v>0.5</v>
      </c>
      <c r="BR188" s="136" t="n">
        <v>0</v>
      </c>
      <c r="BS188" s="136" t="n">
        <v>-0.07</v>
      </c>
      <c r="BT188" s="136" t="n">
        <v>0.005</v>
      </c>
      <c r="BU188" s="136" t="n">
        <v>0.3</v>
      </c>
      <c r="BV188" s="136" t="n">
        <v>0</v>
      </c>
      <c r="BW188" s="136" t="n">
        <v>0</v>
      </c>
      <c r="BX188" s="136" t="n">
        <v>0</v>
      </c>
      <c r="BY188" s="136" t="n">
        <v>-0.002999999</v>
      </c>
      <c r="BZ188" s="136" t="n">
        <v>0.0575</v>
      </c>
      <c r="CA188" s="136" t="n">
        <v>0.235</v>
      </c>
      <c r="CB188" s="136" t="n">
        <v>0.005</v>
      </c>
      <c r="CC188" s="136" t="n">
        <v>-0.002999999</v>
      </c>
      <c r="CD188" s="136" t="n">
        <v>0.0037</v>
      </c>
      <c r="CE188" s="136" t="n">
        <v>0.0025</v>
      </c>
      <c r="CF188" s="136" t="n">
        <v>0.0025</v>
      </c>
      <c r="CG188" s="136" t="n">
        <v>-0.002999999</v>
      </c>
      <c r="CH188" s="136" t="n">
        <v>0.0037</v>
      </c>
      <c r="CI188" s="136" t="n">
        <v>-0.0985</v>
      </c>
      <c r="CJ188" s="136" t="n">
        <v>0.0025</v>
      </c>
      <c r="CK188" s="136" t="n">
        <v>0.075</v>
      </c>
      <c r="CL188" s="136" t="n">
        <v>0.0025</v>
      </c>
      <c r="CM188" s="136" t="n">
        <v>-0.064</v>
      </c>
      <c r="CN188" s="136" t="n">
        <v>0.01</v>
      </c>
      <c r="CO188" s="136" t="n">
        <v>-0.008999999</v>
      </c>
      <c r="CP188" s="136" t="n">
        <v>0.0075</v>
      </c>
      <c r="CQ188" s="136" t="n">
        <v>0.031</v>
      </c>
      <c r="CR188" s="136" t="n">
        <v>0.0125</v>
      </c>
      <c r="CS188" s="136" t="n">
        <v>1.6</v>
      </c>
      <c r="CT188" s="136" t="n">
        <v>0.45</v>
      </c>
      <c r="CU188" s="136" t="n">
        <v>0.05</v>
      </c>
      <c r="CV188" s="136" t="n">
        <v>0</v>
      </c>
      <c r="CW188" s="136" t="n">
        <v>0.34</v>
      </c>
      <c r="CX188" s="136" t="n">
        <v>0.02</v>
      </c>
      <c r="CY188" s="136" t="n">
        <v>-0.18</v>
      </c>
      <c r="CZ188" s="136" t="n">
        <v>0</v>
      </c>
      <c r="DA188" s="136" t="n">
        <v>0</v>
      </c>
      <c r="DB188" s="136" t="n">
        <v>0</v>
      </c>
      <c r="DC188" s="136" t="n">
        <v>0.35</v>
      </c>
      <c r="DE188" s="136" t="n">
        <v>-0.0345</v>
      </c>
      <c r="DF188" s="136" t="n">
        <v>0.0125</v>
      </c>
      <c r="DG188" s="136" t="n">
        <v>0.015</v>
      </c>
      <c r="DH188" s="136" t="n">
        <v>0.0075</v>
      </c>
      <c r="DI188" s="136" t="n">
        <v>0</v>
      </c>
      <c r="DJ188" s="136" t="n">
        <v>0.0025</v>
      </c>
      <c r="DK188" s="136" t="n">
        <v>-0.0805</v>
      </c>
      <c r="DL188" s="136" t="n">
        <v>0.0025</v>
      </c>
      <c r="DM188" s="136" t="n">
        <v>-0.0475</v>
      </c>
      <c r="DN188" s="136" t="n">
        <v>0.0025</v>
      </c>
      <c r="DO188" s="136" t="n">
        <v>-0.07</v>
      </c>
      <c r="DP188" s="136" t="n">
        <v>0.0025</v>
      </c>
      <c r="DQ188" s="136" t="n">
        <v>-0.1105</v>
      </c>
      <c r="DR188" s="136" t="n">
        <v>-0.005</v>
      </c>
      <c r="DS188" s="136" t="n">
        <v>1.04</v>
      </c>
      <c r="DT188" s="136" t="n">
        <v>0.05</v>
      </c>
      <c r="DU188" s="136" t="n">
        <v>0</v>
      </c>
      <c r="DV188" s="136" t="n">
        <v>0</v>
      </c>
    </row>
    <row r="189" customFormat="false" ht="12.75" hidden="false" customHeight="false" outlineLevel="0" collapsed="false">
      <c r="D189" s="135" t="n">
        <v>42401</v>
      </c>
      <c r="F189" s="174" t="n">
        <v>4.4945</v>
      </c>
      <c r="G189" s="175" t="n">
        <v>0.063937026042435</v>
      </c>
      <c r="H189" s="174" t="n">
        <v>0.17</v>
      </c>
      <c r="I189" s="174" t="n">
        <v>1</v>
      </c>
      <c r="J189" s="174" t="n">
        <v>1.05</v>
      </c>
      <c r="K189" s="174" t="n">
        <v>1</v>
      </c>
      <c r="L189" s="172" t="n">
        <v>1</v>
      </c>
      <c r="M189" s="172" t="n">
        <v>1.15</v>
      </c>
      <c r="N189" s="174" t="n">
        <v>1.45</v>
      </c>
      <c r="O189" s="174" t="n">
        <v>1.05</v>
      </c>
      <c r="P189" s="174" t="n">
        <v>1</v>
      </c>
      <c r="Q189" s="174" t="n">
        <v>1.35</v>
      </c>
      <c r="R189" s="175" t="n">
        <v>1</v>
      </c>
      <c r="S189" s="175" t="n">
        <v>1.1</v>
      </c>
      <c r="T189" s="174" t="n">
        <v>1</v>
      </c>
      <c r="U189" s="174" t="n">
        <v>1.45</v>
      </c>
      <c r="V189" s="174" t="n">
        <v>1.1</v>
      </c>
      <c r="W189" s="174" t="n">
        <v>0.02</v>
      </c>
      <c r="X189" s="174" t="n">
        <v>0.03</v>
      </c>
      <c r="Y189" s="174" t="n">
        <v>0</v>
      </c>
      <c r="Z189" s="174" t="n">
        <v>0.02</v>
      </c>
      <c r="AA189" s="174" t="n">
        <v>0</v>
      </c>
      <c r="AB189" s="174" t="n">
        <v>0</v>
      </c>
      <c r="AC189" s="174" t="n">
        <v>0</v>
      </c>
      <c r="AD189" s="174" t="n">
        <v>0</v>
      </c>
      <c r="AE189" s="174" t="n">
        <v>0</v>
      </c>
      <c r="AF189" s="174" t="n">
        <v>0</v>
      </c>
      <c r="AG189" s="174" t="n">
        <v>0</v>
      </c>
      <c r="AH189" s="174" t="n">
        <v>0</v>
      </c>
      <c r="AI189" s="174" t="n">
        <v>0</v>
      </c>
      <c r="AJ189" s="174" t="n">
        <v>0</v>
      </c>
      <c r="AK189" s="174" t="n">
        <v>0</v>
      </c>
      <c r="AL189" s="174" t="n">
        <v>0.035</v>
      </c>
      <c r="AM189" s="174" t="n">
        <v>-0.0525</v>
      </c>
      <c r="AN189" s="174" t="n">
        <v>0.028</v>
      </c>
      <c r="AO189" s="174" t="n">
        <v>-0.48</v>
      </c>
      <c r="AP189" s="174" t="n">
        <v>0.155</v>
      </c>
      <c r="AQ189" s="174" t="n">
        <v>0</v>
      </c>
      <c r="AR189" s="174" t="n">
        <v>0</v>
      </c>
      <c r="AS189" s="174" t="n">
        <v>-0.1475</v>
      </c>
      <c r="AT189" s="174" t="n">
        <v>-0.005</v>
      </c>
      <c r="AU189" s="174" t="n">
        <v>-0.1075</v>
      </c>
      <c r="AV189" s="174" t="n">
        <v>-0.01</v>
      </c>
      <c r="AW189" s="174" t="n">
        <v>0</v>
      </c>
      <c r="AX189" s="174" t="n">
        <v>0</v>
      </c>
      <c r="AY189" s="175" t="n">
        <v>0</v>
      </c>
      <c r="AZ189" s="175" t="n">
        <v>0</v>
      </c>
      <c r="BA189" s="175" t="n">
        <v>-0.13</v>
      </c>
      <c r="BB189" s="174" t="n">
        <v>0</v>
      </c>
      <c r="BC189" s="174" t="n">
        <v>-0.07</v>
      </c>
      <c r="BD189" s="174" t="n">
        <v>0.005</v>
      </c>
      <c r="BE189" s="174" t="n">
        <v>0.35</v>
      </c>
      <c r="BF189" s="174" t="n">
        <v>0</v>
      </c>
      <c r="BG189" s="174" t="n">
        <v>-0.06</v>
      </c>
      <c r="BH189" s="174" t="n">
        <v>0</v>
      </c>
      <c r="BI189" s="174" t="n">
        <v>0</v>
      </c>
      <c r="BJ189" s="136" t="n">
        <v>0</v>
      </c>
      <c r="BK189" s="136" t="n">
        <v>0.35</v>
      </c>
      <c r="BL189" s="136" t="n">
        <v>0</v>
      </c>
      <c r="BM189" s="136" t="n">
        <v>0.05</v>
      </c>
      <c r="BN189" s="136" t="n">
        <v>0</v>
      </c>
      <c r="BO189" s="136" t="n">
        <v>-0.26</v>
      </c>
      <c r="BP189" s="136" t="n">
        <v>0</v>
      </c>
      <c r="BQ189" s="136" t="n">
        <v>0.5</v>
      </c>
      <c r="BR189" s="136" t="n">
        <v>0</v>
      </c>
      <c r="BS189" s="136" t="n">
        <v>-0.07</v>
      </c>
      <c r="BT189" s="136" t="n">
        <v>0.005</v>
      </c>
      <c r="BU189" s="136" t="n">
        <v>0.3</v>
      </c>
      <c r="BV189" s="136" t="n">
        <v>0</v>
      </c>
      <c r="BW189" s="136" t="n">
        <v>0</v>
      </c>
      <c r="BX189" s="136" t="n">
        <v>0</v>
      </c>
      <c r="BY189" s="136" t="n">
        <v>-0.002999999</v>
      </c>
      <c r="BZ189" s="136" t="n">
        <v>0.0575</v>
      </c>
      <c r="CA189" s="136" t="n">
        <v>0.235</v>
      </c>
      <c r="CB189" s="136" t="n">
        <v>0.005</v>
      </c>
      <c r="CC189" s="136" t="n">
        <v>-0.002999999</v>
      </c>
      <c r="CD189" s="136" t="n">
        <v>0.0037</v>
      </c>
      <c r="CE189" s="136" t="n">
        <v>0.0025</v>
      </c>
      <c r="CF189" s="136" t="n">
        <v>0.0025</v>
      </c>
      <c r="CG189" s="136" t="n">
        <v>-0.002999999</v>
      </c>
      <c r="CH189" s="136" t="n">
        <v>0.0037</v>
      </c>
      <c r="CI189" s="136" t="n">
        <v>-0.0985</v>
      </c>
      <c r="CJ189" s="136" t="n">
        <v>0.0025</v>
      </c>
      <c r="CK189" s="136" t="n">
        <v>0.075</v>
      </c>
      <c r="CL189" s="136" t="n">
        <v>0.0025</v>
      </c>
      <c r="CM189" s="136" t="n">
        <v>-0.064</v>
      </c>
      <c r="CN189" s="136" t="n">
        <v>0.01</v>
      </c>
      <c r="CO189" s="136" t="n">
        <v>-0.008999999</v>
      </c>
      <c r="CP189" s="136" t="n">
        <v>0.0075</v>
      </c>
      <c r="CQ189" s="136" t="n">
        <v>0.031</v>
      </c>
      <c r="CR189" s="136" t="n">
        <v>0.0125</v>
      </c>
      <c r="CS189" s="136" t="n">
        <v>1.6</v>
      </c>
      <c r="CT189" s="136" t="n">
        <v>0.45</v>
      </c>
      <c r="CU189" s="136" t="n">
        <v>0.05</v>
      </c>
      <c r="CV189" s="136" t="n">
        <v>0</v>
      </c>
      <c r="CW189" s="136" t="n">
        <v>0.34</v>
      </c>
      <c r="CX189" s="136" t="n">
        <v>0.02</v>
      </c>
      <c r="CY189" s="136" t="n">
        <v>-0.18</v>
      </c>
      <c r="CZ189" s="136" t="n">
        <v>0</v>
      </c>
      <c r="DA189" s="136" t="n">
        <v>0</v>
      </c>
      <c r="DB189" s="136" t="n">
        <v>0</v>
      </c>
      <c r="DC189" s="136" t="n">
        <v>0.35</v>
      </c>
      <c r="DE189" s="136" t="n">
        <v>-0.0345</v>
      </c>
      <c r="DF189" s="136" t="n">
        <v>0.0125</v>
      </c>
      <c r="DG189" s="136" t="n">
        <v>0.015</v>
      </c>
      <c r="DH189" s="136" t="n">
        <v>0.0075</v>
      </c>
      <c r="DI189" s="136" t="n">
        <v>0</v>
      </c>
      <c r="DJ189" s="136" t="n">
        <v>0.0025</v>
      </c>
      <c r="DK189" s="136" t="n">
        <v>-0.0705</v>
      </c>
      <c r="DL189" s="136" t="n">
        <v>0.0025</v>
      </c>
      <c r="DM189" s="136" t="n">
        <v>-0.0475</v>
      </c>
      <c r="DN189" s="136" t="n">
        <v>0.0025</v>
      </c>
      <c r="DO189" s="136" t="n">
        <v>-0.07</v>
      </c>
      <c r="DP189" s="136" t="n">
        <v>0.0025</v>
      </c>
      <c r="DQ189" s="136" t="n">
        <v>-0.1005</v>
      </c>
      <c r="DR189" s="136" t="n">
        <v>-0.005</v>
      </c>
      <c r="DS189" s="136" t="n">
        <v>1.04</v>
      </c>
      <c r="DT189" s="136" t="n">
        <v>0.05</v>
      </c>
      <c r="DU189" s="136" t="n">
        <v>0</v>
      </c>
      <c r="DV189" s="136" t="n">
        <v>0</v>
      </c>
    </row>
    <row r="190" customFormat="false" ht="12.75" hidden="false" customHeight="false" outlineLevel="0" collapsed="false">
      <c r="D190" s="135" t="n">
        <v>42430</v>
      </c>
      <c r="F190" s="174" t="n">
        <v>4.3645</v>
      </c>
      <c r="G190" s="175" t="n">
        <v>0.0639749544038133</v>
      </c>
      <c r="H190" s="174" t="n">
        <v>0.17</v>
      </c>
      <c r="I190" s="174" t="n">
        <v>0.75</v>
      </c>
      <c r="J190" s="174" t="n">
        <v>0.8</v>
      </c>
      <c r="K190" s="174" t="n">
        <v>0.75</v>
      </c>
      <c r="L190" s="172" t="n">
        <v>0.75</v>
      </c>
      <c r="M190" s="172" t="n">
        <v>0.85</v>
      </c>
      <c r="N190" s="174" t="n">
        <v>1</v>
      </c>
      <c r="O190" s="174" t="n">
        <v>0.75</v>
      </c>
      <c r="P190" s="174" t="n">
        <v>0.75</v>
      </c>
      <c r="Q190" s="174" t="n">
        <v>0.95</v>
      </c>
      <c r="R190" s="175" t="n">
        <v>0.75</v>
      </c>
      <c r="S190" s="175" t="n">
        <v>0.75</v>
      </c>
      <c r="T190" s="174" t="n">
        <v>0.75</v>
      </c>
      <c r="U190" s="174" t="n">
        <v>1</v>
      </c>
      <c r="V190" s="174" t="n">
        <v>0.85</v>
      </c>
      <c r="W190" s="174" t="n">
        <v>0</v>
      </c>
      <c r="X190" s="174" t="n">
        <v>0.03</v>
      </c>
      <c r="Y190" s="174" t="n">
        <v>0</v>
      </c>
      <c r="Z190" s="174" t="n">
        <v>0.02</v>
      </c>
      <c r="AA190" s="174" t="n">
        <v>0</v>
      </c>
      <c r="AB190" s="174" t="n">
        <v>0</v>
      </c>
      <c r="AC190" s="174" t="n">
        <v>0</v>
      </c>
      <c r="AD190" s="174" t="n">
        <v>0</v>
      </c>
      <c r="AE190" s="174" t="n">
        <v>0</v>
      </c>
      <c r="AF190" s="174" t="n">
        <v>0</v>
      </c>
      <c r="AG190" s="174" t="n">
        <v>0</v>
      </c>
      <c r="AH190" s="174" t="n">
        <v>0</v>
      </c>
      <c r="AI190" s="174" t="n">
        <v>0</v>
      </c>
      <c r="AJ190" s="174" t="n">
        <v>0</v>
      </c>
      <c r="AK190" s="174" t="n">
        <v>0</v>
      </c>
      <c r="AL190" s="174" t="n">
        <v>0.035</v>
      </c>
      <c r="AM190" s="174" t="n">
        <v>-0.0525</v>
      </c>
      <c r="AN190" s="174" t="n">
        <v>0.028</v>
      </c>
      <c r="AO190" s="174" t="n">
        <v>-0.48</v>
      </c>
      <c r="AP190" s="174" t="n">
        <v>0.155</v>
      </c>
      <c r="AQ190" s="174" t="n">
        <v>0</v>
      </c>
      <c r="AR190" s="174" t="n">
        <v>0</v>
      </c>
      <c r="AS190" s="174" t="n">
        <v>-0.145</v>
      </c>
      <c r="AT190" s="174" t="n">
        <v>-0.005</v>
      </c>
      <c r="AU190" s="174" t="n">
        <v>-0.105</v>
      </c>
      <c r="AV190" s="174" t="n">
        <v>-0.01</v>
      </c>
      <c r="AW190" s="174" t="n">
        <v>0</v>
      </c>
      <c r="AX190" s="174" t="n">
        <v>0</v>
      </c>
      <c r="AY190" s="175" t="n">
        <v>0</v>
      </c>
      <c r="AZ190" s="175" t="n">
        <v>0</v>
      </c>
      <c r="BA190" s="175" t="n">
        <v>-0.13</v>
      </c>
      <c r="BB190" s="174" t="n">
        <v>0</v>
      </c>
      <c r="BC190" s="174" t="n">
        <v>-0.07</v>
      </c>
      <c r="BD190" s="174" t="n">
        <v>0.005</v>
      </c>
      <c r="BE190" s="174" t="n">
        <v>0.35</v>
      </c>
      <c r="BF190" s="174" t="n">
        <v>0</v>
      </c>
      <c r="BG190" s="174" t="n">
        <v>-0.06</v>
      </c>
      <c r="BH190" s="174" t="n">
        <v>0</v>
      </c>
      <c r="BI190" s="174" t="n">
        <v>0</v>
      </c>
      <c r="BJ190" s="136" t="n">
        <v>0</v>
      </c>
      <c r="BK190" s="136" t="n">
        <v>0.35</v>
      </c>
      <c r="BL190" s="136" t="n">
        <v>0</v>
      </c>
      <c r="BM190" s="136" t="n">
        <v>0.05</v>
      </c>
      <c r="BN190" s="136" t="n">
        <v>0</v>
      </c>
      <c r="BO190" s="136" t="n">
        <v>-0.26</v>
      </c>
      <c r="BP190" s="136" t="n">
        <v>0</v>
      </c>
      <c r="BQ190" s="136" t="n">
        <v>0.5</v>
      </c>
      <c r="BR190" s="136" t="n">
        <v>0</v>
      </c>
      <c r="BS190" s="136" t="n">
        <v>-0.07</v>
      </c>
      <c r="BT190" s="136" t="n">
        <v>0.005</v>
      </c>
      <c r="BU190" s="136" t="n">
        <v>0.3</v>
      </c>
      <c r="BV190" s="136" t="n">
        <v>0</v>
      </c>
      <c r="BW190" s="136" t="n">
        <v>0</v>
      </c>
      <c r="BX190" s="136" t="n">
        <v>0</v>
      </c>
      <c r="BY190" s="136" t="n">
        <v>-0.002999999</v>
      </c>
      <c r="BZ190" s="136" t="n">
        <v>0.0575</v>
      </c>
      <c r="CA190" s="136" t="n">
        <v>0.195</v>
      </c>
      <c r="CB190" s="136" t="n">
        <v>0.005</v>
      </c>
      <c r="CC190" s="136" t="n">
        <v>-0.002999999</v>
      </c>
      <c r="CD190" s="136" t="n">
        <v>0.0037</v>
      </c>
      <c r="CE190" s="136" t="n">
        <v>0.0025</v>
      </c>
      <c r="CF190" s="136" t="n">
        <v>0</v>
      </c>
      <c r="CG190" s="136" t="n">
        <v>-0.002999999</v>
      </c>
      <c r="CH190" s="136" t="n">
        <v>0.0037</v>
      </c>
      <c r="CI190" s="136" t="n">
        <v>-0.0985</v>
      </c>
      <c r="CJ190" s="136" t="n">
        <v>0.0025</v>
      </c>
      <c r="CK190" s="136" t="n">
        <v>0.075</v>
      </c>
      <c r="CL190" s="136" t="n">
        <v>0.0025</v>
      </c>
      <c r="CM190" s="136" t="n">
        <v>-0.064</v>
      </c>
      <c r="CN190" s="136" t="n">
        <v>0.01</v>
      </c>
      <c r="CO190" s="136" t="n">
        <v>-0.008999999</v>
      </c>
      <c r="CP190" s="136" t="n">
        <v>0.0075</v>
      </c>
      <c r="CQ190" s="136" t="n">
        <v>0.031</v>
      </c>
      <c r="CR190" s="136" t="n">
        <v>0.0125</v>
      </c>
      <c r="CS190" s="136" t="n">
        <v>0.64</v>
      </c>
      <c r="CT190" s="136" t="n">
        <v>0.1</v>
      </c>
      <c r="CU190" s="136" t="n">
        <v>0.05</v>
      </c>
      <c r="CV190" s="136" t="n">
        <v>0</v>
      </c>
      <c r="CW190" s="136" t="n">
        <v>0.29</v>
      </c>
      <c r="CX190" s="136" t="n">
        <v>0.02</v>
      </c>
      <c r="CY190" s="136" t="n">
        <v>-0.18</v>
      </c>
      <c r="CZ190" s="136" t="n">
        <v>0</v>
      </c>
      <c r="DA190" s="136" t="n">
        <v>0</v>
      </c>
      <c r="DB190" s="136" t="n">
        <v>0</v>
      </c>
      <c r="DC190" s="136" t="n">
        <v>0.4</v>
      </c>
      <c r="DE190" s="136" t="n">
        <v>-0.0345</v>
      </c>
      <c r="DF190" s="136" t="n">
        <v>0.0125</v>
      </c>
      <c r="DG190" s="136" t="n">
        <v>0.02</v>
      </c>
      <c r="DH190" s="136" t="n">
        <v>0.0075</v>
      </c>
      <c r="DI190" s="136" t="n">
        <v>0.005</v>
      </c>
      <c r="DJ190" s="136" t="n">
        <v>0.0025</v>
      </c>
      <c r="DK190" s="136" t="n">
        <v>-0.0605</v>
      </c>
      <c r="DL190" s="136" t="n">
        <v>0.0025</v>
      </c>
      <c r="DM190" s="136" t="n">
        <v>-0.0475</v>
      </c>
      <c r="DN190" s="136" t="n">
        <v>0.0025</v>
      </c>
      <c r="DO190" s="136" t="n">
        <v>-0.07</v>
      </c>
      <c r="DP190" s="136" t="n">
        <v>0.0025</v>
      </c>
      <c r="DQ190" s="136" t="n">
        <v>-0.0905</v>
      </c>
      <c r="DR190" s="136" t="n">
        <v>-0.005</v>
      </c>
      <c r="DS190" s="136" t="n">
        <v>0.54</v>
      </c>
      <c r="DT190" s="136" t="n">
        <v>0.05</v>
      </c>
      <c r="DU190" s="136" t="n">
        <v>0</v>
      </c>
      <c r="DV190" s="136" t="n">
        <v>0</v>
      </c>
    </row>
    <row r="191" customFormat="false" ht="12.75" hidden="false" customHeight="false" outlineLevel="0" collapsed="false">
      <c r="D191" s="135" t="n">
        <v>42461</v>
      </c>
      <c r="F191" s="174" t="n">
        <v>4.1795</v>
      </c>
      <c r="G191" s="175" t="n">
        <v>0.0640154985147801</v>
      </c>
      <c r="H191" s="174" t="n">
        <v>0.17</v>
      </c>
      <c r="I191" s="174" t="n">
        <v>0.4</v>
      </c>
      <c r="J191" s="174" t="n">
        <v>0.45</v>
      </c>
      <c r="K191" s="174" t="n">
        <v>0.4</v>
      </c>
      <c r="L191" s="172" t="n">
        <v>0.45</v>
      </c>
      <c r="M191" s="172" t="n">
        <v>0.45</v>
      </c>
      <c r="N191" s="174" t="n">
        <v>0.45</v>
      </c>
      <c r="O191" s="174" t="n">
        <v>0.45</v>
      </c>
      <c r="P191" s="174" t="n">
        <v>0.45</v>
      </c>
      <c r="Q191" s="174" t="n">
        <v>0.5</v>
      </c>
      <c r="R191" s="175" t="n">
        <v>0.4</v>
      </c>
      <c r="S191" s="175" t="n">
        <v>0.45</v>
      </c>
      <c r="T191" s="174" t="n">
        <v>0.4</v>
      </c>
      <c r="U191" s="174" t="n">
        <v>0.45</v>
      </c>
      <c r="V191" s="174" t="n">
        <v>0.55</v>
      </c>
      <c r="W191" s="174" t="n">
        <v>-0.09</v>
      </c>
      <c r="X191" s="174" t="n">
        <v>0</v>
      </c>
      <c r="Y191" s="174" t="n">
        <v>0</v>
      </c>
      <c r="Z191" s="174" t="n">
        <v>0.005</v>
      </c>
      <c r="AA191" s="174" t="n">
        <v>0</v>
      </c>
      <c r="AB191" s="174" t="n">
        <v>0</v>
      </c>
      <c r="AC191" s="174" t="n">
        <v>0</v>
      </c>
      <c r="AD191" s="174" t="n">
        <v>0</v>
      </c>
      <c r="AE191" s="174" t="n">
        <v>0</v>
      </c>
      <c r="AF191" s="174" t="n">
        <v>0</v>
      </c>
      <c r="AG191" s="174" t="n">
        <v>0</v>
      </c>
      <c r="AH191" s="174" t="n">
        <v>0</v>
      </c>
      <c r="AI191" s="174" t="n">
        <v>0</v>
      </c>
      <c r="AJ191" s="174" t="n">
        <v>0</v>
      </c>
      <c r="AK191" s="174" t="n">
        <v>0</v>
      </c>
      <c r="AL191" s="174" t="n">
        <v>0.04</v>
      </c>
      <c r="AM191" s="174" t="n">
        <v>-0.0355</v>
      </c>
      <c r="AN191" s="174" t="n">
        <v>0.035</v>
      </c>
      <c r="AO191" s="174" t="n">
        <v>-0.48</v>
      </c>
      <c r="AP191" s="174" t="n">
        <v>0.155</v>
      </c>
      <c r="AQ191" s="174" t="n">
        <v>0</v>
      </c>
      <c r="AR191" s="174" t="n">
        <v>0</v>
      </c>
      <c r="AS191" s="174" t="n">
        <v>-0.15</v>
      </c>
      <c r="AT191" s="174" t="n">
        <v>-0.015</v>
      </c>
      <c r="AU191" s="174" t="n">
        <v>-0.11</v>
      </c>
      <c r="AV191" s="174" t="n">
        <v>0.02</v>
      </c>
      <c r="AW191" s="174" t="n">
        <v>0</v>
      </c>
      <c r="AX191" s="174" t="n">
        <v>0</v>
      </c>
      <c r="AY191" s="175" t="n">
        <v>0</v>
      </c>
      <c r="AZ191" s="175" t="n">
        <v>0</v>
      </c>
      <c r="BA191" s="175" t="n">
        <v>-0.195</v>
      </c>
      <c r="BB191" s="174" t="n">
        <v>0</v>
      </c>
      <c r="BC191" s="174" t="n">
        <v>-0.07</v>
      </c>
      <c r="BD191" s="174" t="n">
        <v>0.005</v>
      </c>
      <c r="BE191" s="174" t="n">
        <v>0.43</v>
      </c>
      <c r="BF191" s="174" t="n">
        <v>0</v>
      </c>
      <c r="BG191" s="174" t="n">
        <v>-0.06</v>
      </c>
      <c r="BH191" s="174" t="n">
        <v>0</v>
      </c>
      <c r="BI191" s="174" t="n">
        <v>0</v>
      </c>
      <c r="BJ191" s="136" t="n">
        <v>0</v>
      </c>
      <c r="BK191" s="136" t="n">
        <v>0.43</v>
      </c>
      <c r="BL191" s="136" t="n">
        <v>0</v>
      </c>
      <c r="BM191" s="136" t="n">
        <v>0.05</v>
      </c>
      <c r="BN191" s="136" t="n">
        <v>0</v>
      </c>
      <c r="BO191" s="136" t="n">
        <v>-0.37</v>
      </c>
      <c r="BP191" s="136" t="n">
        <v>0</v>
      </c>
      <c r="BQ191" s="136" t="n">
        <v>0.5</v>
      </c>
      <c r="BR191" s="136" t="n">
        <v>0</v>
      </c>
      <c r="BS191" s="136" t="n">
        <v>-0.07</v>
      </c>
      <c r="BT191" s="136" t="n">
        <v>0.005</v>
      </c>
      <c r="BU191" s="136" t="n">
        <v>0.3</v>
      </c>
      <c r="BV191" s="136" t="n">
        <v>0</v>
      </c>
      <c r="BW191" s="136" t="n">
        <v>0</v>
      </c>
      <c r="BX191" s="136" t="n">
        <v>0</v>
      </c>
      <c r="BY191" s="136" t="n">
        <v>-0.002999999</v>
      </c>
      <c r="BZ191" s="136" t="n">
        <v>0.0575</v>
      </c>
      <c r="CA191" s="136" t="n">
        <v>0.145</v>
      </c>
      <c r="CB191" s="136" t="n">
        <v>0.005</v>
      </c>
      <c r="CC191" s="136" t="n">
        <v>-0.002999999</v>
      </c>
      <c r="CD191" s="136" t="n">
        <v>0.0035</v>
      </c>
      <c r="CE191" s="136" t="n">
        <v>0.0025</v>
      </c>
      <c r="CF191" s="136" t="n">
        <v>0</v>
      </c>
      <c r="CG191" s="136" t="n">
        <v>-0.002999999</v>
      </c>
      <c r="CH191" s="136" t="n">
        <v>0.0035</v>
      </c>
      <c r="CI191" s="136" t="n">
        <v>-0.1185</v>
      </c>
      <c r="CJ191" s="136" t="n">
        <v>0.0025</v>
      </c>
      <c r="CK191" s="136" t="n">
        <v>0.0775</v>
      </c>
      <c r="CL191" s="136" t="n">
        <v>0.0025</v>
      </c>
      <c r="CM191" s="136" t="n">
        <v>-0.072</v>
      </c>
      <c r="CN191" s="136" t="n">
        <v>0.0075</v>
      </c>
      <c r="CO191" s="136" t="n">
        <v>-0.017</v>
      </c>
      <c r="CP191" s="136" t="n">
        <v>0.005</v>
      </c>
      <c r="CQ191" s="136" t="n">
        <v>0.023</v>
      </c>
      <c r="CR191" s="136" t="n">
        <v>0.0075</v>
      </c>
      <c r="CS191" s="136" t="n">
        <v>0.38</v>
      </c>
      <c r="CT191" s="136" t="n">
        <v>0.02</v>
      </c>
      <c r="CU191" s="136" t="n">
        <v>0.05</v>
      </c>
      <c r="CV191" s="136" t="n">
        <v>0</v>
      </c>
      <c r="CW191" s="136" t="n">
        <v>0.195</v>
      </c>
      <c r="CX191" s="136" t="n">
        <v>0.0075</v>
      </c>
      <c r="CY191" s="136" t="n">
        <v>-0.18</v>
      </c>
      <c r="CZ191" s="136" t="n">
        <v>0</v>
      </c>
      <c r="DA191" s="136" t="n">
        <v>0</v>
      </c>
      <c r="DB191" s="136" t="n">
        <v>0</v>
      </c>
      <c r="DC191" s="136" t="n">
        <v>0.6</v>
      </c>
      <c r="DE191" s="136" t="n">
        <v>-0.042</v>
      </c>
      <c r="DF191" s="136" t="n">
        <v>0.01</v>
      </c>
      <c r="DG191" s="136" t="n">
        <v>0.02</v>
      </c>
      <c r="DH191" s="136" t="n">
        <v>0.01</v>
      </c>
      <c r="DI191" s="136" t="n">
        <v>0.005</v>
      </c>
      <c r="DJ191" s="136" t="n">
        <v>0.0075</v>
      </c>
      <c r="DK191" s="136" t="n">
        <v>-0.1035</v>
      </c>
      <c r="DL191" s="136" t="n">
        <v>0.005</v>
      </c>
      <c r="DM191" s="136" t="n">
        <v>-0.045</v>
      </c>
      <c r="DN191" s="136" t="n">
        <v>0.0025</v>
      </c>
      <c r="DO191" s="136" t="n">
        <v>-0.0675</v>
      </c>
      <c r="DP191" s="136" t="n">
        <v>0.0025</v>
      </c>
      <c r="DQ191" s="136" t="n">
        <v>-0.1335</v>
      </c>
      <c r="DR191" s="136" t="n">
        <v>-0.005</v>
      </c>
      <c r="DS191" s="136" t="n">
        <v>0.36</v>
      </c>
      <c r="DT191" s="136" t="n">
        <v>0.005</v>
      </c>
      <c r="DU191" s="136" t="n">
        <v>0</v>
      </c>
      <c r="DV191" s="136" t="n">
        <v>0</v>
      </c>
    </row>
    <row r="192" customFormat="false" ht="12.75" hidden="false" customHeight="false" outlineLevel="0" collapsed="false">
      <c r="D192" s="135" t="n">
        <v>42491</v>
      </c>
      <c r="F192" s="174" t="n">
        <v>4.1745</v>
      </c>
      <c r="G192" s="175" t="n">
        <v>0.0640547347517186</v>
      </c>
      <c r="H192" s="174" t="n">
        <v>0.17</v>
      </c>
      <c r="I192" s="174" t="n">
        <v>0.45</v>
      </c>
      <c r="J192" s="174" t="n">
        <v>0.5</v>
      </c>
      <c r="K192" s="174" t="n">
        <v>0.4</v>
      </c>
      <c r="L192" s="172" t="n">
        <v>0.4</v>
      </c>
      <c r="M192" s="172" t="n">
        <v>0.45</v>
      </c>
      <c r="N192" s="174" t="n">
        <v>0.5</v>
      </c>
      <c r="O192" s="174" t="n">
        <v>0.45</v>
      </c>
      <c r="P192" s="174" t="n">
        <v>0.4</v>
      </c>
      <c r="Q192" s="174" t="n">
        <v>0.45</v>
      </c>
      <c r="R192" s="175" t="n">
        <v>0.45</v>
      </c>
      <c r="S192" s="175" t="n">
        <v>0.5</v>
      </c>
      <c r="T192" s="174" t="n">
        <v>0.45</v>
      </c>
      <c r="U192" s="174" t="n">
        <v>0.5</v>
      </c>
      <c r="V192" s="174" t="n">
        <v>0.5</v>
      </c>
      <c r="W192" s="174" t="n">
        <v>0</v>
      </c>
      <c r="X192" s="174" t="n">
        <v>0</v>
      </c>
      <c r="Y192" s="174" t="n">
        <v>0</v>
      </c>
      <c r="Z192" s="174" t="n">
        <v>0.005</v>
      </c>
      <c r="AA192" s="174" t="n">
        <v>0</v>
      </c>
      <c r="AB192" s="174" t="n">
        <v>0</v>
      </c>
      <c r="AC192" s="174" t="n">
        <v>0</v>
      </c>
      <c r="AD192" s="174" t="n">
        <v>0</v>
      </c>
      <c r="AE192" s="174" t="n">
        <v>0</v>
      </c>
      <c r="AF192" s="174" t="n">
        <v>0</v>
      </c>
      <c r="AG192" s="174" t="n">
        <v>0</v>
      </c>
      <c r="AH192" s="174" t="n">
        <v>0</v>
      </c>
      <c r="AI192" s="174" t="n">
        <v>0</v>
      </c>
      <c r="AJ192" s="174" t="n">
        <v>0</v>
      </c>
      <c r="AK192" s="174" t="n">
        <v>0</v>
      </c>
      <c r="AL192" s="174" t="n">
        <v>0.04</v>
      </c>
      <c r="AM192" s="174" t="n">
        <v>0</v>
      </c>
      <c r="AN192" s="174" t="n">
        <v>0</v>
      </c>
      <c r="AO192" s="174" t="n">
        <v>-0.48</v>
      </c>
      <c r="AP192" s="174" t="n">
        <v>0.155</v>
      </c>
      <c r="AQ192" s="174" t="n">
        <v>0</v>
      </c>
      <c r="AR192" s="174" t="n">
        <v>0</v>
      </c>
      <c r="AS192" s="174" t="n">
        <v>0</v>
      </c>
      <c r="AT192" s="174" t="n">
        <v>0</v>
      </c>
      <c r="AU192" s="174" t="n">
        <v>0</v>
      </c>
      <c r="AV192" s="174" t="n">
        <v>0</v>
      </c>
      <c r="AW192" s="174" t="n">
        <v>0</v>
      </c>
      <c r="AX192" s="174" t="n">
        <v>0</v>
      </c>
      <c r="AY192" s="175" t="n">
        <v>0</v>
      </c>
      <c r="AZ192" s="175" t="n">
        <v>0</v>
      </c>
      <c r="BA192" s="175" t="n">
        <v>-0.195</v>
      </c>
      <c r="BB192" s="174" t="n">
        <v>0</v>
      </c>
      <c r="BC192" s="174" t="n">
        <v>-0.07</v>
      </c>
      <c r="BD192" s="174" t="n">
        <v>0.005</v>
      </c>
      <c r="BE192" s="174" t="n">
        <v>0.43</v>
      </c>
      <c r="BF192" s="174" t="n">
        <v>0</v>
      </c>
      <c r="BG192" s="174" t="n">
        <v>-0.06</v>
      </c>
      <c r="BH192" s="174" t="n">
        <v>0</v>
      </c>
      <c r="BI192" s="174" t="n">
        <v>0</v>
      </c>
      <c r="BJ192" s="136" t="n">
        <v>0</v>
      </c>
      <c r="BK192" s="136" t="n">
        <v>0.43</v>
      </c>
      <c r="BL192" s="136" t="n">
        <v>0</v>
      </c>
      <c r="BM192" s="136" t="n">
        <v>0.05</v>
      </c>
      <c r="BN192" s="136" t="n">
        <v>0</v>
      </c>
      <c r="BO192" s="136" t="n">
        <v>-0.37</v>
      </c>
      <c r="BP192" s="136" t="n">
        <v>0</v>
      </c>
      <c r="BQ192" s="136" t="n">
        <v>0.5</v>
      </c>
      <c r="BR192" s="136" t="n">
        <v>0</v>
      </c>
      <c r="BS192" s="136" t="n">
        <v>-0.07</v>
      </c>
      <c r="BT192" s="136" t="n">
        <v>0.005</v>
      </c>
      <c r="BU192" s="136" t="n">
        <v>0.3</v>
      </c>
      <c r="BV192" s="136" t="n">
        <v>0</v>
      </c>
      <c r="BW192" s="136" t="n">
        <v>0</v>
      </c>
      <c r="BX192" s="136" t="n">
        <v>0</v>
      </c>
      <c r="BY192" s="136" t="n">
        <v>-0.002999999</v>
      </c>
      <c r="BZ192" s="136" t="n">
        <v>0.0575</v>
      </c>
      <c r="CA192" s="136" t="n">
        <v>0.125</v>
      </c>
      <c r="CB192" s="136" t="n">
        <v>0.005</v>
      </c>
      <c r="CC192" s="136" t="n">
        <v>-0.002999999</v>
      </c>
      <c r="CD192" s="136" t="n">
        <v>0.0035</v>
      </c>
      <c r="CE192" s="136" t="n">
        <v>0.0025</v>
      </c>
      <c r="CF192" s="136" t="n">
        <v>0</v>
      </c>
      <c r="CG192" s="136" t="n">
        <v>-0.002999999</v>
      </c>
      <c r="CH192" s="136" t="n">
        <v>0.0035</v>
      </c>
      <c r="CI192" s="136" t="n">
        <v>-0.106</v>
      </c>
      <c r="CJ192" s="136" t="n">
        <v>0.0025</v>
      </c>
      <c r="CK192" s="136" t="n">
        <v>0.0775</v>
      </c>
      <c r="CL192" s="136" t="n">
        <v>0.0025</v>
      </c>
      <c r="CM192" s="136" t="n">
        <v>-0.072</v>
      </c>
      <c r="CN192" s="136" t="n">
        <v>0.0075</v>
      </c>
      <c r="CO192" s="136" t="n">
        <v>-0.017</v>
      </c>
      <c r="CP192" s="136" t="n">
        <v>0.005</v>
      </c>
      <c r="CQ192" s="136" t="n">
        <v>0.023</v>
      </c>
      <c r="CR192" s="136" t="n">
        <v>0.0075</v>
      </c>
      <c r="CS192" s="136" t="n">
        <v>0.33</v>
      </c>
      <c r="CT192" s="136" t="n">
        <v>0.02</v>
      </c>
      <c r="CU192" s="136" t="n">
        <v>0.05</v>
      </c>
      <c r="CV192" s="136" t="n">
        <v>0</v>
      </c>
      <c r="CW192" s="136" t="n">
        <v>0.135</v>
      </c>
      <c r="CX192" s="136" t="n">
        <v>0.0075</v>
      </c>
      <c r="CY192" s="136" t="n">
        <v>-0.18</v>
      </c>
      <c r="CZ192" s="136" t="n">
        <v>0</v>
      </c>
      <c r="DA192" s="136" t="n">
        <v>0</v>
      </c>
      <c r="DB192" s="136" t="n">
        <v>0</v>
      </c>
      <c r="DC192" s="136" t="n">
        <v>0.75</v>
      </c>
      <c r="DE192" s="136" t="n">
        <v>-0.042</v>
      </c>
      <c r="DF192" s="136" t="n">
        <v>0.01</v>
      </c>
      <c r="DG192" s="136" t="n">
        <v>0.0225</v>
      </c>
      <c r="DH192" s="136" t="n">
        <v>0.01</v>
      </c>
      <c r="DI192" s="136" t="n">
        <v>0.0075</v>
      </c>
      <c r="DJ192" s="136" t="n">
        <v>0.0075</v>
      </c>
      <c r="DK192" s="136" t="n">
        <v>-0.081</v>
      </c>
      <c r="DL192" s="136" t="n">
        <v>0.005</v>
      </c>
      <c r="DM192" s="136" t="n">
        <v>-0.045</v>
      </c>
      <c r="DN192" s="136" t="n">
        <v>0.0025</v>
      </c>
      <c r="DO192" s="136" t="n">
        <v>-0.0675</v>
      </c>
      <c r="DP192" s="136" t="n">
        <v>0.0025</v>
      </c>
      <c r="DQ192" s="136" t="n">
        <v>-0.111</v>
      </c>
      <c r="DR192" s="136" t="n">
        <v>-0.005</v>
      </c>
      <c r="DS192" s="136" t="n">
        <v>0.325</v>
      </c>
      <c r="DT192" s="136" t="n">
        <v>0.005</v>
      </c>
      <c r="DU192" s="136" t="n">
        <v>0</v>
      </c>
      <c r="DV192" s="136" t="n">
        <v>0</v>
      </c>
    </row>
    <row r="193" customFormat="false" ht="12.75" hidden="false" customHeight="false" outlineLevel="0" collapsed="false">
      <c r="D193" s="135" t="n">
        <v>42522</v>
      </c>
      <c r="F193" s="174" t="n">
        <v>4.2095</v>
      </c>
      <c r="G193" s="175" t="n">
        <v>0.0640952788637579</v>
      </c>
      <c r="H193" s="174" t="n">
        <v>0.17</v>
      </c>
      <c r="I193" s="174" t="n">
        <v>0.45</v>
      </c>
      <c r="J193" s="174" t="n">
        <v>0.5</v>
      </c>
      <c r="K193" s="174" t="n">
        <v>0.4</v>
      </c>
      <c r="L193" s="172" t="n">
        <v>0.5</v>
      </c>
      <c r="M193" s="172" t="n">
        <v>0.45</v>
      </c>
      <c r="N193" s="174" t="n">
        <v>0.5</v>
      </c>
      <c r="O193" s="174" t="n">
        <v>0.5</v>
      </c>
      <c r="P193" s="174" t="n">
        <v>0.5</v>
      </c>
      <c r="Q193" s="174" t="n">
        <v>0.5</v>
      </c>
      <c r="R193" s="175" t="n">
        <v>0.45</v>
      </c>
      <c r="S193" s="175" t="n">
        <v>0.5</v>
      </c>
      <c r="T193" s="174" t="n">
        <v>0.45</v>
      </c>
      <c r="U193" s="174" t="n">
        <v>0.5</v>
      </c>
      <c r="V193" s="174" t="n">
        <v>0.6</v>
      </c>
      <c r="W193" s="174" t="n">
        <v>0</v>
      </c>
      <c r="X193" s="174" t="n">
        <v>0</v>
      </c>
      <c r="Y193" s="174" t="n">
        <v>0</v>
      </c>
      <c r="Z193" s="174" t="n">
        <v>0.005</v>
      </c>
      <c r="AA193" s="174" t="n">
        <v>0</v>
      </c>
      <c r="AB193" s="174" t="n">
        <v>0</v>
      </c>
      <c r="AC193" s="174" t="n">
        <v>0</v>
      </c>
      <c r="AD193" s="174" t="n">
        <v>0</v>
      </c>
      <c r="AE193" s="174" t="n">
        <v>0</v>
      </c>
      <c r="AF193" s="174" t="n">
        <v>0</v>
      </c>
      <c r="AG193" s="174" t="n">
        <v>0</v>
      </c>
      <c r="AH193" s="174" t="n">
        <v>0</v>
      </c>
      <c r="AI193" s="174" t="n">
        <v>0</v>
      </c>
      <c r="AJ193" s="174" t="n">
        <v>0</v>
      </c>
      <c r="AK193" s="174" t="n">
        <v>0</v>
      </c>
      <c r="AL193" s="174" t="n">
        <v>0.04</v>
      </c>
      <c r="AM193" s="174" t="n">
        <v>0</v>
      </c>
      <c r="AN193" s="174" t="n">
        <v>0</v>
      </c>
      <c r="AO193" s="174" t="n">
        <v>0</v>
      </c>
      <c r="AP193" s="174" t="n">
        <v>0.155</v>
      </c>
      <c r="AQ193" s="174" t="n">
        <v>0</v>
      </c>
      <c r="AR193" s="174" t="n">
        <v>0</v>
      </c>
      <c r="AS193" s="174" t="n">
        <v>0</v>
      </c>
      <c r="AT193" s="174" t="n">
        <v>0</v>
      </c>
      <c r="AU193" s="174" t="n">
        <v>0</v>
      </c>
      <c r="AV193" s="174" t="n">
        <v>0</v>
      </c>
      <c r="AW193" s="174" t="n">
        <v>0</v>
      </c>
      <c r="AX193" s="174" t="n">
        <v>0</v>
      </c>
      <c r="AY193" s="175" t="n">
        <v>0</v>
      </c>
      <c r="AZ193" s="175" t="n">
        <v>0</v>
      </c>
      <c r="BA193" s="175" t="n">
        <v>-0.195</v>
      </c>
      <c r="BB193" s="174" t="n">
        <v>0</v>
      </c>
      <c r="BC193" s="174" t="n">
        <v>-0.07</v>
      </c>
      <c r="BD193" s="174" t="n">
        <v>0.005</v>
      </c>
      <c r="BE193" s="174" t="n">
        <v>0.43</v>
      </c>
      <c r="BF193" s="174" t="n">
        <v>0</v>
      </c>
      <c r="BG193" s="174" t="n">
        <v>-0.06</v>
      </c>
      <c r="BH193" s="174" t="n">
        <v>0</v>
      </c>
      <c r="BI193" s="174" t="n">
        <v>0</v>
      </c>
      <c r="BJ193" s="136" t="n">
        <v>0</v>
      </c>
      <c r="BK193" s="136" t="n">
        <v>0.43</v>
      </c>
      <c r="BL193" s="136" t="n">
        <v>0</v>
      </c>
      <c r="BM193" s="136" t="n">
        <v>0.05</v>
      </c>
      <c r="BN193" s="136" t="n">
        <v>0</v>
      </c>
      <c r="BO193" s="136" t="n">
        <v>-0.37</v>
      </c>
      <c r="BP193" s="136" t="n">
        <v>0</v>
      </c>
      <c r="BQ193" s="136" t="n">
        <v>0.5</v>
      </c>
      <c r="BR193" s="136" t="n">
        <v>0</v>
      </c>
      <c r="BS193" s="136" t="n">
        <v>-0.07</v>
      </c>
      <c r="BT193" s="136" t="n">
        <v>0.005</v>
      </c>
      <c r="BU193" s="136" t="n">
        <v>0.3</v>
      </c>
      <c r="BV193" s="136" t="n">
        <v>0</v>
      </c>
      <c r="BW193" s="136" t="n">
        <v>0</v>
      </c>
      <c r="BX193" s="136" t="n">
        <v>0</v>
      </c>
      <c r="BY193" s="136" t="n">
        <v>-0.002999999</v>
      </c>
      <c r="BZ193" s="136" t="n">
        <v>0.0575</v>
      </c>
      <c r="CA193" s="136" t="n">
        <v>0.145</v>
      </c>
      <c r="CB193" s="136" t="n">
        <v>0.005</v>
      </c>
      <c r="CC193" s="136" t="n">
        <v>-0.002999999</v>
      </c>
      <c r="CD193" s="136" t="n">
        <v>0.0035</v>
      </c>
      <c r="CE193" s="136" t="n">
        <v>0.0025</v>
      </c>
      <c r="CF193" s="136" t="n">
        <v>0</v>
      </c>
      <c r="CG193" s="136" t="n">
        <v>-0.002999999</v>
      </c>
      <c r="CH193" s="136" t="n">
        <v>0.0035</v>
      </c>
      <c r="CI193" s="136" t="n">
        <v>-0.0635</v>
      </c>
      <c r="CJ193" s="136" t="n">
        <v>0.0025</v>
      </c>
      <c r="CK193" s="136" t="n">
        <v>0.0775</v>
      </c>
      <c r="CL193" s="136" t="n">
        <v>0.0025</v>
      </c>
      <c r="CM193" s="136" t="n">
        <v>-0.072</v>
      </c>
      <c r="CN193" s="136" t="n">
        <v>0.0075</v>
      </c>
      <c r="CO193" s="136" t="n">
        <v>-0.017</v>
      </c>
      <c r="CP193" s="136" t="n">
        <v>0.005</v>
      </c>
      <c r="CQ193" s="136" t="n">
        <v>0.023</v>
      </c>
      <c r="CR193" s="136" t="n">
        <v>0.0075</v>
      </c>
      <c r="CS193" s="136" t="n">
        <v>0.37</v>
      </c>
      <c r="CT193" s="136" t="n">
        <v>0.035</v>
      </c>
      <c r="CU193" s="136" t="n">
        <v>0.05</v>
      </c>
      <c r="CV193" s="136" t="n">
        <v>0</v>
      </c>
      <c r="CW193" s="136" t="n">
        <v>0.165</v>
      </c>
      <c r="CX193" s="136" t="n">
        <v>0.0075</v>
      </c>
      <c r="CY193" s="136" t="n">
        <v>-0.18</v>
      </c>
      <c r="CZ193" s="136" t="n">
        <v>0</v>
      </c>
      <c r="DA193" s="136" t="n">
        <v>0</v>
      </c>
      <c r="DB193" s="136" t="n">
        <v>0</v>
      </c>
      <c r="DC193" s="136" t="n">
        <v>0.85</v>
      </c>
      <c r="DE193" s="136" t="n">
        <v>-0.0395</v>
      </c>
      <c r="DF193" s="136" t="n">
        <v>0.01</v>
      </c>
      <c r="DG193" s="136" t="n">
        <v>0.0225</v>
      </c>
      <c r="DH193" s="136" t="n">
        <v>0.01</v>
      </c>
      <c r="DI193" s="136" t="n">
        <v>0.0075</v>
      </c>
      <c r="DJ193" s="136" t="n">
        <v>0.0075</v>
      </c>
      <c r="DK193" s="136" t="n">
        <v>-0.0285</v>
      </c>
      <c r="DL193" s="136" t="n">
        <v>0.005</v>
      </c>
      <c r="DM193" s="136" t="n">
        <v>-0.045</v>
      </c>
      <c r="DN193" s="136" t="n">
        <v>0.0025</v>
      </c>
      <c r="DO193" s="136" t="n">
        <v>-0.0675</v>
      </c>
      <c r="DP193" s="136" t="n">
        <v>0.0025</v>
      </c>
      <c r="DQ193" s="136" t="n">
        <v>-0.0585</v>
      </c>
      <c r="DR193" s="136" t="n">
        <v>-0.005</v>
      </c>
      <c r="DS193" s="136" t="n">
        <v>0.335</v>
      </c>
      <c r="DT193" s="136" t="n">
        <v>0.005</v>
      </c>
      <c r="DU193" s="136" t="n">
        <v>0</v>
      </c>
      <c r="DV193" s="136" t="n">
        <v>0</v>
      </c>
    </row>
    <row r="194" customFormat="false" ht="12.75" hidden="false" customHeight="false" outlineLevel="0" collapsed="false">
      <c r="D194" s="135" t="n">
        <v>42552</v>
      </c>
      <c r="F194" s="174" t="n">
        <v>4.2495</v>
      </c>
      <c r="G194" s="175" t="n">
        <v>0.0641345151017347</v>
      </c>
      <c r="H194" s="174" t="n">
        <v>0.17</v>
      </c>
      <c r="I194" s="174" t="n">
        <v>0.5</v>
      </c>
      <c r="J194" s="174" t="n">
        <v>0.5</v>
      </c>
      <c r="K194" s="174" t="n">
        <v>0.4</v>
      </c>
      <c r="L194" s="172" t="n">
        <v>0.5</v>
      </c>
      <c r="M194" s="172" t="n">
        <v>0.5</v>
      </c>
      <c r="N194" s="174" t="n">
        <v>0.5</v>
      </c>
      <c r="O194" s="174" t="n">
        <v>0.5</v>
      </c>
      <c r="P194" s="174" t="n">
        <v>0.5</v>
      </c>
      <c r="Q194" s="174" t="n">
        <v>0.5</v>
      </c>
      <c r="R194" s="175" t="n">
        <v>0.5</v>
      </c>
      <c r="S194" s="175" t="n">
        <v>0.55</v>
      </c>
      <c r="T194" s="174" t="n">
        <v>0.5</v>
      </c>
      <c r="U194" s="174" t="n">
        <v>0.5</v>
      </c>
      <c r="V194" s="174" t="n">
        <v>0.6</v>
      </c>
      <c r="W194" s="174" t="n">
        <v>0</v>
      </c>
      <c r="X194" s="174" t="n">
        <v>0</v>
      </c>
      <c r="Y194" s="174" t="n">
        <v>0</v>
      </c>
      <c r="Z194" s="174" t="n">
        <v>0</v>
      </c>
      <c r="AA194" s="174" t="n">
        <v>0</v>
      </c>
      <c r="AB194" s="174" t="n">
        <v>0</v>
      </c>
      <c r="AC194" s="174" t="n">
        <v>0</v>
      </c>
      <c r="AD194" s="174" t="n">
        <v>0</v>
      </c>
      <c r="AE194" s="174" t="n">
        <v>0</v>
      </c>
      <c r="AF194" s="174" t="n">
        <v>0</v>
      </c>
      <c r="AG194" s="174" t="n">
        <v>0</v>
      </c>
      <c r="AH194" s="174" t="n">
        <v>0</v>
      </c>
      <c r="AI194" s="174" t="n">
        <v>0</v>
      </c>
      <c r="AJ194" s="174" t="n">
        <v>0</v>
      </c>
      <c r="AK194" s="174" t="n">
        <v>0</v>
      </c>
      <c r="AL194" s="174" t="n">
        <v>0.035</v>
      </c>
      <c r="AM194" s="174" t="n">
        <v>0</v>
      </c>
      <c r="AN194" s="174" t="n">
        <v>0</v>
      </c>
      <c r="AO194" s="174" t="n">
        <v>0</v>
      </c>
      <c r="AP194" s="174" t="n">
        <v>0.155</v>
      </c>
      <c r="AQ194" s="174" t="n">
        <v>0</v>
      </c>
      <c r="AR194" s="174" t="n">
        <v>0</v>
      </c>
      <c r="AS194" s="174" t="n">
        <v>0</v>
      </c>
      <c r="AT194" s="174" t="n">
        <v>0</v>
      </c>
      <c r="AU194" s="174" t="n">
        <v>0</v>
      </c>
      <c r="AV194" s="174" t="n">
        <v>0</v>
      </c>
      <c r="AW194" s="174" t="n">
        <v>0</v>
      </c>
      <c r="AX194" s="174" t="n">
        <v>0</v>
      </c>
      <c r="AY194" s="175" t="n">
        <v>0</v>
      </c>
      <c r="AZ194" s="175" t="n">
        <v>0</v>
      </c>
      <c r="BA194" s="175" t="n">
        <v>-0.195</v>
      </c>
      <c r="BB194" s="174" t="n">
        <v>0</v>
      </c>
      <c r="BC194" s="174" t="n">
        <v>-0.07</v>
      </c>
      <c r="BD194" s="174" t="n">
        <v>0.005</v>
      </c>
      <c r="BE194" s="174" t="n">
        <v>0.43</v>
      </c>
      <c r="BF194" s="174" t="n">
        <v>0</v>
      </c>
      <c r="BG194" s="174" t="n">
        <v>-0.06</v>
      </c>
      <c r="BH194" s="174" t="n">
        <v>0</v>
      </c>
      <c r="BI194" s="174" t="n">
        <v>0</v>
      </c>
      <c r="BJ194" s="136" t="n">
        <v>0</v>
      </c>
      <c r="BK194" s="136" t="n">
        <v>0.43</v>
      </c>
      <c r="BL194" s="136" t="n">
        <v>0</v>
      </c>
      <c r="BM194" s="136" t="n">
        <v>0.05</v>
      </c>
      <c r="BN194" s="136" t="n">
        <v>0</v>
      </c>
      <c r="BO194" s="136" t="n">
        <v>-0.37</v>
      </c>
      <c r="BP194" s="136" t="n">
        <v>0</v>
      </c>
      <c r="BQ194" s="136" t="n">
        <v>0.5</v>
      </c>
      <c r="BR194" s="136" t="n">
        <v>0</v>
      </c>
      <c r="BS194" s="136" t="n">
        <v>-0.07</v>
      </c>
      <c r="BT194" s="136" t="n">
        <v>0.005</v>
      </c>
      <c r="BU194" s="136" t="n">
        <v>0.3</v>
      </c>
      <c r="BV194" s="136" t="n">
        <v>0</v>
      </c>
      <c r="BW194" s="136" t="n">
        <v>0</v>
      </c>
      <c r="BX194" s="136" t="n">
        <v>0</v>
      </c>
      <c r="BY194" s="136" t="n">
        <v>-0.002999999</v>
      </c>
      <c r="BZ194" s="136" t="n">
        <v>0.0575</v>
      </c>
      <c r="CA194" s="136" t="n">
        <v>0.15</v>
      </c>
      <c r="CB194" s="136" t="n">
        <v>0.005</v>
      </c>
      <c r="CC194" s="136" t="n">
        <v>-0.002999999</v>
      </c>
      <c r="CD194" s="136" t="n">
        <v>0.0035</v>
      </c>
      <c r="CE194" s="136" t="n">
        <v>0.0025</v>
      </c>
      <c r="CF194" s="136" t="n">
        <v>0</v>
      </c>
      <c r="CG194" s="136" t="n">
        <v>-0.002999999</v>
      </c>
      <c r="CH194" s="136" t="n">
        <v>0.0035</v>
      </c>
      <c r="CI194" s="136" t="n">
        <v>-0.061</v>
      </c>
      <c r="CJ194" s="136" t="n">
        <v>0.0025</v>
      </c>
      <c r="CK194" s="136" t="n">
        <v>0.0775</v>
      </c>
      <c r="CL194" s="136" t="n">
        <v>0.0025</v>
      </c>
      <c r="CM194" s="136" t="n">
        <v>-0.072</v>
      </c>
      <c r="CN194" s="136" t="n">
        <v>0.0075</v>
      </c>
      <c r="CO194" s="136" t="n">
        <v>-0.017</v>
      </c>
      <c r="CP194" s="136" t="n">
        <v>0.005</v>
      </c>
      <c r="CQ194" s="136" t="n">
        <v>0.023</v>
      </c>
      <c r="CR194" s="136" t="n">
        <v>0.0075</v>
      </c>
      <c r="CS194" s="136" t="n">
        <v>0.41</v>
      </c>
      <c r="CT194" s="136" t="n">
        <v>0.035</v>
      </c>
      <c r="CU194" s="136" t="n">
        <v>0.05</v>
      </c>
      <c r="CV194" s="136" t="n">
        <v>0</v>
      </c>
      <c r="CW194" s="136" t="n">
        <v>0.205</v>
      </c>
      <c r="CX194" s="136" t="n">
        <v>0.0075</v>
      </c>
      <c r="CY194" s="136" t="n">
        <v>-0.18</v>
      </c>
      <c r="CZ194" s="136" t="n">
        <v>0</v>
      </c>
      <c r="DA194" s="136" t="n">
        <v>0</v>
      </c>
      <c r="DB194" s="136" t="n">
        <v>0</v>
      </c>
      <c r="DC194" s="136" t="n">
        <v>1.05</v>
      </c>
      <c r="DE194" s="136" t="n">
        <v>-0.0395</v>
      </c>
      <c r="DF194" s="136" t="n">
        <v>0.01</v>
      </c>
      <c r="DG194" s="136" t="n">
        <v>0.0225</v>
      </c>
      <c r="DH194" s="136" t="n">
        <v>0.01</v>
      </c>
      <c r="DI194" s="136" t="n">
        <v>0.0075</v>
      </c>
      <c r="DJ194" s="136" t="n">
        <v>0.0075</v>
      </c>
      <c r="DK194" s="136" t="n">
        <v>-0.0385</v>
      </c>
      <c r="DL194" s="136" t="n">
        <v>0.005</v>
      </c>
      <c r="DM194" s="136" t="n">
        <v>-0.045</v>
      </c>
      <c r="DN194" s="136" t="n">
        <v>0.0025</v>
      </c>
      <c r="DO194" s="136" t="n">
        <v>-0.0675</v>
      </c>
      <c r="DP194" s="136" t="n">
        <v>0.0025</v>
      </c>
      <c r="DQ194" s="136" t="n">
        <v>-0.0685</v>
      </c>
      <c r="DR194" s="136" t="n">
        <v>-0.005</v>
      </c>
      <c r="DS194" s="136" t="n">
        <v>0.35</v>
      </c>
      <c r="DT194" s="136" t="n">
        <v>0.005</v>
      </c>
      <c r="DU194" s="136" t="n">
        <v>0</v>
      </c>
      <c r="DV194" s="136" t="n">
        <v>0</v>
      </c>
    </row>
    <row r="195" customFormat="false" ht="12.75" hidden="false" customHeight="false" outlineLevel="0" collapsed="false">
      <c r="D195" s="135" t="n">
        <v>42583</v>
      </c>
      <c r="F195" s="174" t="n">
        <v>4.2895</v>
      </c>
      <c r="G195" s="175" t="n">
        <v>0.064175059214846</v>
      </c>
      <c r="H195" s="174" t="n">
        <v>0.17</v>
      </c>
      <c r="I195" s="174" t="n">
        <v>0.55</v>
      </c>
      <c r="J195" s="174" t="n">
        <v>0.55</v>
      </c>
      <c r="K195" s="174" t="n">
        <v>0.5</v>
      </c>
      <c r="L195" s="172" t="n">
        <v>0.6</v>
      </c>
      <c r="M195" s="172" t="n">
        <v>0.55</v>
      </c>
      <c r="N195" s="174" t="n">
        <v>0.6</v>
      </c>
      <c r="O195" s="174" t="n">
        <v>0.55</v>
      </c>
      <c r="P195" s="174" t="n">
        <v>0.6</v>
      </c>
      <c r="Q195" s="174" t="n">
        <v>0.45</v>
      </c>
      <c r="R195" s="175" t="n">
        <v>0.55</v>
      </c>
      <c r="S195" s="175" t="n">
        <v>0.6</v>
      </c>
      <c r="T195" s="174" t="n">
        <v>0.55</v>
      </c>
      <c r="U195" s="174" t="n">
        <v>0.6</v>
      </c>
      <c r="V195" s="174" t="n">
        <v>0.7</v>
      </c>
      <c r="W195" s="174" t="n">
        <v>0</v>
      </c>
      <c r="X195" s="174" t="n">
        <v>0</v>
      </c>
      <c r="Y195" s="174" t="n">
        <v>0</v>
      </c>
      <c r="Z195" s="174" t="n">
        <v>0</v>
      </c>
      <c r="AA195" s="174" t="n">
        <v>0</v>
      </c>
      <c r="AB195" s="174" t="n">
        <v>0</v>
      </c>
      <c r="AC195" s="174" t="n">
        <v>0</v>
      </c>
      <c r="AD195" s="174" t="n">
        <v>0</v>
      </c>
      <c r="AE195" s="174" t="n">
        <v>0</v>
      </c>
      <c r="AF195" s="174" t="n">
        <v>0</v>
      </c>
      <c r="AG195" s="174" t="n">
        <v>0</v>
      </c>
      <c r="AH195" s="174" t="n">
        <v>0</v>
      </c>
      <c r="AI195" s="174" t="n">
        <v>0</v>
      </c>
      <c r="AJ195" s="174" t="n">
        <v>0</v>
      </c>
      <c r="AK195" s="174" t="n">
        <v>0</v>
      </c>
      <c r="AL195" s="174" t="n">
        <v>0.035</v>
      </c>
      <c r="AM195" s="174" t="n">
        <v>0</v>
      </c>
      <c r="AN195" s="174" t="n">
        <v>0</v>
      </c>
      <c r="AO195" s="174" t="n">
        <v>0</v>
      </c>
      <c r="AP195" s="174" t="n">
        <v>0</v>
      </c>
      <c r="AQ195" s="174" t="n">
        <v>0</v>
      </c>
      <c r="AR195" s="174" t="n">
        <v>0</v>
      </c>
      <c r="AS195" s="174" t="n">
        <v>0</v>
      </c>
      <c r="AT195" s="174" t="n">
        <v>0</v>
      </c>
      <c r="AU195" s="174" t="n">
        <v>0</v>
      </c>
      <c r="AV195" s="174" t="n">
        <v>0</v>
      </c>
      <c r="AW195" s="174" t="n">
        <v>0</v>
      </c>
      <c r="AX195" s="174" t="n">
        <v>0</v>
      </c>
      <c r="AY195" s="175" t="n">
        <v>0</v>
      </c>
      <c r="AZ195" s="175" t="n">
        <v>0</v>
      </c>
      <c r="BA195" s="175" t="n">
        <v>-0.195</v>
      </c>
      <c r="BB195" s="174" t="n">
        <v>0</v>
      </c>
      <c r="BC195" s="174" t="n">
        <v>-0.07</v>
      </c>
      <c r="BD195" s="174" t="n">
        <v>0.005</v>
      </c>
      <c r="BE195" s="174" t="n">
        <v>0.43</v>
      </c>
      <c r="BF195" s="174" t="n">
        <v>0</v>
      </c>
      <c r="BG195" s="174" t="n">
        <v>-0.06</v>
      </c>
      <c r="BH195" s="174" t="n">
        <v>0</v>
      </c>
      <c r="BI195" s="174" t="n">
        <v>0</v>
      </c>
      <c r="BJ195" s="136" t="n">
        <v>0</v>
      </c>
      <c r="BK195" s="136" t="n">
        <v>0.43</v>
      </c>
      <c r="BL195" s="136" t="n">
        <v>0</v>
      </c>
      <c r="BM195" s="136" t="n">
        <v>0.05</v>
      </c>
      <c r="BN195" s="136" t="n">
        <v>0</v>
      </c>
      <c r="BO195" s="136" t="n">
        <v>-0.37</v>
      </c>
      <c r="BP195" s="136" t="n">
        <v>0</v>
      </c>
      <c r="BQ195" s="136" t="n">
        <v>0.5</v>
      </c>
      <c r="BR195" s="136" t="n">
        <v>0</v>
      </c>
      <c r="BS195" s="136" t="n">
        <v>-0.07</v>
      </c>
      <c r="BT195" s="136" t="n">
        <v>0.005</v>
      </c>
      <c r="BU195" s="136" t="n">
        <v>0.3</v>
      </c>
      <c r="BV195" s="136" t="n">
        <v>0</v>
      </c>
      <c r="BW195" s="136" t="n">
        <v>0</v>
      </c>
      <c r="BX195" s="136" t="n">
        <v>0</v>
      </c>
      <c r="BY195" s="136" t="n">
        <v>-0.002999999</v>
      </c>
      <c r="BZ195" s="136" t="n">
        <v>0.0575</v>
      </c>
      <c r="CA195" s="136" t="n">
        <v>0.15</v>
      </c>
      <c r="CB195" s="136" t="n">
        <v>0.005</v>
      </c>
      <c r="CC195" s="136" t="n">
        <v>-0.002999999</v>
      </c>
      <c r="CD195" s="136" t="n">
        <v>0.0035</v>
      </c>
      <c r="CE195" s="136" t="n">
        <v>0.0025</v>
      </c>
      <c r="CF195" s="136" t="n">
        <v>0</v>
      </c>
      <c r="CG195" s="136" t="n">
        <v>-0.002999999</v>
      </c>
      <c r="CH195" s="136" t="n">
        <v>0.0035</v>
      </c>
      <c r="CI195" s="136" t="n">
        <v>-0.0585</v>
      </c>
      <c r="CJ195" s="136" t="n">
        <v>0.0025</v>
      </c>
      <c r="CK195" s="136" t="n">
        <v>0.0775</v>
      </c>
      <c r="CL195" s="136" t="n">
        <v>0.0025</v>
      </c>
      <c r="CM195" s="136" t="n">
        <v>-0.072</v>
      </c>
      <c r="CN195" s="136" t="n">
        <v>0.0075</v>
      </c>
      <c r="CO195" s="136" t="n">
        <v>-0.017</v>
      </c>
      <c r="CP195" s="136" t="n">
        <v>0.005</v>
      </c>
      <c r="CQ195" s="136" t="n">
        <v>0.023</v>
      </c>
      <c r="CR195" s="136" t="n">
        <v>0.0075</v>
      </c>
      <c r="CS195" s="136" t="n">
        <v>0.41</v>
      </c>
      <c r="CT195" s="136" t="n">
        <v>0.01</v>
      </c>
      <c r="CU195" s="136" t="n">
        <v>0.05</v>
      </c>
      <c r="CV195" s="136" t="n">
        <v>0</v>
      </c>
      <c r="CW195" s="136" t="n">
        <v>0.205</v>
      </c>
      <c r="CX195" s="136" t="n">
        <v>0.0075</v>
      </c>
      <c r="CY195" s="136" t="n">
        <v>-0.18</v>
      </c>
      <c r="CZ195" s="136" t="n">
        <v>0</v>
      </c>
      <c r="DA195" s="136" t="n">
        <v>0</v>
      </c>
      <c r="DB195" s="136" t="n">
        <v>0</v>
      </c>
      <c r="DC195" s="136" t="n">
        <v>1.05</v>
      </c>
      <c r="DE195" s="136" t="n">
        <v>-0.0395</v>
      </c>
      <c r="DF195" s="136" t="n">
        <v>0.01</v>
      </c>
      <c r="DG195" s="136" t="n">
        <v>0.0175</v>
      </c>
      <c r="DH195" s="136" t="n">
        <v>0.01</v>
      </c>
      <c r="DI195" s="136" t="n">
        <v>0.0025</v>
      </c>
      <c r="DJ195" s="136" t="n">
        <v>0.0075</v>
      </c>
      <c r="DK195" s="136" t="n">
        <v>-0.0335</v>
      </c>
      <c r="DL195" s="136" t="n">
        <v>0.005</v>
      </c>
      <c r="DM195" s="136" t="n">
        <v>-0.045</v>
      </c>
      <c r="DN195" s="136" t="n">
        <v>0.0025</v>
      </c>
      <c r="DO195" s="136" t="n">
        <v>-0.0675</v>
      </c>
      <c r="DP195" s="136" t="n">
        <v>0.0025</v>
      </c>
      <c r="DQ195" s="136" t="n">
        <v>-0.0635</v>
      </c>
      <c r="DR195" s="136" t="n">
        <v>-0.005</v>
      </c>
      <c r="DS195" s="136" t="n">
        <v>0.35</v>
      </c>
      <c r="DT195" s="136" t="n">
        <v>-0.005</v>
      </c>
      <c r="DU195" s="136" t="n">
        <v>0</v>
      </c>
      <c r="DV195" s="136" t="n">
        <v>0</v>
      </c>
    </row>
    <row r="196" customFormat="false" ht="12.75" hidden="false" customHeight="false" outlineLevel="0" collapsed="false">
      <c r="D196" s="135" t="n">
        <v>42614</v>
      </c>
      <c r="F196" s="174" t="n">
        <v>4.2845</v>
      </c>
      <c r="G196" s="175" t="n">
        <v>0.0642156033285031</v>
      </c>
      <c r="H196" s="174" t="n">
        <v>0.17</v>
      </c>
      <c r="I196" s="174" t="n">
        <v>0.55</v>
      </c>
      <c r="J196" s="174" t="n">
        <v>0.55</v>
      </c>
      <c r="K196" s="174" t="n">
        <v>0.55</v>
      </c>
      <c r="L196" s="172" t="n">
        <v>0.55</v>
      </c>
      <c r="M196" s="172" t="n">
        <v>0.55</v>
      </c>
      <c r="N196" s="174" t="n">
        <v>0.6</v>
      </c>
      <c r="O196" s="174" t="n">
        <v>0.6</v>
      </c>
      <c r="P196" s="174" t="n">
        <v>0.55</v>
      </c>
      <c r="Q196" s="174" t="n">
        <v>0.5</v>
      </c>
      <c r="R196" s="175" t="n">
        <v>0.55</v>
      </c>
      <c r="S196" s="175" t="n">
        <v>0.6</v>
      </c>
      <c r="T196" s="174" t="n">
        <v>0.55</v>
      </c>
      <c r="U196" s="174" t="n">
        <v>0.6</v>
      </c>
      <c r="V196" s="174" t="n">
        <v>0.65</v>
      </c>
      <c r="W196" s="174" t="n">
        <v>0</v>
      </c>
      <c r="X196" s="174" t="n">
        <v>0</v>
      </c>
      <c r="Y196" s="174" t="n">
        <v>0</v>
      </c>
      <c r="Z196" s="174" t="n">
        <v>0</v>
      </c>
      <c r="AA196" s="174" t="n">
        <v>0</v>
      </c>
      <c r="AB196" s="174" t="n">
        <v>0</v>
      </c>
      <c r="AC196" s="174" t="n">
        <v>0</v>
      </c>
      <c r="AD196" s="174" t="n">
        <v>0</v>
      </c>
      <c r="AE196" s="174" t="n">
        <v>0</v>
      </c>
      <c r="AF196" s="174" t="n">
        <v>0</v>
      </c>
      <c r="AG196" s="174" t="n">
        <v>0</v>
      </c>
      <c r="AH196" s="174" t="n">
        <v>0</v>
      </c>
      <c r="AI196" s="174" t="n">
        <v>0</v>
      </c>
      <c r="AJ196" s="174" t="n">
        <v>0</v>
      </c>
      <c r="AK196" s="174" t="n">
        <v>0</v>
      </c>
      <c r="AL196" s="174" t="n">
        <v>0.035</v>
      </c>
      <c r="AM196" s="174" t="n">
        <v>0</v>
      </c>
      <c r="AN196" s="174" t="n">
        <v>0</v>
      </c>
      <c r="AO196" s="174" t="n">
        <v>0</v>
      </c>
      <c r="AP196" s="174" t="n">
        <v>0</v>
      </c>
      <c r="AQ196" s="174" t="n">
        <v>0</v>
      </c>
      <c r="AR196" s="174" t="n">
        <v>0</v>
      </c>
      <c r="AS196" s="174" t="n">
        <v>0</v>
      </c>
      <c r="AT196" s="174" t="n">
        <v>0</v>
      </c>
      <c r="AU196" s="174" t="n">
        <v>0</v>
      </c>
      <c r="AV196" s="174" t="n">
        <v>0</v>
      </c>
      <c r="AW196" s="174" t="n">
        <v>0</v>
      </c>
      <c r="AX196" s="174" t="n">
        <v>0</v>
      </c>
      <c r="AY196" s="175" t="n">
        <v>0</v>
      </c>
      <c r="AZ196" s="175" t="n">
        <v>0</v>
      </c>
      <c r="BA196" s="175" t="n">
        <v>-0.195</v>
      </c>
      <c r="BB196" s="174" t="n">
        <v>0</v>
      </c>
      <c r="BC196" s="174" t="n">
        <v>-0.07</v>
      </c>
      <c r="BD196" s="174" t="n">
        <v>0.005</v>
      </c>
      <c r="BE196" s="174" t="n">
        <v>0.43</v>
      </c>
      <c r="BF196" s="174" t="n">
        <v>0</v>
      </c>
      <c r="BG196" s="174" t="n">
        <v>-0.06</v>
      </c>
      <c r="BH196" s="174" t="n">
        <v>0</v>
      </c>
      <c r="BI196" s="174" t="n">
        <v>0</v>
      </c>
      <c r="BJ196" s="136" t="n">
        <v>0</v>
      </c>
      <c r="BK196" s="136" t="n">
        <v>0.43</v>
      </c>
      <c r="BL196" s="136" t="n">
        <v>0</v>
      </c>
      <c r="BM196" s="136" t="n">
        <v>0.05</v>
      </c>
      <c r="BN196" s="136" t="n">
        <v>0</v>
      </c>
      <c r="BO196" s="136" t="n">
        <v>-0.37</v>
      </c>
      <c r="BP196" s="136" t="n">
        <v>0</v>
      </c>
      <c r="BQ196" s="136" t="n">
        <v>0.5</v>
      </c>
      <c r="BR196" s="136" t="n">
        <v>0</v>
      </c>
      <c r="BS196" s="136" t="n">
        <v>-0.07</v>
      </c>
      <c r="BT196" s="136" t="n">
        <v>0.005</v>
      </c>
      <c r="BU196" s="136" t="n">
        <v>0.3</v>
      </c>
      <c r="BV196" s="136" t="n">
        <v>0</v>
      </c>
      <c r="BW196" s="136" t="n">
        <v>0</v>
      </c>
      <c r="BX196" s="136" t="n">
        <v>0</v>
      </c>
      <c r="BY196" s="136" t="n">
        <v>-0.002999999</v>
      </c>
      <c r="BZ196" s="136" t="n">
        <v>0.0575</v>
      </c>
      <c r="CA196" s="136" t="n">
        <v>0.125</v>
      </c>
      <c r="CB196" s="136" t="n">
        <v>0.005</v>
      </c>
      <c r="CC196" s="136" t="n">
        <v>-0.002999999</v>
      </c>
      <c r="CD196" s="136" t="n">
        <v>0.0035</v>
      </c>
      <c r="CE196" s="136" t="n">
        <v>0.0025</v>
      </c>
      <c r="CF196" s="136" t="n">
        <v>0</v>
      </c>
      <c r="CG196" s="136" t="n">
        <v>-0.002999999</v>
      </c>
      <c r="CH196" s="136" t="n">
        <v>0.0035</v>
      </c>
      <c r="CI196" s="136" t="n">
        <v>-0.0635</v>
      </c>
      <c r="CJ196" s="136" t="n">
        <v>0.0025</v>
      </c>
      <c r="CK196" s="136" t="n">
        <v>0.0775</v>
      </c>
      <c r="CL196" s="136" t="n">
        <v>0.0025</v>
      </c>
      <c r="CM196" s="136" t="n">
        <v>-0.072</v>
      </c>
      <c r="CN196" s="136" t="n">
        <v>0.0075</v>
      </c>
      <c r="CO196" s="136" t="n">
        <v>-0.017</v>
      </c>
      <c r="CP196" s="136" t="n">
        <v>0.005</v>
      </c>
      <c r="CQ196" s="136" t="n">
        <v>0.023</v>
      </c>
      <c r="CR196" s="136" t="n">
        <v>0.0075</v>
      </c>
      <c r="CS196" s="136" t="n">
        <v>0.36</v>
      </c>
      <c r="CT196" s="136" t="n">
        <v>0.01</v>
      </c>
      <c r="CU196" s="136" t="n">
        <v>0.05</v>
      </c>
      <c r="CV196" s="136" t="n">
        <v>0</v>
      </c>
      <c r="CW196" s="136" t="n">
        <v>0.145</v>
      </c>
      <c r="CX196" s="136" t="n">
        <v>0.0075</v>
      </c>
      <c r="CY196" s="136" t="n">
        <v>-0.18</v>
      </c>
      <c r="CZ196" s="136" t="n">
        <v>0</v>
      </c>
      <c r="DA196" s="136" t="n">
        <v>0</v>
      </c>
      <c r="DB196" s="136" t="n">
        <v>0</v>
      </c>
      <c r="DC196" s="136" t="n">
        <v>0.75</v>
      </c>
      <c r="DE196" s="136" t="n">
        <v>-0.0445</v>
      </c>
      <c r="DF196" s="136" t="n">
        <v>0.01</v>
      </c>
      <c r="DG196" s="136" t="n">
        <v>0.0175</v>
      </c>
      <c r="DH196" s="136" t="n">
        <v>0.01</v>
      </c>
      <c r="DI196" s="136" t="n">
        <v>0.0025</v>
      </c>
      <c r="DJ196" s="136" t="n">
        <v>0.0075</v>
      </c>
      <c r="DK196" s="136" t="n">
        <v>-0.0435</v>
      </c>
      <c r="DL196" s="136" t="n">
        <v>0.005</v>
      </c>
      <c r="DM196" s="136" t="n">
        <v>-0.045</v>
      </c>
      <c r="DN196" s="136" t="n">
        <v>0.0025</v>
      </c>
      <c r="DO196" s="136" t="n">
        <v>-0.0675</v>
      </c>
      <c r="DP196" s="136" t="n">
        <v>0.0025</v>
      </c>
      <c r="DQ196" s="136" t="n">
        <v>-0.0735</v>
      </c>
      <c r="DR196" s="136" t="n">
        <v>-0.005</v>
      </c>
      <c r="DS196" s="136" t="n">
        <v>0.315</v>
      </c>
      <c r="DT196" s="136" t="n">
        <v>-0.005</v>
      </c>
      <c r="DU196" s="136" t="n">
        <v>0</v>
      </c>
      <c r="DV196" s="136" t="n">
        <v>0</v>
      </c>
    </row>
    <row r="197" customFormat="false" ht="12.75" hidden="false" customHeight="false" outlineLevel="0" collapsed="false">
      <c r="D197" s="135" t="n">
        <v>42644</v>
      </c>
      <c r="F197" s="174" t="n">
        <v>4.3095</v>
      </c>
      <c r="G197" s="175" t="n">
        <v>0.0642548395680453</v>
      </c>
      <c r="H197" s="174" t="n">
        <v>0.17</v>
      </c>
      <c r="I197" s="174" t="n">
        <v>0.6</v>
      </c>
      <c r="J197" s="174" t="n">
        <v>0.6</v>
      </c>
      <c r="K197" s="174" t="n">
        <v>0.55</v>
      </c>
      <c r="L197" s="172" t="n">
        <v>0.6</v>
      </c>
      <c r="M197" s="172" t="n">
        <v>0.6</v>
      </c>
      <c r="N197" s="174" t="n">
        <v>0.65</v>
      </c>
      <c r="O197" s="174" t="n">
        <v>0.65</v>
      </c>
      <c r="P197" s="174" t="n">
        <v>0.6</v>
      </c>
      <c r="Q197" s="174" t="n">
        <v>0.5</v>
      </c>
      <c r="R197" s="175" t="n">
        <v>0.6</v>
      </c>
      <c r="S197" s="175" t="n">
        <v>0.65</v>
      </c>
      <c r="T197" s="174" t="n">
        <v>0.6</v>
      </c>
      <c r="U197" s="174" t="n">
        <v>0.65</v>
      </c>
      <c r="V197" s="174" t="n">
        <v>0.7</v>
      </c>
      <c r="W197" s="174" t="n">
        <v>0</v>
      </c>
      <c r="X197" s="174" t="n">
        <v>0</v>
      </c>
      <c r="Y197" s="174" t="n">
        <v>0</v>
      </c>
      <c r="Z197" s="174" t="n">
        <v>0</v>
      </c>
      <c r="AA197" s="174" t="n">
        <v>0</v>
      </c>
      <c r="AB197" s="174" t="n">
        <v>0</v>
      </c>
      <c r="AC197" s="174" t="n">
        <v>0</v>
      </c>
      <c r="AD197" s="174" t="n">
        <v>0</v>
      </c>
      <c r="AE197" s="174" t="n">
        <v>0</v>
      </c>
      <c r="AF197" s="174" t="n">
        <v>0</v>
      </c>
      <c r="AG197" s="174" t="n">
        <v>0</v>
      </c>
      <c r="AH197" s="174" t="n">
        <v>0</v>
      </c>
      <c r="AI197" s="174" t="n">
        <v>0</v>
      </c>
      <c r="AJ197" s="174" t="n">
        <v>0</v>
      </c>
      <c r="AK197" s="174" t="n">
        <v>0</v>
      </c>
      <c r="AL197" s="174" t="n">
        <v>0.035</v>
      </c>
      <c r="AM197" s="174" t="n">
        <v>0</v>
      </c>
      <c r="AN197" s="174" t="n">
        <v>0</v>
      </c>
      <c r="AO197" s="174" t="n">
        <v>0</v>
      </c>
      <c r="AP197" s="174" t="n">
        <v>0</v>
      </c>
      <c r="AQ197" s="174" t="n">
        <v>0</v>
      </c>
      <c r="AR197" s="174" t="n">
        <v>0</v>
      </c>
      <c r="AS197" s="174" t="n">
        <v>0</v>
      </c>
      <c r="AT197" s="174" t="n">
        <v>0</v>
      </c>
      <c r="AU197" s="174" t="n">
        <v>0</v>
      </c>
      <c r="AV197" s="174" t="n">
        <v>0</v>
      </c>
      <c r="AW197" s="174" t="n">
        <v>0</v>
      </c>
      <c r="AX197" s="174" t="n">
        <v>0</v>
      </c>
      <c r="AY197" s="175" t="n">
        <v>0</v>
      </c>
      <c r="AZ197" s="175" t="n">
        <v>0</v>
      </c>
      <c r="BA197" s="175" t="n">
        <v>-0.195</v>
      </c>
      <c r="BB197" s="174" t="n">
        <v>0</v>
      </c>
      <c r="BC197" s="174" t="n">
        <v>-0.07</v>
      </c>
      <c r="BD197" s="174" t="n">
        <v>0.005</v>
      </c>
      <c r="BE197" s="174" t="n">
        <v>0.43</v>
      </c>
      <c r="BF197" s="174" t="n">
        <v>0</v>
      </c>
      <c r="BG197" s="174" t="n">
        <v>-0.06</v>
      </c>
      <c r="BH197" s="174" t="n">
        <v>0</v>
      </c>
      <c r="BI197" s="174" t="n">
        <v>0</v>
      </c>
      <c r="BJ197" s="136" t="n">
        <v>0</v>
      </c>
      <c r="BK197" s="136" t="n">
        <v>0.43</v>
      </c>
      <c r="BL197" s="136" t="n">
        <v>0</v>
      </c>
      <c r="BM197" s="136" t="n">
        <v>0.05</v>
      </c>
      <c r="BN197" s="136" t="n">
        <v>0</v>
      </c>
      <c r="BO197" s="136" t="n">
        <v>-0.37</v>
      </c>
      <c r="BP197" s="136" t="n">
        <v>0</v>
      </c>
      <c r="BQ197" s="136" t="n">
        <v>0.5</v>
      </c>
      <c r="BR197" s="136" t="n">
        <v>0</v>
      </c>
      <c r="BS197" s="136" t="n">
        <v>-0.07</v>
      </c>
      <c r="BT197" s="136" t="n">
        <v>0.005</v>
      </c>
      <c r="BU197" s="136" t="n">
        <v>0.3</v>
      </c>
      <c r="BV197" s="136" t="n">
        <v>0</v>
      </c>
      <c r="BW197" s="136" t="n">
        <v>0</v>
      </c>
      <c r="BX197" s="136" t="n">
        <v>0</v>
      </c>
      <c r="BY197" s="136" t="n">
        <v>-0.002999999</v>
      </c>
      <c r="BZ197" s="136" t="n">
        <v>0.0575</v>
      </c>
      <c r="CA197" s="136" t="n">
        <v>0.145</v>
      </c>
      <c r="CB197" s="136" t="n">
        <v>0.005</v>
      </c>
      <c r="CC197" s="136" t="n">
        <v>-0.002999999</v>
      </c>
      <c r="CD197" s="136" t="n">
        <v>0.0035</v>
      </c>
      <c r="CE197" s="136" t="n">
        <v>0.0025</v>
      </c>
      <c r="CF197" s="136" t="n">
        <v>0</v>
      </c>
      <c r="CG197" s="136" t="n">
        <v>-0.002999999</v>
      </c>
      <c r="CH197" s="136" t="n">
        <v>0.0035</v>
      </c>
      <c r="CI197" s="136" t="n">
        <v>-0.066</v>
      </c>
      <c r="CJ197" s="136" t="n">
        <v>0.0025</v>
      </c>
      <c r="CK197" s="136" t="n">
        <v>0.0775</v>
      </c>
      <c r="CL197" s="136" t="n">
        <v>0.0025</v>
      </c>
      <c r="CM197" s="136" t="n">
        <v>-0.072</v>
      </c>
      <c r="CN197" s="136" t="n">
        <v>0.0075</v>
      </c>
      <c r="CO197" s="136" t="n">
        <v>-0.017</v>
      </c>
      <c r="CP197" s="136" t="n">
        <v>0.005</v>
      </c>
      <c r="CQ197" s="136" t="n">
        <v>0.023</v>
      </c>
      <c r="CR197" s="136" t="n">
        <v>0.0075</v>
      </c>
      <c r="CS197" s="136" t="n">
        <v>0.4</v>
      </c>
      <c r="CT197" s="136" t="n">
        <v>0.01</v>
      </c>
      <c r="CU197" s="136" t="n">
        <v>0.05</v>
      </c>
      <c r="CV197" s="136" t="n">
        <v>0</v>
      </c>
      <c r="CW197" s="136" t="n">
        <v>0.175</v>
      </c>
      <c r="CX197" s="136" t="n">
        <v>0.0075</v>
      </c>
      <c r="CY197" s="136" t="n">
        <v>-0.18</v>
      </c>
      <c r="CZ197" s="136" t="n">
        <v>0</v>
      </c>
      <c r="DA197" s="136" t="n">
        <v>0</v>
      </c>
      <c r="DB197" s="136" t="n">
        <v>0</v>
      </c>
      <c r="DC197" s="136" t="n">
        <v>0.45</v>
      </c>
      <c r="DE197" s="136" t="n">
        <v>-0.0445</v>
      </c>
      <c r="DF197" s="136" t="n">
        <v>0.01</v>
      </c>
      <c r="DG197" s="136" t="n">
        <v>0.015</v>
      </c>
      <c r="DH197" s="136" t="n">
        <v>0.01</v>
      </c>
      <c r="DI197" s="136" t="n">
        <v>0</v>
      </c>
      <c r="DJ197" s="136" t="n">
        <v>0.0075</v>
      </c>
      <c r="DK197" s="136" t="n">
        <v>-0.031</v>
      </c>
      <c r="DL197" s="136" t="n">
        <v>0.005</v>
      </c>
      <c r="DM197" s="136" t="n">
        <v>-0.045</v>
      </c>
      <c r="DN197" s="136" t="n">
        <v>0.0025</v>
      </c>
      <c r="DO197" s="136" t="n">
        <v>-0.0675</v>
      </c>
      <c r="DP197" s="136" t="n">
        <v>0.0025</v>
      </c>
      <c r="DQ197" s="136" t="n">
        <v>-0.061</v>
      </c>
      <c r="DR197" s="136" t="n">
        <v>-0.005</v>
      </c>
      <c r="DS197" s="136" t="n">
        <v>0.36</v>
      </c>
      <c r="DT197" s="136" t="n">
        <v>-0.005</v>
      </c>
      <c r="DU197" s="136" t="n">
        <v>0</v>
      </c>
      <c r="DV197" s="136" t="n">
        <v>0</v>
      </c>
    </row>
    <row r="198" customFormat="false" ht="12.75" hidden="false" customHeight="false" outlineLevel="0" collapsed="false">
      <c r="D198" s="135" t="n">
        <v>42675</v>
      </c>
      <c r="F198" s="174" t="n">
        <v>4.4615</v>
      </c>
      <c r="G198" s="175" t="n">
        <v>0.0642953836827749</v>
      </c>
      <c r="H198" s="174" t="n">
        <v>0.17</v>
      </c>
      <c r="I198" s="174" t="n">
        <v>0.8</v>
      </c>
      <c r="J198" s="174" t="n">
        <v>0.85</v>
      </c>
      <c r="K198" s="174" t="n">
        <v>0.8</v>
      </c>
      <c r="L198" s="172" t="n">
        <v>0.8</v>
      </c>
      <c r="M198" s="172" t="n">
        <v>0.9</v>
      </c>
      <c r="N198" s="174" t="n">
        <v>0.95</v>
      </c>
      <c r="O198" s="174" t="n">
        <v>0.85</v>
      </c>
      <c r="P198" s="174" t="n">
        <v>0.8</v>
      </c>
      <c r="Q198" s="174" t="n">
        <v>0.95</v>
      </c>
      <c r="R198" s="175" t="n">
        <v>0.8</v>
      </c>
      <c r="S198" s="175" t="n">
        <v>0.8</v>
      </c>
      <c r="T198" s="174" t="n">
        <v>0.8</v>
      </c>
      <c r="U198" s="174" t="n">
        <v>0.95</v>
      </c>
      <c r="V198" s="174" t="n">
        <v>0.9</v>
      </c>
      <c r="W198" s="174" t="n">
        <v>0</v>
      </c>
      <c r="X198" s="174" t="n">
        <v>0</v>
      </c>
      <c r="Y198" s="174" t="n">
        <v>0</v>
      </c>
      <c r="Z198" s="174" t="n">
        <v>0</v>
      </c>
      <c r="AA198" s="174" t="n">
        <v>0</v>
      </c>
      <c r="AB198" s="174" t="n">
        <v>0</v>
      </c>
      <c r="AC198" s="174" t="n">
        <v>0</v>
      </c>
      <c r="AD198" s="174" t="n">
        <v>0</v>
      </c>
      <c r="AE198" s="174" t="n">
        <v>0</v>
      </c>
      <c r="AF198" s="174" t="n">
        <v>0</v>
      </c>
      <c r="AG198" s="174" t="n">
        <v>0</v>
      </c>
      <c r="AH198" s="174" t="n">
        <v>0</v>
      </c>
      <c r="AI198" s="174" t="n">
        <v>0</v>
      </c>
      <c r="AJ198" s="174" t="n">
        <v>0</v>
      </c>
      <c r="AK198" s="174" t="n">
        <v>0</v>
      </c>
      <c r="AL198" s="174" t="n">
        <v>0</v>
      </c>
      <c r="AM198" s="174" t="n">
        <v>0</v>
      </c>
      <c r="AN198" s="174" t="n">
        <v>0</v>
      </c>
      <c r="AO198" s="174" t="n">
        <v>0</v>
      </c>
      <c r="AP198" s="174" t="n">
        <v>0</v>
      </c>
      <c r="AQ198" s="174" t="n">
        <v>0</v>
      </c>
      <c r="AR198" s="174" t="n">
        <v>0</v>
      </c>
      <c r="AS198" s="174" t="n">
        <v>0</v>
      </c>
      <c r="AT198" s="174" t="n">
        <v>0</v>
      </c>
      <c r="AU198" s="174" t="n">
        <v>0</v>
      </c>
      <c r="AV198" s="174" t="n">
        <v>0</v>
      </c>
      <c r="AW198" s="174" t="n">
        <v>0</v>
      </c>
      <c r="AX198" s="174" t="n">
        <v>0</v>
      </c>
      <c r="AY198" s="175" t="n">
        <v>0</v>
      </c>
      <c r="AZ198" s="175" t="n">
        <v>0</v>
      </c>
      <c r="BA198" s="175" t="n">
        <v>-0.13</v>
      </c>
      <c r="BB198" s="174" t="n">
        <v>0</v>
      </c>
      <c r="BC198" s="174" t="n">
        <v>-0.07</v>
      </c>
      <c r="BD198" s="174" t="n">
        <v>0.005</v>
      </c>
      <c r="BE198" s="174" t="n">
        <v>0.35</v>
      </c>
      <c r="BF198" s="174" t="n">
        <v>0</v>
      </c>
      <c r="BG198" s="174" t="n">
        <v>-0.06</v>
      </c>
      <c r="BH198" s="174" t="n">
        <v>0</v>
      </c>
      <c r="BI198" s="174" t="n">
        <v>0</v>
      </c>
      <c r="BJ198" s="136" t="n">
        <v>0</v>
      </c>
      <c r="BK198" s="136" t="n">
        <v>0.35</v>
      </c>
      <c r="BL198" s="136" t="n">
        <v>0</v>
      </c>
      <c r="BM198" s="136" t="n">
        <v>0.05</v>
      </c>
      <c r="BN198" s="136" t="n">
        <v>0</v>
      </c>
      <c r="BO198" s="136" t="n">
        <v>-0.26</v>
      </c>
      <c r="BP198" s="136" t="n">
        <v>0</v>
      </c>
      <c r="BQ198" s="136" t="n">
        <v>0.5</v>
      </c>
      <c r="BR198" s="136" t="n">
        <v>0</v>
      </c>
      <c r="BS198" s="136" t="n">
        <v>-0.07</v>
      </c>
      <c r="BT198" s="136" t="n">
        <v>0.005</v>
      </c>
      <c r="BU198" s="136" t="n">
        <v>0.3</v>
      </c>
      <c r="BV198" s="136" t="n">
        <v>0</v>
      </c>
      <c r="BW198" s="136" t="n">
        <v>0</v>
      </c>
      <c r="BX198" s="136" t="n">
        <v>0</v>
      </c>
      <c r="BY198" s="136" t="n">
        <v>-0.002999999</v>
      </c>
      <c r="BZ198" s="136" t="n">
        <v>0.0575</v>
      </c>
      <c r="CA198" s="136" t="n">
        <v>0.195</v>
      </c>
      <c r="CB198" s="136" t="n">
        <v>0.005</v>
      </c>
      <c r="CC198" s="136" t="n">
        <v>-0.002999999</v>
      </c>
      <c r="CD198" s="136" t="n">
        <v>0.0037</v>
      </c>
      <c r="CE198" s="136" t="n">
        <v>0.0025</v>
      </c>
      <c r="CF198" s="136" t="n">
        <v>0</v>
      </c>
      <c r="CG198" s="136" t="n">
        <v>-0.002999999</v>
      </c>
      <c r="CH198" s="136" t="n">
        <v>0.0037</v>
      </c>
      <c r="CI198" s="136" t="n">
        <v>-0.071</v>
      </c>
      <c r="CJ198" s="136" t="n">
        <v>0.0025</v>
      </c>
      <c r="CK198" s="136" t="n">
        <v>0.075</v>
      </c>
      <c r="CL198" s="136" t="n">
        <v>0.0025</v>
      </c>
      <c r="CM198" s="136" t="n">
        <v>-0.064</v>
      </c>
      <c r="CN198" s="136" t="n">
        <v>0.01</v>
      </c>
      <c r="CO198" s="136" t="n">
        <v>-0.008999999</v>
      </c>
      <c r="CP198" s="136" t="n">
        <v>0.0075</v>
      </c>
      <c r="CQ198" s="136" t="n">
        <v>0.031</v>
      </c>
      <c r="CR198" s="136" t="n">
        <v>0.0125</v>
      </c>
      <c r="CS198" s="136" t="n">
        <v>0.65</v>
      </c>
      <c r="CT198" s="136" t="n">
        <v>0.055</v>
      </c>
      <c r="CU198" s="136" t="n">
        <v>0.05</v>
      </c>
      <c r="CV198" s="136" t="n">
        <v>0</v>
      </c>
      <c r="CW198" s="136" t="n">
        <v>0.21</v>
      </c>
      <c r="CX198" s="136" t="n">
        <v>0.02</v>
      </c>
      <c r="CY198" s="136" t="n">
        <v>-0.18</v>
      </c>
      <c r="CZ198" s="136" t="n">
        <v>0</v>
      </c>
      <c r="DA198" s="136" t="n">
        <v>0</v>
      </c>
      <c r="DB198" s="136" t="n">
        <v>0</v>
      </c>
      <c r="DC198" s="136" t="n">
        <v>0.45</v>
      </c>
      <c r="DE198" s="136" t="n">
        <v>-0.033</v>
      </c>
      <c r="DF198" s="136" t="n">
        <v>0.0125</v>
      </c>
      <c r="DG198" s="136" t="n">
        <v>0.016</v>
      </c>
      <c r="DH198" s="136" t="n">
        <v>0.0075</v>
      </c>
      <c r="DI198" s="136" t="n">
        <v>0.001</v>
      </c>
      <c r="DJ198" s="136" t="n">
        <v>0.0025</v>
      </c>
      <c r="DK198" s="136" t="n">
        <v>-0.036</v>
      </c>
      <c r="DL198" s="136" t="n">
        <v>0.0025</v>
      </c>
      <c r="DM198" s="136" t="n">
        <v>-0.0475</v>
      </c>
      <c r="DN198" s="136" t="n">
        <v>0.0025</v>
      </c>
      <c r="DO198" s="136" t="n">
        <v>-0.07</v>
      </c>
      <c r="DP198" s="136" t="n">
        <v>0.0025</v>
      </c>
      <c r="DQ198" s="136" t="n">
        <v>-0.066</v>
      </c>
      <c r="DR198" s="136" t="n">
        <v>-0.005</v>
      </c>
      <c r="DS198" s="136" t="n">
        <v>0.46</v>
      </c>
      <c r="DT198" s="136" t="n">
        <v>0.05</v>
      </c>
      <c r="DU198" s="136" t="n">
        <v>0</v>
      </c>
      <c r="DV198" s="136" t="n">
        <v>0</v>
      </c>
    </row>
    <row r="199" customFormat="false" ht="12.75" hidden="false" customHeight="false" outlineLevel="0" collapsed="false">
      <c r="D199" s="135" t="n">
        <v>42705</v>
      </c>
      <c r="F199" s="174" t="n">
        <v>4.6045</v>
      </c>
      <c r="G199" s="175" t="n">
        <v>0.064334619923355</v>
      </c>
      <c r="H199" s="174" t="n">
        <v>0.17</v>
      </c>
      <c r="I199" s="174" t="n">
        <v>1</v>
      </c>
      <c r="J199" s="174" t="n">
        <v>1.05</v>
      </c>
      <c r="K199" s="174" t="n">
        <v>1</v>
      </c>
      <c r="L199" s="172" t="n">
        <v>1</v>
      </c>
      <c r="M199" s="172" t="n">
        <v>1.15</v>
      </c>
      <c r="N199" s="174" t="n">
        <v>1.25</v>
      </c>
      <c r="O199" s="174" t="n">
        <v>1.05</v>
      </c>
      <c r="P199" s="174" t="n">
        <v>1</v>
      </c>
      <c r="Q199" s="174" t="n">
        <v>1.35</v>
      </c>
      <c r="R199" s="175" t="n">
        <v>1</v>
      </c>
      <c r="S199" s="175" t="n">
        <v>1.1</v>
      </c>
      <c r="T199" s="174" t="n">
        <v>1</v>
      </c>
      <c r="U199" s="174" t="n">
        <v>1.25</v>
      </c>
      <c r="V199" s="174" t="n">
        <v>1.1</v>
      </c>
      <c r="W199" s="174" t="n">
        <v>0</v>
      </c>
      <c r="X199" s="174" t="n">
        <v>0</v>
      </c>
      <c r="Y199" s="174" t="n">
        <v>0</v>
      </c>
      <c r="Z199" s="174" t="n">
        <v>0</v>
      </c>
      <c r="AA199" s="174" t="n">
        <v>0</v>
      </c>
      <c r="AB199" s="174" t="n">
        <v>0</v>
      </c>
      <c r="AC199" s="174" t="n">
        <v>0</v>
      </c>
      <c r="AD199" s="174" t="n">
        <v>0</v>
      </c>
      <c r="AE199" s="174" t="n">
        <v>0</v>
      </c>
      <c r="AF199" s="174" t="n">
        <v>0</v>
      </c>
      <c r="AG199" s="174" t="n">
        <v>0</v>
      </c>
      <c r="AH199" s="174" t="n">
        <v>0</v>
      </c>
      <c r="AI199" s="174" t="n">
        <v>0</v>
      </c>
      <c r="AJ199" s="174" t="n">
        <v>0</v>
      </c>
      <c r="AK199" s="174" t="n">
        <v>0</v>
      </c>
      <c r="AL199" s="174" t="n">
        <v>0</v>
      </c>
      <c r="AM199" s="174" t="n">
        <v>0</v>
      </c>
      <c r="AN199" s="174" t="n">
        <v>0</v>
      </c>
      <c r="AO199" s="174" t="n">
        <v>0</v>
      </c>
      <c r="AP199" s="174" t="n">
        <v>0</v>
      </c>
      <c r="AQ199" s="174" t="n">
        <v>0</v>
      </c>
      <c r="AR199" s="174" t="n">
        <v>0</v>
      </c>
      <c r="AS199" s="174" t="n">
        <v>0</v>
      </c>
      <c r="AT199" s="174" t="n">
        <v>0</v>
      </c>
      <c r="AU199" s="174" t="n">
        <v>0</v>
      </c>
      <c r="AV199" s="174" t="n">
        <v>0</v>
      </c>
      <c r="AW199" s="174" t="n">
        <v>0</v>
      </c>
      <c r="AX199" s="174" t="n">
        <v>0</v>
      </c>
      <c r="AY199" s="175" t="n">
        <v>0</v>
      </c>
      <c r="AZ199" s="175" t="n">
        <v>0</v>
      </c>
      <c r="BA199" s="175" t="n">
        <v>-0.13</v>
      </c>
      <c r="BB199" s="174" t="n">
        <v>0</v>
      </c>
      <c r="BC199" s="174" t="n">
        <v>-0.07</v>
      </c>
      <c r="BD199" s="174" t="n">
        <v>0.005</v>
      </c>
      <c r="BE199" s="174" t="n">
        <v>0.35</v>
      </c>
      <c r="BF199" s="174" t="n">
        <v>0</v>
      </c>
      <c r="BG199" s="174" t="n">
        <v>-0.06</v>
      </c>
      <c r="BH199" s="174" t="n">
        <v>0</v>
      </c>
      <c r="BI199" s="174" t="n">
        <v>0</v>
      </c>
      <c r="BJ199" s="136" t="n">
        <v>0</v>
      </c>
      <c r="BK199" s="136" t="n">
        <v>0.35</v>
      </c>
      <c r="BL199" s="136" t="n">
        <v>0</v>
      </c>
      <c r="BM199" s="136" t="n">
        <v>0.05</v>
      </c>
      <c r="BN199" s="136" t="n">
        <v>0</v>
      </c>
      <c r="BO199" s="136" t="n">
        <v>-0.26</v>
      </c>
      <c r="BP199" s="136" t="n">
        <v>0</v>
      </c>
      <c r="BQ199" s="136" t="n">
        <v>0.5</v>
      </c>
      <c r="BR199" s="136" t="n">
        <v>0</v>
      </c>
      <c r="BS199" s="136" t="n">
        <v>-0.07</v>
      </c>
      <c r="BT199" s="136" t="n">
        <v>0.005</v>
      </c>
      <c r="BU199" s="136" t="n">
        <v>0.3</v>
      </c>
      <c r="BV199" s="136" t="n">
        <v>0</v>
      </c>
      <c r="BW199" s="136" t="n">
        <v>0</v>
      </c>
      <c r="BX199" s="136" t="n">
        <v>0</v>
      </c>
      <c r="BY199" s="136" t="n">
        <v>-0.002999999</v>
      </c>
      <c r="BZ199" s="136" t="n">
        <v>0.0575</v>
      </c>
      <c r="CA199" s="136" t="n">
        <v>0.215</v>
      </c>
      <c r="CB199" s="136" t="n">
        <v>0.005</v>
      </c>
      <c r="CC199" s="136" t="n">
        <v>-0.002999999</v>
      </c>
      <c r="CD199" s="136" t="n">
        <v>0.0037</v>
      </c>
      <c r="CE199" s="136" t="n">
        <v>0.0025</v>
      </c>
      <c r="CF199" s="136" t="n">
        <v>0</v>
      </c>
      <c r="CG199" s="136" t="n">
        <v>-0.002999999</v>
      </c>
      <c r="CH199" s="136" t="n">
        <v>0.0037</v>
      </c>
      <c r="CI199" s="136" t="n">
        <v>-0.0985</v>
      </c>
      <c r="CJ199" s="136" t="n">
        <v>0.0025</v>
      </c>
      <c r="CK199" s="136" t="n">
        <v>0.075</v>
      </c>
      <c r="CL199" s="136" t="n">
        <v>0.0025</v>
      </c>
      <c r="CM199" s="136" t="n">
        <v>-0.064</v>
      </c>
      <c r="CN199" s="136" t="n">
        <v>0.01</v>
      </c>
      <c r="CO199" s="136" t="n">
        <v>-0.008999999</v>
      </c>
      <c r="CP199" s="136" t="n">
        <v>0.0075</v>
      </c>
      <c r="CQ199" s="136" t="n">
        <v>0.031</v>
      </c>
      <c r="CR199" s="136" t="n">
        <v>0.0125</v>
      </c>
      <c r="CS199" s="136" t="n">
        <v>0.98</v>
      </c>
      <c r="CT199" s="136" t="n">
        <v>0.25</v>
      </c>
      <c r="CU199" s="136" t="n">
        <v>0.05</v>
      </c>
      <c r="CV199" s="136" t="n">
        <v>0</v>
      </c>
      <c r="CW199" s="136" t="n">
        <v>0.29</v>
      </c>
      <c r="CX199" s="136" t="n">
        <v>0.02</v>
      </c>
      <c r="CY199" s="136" t="n">
        <v>-0.18</v>
      </c>
      <c r="CZ199" s="136" t="n">
        <v>0</v>
      </c>
      <c r="DA199" s="136" t="n">
        <v>0</v>
      </c>
      <c r="DB199" s="136" t="n">
        <v>0</v>
      </c>
      <c r="DC199" s="136" t="n">
        <v>0.4</v>
      </c>
      <c r="DE199" s="136" t="n">
        <v>-0.033</v>
      </c>
      <c r="DF199" s="136" t="n">
        <v>0.0125</v>
      </c>
      <c r="DG199" s="136" t="n">
        <v>0.016</v>
      </c>
      <c r="DH199" s="136" t="n">
        <v>0.0075</v>
      </c>
      <c r="DI199" s="136" t="n">
        <v>0.001</v>
      </c>
      <c r="DJ199" s="136" t="n">
        <v>0.0025</v>
      </c>
      <c r="DK199" s="136" t="n">
        <v>-0.0635</v>
      </c>
      <c r="DL199" s="136" t="n">
        <v>0.0025</v>
      </c>
      <c r="DM199" s="136" t="n">
        <v>-0.0455</v>
      </c>
      <c r="DN199" s="136" t="n">
        <v>0.0025</v>
      </c>
      <c r="DO199" s="136" t="n">
        <v>-0.068</v>
      </c>
      <c r="DP199" s="136" t="n">
        <v>0.0025</v>
      </c>
      <c r="DQ199" s="136" t="n">
        <v>-0.0935</v>
      </c>
      <c r="DR199" s="136" t="n">
        <v>-0.005</v>
      </c>
      <c r="DS199" s="136" t="n">
        <v>0.77</v>
      </c>
      <c r="DT199" s="136" t="n">
        <v>0.05</v>
      </c>
      <c r="DU199" s="136" t="n">
        <v>0</v>
      </c>
      <c r="DV199" s="136" t="n">
        <v>0</v>
      </c>
    </row>
    <row r="200" customFormat="false" ht="12.75" hidden="false" customHeight="false" outlineLevel="0" collapsed="false">
      <c r="D200" s="135" t="n">
        <v>42736</v>
      </c>
      <c r="F200" s="174" t="n">
        <v>4.6645</v>
      </c>
      <c r="G200" s="175" t="n">
        <v>0.064375164039157</v>
      </c>
      <c r="H200" s="174" t="n">
        <v>0.17</v>
      </c>
      <c r="I200" s="174" t="n">
        <v>1</v>
      </c>
      <c r="J200" s="174" t="n">
        <v>1.05</v>
      </c>
      <c r="K200" s="174" t="n">
        <v>1</v>
      </c>
      <c r="L200" s="172" t="n">
        <v>1</v>
      </c>
      <c r="M200" s="172" t="n">
        <v>1.15</v>
      </c>
      <c r="N200" s="174" t="n">
        <v>1.45</v>
      </c>
      <c r="O200" s="174" t="n">
        <v>1.05</v>
      </c>
      <c r="P200" s="174" t="n">
        <v>1</v>
      </c>
      <c r="Q200" s="174" t="n">
        <v>1.35</v>
      </c>
      <c r="R200" s="175" t="n">
        <v>1</v>
      </c>
      <c r="S200" s="175" t="n">
        <v>1.1</v>
      </c>
      <c r="T200" s="174" t="n">
        <v>1</v>
      </c>
      <c r="U200" s="174" t="n">
        <v>1.45</v>
      </c>
      <c r="V200" s="174" t="n">
        <v>1.1</v>
      </c>
      <c r="W200" s="174" t="n">
        <v>0</v>
      </c>
      <c r="X200" s="174" t="n">
        <v>0</v>
      </c>
      <c r="Y200" s="174" t="n">
        <v>0</v>
      </c>
      <c r="Z200" s="174" t="n">
        <v>0</v>
      </c>
      <c r="AA200" s="174" t="n">
        <v>0</v>
      </c>
      <c r="AB200" s="174" t="n">
        <v>0</v>
      </c>
      <c r="AC200" s="174" t="n">
        <v>0</v>
      </c>
      <c r="AD200" s="174" t="n">
        <v>0</v>
      </c>
      <c r="AE200" s="174" t="n">
        <v>0</v>
      </c>
      <c r="AF200" s="174" t="n">
        <v>0</v>
      </c>
      <c r="AG200" s="174" t="n">
        <v>0</v>
      </c>
      <c r="AH200" s="174" t="n">
        <v>0</v>
      </c>
      <c r="AI200" s="174" t="n">
        <v>0</v>
      </c>
      <c r="AJ200" s="174" t="n">
        <v>0</v>
      </c>
      <c r="AK200" s="174" t="n">
        <v>0</v>
      </c>
      <c r="AL200" s="174" t="n">
        <v>0</v>
      </c>
      <c r="AM200" s="174" t="n">
        <v>0</v>
      </c>
      <c r="AN200" s="174" t="n">
        <v>0</v>
      </c>
      <c r="AO200" s="174" t="n">
        <v>0</v>
      </c>
      <c r="AP200" s="174" t="n">
        <v>0</v>
      </c>
      <c r="AQ200" s="174" t="n">
        <v>0</v>
      </c>
      <c r="AR200" s="174" t="n">
        <v>0</v>
      </c>
      <c r="AS200" s="174" t="n">
        <v>0</v>
      </c>
      <c r="AT200" s="174" t="n">
        <v>0</v>
      </c>
      <c r="AU200" s="174" t="n">
        <v>0</v>
      </c>
      <c r="AV200" s="174" t="n">
        <v>0</v>
      </c>
      <c r="AW200" s="174" t="n">
        <v>0</v>
      </c>
      <c r="AX200" s="174" t="n">
        <v>0</v>
      </c>
      <c r="AY200" s="175" t="n">
        <v>0</v>
      </c>
      <c r="AZ200" s="175" t="n">
        <v>0</v>
      </c>
      <c r="BA200" s="175" t="n">
        <v>-0.13</v>
      </c>
      <c r="BB200" s="174" t="n">
        <v>0</v>
      </c>
      <c r="BC200" s="174" t="n">
        <v>-0.07</v>
      </c>
      <c r="BD200" s="174" t="n">
        <v>0.005</v>
      </c>
      <c r="BE200" s="174" t="n">
        <v>0.35</v>
      </c>
      <c r="BF200" s="174" t="n">
        <v>0</v>
      </c>
      <c r="BG200" s="174" t="n">
        <v>-0.06</v>
      </c>
      <c r="BH200" s="174" t="n">
        <v>0</v>
      </c>
      <c r="BI200" s="174" t="n">
        <v>0</v>
      </c>
      <c r="BJ200" s="136" t="n">
        <v>0</v>
      </c>
      <c r="BK200" s="136" t="n">
        <v>0.35</v>
      </c>
      <c r="BL200" s="136" t="n">
        <v>0</v>
      </c>
      <c r="BM200" s="136" t="n">
        <v>0.05</v>
      </c>
      <c r="BN200" s="136" t="n">
        <v>0</v>
      </c>
      <c r="BO200" s="136" t="n">
        <v>-0.26</v>
      </c>
      <c r="BP200" s="136" t="n">
        <v>0</v>
      </c>
      <c r="BQ200" s="136" t="n">
        <v>0.5</v>
      </c>
      <c r="BR200" s="136" t="n">
        <v>0</v>
      </c>
      <c r="BS200" s="136" t="n">
        <v>-0.07</v>
      </c>
      <c r="BT200" s="136" t="n">
        <v>0.005</v>
      </c>
      <c r="BU200" s="136" t="n">
        <v>0.3</v>
      </c>
      <c r="BV200" s="136" t="n">
        <v>0</v>
      </c>
      <c r="BW200" s="136" t="n">
        <v>0</v>
      </c>
      <c r="BX200" s="136" t="n">
        <v>0</v>
      </c>
      <c r="BY200" s="136" t="n">
        <v>0.000999999999999994</v>
      </c>
      <c r="BZ200" s="136" t="n">
        <v>0.0575</v>
      </c>
      <c r="CA200" s="136" t="n">
        <v>0.235</v>
      </c>
      <c r="CB200" s="136" t="n">
        <v>0.005</v>
      </c>
      <c r="CC200" s="136" t="n">
        <v>0.000999999999999994</v>
      </c>
      <c r="CD200" s="136" t="n">
        <v>0.0037</v>
      </c>
      <c r="CE200" s="136" t="n">
        <v>0.0025</v>
      </c>
      <c r="CF200" s="136" t="n">
        <v>0</v>
      </c>
      <c r="CG200" s="136" t="n">
        <v>0.000999999999999994</v>
      </c>
      <c r="CH200" s="136" t="n">
        <v>0.0037</v>
      </c>
      <c r="CI200" s="136" t="n">
        <v>-0.0965</v>
      </c>
      <c r="CJ200" s="136" t="n">
        <v>0.0025</v>
      </c>
      <c r="CK200" s="136" t="n">
        <v>0.075</v>
      </c>
      <c r="CL200" s="136" t="n">
        <v>0.0025</v>
      </c>
      <c r="CM200" s="136" t="n">
        <v>-0.064</v>
      </c>
      <c r="CN200" s="136" t="n">
        <v>0.01</v>
      </c>
      <c r="CO200" s="136" t="n">
        <v>-0.008999999</v>
      </c>
      <c r="CP200" s="136" t="n">
        <v>0.0075</v>
      </c>
      <c r="CQ200" s="136" t="n">
        <v>0.031</v>
      </c>
      <c r="CR200" s="136" t="n">
        <v>0.0125</v>
      </c>
      <c r="CS200" s="136" t="n">
        <v>1.6</v>
      </c>
      <c r="CT200" s="136" t="n">
        <v>0.45</v>
      </c>
      <c r="CU200" s="136" t="n">
        <v>0.05</v>
      </c>
      <c r="CV200" s="136" t="n">
        <v>0</v>
      </c>
      <c r="CW200" s="136" t="n">
        <v>0.34</v>
      </c>
      <c r="CX200" s="136" t="n">
        <v>0.02</v>
      </c>
      <c r="CY200" s="136" t="n">
        <v>-0.18</v>
      </c>
      <c r="CZ200" s="136" t="n">
        <v>0</v>
      </c>
      <c r="DA200" s="136" t="n">
        <v>0</v>
      </c>
      <c r="DB200" s="136" t="n">
        <v>0</v>
      </c>
      <c r="DC200" s="136" t="n">
        <v>0.35</v>
      </c>
      <c r="DE200" s="136" t="n">
        <v>-0.033</v>
      </c>
      <c r="DF200" s="136" t="n">
        <v>0.0125</v>
      </c>
      <c r="DG200" s="136" t="n">
        <v>0.016</v>
      </c>
      <c r="DH200" s="136" t="n">
        <v>0.0075</v>
      </c>
      <c r="DI200" s="136" t="n">
        <v>0.001</v>
      </c>
      <c r="DJ200" s="136" t="n">
        <v>0.0025</v>
      </c>
      <c r="DK200" s="136" t="n">
        <v>-0.0785</v>
      </c>
      <c r="DL200" s="136" t="n">
        <v>0.0025</v>
      </c>
      <c r="DM200" s="136" t="n">
        <v>-0.0455</v>
      </c>
      <c r="DN200" s="136" t="n">
        <v>0.0025</v>
      </c>
      <c r="DO200" s="136" t="n">
        <v>-0.068</v>
      </c>
      <c r="DP200" s="136" t="n">
        <v>0.0025</v>
      </c>
      <c r="DQ200" s="136" t="n">
        <v>-0.1085</v>
      </c>
      <c r="DR200" s="136" t="n">
        <v>-0.005</v>
      </c>
      <c r="DS200" s="136" t="n">
        <v>1.04</v>
      </c>
      <c r="DT200" s="136" t="n">
        <v>0.05</v>
      </c>
      <c r="DU200" s="136" t="n">
        <v>0</v>
      </c>
      <c r="DV200" s="136" t="n">
        <v>0</v>
      </c>
    </row>
    <row r="201" customFormat="false" ht="12.75" hidden="false" customHeight="false" outlineLevel="0" collapsed="false">
      <c r="D201" s="135" t="n">
        <v>42767</v>
      </c>
      <c r="F201" s="174" t="n">
        <v>4.5795</v>
      </c>
      <c r="G201" s="175" t="n">
        <v>0.0644157081555039</v>
      </c>
      <c r="H201" s="174" t="n">
        <v>0.17</v>
      </c>
      <c r="I201" s="174" t="n">
        <v>1</v>
      </c>
      <c r="J201" s="174" t="n">
        <v>1.05</v>
      </c>
      <c r="K201" s="174" t="n">
        <v>1</v>
      </c>
      <c r="L201" s="172" t="n">
        <v>1</v>
      </c>
      <c r="M201" s="172" t="n">
        <v>1.15</v>
      </c>
      <c r="N201" s="174" t="n">
        <v>1.45</v>
      </c>
      <c r="O201" s="174" t="n">
        <v>1.05</v>
      </c>
      <c r="P201" s="174" t="n">
        <v>1</v>
      </c>
      <c r="Q201" s="174" t="n">
        <v>1.35</v>
      </c>
      <c r="R201" s="175" t="n">
        <v>1</v>
      </c>
      <c r="S201" s="175" t="n">
        <v>1.1</v>
      </c>
      <c r="T201" s="174" t="n">
        <v>1</v>
      </c>
      <c r="U201" s="174" t="n">
        <v>1.45</v>
      </c>
      <c r="V201" s="174" t="n">
        <v>1.1</v>
      </c>
      <c r="W201" s="174" t="n">
        <v>0</v>
      </c>
      <c r="X201" s="174" t="n">
        <v>0</v>
      </c>
      <c r="Y201" s="174" t="n">
        <v>0</v>
      </c>
      <c r="Z201" s="174" t="n">
        <v>0</v>
      </c>
      <c r="AA201" s="174" t="n">
        <v>0</v>
      </c>
      <c r="AB201" s="174" t="n">
        <v>0</v>
      </c>
      <c r="AC201" s="174" t="n">
        <v>0</v>
      </c>
      <c r="AD201" s="174" t="n">
        <v>0</v>
      </c>
      <c r="AE201" s="174" t="n">
        <v>0</v>
      </c>
      <c r="AF201" s="174" t="n">
        <v>0</v>
      </c>
      <c r="AG201" s="174" t="n">
        <v>0</v>
      </c>
      <c r="AH201" s="174" t="n">
        <v>0</v>
      </c>
      <c r="AI201" s="174" t="n">
        <v>0</v>
      </c>
      <c r="AJ201" s="174" t="n">
        <v>0</v>
      </c>
      <c r="AK201" s="174" t="n">
        <v>0</v>
      </c>
      <c r="AL201" s="174" t="n">
        <v>0</v>
      </c>
      <c r="AM201" s="174" t="n">
        <v>0</v>
      </c>
      <c r="AN201" s="174" t="n">
        <v>0</v>
      </c>
      <c r="AO201" s="174" t="n">
        <v>0</v>
      </c>
      <c r="AP201" s="174" t="n">
        <v>0</v>
      </c>
      <c r="AQ201" s="174" t="n">
        <v>0</v>
      </c>
      <c r="AR201" s="174" t="n">
        <v>0</v>
      </c>
      <c r="AS201" s="174" t="n">
        <v>0</v>
      </c>
      <c r="AT201" s="174" t="n">
        <v>0</v>
      </c>
      <c r="AU201" s="174" t="n">
        <v>0</v>
      </c>
      <c r="AV201" s="174" t="n">
        <v>0</v>
      </c>
      <c r="AW201" s="174" t="n">
        <v>0</v>
      </c>
      <c r="AX201" s="174" t="n">
        <v>0</v>
      </c>
      <c r="AY201" s="175" t="n">
        <v>0</v>
      </c>
      <c r="AZ201" s="175" t="n">
        <v>0</v>
      </c>
      <c r="BA201" s="175" t="n">
        <v>-0.13</v>
      </c>
      <c r="BB201" s="174" t="n">
        <v>0</v>
      </c>
      <c r="BC201" s="174" t="n">
        <v>-0.07</v>
      </c>
      <c r="BD201" s="174" t="n">
        <v>0.005</v>
      </c>
      <c r="BE201" s="174" t="n">
        <v>0.35</v>
      </c>
      <c r="BF201" s="174" t="n">
        <v>0</v>
      </c>
      <c r="BG201" s="174" t="n">
        <v>-0.06</v>
      </c>
      <c r="BH201" s="174" t="n">
        <v>0</v>
      </c>
      <c r="BI201" s="174" t="n">
        <v>0</v>
      </c>
      <c r="BJ201" s="136" t="n">
        <v>0</v>
      </c>
      <c r="BK201" s="136" t="n">
        <v>0.35</v>
      </c>
      <c r="BL201" s="136" t="n">
        <v>0</v>
      </c>
      <c r="BM201" s="136" t="n">
        <v>0.05</v>
      </c>
      <c r="BN201" s="136" t="n">
        <v>0</v>
      </c>
      <c r="BO201" s="136" t="n">
        <v>-0.26</v>
      </c>
      <c r="BP201" s="136" t="n">
        <v>0</v>
      </c>
      <c r="BQ201" s="136" t="n">
        <v>0.5</v>
      </c>
      <c r="BR201" s="136" t="n">
        <v>0</v>
      </c>
      <c r="BS201" s="136" t="n">
        <v>-0.07</v>
      </c>
      <c r="BT201" s="136" t="n">
        <v>0.005</v>
      </c>
      <c r="BU201" s="136" t="n">
        <v>0.3</v>
      </c>
      <c r="BV201" s="136" t="n">
        <v>0</v>
      </c>
      <c r="BW201" s="136" t="n">
        <v>0</v>
      </c>
      <c r="BX201" s="136" t="n">
        <v>0</v>
      </c>
      <c r="BY201" s="136" t="n">
        <v>0.000999999999999994</v>
      </c>
      <c r="BZ201" s="136" t="n">
        <v>0.0575</v>
      </c>
      <c r="CA201" s="136" t="n">
        <v>0.235</v>
      </c>
      <c r="CB201" s="136" t="n">
        <v>0.005</v>
      </c>
      <c r="CC201" s="136" t="n">
        <v>0.000999999999999994</v>
      </c>
      <c r="CD201" s="136" t="n">
        <v>0.0037</v>
      </c>
      <c r="CE201" s="136" t="n">
        <v>0.0025</v>
      </c>
      <c r="CF201" s="136" t="n">
        <v>0</v>
      </c>
      <c r="CG201" s="136" t="n">
        <v>0.000999999999999994</v>
      </c>
      <c r="CH201" s="136" t="n">
        <v>0.0037</v>
      </c>
      <c r="CI201" s="136" t="n">
        <v>-0.0965</v>
      </c>
      <c r="CJ201" s="136" t="n">
        <v>0.0025</v>
      </c>
      <c r="CK201" s="136" t="n">
        <v>0.075</v>
      </c>
      <c r="CL201" s="136" t="n">
        <v>0.0025</v>
      </c>
      <c r="CM201" s="136" t="n">
        <v>-0.064</v>
      </c>
      <c r="CN201" s="136" t="n">
        <v>0.01</v>
      </c>
      <c r="CO201" s="136" t="n">
        <v>-0.008999999</v>
      </c>
      <c r="CP201" s="136" t="n">
        <v>0.0075</v>
      </c>
      <c r="CQ201" s="136" t="n">
        <v>0.031</v>
      </c>
      <c r="CR201" s="136" t="n">
        <v>0.0125</v>
      </c>
      <c r="CS201" s="136" t="n">
        <v>1.6</v>
      </c>
      <c r="CT201" s="136" t="n">
        <v>0.45</v>
      </c>
      <c r="CU201" s="136" t="n">
        <v>0.05</v>
      </c>
      <c r="CV201" s="136" t="n">
        <v>0</v>
      </c>
      <c r="CW201" s="136" t="n">
        <v>0.34</v>
      </c>
      <c r="CX201" s="136" t="n">
        <v>0.02</v>
      </c>
      <c r="CY201" s="136" t="n">
        <v>-0.18</v>
      </c>
      <c r="CZ201" s="136" t="n">
        <v>0</v>
      </c>
      <c r="DA201" s="136" t="n">
        <v>0</v>
      </c>
      <c r="DB201" s="136" t="n">
        <v>0</v>
      </c>
      <c r="DC201" s="136" t="n">
        <v>0.35</v>
      </c>
      <c r="DE201" s="136" t="n">
        <v>-0.033</v>
      </c>
      <c r="DF201" s="136" t="n">
        <v>0.0125</v>
      </c>
      <c r="DG201" s="136" t="n">
        <v>0.016</v>
      </c>
      <c r="DH201" s="136" t="n">
        <v>0.0075</v>
      </c>
      <c r="DI201" s="136" t="n">
        <v>0.001</v>
      </c>
      <c r="DJ201" s="136" t="n">
        <v>0.0025</v>
      </c>
      <c r="DK201" s="136" t="n">
        <v>-0.0685</v>
      </c>
      <c r="DL201" s="136" t="n">
        <v>0.0025</v>
      </c>
      <c r="DM201" s="136" t="n">
        <v>-0.0455</v>
      </c>
      <c r="DN201" s="136" t="n">
        <v>0.0025</v>
      </c>
      <c r="DO201" s="136" t="n">
        <v>-0.068</v>
      </c>
      <c r="DP201" s="136" t="n">
        <v>0.0025</v>
      </c>
      <c r="DQ201" s="136" t="n">
        <v>-0.0985</v>
      </c>
      <c r="DR201" s="136" t="n">
        <v>-0.005</v>
      </c>
      <c r="DS201" s="136" t="n">
        <v>1.04</v>
      </c>
      <c r="DT201" s="136" t="n">
        <v>0.05</v>
      </c>
      <c r="DU201" s="136" t="n">
        <v>0</v>
      </c>
      <c r="DV201" s="136" t="n">
        <v>0</v>
      </c>
    </row>
    <row r="202" customFormat="false" ht="12.75" hidden="false" customHeight="false" outlineLevel="0" collapsed="false">
      <c r="D202" s="135" t="n">
        <v>42795</v>
      </c>
      <c r="F202" s="174" t="n">
        <v>4.4495</v>
      </c>
      <c r="G202" s="175" t="n">
        <v>0.0644523286481569</v>
      </c>
      <c r="H202" s="174" t="n">
        <v>0.17</v>
      </c>
      <c r="I202" s="174" t="n">
        <v>0.75</v>
      </c>
      <c r="J202" s="174" t="n">
        <v>0.8</v>
      </c>
      <c r="K202" s="174" t="n">
        <v>0.75</v>
      </c>
      <c r="L202" s="172" t="n">
        <v>0.75</v>
      </c>
      <c r="M202" s="172" t="n">
        <v>0.85</v>
      </c>
      <c r="N202" s="174" t="n">
        <v>1</v>
      </c>
      <c r="O202" s="174" t="n">
        <v>0.75</v>
      </c>
      <c r="P202" s="174" t="n">
        <v>0.75</v>
      </c>
      <c r="Q202" s="174" t="n">
        <v>0.95</v>
      </c>
      <c r="R202" s="175" t="n">
        <v>0.75</v>
      </c>
      <c r="S202" s="175" t="n">
        <v>0.75</v>
      </c>
      <c r="T202" s="174" t="n">
        <v>0.75</v>
      </c>
      <c r="U202" s="174" t="n">
        <v>1</v>
      </c>
      <c r="V202" s="174" t="n">
        <v>0.85</v>
      </c>
      <c r="W202" s="174" t="n">
        <v>0</v>
      </c>
      <c r="X202" s="174" t="n">
        <v>0</v>
      </c>
      <c r="Y202" s="174" t="n">
        <v>0</v>
      </c>
      <c r="Z202" s="174" t="n">
        <v>0</v>
      </c>
      <c r="AA202" s="174" t="n">
        <v>0</v>
      </c>
      <c r="AB202" s="174" t="n">
        <v>0</v>
      </c>
      <c r="AC202" s="174" t="n">
        <v>0</v>
      </c>
      <c r="AD202" s="174" t="n">
        <v>0</v>
      </c>
      <c r="AE202" s="174" t="n">
        <v>0</v>
      </c>
      <c r="AF202" s="174" t="n">
        <v>0</v>
      </c>
      <c r="AG202" s="174" t="n">
        <v>0</v>
      </c>
      <c r="AH202" s="174" t="n">
        <v>0</v>
      </c>
      <c r="AI202" s="174" t="n">
        <v>0</v>
      </c>
      <c r="AJ202" s="174" t="n">
        <v>0</v>
      </c>
      <c r="AK202" s="174" t="n">
        <v>0</v>
      </c>
      <c r="AL202" s="174" t="n">
        <v>0</v>
      </c>
      <c r="AM202" s="174" t="n">
        <v>0</v>
      </c>
      <c r="AN202" s="174" t="n">
        <v>0</v>
      </c>
      <c r="AO202" s="174" t="n">
        <v>0</v>
      </c>
      <c r="AP202" s="174" t="n">
        <v>0</v>
      </c>
      <c r="AQ202" s="174" t="n">
        <v>0</v>
      </c>
      <c r="AR202" s="174" t="n">
        <v>0</v>
      </c>
      <c r="AS202" s="174" t="n">
        <v>0</v>
      </c>
      <c r="AT202" s="174" t="n">
        <v>0</v>
      </c>
      <c r="AU202" s="174" t="n">
        <v>0</v>
      </c>
      <c r="AV202" s="174" t="n">
        <v>0</v>
      </c>
      <c r="AW202" s="174" t="n">
        <v>0</v>
      </c>
      <c r="AX202" s="174" t="n">
        <v>0</v>
      </c>
      <c r="AY202" s="175" t="n">
        <v>0</v>
      </c>
      <c r="AZ202" s="175" t="n">
        <v>0</v>
      </c>
      <c r="BA202" s="175" t="n">
        <v>-0.13</v>
      </c>
      <c r="BB202" s="174" t="n">
        <v>0</v>
      </c>
      <c r="BC202" s="174" t="n">
        <v>-0.07</v>
      </c>
      <c r="BD202" s="174" t="n">
        <v>0.005</v>
      </c>
      <c r="BE202" s="174" t="n">
        <v>0.35</v>
      </c>
      <c r="BF202" s="174" t="n">
        <v>0</v>
      </c>
      <c r="BG202" s="174" t="n">
        <v>-0.06</v>
      </c>
      <c r="BH202" s="174" t="n">
        <v>0</v>
      </c>
      <c r="BI202" s="174" t="n">
        <v>0</v>
      </c>
      <c r="BJ202" s="136" t="n">
        <v>0</v>
      </c>
      <c r="BK202" s="136" t="n">
        <v>0.35</v>
      </c>
      <c r="BL202" s="136" t="n">
        <v>0</v>
      </c>
      <c r="BM202" s="136" t="n">
        <v>0.05</v>
      </c>
      <c r="BN202" s="136" t="n">
        <v>0</v>
      </c>
      <c r="BO202" s="136" t="n">
        <v>-0.26</v>
      </c>
      <c r="BP202" s="136" t="n">
        <v>0</v>
      </c>
      <c r="BQ202" s="136" t="n">
        <v>0.5</v>
      </c>
      <c r="BR202" s="136" t="n">
        <v>0</v>
      </c>
      <c r="BS202" s="136" t="n">
        <v>-0.07</v>
      </c>
      <c r="BT202" s="136" t="n">
        <v>0.005</v>
      </c>
      <c r="BU202" s="136" t="n">
        <v>0.3</v>
      </c>
      <c r="BV202" s="136" t="n">
        <v>0</v>
      </c>
      <c r="BW202" s="136" t="n">
        <v>0</v>
      </c>
      <c r="BX202" s="136" t="n">
        <v>0</v>
      </c>
      <c r="BY202" s="136" t="n">
        <v>0</v>
      </c>
      <c r="BZ202" s="136" t="n">
        <v>0</v>
      </c>
      <c r="CA202" s="136" t="n">
        <v>0.195</v>
      </c>
      <c r="CB202" s="136" t="n">
        <v>0.005</v>
      </c>
      <c r="CC202" s="136" t="n">
        <v>0</v>
      </c>
      <c r="CD202" s="136" t="n">
        <v>0</v>
      </c>
      <c r="CE202" s="136" t="n">
        <v>0</v>
      </c>
      <c r="CF202" s="136" t="n">
        <v>0</v>
      </c>
      <c r="CG202" s="136" t="n">
        <v>0</v>
      </c>
      <c r="CH202" s="136" t="n">
        <v>0</v>
      </c>
      <c r="CI202" s="136" t="n">
        <v>0</v>
      </c>
      <c r="CJ202" s="136" t="n">
        <v>0</v>
      </c>
      <c r="CK202" s="136" t="n">
        <v>0</v>
      </c>
      <c r="CL202" s="136" t="n">
        <v>0</v>
      </c>
      <c r="CM202" s="136" t="n">
        <v>-0.064</v>
      </c>
      <c r="CN202" s="136" t="n">
        <v>0</v>
      </c>
      <c r="CO202" s="136" t="n">
        <v>-0.008999999</v>
      </c>
      <c r="CP202" s="136" t="n">
        <v>0</v>
      </c>
      <c r="CQ202" s="136" t="n">
        <v>0.031</v>
      </c>
      <c r="CR202" s="136" t="n">
        <v>0</v>
      </c>
      <c r="CS202" s="136" t="n">
        <v>0.64</v>
      </c>
      <c r="CT202" s="136" t="n">
        <v>0.1</v>
      </c>
      <c r="CU202" s="136" t="n">
        <v>0.05</v>
      </c>
      <c r="CV202" s="136" t="n">
        <v>0</v>
      </c>
      <c r="CW202" s="136" t="n">
        <v>0.29</v>
      </c>
      <c r="CX202" s="136" t="n">
        <v>0.02</v>
      </c>
      <c r="CY202" s="136" t="n">
        <v>-0.18</v>
      </c>
      <c r="CZ202" s="136" t="n">
        <v>0</v>
      </c>
      <c r="DA202" s="136" t="n">
        <v>0</v>
      </c>
      <c r="DB202" s="136" t="n">
        <v>0</v>
      </c>
      <c r="DC202" s="136" t="n">
        <v>0.4</v>
      </c>
      <c r="DE202" s="136" t="n">
        <v>-0.033</v>
      </c>
      <c r="DF202" s="136" t="n">
        <v>0.0125</v>
      </c>
      <c r="DG202" s="136" t="n">
        <v>0.021</v>
      </c>
      <c r="DH202" s="136" t="n">
        <v>0.0075</v>
      </c>
      <c r="DI202" s="136" t="n">
        <v>0.006</v>
      </c>
      <c r="DJ202" s="136" t="n">
        <v>0.0025</v>
      </c>
      <c r="DK202" s="136" t="n">
        <v>-0.0585</v>
      </c>
      <c r="DL202" s="136" t="n">
        <v>0</v>
      </c>
      <c r="DM202" s="136" t="n">
        <v>-0.0455</v>
      </c>
      <c r="DN202" s="136" t="n">
        <v>0</v>
      </c>
      <c r="DO202" s="136" t="n">
        <v>-0.068</v>
      </c>
      <c r="DP202" s="136" t="n">
        <v>0</v>
      </c>
      <c r="DQ202" s="136" t="n">
        <v>-0.0885</v>
      </c>
      <c r="DR202" s="136" t="n">
        <v>0</v>
      </c>
      <c r="DS202" s="136" t="n">
        <v>0.54</v>
      </c>
      <c r="DT202" s="136" t="n">
        <v>0.05</v>
      </c>
      <c r="DU202" s="136" t="n">
        <v>0</v>
      </c>
      <c r="DV202" s="136" t="n">
        <v>0</v>
      </c>
    </row>
    <row r="203" customFormat="false" ht="12.75" hidden="false" customHeight="false" outlineLevel="0" collapsed="false">
      <c r="D203" s="135" t="n">
        <v>42826</v>
      </c>
      <c r="F203" s="174" t="n">
        <v>4.2645</v>
      </c>
      <c r="G203" s="175" t="n">
        <v>0.0644928727655412</v>
      </c>
      <c r="H203" s="174" t="n">
        <v>0.17</v>
      </c>
      <c r="I203" s="174" t="n">
        <v>0.4</v>
      </c>
      <c r="J203" s="174" t="n">
        <v>0.45</v>
      </c>
      <c r="K203" s="174" t="n">
        <v>0.4</v>
      </c>
      <c r="L203" s="172" t="n">
        <v>0.45</v>
      </c>
      <c r="M203" s="172" t="n">
        <v>0.45</v>
      </c>
      <c r="N203" s="174" t="n">
        <v>0.45</v>
      </c>
      <c r="O203" s="174" t="n">
        <v>0.45</v>
      </c>
      <c r="P203" s="174" t="n">
        <v>0.45</v>
      </c>
      <c r="Q203" s="174" t="n">
        <v>0.5</v>
      </c>
      <c r="R203" s="175" t="n">
        <v>0.4</v>
      </c>
      <c r="S203" s="175" t="n">
        <v>0.45</v>
      </c>
      <c r="T203" s="174" t="n">
        <v>0.4</v>
      </c>
      <c r="U203" s="174" t="n">
        <v>0.45</v>
      </c>
      <c r="V203" s="174" t="n">
        <v>0.55</v>
      </c>
      <c r="W203" s="174" t="n">
        <v>0</v>
      </c>
      <c r="X203" s="174" t="n">
        <v>0</v>
      </c>
      <c r="Y203" s="174" t="n">
        <v>0</v>
      </c>
      <c r="Z203" s="174" t="n">
        <v>0</v>
      </c>
      <c r="AA203" s="174" t="n">
        <v>0</v>
      </c>
      <c r="AB203" s="174" t="n">
        <v>0</v>
      </c>
      <c r="AC203" s="174" t="n">
        <v>0</v>
      </c>
      <c r="AD203" s="174" t="n">
        <v>0</v>
      </c>
      <c r="AE203" s="174" t="n">
        <v>0</v>
      </c>
      <c r="AF203" s="174" t="n">
        <v>0</v>
      </c>
      <c r="AG203" s="174" t="n">
        <v>0</v>
      </c>
      <c r="AH203" s="174" t="n">
        <v>0</v>
      </c>
      <c r="AI203" s="174" t="n">
        <v>0</v>
      </c>
      <c r="AJ203" s="174" t="n">
        <v>0</v>
      </c>
      <c r="AK203" s="174" t="n">
        <v>0</v>
      </c>
      <c r="AL203" s="174" t="n">
        <v>0</v>
      </c>
      <c r="AM203" s="174" t="n">
        <v>0</v>
      </c>
      <c r="AN203" s="174" t="n">
        <v>0</v>
      </c>
      <c r="AO203" s="174" t="n">
        <v>0</v>
      </c>
      <c r="AP203" s="174" t="n">
        <v>0</v>
      </c>
      <c r="AQ203" s="174" t="n">
        <v>0</v>
      </c>
      <c r="AR203" s="174" t="n">
        <v>0</v>
      </c>
      <c r="AS203" s="174" t="n">
        <v>0</v>
      </c>
      <c r="AT203" s="174" t="n">
        <v>0</v>
      </c>
      <c r="AU203" s="174" t="n">
        <v>0</v>
      </c>
      <c r="AV203" s="174" t="n">
        <v>0</v>
      </c>
      <c r="AW203" s="174" t="n">
        <v>0</v>
      </c>
      <c r="AX203" s="174" t="n">
        <v>0</v>
      </c>
      <c r="AY203" s="175" t="n">
        <v>0</v>
      </c>
      <c r="AZ203" s="175" t="n">
        <v>0</v>
      </c>
      <c r="BA203" s="175" t="n">
        <v>-0.195</v>
      </c>
      <c r="BB203" s="174" t="n">
        <v>0</v>
      </c>
      <c r="BC203" s="174" t="n">
        <v>-0.07</v>
      </c>
      <c r="BD203" s="174" t="n">
        <v>0.005</v>
      </c>
      <c r="BE203" s="174" t="n">
        <v>0.43</v>
      </c>
      <c r="BF203" s="174" t="n">
        <v>0</v>
      </c>
      <c r="BG203" s="174" t="n">
        <v>-0.06</v>
      </c>
      <c r="BH203" s="174" t="n">
        <v>0</v>
      </c>
      <c r="BI203" s="174" t="n">
        <v>0</v>
      </c>
      <c r="BJ203" s="136" t="n">
        <v>0</v>
      </c>
      <c r="BK203" s="136" t="n">
        <v>0.43</v>
      </c>
      <c r="BL203" s="136" t="n">
        <v>0</v>
      </c>
      <c r="BM203" s="136" t="n">
        <v>0.05</v>
      </c>
      <c r="BN203" s="136" t="n">
        <v>0</v>
      </c>
      <c r="BO203" s="136" t="n">
        <v>-0.37</v>
      </c>
      <c r="BP203" s="136" t="n">
        <v>0</v>
      </c>
      <c r="BQ203" s="136" t="n">
        <v>0.5</v>
      </c>
      <c r="BR203" s="136" t="n">
        <v>0</v>
      </c>
      <c r="BS203" s="136" t="n">
        <v>-0.07</v>
      </c>
      <c r="BT203" s="136" t="n">
        <v>0.005</v>
      </c>
      <c r="BU203" s="136" t="n">
        <v>0.3</v>
      </c>
      <c r="BV203" s="136" t="n">
        <v>0</v>
      </c>
      <c r="BW203" s="136" t="n">
        <v>0</v>
      </c>
      <c r="BX203" s="136" t="n">
        <v>0</v>
      </c>
      <c r="BY203" s="136" t="n">
        <v>0</v>
      </c>
      <c r="BZ203" s="136" t="n">
        <v>0</v>
      </c>
      <c r="CA203" s="136" t="n">
        <v>0.145</v>
      </c>
      <c r="CB203" s="136" t="n">
        <v>0.005</v>
      </c>
      <c r="CC203" s="136" t="n">
        <v>0</v>
      </c>
      <c r="CD203" s="136" t="n">
        <v>0</v>
      </c>
      <c r="CE203" s="136" t="n">
        <v>0</v>
      </c>
      <c r="CF203" s="136" t="n">
        <v>0</v>
      </c>
      <c r="CG203" s="136" t="n">
        <v>0</v>
      </c>
      <c r="CH203" s="136" t="n">
        <v>0</v>
      </c>
      <c r="CI203" s="136" t="n">
        <v>0</v>
      </c>
      <c r="CJ203" s="136" t="n">
        <v>0</v>
      </c>
      <c r="CK203" s="136" t="n">
        <v>0</v>
      </c>
      <c r="CL203" s="136" t="n">
        <v>0</v>
      </c>
      <c r="CM203" s="136" t="n">
        <v>-0.072</v>
      </c>
      <c r="CN203" s="136" t="n">
        <v>0</v>
      </c>
      <c r="CO203" s="136" t="n">
        <v>-0.017</v>
      </c>
      <c r="CP203" s="136" t="n">
        <v>0</v>
      </c>
      <c r="CQ203" s="136" t="n">
        <v>0.023</v>
      </c>
      <c r="CR203" s="136" t="n">
        <v>0</v>
      </c>
      <c r="CS203" s="136" t="n">
        <v>0.38</v>
      </c>
      <c r="CT203" s="136" t="n">
        <v>0.02</v>
      </c>
      <c r="CU203" s="136" t="n">
        <v>0.05</v>
      </c>
      <c r="CV203" s="136" t="n">
        <v>0</v>
      </c>
      <c r="CW203" s="136" t="n">
        <v>0.195</v>
      </c>
      <c r="CX203" s="136" t="n">
        <v>0.0075</v>
      </c>
      <c r="CY203" s="136" t="n">
        <v>-0.18</v>
      </c>
      <c r="CZ203" s="136" t="n">
        <v>0</v>
      </c>
      <c r="DA203" s="136" t="n">
        <v>0</v>
      </c>
      <c r="DB203" s="136" t="n">
        <v>0</v>
      </c>
      <c r="DC203" s="136" t="n">
        <v>0.6</v>
      </c>
      <c r="DE203" s="136" t="n">
        <v>-0.0405</v>
      </c>
      <c r="DF203" s="136" t="n">
        <v>0.01</v>
      </c>
      <c r="DG203" s="136" t="n">
        <v>0.021</v>
      </c>
      <c r="DH203" s="136" t="n">
        <v>0.01</v>
      </c>
      <c r="DI203" s="136" t="n">
        <v>0.006</v>
      </c>
      <c r="DJ203" s="136" t="n">
        <v>0.0075</v>
      </c>
      <c r="DK203" s="136" t="n">
        <v>-0.1015</v>
      </c>
      <c r="DL203" s="136" t="n">
        <v>0</v>
      </c>
      <c r="DM203" s="136" t="n">
        <v>-0.043</v>
      </c>
      <c r="DN203" s="136" t="n">
        <v>0</v>
      </c>
      <c r="DO203" s="136" t="n">
        <v>-0.0655</v>
      </c>
      <c r="DP203" s="136" t="n">
        <v>0</v>
      </c>
      <c r="DQ203" s="136" t="n">
        <v>-0.1315</v>
      </c>
      <c r="DR203" s="136" t="n">
        <v>0</v>
      </c>
      <c r="DS203" s="136" t="n">
        <v>0.36</v>
      </c>
      <c r="DT203" s="136" t="n">
        <v>0.005</v>
      </c>
      <c r="DU203" s="136" t="n">
        <v>0</v>
      </c>
      <c r="DV203" s="136" t="n">
        <v>0</v>
      </c>
    </row>
    <row r="204" customFormat="false" ht="12.75" hidden="false" customHeight="false" outlineLevel="0" collapsed="false">
      <c r="D204" s="135" t="n">
        <v>42856</v>
      </c>
      <c r="F204" s="174" t="n">
        <v>4.2595</v>
      </c>
      <c r="G204" s="175" t="n">
        <v>0.0645321090086899</v>
      </c>
      <c r="H204" s="174" t="n">
        <v>0.17</v>
      </c>
      <c r="I204" s="174" t="n">
        <v>0.45</v>
      </c>
      <c r="J204" s="174" t="n">
        <v>0.5</v>
      </c>
      <c r="K204" s="174" t="n">
        <v>0.4</v>
      </c>
      <c r="L204" s="172" t="n">
        <v>0.4</v>
      </c>
      <c r="M204" s="172" t="n">
        <v>0.45</v>
      </c>
      <c r="N204" s="174" t="n">
        <v>0.5</v>
      </c>
      <c r="O204" s="174" t="n">
        <v>0.45</v>
      </c>
      <c r="P204" s="174" t="n">
        <v>0.4</v>
      </c>
      <c r="Q204" s="174" t="n">
        <v>0.45</v>
      </c>
      <c r="R204" s="175" t="n">
        <v>0.45</v>
      </c>
      <c r="S204" s="175" t="n">
        <v>0.5</v>
      </c>
      <c r="T204" s="174" t="n">
        <v>0.45</v>
      </c>
      <c r="U204" s="174" t="n">
        <v>0.5</v>
      </c>
      <c r="V204" s="174" t="n">
        <v>0.5</v>
      </c>
      <c r="W204" s="174" t="n">
        <v>0</v>
      </c>
      <c r="X204" s="174" t="n">
        <v>0</v>
      </c>
      <c r="Y204" s="174" t="n">
        <v>0</v>
      </c>
      <c r="Z204" s="174" t="n">
        <v>0</v>
      </c>
      <c r="AA204" s="174" t="n">
        <v>0</v>
      </c>
      <c r="AB204" s="174" t="n">
        <v>0</v>
      </c>
      <c r="AC204" s="174" t="n">
        <v>0</v>
      </c>
      <c r="AD204" s="174" t="n">
        <v>0</v>
      </c>
      <c r="AE204" s="174" t="n">
        <v>0</v>
      </c>
      <c r="AF204" s="174" t="n">
        <v>0</v>
      </c>
      <c r="AG204" s="174" t="n">
        <v>0</v>
      </c>
      <c r="AH204" s="174" t="n">
        <v>0</v>
      </c>
      <c r="AI204" s="174" t="n">
        <v>0</v>
      </c>
      <c r="AJ204" s="174" t="n">
        <v>0</v>
      </c>
      <c r="AK204" s="174" t="n">
        <v>0</v>
      </c>
      <c r="AL204" s="174" t="n">
        <v>0</v>
      </c>
      <c r="AM204" s="174" t="n">
        <v>0</v>
      </c>
      <c r="AN204" s="174" t="n">
        <v>0</v>
      </c>
      <c r="AO204" s="174" t="n">
        <v>0</v>
      </c>
      <c r="AP204" s="174" t="n">
        <v>0</v>
      </c>
      <c r="AQ204" s="174" t="n">
        <v>0</v>
      </c>
      <c r="AR204" s="174" t="n">
        <v>0</v>
      </c>
      <c r="AS204" s="174" t="n">
        <v>0</v>
      </c>
      <c r="AT204" s="174" t="n">
        <v>0</v>
      </c>
      <c r="AU204" s="174" t="n">
        <v>0</v>
      </c>
      <c r="AV204" s="174" t="n">
        <v>0</v>
      </c>
      <c r="AW204" s="174" t="n">
        <v>0</v>
      </c>
      <c r="AX204" s="174" t="n">
        <v>0</v>
      </c>
      <c r="AY204" s="175" t="n">
        <v>0</v>
      </c>
      <c r="AZ204" s="175" t="n">
        <v>0</v>
      </c>
      <c r="BA204" s="175" t="n">
        <v>-0.195</v>
      </c>
      <c r="BB204" s="174" t="n">
        <v>0</v>
      </c>
      <c r="BC204" s="174" t="n">
        <v>-0.07</v>
      </c>
      <c r="BD204" s="174" t="n">
        <v>0.005</v>
      </c>
      <c r="BE204" s="174" t="n">
        <v>0.43</v>
      </c>
      <c r="BF204" s="174" t="n">
        <v>0</v>
      </c>
      <c r="BG204" s="174" t="n">
        <v>-0.06</v>
      </c>
      <c r="BH204" s="174" t="n">
        <v>0</v>
      </c>
      <c r="BI204" s="174" t="n">
        <v>0</v>
      </c>
      <c r="BJ204" s="136" t="n">
        <v>0</v>
      </c>
      <c r="BK204" s="136" t="n">
        <v>0.43</v>
      </c>
      <c r="BL204" s="136" t="n">
        <v>0</v>
      </c>
      <c r="BM204" s="136" t="n">
        <v>0.05</v>
      </c>
      <c r="BN204" s="136" t="n">
        <v>0</v>
      </c>
      <c r="BO204" s="136" t="n">
        <v>-0.37</v>
      </c>
      <c r="BP204" s="136" t="n">
        <v>0</v>
      </c>
      <c r="BQ204" s="136" t="n">
        <v>0.5</v>
      </c>
      <c r="BR204" s="136" t="n">
        <v>0</v>
      </c>
      <c r="BS204" s="136" t="n">
        <v>-0.07</v>
      </c>
      <c r="BT204" s="136" t="n">
        <v>0.005</v>
      </c>
      <c r="BU204" s="136" t="n">
        <v>0.3</v>
      </c>
      <c r="BV204" s="136" t="n">
        <v>0</v>
      </c>
      <c r="BW204" s="136" t="n">
        <v>0</v>
      </c>
      <c r="BX204" s="136" t="n">
        <v>0</v>
      </c>
      <c r="BY204" s="136" t="n">
        <v>0</v>
      </c>
      <c r="BZ204" s="136" t="n">
        <v>0</v>
      </c>
      <c r="CA204" s="136" t="n">
        <v>0.125</v>
      </c>
      <c r="CB204" s="136" t="n">
        <v>0.005</v>
      </c>
      <c r="CC204" s="136" t="n">
        <v>0</v>
      </c>
      <c r="CD204" s="136" t="n">
        <v>0</v>
      </c>
      <c r="CE204" s="136" t="n">
        <v>0</v>
      </c>
      <c r="CF204" s="136" t="n">
        <v>0</v>
      </c>
      <c r="CG204" s="136" t="n">
        <v>0</v>
      </c>
      <c r="CH204" s="136" t="n">
        <v>0</v>
      </c>
      <c r="CI204" s="136" t="n">
        <v>0</v>
      </c>
      <c r="CJ204" s="136" t="n">
        <v>0</v>
      </c>
      <c r="CK204" s="136" t="n">
        <v>0</v>
      </c>
      <c r="CL204" s="136" t="n">
        <v>0</v>
      </c>
      <c r="CM204" s="136" t="n">
        <v>-0.072</v>
      </c>
      <c r="CN204" s="136" t="n">
        <v>0</v>
      </c>
      <c r="CO204" s="136" t="n">
        <v>-0.017</v>
      </c>
      <c r="CP204" s="136" t="n">
        <v>0</v>
      </c>
      <c r="CQ204" s="136" t="n">
        <v>0.023</v>
      </c>
      <c r="CR204" s="136" t="n">
        <v>0</v>
      </c>
      <c r="CS204" s="136" t="n">
        <v>0.33</v>
      </c>
      <c r="CT204" s="136" t="n">
        <v>0.02</v>
      </c>
      <c r="CU204" s="136" t="n">
        <v>0.05</v>
      </c>
      <c r="CV204" s="136" t="n">
        <v>0</v>
      </c>
      <c r="CW204" s="136" t="n">
        <v>0.135</v>
      </c>
      <c r="CX204" s="136" t="n">
        <v>0.0075</v>
      </c>
      <c r="CY204" s="136" t="n">
        <v>-0.18</v>
      </c>
      <c r="CZ204" s="136" t="n">
        <v>0</v>
      </c>
      <c r="DA204" s="136" t="n">
        <v>0</v>
      </c>
      <c r="DB204" s="136" t="n">
        <v>0</v>
      </c>
      <c r="DC204" s="136" t="n">
        <v>0.75</v>
      </c>
      <c r="DE204" s="136" t="n">
        <v>-0.0405</v>
      </c>
      <c r="DF204" s="136" t="n">
        <v>0.01</v>
      </c>
      <c r="DG204" s="136" t="n">
        <v>0.0235</v>
      </c>
      <c r="DH204" s="136" t="n">
        <v>0.01</v>
      </c>
      <c r="DI204" s="136" t="n">
        <v>0.0085</v>
      </c>
      <c r="DJ204" s="136" t="n">
        <v>0.0075</v>
      </c>
      <c r="DK204" s="136" t="n">
        <v>-0.079</v>
      </c>
      <c r="DL204" s="136" t="n">
        <v>0</v>
      </c>
      <c r="DM204" s="136" t="n">
        <v>-0.043</v>
      </c>
      <c r="DN204" s="136" t="n">
        <v>0</v>
      </c>
      <c r="DO204" s="136" t="n">
        <v>-0.0655</v>
      </c>
      <c r="DP204" s="136" t="n">
        <v>0</v>
      </c>
      <c r="DQ204" s="136" t="n">
        <v>-0.109</v>
      </c>
      <c r="DR204" s="136" t="n">
        <v>0</v>
      </c>
      <c r="DS204" s="136" t="n">
        <v>0.325</v>
      </c>
      <c r="DT204" s="136" t="n">
        <v>0.005</v>
      </c>
      <c r="DU204" s="136" t="n">
        <v>0</v>
      </c>
      <c r="DV204" s="136" t="n">
        <v>0</v>
      </c>
    </row>
    <row r="205" customFormat="false" ht="12.75" hidden="false" customHeight="false" outlineLevel="0" collapsed="false">
      <c r="D205" s="135" t="n">
        <v>42887</v>
      </c>
      <c r="F205" s="174" t="n">
        <v>4.2945</v>
      </c>
      <c r="G205" s="175" t="n">
        <v>0.0645726531271467</v>
      </c>
      <c r="H205" s="174" t="n">
        <v>0.17</v>
      </c>
      <c r="I205" s="174" t="n">
        <v>0.45</v>
      </c>
      <c r="J205" s="174" t="n">
        <v>0.5</v>
      </c>
      <c r="K205" s="174" t="n">
        <v>0.4</v>
      </c>
      <c r="L205" s="172" t="n">
        <v>0.5</v>
      </c>
      <c r="M205" s="172" t="n">
        <v>0.45</v>
      </c>
      <c r="N205" s="174" t="n">
        <v>0.5</v>
      </c>
      <c r="O205" s="174" t="n">
        <v>0.5</v>
      </c>
      <c r="P205" s="174" t="n">
        <v>0.5</v>
      </c>
      <c r="Q205" s="174" t="n">
        <v>0.5</v>
      </c>
      <c r="R205" s="175" t="n">
        <v>0.45</v>
      </c>
      <c r="S205" s="175" t="n">
        <v>0.5</v>
      </c>
      <c r="T205" s="174" t="n">
        <v>0.45</v>
      </c>
      <c r="U205" s="174" t="n">
        <v>0.5</v>
      </c>
      <c r="V205" s="174" t="n">
        <v>0.6</v>
      </c>
      <c r="W205" s="174" t="n">
        <v>0</v>
      </c>
      <c r="X205" s="174" t="n">
        <v>0</v>
      </c>
      <c r="Y205" s="174" t="n">
        <v>0</v>
      </c>
      <c r="Z205" s="174" t="n">
        <v>0</v>
      </c>
      <c r="AA205" s="174" t="n">
        <v>0</v>
      </c>
      <c r="AB205" s="174" t="n">
        <v>0</v>
      </c>
      <c r="AC205" s="174" t="n">
        <v>0</v>
      </c>
      <c r="AD205" s="174" t="n">
        <v>0</v>
      </c>
      <c r="AE205" s="174" t="n">
        <v>0</v>
      </c>
      <c r="AF205" s="174" t="n">
        <v>0</v>
      </c>
      <c r="AG205" s="174" t="n">
        <v>0</v>
      </c>
      <c r="AH205" s="174" t="n">
        <v>0</v>
      </c>
      <c r="AI205" s="174" t="n">
        <v>0</v>
      </c>
      <c r="AJ205" s="174" t="n">
        <v>0</v>
      </c>
      <c r="AK205" s="174" t="n">
        <v>0</v>
      </c>
      <c r="AL205" s="174" t="n">
        <v>0</v>
      </c>
      <c r="AM205" s="174" t="n">
        <v>0</v>
      </c>
      <c r="AN205" s="174" t="n">
        <v>0</v>
      </c>
      <c r="AO205" s="174" t="n">
        <v>0</v>
      </c>
      <c r="AP205" s="174" t="n">
        <v>0</v>
      </c>
      <c r="AQ205" s="174" t="n">
        <v>0</v>
      </c>
      <c r="AR205" s="174" t="n">
        <v>0</v>
      </c>
      <c r="AS205" s="174" t="n">
        <v>0</v>
      </c>
      <c r="AT205" s="174" t="n">
        <v>0</v>
      </c>
      <c r="AU205" s="174" t="n">
        <v>0</v>
      </c>
      <c r="AV205" s="174" t="n">
        <v>0</v>
      </c>
      <c r="AW205" s="174" t="n">
        <v>0</v>
      </c>
      <c r="AX205" s="174" t="n">
        <v>0</v>
      </c>
      <c r="AY205" s="175" t="n">
        <v>0</v>
      </c>
      <c r="AZ205" s="175" t="n">
        <v>0</v>
      </c>
      <c r="BA205" s="175" t="n">
        <v>-0.195</v>
      </c>
      <c r="BB205" s="174" t="n">
        <v>0</v>
      </c>
      <c r="BC205" s="174" t="n">
        <v>-0.07</v>
      </c>
      <c r="BD205" s="174" t="n">
        <v>0.005</v>
      </c>
      <c r="BE205" s="174" t="n">
        <v>0.43</v>
      </c>
      <c r="BF205" s="174" t="n">
        <v>0</v>
      </c>
      <c r="BG205" s="174" t="n">
        <v>-0.06</v>
      </c>
      <c r="BH205" s="174" t="n">
        <v>0</v>
      </c>
      <c r="BI205" s="174" t="n">
        <v>0</v>
      </c>
      <c r="BJ205" s="136" t="n">
        <v>0</v>
      </c>
      <c r="BK205" s="136" t="n">
        <v>0.43</v>
      </c>
      <c r="BL205" s="136" t="n">
        <v>0</v>
      </c>
      <c r="BM205" s="136" t="n">
        <v>0.05</v>
      </c>
      <c r="BN205" s="136" t="n">
        <v>0</v>
      </c>
      <c r="BO205" s="136" t="n">
        <v>-0.37</v>
      </c>
      <c r="BP205" s="136" t="n">
        <v>0</v>
      </c>
      <c r="BQ205" s="136" t="n">
        <v>0.5</v>
      </c>
      <c r="BR205" s="136" t="n">
        <v>0</v>
      </c>
      <c r="BS205" s="136" t="n">
        <v>-0.07</v>
      </c>
      <c r="BT205" s="136" t="n">
        <v>0.005</v>
      </c>
      <c r="BU205" s="136" t="n">
        <v>0.3</v>
      </c>
      <c r="BV205" s="136" t="n">
        <v>0</v>
      </c>
      <c r="BW205" s="136" t="n">
        <v>0</v>
      </c>
      <c r="BX205" s="136" t="n">
        <v>0</v>
      </c>
      <c r="BY205" s="136" t="n">
        <v>0</v>
      </c>
      <c r="BZ205" s="136" t="n">
        <v>0</v>
      </c>
      <c r="CA205" s="136" t="n">
        <v>0.145</v>
      </c>
      <c r="CB205" s="136" t="n">
        <v>0.005</v>
      </c>
      <c r="CC205" s="136" t="n">
        <v>0</v>
      </c>
      <c r="CD205" s="136" t="n">
        <v>0</v>
      </c>
      <c r="CE205" s="136" t="n">
        <v>0</v>
      </c>
      <c r="CF205" s="136" t="n">
        <v>0</v>
      </c>
      <c r="CG205" s="136" t="n">
        <v>0</v>
      </c>
      <c r="CH205" s="136" t="n">
        <v>0</v>
      </c>
      <c r="CI205" s="136" t="n">
        <v>0</v>
      </c>
      <c r="CJ205" s="136" t="n">
        <v>0</v>
      </c>
      <c r="CK205" s="136" t="n">
        <v>0</v>
      </c>
      <c r="CL205" s="136" t="n">
        <v>0</v>
      </c>
      <c r="CM205" s="136" t="n">
        <v>0</v>
      </c>
      <c r="CN205" s="136" t="n">
        <v>0</v>
      </c>
      <c r="CO205" s="136" t="n">
        <v>0</v>
      </c>
      <c r="CP205" s="136" t="n">
        <v>0</v>
      </c>
      <c r="CQ205" s="136" t="n">
        <v>0</v>
      </c>
      <c r="CR205" s="136" t="n">
        <v>0</v>
      </c>
      <c r="CS205" s="136" t="n">
        <v>0.37</v>
      </c>
      <c r="CT205" s="136" t="n">
        <v>0.035</v>
      </c>
      <c r="CU205" s="136" t="n">
        <v>0.05</v>
      </c>
      <c r="CV205" s="136" t="n">
        <v>0</v>
      </c>
      <c r="CW205" s="136" t="n">
        <v>0.165</v>
      </c>
      <c r="CX205" s="136" t="n">
        <v>0.0075</v>
      </c>
      <c r="CY205" s="136" t="n">
        <v>-0.18</v>
      </c>
      <c r="CZ205" s="136" t="n">
        <v>0</v>
      </c>
      <c r="DA205" s="136" t="n">
        <v>0</v>
      </c>
      <c r="DB205" s="136" t="n">
        <v>0</v>
      </c>
      <c r="DC205" s="136" t="n">
        <v>0.85</v>
      </c>
      <c r="DE205" s="136" t="n">
        <v>-0.038</v>
      </c>
      <c r="DF205" s="136" t="n">
        <v>0.01</v>
      </c>
      <c r="DG205" s="136" t="n">
        <v>0.0235</v>
      </c>
      <c r="DH205" s="136" t="n">
        <v>0.01</v>
      </c>
      <c r="DI205" s="136" t="n">
        <v>0.0085</v>
      </c>
      <c r="DJ205" s="136" t="n">
        <v>0.0075</v>
      </c>
      <c r="DK205" s="136" t="n">
        <v>0</v>
      </c>
      <c r="DL205" s="136" t="n">
        <v>0</v>
      </c>
      <c r="DM205" s="136" t="n">
        <v>0</v>
      </c>
      <c r="DN205" s="136" t="n">
        <v>0</v>
      </c>
      <c r="DO205" s="136" t="n">
        <v>0</v>
      </c>
      <c r="DP205" s="136" t="n">
        <v>0</v>
      </c>
      <c r="DQ205" s="136" t="n">
        <v>0</v>
      </c>
      <c r="DR205" s="136" t="n">
        <v>0</v>
      </c>
      <c r="DS205" s="136" t="n">
        <v>0.335</v>
      </c>
      <c r="DT205" s="136" t="n">
        <v>0.005</v>
      </c>
      <c r="DU205" s="136" t="n">
        <v>0</v>
      </c>
      <c r="DV205" s="136" t="n">
        <v>0</v>
      </c>
    </row>
    <row r="206" customFormat="false" ht="12.75" hidden="false" customHeight="false" outlineLevel="0" collapsed="false">
      <c r="D206" s="135" t="n">
        <v>42917</v>
      </c>
      <c r="F206" s="174" t="n">
        <v>4.3345</v>
      </c>
      <c r="G206" s="175" t="n">
        <v>0.0646118893713337</v>
      </c>
      <c r="H206" s="174" t="n">
        <v>0.17</v>
      </c>
      <c r="I206" s="174" t="n">
        <v>0.5</v>
      </c>
      <c r="J206" s="174" t="n">
        <v>0.5</v>
      </c>
      <c r="K206" s="174" t="n">
        <v>0.4</v>
      </c>
      <c r="L206" s="172" t="n">
        <v>0.5</v>
      </c>
      <c r="M206" s="172" t="n">
        <v>0.5</v>
      </c>
      <c r="N206" s="174" t="n">
        <v>0.5</v>
      </c>
      <c r="O206" s="174" t="n">
        <v>0.5</v>
      </c>
      <c r="P206" s="174" t="n">
        <v>0.5</v>
      </c>
      <c r="Q206" s="174" t="n">
        <v>0.5</v>
      </c>
      <c r="R206" s="175" t="n">
        <v>0.5</v>
      </c>
      <c r="S206" s="175" t="n">
        <v>0.55</v>
      </c>
      <c r="T206" s="174" t="n">
        <v>0.5</v>
      </c>
      <c r="U206" s="174" t="n">
        <v>0.5</v>
      </c>
      <c r="V206" s="174" t="n">
        <v>0.6</v>
      </c>
      <c r="W206" s="174" t="n">
        <v>0</v>
      </c>
      <c r="X206" s="174" t="n">
        <v>0</v>
      </c>
      <c r="Y206" s="174" t="n">
        <v>0</v>
      </c>
      <c r="Z206" s="174" t="n">
        <v>0</v>
      </c>
      <c r="AA206" s="174" t="n">
        <v>0</v>
      </c>
      <c r="AB206" s="174" t="n">
        <v>0</v>
      </c>
      <c r="AC206" s="174" t="n">
        <v>0</v>
      </c>
      <c r="AD206" s="174" t="n">
        <v>0</v>
      </c>
      <c r="AE206" s="174" t="n">
        <v>0</v>
      </c>
      <c r="AF206" s="174" t="n">
        <v>0</v>
      </c>
      <c r="AG206" s="174" t="n">
        <v>0</v>
      </c>
      <c r="AH206" s="174" t="n">
        <v>0</v>
      </c>
      <c r="AI206" s="174" t="n">
        <v>0</v>
      </c>
      <c r="AJ206" s="174" t="n">
        <v>0</v>
      </c>
      <c r="AK206" s="174" t="n">
        <v>0</v>
      </c>
      <c r="AL206" s="174" t="n">
        <v>0</v>
      </c>
      <c r="AM206" s="174" t="n">
        <v>0</v>
      </c>
      <c r="AN206" s="174" t="n">
        <v>0</v>
      </c>
      <c r="AO206" s="174" t="n">
        <v>0</v>
      </c>
      <c r="AP206" s="174" t="n">
        <v>0</v>
      </c>
      <c r="AQ206" s="174" t="n">
        <v>0</v>
      </c>
      <c r="AR206" s="174" t="n">
        <v>0</v>
      </c>
      <c r="AS206" s="174" t="n">
        <v>0</v>
      </c>
      <c r="AT206" s="174" t="n">
        <v>0</v>
      </c>
      <c r="AU206" s="174" t="n">
        <v>0</v>
      </c>
      <c r="AV206" s="174" t="n">
        <v>0</v>
      </c>
      <c r="AW206" s="174" t="n">
        <v>0</v>
      </c>
      <c r="AX206" s="174" t="n">
        <v>0</v>
      </c>
      <c r="AY206" s="175" t="n">
        <v>0</v>
      </c>
      <c r="AZ206" s="175" t="n">
        <v>0</v>
      </c>
      <c r="BA206" s="175" t="n">
        <v>-0.195</v>
      </c>
      <c r="BB206" s="174" t="n">
        <v>0</v>
      </c>
      <c r="BC206" s="174" t="n">
        <v>-0.07</v>
      </c>
      <c r="BD206" s="174" t="n">
        <v>0.005</v>
      </c>
      <c r="BE206" s="174" t="n">
        <v>0.43</v>
      </c>
      <c r="BF206" s="174" t="n">
        <v>0</v>
      </c>
      <c r="BG206" s="174" t="n">
        <v>-0.06</v>
      </c>
      <c r="BH206" s="174" t="n">
        <v>0</v>
      </c>
      <c r="BI206" s="174" t="n">
        <v>0</v>
      </c>
      <c r="BJ206" s="136" t="n">
        <v>0</v>
      </c>
      <c r="BK206" s="136" t="n">
        <v>0.43</v>
      </c>
      <c r="BL206" s="136" t="n">
        <v>0</v>
      </c>
      <c r="BM206" s="136" t="n">
        <v>0.05</v>
      </c>
      <c r="BN206" s="136" t="n">
        <v>0</v>
      </c>
      <c r="BO206" s="136" t="n">
        <v>-0.37</v>
      </c>
      <c r="BP206" s="136" t="n">
        <v>0</v>
      </c>
      <c r="BQ206" s="136" t="n">
        <v>0.5</v>
      </c>
      <c r="BR206" s="136" t="n">
        <v>0</v>
      </c>
      <c r="BS206" s="136" t="n">
        <v>-0.07</v>
      </c>
      <c r="BT206" s="136" t="n">
        <v>0.005</v>
      </c>
      <c r="BU206" s="136" t="n">
        <v>0.3</v>
      </c>
      <c r="BV206" s="136" t="n">
        <v>0</v>
      </c>
      <c r="BW206" s="136" t="n">
        <v>0</v>
      </c>
      <c r="BX206" s="136" t="n">
        <v>0</v>
      </c>
      <c r="BY206" s="136" t="n">
        <v>0</v>
      </c>
      <c r="BZ206" s="136" t="n">
        <v>0</v>
      </c>
      <c r="CA206" s="136" t="n">
        <v>0.15</v>
      </c>
      <c r="CB206" s="136" t="n">
        <v>0.005</v>
      </c>
      <c r="CC206" s="136" t="n">
        <v>0</v>
      </c>
      <c r="CD206" s="136" t="n">
        <v>0</v>
      </c>
      <c r="CE206" s="136" t="n">
        <v>0</v>
      </c>
      <c r="CF206" s="136" t="n">
        <v>0</v>
      </c>
      <c r="CG206" s="136" t="n">
        <v>0</v>
      </c>
      <c r="CH206" s="136" t="n">
        <v>0</v>
      </c>
      <c r="CI206" s="136" t="n">
        <v>0</v>
      </c>
      <c r="CJ206" s="136" t="n">
        <v>0</v>
      </c>
      <c r="CK206" s="136" t="n">
        <v>0</v>
      </c>
      <c r="CL206" s="136" t="n">
        <v>0</v>
      </c>
      <c r="CM206" s="136" t="n">
        <v>0</v>
      </c>
      <c r="CN206" s="136" t="n">
        <v>0</v>
      </c>
      <c r="CO206" s="136" t="n">
        <v>0</v>
      </c>
      <c r="CP206" s="136" t="n">
        <v>0</v>
      </c>
      <c r="CQ206" s="136" t="n">
        <v>0</v>
      </c>
      <c r="CR206" s="136" t="n">
        <v>0</v>
      </c>
      <c r="CS206" s="136" t="n">
        <v>0.41</v>
      </c>
      <c r="CT206" s="136" t="n">
        <v>0.035</v>
      </c>
      <c r="CU206" s="136" t="n">
        <v>0.05</v>
      </c>
      <c r="CV206" s="136" t="n">
        <v>0</v>
      </c>
      <c r="CW206" s="136" t="n">
        <v>0.205</v>
      </c>
      <c r="CX206" s="136" t="n">
        <v>0.0075</v>
      </c>
      <c r="CY206" s="136" t="n">
        <v>-0.18</v>
      </c>
      <c r="CZ206" s="136" t="n">
        <v>0</v>
      </c>
      <c r="DA206" s="136" t="n">
        <v>0</v>
      </c>
      <c r="DB206" s="136" t="n">
        <v>0</v>
      </c>
      <c r="DC206" s="136" t="n">
        <v>1.05</v>
      </c>
      <c r="DE206" s="136" t="n">
        <v>-0.038</v>
      </c>
      <c r="DF206" s="136" t="n">
        <v>0.01</v>
      </c>
      <c r="DG206" s="136" t="n">
        <v>0.0235</v>
      </c>
      <c r="DH206" s="136" t="n">
        <v>0.01</v>
      </c>
      <c r="DI206" s="136" t="n">
        <v>0.0085</v>
      </c>
      <c r="DJ206" s="136" t="n">
        <v>0.0075</v>
      </c>
      <c r="DK206" s="136" t="n">
        <v>0</v>
      </c>
      <c r="DL206" s="136" t="n">
        <v>0</v>
      </c>
      <c r="DM206" s="136" t="n">
        <v>0</v>
      </c>
      <c r="DN206" s="136" t="n">
        <v>0</v>
      </c>
      <c r="DO206" s="136" t="n">
        <v>0</v>
      </c>
      <c r="DP206" s="136" t="n">
        <v>0</v>
      </c>
      <c r="DQ206" s="136" t="n">
        <v>0</v>
      </c>
      <c r="DR206" s="136" t="n">
        <v>0</v>
      </c>
      <c r="DS206" s="136" t="n">
        <v>0.35</v>
      </c>
      <c r="DT206" s="136" t="n">
        <v>0.005</v>
      </c>
      <c r="DU206" s="136" t="n">
        <v>0</v>
      </c>
      <c r="DV206" s="136" t="n">
        <v>0</v>
      </c>
    </row>
    <row r="207" customFormat="false" ht="12.75" hidden="false" customHeight="false" outlineLevel="0" collapsed="false">
      <c r="D207" s="135" t="n">
        <v>42948</v>
      </c>
      <c r="F207" s="174" t="n">
        <v>4.3745</v>
      </c>
      <c r="G207" s="175" t="n">
        <v>0.0646524334908629</v>
      </c>
      <c r="H207" s="174" t="n">
        <v>0.17</v>
      </c>
      <c r="I207" s="174" t="n">
        <v>0.55</v>
      </c>
      <c r="J207" s="174" t="n">
        <v>0.55</v>
      </c>
      <c r="K207" s="174" t="n">
        <v>0.5</v>
      </c>
      <c r="L207" s="172" t="n">
        <v>0.6</v>
      </c>
      <c r="M207" s="172" t="n">
        <v>0.55</v>
      </c>
      <c r="N207" s="174" t="n">
        <v>0.6</v>
      </c>
      <c r="O207" s="174" t="n">
        <v>0.55</v>
      </c>
      <c r="P207" s="174" t="n">
        <v>0.6</v>
      </c>
      <c r="Q207" s="174" t="n">
        <v>0.45</v>
      </c>
      <c r="R207" s="175" t="n">
        <v>0.55</v>
      </c>
      <c r="S207" s="175" t="n">
        <v>0.6</v>
      </c>
      <c r="T207" s="174" t="n">
        <v>0.55</v>
      </c>
      <c r="U207" s="174" t="n">
        <v>0.6</v>
      </c>
      <c r="V207" s="174" t="n">
        <v>0.7</v>
      </c>
      <c r="W207" s="174" t="n">
        <v>0</v>
      </c>
      <c r="X207" s="174" t="n">
        <v>0</v>
      </c>
      <c r="Y207" s="174" t="n">
        <v>0</v>
      </c>
      <c r="Z207" s="174" t="n">
        <v>0</v>
      </c>
      <c r="AA207" s="174" t="n">
        <v>0</v>
      </c>
      <c r="AB207" s="174" t="n">
        <v>0</v>
      </c>
      <c r="AC207" s="174" t="n">
        <v>0</v>
      </c>
      <c r="AD207" s="174" t="n">
        <v>0</v>
      </c>
      <c r="AE207" s="174" t="n">
        <v>0</v>
      </c>
      <c r="AF207" s="174" t="n">
        <v>0</v>
      </c>
      <c r="AG207" s="174" t="n">
        <v>0</v>
      </c>
      <c r="AH207" s="174" t="n">
        <v>0</v>
      </c>
      <c r="AI207" s="174" t="n">
        <v>0</v>
      </c>
      <c r="AJ207" s="174" t="n">
        <v>0</v>
      </c>
      <c r="AK207" s="174" t="n">
        <v>0</v>
      </c>
      <c r="AL207" s="174" t="n">
        <v>0</v>
      </c>
      <c r="AM207" s="174" t="n">
        <v>0</v>
      </c>
      <c r="AN207" s="174" t="n">
        <v>0</v>
      </c>
      <c r="AO207" s="174" t="n">
        <v>0</v>
      </c>
      <c r="AP207" s="174" t="n">
        <v>0</v>
      </c>
      <c r="AQ207" s="174" t="n">
        <v>0</v>
      </c>
      <c r="AR207" s="174" t="n">
        <v>0</v>
      </c>
      <c r="AS207" s="174" t="n">
        <v>0</v>
      </c>
      <c r="AT207" s="174" t="n">
        <v>0</v>
      </c>
      <c r="AU207" s="174" t="n">
        <v>0</v>
      </c>
      <c r="AV207" s="174" t="n">
        <v>0</v>
      </c>
      <c r="AW207" s="174" t="n">
        <v>0</v>
      </c>
      <c r="AX207" s="174" t="n">
        <v>0</v>
      </c>
      <c r="AY207" s="175" t="n">
        <v>0</v>
      </c>
      <c r="AZ207" s="175" t="n">
        <v>0</v>
      </c>
      <c r="BA207" s="175" t="n">
        <v>-0.195</v>
      </c>
      <c r="BB207" s="174" t="n">
        <v>0</v>
      </c>
      <c r="BC207" s="174" t="n">
        <v>-0.07</v>
      </c>
      <c r="BD207" s="174" t="n">
        <v>0.005</v>
      </c>
      <c r="BE207" s="174" t="n">
        <v>0.43</v>
      </c>
      <c r="BF207" s="174" t="n">
        <v>0</v>
      </c>
      <c r="BG207" s="174" t="n">
        <v>-0.06</v>
      </c>
      <c r="BH207" s="174" t="n">
        <v>0</v>
      </c>
      <c r="BI207" s="174" t="n">
        <v>0</v>
      </c>
      <c r="BJ207" s="136" t="n">
        <v>0</v>
      </c>
      <c r="BK207" s="136" t="n">
        <v>0.43</v>
      </c>
      <c r="BL207" s="136" t="n">
        <v>0</v>
      </c>
      <c r="BM207" s="136" t="n">
        <v>0.05</v>
      </c>
      <c r="BN207" s="136" t="n">
        <v>0</v>
      </c>
      <c r="BO207" s="136" t="n">
        <v>-0.37</v>
      </c>
      <c r="BP207" s="136" t="n">
        <v>0</v>
      </c>
      <c r="BQ207" s="136" t="n">
        <v>0.5</v>
      </c>
      <c r="BR207" s="136" t="n">
        <v>0</v>
      </c>
      <c r="BS207" s="136" t="n">
        <v>-0.07</v>
      </c>
      <c r="BT207" s="136" t="n">
        <v>0.005</v>
      </c>
      <c r="BU207" s="136" t="n">
        <v>0.3</v>
      </c>
      <c r="BV207" s="136" t="n">
        <v>0</v>
      </c>
      <c r="BW207" s="136" t="n">
        <v>0</v>
      </c>
      <c r="BX207" s="136" t="n">
        <v>0</v>
      </c>
      <c r="BY207" s="136" t="n">
        <v>0</v>
      </c>
      <c r="BZ207" s="136" t="n">
        <v>0</v>
      </c>
      <c r="CA207" s="136" t="n">
        <v>0.15</v>
      </c>
      <c r="CB207" s="136" t="n">
        <v>0.005</v>
      </c>
      <c r="CC207" s="136" t="n">
        <v>0</v>
      </c>
      <c r="CD207" s="136" t="n">
        <v>0</v>
      </c>
      <c r="CE207" s="136" t="n">
        <v>0</v>
      </c>
      <c r="CF207" s="136" t="n">
        <v>0</v>
      </c>
      <c r="CG207" s="136" t="n">
        <v>0</v>
      </c>
      <c r="CH207" s="136" t="n">
        <v>0</v>
      </c>
      <c r="CI207" s="136" t="n">
        <v>0</v>
      </c>
      <c r="CJ207" s="136" t="n">
        <v>0</v>
      </c>
      <c r="CK207" s="136" t="n">
        <v>0</v>
      </c>
      <c r="CL207" s="136" t="n">
        <v>0</v>
      </c>
      <c r="CM207" s="136" t="n">
        <v>0</v>
      </c>
      <c r="CN207" s="136" t="n">
        <v>0</v>
      </c>
      <c r="CO207" s="136" t="n">
        <v>0</v>
      </c>
      <c r="CP207" s="136" t="n">
        <v>0</v>
      </c>
      <c r="CQ207" s="136" t="n">
        <v>0</v>
      </c>
      <c r="CR207" s="136" t="n">
        <v>0</v>
      </c>
      <c r="CS207" s="136" t="n">
        <v>0.41</v>
      </c>
      <c r="CT207" s="136" t="n">
        <v>0.01</v>
      </c>
      <c r="CU207" s="136" t="n">
        <v>0.05</v>
      </c>
      <c r="CV207" s="136" t="n">
        <v>0</v>
      </c>
      <c r="CW207" s="136" t="n">
        <v>0.205</v>
      </c>
      <c r="CX207" s="136" t="n">
        <v>0.0075</v>
      </c>
      <c r="CY207" s="136" t="n">
        <v>-0.18</v>
      </c>
      <c r="CZ207" s="136" t="n">
        <v>0</v>
      </c>
      <c r="DA207" s="136" t="n">
        <v>0</v>
      </c>
      <c r="DB207" s="136" t="n">
        <v>0</v>
      </c>
      <c r="DC207" s="136" t="n">
        <v>1.05</v>
      </c>
      <c r="DE207" s="136" t="n">
        <v>-0.038</v>
      </c>
      <c r="DF207" s="136" t="n">
        <v>0.01</v>
      </c>
      <c r="DG207" s="136" t="n">
        <v>0.0185</v>
      </c>
      <c r="DH207" s="136" t="n">
        <v>0.01</v>
      </c>
      <c r="DI207" s="136" t="n">
        <v>0.0035</v>
      </c>
      <c r="DJ207" s="136" t="n">
        <v>0.0075</v>
      </c>
      <c r="DK207" s="136" t="n">
        <v>0</v>
      </c>
      <c r="DL207" s="136" t="n">
        <v>0</v>
      </c>
      <c r="DM207" s="136" t="n">
        <v>0</v>
      </c>
      <c r="DN207" s="136" t="n">
        <v>0</v>
      </c>
      <c r="DO207" s="136" t="n">
        <v>0</v>
      </c>
      <c r="DP207" s="136" t="n">
        <v>0</v>
      </c>
      <c r="DQ207" s="136" t="n">
        <v>0</v>
      </c>
      <c r="DR207" s="136" t="n">
        <v>0</v>
      </c>
      <c r="DS207" s="136" t="n">
        <v>0.35</v>
      </c>
      <c r="DT207" s="136" t="n">
        <v>-0.005</v>
      </c>
      <c r="DU207" s="136" t="n">
        <v>0</v>
      </c>
      <c r="DV207" s="136" t="n">
        <v>0</v>
      </c>
    </row>
    <row r="208" customFormat="false" ht="12.75" hidden="false" customHeight="false" outlineLevel="0" collapsed="false">
      <c r="D208" s="135" t="n">
        <v>42979</v>
      </c>
      <c r="F208" s="174" t="n">
        <v>4.3695</v>
      </c>
      <c r="G208" s="175" t="n">
        <v>0.0646929776109366</v>
      </c>
      <c r="H208" s="174" t="n">
        <v>0.17</v>
      </c>
      <c r="I208" s="174" t="n">
        <v>0.55</v>
      </c>
      <c r="J208" s="174" t="n">
        <v>0.55</v>
      </c>
      <c r="K208" s="174" t="n">
        <v>0.55</v>
      </c>
      <c r="L208" s="172" t="n">
        <v>0.55</v>
      </c>
      <c r="M208" s="172" t="n">
        <v>0.55</v>
      </c>
      <c r="N208" s="174" t="n">
        <v>0.6</v>
      </c>
      <c r="O208" s="174" t="n">
        <v>0.6</v>
      </c>
      <c r="P208" s="174" t="n">
        <v>0.55</v>
      </c>
      <c r="Q208" s="174" t="n">
        <v>0.5</v>
      </c>
      <c r="R208" s="175" t="n">
        <v>0.55</v>
      </c>
      <c r="S208" s="175" t="n">
        <v>0.6</v>
      </c>
      <c r="T208" s="174" t="n">
        <v>0.55</v>
      </c>
      <c r="U208" s="174" t="n">
        <v>0.6</v>
      </c>
      <c r="V208" s="174" t="n">
        <v>0.65</v>
      </c>
      <c r="W208" s="174" t="n">
        <v>0</v>
      </c>
      <c r="X208" s="174" t="n">
        <v>0</v>
      </c>
      <c r="Y208" s="174" t="n">
        <v>0</v>
      </c>
      <c r="Z208" s="174" t="n">
        <v>0</v>
      </c>
      <c r="AA208" s="174" t="n">
        <v>0</v>
      </c>
      <c r="AB208" s="174" t="n">
        <v>0</v>
      </c>
      <c r="AC208" s="174" t="n">
        <v>0</v>
      </c>
      <c r="AD208" s="174" t="n">
        <v>0</v>
      </c>
      <c r="AE208" s="174" t="n">
        <v>0</v>
      </c>
      <c r="AF208" s="174" t="n">
        <v>0</v>
      </c>
      <c r="AG208" s="174" t="n">
        <v>0</v>
      </c>
      <c r="AH208" s="174" t="n">
        <v>0</v>
      </c>
      <c r="AI208" s="174" t="n">
        <v>0</v>
      </c>
      <c r="AJ208" s="174" t="n">
        <v>0</v>
      </c>
      <c r="AK208" s="174" t="n">
        <v>0</v>
      </c>
      <c r="AL208" s="174" t="n">
        <v>0</v>
      </c>
      <c r="AM208" s="174" t="n">
        <v>0</v>
      </c>
      <c r="AN208" s="174" t="n">
        <v>0</v>
      </c>
      <c r="AO208" s="174" t="n">
        <v>0</v>
      </c>
      <c r="AP208" s="174" t="n">
        <v>0</v>
      </c>
      <c r="AQ208" s="174" t="n">
        <v>0</v>
      </c>
      <c r="AR208" s="174" t="n">
        <v>0</v>
      </c>
      <c r="AS208" s="174" t="n">
        <v>0</v>
      </c>
      <c r="AT208" s="174" t="n">
        <v>0</v>
      </c>
      <c r="AU208" s="174" t="n">
        <v>0</v>
      </c>
      <c r="AV208" s="174" t="n">
        <v>0</v>
      </c>
      <c r="AW208" s="174" t="n">
        <v>0</v>
      </c>
      <c r="AX208" s="174" t="n">
        <v>0</v>
      </c>
      <c r="AY208" s="175" t="n">
        <v>0</v>
      </c>
      <c r="AZ208" s="175" t="n">
        <v>0</v>
      </c>
      <c r="BA208" s="175" t="n">
        <v>-0.195</v>
      </c>
      <c r="BB208" s="174" t="n">
        <v>0</v>
      </c>
      <c r="BC208" s="174" t="n">
        <v>-0.07</v>
      </c>
      <c r="BD208" s="174" t="n">
        <v>0.005</v>
      </c>
      <c r="BE208" s="174" t="n">
        <v>0.43</v>
      </c>
      <c r="BF208" s="174" t="n">
        <v>0</v>
      </c>
      <c r="BG208" s="174" t="n">
        <v>-0.06</v>
      </c>
      <c r="BH208" s="174" t="n">
        <v>0</v>
      </c>
      <c r="BI208" s="174" t="n">
        <v>0</v>
      </c>
      <c r="BJ208" s="136" t="n">
        <v>0</v>
      </c>
      <c r="BK208" s="136" t="n">
        <v>0.43</v>
      </c>
      <c r="BL208" s="136" t="n">
        <v>0</v>
      </c>
      <c r="BM208" s="136" t="n">
        <v>0.05</v>
      </c>
      <c r="BN208" s="136" t="n">
        <v>0</v>
      </c>
      <c r="BO208" s="136" t="n">
        <v>-0.37</v>
      </c>
      <c r="BP208" s="136" t="n">
        <v>0</v>
      </c>
      <c r="BQ208" s="136" t="n">
        <v>0.5</v>
      </c>
      <c r="BR208" s="136" t="n">
        <v>0</v>
      </c>
      <c r="BS208" s="136" t="n">
        <v>-0.07</v>
      </c>
      <c r="BT208" s="136" t="n">
        <v>0.005</v>
      </c>
      <c r="BU208" s="136" t="n">
        <v>0.3</v>
      </c>
      <c r="BV208" s="136" t="n">
        <v>0</v>
      </c>
      <c r="BW208" s="136" t="n">
        <v>0</v>
      </c>
      <c r="BX208" s="136" t="n">
        <v>0</v>
      </c>
      <c r="BY208" s="136" t="n">
        <v>0</v>
      </c>
      <c r="BZ208" s="136" t="n">
        <v>0</v>
      </c>
      <c r="CA208" s="136" t="n">
        <v>0.125</v>
      </c>
      <c r="CB208" s="136" t="n">
        <v>0.005</v>
      </c>
      <c r="CC208" s="136" t="n">
        <v>0</v>
      </c>
      <c r="CD208" s="136" t="n">
        <v>0</v>
      </c>
      <c r="CE208" s="136" t="n">
        <v>0</v>
      </c>
      <c r="CF208" s="136" t="n">
        <v>0</v>
      </c>
      <c r="CG208" s="136" t="n">
        <v>0</v>
      </c>
      <c r="CH208" s="136" t="n">
        <v>0</v>
      </c>
      <c r="CI208" s="136" t="n">
        <v>0</v>
      </c>
      <c r="CJ208" s="136" t="n">
        <v>0</v>
      </c>
      <c r="CK208" s="136" t="n">
        <v>0</v>
      </c>
      <c r="CL208" s="136" t="n">
        <v>0</v>
      </c>
      <c r="CM208" s="136" t="n">
        <v>0</v>
      </c>
      <c r="CN208" s="136" t="n">
        <v>0</v>
      </c>
      <c r="CO208" s="136" t="n">
        <v>0</v>
      </c>
      <c r="CP208" s="136" t="n">
        <v>0</v>
      </c>
      <c r="CQ208" s="136" t="n">
        <v>0</v>
      </c>
      <c r="CR208" s="136" t="n">
        <v>0</v>
      </c>
      <c r="CS208" s="136" t="n">
        <v>0.36</v>
      </c>
      <c r="CT208" s="136" t="n">
        <v>0.01</v>
      </c>
      <c r="CU208" s="136" t="n">
        <v>0.05</v>
      </c>
      <c r="CV208" s="136" t="n">
        <v>0</v>
      </c>
      <c r="CW208" s="136" t="n">
        <v>0.145</v>
      </c>
      <c r="CX208" s="136" t="n">
        <v>0.0075</v>
      </c>
      <c r="CY208" s="136" t="n">
        <v>-0.18</v>
      </c>
      <c r="CZ208" s="136" t="n">
        <v>0</v>
      </c>
      <c r="DA208" s="136" t="n">
        <v>0</v>
      </c>
      <c r="DB208" s="136" t="n">
        <v>0</v>
      </c>
      <c r="DC208" s="136" t="n">
        <v>0.75</v>
      </c>
      <c r="DE208" s="136" t="n">
        <v>-0.043</v>
      </c>
      <c r="DF208" s="136" t="n">
        <v>0.01</v>
      </c>
      <c r="DG208" s="136" t="n">
        <v>0.0185</v>
      </c>
      <c r="DH208" s="136" t="n">
        <v>0.01</v>
      </c>
      <c r="DI208" s="136" t="n">
        <v>0.0035</v>
      </c>
      <c r="DJ208" s="136" t="n">
        <v>0.0075</v>
      </c>
      <c r="DK208" s="136" t="n">
        <v>0</v>
      </c>
      <c r="DL208" s="136" t="n">
        <v>0</v>
      </c>
      <c r="DM208" s="136" t="n">
        <v>0</v>
      </c>
      <c r="DN208" s="136" t="n">
        <v>0</v>
      </c>
      <c r="DO208" s="136" t="n">
        <v>0</v>
      </c>
      <c r="DP208" s="136" t="n">
        <v>0</v>
      </c>
      <c r="DQ208" s="136" t="n">
        <v>0</v>
      </c>
      <c r="DR208" s="136" t="n">
        <v>0</v>
      </c>
      <c r="DS208" s="136" t="n">
        <v>0.315</v>
      </c>
      <c r="DT208" s="136" t="n">
        <v>-0.005</v>
      </c>
      <c r="DU208" s="136" t="n">
        <v>0</v>
      </c>
      <c r="DV208" s="136" t="n">
        <v>0</v>
      </c>
    </row>
    <row r="209" customFormat="false" ht="12.75" hidden="false" customHeight="false" outlineLevel="0" collapsed="false">
      <c r="D209" s="135" t="n">
        <v>43009</v>
      </c>
      <c r="F209" s="174" t="n">
        <v>4.3945</v>
      </c>
      <c r="G209" s="175" t="n">
        <v>0.0647322138566882</v>
      </c>
      <c r="H209" s="174" t="n">
        <v>0.17</v>
      </c>
      <c r="I209" s="174" t="n">
        <v>0.6</v>
      </c>
      <c r="J209" s="174" t="n">
        <v>0.6</v>
      </c>
      <c r="K209" s="174" t="n">
        <v>0.55</v>
      </c>
      <c r="L209" s="172" t="n">
        <v>0.6</v>
      </c>
      <c r="M209" s="172" t="n">
        <v>0.6</v>
      </c>
      <c r="N209" s="174" t="n">
        <v>0.65</v>
      </c>
      <c r="O209" s="174" t="n">
        <v>0.65</v>
      </c>
      <c r="P209" s="174" t="n">
        <v>0.6</v>
      </c>
      <c r="Q209" s="174" t="n">
        <v>0.5</v>
      </c>
      <c r="R209" s="175" t="n">
        <v>0.6</v>
      </c>
      <c r="S209" s="175" t="n">
        <v>0.65</v>
      </c>
      <c r="T209" s="174" t="n">
        <v>0.6</v>
      </c>
      <c r="U209" s="174" t="n">
        <v>0.65</v>
      </c>
      <c r="V209" s="174" t="n">
        <v>0.7</v>
      </c>
      <c r="W209" s="174" t="n">
        <v>0</v>
      </c>
      <c r="X209" s="174" t="n">
        <v>0</v>
      </c>
      <c r="Y209" s="174" t="n">
        <v>0</v>
      </c>
      <c r="Z209" s="174" t="n">
        <v>0</v>
      </c>
      <c r="AA209" s="174" t="n">
        <v>0</v>
      </c>
      <c r="AB209" s="174" t="n">
        <v>0</v>
      </c>
      <c r="AC209" s="174" t="n">
        <v>0</v>
      </c>
      <c r="AD209" s="174" t="n">
        <v>0</v>
      </c>
      <c r="AE209" s="174" t="n">
        <v>0</v>
      </c>
      <c r="AF209" s="174" t="n">
        <v>0</v>
      </c>
      <c r="AG209" s="174" t="n">
        <v>0</v>
      </c>
      <c r="AH209" s="174" t="n">
        <v>0</v>
      </c>
      <c r="AI209" s="174" t="n">
        <v>0</v>
      </c>
      <c r="AJ209" s="174" t="n">
        <v>0</v>
      </c>
      <c r="AK209" s="174" t="n">
        <v>0</v>
      </c>
      <c r="AL209" s="174" t="n">
        <v>0</v>
      </c>
      <c r="AM209" s="174" t="n">
        <v>0</v>
      </c>
      <c r="AN209" s="174" t="n">
        <v>0</v>
      </c>
      <c r="AO209" s="174" t="n">
        <v>0</v>
      </c>
      <c r="AP209" s="174" t="n">
        <v>0</v>
      </c>
      <c r="AQ209" s="174" t="n">
        <v>0</v>
      </c>
      <c r="AR209" s="174" t="n">
        <v>0</v>
      </c>
      <c r="AS209" s="174" t="n">
        <v>0</v>
      </c>
      <c r="AT209" s="174" t="n">
        <v>0</v>
      </c>
      <c r="AU209" s="174" t="n">
        <v>0</v>
      </c>
      <c r="AV209" s="174" t="n">
        <v>0</v>
      </c>
      <c r="AW209" s="174" t="n">
        <v>0</v>
      </c>
      <c r="AX209" s="174" t="n">
        <v>0</v>
      </c>
      <c r="AY209" s="175" t="n">
        <v>0</v>
      </c>
      <c r="AZ209" s="175" t="n">
        <v>0</v>
      </c>
      <c r="BA209" s="175" t="n">
        <v>-0.195</v>
      </c>
      <c r="BB209" s="174" t="n">
        <v>0</v>
      </c>
      <c r="BC209" s="174" t="n">
        <v>-0.07</v>
      </c>
      <c r="BD209" s="174" t="n">
        <v>0.005</v>
      </c>
      <c r="BE209" s="174" t="n">
        <v>0.43</v>
      </c>
      <c r="BF209" s="174" t="n">
        <v>0</v>
      </c>
      <c r="BG209" s="174" t="n">
        <v>-0.06</v>
      </c>
      <c r="BH209" s="174" t="n">
        <v>0</v>
      </c>
      <c r="BI209" s="174" t="n">
        <v>0</v>
      </c>
      <c r="BJ209" s="136" t="n">
        <v>0</v>
      </c>
      <c r="BK209" s="136" t="n">
        <v>0.43</v>
      </c>
      <c r="BL209" s="136" t="n">
        <v>0</v>
      </c>
      <c r="BM209" s="136" t="n">
        <v>0.05</v>
      </c>
      <c r="BN209" s="136" t="n">
        <v>0</v>
      </c>
      <c r="BO209" s="136" t="n">
        <v>-0.37</v>
      </c>
      <c r="BP209" s="136" t="n">
        <v>0</v>
      </c>
      <c r="BQ209" s="136" t="n">
        <v>0.5</v>
      </c>
      <c r="BR209" s="136" t="n">
        <v>0</v>
      </c>
      <c r="BS209" s="136" t="n">
        <v>-0.07</v>
      </c>
      <c r="BT209" s="136" t="n">
        <v>0.005</v>
      </c>
      <c r="BU209" s="136" t="n">
        <v>0.3</v>
      </c>
      <c r="BV209" s="136" t="n">
        <v>0</v>
      </c>
      <c r="BW209" s="136" t="n">
        <v>0</v>
      </c>
      <c r="BX209" s="136" t="n">
        <v>0</v>
      </c>
      <c r="BY209" s="136" t="n">
        <v>0</v>
      </c>
      <c r="BZ209" s="136" t="n">
        <v>0</v>
      </c>
      <c r="CA209" s="136" t="n">
        <v>0.145</v>
      </c>
      <c r="CB209" s="136" t="n">
        <v>0.005</v>
      </c>
      <c r="CC209" s="136" t="n">
        <v>0</v>
      </c>
      <c r="CD209" s="136" t="n">
        <v>0</v>
      </c>
      <c r="CE209" s="136" t="n">
        <v>0</v>
      </c>
      <c r="CF209" s="136" t="n">
        <v>0</v>
      </c>
      <c r="CG209" s="136" t="n">
        <v>0</v>
      </c>
      <c r="CH209" s="136" t="n">
        <v>0</v>
      </c>
      <c r="CI209" s="136" t="n">
        <v>0</v>
      </c>
      <c r="CJ209" s="136" t="n">
        <v>0</v>
      </c>
      <c r="CK209" s="136" t="n">
        <v>0</v>
      </c>
      <c r="CL209" s="136" t="n">
        <v>0</v>
      </c>
      <c r="CM209" s="136" t="n">
        <v>0</v>
      </c>
      <c r="CN209" s="136" t="n">
        <v>0</v>
      </c>
      <c r="CO209" s="136" t="n">
        <v>0</v>
      </c>
      <c r="CP209" s="136" t="n">
        <v>0</v>
      </c>
      <c r="CQ209" s="136" t="n">
        <v>0</v>
      </c>
      <c r="CR209" s="136" t="n">
        <v>0</v>
      </c>
      <c r="CS209" s="136" t="n">
        <v>0.4</v>
      </c>
      <c r="CT209" s="136" t="n">
        <v>0.01</v>
      </c>
      <c r="CU209" s="136" t="n">
        <v>0.05</v>
      </c>
      <c r="CV209" s="136" t="n">
        <v>0</v>
      </c>
      <c r="CW209" s="136" t="n">
        <v>0.175</v>
      </c>
      <c r="CX209" s="136" t="n">
        <v>0.0075</v>
      </c>
      <c r="CY209" s="136" t="n">
        <v>-0.18</v>
      </c>
      <c r="CZ209" s="136" t="n">
        <v>0</v>
      </c>
      <c r="DA209" s="136" t="n">
        <v>0</v>
      </c>
      <c r="DB209" s="136" t="n">
        <v>0</v>
      </c>
      <c r="DC209" s="136" t="n">
        <v>0.45</v>
      </c>
      <c r="DE209" s="136" t="n">
        <v>-0.043</v>
      </c>
      <c r="DF209" s="136" t="n">
        <v>0.01</v>
      </c>
      <c r="DG209" s="136" t="n">
        <v>0.016</v>
      </c>
      <c r="DH209" s="136" t="n">
        <v>0.01</v>
      </c>
      <c r="DI209" s="136" t="n">
        <v>0.001</v>
      </c>
      <c r="DJ209" s="136" t="n">
        <v>0.0075</v>
      </c>
      <c r="DK209" s="136" t="n">
        <v>0</v>
      </c>
      <c r="DL209" s="136" t="n">
        <v>0</v>
      </c>
      <c r="DM209" s="136" t="n">
        <v>0</v>
      </c>
      <c r="DN209" s="136" t="n">
        <v>0</v>
      </c>
      <c r="DO209" s="136" t="n">
        <v>0</v>
      </c>
      <c r="DP209" s="136" t="n">
        <v>0</v>
      </c>
      <c r="DQ209" s="136" t="n">
        <v>0</v>
      </c>
      <c r="DR209" s="136" t="n">
        <v>0</v>
      </c>
      <c r="DS209" s="136" t="n">
        <v>0.36</v>
      </c>
      <c r="DT209" s="136" t="n">
        <v>-0.005</v>
      </c>
      <c r="DU209" s="136" t="n">
        <v>0</v>
      </c>
      <c r="DV209" s="136" t="n">
        <v>0</v>
      </c>
    </row>
    <row r="210" customFormat="false" ht="12.75" hidden="false" customHeight="false" outlineLevel="0" collapsed="false">
      <c r="D210" s="135" t="n">
        <v>43040</v>
      </c>
      <c r="F210" s="174" t="n">
        <v>4.5465</v>
      </c>
      <c r="G210" s="175" t="n">
        <v>0.0647727579778348</v>
      </c>
      <c r="H210" s="174" t="n">
        <v>0.17</v>
      </c>
      <c r="I210" s="174" t="n">
        <v>0.8</v>
      </c>
      <c r="J210" s="174" t="n">
        <v>0.85</v>
      </c>
      <c r="K210" s="174" t="n">
        <v>0.8</v>
      </c>
      <c r="L210" s="172" t="n">
        <v>0.8</v>
      </c>
      <c r="M210" s="172" t="n">
        <v>0.9</v>
      </c>
      <c r="N210" s="174" t="n">
        <v>0.95</v>
      </c>
      <c r="O210" s="174" t="n">
        <v>0.85</v>
      </c>
      <c r="P210" s="174" t="n">
        <v>0.8</v>
      </c>
      <c r="Q210" s="174" t="n">
        <v>0.95</v>
      </c>
      <c r="R210" s="175" t="n">
        <v>0.8</v>
      </c>
      <c r="S210" s="175" t="n">
        <v>0.8</v>
      </c>
      <c r="T210" s="174" t="n">
        <v>0.8</v>
      </c>
      <c r="U210" s="174" t="n">
        <v>0.95</v>
      </c>
      <c r="V210" s="174" t="n">
        <v>0.9</v>
      </c>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5"/>
      <c r="AZ210" s="175"/>
      <c r="BA210" s="175" t="n">
        <v>-0.13</v>
      </c>
      <c r="BB210" s="174" t="n">
        <v>0</v>
      </c>
      <c r="BC210" s="174" t="n">
        <v>-0.07</v>
      </c>
      <c r="BD210" s="174" t="n">
        <v>0.005</v>
      </c>
      <c r="BE210" s="174" t="n">
        <v>0.35</v>
      </c>
      <c r="BF210" s="174" t="n">
        <v>0</v>
      </c>
      <c r="BG210" s="174" t="n">
        <v>-0.06</v>
      </c>
      <c r="BH210" s="174" t="n">
        <v>0</v>
      </c>
      <c r="BI210" s="174" t="n">
        <v>0</v>
      </c>
      <c r="BJ210" s="136" t="n">
        <v>0</v>
      </c>
      <c r="BK210" s="136" t="n">
        <v>0.35</v>
      </c>
      <c r="BL210" s="136" t="n">
        <v>0</v>
      </c>
      <c r="BM210" s="136" t="n">
        <v>0.05</v>
      </c>
      <c r="BN210" s="136" t="n">
        <v>0</v>
      </c>
      <c r="BO210" s="136" t="n">
        <v>-0.26</v>
      </c>
      <c r="BP210" s="136" t="n">
        <v>0</v>
      </c>
      <c r="BQ210" s="136" t="n">
        <v>0.5</v>
      </c>
      <c r="BR210" s="136" t="n">
        <v>0</v>
      </c>
      <c r="BS210" s="136" t="n">
        <v>-0.07</v>
      </c>
      <c r="BT210" s="136" t="n">
        <v>0.005</v>
      </c>
      <c r="BU210" s="136" t="n">
        <v>0.3</v>
      </c>
      <c r="BV210" s="136" t="n">
        <v>0</v>
      </c>
      <c r="BW210" s="136" t="n">
        <v>0</v>
      </c>
      <c r="BX210" s="136" t="n">
        <v>0</v>
      </c>
      <c r="BY210" s="136" t="n">
        <v>0</v>
      </c>
      <c r="BZ210" s="136" t="n">
        <v>0</v>
      </c>
      <c r="CA210" s="136" t="n">
        <v>0.195</v>
      </c>
      <c r="CB210" s="136" t="n">
        <v>0.005</v>
      </c>
      <c r="CC210" s="136" t="n">
        <v>0</v>
      </c>
      <c r="CD210" s="136" t="n">
        <v>0</v>
      </c>
      <c r="CE210" s="136" t="n">
        <v>0</v>
      </c>
      <c r="CF210" s="136" t="n">
        <v>0</v>
      </c>
      <c r="CG210" s="136" t="n">
        <v>0</v>
      </c>
      <c r="CH210" s="136" t="n">
        <v>0</v>
      </c>
      <c r="CI210" s="136" t="n">
        <v>0</v>
      </c>
      <c r="CJ210" s="136" t="n">
        <v>0</v>
      </c>
      <c r="CK210" s="136" t="n">
        <v>0</v>
      </c>
      <c r="CL210" s="136" t="n">
        <v>0</v>
      </c>
      <c r="CM210" s="136" t="n">
        <v>0</v>
      </c>
      <c r="CN210" s="136" t="n">
        <v>0</v>
      </c>
      <c r="CO210" s="136" t="n">
        <v>0</v>
      </c>
      <c r="CP210" s="136" t="n">
        <v>0</v>
      </c>
      <c r="CQ210" s="136" t="n">
        <v>0</v>
      </c>
      <c r="CR210" s="136" t="n">
        <v>0</v>
      </c>
      <c r="CS210" s="136" t="n">
        <v>0.65</v>
      </c>
      <c r="CT210" s="136" t="n">
        <v>0.055</v>
      </c>
      <c r="CU210" s="136" t="n">
        <v>0.05</v>
      </c>
      <c r="CV210" s="136" t="n">
        <v>0</v>
      </c>
      <c r="CW210" s="136" t="n">
        <v>0.21</v>
      </c>
      <c r="CX210" s="136" t="n">
        <v>0.02</v>
      </c>
      <c r="CY210" s="136" t="n">
        <v>-0.18</v>
      </c>
      <c r="CZ210" s="136" t="n">
        <v>0</v>
      </c>
      <c r="DA210" s="136" t="n">
        <v>0</v>
      </c>
      <c r="DB210" s="136" t="n">
        <v>0</v>
      </c>
      <c r="DC210" s="136" t="n">
        <v>0.45</v>
      </c>
      <c r="DE210" s="136" t="n">
        <v>-0.0315</v>
      </c>
      <c r="DF210" s="136" t="n">
        <v>0.0125</v>
      </c>
      <c r="DG210" s="136" t="n">
        <v>0.017</v>
      </c>
      <c r="DH210" s="136" t="n">
        <v>0.0075</v>
      </c>
      <c r="DI210" s="136" t="n">
        <v>0.002</v>
      </c>
      <c r="DJ210" s="136" t="n">
        <v>0.0025</v>
      </c>
      <c r="DK210" s="136" t="n">
        <v>0</v>
      </c>
      <c r="DL210" s="136" t="n">
        <v>0</v>
      </c>
      <c r="DM210" s="136" t="n">
        <v>0</v>
      </c>
      <c r="DN210" s="136" t="n">
        <v>0</v>
      </c>
      <c r="DO210" s="136" t="n">
        <v>0</v>
      </c>
      <c r="DP210" s="136" t="n">
        <v>0</v>
      </c>
      <c r="DQ210" s="136" t="n">
        <v>0</v>
      </c>
      <c r="DR210" s="136" t="n">
        <v>0</v>
      </c>
      <c r="DS210" s="136" t="n">
        <v>0.46</v>
      </c>
      <c r="DT210" s="136" t="n">
        <v>0.05</v>
      </c>
      <c r="DU210" s="136"/>
      <c r="DV210" s="136"/>
    </row>
    <row r="211" customFormat="false" ht="12.75" hidden="false" customHeight="false" outlineLevel="0" collapsed="false">
      <c r="D211" s="135" t="n">
        <v>43070</v>
      </c>
      <c r="F211" s="174" t="n">
        <v>4.6895</v>
      </c>
      <c r="G211" s="175" t="n">
        <v>0.0648119942246246</v>
      </c>
      <c r="H211" s="174" t="n">
        <v>0.17</v>
      </c>
      <c r="I211" s="174" t="n">
        <v>1</v>
      </c>
      <c r="J211" s="174" t="n">
        <v>1.05</v>
      </c>
      <c r="K211" s="174" t="n">
        <v>1</v>
      </c>
      <c r="L211" s="172" t="n">
        <v>1</v>
      </c>
      <c r="M211" s="172" t="n">
        <v>1.15</v>
      </c>
      <c r="N211" s="174" t="n">
        <v>1.25</v>
      </c>
      <c r="O211" s="174" t="n">
        <v>1.05</v>
      </c>
      <c r="P211" s="174" t="n">
        <v>1</v>
      </c>
      <c r="Q211" s="174" t="n">
        <v>1.35</v>
      </c>
      <c r="R211" s="175" t="n">
        <v>1</v>
      </c>
      <c r="S211" s="175" t="n">
        <v>1.1</v>
      </c>
      <c r="T211" s="174" t="n">
        <v>1</v>
      </c>
      <c r="U211" s="174" t="n">
        <v>1.25</v>
      </c>
      <c r="V211" s="174" t="n">
        <v>1.1</v>
      </c>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5"/>
      <c r="AZ211" s="175"/>
      <c r="BA211" s="175" t="n">
        <v>-0.13</v>
      </c>
      <c r="BB211" s="174" t="n">
        <v>0</v>
      </c>
      <c r="BC211" s="174" t="n">
        <v>-0.07</v>
      </c>
      <c r="BD211" s="174" t="n">
        <v>0.005</v>
      </c>
      <c r="BE211" s="174" t="n">
        <v>0.35</v>
      </c>
      <c r="BF211" s="174" t="n">
        <v>0</v>
      </c>
      <c r="BG211" s="174" t="n">
        <v>-0.06</v>
      </c>
      <c r="BH211" s="174" t="n">
        <v>0</v>
      </c>
      <c r="BI211" s="174" t="n">
        <v>0</v>
      </c>
      <c r="BJ211" s="136" t="n">
        <v>0</v>
      </c>
      <c r="BK211" s="136" t="n">
        <v>0.35</v>
      </c>
      <c r="BL211" s="136" t="n">
        <v>0</v>
      </c>
      <c r="BM211" s="136" t="n">
        <v>0.05</v>
      </c>
      <c r="BN211" s="136" t="n">
        <v>0</v>
      </c>
      <c r="BO211" s="136" t="n">
        <v>-0.26</v>
      </c>
      <c r="BP211" s="136" t="n">
        <v>0</v>
      </c>
      <c r="BQ211" s="136" t="n">
        <v>0.5</v>
      </c>
      <c r="BR211" s="136" t="n">
        <v>0</v>
      </c>
      <c r="BS211" s="136" t="n">
        <v>-0.07</v>
      </c>
      <c r="BT211" s="136" t="n">
        <v>0.005</v>
      </c>
      <c r="BU211" s="136" t="n">
        <v>0.3</v>
      </c>
      <c r="BV211" s="136" t="n">
        <v>0</v>
      </c>
      <c r="BW211" s="136" t="n">
        <v>0</v>
      </c>
      <c r="BX211" s="136" t="n">
        <v>0</v>
      </c>
      <c r="BY211" s="136" t="n">
        <v>0</v>
      </c>
      <c r="BZ211" s="136" t="n">
        <v>0</v>
      </c>
      <c r="CA211" s="136" t="n">
        <v>0.215</v>
      </c>
      <c r="CB211" s="136" t="n">
        <v>0.005</v>
      </c>
      <c r="CC211" s="136" t="n">
        <v>0</v>
      </c>
      <c r="CD211" s="136" t="n">
        <v>0</v>
      </c>
      <c r="CE211" s="136" t="n">
        <v>0</v>
      </c>
      <c r="CF211" s="136" t="n">
        <v>0</v>
      </c>
      <c r="CG211" s="136" t="n">
        <v>0</v>
      </c>
      <c r="CH211" s="136" t="n">
        <v>0</v>
      </c>
      <c r="CI211" s="136" t="n">
        <v>0</v>
      </c>
      <c r="CJ211" s="136" t="n">
        <v>0</v>
      </c>
      <c r="CK211" s="136" t="n">
        <v>0</v>
      </c>
      <c r="CL211" s="136" t="n">
        <v>0</v>
      </c>
      <c r="CM211" s="136" t="n">
        <v>0</v>
      </c>
      <c r="CN211" s="136" t="n">
        <v>0</v>
      </c>
      <c r="CO211" s="136" t="n">
        <v>0</v>
      </c>
      <c r="CP211" s="136" t="n">
        <v>0</v>
      </c>
      <c r="CQ211" s="136" t="n">
        <v>0</v>
      </c>
      <c r="CR211" s="136" t="n">
        <v>0</v>
      </c>
      <c r="CS211" s="136" t="n">
        <v>0.98</v>
      </c>
      <c r="CT211" s="136" t="n">
        <v>0.25</v>
      </c>
      <c r="CU211" s="136" t="n">
        <v>0.05</v>
      </c>
      <c r="CV211" s="136" t="n">
        <v>0</v>
      </c>
      <c r="CW211" s="136" t="n">
        <v>0.29</v>
      </c>
      <c r="CX211" s="136" t="n">
        <v>0.02</v>
      </c>
      <c r="CY211" s="136" t="n">
        <v>-0.18</v>
      </c>
      <c r="CZ211" s="136" t="n">
        <v>0</v>
      </c>
      <c r="DA211" s="136" t="n">
        <v>0</v>
      </c>
      <c r="DB211" s="136" t="n">
        <v>0</v>
      </c>
      <c r="DC211" s="136" t="n">
        <v>0.4</v>
      </c>
      <c r="DE211" s="136" t="n">
        <v>-0.0315</v>
      </c>
      <c r="DF211" s="136" t="n">
        <v>0.0125</v>
      </c>
      <c r="DG211" s="136" t="n">
        <v>0.017</v>
      </c>
      <c r="DH211" s="136" t="n">
        <v>0.0075</v>
      </c>
      <c r="DI211" s="136" t="n">
        <v>0.002</v>
      </c>
      <c r="DJ211" s="136" t="n">
        <v>0.0025</v>
      </c>
      <c r="DK211" s="136" t="n">
        <v>0</v>
      </c>
      <c r="DL211" s="136" t="n">
        <v>0</v>
      </c>
      <c r="DM211" s="136" t="n">
        <v>0</v>
      </c>
      <c r="DN211" s="136" t="n">
        <v>0</v>
      </c>
      <c r="DO211" s="136" t="n">
        <v>0</v>
      </c>
      <c r="DP211" s="136" t="n">
        <v>0</v>
      </c>
      <c r="DQ211" s="136" t="n">
        <v>0</v>
      </c>
      <c r="DR211" s="136" t="n">
        <v>0</v>
      </c>
      <c r="DS211" s="136" t="n">
        <v>0.77</v>
      </c>
      <c r="DT211" s="136" t="n">
        <v>0.05</v>
      </c>
      <c r="DU211" s="136"/>
      <c r="DV211" s="136"/>
    </row>
    <row r="212" customFormat="false" ht="12.75" hidden="false" customHeight="false" outlineLevel="0" collapsed="false">
      <c r="D212" s="135" t="n">
        <v>43101</v>
      </c>
      <c r="F212" s="174" t="n">
        <v>4.7495</v>
      </c>
      <c r="G212" s="175" t="n">
        <v>0.0648525383468432</v>
      </c>
      <c r="H212" s="174" t="n">
        <v>0.17</v>
      </c>
      <c r="I212" s="174" t="n">
        <v>1</v>
      </c>
      <c r="J212" s="174" t="n">
        <v>1.05</v>
      </c>
      <c r="K212" s="174" t="n">
        <v>1</v>
      </c>
      <c r="L212" s="172" t="n">
        <v>1</v>
      </c>
      <c r="M212" s="172" t="n">
        <v>1.15</v>
      </c>
      <c r="N212" s="174" t="n">
        <v>1.45</v>
      </c>
      <c r="O212" s="174" t="n">
        <v>1.05</v>
      </c>
      <c r="P212" s="174" t="n">
        <v>1</v>
      </c>
      <c r="Q212" s="174" t="n">
        <v>1.35</v>
      </c>
      <c r="R212" s="175" t="n">
        <v>1</v>
      </c>
      <c r="S212" s="175" t="n">
        <v>1.1</v>
      </c>
      <c r="T212" s="174" t="n">
        <v>1</v>
      </c>
      <c r="U212" s="174" t="n">
        <v>1.45</v>
      </c>
      <c r="V212" s="174" t="n">
        <v>1.1</v>
      </c>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5"/>
      <c r="AZ212" s="175"/>
      <c r="BA212" s="175" t="n">
        <v>-0.13</v>
      </c>
      <c r="BB212" s="174" t="n">
        <v>0</v>
      </c>
      <c r="BC212" s="174" t="n">
        <v>-0.07</v>
      </c>
      <c r="BD212" s="174" t="n">
        <v>0.005</v>
      </c>
      <c r="BE212" s="174" t="n">
        <v>0.35</v>
      </c>
      <c r="BF212" s="174" t="n">
        <v>0</v>
      </c>
      <c r="BG212" s="174" t="n">
        <v>-0.06</v>
      </c>
      <c r="BH212" s="174" t="n">
        <v>0</v>
      </c>
      <c r="BI212" s="174" t="n">
        <v>0</v>
      </c>
      <c r="BJ212" s="136" t="n">
        <v>0</v>
      </c>
      <c r="BK212" s="136" t="n">
        <v>0.35</v>
      </c>
      <c r="BL212" s="136" t="n">
        <v>0</v>
      </c>
      <c r="BM212" s="136" t="n">
        <v>0.05</v>
      </c>
      <c r="BN212" s="136" t="n">
        <v>0</v>
      </c>
      <c r="BO212" s="136" t="n">
        <v>-0.26</v>
      </c>
      <c r="BP212" s="136" t="n">
        <v>0</v>
      </c>
      <c r="BQ212" s="136" t="n">
        <v>0.5</v>
      </c>
      <c r="BR212" s="136" t="n">
        <v>0</v>
      </c>
      <c r="BS212" s="136" t="n">
        <v>-0.07</v>
      </c>
      <c r="BT212" s="136" t="n">
        <v>0.005</v>
      </c>
      <c r="BU212" s="136" t="n">
        <v>0.3</v>
      </c>
      <c r="BV212" s="136" t="n">
        <v>0</v>
      </c>
      <c r="BW212" s="136" t="n">
        <v>0</v>
      </c>
      <c r="BX212" s="136" t="n">
        <v>0</v>
      </c>
      <c r="BY212" s="136" t="n">
        <v>0</v>
      </c>
      <c r="BZ212" s="136" t="n">
        <v>0</v>
      </c>
      <c r="CA212" s="136" t="n">
        <v>0.235</v>
      </c>
      <c r="CB212" s="136" t="n">
        <v>0.005</v>
      </c>
      <c r="CC212" s="136" t="n">
        <v>0</v>
      </c>
      <c r="CD212" s="136" t="n">
        <v>0</v>
      </c>
      <c r="CE212" s="136" t="n">
        <v>0</v>
      </c>
      <c r="CF212" s="136" t="n">
        <v>0</v>
      </c>
      <c r="CG212" s="136" t="n">
        <v>0</v>
      </c>
      <c r="CH212" s="136" t="n">
        <v>0</v>
      </c>
      <c r="CI212" s="136" t="n">
        <v>0</v>
      </c>
      <c r="CJ212" s="136" t="n">
        <v>0</v>
      </c>
      <c r="CK212" s="136" t="n">
        <v>0</v>
      </c>
      <c r="CL212" s="136" t="n">
        <v>0</v>
      </c>
      <c r="CM212" s="136" t="n">
        <v>0</v>
      </c>
      <c r="CN212" s="136" t="n">
        <v>0</v>
      </c>
      <c r="CO212" s="136" t="n">
        <v>0</v>
      </c>
      <c r="CP212" s="136" t="n">
        <v>0</v>
      </c>
      <c r="CQ212" s="136" t="n">
        <v>0</v>
      </c>
      <c r="CR212" s="136" t="n">
        <v>0</v>
      </c>
      <c r="CS212" s="136" t="n">
        <v>1.6</v>
      </c>
      <c r="CT212" s="136" t="n">
        <v>0.45</v>
      </c>
      <c r="CU212" s="136" t="n">
        <v>0.05</v>
      </c>
      <c r="CV212" s="136" t="n">
        <v>0</v>
      </c>
      <c r="CW212" s="136" t="n">
        <v>0.34</v>
      </c>
      <c r="CX212" s="136" t="n">
        <v>0.02</v>
      </c>
      <c r="CY212" s="136" t="n">
        <v>-0.18</v>
      </c>
      <c r="CZ212" s="136" t="n">
        <v>0</v>
      </c>
      <c r="DA212" s="136" t="n">
        <v>0</v>
      </c>
      <c r="DB212" s="136" t="n">
        <v>0</v>
      </c>
      <c r="DC212" s="136" t="n">
        <v>0.35</v>
      </c>
      <c r="DE212" s="136" t="n">
        <v>-0.0315</v>
      </c>
      <c r="DF212" s="136" t="n">
        <v>0.0125</v>
      </c>
      <c r="DG212" s="136" t="n">
        <v>0.017</v>
      </c>
      <c r="DH212" s="136" t="n">
        <v>0.0075</v>
      </c>
      <c r="DI212" s="136" t="n">
        <v>0.002</v>
      </c>
      <c r="DJ212" s="136" t="n">
        <v>0.0025</v>
      </c>
      <c r="DK212" s="136" t="n">
        <v>0</v>
      </c>
      <c r="DL212" s="136" t="n">
        <v>0</v>
      </c>
      <c r="DM212" s="136" t="n">
        <v>0</v>
      </c>
      <c r="DN212" s="136" t="n">
        <v>0</v>
      </c>
      <c r="DO212" s="136" t="n">
        <v>0</v>
      </c>
      <c r="DP212" s="136" t="n">
        <v>0</v>
      </c>
      <c r="DQ212" s="136" t="n">
        <v>0</v>
      </c>
      <c r="DR212" s="136" t="n">
        <v>0</v>
      </c>
      <c r="DS212" s="136" t="n">
        <v>1.04</v>
      </c>
      <c r="DT212" s="136" t="n">
        <v>0.05</v>
      </c>
    </row>
    <row r="213" customFormat="false" ht="12.75" hidden="false" customHeight="false" outlineLevel="0" collapsed="false">
      <c r="D213" s="135" t="n">
        <v>43132</v>
      </c>
      <c r="F213" s="174" t="n">
        <v>4.6645</v>
      </c>
      <c r="G213" s="175" t="n">
        <v>0.0648930824696068</v>
      </c>
      <c r="H213" s="174" t="n">
        <v>0.17</v>
      </c>
      <c r="I213" s="174" t="n">
        <v>1</v>
      </c>
      <c r="J213" s="174" t="n">
        <v>1.05</v>
      </c>
      <c r="K213" s="174" t="n">
        <v>1</v>
      </c>
      <c r="L213" s="172" t="n">
        <v>1</v>
      </c>
      <c r="M213" s="172" t="n">
        <v>1.15</v>
      </c>
      <c r="N213" s="174" t="n">
        <v>1.45</v>
      </c>
      <c r="O213" s="174" t="n">
        <v>1.05</v>
      </c>
      <c r="P213" s="174" t="n">
        <v>1</v>
      </c>
      <c r="Q213" s="174" t="n">
        <v>1.35</v>
      </c>
      <c r="R213" s="175" t="n">
        <v>1</v>
      </c>
      <c r="S213" s="175" t="n">
        <v>1.1</v>
      </c>
      <c r="T213" s="174" t="n">
        <v>1</v>
      </c>
      <c r="U213" s="174" t="n">
        <v>1.45</v>
      </c>
      <c r="V213" s="174" t="n">
        <v>1.1</v>
      </c>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5"/>
      <c r="AZ213" s="175"/>
      <c r="BA213" s="175" t="n">
        <v>-0.13</v>
      </c>
      <c r="BB213" s="174" t="n">
        <v>0</v>
      </c>
      <c r="BC213" s="174" t="n">
        <v>-0.07</v>
      </c>
      <c r="BD213" s="174" t="n">
        <v>0.005</v>
      </c>
      <c r="BE213" s="174" t="n">
        <v>0.35</v>
      </c>
      <c r="BF213" s="174" t="n">
        <v>0</v>
      </c>
      <c r="BG213" s="174" t="n">
        <v>-0.06</v>
      </c>
      <c r="BH213" s="174" t="n">
        <v>0</v>
      </c>
      <c r="BI213" s="174" t="n">
        <v>0</v>
      </c>
      <c r="BJ213" s="136" t="n">
        <v>0</v>
      </c>
      <c r="BK213" s="136" t="n">
        <v>0.35</v>
      </c>
      <c r="BL213" s="136" t="n">
        <v>0</v>
      </c>
      <c r="BM213" s="136" t="n">
        <v>0.05</v>
      </c>
      <c r="BN213" s="136" t="n">
        <v>0</v>
      </c>
      <c r="BO213" s="136" t="n">
        <v>-0.26</v>
      </c>
      <c r="BP213" s="136" t="n">
        <v>0</v>
      </c>
      <c r="BQ213" s="136" t="n">
        <v>0.5</v>
      </c>
      <c r="BR213" s="136" t="n">
        <v>0</v>
      </c>
      <c r="BS213" s="136" t="n">
        <v>-0.07</v>
      </c>
      <c r="BT213" s="136" t="n">
        <v>0.005</v>
      </c>
      <c r="BU213" s="136" t="n">
        <v>0.3</v>
      </c>
      <c r="BV213" s="136" t="n">
        <v>0</v>
      </c>
      <c r="BW213" s="136" t="n">
        <v>0</v>
      </c>
      <c r="BX213" s="136" t="n">
        <v>0</v>
      </c>
      <c r="BY213" s="136" t="n">
        <v>0</v>
      </c>
      <c r="BZ213" s="136" t="n">
        <v>0</v>
      </c>
      <c r="CA213" s="136" t="n">
        <v>0.235</v>
      </c>
      <c r="CB213" s="136" t="n">
        <v>0.005</v>
      </c>
      <c r="CC213" s="136" t="n">
        <v>0</v>
      </c>
      <c r="CD213" s="136" t="n">
        <v>0</v>
      </c>
      <c r="CE213" s="136" t="n">
        <v>0</v>
      </c>
      <c r="CF213" s="136" t="n">
        <v>0</v>
      </c>
      <c r="CG213" s="136" t="n">
        <v>0</v>
      </c>
      <c r="CH213" s="136" t="n">
        <v>0</v>
      </c>
      <c r="CI213" s="136" t="n">
        <v>0</v>
      </c>
      <c r="CJ213" s="136" t="n">
        <v>0</v>
      </c>
      <c r="CK213" s="136" t="n">
        <v>0</v>
      </c>
      <c r="CL213" s="136" t="n">
        <v>0</v>
      </c>
      <c r="CM213" s="136" t="n">
        <v>0</v>
      </c>
      <c r="CN213" s="136" t="n">
        <v>0</v>
      </c>
      <c r="CO213" s="136" t="n">
        <v>0</v>
      </c>
      <c r="CP213" s="136" t="n">
        <v>0</v>
      </c>
      <c r="CQ213" s="136" t="n">
        <v>0</v>
      </c>
      <c r="CR213" s="136" t="n">
        <v>0</v>
      </c>
      <c r="CS213" s="136" t="n">
        <v>1.6</v>
      </c>
      <c r="CT213" s="136" t="n">
        <v>0.45</v>
      </c>
      <c r="CU213" s="136" t="n">
        <v>0.05</v>
      </c>
      <c r="CV213" s="136" t="n">
        <v>0</v>
      </c>
      <c r="CW213" s="136" t="n">
        <v>0.34</v>
      </c>
      <c r="CX213" s="136" t="n">
        <v>0.02</v>
      </c>
      <c r="CY213" s="136" t="n">
        <v>-0.18</v>
      </c>
      <c r="CZ213" s="136" t="n">
        <v>0</v>
      </c>
      <c r="DA213" s="136" t="n">
        <v>0</v>
      </c>
      <c r="DB213" s="136" t="n">
        <v>0</v>
      </c>
      <c r="DC213" s="136" t="n">
        <v>0.35</v>
      </c>
      <c r="DE213" s="136" t="n">
        <v>-0.0315</v>
      </c>
      <c r="DF213" s="136" t="n">
        <v>0.0125</v>
      </c>
      <c r="DG213" s="136" t="n">
        <v>0.017</v>
      </c>
      <c r="DH213" s="136" t="n">
        <v>0.0075</v>
      </c>
      <c r="DI213" s="136" t="n">
        <v>0.002</v>
      </c>
      <c r="DJ213" s="136" t="n">
        <v>0.0025</v>
      </c>
      <c r="DK213" s="136" t="n">
        <v>0</v>
      </c>
      <c r="DL213" s="136" t="n">
        <v>0</v>
      </c>
      <c r="DM213" s="136" t="n">
        <v>0</v>
      </c>
      <c r="DN213" s="136" t="n">
        <v>0</v>
      </c>
      <c r="DO213" s="136" t="n">
        <v>0</v>
      </c>
      <c r="DP213" s="136" t="n">
        <v>0</v>
      </c>
      <c r="DQ213" s="136" t="n">
        <v>0</v>
      </c>
      <c r="DR213" s="136" t="n">
        <v>0</v>
      </c>
      <c r="DS213" s="136" t="n">
        <v>1.04</v>
      </c>
      <c r="DT213" s="136" t="n">
        <v>0.05</v>
      </c>
    </row>
    <row r="214" customFormat="false" ht="12.75" hidden="false" customHeight="false" outlineLevel="0" collapsed="false">
      <c r="D214" s="135" t="n">
        <v>43160</v>
      </c>
      <c r="F214" s="174" t="n">
        <v>4.5345</v>
      </c>
      <c r="G214" s="175" t="n">
        <v>0.0649297029680547</v>
      </c>
      <c r="H214" s="174" t="n">
        <v>0.17</v>
      </c>
      <c r="I214" s="174" t="n">
        <v>0.75</v>
      </c>
      <c r="J214" s="174" t="n">
        <v>0.8</v>
      </c>
      <c r="K214" s="174" t="n">
        <v>0.75</v>
      </c>
      <c r="L214" s="172" t="n">
        <v>0.75</v>
      </c>
      <c r="M214" s="172" t="n">
        <v>0.85</v>
      </c>
      <c r="N214" s="174" t="n">
        <v>1</v>
      </c>
      <c r="O214" s="174" t="n">
        <v>0.75</v>
      </c>
      <c r="P214" s="174" t="n">
        <v>0.75</v>
      </c>
      <c r="Q214" s="174" t="n">
        <v>0.95</v>
      </c>
      <c r="R214" s="175" t="n">
        <v>0.75</v>
      </c>
      <c r="S214" s="175" t="n">
        <v>0.75</v>
      </c>
      <c r="T214" s="174" t="n">
        <v>0.75</v>
      </c>
      <c r="U214" s="174" t="n">
        <v>1</v>
      </c>
      <c r="V214" s="174" t="n">
        <v>0.85</v>
      </c>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5"/>
      <c r="AZ214" s="175"/>
      <c r="BA214" s="175" t="n">
        <v>-0.13</v>
      </c>
      <c r="BB214" s="174" t="n">
        <v>0</v>
      </c>
      <c r="BC214" s="174" t="n">
        <v>-0.07</v>
      </c>
      <c r="BD214" s="174" t="n">
        <v>0.005</v>
      </c>
      <c r="BE214" s="174" t="n">
        <v>0.35</v>
      </c>
      <c r="BF214" s="174" t="n">
        <v>0</v>
      </c>
      <c r="BG214" s="174" t="n">
        <v>-0.06</v>
      </c>
      <c r="BH214" s="174" t="n">
        <v>0</v>
      </c>
      <c r="BI214" s="174" t="n">
        <v>0</v>
      </c>
      <c r="BJ214" s="136" t="n">
        <v>0</v>
      </c>
      <c r="BK214" s="136" t="n">
        <v>0.35</v>
      </c>
      <c r="BL214" s="136" t="n">
        <v>0</v>
      </c>
      <c r="BM214" s="136" t="n">
        <v>0.05</v>
      </c>
      <c r="BN214" s="136" t="n">
        <v>0</v>
      </c>
      <c r="BO214" s="136" t="n">
        <v>-0.26</v>
      </c>
      <c r="BP214" s="136" t="n">
        <v>0</v>
      </c>
      <c r="BQ214" s="136" t="n">
        <v>0.5</v>
      </c>
      <c r="BR214" s="136" t="n">
        <v>0</v>
      </c>
      <c r="BS214" s="136" t="n">
        <v>-0.07</v>
      </c>
      <c r="BT214" s="136" t="n">
        <v>0.005</v>
      </c>
      <c r="BU214" s="136" t="n">
        <v>0.3</v>
      </c>
      <c r="BV214" s="136" t="n">
        <v>0</v>
      </c>
      <c r="BW214" s="136" t="n">
        <v>0</v>
      </c>
      <c r="BX214" s="136" t="n">
        <v>0</v>
      </c>
      <c r="BY214" s="136" t="n">
        <v>0</v>
      </c>
      <c r="BZ214" s="136" t="n">
        <v>0</v>
      </c>
      <c r="CA214" s="136" t="n">
        <v>0.195</v>
      </c>
      <c r="CB214" s="136" t="n">
        <v>0.005</v>
      </c>
      <c r="CC214" s="136" t="n">
        <v>0</v>
      </c>
      <c r="CD214" s="136" t="n">
        <v>0</v>
      </c>
      <c r="CE214" s="136" t="n">
        <v>0</v>
      </c>
      <c r="CF214" s="136" t="n">
        <v>0</v>
      </c>
      <c r="CG214" s="136" t="n">
        <v>0</v>
      </c>
      <c r="CH214" s="136" t="n">
        <v>0</v>
      </c>
      <c r="CI214" s="136" t="n">
        <v>0</v>
      </c>
      <c r="CJ214" s="136" t="n">
        <v>0</v>
      </c>
      <c r="CK214" s="136" t="n">
        <v>0</v>
      </c>
      <c r="CL214" s="136" t="n">
        <v>0</v>
      </c>
      <c r="CM214" s="136" t="n">
        <v>0</v>
      </c>
      <c r="CN214" s="136" t="n">
        <v>0</v>
      </c>
      <c r="CO214" s="136" t="n">
        <v>0</v>
      </c>
      <c r="CP214" s="136" t="n">
        <v>0</v>
      </c>
      <c r="CQ214" s="136" t="n">
        <v>0</v>
      </c>
      <c r="CR214" s="136" t="n">
        <v>0</v>
      </c>
      <c r="CS214" s="136" t="n">
        <v>0.64</v>
      </c>
      <c r="CT214" s="136" t="n">
        <v>0.1</v>
      </c>
      <c r="CU214" s="136" t="n">
        <v>0.05</v>
      </c>
      <c r="CV214" s="136" t="n">
        <v>0</v>
      </c>
      <c r="CW214" s="136" t="n">
        <v>0.29</v>
      </c>
      <c r="CX214" s="136" t="n">
        <v>0.02</v>
      </c>
      <c r="CY214" s="136" t="n">
        <v>-0.18</v>
      </c>
      <c r="CZ214" s="136" t="n">
        <v>0</v>
      </c>
      <c r="DA214" s="136" t="n">
        <v>0</v>
      </c>
      <c r="DB214" s="136" t="n">
        <v>0</v>
      </c>
      <c r="DC214" s="136" t="n">
        <v>0.4</v>
      </c>
      <c r="DE214" s="136" t="n">
        <v>-0.0315</v>
      </c>
      <c r="DF214" s="136" t="n">
        <v>0.0125</v>
      </c>
      <c r="DG214" s="136" t="n">
        <v>0.022</v>
      </c>
      <c r="DH214" s="136" t="n">
        <v>0.0075</v>
      </c>
      <c r="DI214" s="136" t="n">
        <v>0.007</v>
      </c>
      <c r="DJ214" s="136" t="n">
        <v>0.0025</v>
      </c>
      <c r="DK214" s="136" t="n">
        <v>0</v>
      </c>
      <c r="DL214" s="136" t="n">
        <v>0</v>
      </c>
      <c r="DM214" s="136" t="n">
        <v>0</v>
      </c>
      <c r="DN214" s="136" t="n">
        <v>0</v>
      </c>
      <c r="DO214" s="136" t="n">
        <v>0</v>
      </c>
      <c r="DP214" s="136" t="n">
        <v>0</v>
      </c>
      <c r="DQ214" s="136" t="n">
        <v>0</v>
      </c>
      <c r="DR214" s="136" t="n">
        <v>0</v>
      </c>
      <c r="DS214" s="136" t="n">
        <v>0.54</v>
      </c>
      <c r="DT214" s="136" t="n">
        <v>0.05</v>
      </c>
    </row>
    <row r="215" customFormat="false" ht="12.75" hidden="false" customHeight="false" outlineLevel="0" collapsed="false">
      <c r="D215" s="135" t="n">
        <v>43191</v>
      </c>
      <c r="F215" s="174" t="n">
        <v>4.3495</v>
      </c>
      <c r="G215" s="175" t="n">
        <v>0.0649702470918556</v>
      </c>
      <c r="H215" s="174" t="n">
        <v>0.17</v>
      </c>
      <c r="I215" s="174" t="n">
        <v>0.4</v>
      </c>
      <c r="J215" s="174" t="n">
        <v>0.45</v>
      </c>
      <c r="K215" s="174" t="n">
        <v>0.4</v>
      </c>
      <c r="L215" s="172" t="n">
        <v>0.45</v>
      </c>
      <c r="M215" s="172" t="n">
        <v>0.45</v>
      </c>
      <c r="N215" s="174" t="n">
        <v>0.45</v>
      </c>
      <c r="O215" s="174" t="n">
        <v>0.45</v>
      </c>
      <c r="P215" s="174" t="n">
        <v>0.45</v>
      </c>
      <c r="Q215" s="174" t="n">
        <v>0.5</v>
      </c>
      <c r="R215" s="175" t="n">
        <v>0.4</v>
      </c>
      <c r="S215" s="175" t="n">
        <v>0.45</v>
      </c>
      <c r="T215" s="174" t="n">
        <v>0.4</v>
      </c>
      <c r="U215" s="174" t="n">
        <v>0.45</v>
      </c>
      <c r="V215" s="174" t="n">
        <v>0.55</v>
      </c>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5"/>
      <c r="AZ215" s="175"/>
      <c r="BA215" s="175" t="n">
        <v>-0.195</v>
      </c>
      <c r="BB215" s="174" t="n">
        <v>0</v>
      </c>
      <c r="BC215" s="174" t="n">
        <v>-0.07</v>
      </c>
      <c r="BD215" s="174" t="n">
        <v>0.005</v>
      </c>
      <c r="BE215" s="174" t="n">
        <v>0.43</v>
      </c>
      <c r="BF215" s="174" t="n">
        <v>0</v>
      </c>
      <c r="BG215" s="174" t="n">
        <v>-0.06</v>
      </c>
      <c r="BH215" s="174" t="n">
        <v>0</v>
      </c>
      <c r="BI215" s="174" t="n">
        <v>0</v>
      </c>
      <c r="BJ215" s="136" t="n">
        <v>0</v>
      </c>
      <c r="BK215" s="136" t="n">
        <v>0.43</v>
      </c>
      <c r="BL215" s="136" t="n">
        <v>0</v>
      </c>
      <c r="BM215" s="136" t="n">
        <v>0.05</v>
      </c>
      <c r="BN215" s="136" t="n">
        <v>0</v>
      </c>
      <c r="BO215" s="136" t="n">
        <v>-0.37</v>
      </c>
      <c r="BP215" s="136" t="n">
        <v>0</v>
      </c>
      <c r="BQ215" s="136" t="n">
        <v>0.5</v>
      </c>
      <c r="BR215" s="136" t="n">
        <v>0</v>
      </c>
      <c r="BS215" s="136" t="n">
        <v>-0.07</v>
      </c>
      <c r="BT215" s="136" t="n">
        <v>0.005</v>
      </c>
      <c r="BU215" s="136" t="n">
        <v>0.3</v>
      </c>
      <c r="BV215" s="136" t="n">
        <v>0</v>
      </c>
      <c r="BW215" s="136" t="n">
        <v>0</v>
      </c>
      <c r="BX215" s="136" t="n">
        <v>0</v>
      </c>
      <c r="BY215" s="136" t="n">
        <v>0</v>
      </c>
      <c r="BZ215" s="136" t="n">
        <v>0</v>
      </c>
      <c r="CA215" s="136" t="n">
        <v>0.145</v>
      </c>
      <c r="CB215" s="136" t="n">
        <v>0.005</v>
      </c>
      <c r="CC215" s="136" t="n">
        <v>0</v>
      </c>
      <c r="CD215" s="136" t="n">
        <v>0</v>
      </c>
      <c r="CE215" s="136" t="n">
        <v>0</v>
      </c>
      <c r="CF215" s="136" t="n">
        <v>0</v>
      </c>
      <c r="CG215" s="136" t="n">
        <v>0</v>
      </c>
      <c r="CH215" s="136" t="n">
        <v>0</v>
      </c>
      <c r="CI215" s="136" t="n">
        <v>0</v>
      </c>
      <c r="CJ215" s="136" t="n">
        <v>0</v>
      </c>
      <c r="CK215" s="136" t="n">
        <v>0</v>
      </c>
      <c r="CL215" s="136" t="n">
        <v>0</v>
      </c>
      <c r="CM215" s="136" t="n">
        <v>0</v>
      </c>
      <c r="CN215" s="136" t="n">
        <v>0</v>
      </c>
      <c r="CO215" s="136" t="n">
        <v>0</v>
      </c>
      <c r="CP215" s="136" t="n">
        <v>0</v>
      </c>
      <c r="CQ215" s="136" t="n">
        <v>0</v>
      </c>
      <c r="CR215" s="136" t="n">
        <v>0</v>
      </c>
      <c r="CS215" s="136" t="n">
        <v>0.38</v>
      </c>
      <c r="CT215" s="136" t="n">
        <v>0.02</v>
      </c>
      <c r="CU215" s="136" t="n">
        <v>0.05</v>
      </c>
      <c r="CV215" s="136" t="n">
        <v>0</v>
      </c>
      <c r="CW215" s="136" t="n">
        <v>0.195</v>
      </c>
      <c r="CX215" s="136" t="n">
        <v>0.0075</v>
      </c>
      <c r="CY215" s="136" t="n">
        <v>-0.18</v>
      </c>
      <c r="CZ215" s="136" t="n">
        <v>0</v>
      </c>
      <c r="DA215" s="136" t="n">
        <v>0</v>
      </c>
      <c r="DB215" s="136" t="n">
        <v>0</v>
      </c>
      <c r="DC215" s="136" t="n">
        <v>0.6</v>
      </c>
      <c r="DE215" s="136" t="n">
        <v>-0.039</v>
      </c>
      <c r="DF215" s="136" t="n">
        <v>0.01</v>
      </c>
      <c r="DG215" s="136" t="n">
        <v>0.022</v>
      </c>
      <c r="DH215" s="136" t="n">
        <v>0.01</v>
      </c>
      <c r="DI215" s="136" t="n">
        <v>0.007</v>
      </c>
      <c r="DJ215" s="136" t="n">
        <v>0.0075</v>
      </c>
      <c r="DK215" s="136" t="n">
        <v>0</v>
      </c>
      <c r="DL215" s="136" t="n">
        <v>0</v>
      </c>
      <c r="DM215" s="136" t="n">
        <v>0</v>
      </c>
      <c r="DN215" s="136" t="n">
        <v>0</v>
      </c>
      <c r="DO215" s="136" t="n">
        <v>0</v>
      </c>
      <c r="DP215" s="136" t="n">
        <v>0</v>
      </c>
      <c r="DQ215" s="136" t="n">
        <v>0</v>
      </c>
      <c r="DR215" s="136" t="n">
        <v>0</v>
      </c>
      <c r="DS215" s="136" t="n">
        <v>0.36</v>
      </c>
      <c r="DT215" s="136" t="n">
        <v>0.005</v>
      </c>
    </row>
    <row r="216" customFormat="false" ht="12.75" hidden="false" customHeight="false" outlineLevel="0" collapsed="false">
      <c r="D216" s="135" t="n">
        <v>43221</v>
      </c>
      <c r="F216" s="174" t="n">
        <v>4.3445</v>
      </c>
      <c r="G216" s="175" t="n">
        <v>0.0650094833412136</v>
      </c>
      <c r="H216" s="174" t="n">
        <v>0.17</v>
      </c>
      <c r="I216" s="174" t="n">
        <v>0.45</v>
      </c>
      <c r="J216" s="174" t="n">
        <v>0.5</v>
      </c>
      <c r="K216" s="174" t="n">
        <v>0.4</v>
      </c>
      <c r="L216" s="172" t="n">
        <v>0.4</v>
      </c>
      <c r="M216" s="172" t="n">
        <v>0.45</v>
      </c>
      <c r="N216" s="174" t="n">
        <v>0.5</v>
      </c>
      <c r="O216" s="174" t="n">
        <v>0.45</v>
      </c>
      <c r="P216" s="174" t="n">
        <v>0.4</v>
      </c>
      <c r="Q216" s="174" t="n">
        <v>0.45</v>
      </c>
      <c r="R216" s="175" t="n">
        <v>0.45</v>
      </c>
      <c r="S216" s="175" t="n">
        <v>0.5</v>
      </c>
      <c r="T216" s="174" t="n">
        <v>0.45</v>
      </c>
      <c r="U216" s="174" t="n">
        <v>0.5</v>
      </c>
      <c r="V216" s="174" t="n">
        <v>0.5</v>
      </c>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5"/>
      <c r="AZ216" s="175"/>
      <c r="BA216" s="175" t="n">
        <v>-0.195</v>
      </c>
      <c r="BB216" s="174" t="n">
        <v>0</v>
      </c>
      <c r="BC216" s="174" t="n">
        <v>-0.07</v>
      </c>
      <c r="BD216" s="174" t="n">
        <v>0.005</v>
      </c>
      <c r="BE216" s="174" t="n">
        <v>0.43</v>
      </c>
      <c r="BF216" s="174" t="n">
        <v>0</v>
      </c>
      <c r="BG216" s="174" t="n">
        <v>-0.06</v>
      </c>
      <c r="BH216" s="174" t="n">
        <v>0</v>
      </c>
      <c r="BI216" s="174" t="n">
        <v>0</v>
      </c>
      <c r="BJ216" s="136" t="n">
        <v>0</v>
      </c>
      <c r="BK216" s="136" t="n">
        <v>0.43</v>
      </c>
      <c r="BL216" s="136" t="n">
        <v>0</v>
      </c>
      <c r="BM216" s="136" t="n">
        <v>0.05</v>
      </c>
      <c r="BN216" s="136" t="n">
        <v>0</v>
      </c>
      <c r="BO216" s="136" t="n">
        <v>-0.37</v>
      </c>
      <c r="BP216" s="136" t="n">
        <v>0</v>
      </c>
      <c r="BQ216" s="136" t="n">
        <v>0.5</v>
      </c>
      <c r="BR216" s="136" t="n">
        <v>0</v>
      </c>
      <c r="BS216" s="136" t="n">
        <v>-0.07</v>
      </c>
      <c r="BT216" s="136" t="n">
        <v>0.005</v>
      </c>
      <c r="BU216" s="136" t="n">
        <v>0.3</v>
      </c>
      <c r="BV216" s="136" t="n">
        <v>0</v>
      </c>
      <c r="BW216" s="136" t="n">
        <v>0</v>
      </c>
      <c r="BX216" s="136" t="n">
        <v>0</v>
      </c>
      <c r="BY216" s="136" t="n">
        <v>0</v>
      </c>
      <c r="BZ216" s="136" t="n">
        <v>0</v>
      </c>
      <c r="CA216" s="136" t="n">
        <v>0.125</v>
      </c>
      <c r="CB216" s="136" t="n">
        <v>0.005</v>
      </c>
      <c r="CC216" s="136" t="n">
        <v>0</v>
      </c>
      <c r="CD216" s="136" t="n">
        <v>0</v>
      </c>
      <c r="CE216" s="136" t="n">
        <v>0</v>
      </c>
      <c r="CF216" s="136" t="n">
        <v>0</v>
      </c>
      <c r="CG216" s="136" t="n">
        <v>0</v>
      </c>
      <c r="CH216" s="136" t="n">
        <v>0</v>
      </c>
      <c r="CI216" s="136" t="n">
        <v>0</v>
      </c>
      <c r="CJ216" s="136" t="n">
        <v>0</v>
      </c>
      <c r="CK216" s="136" t="n">
        <v>0</v>
      </c>
      <c r="CL216" s="136" t="n">
        <v>0</v>
      </c>
      <c r="CM216" s="136" t="n">
        <v>0</v>
      </c>
      <c r="CN216" s="136" t="n">
        <v>0</v>
      </c>
      <c r="CO216" s="136" t="n">
        <v>0</v>
      </c>
      <c r="CP216" s="136" t="n">
        <v>0</v>
      </c>
      <c r="CQ216" s="136" t="n">
        <v>0</v>
      </c>
      <c r="CR216" s="136" t="n">
        <v>0</v>
      </c>
      <c r="CS216" s="136" t="n">
        <v>0.33</v>
      </c>
      <c r="CT216" s="136" t="n">
        <v>0.02</v>
      </c>
      <c r="CU216" s="136" t="n">
        <v>0.05</v>
      </c>
      <c r="CV216" s="136" t="n">
        <v>0</v>
      </c>
      <c r="CW216" s="136" t="n">
        <v>0.135</v>
      </c>
      <c r="CX216" s="136" t="n">
        <v>0.0075</v>
      </c>
      <c r="CY216" s="136" t="n">
        <v>-0.18</v>
      </c>
      <c r="CZ216" s="136" t="n">
        <v>0</v>
      </c>
      <c r="DA216" s="136" t="n">
        <v>0</v>
      </c>
      <c r="DB216" s="136" t="n">
        <v>0</v>
      </c>
      <c r="DC216" s="136" t="n">
        <v>0.75</v>
      </c>
      <c r="DE216" s="136" t="n">
        <v>-0.039</v>
      </c>
      <c r="DF216" s="136" t="n">
        <v>0.01</v>
      </c>
      <c r="DG216" s="136" t="n">
        <v>0.0245</v>
      </c>
      <c r="DH216" s="136" t="n">
        <v>0.01</v>
      </c>
      <c r="DI216" s="136" t="n">
        <v>0.0095</v>
      </c>
      <c r="DJ216" s="136" t="n">
        <v>0.0075</v>
      </c>
      <c r="DK216" s="136" t="n">
        <v>0</v>
      </c>
      <c r="DL216" s="136" t="n">
        <v>0</v>
      </c>
      <c r="DM216" s="136" t="n">
        <v>0</v>
      </c>
      <c r="DN216" s="136" t="n">
        <v>0</v>
      </c>
      <c r="DO216" s="136" t="n">
        <v>0</v>
      </c>
      <c r="DP216" s="136" t="n">
        <v>0</v>
      </c>
      <c r="DQ216" s="136" t="n">
        <v>0</v>
      </c>
      <c r="DR216" s="136" t="n">
        <v>0</v>
      </c>
      <c r="DS216" s="136" t="n">
        <v>0.325</v>
      </c>
      <c r="DT216" s="136" t="n">
        <v>0.005</v>
      </c>
    </row>
    <row r="217" customFormat="false" ht="12.75" hidden="false" customHeight="false" outlineLevel="0" collapsed="false">
      <c r="D217" s="135" t="n">
        <v>43252</v>
      </c>
      <c r="F217" s="174" t="n">
        <v>4.3795</v>
      </c>
      <c r="G217" s="175" t="n">
        <v>0.0650500274660866</v>
      </c>
      <c r="H217" s="174" t="n">
        <v>0.17</v>
      </c>
      <c r="I217" s="174" t="n">
        <v>0.45</v>
      </c>
      <c r="J217" s="174" t="n">
        <v>0.5</v>
      </c>
      <c r="K217" s="174" t="n">
        <v>0.4</v>
      </c>
      <c r="L217" s="172" t="n">
        <v>0.5</v>
      </c>
      <c r="M217" s="172" t="n">
        <v>0.45</v>
      </c>
      <c r="N217" s="174" t="n">
        <v>0.5</v>
      </c>
      <c r="O217" s="174" t="n">
        <v>0.5</v>
      </c>
      <c r="P217" s="174" t="n">
        <v>0.5</v>
      </c>
      <c r="Q217" s="174" t="n">
        <v>0.5</v>
      </c>
      <c r="R217" s="175" t="n">
        <v>0.45</v>
      </c>
      <c r="S217" s="175" t="n">
        <v>0.5</v>
      </c>
      <c r="T217" s="174" t="n">
        <v>0.45</v>
      </c>
      <c r="U217" s="174" t="n">
        <v>0.5</v>
      </c>
      <c r="V217" s="174" t="n">
        <v>0.6</v>
      </c>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5"/>
      <c r="AZ217" s="175"/>
      <c r="BA217" s="175" t="n">
        <v>-0.195</v>
      </c>
      <c r="BB217" s="174" t="n">
        <v>0</v>
      </c>
      <c r="BC217" s="174" t="n">
        <v>-0.07</v>
      </c>
      <c r="BD217" s="174" t="n">
        <v>0.005</v>
      </c>
      <c r="BE217" s="174" t="n">
        <v>0.43</v>
      </c>
      <c r="BF217" s="174" t="n">
        <v>0</v>
      </c>
      <c r="BG217" s="174" t="n">
        <v>-0.06</v>
      </c>
      <c r="BH217" s="174" t="n">
        <v>0</v>
      </c>
      <c r="BI217" s="174" t="n">
        <v>0</v>
      </c>
      <c r="BJ217" s="136" t="n">
        <v>0</v>
      </c>
      <c r="BK217" s="136" t="n">
        <v>0.43</v>
      </c>
      <c r="BL217" s="136" t="n">
        <v>0</v>
      </c>
      <c r="BM217" s="136" t="n">
        <v>0.05</v>
      </c>
      <c r="BN217" s="136" t="n">
        <v>0</v>
      </c>
      <c r="BO217" s="136" t="n">
        <v>-0.37</v>
      </c>
      <c r="BP217" s="136" t="n">
        <v>0</v>
      </c>
      <c r="BQ217" s="136" t="n">
        <v>0.5</v>
      </c>
      <c r="BR217" s="136" t="n">
        <v>0</v>
      </c>
      <c r="BS217" s="136" t="n">
        <v>-0.07</v>
      </c>
      <c r="BT217" s="136" t="n">
        <v>0.005</v>
      </c>
      <c r="BU217" s="136" t="n">
        <v>0.3</v>
      </c>
      <c r="BV217" s="136" t="n">
        <v>0</v>
      </c>
      <c r="BW217" s="136" t="n">
        <v>0</v>
      </c>
      <c r="BX217" s="136" t="n">
        <v>0</v>
      </c>
      <c r="BY217" s="136" t="n">
        <v>0</v>
      </c>
      <c r="BZ217" s="136" t="n">
        <v>0</v>
      </c>
      <c r="CA217" s="136" t="n">
        <v>0.145</v>
      </c>
      <c r="CB217" s="136" t="n">
        <v>0.005</v>
      </c>
      <c r="CC217" s="136" t="n">
        <v>0</v>
      </c>
      <c r="CD217" s="136" t="n">
        <v>0</v>
      </c>
      <c r="CE217" s="136" t="n">
        <v>0</v>
      </c>
      <c r="CF217" s="136" t="n">
        <v>0</v>
      </c>
      <c r="CG217" s="136" t="n">
        <v>0</v>
      </c>
      <c r="CH217" s="136" t="n">
        <v>0</v>
      </c>
      <c r="CI217" s="136" t="n">
        <v>0</v>
      </c>
      <c r="CJ217" s="136" t="n">
        <v>0</v>
      </c>
      <c r="CK217" s="136" t="n">
        <v>0</v>
      </c>
      <c r="CL217" s="136" t="n">
        <v>0</v>
      </c>
      <c r="CM217" s="136" t="n">
        <v>0</v>
      </c>
      <c r="CN217" s="136" t="n">
        <v>0</v>
      </c>
      <c r="CO217" s="136" t="n">
        <v>0</v>
      </c>
      <c r="CP217" s="136" t="n">
        <v>0</v>
      </c>
      <c r="CQ217" s="136" t="n">
        <v>0</v>
      </c>
      <c r="CR217" s="136" t="n">
        <v>0</v>
      </c>
      <c r="CS217" s="136" t="n">
        <v>0.37</v>
      </c>
      <c r="CT217" s="136" t="n">
        <v>0.035</v>
      </c>
      <c r="CU217" s="136" t="n">
        <v>0.05</v>
      </c>
      <c r="CV217" s="136" t="n">
        <v>0</v>
      </c>
      <c r="CW217" s="136" t="n">
        <v>0.165</v>
      </c>
      <c r="CX217" s="136" t="n">
        <v>0.0075</v>
      </c>
      <c r="CY217" s="136" t="n">
        <v>-0.18</v>
      </c>
      <c r="CZ217" s="136" t="n">
        <v>0</v>
      </c>
      <c r="DA217" s="136" t="n">
        <v>0</v>
      </c>
      <c r="DB217" s="136" t="n">
        <v>0</v>
      </c>
      <c r="DC217" s="136" t="n">
        <v>0.85</v>
      </c>
      <c r="DE217" s="136" t="n">
        <v>-0.0365</v>
      </c>
      <c r="DF217" s="136" t="n">
        <v>0.01</v>
      </c>
      <c r="DG217" s="136" t="n">
        <v>0.0245</v>
      </c>
      <c r="DH217" s="136" t="n">
        <v>0.01</v>
      </c>
      <c r="DI217" s="136" t="n">
        <v>0.0095</v>
      </c>
      <c r="DJ217" s="136" t="n">
        <v>0.0075</v>
      </c>
      <c r="DK217" s="136" t="n">
        <v>0</v>
      </c>
      <c r="DL217" s="136" t="n">
        <v>0</v>
      </c>
      <c r="DM217" s="136" t="n">
        <v>0</v>
      </c>
      <c r="DN217" s="136" t="n">
        <v>0</v>
      </c>
      <c r="DO217" s="136" t="n">
        <v>0</v>
      </c>
      <c r="DP217" s="136" t="n">
        <v>0</v>
      </c>
      <c r="DQ217" s="136" t="n">
        <v>0</v>
      </c>
      <c r="DR217" s="136" t="n">
        <v>0</v>
      </c>
      <c r="DS217" s="136" t="n">
        <v>0.335</v>
      </c>
      <c r="DT217" s="136" t="n">
        <v>0.005</v>
      </c>
    </row>
    <row r="218" customFormat="false" ht="12.75" hidden="false" customHeight="false" outlineLevel="0" collapsed="false">
      <c r="D218" s="135" t="n">
        <v>43282</v>
      </c>
      <c r="F218" s="174" t="n">
        <v>4.4195</v>
      </c>
      <c r="G218" s="175" t="n">
        <v>0.0650892637164815</v>
      </c>
      <c r="H218" s="174" t="n">
        <v>0.17</v>
      </c>
      <c r="I218" s="174" t="n">
        <v>0.5</v>
      </c>
      <c r="J218" s="174" t="n">
        <v>0.5</v>
      </c>
      <c r="K218" s="174" t="n">
        <v>0.4</v>
      </c>
      <c r="L218" s="172" t="n">
        <v>0.5</v>
      </c>
      <c r="M218" s="172" t="n">
        <v>0.5</v>
      </c>
      <c r="N218" s="174" t="n">
        <v>0.5</v>
      </c>
      <c r="O218" s="174" t="n">
        <v>0.5</v>
      </c>
      <c r="P218" s="174" t="n">
        <v>0.5</v>
      </c>
      <c r="Q218" s="174" t="n">
        <v>0.5</v>
      </c>
      <c r="R218" s="175" t="n">
        <v>0.5</v>
      </c>
      <c r="S218" s="175" t="n">
        <v>0.55</v>
      </c>
      <c r="T218" s="174" t="n">
        <v>0.5</v>
      </c>
      <c r="U218" s="174" t="n">
        <v>0.5</v>
      </c>
      <c r="V218" s="174" t="n">
        <v>0.6</v>
      </c>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5"/>
      <c r="AZ218" s="175"/>
      <c r="BA218" s="175" t="n">
        <v>-0.195</v>
      </c>
      <c r="BB218" s="174" t="n">
        <v>0</v>
      </c>
      <c r="BC218" s="174" t="n">
        <v>-0.07</v>
      </c>
      <c r="BD218" s="174" t="n">
        <v>0.005</v>
      </c>
      <c r="BE218" s="174" t="n">
        <v>0.43</v>
      </c>
      <c r="BF218" s="174" t="n">
        <v>0</v>
      </c>
      <c r="BG218" s="174" t="n">
        <v>-0.06</v>
      </c>
      <c r="BH218" s="174" t="n">
        <v>0</v>
      </c>
      <c r="BI218" s="174" t="n">
        <v>0</v>
      </c>
      <c r="BJ218" s="136" t="n">
        <v>0</v>
      </c>
      <c r="BK218" s="136" t="n">
        <v>0.43</v>
      </c>
      <c r="BL218" s="136" t="n">
        <v>0</v>
      </c>
      <c r="BM218" s="136" t="n">
        <v>0.05</v>
      </c>
      <c r="BN218" s="136" t="n">
        <v>0</v>
      </c>
      <c r="BO218" s="136" t="n">
        <v>-0.37</v>
      </c>
      <c r="BP218" s="136" t="n">
        <v>0</v>
      </c>
      <c r="BQ218" s="136" t="n">
        <v>0.5</v>
      </c>
      <c r="BR218" s="136" t="n">
        <v>0</v>
      </c>
      <c r="BS218" s="136" t="n">
        <v>-0.07</v>
      </c>
      <c r="BT218" s="136" t="n">
        <v>0.005</v>
      </c>
      <c r="BU218" s="136" t="n">
        <v>0.3</v>
      </c>
      <c r="BV218" s="136" t="n">
        <v>0</v>
      </c>
      <c r="BW218" s="136" t="n">
        <v>0</v>
      </c>
      <c r="BX218" s="136" t="n">
        <v>0</v>
      </c>
      <c r="BY218" s="136" t="n">
        <v>0</v>
      </c>
      <c r="BZ218" s="136" t="n">
        <v>0</v>
      </c>
      <c r="CA218" s="136" t="n">
        <v>0.15</v>
      </c>
      <c r="CB218" s="136" t="n">
        <v>0.005</v>
      </c>
      <c r="CC218" s="136" t="n">
        <v>0</v>
      </c>
      <c r="CD218" s="136" t="n">
        <v>0</v>
      </c>
      <c r="CE218" s="136" t="n">
        <v>0</v>
      </c>
      <c r="CF218" s="136" t="n">
        <v>0</v>
      </c>
      <c r="CG218" s="136" t="n">
        <v>0</v>
      </c>
      <c r="CH218" s="136" t="n">
        <v>0</v>
      </c>
      <c r="CI218" s="136" t="n">
        <v>0</v>
      </c>
      <c r="CJ218" s="136" t="n">
        <v>0</v>
      </c>
      <c r="CK218" s="136" t="n">
        <v>0</v>
      </c>
      <c r="CL218" s="136" t="n">
        <v>0</v>
      </c>
      <c r="CM218" s="136" t="n">
        <v>0</v>
      </c>
      <c r="CN218" s="136" t="n">
        <v>0</v>
      </c>
      <c r="CO218" s="136" t="n">
        <v>0</v>
      </c>
      <c r="CP218" s="136" t="n">
        <v>0</v>
      </c>
      <c r="CQ218" s="136" t="n">
        <v>0</v>
      </c>
      <c r="CR218" s="136" t="n">
        <v>0</v>
      </c>
      <c r="CS218" s="136" t="n">
        <v>0.41</v>
      </c>
      <c r="CT218" s="136" t="n">
        <v>0.035</v>
      </c>
      <c r="CU218" s="136" t="n">
        <v>0.05</v>
      </c>
      <c r="CV218" s="136" t="n">
        <v>0</v>
      </c>
      <c r="CW218" s="136" t="n">
        <v>0.205</v>
      </c>
      <c r="CX218" s="136" t="n">
        <v>0.0075</v>
      </c>
      <c r="CY218" s="136" t="n">
        <v>-0.18</v>
      </c>
      <c r="CZ218" s="136" t="n">
        <v>0</v>
      </c>
      <c r="DA218" s="136" t="n">
        <v>0</v>
      </c>
      <c r="DB218" s="136" t="n">
        <v>0</v>
      </c>
      <c r="DC218" s="136" t="n">
        <v>1.05</v>
      </c>
      <c r="DE218" s="136" t="n">
        <v>-0.0365</v>
      </c>
      <c r="DF218" s="136" t="n">
        <v>0.01</v>
      </c>
      <c r="DG218" s="136" t="n">
        <v>0.0245</v>
      </c>
      <c r="DH218" s="136" t="n">
        <v>0.01</v>
      </c>
      <c r="DI218" s="136" t="n">
        <v>0.0095</v>
      </c>
      <c r="DJ218" s="136" t="n">
        <v>0.0075</v>
      </c>
      <c r="DK218" s="136" t="n">
        <v>0</v>
      </c>
      <c r="DL218" s="136" t="n">
        <v>0</v>
      </c>
      <c r="DM218" s="136" t="n">
        <v>0</v>
      </c>
      <c r="DN218" s="136" t="n">
        <v>0</v>
      </c>
      <c r="DO218" s="136" t="n">
        <v>0</v>
      </c>
      <c r="DP218" s="136" t="n">
        <v>0</v>
      </c>
      <c r="DQ218" s="136" t="n">
        <v>0</v>
      </c>
      <c r="DR218" s="136" t="n">
        <v>0</v>
      </c>
      <c r="DS218" s="136" t="n">
        <v>0.35</v>
      </c>
      <c r="DT218" s="136" t="n">
        <v>0.005</v>
      </c>
    </row>
    <row r="219" customFormat="false" ht="12.75" hidden="false" customHeight="false" outlineLevel="0" collapsed="false">
      <c r="D219" s="135" t="n">
        <v>43313</v>
      </c>
      <c r="F219" s="174" t="n">
        <v>4.4595</v>
      </c>
      <c r="G219" s="175" t="n">
        <v>0.0651298078424265</v>
      </c>
      <c r="H219" s="174" t="n">
        <v>0.17</v>
      </c>
      <c r="I219" s="174" t="n">
        <v>0.55</v>
      </c>
      <c r="J219" s="174" t="n">
        <v>0.55</v>
      </c>
      <c r="K219" s="174" t="n">
        <v>0.5</v>
      </c>
      <c r="L219" s="172" t="n">
        <v>0.6</v>
      </c>
      <c r="M219" s="172" t="n">
        <v>0.55</v>
      </c>
      <c r="N219" s="174" t="n">
        <v>0.6</v>
      </c>
      <c r="O219" s="174" t="n">
        <v>0.55</v>
      </c>
      <c r="P219" s="174" t="n">
        <v>0.6</v>
      </c>
      <c r="Q219" s="174" t="n">
        <v>0.45</v>
      </c>
      <c r="R219" s="175" t="n">
        <v>0.55</v>
      </c>
      <c r="S219" s="175" t="n">
        <v>0.6</v>
      </c>
      <c r="T219" s="174" t="n">
        <v>0.55</v>
      </c>
      <c r="U219" s="174" t="n">
        <v>0.6</v>
      </c>
      <c r="V219" s="174" t="n">
        <v>0.7</v>
      </c>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5"/>
      <c r="AZ219" s="175"/>
      <c r="BA219" s="175" t="n">
        <v>-0.195</v>
      </c>
      <c r="BB219" s="174" t="n">
        <v>0</v>
      </c>
      <c r="BC219" s="174" t="n">
        <v>-0.07</v>
      </c>
      <c r="BD219" s="174" t="n">
        <v>0.005</v>
      </c>
      <c r="BE219" s="174" t="n">
        <v>0.43</v>
      </c>
      <c r="BF219" s="174" t="n">
        <v>0</v>
      </c>
      <c r="BG219" s="174" t="n">
        <v>-0.06</v>
      </c>
      <c r="BH219" s="174" t="n">
        <v>0</v>
      </c>
      <c r="BI219" s="174" t="n">
        <v>0</v>
      </c>
      <c r="BJ219" s="136" t="n">
        <v>0</v>
      </c>
      <c r="BK219" s="136" t="n">
        <v>0.43</v>
      </c>
      <c r="BL219" s="136" t="n">
        <v>0</v>
      </c>
      <c r="BM219" s="136" t="n">
        <v>0.05</v>
      </c>
      <c r="BN219" s="136" t="n">
        <v>0</v>
      </c>
      <c r="BO219" s="136" t="n">
        <v>-0.37</v>
      </c>
      <c r="BP219" s="136" t="n">
        <v>0</v>
      </c>
      <c r="BQ219" s="136" t="n">
        <v>0.5</v>
      </c>
      <c r="BR219" s="136" t="n">
        <v>0</v>
      </c>
      <c r="BS219" s="136" t="n">
        <v>-0.07</v>
      </c>
      <c r="BT219" s="136" t="n">
        <v>0.005</v>
      </c>
      <c r="BU219" s="136" t="n">
        <v>0.3</v>
      </c>
      <c r="BV219" s="136" t="n">
        <v>0</v>
      </c>
      <c r="BW219" s="136" t="n">
        <v>0</v>
      </c>
      <c r="BX219" s="136" t="n">
        <v>0</v>
      </c>
      <c r="BY219" s="136" t="n">
        <v>0</v>
      </c>
      <c r="BZ219" s="136" t="n">
        <v>0</v>
      </c>
      <c r="CA219" s="136" t="n">
        <v>0.15</v>
      </c>
      <c r="CB219" s="136" t="n">
        <v>0.005</v>
      </c>
      <c r="CC219" s="136" t="n">
        <v>0</v>
      </c>
      <c r="CD219" s="136" t="n">
        <v>0</v>
      </c>
      <c r="CE219" s="136" t="n">
        <v>0</v>
      </c>
      <c r="CF219" s="136" t="n">
        <v>0</v>
      </c>
      <c r="CG219" s="136" t="n">
        <v>0</v>
      </c>
      <c r="CH219" s="136" t="n">
        <v>0</v>
      </c>
      <c r="CI219" s="136" t="n">
        <v>0</v>
      </c>
      <c r="CJ219" s="136" t="n">
        <v>0</v>
      </c>
      <c r="CK219" s="136" t="n">
        <v>0</v>
      </c>
      <c r="CL219" s="136" t="n">
        <v>0</v>
      </c>
      <c r="CM219" s="136" t="n">
        <v>0</v>
      </c>
      <c r="CN219" s="136" t="n">
        <v>0</v>
      </c>
      <c r="CO219" s="136" t="n">
        <v>0</v>
      </c>
      <c r="CP219" s="136" t="n">
        <v>0</v>
      </c>
      <c r="CQ219" s="136" t="n">
        <v>0</v>
      </c>
      <c r="CR219" s="136" t="n">
        <v>0</v>
      </c>
      <c r="CS219" s="136" t="n">
        <v>0.41</v>
      </c>
      <c r="CT219" s="136" t="n">
        <v>0.01</v>
      </c>
      <c r="CU219" s="136" t="n">
        <v>0.05</v>
      </c>
      <c r="CV219" s="136" t="n">
        <v>0</v>
      </c>
      <c r="CW219" s="136" t="n">
        <v>0.205</v>
      </c>
      <c r="CX219" s="136" t="n">
        <v>0.0075</v>
      </c>
      <c r="CY219" s="136" t="n">
        <v>-0.18</v>
      </c>
      <c r="CZ219" s="136" t="n">
        <v>0</v>
      </c>
      <c r="DA219" s="136" t="n">
        <v>0</v>
      </c>
      <c r="DB219" s="136" t="n">
        <v>0</v>
      </c>
      <c r="DC219" s="136" t="n">
        <v>1.05</v>
      </c>
      <c r="DE219" s="136" t="n">
        <v>-0.0365</v>
      </c>
      <c r="DF219" s="136" t="n">
        <v>0.01</v>
      </c>
      <c r="DG219" s="136" t="n">
        <v>0.0195</v>
      </c>
      <c r="DH219" s="136" t="n">
        <v>0.01</v>
      </c>
      <c r="DI219" s="136" t="n">
        <v>0.0045</v>
      </c>
      <c r="DJ219" s="136" t="n">
        <v>0.0075</v>
      </c>
      <c r="DK219" s="136" t="n">
        <v>0</v>
      </c>
      <c r="DL219" s="136" t="n">
        <v>0</v>
      </c>
      <c r="DM219" s="136" t="n">
        <v>0</v>
      </c>
      <c r="DN219" s="136" t="n">
        <v>0</v>
      </c>
      <c r="DO219" s="136" t="n">
        <v>0</v>
      </c>
      <c r="DP219" s="136" t="n">
        <v>0</v>
      </c>
      <c r="DQ219" s="136" t="n">
        <v>0</v>
      </c>
      <c r="DR219" s="136" t="n">
        <v>0</v>
      </c>
      <c r="DS219" s="136" t="n">
        <v>0.35</v>
      </c>
      <c r="DT219" s="136" t="n">
        <v>-0.005</v>
      </c>
    </row>
    <row r="220" customFormat="false" ht="12.75" hidden="false" customHeight="false" outlineLevel="0" collapsed="false">
      <c r="D220" s="135" t="n">
        <v>43344</v>
      </c>
      <c r="F220" s="174" t="n">
        <v>4.4545</v>
      </c>
      <c r="G220" s="175" t="n">
        <v>0.065170351968916</v>
      </c>
      <c r="H220" s="174" t="n">
        <v>0.17</v>
      </c>
      <c r="I220" s="174" t="n">
        <v>0.55</v>
      </c>
      <c r="J220" s="174" t="n">
        <v>0.55</v>
      </c>
      <c r="K220" s="174" t="n">
        <v>0.55</v>
      </c>
      <c r="L220" s="172" t="n">
        <v>0.55</v>
      </c>
      <c r="M220" s="172" t="n">
        <v>0.55</v>
      </c>
      <c r="N220" s="174" t="n">
        <v>0.6</v>
      </c>
      <c r="O220" s="174" t="n">
        <v>0.6</v>
      </c>
      <c r="P220" s="174" t="n">
        <v>0.55</v>
      </c>
      <c r="Q220" s="174" t="n">
        <v>0.5</v>
      </c>
      <c r="R220" s="175" t="n">
        <v>0.55</v>
      </c>
      <c r="S220" s="175" t="n">
        <v>0.6</v>
      </c>
      <c r="T220" s="174" t="n">
        <v>0.55</v>
      </c>
      <c r="U220" s="174" t="n">
        <v>0.6</v>
      </c>
      <c r="V220" s="174" t="n">
        <v>0.65</v>
      </c>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5"/>
      <c r="AZ220" s="175"/>
      <c r="BA220" s="175" t="n">
        <v>-0.195</v>
      </c>
      <c r="BB220" s="174" t="n">
        <v>0</v>
      </c>
      <c r="BC220" s="174" t="n">
        <v>-0.07</v>
      </c>
      <c r="BD220" s="174" t="n">
        <v>0.005</v>
      </c>
      <c r="BE220" s="174" t="n">
        <v>0.43</v>
      </c>
      <c r="BF220" s="174" t="n">
        <v>0</v>
      </c>
      <c r="BG220" s="174" t="n">
        <v>-0.06</v>
      </c>
      <c r="BH220" s="174" t="n">
        <v>0</v>
      </c>
      <c r="BI220" s="174" t="n">
        <v>0</v>
      </c>
      <c r="BJ220" s="136" t="n">
        <v>0</v>
      </c>
      <c r="BK220" s="136" t="n">
        <v>0.43</v>
      </c>
      <c r="BL220" s="136" t="n">
        <v>0</v>
      </c>
      <c r="BM220" s="136" t="n">
        <v>0.05</v>
      </c>
      <c r="BN220" s="136" t="n">
        <v>0</v>
      </c>
      <c r="BO220" s="136" t="n">
        <v>-0.37</v>
      </c>
      <c r="BP220" s="136" t="n">
        <v>0</v>
      </c>
      <c r="BQ220" s="136" t="n">
        <v>0.5</v>
      </c>
      <c r="BR220" s="136" t="n">
        <v>0</v>
      </c>
      <c r="BS220" s="136" t="n">
        <v>-0.07</v>
      </c>
      <c r="BT220" s="136" t="n">
        <v>0.005</v>
      </c>
      <c r="BU220" s="136" t="n">
        <v>0.3</v>
      </c>
      <c r="BV220" s="136" t="n">
        <v>0</v>
      </c>
      <c r="BW220" s="136" t="n">
        <v>0</v>
      </c>
      <c r="BX220" s="136" t="n">
        <v>0</v>
      </c>
      <c r="BY220" s="136" t="n">
        <v>0</v>
      </c>
      <c r="BZ220" s="136" t="n">
        <v>0</v>
      </c>
      <c r="CA220" s="136" t="n">
        <v>0.125</v>
      </c>
      <c r="CB220" s="136" t="n">
        <v>0.005</v>
      </c>
      <c r="CC220" s="136" t="n">
        <v>0</v>
      </c>
      <c r="CD220" s="136" t="n">
        <v>0</v>
      </c>
      <c r="CE220" s="136" t="n">
        <v>0</v>
      </c>
      <c r="CF220" s="136" t="n">
        <v>0</v>
      </c>
      <c r="CG220" s="136" t="n">
        <v>0</v>
      </c>
      <c r="CH220" s="136" t="n">
        <v>0</v>
      </c>
      <c r="CI220" s="136" t="n">
        <v>0</v>
      </c>
      <c r="CJ220" s="136" t="n">
        <v>0</v>
      </c>
      <c r="CK220" s="136" t="n">
        <v>0</v>
      </c>
      <c r="CL220" s="136" t="n">
        <v>0</v>
      </c>
      <c r="CM220" s="136" t="n">
        <v>0</v>
      </c>
      <c r="CN220" s="136" t="n">
        <v>0</v>
      </c>
      <c r="CO220" s="136" t="n">
        <v>0</v>
      </c>
      <c r="CP220" s="136" t="n">
        <v>0</v>
      </c>
      <c r="CQ220" s="136" t="n">
        <v>0</v>
      </c>
      <c r="CR220" s="136" t="n">
        <v>0</v>
      </c>
      <c r="CS220" s="136" t="n">
        <v>0.36</v>
      </c>
      <c r="CT220" s="136" t="n">
        <v>0.01</v>
      </c>
      <c r="CU220" s="136" t="n">
        <v>0.05</v>
      </c>
      <c r="CV220" s="136" t="n">
        <v>0</v>
      </c>
      <c r="CW220" s="136" t="n">
        <v>0.145</v>
      </c>
      <c r="CX220" s="136" t="n">
        <v>0.0075</v>
      </c>
      <c r="CY220" s="136" t="n">
        <v>-0.18</v>
      </c>
      <c r="CZ220" s="136" t="n">
        <v>0</v>
      </c>
      <c r="DA220" s="136" t="n">
        <v>0</v>
      </c>
      <c r="DB220" s="136" t="n">
        <v>0</v>
      </c>
      <c r="DC220" s="136" t="n">
        <v>0.75</v>
      </c>
      <c r="DE220" s="136" t="n">
        <v>-0.0415</v>
      </c>
      <c r="DF220" s="136" t="n">
        <v>0.01</v>
      </c>
      <c r="DG220" s="136" t="n">
        <v>0.0195</v>
      </c>
      <c r="DH220" s="136" t="n">
        <v>0.01</v>
      </c>
      <c r="DI220" s="136" t="n">
        <v>0.0045</v>
      </c>
      <c r="DJ220" s="136" t="n">
        <v>0.0075</v>
      </c>
      <c r="DK220" s="136" t="n">
        <v>0</v>
      </c>
      <c r="DL220" s="136" t="n">
        <v>0</v>
      </c>
      <c r="DM220" s="136" t="n">
        <v>0</v>
      </c>
      <c r="DN220" s="136" t="n">
        <v>0</v>
      </c>
      <c r="DO220" s="136" t="n">
        <v>0</v>
      </c>
      <c r="DP220" s="136" t="n">
        <v>0</v>
      </c>
      <c r="DQ220" s="136" t="n">
        <v>0</v>
      </c>
      <c r="DR220" s="136" t="n">
        <v>0</v>
      </c>
      <c r="DS220" s="136" t="n">
        <v>0.315</v>
      </c>
      <c r="DT220" s="136" t="n">
        <v>-0.005</v>
      </c>
    </row>
    <row r="221" customFormat="false" ht="12.75" hidden="false" customHeight="false" outlineLevel="0" collapsed="false">
      <c r="D221" s="135" t="n">
        <v>43374</v>
      </c>
      <c r="F221" s="174" t="n">
        <v>4.4795</v>
      </c>
      <c r="G221" s="175" t="n">
        <v>0.0652095882208768</v>
      </c>
      <c r="H221" s="174" t="n">
        <v>0.17</v>
      </c>
      <c r="I221" s="174" t="n">
        <v>0.6</v>
      </c>
      <c r="J221" s="174" t="n">
        <v>0.6</v>
      </c>
      <c r="K221" s="174" t="n">
        <v>0.55</v>
      </c>
      <c r="L221" s="172" t="n">
        <v>0.6</v>
      </c>
      <c r="M221" s="172" t="n">
        <v>0.6</v>
      </c>
      <c r="N221" s="174" t="n">
        <v>0.65</v>
      </c>
      <c r="O221" s="174" t="n">
        <v>0.65</v>
      </c>
      <c r="P221" s="174" t="n">
        <v>0.6</v>
      </c>
      <c r="Q221" s="174" t="n">
        <v>0.5</v>
      </c>
      <c r="R221" s="175" t="n">
        <v>0.6</v>
      </c>
      <c r="S221" s="175" t="n">
        <v>0.65</v>
      </c>
      <c r="T221" s="174" t="n">
        <v>0.6</v>
      </c>
      <c r="U221" s="174" t="n">
        <v>0.65</v>
      </c>
      <c r="V221" s="174" t="n">
        <v>0.7</v>
      </c>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5"/>
      <c r="AZ221" s="175"/>
      <c r="BA221" s="175" t="n">
        <v>-0.195</v>
      </c>
      <c r="BB221" s="174" t="n">
        <v>0</v>
      </c>
      <c r="BC221" s="174" t="n">
        <v>-0.07</v>
      </c>
      <c r="BD221" s="174" t="n">
        <v>0.005</v>
      </c>
      <c r="BE221" s="174" t="n">
        <v>0.43</v>
      </c>
      <c r="BF221" s="174" t="n">
        <v>0</v>
      </c>
      <c r="BG221" s="174" t="n">
        <v>-0.06</v>
      </c>
      <c r="BH221" s="174" t="n">
        <v>0</v>
      </c>
      <c r="BI221" s="174" t="n">
        <v>0</v>
      </c>
      <c r="BJ221" s="136" t="n">
        <v>0</v>
      </c>
      <c r="BK221" s="136" t="n">
        <v>0.43</v>
      </c>
      <c r="BL221" s="136" t="n">
        <v>0</v>
      </c>
      <c r="BM221" s="136" t="n">
        <v>0.05</v>
      </c>
      <c r="BN221" s="136" t="n">
        <v>0</v>
      </c>
      <c r="BO221" s="136" t="n">
        <v>-0.37</v>
      </c>
      <c r="BP221" s="136" t="n">
        <v>0</v>
      </c>
      <c r="BQ221" s="136" t="n">
        <v>0.5</v>
      </c>
      <c r="BR221" s="136" t="n">
        <v>0</v>
      </c>
      <c r="BS221" s="136" t="n">
        <v>-0.07</v>
      </c>
      <c r="BT221" s="136" t="n">
        <v>0.005</v>
      </c>
      <c r="BU221" s="136" t="n">
        <v>0.3</v>
      </c>
      <c r="BV221" s="136" t="n">
        <v>0</v>
      </c>
      <c r="BW221" s="136" t="n">
        <v>0</v>
      </c>
      <c r="BX221" s="136" t="n">
        <v>0</v>
      </c>
      <c r="BY221" s="136" t="n">
        <v>0</v>
      </c>
      <c r="BZ221" s="136" t="n">
        <v>0</v>
      </c>
      <c r="CA221" s="136" t="n">
        <v>0.145</v>
      </c>
      <c r="CB221" s="136" t="n">
        <v>0.005</v>
      </c>
      <c r="CC221" s="136" t="n">
        <v>0</v>
      </c>
      <c r="CD221" s="136" t="n">
        <v>0</v>
      </c>
      <c r="CE221" s="136" t="n">
        <v>0</v>
      </c>
      <c r="CF221" s="136" t="n">
        <v>0</v>
      </c>
      <c r="CG221" s="136" t="n">
        <v>0</v>
      </c>
      <c r="CH221" s="136" t="n">
        <v>0</v>
      </c>
      <c r="CI221" s="136" t="n">
        <v>0</v>
      </c>
      <c r="CJ221" s="136" t="n">
        <v>0</v>
      </c>
      <c r="CK221" s="136" t="n">
        <v>0</v>
      </c>
      <c r="CL221" s="136" t="n">
        <v>0</v>
      </c>
      <c r="CM221" s="136" t="n">
        <v>0</v>
      </c>
      <c r="CN221" s="136" t="n">
        <v>0</v>
      </c>
      <c r="CO221" s="136" t="n">
        <v>0</v>
      </c>
      <c r="CP221" s="136" t="n">
        <v>0</v>
      </c>
      <c r="CQ221" s="136" t="n">
        <v>0</v>
      </c>
      <c r="CR221" s="136" t="n">
        <v>0</v>
      </c>
      <c r="CS221" s="136" t="n">
        <v>0.4</v>
      </c>
      <c r="CT221" s="136" t="n">
        <v>0.01</v>
      </c>
      <c r="CU221" s="136" t="n">
        <v>0.05</v>
      </c>
      <c r="CV221" s="136" t="n">
        <v>0</v>
      </c>
      <c r="CW221" s="136" t="n">
        <v>0.175</v>
      </c>
      <c r="CX221" s="136" t="n">
        <v>0.0075</v>
      </c>
      <c r="CY221" s="136" t="n">
        <v>-0.18</v>
      </c>
      <c r="CZ221" s="136" t="n">
        <v>0</v>
      </c>
      <c r="DA221" s="136" t="n">
        <v>0</v>
      </c>
      <c r="DB221" s="136" t="n">
        <v>0</v>
      </c>
      <c r="DC221" s="136" t="n">
        <v>0.45</v>
      </c>
      <c r="DE221" s="136" t="n">
        <v>-0.0415</v>
      </c>
      <c r="DF221" s="136" t="n">
        <v>0.01</v>
      </c>
      <c r="DG221" s="136" t="n">
        <v>0.017</v>
      </c>
      <c r="DH221" s="136" t="n">
        <v>0.01</v>
      </c>
      <c r="DI221" s="136" t="n">
        <v>0.002</v>
      </c>
      <c r="DJ221" s="136" t="n">
        <v>0.0075</v>
      </c>
      <c r="DK221" s="136" t="n">
        <v>0</v>
      </c>
      <c r="DL221" s="136" t="n">
        <v>0</v>
      </c>
      <c r="DM221" s="136" t="n">
        <v>0</v>
      </c>
      <c r="DN221" s="136" t="n">
        <v>0</v>
      </c>
      <c r="DO221" s="136" t="n">
        <v>0</v>
      </c>
      <c r="DP221" s="136" t="n">
        <v>0</v>
      </c>
      <c r="DQ221" s="136" t="n">
        <v>0</v>
      </c>
      <c r="DR221" s="136" t="n">
        <v>0</v>
      </c>
      <c r="DS221" s="136" t="n">
        <v>0.36</v>
      </c>
      <c r="DT221" s="136" t="n">
        <v>-0.005</v>
      </c>
    </row>
    <row r="222" customFormat="false" ht="12.75" hidden="false" customHeight="false" outlineLevel="0" collapsed="false">
      <c r="D222" s="135" t="n">
        <v>43405</v>
      </c>
      <c r="F222" s="174" t="n">
        <v>4.6315</v>
      </c>
      <c r="G222" s="175" t="n">
        <v>0.0652501323484382</v>
      </c>
      <c r="H222" s="174" t="n">
        <v>0.17</v>
      </c>
      <c r="I222" s="174" t="n">
        <v>0.8</v>
      </c>
      <c r="J222" s="174" t="n">
        <v>0.85</v>
      </c>
      <c r="K222" s="174" t="n">
        <v>0.8</v>
      </c>
      <c r="L222" s="172" t="n">
        <v>0.8</v>
      </c>
      <c r="M222" s="172" t="n">
        <v>0.9</v>
      </c>
      <c r="N222" s="174" t="n">
        <v>0.95</v>
      </c>
      <c r="O222" s="174" t="n">
        <v>0.85</v>
      </c>
      <c r="P222" s="174" t="n">
        <v>0.8</v>
      </c>
      <c r="Q222" s="174" t="n">
        <v>0.95</v>
      </c>
      <c r="R222" s="175" t="n">
        <v>0.8</v>
      </c>
      <c r="S222" s="175" t="n">
        <v>0.8</v>
      </c>
      <c r="T222" s="174" t="n">
        <v>0.8</v>
      </c>
      <c r="U222" s="174" t="n">
        <v>0.95</v>
      </c>
      <c r="V222" s="174" t="n">
        <v>0.9</v>
      </c>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5"/>
      <c r="AZ222" s="175"/>
      <c r="BA222" s="175" t="n">
        <v>-0.13</v>
      </c>
      <c r="BB222" s="174" t="n">
        <v>0</v>
      </c>
      <c r="BC222" s="174" t="n">
        <v>-0.07</v>
      </c>
      <c r="BD222" s="174" t="n">
        <v>0.005</v>
      </c>
      <c r="BE222" s="174" t="n">
        <v>0.35</v>
      </c>
      <c r="BF222" s="174" t="n">
        <v>0</v>
      </c>
      <c r="BG222" s="174" t="n">
        <v>-0.06</v>
      </c>
      <c r="BH222" s="174" t="n">
        <v>0</v>
      </c>
      <c r="BI222" s="174" t="n">
        <v>0</v>
      </c>
      <c r="BJ222" s="136" t="n">
        <v>0</v>
      </c>
      <c r="BK222" s="136" t="n">
        <v>0.35</v>
      </c>
      <c r="BL222" s="136" t="n">
        <v>0</v>
      </c>
      <c r="BM222" s="136" t="n">
        <v>0.05</v>
      </c>
      <c r="BN222" s="136" t="n">
        <v>0</v>
      </c>
      <c r="BO222" s="136" t="n">
        <v>-0.26</v>
      </c>
      <c r="BP222" s="136" t="n">
        <v>0</v>
      </c>
      <c r="BQ222" s="136" t="n">
        <v>0.5</v>
      </c>
      <c r="BR222" s="136" t="n">
        <v>0</v>
      </c>
      <c r="BS222" s="136" t="n">
        <v>-0.07</v>
      </c>
      <c r="BT222" s="136" t="n">
        <v>0.005</v>
      </c>
      <c r="BU222" s="136" t="n">
        <v>0.3</v>
      </c>
      <c r="BV222" s="136" t="n">
        <v>0</v>
      </c>
      <c r="BW222" s="136" t="n">
        <v>0</v>
      </c>
      <c r="BX222" s="136" t="n">
        <v>0</v>
      </c>
      <c r="BY222" s="136" t="n">
        <v>0</v>
      </c>
      <c r="BZ222" s="136" t="n">
        <v>0</v>
      </c>
      <c r="CA222" s="136" t="n">
        <v>0.195</v>
      </c>
      <c r="CB222" s="136" t="n">
        <v>0.005</v>
      </c>
      <c r="CC222" s="136" t="n">
        <v>0</v>
      </c>
      <c r="CD222" s="136" t="n">
        <v>0</v>
      </c>
      <c r="CE222" s="136" t="n">
        <v>0</v>
      </c>
      <c r="CF222" s="136" t="n">
        <v>0</v>
      </c>
      <c r="CG222" s="136" t="n">
        <v>0</v>
      </c>
      <c r="CH222" s="136" t="n">
        <v>0</v>
      </c>
      <c r="CI222" s="136" t="n">
        <v>0</v>
      </c>
      <c r="CJ222" s="136" t="n">
        <v>0</v>
      </c>
      <c r="CK222" s="136" t="n">
        <v>0</v>
      </c>
      <c r="CL222" s="136" t="n">
        <v>0</v>
      </c>
      <c r="CM222" s="136" t="n">
        <v>0</v>
      </c>
      <c r="CN222" s="136" t="n">
        <v>0</v>
      </c>
      <c r="CO222" s="136" t="n">
        <v>0</v>
      </c>
      <c r="CP222" s="136" t="n">
        <v>0</v>
      </c>
      <c r="CQ222" s="136" t="n">
        <v>0</v>
      </c>
      <c r="CR222" s="136" t="n">
        <v>0</v>
      </c>
      <c r="CS222" s="136" t="n">
        <v>0.65</v>
      </c>
      <c r="CT222" s="136" t="n">
        <v>0.055</v>
      </c>
      <c r="CU222" s="136" t="n">
        <v>0.05</v>
      </c>
      <c r="CV222" s="136" t="n">
        <v>0</v>
      </c>
      <c r="CW222" s="136" t="n">
        <v>0.21</v>
      </c>
      <c r="CX222" s="136" t="n">
        <v>0.02</v>
      </c>
      <c r="CY222" s="136" t="n">
        <v>-0.18</v>
      </c>
      <c r="CZ222" s="136" t="n">
        <v>0</v>
      </c>
      <c r="DA222" s="136" t="n">
        <v>0</v>
      </c>
      <c r="DB222" s="136" t="n">
        <v>0</v>
      </c>
      <c r="DC222" s="136" t="n">
        <v>0.45</v>
      </c>
      <c r="DE222" s="136" t="n">
        <v>-0.03</v>
      </c>
      <c r="DF222" s="136" t="n">
        <v>0.0125</v>
      </c>
      <c r="DG222" s="136" t="n">
        <v>0.018</v>
      </c>
      <c r="DH222" s="136" t="n">
        <v>0.0075</v>
      </c>
      <c r="DI222" s="136" t="n">
        <v>0.003</v>
      </c>
      <c r="DJ222" s="136" t="n">
        <v>0.0025</v>
      </c>
      <c r="DK222" s="136" t="n">
        <v>0</v>
      </c>
      <c r="DL222" s="136" t="n">
        <v>0</v>
      </c>
      <c r="DM222" s="136" t="n">
        <v>0</v>
      </c>
      <c r="DN222" s="136" t="n">
        <v>0</v>
      </c>
      <c r="DO222" s="136" t="n">
        <v>0</v>
      </c>
      <c r="DP222" s="136" t="n">
        <v>0</v>
      </c>
      <c r="DQ222" s="136" t="n">
        <v>0</v>
      </c>
      <c r="DR222" s="136" t="n">
        <v>0</v>
      </c>
      <c r="DS222" s="136" t="n">
        <v>0.46</v>
      </c>
      <c r="DT222" s="136" t="n">
        <v>0.05</v>
      </c>
    </row>
    <row r="223" customFormat="false" ht="12.75" hidden="false" customHeight="false" outlineLevel="0" collapsed="false">
      <c r="D223" s="135" t="n">
        <v>43435</v>
      </c>
      <c r="F223" s="174" t="n">
        <v>4.7745</v>
      </c>
      <c r="G223" s="175" t="n">
        <v>0.065289368601436</v>
      </c>
      <c r="H223" s="174" t="n">
        <v>0.17</v>
      </c>
      <c r="I223" s="174" t="n">
        <v>1</v>
      </c>
      <c r="J223" s="174" t="n">
        <v>1.05</v>
      </c>
      <c r="K223" s="174" t="n">
        <v>1</v>
      </c>
      <c r="L223" s="172" t="n">
        <v>1</v>
      </c>
      <c r="M223" s="172" t="n">
        <v>1.15</v>
      </c>
      <c r="N223" s="174" t="n">
        <v>1.25</v>
      </c>
      <c r="O223" s="174" t="n">
        <v>1.05</v>
      </c>
      <c r="P223" s="174" t="n">
        <v>1</v>
      </c>
      <c r="Q223" s="174" t="n">
        <v>1.35</v>
      </c>
      <c r="R223" s="175" t="n">
        <v>1</v>
      </c>
      <c r="S223" s="175" t="n">
        <v>1.1</v>
      </c>
      <c r="T223" s="174" t="n">
        <v>1</v>
      </c>
      <c r="U223" s="174" t="n">
        <v>1.25</v>
      </c>
      <c r="V223" s="174" t="n">
        <v>1.1</v>
      </c>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5"/>
      <c r="AZ223" s="175"/>
      <c r="BA223" s="175" t="n">
        <v>-0.13</v>
      </c>
      <c r="BB223" s="174" t="n">
        <v>0</v>
      </c>
      <c r="BC223" s="174" t="n">
        <v>-0.07</v>
      </c>
      <c r="BD223" s="174" t="n">
        <v>0.005</v>
      </c>
      <c r="BE223" s="174" t="n">
        <v>0.35</v>
      </c>
      <c r="BF223" s="174" t="n">
        <v>0</v>
      </c>
      <c r="BG223" s="174" t="n">
        <v>-0.06</v>
      </c>
      <c r="BH223" s="174" t="n">
        <v>0</v>
      </c>
      <c r="BI223" s="174" t="n">
        <v>0</v>
      </c>
      <c r="BJ223" s="136" t="n">
        <v>0</v>
      </c>
      <c r="BK223" s="136" t="n">
        <v>0.35</v>
      </c>
      <c r="BL223" s="136" t="n">
        <v>0</v>
      </c>
      <c r="BM223" s="136" t="n">
        <v>0.05</v>
      </c>
      <c r="BN223" s="136" t="n">
        <v>0</v>
      </c>
      <c r="BO223" s="136" t="n">
        <v>-0.26</v>
      </c>
      <c r="BP223" s="136" t="n">
        <v>0</v>
      </c>
      <c r="BQ223" s="136" t="n">
        <v>0.5</v>
      </c>
      <c r="BR223" s="136" t="n">
        <v>0</v>
      </c>
      <c r="BS223" s="136" t="n">
        <v>-0.07</v>
      </c>
      <c r="BT223" s="136" t="n">
        <v>0.005</v>
      </c>
      <c r="BU223" s="136" t="n">
        <v>0.3</v>
      </c>
      <c r="BV223" s="136" t="n">
        <v>0</v>
      </c>
      <c r="BW223" s="136" t="n">
        <v>0</v>
      </c>
      <c r="BX223" s="136" t="n">
        <v>0</v>
      </c>
      <c r="BY223" s="136" t="n">
        <v>0</v>
      </c>
      <c r="BZ223" s="136" t="n">
        <v>0</v>
      </c>
      <c r="CA223" s="136" t="n">
        <v>0.215</v>
      </c>
      <c r="CB223" s="136" t="n">
        <v>0.005</v>
      </c>
      <c r="CC223" s="136" t="n">
        <v>0</v>
      </c>
      <c r="CD223" s="136" t="n">
        <v>0</v>
      </c>
      <c r="CE223" s="136" t="n">
        <v>0</v>
      </c>
      <c r="CF223" s="136" t="n">
        <v>0</v>
      </c>
      <c r="CG223" s="136" t="n">
        <v>0</v>
      </c>
      <c r="CH223" s="136" t="n">
        <v>0</v>
      </c>
      <c r="CI223" s="136" t="n">
        <v>0</v>
      </c>
      <c r="CJ223" s="136" t="n">
        <v>0</v>
      </c>
      <c r="CK223" s="136" t="n">
        <v>0</v>
      </c>
      <c r="CL223" s="136" t="n">
        <v>0</v>
      </c>
      <c r="CM223" s="136" t="n">
        <v>0</v>
      </c>
      <c r="CN223" s="136" t="n">
        <v>0</v>
      </c>
      <c r="CO223" s="136" t="n">
        <v>0</v>
      </c>
      <c r="CP223" s="136" t="n">
        <v>0</v>
      </c>
      <c r="CQ223" s="136" t="n">
        <v>0</v>
      </c>
      <c r="CR223" s="136" t="n">
        <v>0</v>
      </c>
      <c r="CS223" s="136" t="n">
        <v>0.98</v>
      </c>
      <c r="CT223" s="136" t="n">
        <v>0.25</v>
      </c>
      <c r="CU223" s="136" t="n">
        <v>0.05</v>
      </c>
      <c r="CV223" s="136" t="n">
        <v>0</v>
      </c>
      <c r="CW223" s="136" t="n">
        <v>0.29</v>
      </c>
      <c r="CX223" s="136" t="n">
        <v>0.02</v>
      </c>
      <c r="CY223" s="136" t="n">
        <v>-0.18</v>
      </c>
      <c r="CZ223" s="136" t="n">
        <v>0</v>
      </c>
      <c r="DA223" s="136" t="n">
        <v>0</v>
      </c>
      <c r="DB223" s="136" t="n">
        <v>0</v>
      </c>
      <c r="DC223" s="136" t="n">
        <v>0.4</v>
      </c>
      <c r="DE223" s="136" t="n">
        <v>-0.03</v>
      </c>
      <c r="DF223" s="136" t="n">
        <v>0.0125</v>
      </c>
      <c r="DG223" s="136" t="n">
        <v>0.018</v>
      </c>
      <c r="DH223" s="136" t="n">
        <v>0.0075</v>
      </c>
      <c r="DI223" s="136" t="n">
        <v>0.003</v>
      </c>
      <c r="DJ223" s="136" t="n">
        <v>0.0025</v>
      </c>
      <c r="DK223" s="136" t="n">
        <v>0</v>
      </c>
      <c r="DL223" s="136" t="n">
        <v>0</v>
      </c>
      <c r="DM223" s="136" t="n">
        <v>0</v>
      </c>
      <c r="DN223" s="136" t="n">
        <v>0</v>
      </c>
      <c r="DO223" s="136" t="n">
        <v>0</v>
      </c>
      <c r="DP223" s="136" t="n">
        <v>0</v>
      </c>
      <c r="DQ223" s="136" t="n">
        <v>0</v>
      </c>
      <c r="DR223" s="136" t="n">
        <v>0</v>
      </c>
      <c r="DS223" s="136" t="n">
        <v>0.77</v>
      </c>
      <c r="DT223" s="136" t="n">
        <v>0.05</v>
      </c>
    </row>
    <row r="224" customFormat="false" ht="12.75" hidden="false" customHeight="false" outlineLevel="0" collapsed="false">
      <c r="D224" s="135" t="n">
        <v>43466</v>
      </c>
      <c r="F224" s="174" t="n">
        <v>4.8345</v>
      </c>
      <c r="G224" s="175" t="n">
        <v>0.0653299127300695</v>
      </c>
      <c r="H224" s="174" t="n">
        <v>0.17</v>
      </c>
      <c r="I224" s="174" t="n">
        <v>1</v>
      </c>
      <c r="J224" s="174" t="n">
        <v>1.05</v>
      </c>
      <c r="K224" s="174" t="n">
        <v>1</v>
      </c>
      <c r="L224" s="172" t="n">
        <v>1</v>
      </c>
      <c r="M224" s="172" t="n">
        <v>1.15</v>
      </c>
      <c r="N224" s="174" t="n">
        <v>1.45</v>
      </c>
      <c r="O224" s="174" t="n">
        <v>1.05</v>
      </c>
      <c r="P224" s="174" t="n">
        <v>1</v>
      </c>
      <c r="Q224" s="174" t="n">
        <v>1.35</v>
      </c>
      <c r="R224" s="175" t="n">
        <v>1</v>
      </c>
      <c r="S224" s="175" t="n">
        <v>1.1</v>
      </c>
      <c r="T224" s="174" t="n">
        <v>1</v>
      </c>
      <c r="U224" s="174" t="n">
        <v>1.45</v>
      </c>
      <c r="V224" s="174" t="n">
        <v>1.1</v>
      </c>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5"/>
      <c r="AZ224" s="175"/>
      <c r="BA224" s="175" t="n">
        <v>-0.13</v>
      </c>
      <c r="BB224" s="174" t="n">
        <v>0</v>
      </c>
      <c r="BC224" s="174" t="n">
        <v>-0.07</v>
      </c>
      <c r="BD224" s="174" t="n">
        <v>0.005</v>
      </c>
      <c r="BE224" s="174" t="n">
        <v>0.35</v>
      </c>
      <c r="BF224" s="174" t="n">
        <v>0</v>
      </c>
      <c r="BG224" s="174" t="n">
        <v>-0.06</v>
      </c>
      <c r="BH224" s="174" t="n">
        <v>0</v>
      </c>
      <c r="BI224" s="174" t="n">
        <v>0</v>
      </c>
      <c r="BJ224" s="136" t="n">
        <v>0</v>
      </c>
      <c r="BK224" s="136" t="n">
        <v>0.35</v>
      </c>
      <c r="BL224" s="136" t="n">
        <v>0</v>
      </c>
      <c r="BM224" s="136" t="n">
        <v>0.05</v>
      </c>
      <c r="BN224" s="136" t="n">
        <v>0</v>
      </c>
      <c r="BO224" s="136" t="n">
        <v>-0.26</v>
      </c>
      <c r="BP224" s="136" t="n">
        <v>0</v>
      </c>
      <c r="BQ224" s="136" t="n">
        <v>0.5</v>
      </c>
      <c r="BR224" s="136" t="n">
        <v>0</v>
      </c>
      <c r="BS224" s="136" t="n">
        <v>-0.07</v>
      </c>
      <c r="BT224" s="136" t="n">
        <v>0.005</v>
      </c>
      <c r="BU224" s="136" t="n">
        <v>0.3</v>
      </c>
      <c r="BV224" s="136" t="n">
        <v>0</v>
      </c>
      <c r="BW224" s="136" t="n">
        <v>0</v>
      </c>
      <c r="BX224" s="136" t="n">
        <v>0</v>
      </c>
      <c r="BY224" s="136" t="n">
        <v>0</v>
      </c>
      <c r="BZ224" s="136" t="n">
        <v>0</v>
      </c>
      <c r="CA224" s="136" t="n">
        <v>0.235</v>
      </c>
      <c r="CB224" s="136" t="n">
        <v>0.005</v>
      </c>
      <c r="CC224" s="136" t="n">
        <v>0</v>
      </c>
      <c r="CD224" s="136" t="n">
        <v>0</v>
      </c>
      <c r="CE224" s="136" t="n">
        <v>0</v>
      </c>
      <c r="CF224" s="136" t="n">
        <v>0</v>
      </c>
      <c r="CG224" s="136" t="n">
        <v>0</v>
      </c>
      <c r="CH224" s="136" t="n">
        <v>0</v>
      </c>
      <c r="CI224" s="136" t="n">
        <v>0</v>
      </c>
      <c r="CJ224" s="136" t="n">
        <v>0</v>
      </c>
      <c r="CK224" s="136" t="n">
        <v>0</v>
      </c>
      <c r="CL224" s="136" t="n">
        <v>0</v>
      </c>
      <c r="CM224" s="136" t="n">
        <v>0</v>
      </c>
      <c r="CN224" s="136" t="n">
        <v>0</v>
      </c>
      <c r="CO224" s="136" t="n">
        <v>0</v>
      </c>
      <c r="CP224" s="136" t="n">
        <v>0</v>
      </c>
      <c r="CQ224" s="136" t="n">
        <v>0</v>
      </c>
      <c r="CR224" s="136" t="n">
        <v>0</v>
      </c>
      <c r="CS224" s="136" t="n">
        <v>1.6</v>
      </c>
      <c r="CT224" s="136" t="n">
        <v>0.45</v>
      </c>
      <c r="CU224" s="136" t="n">
        <v>0.05</v>
      </c>
      <c r="CV224" s="136" t="n">
        <v>0</v>
      </c>
      <c r="CW224" s="136" t="n">
        <v>0.34</v>
      </c>
      <c r="CX224" s="136" t="n">
        <v>0.02</v>
      </c>
      <c r="CY224" s="136" t="n">
        <v>-0.18</v>
      </c>
      <c r="CZ224" s="136" t="n">
        <v>0</v>
      </c>
      <c r="DA224" s="136" t="n">
        <v>0</v>
      </c>
      <c r="DB224" s="136" t="n">
        <v>0</v>
      </c>
      <c r="DC224" s="136" t="n">
        <v>0.35</v>
      </c>
      <c r="DE224" s="136" t="n">
        <v>-0.03</v>
      </c>
      <c r="DF224" s="136" t="n">
        <v>0.0125</v>
      </c>
      <c r="DG224" s="136" t="n">
        <v>0.018</v>
      </c>
      <c r="DH224" s="136" t="n">
        <v>0.0075</v>
      </c>
      <c r="DI224" s="136" t="n">
        <v>0.003</v>
      </c>
      <c r="DJ224" s="136" t="n">
        <v>0.0025</v>
      </c>
      <c r="DK224" s="136" t="n">
        <v>0</v>
      </c>
      <c r="DL224" s="136" t="n">
        <v>0</v>
      </c>
      <c r="DM224" s="136" t="n">
        <v>0</v>
      </c>
      <c r="DN224" s="136" t="n">
        <v>0</v>
      </c>
      <c r="DO224" s="136" t="n">
        <v>0</v>
      </c>
      <c r="DP224" s="136" t="n">
        <v>0</v>
      </c>
      <c r="DQ224" s="136" t="n">
        <v>0</v>
      </c>
      <c r="DR224" s="136" t="n">
        <v>0</v>
      </c>
      <c r="DS224" s="136" t="n">
        <v>1.04</v>
      </c>
      <c r="DT224" s="136" t="n">
        <v>0.05</v>
      </c>
    </row>
    <row r="225" customFormat="false" ht="12.75" hidden="false" customHeight="false" outlineLevel="0" collapsed="false">
      <c r="D225" s="135" t="n">
        <v>43497</v>
      </c>
      <c r="F225" s="174" t="n">
        <v>4.7495</v>
      </c>
      <c r="G225" s="175" t="n">
        <v>0.0653704568592479</v>
      </c>
      <c r="H225" s="174" t="n">
        <v>0.17</v>
      </c>
      <c r="I225" s="174" t="n">
        <v>1</v>
      </c>
      <c r="J225" s="174" t="n">
        <v>1.05</v>
      </c>
      <c r="K225" s="174" t="n">
        <v>1</v>
      </c>
      <c r="L225" s="172" t="n">
        <v>1</v>
      </c>
      <c r="M225" s="172" t="n">
        <v>1.15</v>
      </c>
      <c r="N225" s="174" t="n">
        <v>1.45</v>
      </c>
      <c r="O225" s="174" t="n">
        <v>1.05</v>
      </c>
      <c r="P225" s="174" t="n">
        <v>1</v>
      </c>
      <c r="Q225" s="174" t="n">
        <v>1.35</v>
      </c>
      <c r="R225" s="175" t="n">
        <v>1</v>
      </c>
      <c r="S225" s="175" t="n">
        <v>1.1</v>
      </c>
      <c r="T225" s="174" t="n">
        <v>1</v>
      </c>
      <c r="U225" s="174" t="n">
        <v>1.45</v>
      </c>
      <c r="V225" s="174" t="n">
        <v>1.1</v>
      </c>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5"/>
      <c r="AZ225" s="175"/>
      <c r="BA225" s="175" t="n">
        <v>-0.13</v>
      </c>
      <c r="BB225" s="174" t="n">
        <v>0</v>
      </c>
      <c r="BC225" s="174" t="n">
        <v>-0.07</v>
      </c>
      <c r="BD225" s="174" t="n">
        <v>0</v>
      </c>
      <c r="BE225" s="174" t="n">
        <v>0.35</v>
      </c>
      <c r="BF225" s="174" t="n">
        <v>0</v>
      </c>
      <c r="BG225" s="174" t="n">
        <v>-0.06</v>
      </c>
      <c r="BH225" s="174" t="n">
        <v>0</v>
      </c>
      <c r="BI225" s="174" t="n">
        <v>0</v>
      </c>
      <c r="BJ225" s="136" t="n">
        <v>0</v>
      </c>
      <c r="BK225" s="136" t="n">
        <v>0.35</v>
      </c>
      <c r="BL225" s="136" t="n">
        <v>0</v>
      </c>
      <c r="BM225" s="136" t="n">
        <v>0.05</v>
      </c>
      <c r="BN225" s="136" t="n">
        <v>0</v>
      </c>
      <c r="BO225" s="136" t="n">
        <v>-0.26</v>
      </c>
      <c r="BP225" s="136" t="n">
        <v>0</v>
      </c>
      <c r="BQ225" s="136" t="n">
        <v>0.5</v>
      </c>
      <c r="BR225" s="136" t="n">
        <v>0</v>
      </c>
      <c r="BS225" s="136" t="n">
        <v>-0.07</v>
      </c>
      <c r="BT225" s="136" t="n">
        <v>0</v>
      </c>
      <c r="BU225" s="136" t="n">
        <v>0.3</v>
      </c>
      <c r="BV225" s="136" t="n">
        <v>0</v>
      </c>
      <c r="BW225" s="136" t="n">
        <v>0</v>
      </c>
      <c r="BX225" s="136" t="n">
        <v>0</v>
      </c>
      <c r="BY225" s="136" t="n">
        <v>0</v>
      </c>
      <c r="BZ225" s="136" t="n">
        <v>0</v>
      </c>
      <c r="CA225" s="136" t="n">
        <v>0.235</v>
      </c>
      <c r="CB225" s="136" t="n">
        <v>0.005</v>
      </c>
      <c r="CC225" s="136" t="n">
        <v>0</v>
      </c>
      <c r="CD225" s="136" t="n">
        <v>0</v>
      </c>
      <c r="CE225" s="136" t="n">
        <v>0</v>
      </c>
      <c r="CF225" s="136" t="n">
        <v>0</v>
      </c>
      <c r="CG225" s="136" t="n">
        <v>0</v>
      </c>
      <c r="CH225" s="136" t="n">
        <v>0</v>
      </c>
      <c r="CI225" s="136" t="n">
        <v>0</v>
      </c>
      <c r="CJ225" s="136" t="n">
        <v>0</v>
      </c>
      <c r="CK225" s="136" t="n">
        <v>0</v>
      </c>
      <c r="CL225" s="136" t="n">
        <v>0</v>
      </c>
      <c r="CM225" s="136" t="n">
        <v>0</v>
      </c>
      <c r="CN225" s="136" t="n">
        <v>0</v>
      </c>
      <c r="CO225" s="136" t="n">
        <v>0</v>
      </c>
      <c r="CP225" s="136" t="n">
        <v>0</v>
      </c>
      <c r="CQ225" s="136" t="n">
        <v>0</v>
      </c>
      <c r="CR225" s="136" t="n">
        <v>0</v>
      </c>
      <c r="CS225" s="136" t="n">
        <v>1.6</v>
      </c>
      <c r="CT225" s="136" t="n">
        <v>0.45</v>
      </c>
      <c r="CU225" s="136" t="n">
        <v>0.05</v>
      </c>
      <c r="CV225" s="136" t="n">
        <v>0</v>
      </c>
      <c r="CW225" s="136" t="n">
        <v>0.34</v>
      </c>
      <c r="CX225" s="136" t="n">
        <v>0.02</v>
      </c>
      <c r="CY225" s="136" t="n">
        <v>-0.18</v>
      </c>
      <c r="CZ225" s="136" t="n">
        <v>0</v>
      </c>
      <c r="DA225" s="136" t="n">
        <v>0</v>
      </c>
      <c r="DB225" s="136" t="n">
        <v>0</v>
      </c>
      <c r="DC225" s="136" t="n">
        <v>0.35</v>
      </c>
      <c r="DE225" s="136" t="n">
        <v>-0.03</v>
      </c>
      <c r="DF225" s="136" t="n">
        <v>0.0125</v>
      </c>
      <c r="DG225" s="136" t="n">
        <v>0.018</v>
      </c>
      <c r="DH225" s="136" t="n">
        <v>0.0075</v>
      </c>
      <c r="DI225" s="136" t="n">
        <v>0.003</v>
      </c>
      <c r="DJ225" s="136" t="n">
        <v>0.0025</v>
      </c>
      <c r="DK225" s="136" t="n">
        <v>0</v>
      </c>
      <c r="DL225" s="136" t="n">
        <v>0</v>
      </c>
      <c r="DM225" s="136" t="n">
        <v>0</v>
      </c>
      <c r="DN225" s="136" t="n">
        <v>0</v>
      </c>
      <c r="DO225" s="136" t="n">
        <v>0</v>
      </c>
      <c r="DP225" s="136" t="n">
        <v>0</v>
      </c>
      <c r="DQ225" s="136" t="n">
        <v>0</v>
      </c>
      <c r="DR225" s="136" t="n">
        <v>0</v>
      </c>
      <c r="DS225" s="136" t="n">
        <v>1.04</v>
      </c>
      <c r="DT225" s="136" t="n">
        <v>0.05</v>
      </c>
    </row>
    <row r="226" customFormat="false" ht="12.75" hidden="false" customHeight="false" outlineLevel="0" collapsed="false">
      <c r="D226" s="135" t="n">
        <v>43525</v>
      </c>
      <c r="F226" s="174" t="n">
        <v>4.6195</v>
      </c>
      <c r="G226" s="175" t="n">
        <v>0.0654070773634903</v>
      </c>
      <c r="H226" s="174" t="n">
        <v>0.17</v>
      </c>
      <c r="I226" s="174" t="n">
        <v>0.75</v>
      </c>
      <c r="J226" s="174" t="n">
        <v>0.8</v>
      </c>
      <c r="K226" s="174" t="n">
        <v>0.75</v>
      </c>
      <c r="L226" s="172" t="n">
        <v>0.75</v>
      </c>
      <c r="M226" s="172" t="n">
        <v>0.85</v>
      </c>
      <c r="N226" s="174" t="n">
        <v>1</v>
      </c>
      <c r="O226" s="174" t="n">
        <v>0.75</v>
      </c>
      <c r="P226" s="174" t="n">
        <v>0.75</v>
      </c>
      <c r="Q226" s="174" t="n">
        <v>0.95</v>
      </c>
      <c r="R226" s="175" t="n">
        <v>0.75</v>
      </c>
      <c r="S226" s="175" t="n">
        <v>0.75</v>
      </c>
      <c r="T226" s="174" t="n">
        <v>0.75</v>
      </c>
      <c r="U226" s="174" t="n">
        <v>1</v>
      </c>
      <c r="V226" s="174" t="n">
        <v>0.85</v>
      </c>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5"/>
      <c r="AZ226" s="175"/>
      <c r="BA226" s="175" t="n">
        <v>-0.13</v>
      </c>
      <c r="BB226" s="174" t="n">
        <v>0</v>
      </c>
      <c r="BC226" s="174" t="n">
        <v>-0.07</v>
      </c>
      <c r="BD226" s="174" t="n">
        <v>0</v>
      </c>
      <c r="BE226" s="174" t="n">
        <v>0.35</v>
      </c>
      <c r="BF226" s="174" t="n">
        <v>0</v>
      </c>
      <c r="BG226" s="174" t="n">
        <v>-0.06</v>
      </c>
      <c r="BH226" s="174" t="n">
        <v>0</v>
      </c>
      <c r="BI226" s="174" t="n">
        <v>0</v>
      </c>
      <c r="BJ226" s="136" t="n">
        <v>0</v>
      </c>
      <c r="BK226" s="136" t="n">
        <v>0.35</v>
      </c>
      <c r="BL226" s="136" t="n">
        <v>0</v>
      </c>
      <c r="BM226" s="136" t="n">
        <v>0.05</v>
      </c>
      <c r="BN226" s="136" t="n">
        <v>0</v>
      </c>
      <c r="BO226" s="136" t="n">
        <v>-0.26</v>
      </c>
      <c r="BP226" s="136" t="n">
        <v>0</v>
      </c>
      <c r="BQ226" s="136" t="n">
        <v>0.5</v>
      </c>
      <c r="BR226" s="136" t="n">
        <v>0</v>
      </c>
      <c r="BS226" s="136" t="n">
        <v>-0.07</v>
      </c>
      <c r="BT226" s="136" t="n">
        <v>0</v>
      </c>
      <c r="BU226" s="136" t="n">
        <v>0.3</v>
      </c>
      <c r="BV226" s="136" t="n">
        <v>0</v>
      </c>
      <c r="BW226" s="136" t="n">
        <v>0</v>
      </c>
      <c r="BX226" s="136" t="n">
        <v>0</v>
      </c>
      <c r="BY226" s="136" t="n">
        <v>0</v>
      </c>
      <c r="BZ226" s="136" t="n">
        <v>0</v>
      </c>
      <c r="CA226" s="136" t="n">
        <v>0.195</v>
      </c>
      <c r="CB226" s="136" t="n">
        <v>0.005</v>
      </c>
      <c r="CC226" s="136" t="n">
        <v>0</v>
      </c>
      <c r="CD226" s="136" t="n">
        <v>0</v>
      </c>
      <c r="CE226" s="136" t="n">
        <v>0</v>
      </c>
      <c r="CF226" s="136" t="n">
        <v>0</v>
      </c>
      <c r="CG226" s="136" t="n">
        <v>0</v>
      </c>
      <c r="CH226" s="136" t="n">
        <v>0</v>
      </c>
      <c r="CI226" s="136" t="n">
        <v>0</v>
      </c>
      <c r="CJ226" s="136" t="n">
        <v>0</v>
      </c>
      <c r="CK226" s="136" t="n">
        <v>0</v>
      </c>
      <c r="CL226" s="136" t="n">
        <v>0</v>
      </c>
      <c r="CM226" s="136" t="n">
        <v>0</v>
      </c>
      <c r="CN226" s="136" t="n">
        <v>0</v>
      </c>
      <c r="CO226" s="136" t="n">
        <v>0</v>
      </c>
      <c r="CP226" s="136" t="n">
        <v>0</v>
      </c>
      <c r="CQ226" s="136" t="n">
        <v>0</v>
      </c>
      <c r="CR226" s="136" t="n">
        <v>0</v>
      </c>
      <c r="CS226" s="136" t="n">
        <v>0.64</v>
      </c>
      <c r="CT226" s="136" t="n">
        <v>0.1</v>
      </c>
      <c r="CU226" s="136" t="n">
        <v>0.05</v>
      </c>
      <c r="CV226" s="136" t="n">
        <v>0</v>
      </c>
      <c r="CW226" s="136" t="n">
        <v>0.29</v>
      </c>
      <c r="CX226" s="136" t="n">
        <v>0.02</v>
      </c>
      <c r="CY226" s="136" t="n">
        <v>-0.18</v>
      </c>
      <c r="CZ226" s="136" t="n">
        <v>0</v>
      </c>
      <c r="DA226" s="136" t="n">
        <v>0</v>
      </c>
      <c r="DB226" s="136" t="n">
        <v>0</v>
      </c>
      <c r="DC226" s="136" t="n">
        <v>0.4</v>
      </c>
      <c r="DE226" s="136" t="n">
        <v>-0.03</v>
      </c>
      <c r="DF226" s="136" t="n">
        <v>0.0125</v>
      </c>
      <c r="DG226" s="136" t="n">
        <v>0.023</v>
      </c>
      <c r="DH226" s="136" t="n">
        <v>0.0075</v>
      </c>
      <c r="DI226" s="136" t="n">
        <v>0.008</v>
      </c>
      <c r="DJ226" s="136" t="n">
        <v>0.0025</v>
      </c>
      <c r="DK226" s="136" t="n">
        <v>0</v>
      </c>
      <c r="DL226" s="136" t="n">
        <v>0</v>
      </c>
      <c r="DM226" s="136" t="n">
        <v>0</v>
      </c>
      <c r="DN226" s="136" t="n">
        <v>0</v>
      </c>
      <c r="DO226" s="136" t="n">
        <v>0</v>
      </c>
      <c r="DP226" s="136" t="n">
        <v>0</v>
      </c>
      <c r="DQ226" s="136" t="n">
        <v>0</v>
      </c>
      <c r="DR226" s="136" t="n">
        <v>0</v>
      </c>
      <c r="DS226" s="136" t="n">
        <v>0.54</v>
      </c>
      <c r="DT226" s="136" t="n">
        <v>0.05</v>
      </c>
    </row>
    <row r="227" customFormat="false" ht="12.75" hidden="false" customHeight="false" outlineLevel="0" collapsed="false">
      <c r="D227" s="135" t="n">
        <v>43556</v>
      </c>
      <c r="F227" s="174" t="n">
        <v>4.4345</v>
      </c>
      <c r="G227" s="175" t="n">
        <v>0.0654476214937056</v>
      </c>
      <c r="H227" s="174" t="n">
        <v>0.17</v>
      </c>
      <c r="I227" s="174" t="n">
        <v>0.4</v>
      </c>
      <c r="J227" s="174" t="n">
        <v>0.45</v>
      </c>
      <c r="K227" s="174" t="n">
        <v>0.4</v>
      </c>
      <c r="L227" s="172" t="n">
        <v>0.45</v>
      </c>
      <c r="M227" s="172" t="n">
        <v>0.45</v>
      </c>
      <c r="N227" s="174" t="n">
        <v>0.45</v>
      </c>
      <c r="O227" s="174" t="n">
        <v>0.45</v>
      </c>
      <c r="P227" s="174" t="n">
        <v>0.45</v>
      </c>
      <c r="Q227" s="174" t="n">
        <v>0.5</v>
      </c>
      <c r="R227" s="175" t="n">
        <v>0.4</v>
      </c>
      <c r="S227" s="175" t="n">
        <v>0.45</v>
      </c>
      <c r="T227" s="174" t="n">
        <v>0.4</v>
      </c>
      <c r="U227" s="174" t="n">
        <v>0.45</v>
      </c>
      <c r="V227" s="174" t="n">
        <v>0.55</v>
      </c>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5"/>
      <c r="AZ227" s="175"/>
      <c r="BA227" s="175" t="n">
        <v>-0.195</v>
      </c>
      <c r="BB227" s="174" t="n">
        <v>0</v>
      </c>
      <c r="BC227" s="174" t="n">
        <v>-0.07</v>
      </c>
      <c r="BD227" s="174" t="n">
        <v>0</v>
      </c>
      <c r="BE227" s="174" t="n">
        <v>0.43</v>
      </c>
      <c r="BF227" s="174" t="n">
        <v>0</v>
      </c>
      <c r="BG227" s="174" t="n">
        <v>-0.06</v>
      </c>
      <c r="BH227" s="174" t="n">
        <v>0</v>
      </c>
      <c r="BI227" s="174" t="n">
        <v>0</v>
      </c>
      <c r="BJ227" s="136" t="n">
        <v>0</v>
      </c>
      <c r="BK227" s="136" t="n">
        <v>0.43</v>
      </c>
      <c r="BL227" s="136" t="n">
        <v>0</v>
      </c>
      <c r="BM227" s="136" t="n">
        <v>0.05</v>
      </c>
      <c r="BN227" s="136" t="n">
        <v>0</v>
      </c>
      <c r="BO227" s="136" t="n">
        <v>-0.37</v>
      </c>
      <c r="BP227" s="136" t="n">
        <v>0</v>
      </c>
      <c r="BQ227" s="136" t="n">
        <v>0.5</v>
      </c>
      <c r="BR227" s="136" t="n">
        <v>0</v>
      </c>
      <c r="BS227" s="136" t="n">
        <v>-0.07</v>
      </c>
      <c r="BT227" s="136" t="n">
        <v>0</v>
      </c>
      <c r="BU227" s="136" t="n">
        <v>0.3</v>
      </c>
      <c r="BV227" s="136" t="n">
        <v>0</v>
      </c>
      <c r="BW227" s="136" t="n">
        <v>0</v>
      </c>
      <c r="BX227" s="136" t="n">
        <v>0</v>
      </c>
      <c r="BY227" s="136" t="n">
        <v>0</v>
      </c>
      <c r="BZ227" s="136" t="n">
        <v>0</v>
      </c>
      <c r="CA227" s="136" t="n">
        <v>0.145</v>
      </c>
      <c r="CB227" s="136" t="n">
        <v>0.005</v>
      </c>
      <c r="CC227" s="136" t="n">
        <v>0</v>
      </c>
      <c r="CD227" s="136" t="n">
        <v>0</v>
      </c>
      <c r="CE227" s="136" t="n">
        <v>0</v>
      </c>
      <c r="CF227" s="136" t="n">
        <v>0</v>
      </c>
      <c r="CG227" s="136" t="n">
        <v>0</v>
      </c>
      <c r="CH227" s="136" t="n">
        <v>0</v>
      </c>
      <c r="CI227" s="136" t="n">
        <v>0</v>
      </c>
      <c r="CJ227" s="136" t="n">
        <v>0</v>
      </c>
      <c r="CK227" s="136" t="n">
        <v>0</v>
      </c>
      <c r="CL227" s="136" t="n">
        <v>0</v>
      </c>
      <c r="CM227" s="136" t="n">
        <v>0</v>
      </c>
      <c r="CN227" s="136" t="n">
        <v>0</v>
      </c>
      <c r="CO227" s="136" t="n">
        <v>0</v>
      </c>
      <c r="CP227" s="136" t="n">
        <v>0</v>
      </c>
      <c r="CQ227" s="136" t="n">
        <v>0</v>
      </c>
      <c r="CR227" s="136" t="n">
        <v>0</v>
      </c>
      <c r="CS227" s="136" t="n">
        <v>0.38</v>
      </c>
      <c r="CT227" s="136" t="n">
        <v>0.02</v>
      </c>
      <c r="CU227" s="136" t="n">
        <v>0.05</v>
      </c>
      <c r="CV227" s="136" t="n">
        <v>0</v>
      </c>
      <c r="CW227" s="136" t="n">
        <v>0.195</v>
      </c>
      <c r="CX227" s="136" t="n">
        <v>0.0075</v>
      </c>
      <c r="CY227" s="136" t="n">
        <v>-0.18</v>
      </c>
      <c r="CZ227" s="136" t="n">
        <v>0</v>
      </c>
      <c r="DA227" s="136" t="n">
        <v>0</v>
      </c>
      <c r="DB227" s="136" t="n">
        <v>0</v>
      </c>
      <c r="DC227" s="136" t="n">
        <v>0.6</v>
      </c>
      <c r="DE227" s="136" t="n">
        <v>-0.0375</v>
      </c>
      <c r="DF227" s="136" t="n">
        <v>0.01</v>
      </c>
      <c r="DG227" s="136" t="n">
        <v>0.023</v>
      </c>
      <c r="DH227" s="136" t="n">
        <v>0.01</v>
      </c>
      <c r="DI227" s="136" t="n">
        <v>0.008</v>
      </c>
      <c r="DJ227" s="136" t="n">
        <v>0.0075</v>
      </c>
      <c r="DK227" s="136" t="n">
        <v>0</v>
      </c>
      <c r="DL227" s="136" t="n">
        <v>0</v>
      </c>
      <c r="DM227" s="136" t="n">
        <v>0</v>
      </c>
      <c r="DN227" s="136" t="n">
        <v>0</v>
      </c>
      <c r="DO227" s="136" t="n">
        <v>0</v>
      </c>
      <c r="DP227" s="136" t="n">
        <v>0</v>
      </c>
      <c r="DQ227" s="136" t="n">
        <v>0</v>
      </c>
      <c r="DR227" s="136" t="n">
        <v>0</v>
      </c>
      <c r="DS227" s="136" t="n">
        <v>0.36</v>
      </c>
      <c r="DT227" s="136" t="n">
        <v>0.005</v>
      </c>
    </row>
    <row r="228" customFormat="false" ht="12.75" hidden="false" customHeight="false" outlineLevel="0" collapsed="false">
      <c r="D228" s="135" t="n">
        <v>43586</v>
      </c>
      <c r="F228" s="174" t="n">
        <v>4.4295</v>
      </c>
      <c r="G228" s="175" t="n">
        <v>0.0654868577492715</v>
      </c>
      <c r="H228" s="174" t="n">
        <v>0.17</v>
      </c>
      <c r="I228" s="174" t="n">
        <v>0.45</v>
      </c>
      <c r="J228" s="174" t="n">
        <v>0.5</v>
      </c>
      <c r="K228" s="174" t="n">
        <v>0.4</v>
      </c>
      <c r="L228" s="172" t="n">
        <v>0.4</v>
      </c>
      <c r="M228" s="172" t="n">
        <v>0.45</v>
      </c>
      <c r="N228" s="174" t="n">
        <v>0.5</v>
      </c>
      <c r="O228" s="174" t="n">
        <v>0.45</v>
      </c>
      <c r="P228" s="174" t="n">
        <v>0.4</v>
      </c>
      <c r="Q228" s="174" t="n">
        <v>0.45</v>
      </c>
      <c r="R228" s="175" t="n">
        <v>0.45</v>
      </c>
      <c r="S228" s="175" t="n">
        <v>0.5</v>
      </c>
      <c r="T228" s="174" t="n">
        <v>0.45</v>
      </c>
      <c r="U228" s="174" t="n">
        <v>0.5</v>
      </c>
      <c r="V228" s="174" t="n">
        <v>0.5</v>
      </c>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5"/>
      <c r="AZ228" s="175"/>
      <c r="BA228" s="175" t="n">
        <v>-0.195</v>
      </c>
      <c r="BB228" s="174" t="n">
        <v>0</v>
      </c>
      <c r="BC228" s="174" t="n">
        <v>-0.07</v>
      </c>
      <c r="BD228" s="174" t="n">
        <v>0</v>
      </c>
      <c r="BE228" s="174" t="n">
        <v>0.43</v>
      </c>
      <c r="BF228" s="174" t="n">
        <v>0</v>
      </c>
      <c r="BG228" s="174" t="n">
        <v>-0.06</v>
      </c>
      <c r="BH228" s="174" t="n">
        <v>0</v>
      </c>
      <c r="BI228" s="174" t="n">
        <v>0</v>
      </c>
      <c r="BJ228" s="136" t="n">
        <v>0</v>
      </c>
      <c r="BK228" s="136" t="n">
        <v>0.43</v>
      </c>
      <c r="BL228" s="136" t="n">
        <v>0</v>
      </c>
      <c r="BM228" s="136" t="n">
        <v>0.05</v>
      </c>
      <c r="BN228" s="136" t="n">
        <v>0</v>
      </c>
      <c r="BO228" s="136" t="n">
        <v>-0.37</v>
      </c>
      <c r="BP228" s="136" t="n">
        <v>0</v>
      </c>
      <c r="BQ228" s="136" t="n">
        <v>0.5</v>
      </c>
      <c r="BR228" s="136" t="n">
        <v>0</v>
      </c>
      <c r="BS228" s="136" t="n">
        <v>-0.07</v>
      </c>
      <c r="BT228" s="136" t="n">
        <v>0</v>
      </c>
      <c r="BU228" s="136" t="n">
        <v>0.3</v>
      </c>
      <c r="BV228" s="136" t="n">
        <v>0</v>
      </c>
      <c r="BW228" s="136" t="n">
        <v>0</v>
      </c>
      <c r="BX228" s="136" t="n">
        <v>0</v>
      </c>
      <c r="BY228" s="136" t="n">
        <v>0</v>
      </c>
      <c r="BZ228" s="136" t="n">
        <v>0</v>
      </c>
      <c r="CA228" s="136" t="n">
        <v>0.125</v>
      </c>
      <c r="CB228" s="136" t="n">
        <v>0.005</v>
      </c>
      <c r="CC228" s="136" t="n">
        <v>0</v>
      </c>
      <c r="CD228" s="136" t="n">
        <v>0</v>
      </c>
      <c r="CE228" s="136" t="n">
        <v>0</v>
      </c>
      <c r="CF228" s="136" t="n">
        <v>0</v>
      </c>
      <c r="CG228" s="136" t="n">
        <v>0</v>
      </c>
      <c r="CH228" s="136" t="n">
        <v>0</v>
      </c>
      <c r="CI228" s="136" t="n">
        <v>0</v>
      </c>
      <c r="CJ228" s="136" t="n">
        <v>0</v>
      </c>
      <c r="CK228" s="136" t="n">
        <v>0</v>
      </c>
      <c r="CL228" s="136" t="n">
        <v>0</v>
      </c>
      <c r="CM228" s="136" t="n">
        <v>0</v>
      </c>
      <c r="CN228" s="136" t="n">
        <v>0</v>
      </c>
      <c r="CO228" s="136" t="n">
        <v>0</v>
      </c>
      <c r="CP228" s="136" t="n">
        <v>0</v>
      </c>
      <c r="CQ228" s="136" t="n">
        <v>0</v>
      </c>
      <c r="CR228" s="136" t="n">
        <v>0</v>
      </c>
      <c r="CS228" s="136" t="n">
        <v>0.33</v>
      </c>
      <c r="CT228" s="136" t="n">
        <v>0.02</v>
      </c>
      <c r="CU228" s="136" t="n">
        <v>0.05</v>
      </c>
      <c r="CV228" s="136" t="n">
        <v>0</v>
      </c>
      <c r="CW228" s="136" t="n">
        <v>0.135</v>
      </c>
      <c r="CX228" s="136" t="n">
        <v>0.0075</v>
      </c>
      <c r="CY228" s="136" t="n">
        <v>-0.18</v>
      </c>
      <c r="CZ228" s="136" t="n">
        <v>0</v>
      </c>
      <c r="DA228" s="136" t="n">
        <v>0</v>
      </c>
      <c r="DB228" s="136" t="n">
        <v>0</v>
      </c>
      <c r="DC228" s="136" t="n">
        <v>0.75</v>
      </c>
      <c r="DE228" s="136" t="n">
        <v>-0.0375</v>
      </c>
      <c r="DF228" s="136" t="n">
        <v>0.01</v>
      </c>
      <c r="DG228" s="136" t="n">
        <v>0.0255</v>
      </c>
      <c r="DH228" s="136" t="n">
        <v>0.01</v>
      </c>
      <c r="DI228" s="136" t="n">
        <v>0.0105</v>
      </c>
      <c r="DJ228" s="136" t="n">
        <v>0.0075</v>
      </c>
      <c r="DK228" s="136" t="n">
        <v>0</v>
      </c>
      <c r="DL228" s="136" t="n">
        <v>0</v>
      </c>
      <c r="DM228" s="136" t="n">
        <v>0</v>
      </c>
      <c r="DN228" s="136" t="n">
        <v>0</v>
      </c>
      <c r="DO228" s="136" t="n">
        <v>0</v>
      </c>
      <c r="DP228" s="136" t="n">
        <v>0</v>
      </c>
      <c r="DQ228" s="136" t="n">
        <v>0</v>
      </c>
      <c r="DR228" s="136" t="n">
        <v>0</v>
      </c>
      <c r="DS228" s="136" t="n">
        <v>0.325</v>
      </c>
      <c r="DT228" s="136" t="n">
        <v>0.005</v>
      </c>
    </row>
    <row r="229" customFormat="false" ht="12.75" hidden="false" customHeight="false" outlineLevel="0" collapsed="false">
      <c r="D229" s="135" t="n">
        <v>43617</v>
      </c>
      <c r="F229" s="174" t="n">
        <v>4.4645</v>
      </c>
      <c r="G229" s="175" t="n">
        <v>0.0655274018805585</v>
      </c>
      <c r="H229" s="174" t="n">
        <v>0.17</v>
      </c>
      <c r="I229" s="174" t="n">
        <v>0.45</v>
      </c>
      <c r="J229" s="174" t="n">
        <v>0.5</v>
      </c>
      <c r="K229" s="174" t="n">
        <v>0.4</v>
      </c>
      <c r="L229" s="172" t="n">
        <v>0.5</v>
      </c>
      <c r="M229" s="172" t="n">
        <v>0.45</v>
      </c>
      <c r="N229" s="174" t="n">
        <v>0.5</v>
      </c>
      <c r="O229" s="174" t="n">
        <v>0.5</v>
      </c>
      <c r="P229" s="174" t="n">
        <v>0.5</v>
      </c>
      <c r="Q229" s="174" t="n">
        <v>0.5</v>
      </c>
      <c r="R229" s="175" t="n">
        <v>0.45</v>
      </c>
      <c r="S229" s="175" t="n">
        <v>0.5</v>
      </c>
      <c r="T229" s="174" t="n">
        <v>0.45</v>
      </c>
      <c r="U229" s="174" t="n">
        <v>0.5</v>
      </c>
      <c r="V229" s="174" t="n">
        <v>0.6</v>
      </c>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5"/>
      <c r="AZ229" s="175"/>
      <c r="BA229" s="175" t="n">
        <v>-0.195</v>
      </c>
      <c r="BB229" s="174" t="n">
        <v>0</v>
      </c>
      <c r="BC229" s="174" t="n">
        <v>-0.07</v>
      </c>
      <c r="BD229" s="174" t="n">
        <v>0</v>
      </c>
      <c r="BE229" s="174" t="n">
        <v>0.43</v>
      </c>
      <c r="BF229" s="174" t="n">
        <v>0</v>
      </c>
      <c r="BG229" s="174" t="n">
        <v>-0.06</v>
      </c>
      <c r="BH229" s="174" t="n">
        <v>0</v>
      </c>
      <c r="BI229" s="174" t="n">
        <v>0</v>
      </c>
      <c r="BJ229" s="136" t="n">
        <v>0</v>
      </c>
      <c r="BK229" s="136" t="n">
        <v>0.43</v>
      </c>
      <c r="BL229" s="136" t="n">
        <v>0</v>
      </c>
      <c r="BM229" s="136" t="n">
        <v>0.05</v>
      </c>
      <c r="BN229" s="136" t="n">
        <v>0</v>
      </c>
      <c r="BO229" s="136" t="n">
        <v>-0.37</v>
      </c>
      <c r="BP229" s="136" t="n">
        <v>0</v>
      </c>
      <c r="BQ229" s="136" t="n">
        <v>0.5</v>
      </c>
      <c r="BR229" s="136" t="n">
        <v>0</v>
      </c>
      <c r="BS229" s="136" t="n">
        <v>-0.07</v>
      </c>
      <c r="BT229" s="136" t="n">
        <v>0</v>
      </c>
      <c r="BU229" s="136" t="n">
        <v>0.3</v>
      </c>
      <c r="BV229" s="136" t="n">
        <v>0</v>
      </c>
      <c r="BW229" s="136" t="n">
        <v>0</v>
      </c>
      <c r="BX229" s="136" t="n">
        <v>0</v>
      </c>
      <c r="BY229" s="136" t="n">
        <v>0</v>
      </c>
      <c r="BZ229" s="136" t="n">
        <v>0</v>
      </c>
      <c r="CA229" s="136" t="n">
        <v>0.145</v>
      </c>
      <c r="CB229" s="136" t="n">
        <v>0.005</v>
      </c>
      <c r="CC229" s="136" t="n">
        <v>0</v>
      </c>
      <c r="CD229" s="136" t="n">
        <v>0</v>
      </c>
      <c r="CE229" s="136" t="n">
        <v>0</v>
      </c>
      <c r="CF229" s="136" t="n">
        <v>0</v>
      </c>
      <c r="CG229" s="136" t="n">
        <v>0</v>
      </c>
      <c r="CH229" s="136" t="n">
        <v>0</v>
      </c>
      <c r="CI229" s="136" t="n">
        <v>0</v>
      </c>
      <c r="CJ229" s="136" t="n">
        <v>0</v>
      </c>
      <c r="CK229" s="136" t="n">
        <v>0</v>
      </c>
      <c r="CL229" s="136" t="n">
        <v>0</v>
      </c>
      <c r="CM229" s="136" t="n">
        <v>0</v>
      </c>
      <c r="CN229" s="136" t="n">
        <v>0</v>
      </c>
      <c r="CO229" s="136" t="n">
        <v>0</v>
      </c>
      <c r="CP229" s="136" t="n">
        <v>0</v>
      </c>
      <c r="CQ229" s="136" t="n">
        <v>0</v>
      </c>
      <c r="CR229" s="136" t="n">
        <v>0</v>
      </c>
      <c r="CS229" s="136" t="n">
        <v>0.37</v>
      </c>
      <c r="CT229" s="136" t="n">
        <v>0.035</v>
      </c>
      <c r="CU229" s="136" t="n">
        <v>0.05</v>
      </c>
      <c r="CV229" s="136" t="n">
        <v>0</v>
      </c>
      <c r="CW229" s="136" t="n">
        <v>0.165</v>
      </c>
      <c r="CX229" s="136" t="n">
        <v>0.0075</v>
      </c>
      <c r="CY229" s="136" t="n">
        <v>-0.18</v>
      </c>
      <c r="CZ229" s="136" t="n">
        <v>0</v>
      </c>
      <c r="DA229" s="136" t="n">
        <v>0</v>
      </c>
      <c r="DB229" s="136" t="n">
        <v>0</v>
      </c>
      <c r="DC229" s="136" t="n">
        <v>0.85</v>
      </c>
      <c r="DE229" s="136" t="n">
        <v>-0.035</v>
      </c>
      <c r="DF229" s="136" t="n">
        <v>0.01</v>
      </c>
      <c r="DG229" s="136" t="n">
        <v>0.0255</v>
      </c>
      <c r="DH229" s="136" t="n">
        <v>0.01</v>
      </c>
      <c r="DI229" s="136" t="n">
        <v>0.0105</v>
      </c>
      <c r="DJ229" s="136" t="n">
        <v>0.0075</v>
      </c>
      <c r="DK229" s="136" t="n">
        <v>0</v>
      </c>
      <c r="DL229" s="136" t="n">
        <v>0</v>
      </c>
      <c r="DM229" s="136" t="n">
        <v>0</v>
      </c>
      <c r="DN229" s="136" t="n">
        <v>0</v>
      </c>
      <c r="DO229" s="136" t="n">
        <v>0</v>
      </c>
      <c r="DP229" s="136" t="n">
        <v>0</v>
      </c>
      <c r="DQ229" s="136" t="n">
        <v>0</v>
      </c>
      <c r="DR229" s="136" t="n">
        <v>0</v>
      </c>
      <c r="DS229" s="136" t="n">
        <v>0.335</v>
      </c>
      <c r="DT229" s="136" t="n">
        <v>0.005</v>
      </c>
    </row>
    <row r="230" customFormat="false" ht="12.75" hidden="false" customHeight="false" outlineLevel="0" collapsed="false">
      <c r="D230" s="135" t="n">
        <v>43647</v>
      </c>
      <c r="F230" s="174" t="n">
        <v>4.5045</v>
      </c>
      <c r="G230" s="175" t="n">
        <v>0.0655666381371618</v>
      </c>
      <c r="H230" s="174" t="n">
        <v>0.17</v>
      </c>
      <c r="I230" s="174" t="n">
        <v>0.5</v>
      </c>
      <c r="J230" s="174" t="n">
        <v>0.5</v>
      </c>
      <c r="K230" s="174" t="n">
        <v>0.4</v>
      </c>
      <c r="L230" s="172" t="n">
        <v>0.5</v>
      </c>
      <c r="M230" s="172" t="n">
        <v>0.5</v>
      </c>
      <c r="N230" s="174" t="n">
        <v>0.5</v>
      </c>
      <c r="O230" s="174" t="n">
        <v>0.5</v>
      </c>
      <c r="P230" s="174" t="n">
        <v>0.5</v>
      </c>
      <c r="Q230" s="174" t="n">
        <v>0.5</v>
      </c>
      <c r="R230" s="175" t="n">
        <v>0.5</v>
      </c>
      <c r="S230" s="175" t="n">
        <v>0.55</v>
      </c>
      <c r="T230" s="174" t="n">
        <v>0.5</v>
      </c>
      <c r="U230" s="174" t="n">
        <v>0.5</v>
      </c>
      <c r="V230" s="174" t="n">
        <v>0.6</v>
      </c>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5"/>
      <c r="AZ230" s="175"/>
      <c r="BA230" s="175" t="n">
        <v>-0.195</v>
      </c>
      <c r="BB230" s="174" t="n">
        <v>0</v>
      </c>
      <c r="BC230" s="174" t="n">
        <v>-0.07</v>
      </c>
      <c r="BD230" s="174" t="n">
        <v>0</v>
      </c>
      <c r="BE230" s="174" t="n">
        <v>0.43</v>
      </c>
      <c r="BF230" s="174" t="n">
        <v>0</v>
      </c>
      <c r="BG230" s="174" t="n">
        <v>-0.06</v>
      </c>
      <c r="BH230" s="174" t="n">
        <v>0</v>
      </c>
      <c r="BI230" s="174" t="n">
        <v>0</v>
      </c>
      <c r="BJ230" s="136" t="n">
        <v>0</v>
      </c>
      <c r="BK230" s="136" t="n">
        <v>0.43</v>
      </c>
      <c r="BL230" s="136" t="n">
        <v>0</v>
      </c>
      <c r="BM230" s="136" t="n">
        <v>0.05</v>
      </c>
      <c r="BN230" s="136" t="n">
        <v>0</v>
      </c>
      <c r="BO230" s="136" t="n">
        <v>-0.37</v>
      </c>
      <c r="BP230" s="136" t="n">
        <v>0</v>
      </c>
      <c r="BQ230" s="136" t="n">
        <v>0.5</v>
      </c>
      <c r="BR230" s="136" t="n">
        <v>0</v>
      </c>
      <c r="BS230" s="136" t="n">
        <v>-0.07</v>
      </c>
      <c r="BT230" s="136" t="n">
        <v>0</v>
      </c>
      <c r="BU230" s="136" t="n">
        <v>0.3</v>
      </c>
      <c r="BV230" s="136" t="n">
        <v>0</v>
      </c>
      <c r="BW230" s="136" t="n">
        <v>0</v>
      </c>
      <c r="BX230" s="136" t="n">
        <v>0</v>
      </c>
      <c r="BY230" s="136" t="n">
        <v>0</v>
      </c>
      <c r="BZ230" s="136" t="n">
        <v>0</v>
      </c>
      <c r="CA230" s="136" t="n">
        <v>0.15</v>
      </c>
      <c r="CB230" s="136" t="n">
        <v>0.005</v>
      </c>
      <c r="CC230" s="136" t="n">
        <v>0</v>
      </c>
      <c r="CD230" s="136" t="n">
        <v>0</v>
      </c>
      <c r="CE230" s="136" t="n">
        <v>0</v>
      </c>
      <c r="CF230" s="136" t="n">
        <v>0</v>
      </c>
      <c r="CG230" s="136" t="n">
        <v>0</v>
      </c>
      <c r="CH230" s="136" t="n">
        <v>0</v>
      </c>
      <c r="CI230" s="136" t="n">
        <v>0</v>
      </c>
      <c r="CJ230" s="136" t="n">
        <v>0</v>
      </c>
      <c r="CK230" s="136" t="n">
        <v>0</v>
      </c>
      <c r="CL230" s="136" t="n">
        <v>0</v>
      </c>
      <c r="CM230" s="136" t="n">
        <v>0</v>
      </c>
      <c r="CN230" s="136" t="n">
        <v>0</v>
      </c>
      <c r="CO230" s="136" t="n">
        <v>0</v>
      </c>
      <c r="CP230" s="136" t="n">
        <v>0</v>
      </c>
      <c r="CQ230" s="136" t="n">
        <v>0</v>
      </c>
      <c r="CR230" s="136" t="n">
        <v>0</v>
      </c>
      <c r="CS230" s="136" t="n">
        <v>0.41</v>
      </c>
      <c r="CT230" s="136" t="n">
        <v>0.035</v>
      </c>
      <c r="CU230" s="136" t="n">
        <v>0.05</v>
      </c>
      <c r="CV230" s="136" t="n">
        <v>0</v>
      </c>
      <c r="CW230" s="136" t="n">
        <v>0.205</v>
      </c>
      <c r="CX230" s="136" t="n">
        <v>0.0075</v>
      </c>
      <c r="CY230" s="136" t="n">
        <v>-0.18</v>
      </c>
      <c r="CZ230" s="136" t="n">
        <v>0</v>
      </c>
      <c r="DA230" s="136" t="n">
        <v>0</v>
      </c>
      <c r="DB230" s="136" t="n">
        <v>0</v>
      </c>
      <c r="DC230" s="136" t="n">
        <v>1.05</v>
      </c>
      <c r="DE230" s="136" t="n">
        <v>-0.035</v>
      </c>
      <c r="DF230" s="136" t="n">
        <v>0.01</v>
      </c>
      <c r="DG230" s="136" t="n">
        <v>0.0255</v>
      </c>
      <c r="DH230" s="136" t="n">
        <v>0.01</v>
      </c>
      <c r="DI230" s="136" t="n">
        <v>0.0105</v>
      </c>
      <c r="DJ230" s="136" t="n">
        <v>0.0075</v>
      </c>
      <c r="DK230" s="136" t="n">
        <v>0</v>
      </c>
      <c r="DL230" s="136" t="n">
        <v>0</v>
      </c>
      <c r="DM230" s="136" t="n">
        <v>0</v>
      </c>
      <c r="DN230" s="136" t="n">
        <v>0</v>
      </c>
      <c r="DO230" s="136" t="n">
        <v>0</v>
      </c>
      <c r="DP230" s="136" t="n">
        <v>0</v>
      </c>
      <c r="DQ230" s="136" t="n">
        <v>0</v>
      </c>
      <c r="DR230" s="136" t="n">
        <v>0</v>
      </c>
      <c r="DS230" s="136" t="n">
        <v>0.35</v>
      </c>
      <c r="DT230" s="136" t="n">
        <v>0.005</v>
      </c>
    </row>
    <row r="231" customFormat="false" ht="12.75" hidden="false" customHeight="false" outlineLevel="0" collapsed="false">
      <c r="D231" s="135" t="n">
        <v>43678</v>
      </c>
      <c r="F231" s="174" t="n">
        <v>4.5445</v>
      </c>
      <c r="G231" s="175" t="n">
        <v>0.0656071822695208</v>
      </c>
      <c r="H231" s="174" t="n">
        <v>0.17</v>
      </c>
      <c r="I231" s="174" t="n">
        <v>0.55</v>
      </c>
      <c r="J231" s="174" t="n">
        <v>0.55</v>
      </c>
      <c r="K231" s="174" t="n">
        <v>0.5</v>
      </c>
      <c r="L231" s="174" t="n">
        <v>0.6</v>
      </c>
      <c r="M231" s="174" t="n">
        <v>0.55</v>
      </c>
      <c r="N231" s="174" t="n">
        <v>0.6</v>
      </c>
      <c r="O231" s="174" t="n">
        <v>0.55</v>
      </c>
      <c r="P231" s="174" t="n">
        <v>0.6</v>
      </c>
      <c r="Q231" s="174" t="n">
        <v>0.45</v>
      </c>
      <c r="R231" s="175" t="n">
        <v>0.55</v>
      </c>
      <c r="S231" s="175" t="n">
        <v>0.6</v>
      </c>
      <c r="T231" s="174" t="n">
        <v>0.55</v>
      </c>
      <c r="U231" s="174" t="n">
        <v>0.6</v>
      </c>
      <c r="V231" s="174" t="n">
        <v>0.7</v>
      </c>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5"/>
      <c r="AZ231" s="175"/>
      <c r="BA231" s="175" t="n">
        <v>-0.195</v>
      </c>
      <c r="BB231" s="174" t="n">
        <v>0</v>
      </c>
      <c r="BC231" s="174" t="n">
        <v>-0.07</v>
      </c>
      <c r="BD231" s="174" t="n">
        <v>0</v>
      </c>
      <c r="BE231" s="174" t="n">
        <v>0.43</v>
      </c>
      <c r="BF231" s="174" t="n">
        <v>0</v>
      </c>
      <c r="BG231" s="174" t="n">
        <v>-0.06</v>
      </c>
      <c r="BH231" s="174" t="n">
        <v>0</v>
      </c>
      <c r="BI231" s="174" t="n">
        <v>0</v>
      </c>
      <c r="BJ231" s="136" t="n">
        <v>0</v>
      </c>
      <c r="BK231" s="136" t="n">
        <v>0.43</v>
      </c>
      <c r="BL231" s="136" t="n">
        <v>0</v>
      </c>
      <c r="BM231" s="136" t="n">
        <v>0.05</v>
      </c>
      <c r="BN231" s="136" t="n">
        <v>0</v>
      </c>
      <c r="BO231" s="136" t="n">
        <v>-0.37</v>
      </c>
      <c r="BP231" s="136" t="n">
        <v>0</v>
      </c>
      <c r="BQ231" s="136" t="n">
        <v>0.5</v>
      </c>
      <c r="BR231" s="136" t="n">
        <v>0</v>
      </c>
      <c r="BS231" s="136" t="n">
        <v>-0.07</v>
      </c>
      <c r="BT231" s="136" t="n">
        <v>0</v>
      </c>
      <c r="BU231" s="136" t="n">
        <v>0.3</v>
      </c>
      <c r="BV231" s="136" t="n">
        <v>0</v>
      </c>
      <c r="BW231" s="136" t="n">
        <v>0</v>
      </c>
      <c r="BX231" s="136" t="n">
        <v>0</v>
      </c>
      <c r="BY231" s="136" t="n">
        <v>0</v>
      </c>
      <c r="BZ231" s="136" t="n">
        <v>0</v>
      </c>
      <c r="CA231" s="136" t="n">
        <v>0.15</v>
      </c>
      <c r="CB231" s="136" t="n">
        <v>0.005</v>
      </c>
      <c r="CC231" s="136" t="n">
        <v>0</v>
      </c>
      <c r="CD231" s="136" t="n">
        <v>0</v>
      </c>
      <c r="CE231" s="136" t="n">
        <v>0</v>
      </c>
      <c r="CF231" s="136" t="n">
        <v>0</v>
      </c>
      <c r="CG231" s="136" t="n">
        <v>0</v>
      </c>
      <c r="CH231" s="136" t="n">
        <v>0</v>
      </c>
      <c r="CI231" s="136" t="n">
        <v>0</v>
      </c>
      <c r="CJ231" s="136" t="n">
        <v>0</v>
      </c>
      <c r="CK231" s="136" t="n">
        <v>0</v>
      </c>
      <c r="CL231" s="136" t="n">
        <v>0</v>
      </c>
      <c r="CM231" s="136" t="n">
        <v>0</v>
      </c>
      <c r="CN231" s="136" t="n">
        <v>0</v>
      </c>
      <c r="CO231" s="136" t="n">
        <v>0</v>
      </c>
      <c r="CP231" s="136" t="n">
        <v>0</v>
      </c>
      <c r="CQ231" s="136" t="n">
        <v>0</v>
      </c>
      <c r="CR231" s="136" t="n">
        <v>0</v>
      </c>
      <c r="CS231" s="136" t="n">
        <v>0.41</v>
      </c>
      <c r="CT231" s="136" t="n">
        <v>0.01</v>
      </c>
      <c r="CU231" s="136" t="n">
        <v>0.05</v>
      </c>
      <c r="CV231" s="136" t="n">
        <v>0</v>
      </c>
      <c r="CW231" s="136" t="n">
        <v>0.205</v>
      </c>
      <c r="CX231" s="136" t="n">
        <v>0.0075</v>
      </c>
      <c r="CY231" s="136" t="n">
        <v>-0.18</v>
      </c>
      <c r="CZ231" s="136" t="n">
        <v>0</v>
      </c>
      <c r="DA231" s="136" t="n">
        <v>0</v>
      </c>
      <c r="DB231" s="136" t="n">
        <v>0</v>
      </c>
      <c r="DC231" s="136" t="n">
        <v>1.05</v>
      </c>
      <c r="DE231" s="136" t="n">
        <v>-0.035</v>
      </c>
      <c r="DF231" s="136" t="n">
        <v>0.01</v>
      </c>
      <c r="DG231" s="136" t="n">
        <v>0.0205</v>
      </c>
      <c r="DH231" s="136" t="n">
        <v>0.01</v>
      </c>
      <c r="DI231" s="136" t="n">
        <v>0.0055</v>
      </c>
      <c r="DJ231" s="136" t="n">
        <v>0.0075</v>
      </c>
      <c r="DK231" s="136" t="n">
        <v>0</v>
      </c>
      <c r="DL231" s="136" t="n">
        <v>0</v>
      </c>
      <c r="DM231" s="136" t="n">
        <v>0</v>
      </c>
      <c r="DN231" s="136" t="n">
        <v>0</v>
      </c>
      <c r="DO231" s="136" t="n">
        <v>0</v>
      </c>
      <c r="DP231" s="136" t="n">
        <v>0</v>
      </c>
      <c r="DQ231" s="136" t="n">
        <v>0</v>
      </c>
      <c r="DR231" s="136" t="n">
        <v>0</v>
      </c>
      <c r="DS231" s="136" t="n">
        <v>0.35</v>
      </c>
      <c r="DT231" s="136" t="n">
        <v>-0.005</v>
      </c>
    </row>
    <row r="232" customFormat="false" ht="12.75" hidden="false" customHeight="false" outlineLevel="0" collapsed="false">
      <c r="D232" s="135" t="n">
        <v>43709</v>
      </c>
      <c r="F232" s="174" t="n">
        <v>4.5395</v>
      </c>
      <c r="G232" s="175" t="n">
        <v>0.0656477264024247</v>
      </c>
      <c r="H232" s="174" t="n">
        <v>0.17</v>
      </c>
      <c r="I232" s="174" t="n">
        <v>0.55</v>
      </c>
      <c r="J232" s="174" t="n">
        <v>0.55</v>
      </c>
      <c r="K232" s="174" t="n">
        <v>0.55</v>
      </c>
      <c r="L232" s="174" t="n">
        <v>0.55</v>
      </c>
      <c r="M232" s="174" t="n">
        <v>0.55</v>
      </c>
      <c r="N232" s="174" t="n">
        <v>0.6</v>
      </c>
      <c r="O232" s="174" t="n">
        <v>0.6</v>
      </c>
      <c r="P232" s="174" t="n">
        <v>0.55</v>
      </c>
      <c r="Q232" s="174" t="n">
        <v>0.5</v>
      </c>
      <c r="R232" s="175" t="n">
        <v>0.55</v>
      </c>
      <c r="S232" s="175" t="n">
        <v>0.6</v>
      </c>
      <c r="T232" s="174" t="n">
        <v>0.55</v>
      </c>
      <c r="U232" s="174" t="n">
        <v>0.6</v>
      </c>
      <c r="V232" s="174" t="n">
        <v>0.65</v>
      </c>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5"/>
      <c r="AZ232" s="175"/>
      <c r="BA232" s="175" t="n">
        <v>-0.195</v>
      </c>
      <c r="BB232" s="174" t="n">
        <v>0</v>
      </c>
      <c r="BC232" s="174" t="n">
        <v>-0.07</v>
      </c>
      <c r="BD232" s="174" t="n">
        <v>0</v>
      </c>
      <c r="BE232" s="174" t="n">
        <v>0.43</v>
      </c>
      <c r="BF232" s="174" t="n">
        <v>0</v>
      </c>
      <c r="BG232" s="174" t="n">
        <v>-0.06</v>
      </c>
      <c r="BH232" s="174" t="n">
        <v>0</v>
      </c>
      <c r="BI232" s="174" t="n">
        <v>0</v>
      </c>
      <c r="BJ232" s="136" t="n">
        <v>0</v>
      </c>
      <c r="BK232" s="136" t="n">
        <v>0.43</v>
      </c>
      <c r="BL232" s="136" t="n">
        <v>0</v>
      </c>
      <c r="BM232" s="136" t="n">
        <v>0.05</v>
      </c>
      <c r="BN232" s="136" t="n">
        <v>0</v>
      </c>
      <c r="BO232" s="136" t="n">
        <v>-0.37</v>
      </c>
      <c r="BP232" s="136" t="n">
        <v>0</v>
      </c>
      <c r="BQ232" s="136" t="n">
        <v>0.5</v>
      </c>
      <c r="BR232" s="136" t="n">
        <v>0</v>
      </c>
      <c r="BS232" s="136" t="n">
        <v>-0.07</v>
      </c>
      <c r="BT232" s="136" t="n">
        <v>0</v>
      </c>
      <c r="BU232" s="136" t="n">
        <v>0.3</v>
      </c>
      <c r="BV232" s="136" t="n">
        <v>0</v>
      </c>
      <c r="BW232" s="136" t="n">
        <v>0</v>
      </c>
      <c r="BX232" s="136" t="n">
        <v>0</v>
      </c>
      <c r="BY232" s="136" t="n">
        <v>0</v>
      </c>
      <c r="BZ232" s="136" t="n">
        <v>0</v>
      </c>
      <c r="CA232" s="136" t="n">
        <v>0.125</v>
      </c>
      <c r="CB232" s="136" t="n">
        <v>0.005</v>
      </c>
      <c r="CC232" s="136" t="n">
        <v>0</v>
      </c>
      <c r="CD232" s="136" t="n">
        <v>0</v>
      </c>
      <c r="CE232" s="136" t="n">
        <v>0</v>
      </c>
      <c r="CF232" s="136" t="n">
        <v>0</v>
      </c>
      <c r="CG232" s="136" t="n">
        <v>0</v>
      </c>
      <c r="CH232" s="136" t="n">
        <v>0</v>
      </c>
      <c r="CI232" s="136" t="n">
        <v>0</v>
      </c>
      <c r="CJ232" s="136" t="n">
        <v>0</v>
      </c>
      <c r="CK232" s="136" t="n">
        <v>0</v>
      </c>
      <c r="CL232" s="136" t="n">
        <v>0</v>
      </c>
      <c r="CM232" s="136" t="n">
        <v>0</v>
      </c>
      <c r="CN232" s="136" t="n">
        <v>0</v>
      </c>
      <c r="CO232" s="136" t="n">
        <v>0</v>
      </c>
      <c r="CP232" s="136" t="n">
        <v>0</v>
      </c>
      <c r="CQ232" s="136" t="n">
        <v>0</v>
      </c>
      <c r="CR232" s="136" t="n">
        <v>0</v>
      </c>
      <c r="CS232" s="136" t="n">
        <v>0.36</v>
      </c>
      <c r="CT232" s="136" t="n">
        <v>0.01</v>
      </c>
      <c r="CU232" s="136" t="n">
        <v>0.05</v>
      </c>
      <c r="CV232" s="136" t="n">
        <v>0</v>
      </c>
      <c r="CW232" s="136" t="n">
        <v>0.145</v>
      </c>
      <c r="CX232" s="136" t="n">
        <v>0.0075</v>
      </c>
      <c r="CY232" s="136" t="n">
        <v>-0.18</v>
      </c>
      <c r="CZ232" s="136" t="n">
        <v>0</v>
      </c>
      <c r="DA232" s="136" t="n">
        <v>0</v>
      </c>
      <c r="DB232" s="136" t="n">
        <v>0</v>
      </c>
      <c r="DC232" s="136" t="n">
        <v>0.75</v>
      </c>
      <c r="DE232" s="136" t="n">
        <v>-0.04</v>
      </c>
      <c r="DF232" s="136" t="n">
        <v>0.01</v>
      </c>
      <c r="DG232" s="136" t="n">
        <v>0.0205</v>
      </c>
      <c r="DH232" s="136" t="n">
        <v>0.01</v>
      </c>
      <c r="DI232" s="136" t="n">
        <v>0.0055</v>
      </c>
      <c r="DJ232" s="136" t="n">
        <v>0.0075</v>
      </c>
      <c r="DK232" s="136" t="n">
        <v>0</v>
      </c>
      <c r="DL232" s="136" t="n">
        <v>0</v>
      </c>
      <c r="DM232" s="136" t="n">
        <v>0</v>
      </c>
      <c r="DN232" s="136" t="n">
        <v>0</v>
      </c>
      <c r="DO232" s="136" t="n">
        <v>0</v>
      </c>
      <c r="DP232" s="136" t="n">
        <v>0</v>
      </c>
      <c r="DQ232" s="136" t="n">
        <v>0</v>
      </c>
      <c r="DR232" s="136" t="n">
        <v>0</v>
      </c>
      <c r="DS232" s="136" t="n">
        <v>0.315</v>
      </c>
      <c r="DT232" s="136" t="n">
        <v>-0.005</v>
      </c>
    </row>
    <row r="233" customFormat="false" ht="12.75" hidden="false" customHeight="false" outlineLevel="0" collapsed="false">
      <c r="D233" s="135" t="n">
        <v>43739</v>
      </c>
      <c r="F233" s="174" t="n">
        <v>4.5645</v>
      </c>
      <c r="G233" s="175" t="n">
        <v>0.0656869626605916</v>
      </c>
      <c r="H233" s="174" t="n">
        <v>0.17</v>
      </c>
      <c r="I233" s="174" t="n">
        <v>0.6</v>
      </c>
      <c r="J233" s="174" t="n">
        <v>0.6</v>
      </c>
      <c r="K233" s="174" t="n">
        <v>0.55</v>
      </c>
      <c r="L233" s="174" t="n">
        <v>0.6</v>
      </c>
      <c r="M233" s="174" t="n">
        <v>0.6</v>
      </c>
      <c r="N233" s="174" t="n">
        <v>0.65</v>
      </c>
      <c r="O233" s="174" t="n">
        <v>0.65</v>
      </c>
      <c r="P233" s="174" t="n">
        <v>0.6</v>
      </c>
      <c r="Q233" s="174" t="n">
        <v>0.5</v>
      </c>
      <c r="R233" s="175" t="n">
        <v>0.6</v>
      </c>
      <c r="S233" s="175" t="n">
        <v>0.65</v>
      </c>
      <c r="T233" s="174" t="n">
        <v>0.6</v>
      </c>
      <c r="U233" s="174" t="n">
        <v>0.65</v>
      </c>
      <c r="V233" s="174" t="n">
        <v>0.7</v>
      </c>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5"/>
      <c r="AZ233" s="175"/>
      <c r="BA233" s="175" t="n">
        <v>-0.195</v>
      </c>
      <c r="BB233" s="174" t="n">
        <v>0</v>
      </c>
      <c r="BC233" s="174" t="n">
        <v>-0.07</v>
      </c>
      <c r="BD233" s="174" t="n">
        <v>0</v>
      </c>
      <c r="BE233" s="174" t="n">
        <v>0.43</v>
      </c>
      <c r="BF233" s="174" t="n">
        <v>0</v>
      </c>
      <c r="BG233" s="174" t="n">
        <v>-0.06</v>
      </c>
      <c r="BH233" s="174" t="n">
        <v>0</v>
      </c>
      <c r="BI233" s="174" t="n">
        <v>0</v>
      </c>
      <c r="BJ233" s="136" t="n">
        <v>0</v>
      </c>
      <c r="BK233" s="136" t="n">
        <v>0.43</v>
      </c>
      <c r="BL233" s="136" t="n">
        <v>0</v>
      </c>
      <c r="BM233" s="136" t="n">
        <v>0.05</v>
      </c>
      <c r="BN233" s="136" t="n">
        <v>0</v>
      </c>
      <c r="BO233" s="136" t="n">
        <v>-0.37</v>
      </c>
      <c r="BP233" s="136" t="n">
        <v>0</v>
      </c>
      <c r="BQ233" s="136" t="n">
        <v>0.5</v>
      </c>
      <c r="BR233" s="136" t="n">
        <v>0</v>
      </c>
      <c r="BS233" s="136" t="n">
        <v>-0.07</v>
      </c>
      <c r="BT233" s="136" t="n">
        <v>0</v>
      </c>
      <c r="BU233" s="136" t="n">
        <v>0.3</v>
      </c>
      <c r="BV233" s="136" t="n">
        <v>0</v>
      </c>
      <c r="BW233" s="136" t="n">
        <v>0</v>
      </c>
      <c r="BX233" s="136" t="n">
        <v>0</v>
      </c>
      <c r="BY233" s="136" t="n">
        <v>0</v>
      </c>
      <c r="BZ233" s="136" t="n">
        <v>0</v>
      </c>
      <c r="CA233" s="136" t="n">
        <v>0.145</v>
      </c>
      <c r="CB233" s="136" t="n">
        <v>0.005</v>
      </c>
      <c r="CC233" s="136" t="n">
        <v>0</v>
      </c>
      <c r="CD233" s="136" t="n">
        <v>0</v>
      </c>
      <c r="CE233" s="136" t="n">
        <v>0</v>
      </c>
      <c r="CF233" s="136" t="n">
        <v>0</v>
      </c>
      <c r="CG233" s="136" t="n">
        <v>0</v>
      </c>
      <c r="CH233" s="136" t="n">
        <v>0</v>
      </c>
      <c r="CI233" s="136" t="n">
        <v>0</v>
      </c>
      <c r="CJ233" s="136" t="n">
        <v>0</v>
      </c>
      <c r="CK233" s="136" t="n">
        <v>0</v>
      </c>
      <c r="CL233" s="136" t="n">
        <v>0</v>
      </c>
      <c r="CM233" s="136" t="n">
        <v>0</v>
      </c>
      <c r="CN233" s="136" t="n">
        <v>0</v>
      </c>
      <c r="CO233" s="136" t="n">
        <v>0</v>
      </c>
      <c r="CP233" s="136" t="n">
        <v>0</v>
      </c>
      <c r="CQ233" s="136" t="n">
        <v>0</v>
      </c>
      <c r="CR233" s="136" t="n">
        <v>0</v>
      </c>
      <c r="CS233" s="136" t="n">
        <v>0.4</v>
      </c>
      <c r="CT233" s="136" t="n">
        <v>0.01</v>
      </c>
      <c r="CU233" s="136" t="n">
        <v>0.05</v>
      </c>
      <c r="CV233" s="136" t="n">
        <v>0</v>
      </c>
      <c r="CW233" s="136" t="n">
        <v>0.175</v>
      </c>
      <c r="CX233" s="136" t="n">
        <v>0.0075</v>
      </c>
      <c r="CY233" s="136" t="n">
        <v>-0.18</v>
      </c>
      <c r="CZ233" s="136" t="n">
        <v>0</v>
      </c>
      <c r="DA233" s="136" t="n">
        <v>0</v>
      </c>
      <c r="DB233" s="136" t="n">
        <v>0</v>
      </c>
      <c r="DC233" s="136" t="n">
        <v>0.45</v>
      </c>
      <c r="DE233" s="136" t="n">
        <v>-0.04</v>
      </c>
      <c r="DF233" s="136" t="n">
        <v>0.01</v>
      </c>
      <c r="DG233" s="136" t="n">
        <v>0.018</v>
      </c>
      <c r="DH233" s="136" t="n">
        <v>0.01</v>
      </c>
      <c r="DI233" s="136" t="n">
        <v>0.003</v>
      </c>
      <c r="DJ233" s="136" t="n">
        <v>0.0075</v>
      </c>
      <c r="DK233" s="136" t="n">
        <v>0</v>
      </c>
      <c r="DL233" s="136" t="n">
        <v>0</v>
      </c>
      <c r="DM233" s="136" t="n">
        <v>0</v>
      </c>
      <c r="DN233" s="136" t="n">
        <v>0</v>
      </c>
      <c r="DO233" s="136" t="n">
        <v>0</v>
      </c>
      <c r="DP233" s="136" t="n">
        <v>0</v>
      </c>
      <c r="DQ233" s="136" t="n">
        <v>0</v>
      </c>
      <c r="DR233" s="136" t="n">
        <v>0</v>
      </c>
      <c r="DS233" s="136" t="n">
        <v>0.36</v>
      </c>
      <c r="DT233" s="136" t="n">
        <v>-0.005</v>
      </c>
    </row>
    <row r="234" customFormat="false" ht="12.75" hidden="false" customHeight="false" outlineLevel="0" collapsed="false">
      <c r="D234" s="135" t="n">
        <v>43770</v>
      </c>
      <c r="F234" s="174" t="n">
        <v>4.7165</v>
      </c>
      <c r="G234" s="175" t="n">
        <v>0.0657275067945675</v>
      </c>
      <c r="H234" s="174" t="n">
        <v>0.17</v>
      </c>
      <c r="I234" s="174" t="n">
        <v>0.8</v>
      </c>
      <c r="J234" s="174" t="n">
        <v>0.85</v>
      </c>
      <c r="K234" s="174" t="n">
        <v>0.8</v>
      </c>
      <c r="L234" s="174" t="n">
        <v>0.8</v>
      </c>
      <c r="M234" s="174" t="n">
        <v>0.9</v>
      </c>
      <c r="N234" s="174" t="n">
        <v>0.95</v>
      </c>
      <c r="O234" s="174" t="n">
        <v>0.85</v>
      </c>
      <c r="P234" s="174" t="n">
        <v>0.8</v>
      </c>
      <c r="Q234" s="174" t="n">
        <v>0.95</v>
      </c>
      <c r="R234" s="175" t="n">
        <v>0.8</v>
      </c>
      <c r="S234" s="175" t="n">
        <v>0.8</v>
      </c>
      <c r="T234" s="174" t="n">
        <v>0.8</v>
      </c>
      <c r="U234" s="174" t="n">
        <v>0.95</v>
      </c>
      <c r="V234" s="174" t="n">
        <v>0.9</v>
      </c>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5"/>
      <c r="AZ234" s="175"/>
      <c r="BA234" s="175" t="n">
        <v>-0.13</v>
      </c>
      <c r="BB234" s="174" t="n">
        <v>0</v>
      </c>
      <c r="BC234" s="174" t="n">
        <v>-0.07</v>
      </c>
      <c r="BD234" s="174" t="n">
        <v>0</v>
      </c>
      <c r="BE234" s="174" t="n">
        <v>0.35</v>
      </c>
      <c r="BF234" s="174" t="n">
        <v>0</v>
      </c>
      <c r="BG234" s="174" t="n">
        <v>-0.06</v>
      </c>
      <c r="BH234" s="174" t="n">
        <v>0</v>
      </c>
      <c r="BI234" s="174" t="n">
        <v>0</v>
      </c>
      <c r="BJ234" s="136" t="n">
        <v>0</v>
      </c>
      <c r="BK234" s="136" t="n">
        <v>0.35</v>
      </c>
      <c r="BL234" s="136" t="n">
        <v>0</v>
      </c>
      <c r="BM234" s="136" t="n">
        <v>0.05</v>
      </c>
      <c r="BN234" s="136" t="n">
        <v>0</v>
      </c>
      <c r="BO234" s="136" t="n">
        <v>-0.26</v>
      </c>
      <c r="BP234" s="136" t="n">
        <v>0</v>
      </c>
      <c r="BQ234" s="136" t="n">
        <v>0.5</v>
      </c>
      <c r="BR234" s="136" t="n">
        <v>0</v>
      </c>
      <c r="BS234" s="136" t="n">
        <v>-0.07</v>
      </c>
      <c r="BT234" s="136" t="n">
        <v>0</v>
      </c>
      <c r="BU234" s="136" t="n">
        <v>0.3</v>
      </c>
      <c r="BV234" s="136" t="n">
        <v>0</v>
      </c>
      <c r="BW234" s="136" t="n">
        <v>0</v>
      </c>
      <c r="BX234" s="136" t="n">
        <v>0</v>
      </c>
      <c r="BY234" s="136" t="n">
        <v>0</v>
      </c>
      <c r="BZ234" s="136" t="n">
        <v>0</v>
      </c>
      <c r="CA234" s="136" t="n">
        <v>0.195</v>
      </c>
      <c r="CB234" s="136" t="n">
        <v>0.005</v>
      </c>
      <c r="CC234" s="136" t="n">
        <v>0</v>
      </c>
      <c r="CD234" s="136" t="n">
        <v>0</v>
      </c>
      <c r="CE234" s="136" t="n">
        <v>0</v>
      </c>
      <c r="CF234" s="136" t="n">
        <v>0</v>
      </c>
      <c r="CG234" s="136" t="n">
        <v>0</v>
      </c>
      <c r="CH234" s="136" t="n">
        <v>0</v>
      </c>
      <c r="CI234" s="136" t="n">
        <v>0</v>
      </c>
      <c r="CJ234" s="136" t="n">
        <v>0</v>
      </c>
      <c r="CK234" s="136" t="n">
        <v>0</v>
      </c>
      <c r="CL234" s="136" t="n">
        <v>0</v>
      </c>
      <c r="CM234" s="136" t="n">
        <v>0</v>
      </c>
      <c r="CN234" s="136" t="n">
        <v>0</v>
      </c>
      <c r="CO234" s="136" t="n">
        <v>0</v>
      </c>
      <c r="CP234" s="136" t="n">
        <v>0</v>
      </c>
      <c r="CQ234" s="136" t="n">
        <v>0</v>
      </c>
      <c r="CR234" s="136" t="n">
        <v>0</v>
      </c>
      <c r="CS234" s="136" t="n">
        <v>0.65</v>
      </c>
      <c r="CT234" s="136" t="n">
        <v>0.055</v>
      </c>
      <c r="CU234" s="136" t="n">
        <v>0.05</v>
      </c>
      <c r="CV234" s="136" t="n">
        <v>0</v>
      </c>
      <c r="CW234" s="136" t="n">
        <v>0.21</v>
      </c>
      <c r="CX234" s="136" t="n">
        <v>0.02</v>
      </c>
      <c r="CY234" s="136" t="n">
        <v>-0.18</v>
      </c>
      <c r="CZ234" s="136" t="n">
        <v>0</v>
      </c>
      <c r="DA234" s="136" t="n">
        <v>0</v>
      </c>
      <c r="DB234" s="136" t="n">
        <v>0</v>
      </c>
      <c r="DC234" s="136" t="n">
        <v>0.45</v>
      </c>
      <c r="DE234" s="136" t="n">
        <v>-0.0285</v>
      </c>
      <c r="DF234" s="136" t="n">
        <v>0.0125</v>
      </c>
      <c r="DG234" s="136" t="n">
        <v>0.019</v>
      </c>
      <c r="DH234" s="136" t="n">
        <v>0.0075</v>
      </c>
      <c r="DI234" s="136" t="n">
        <v>0.004</v>
      </c>
      <c r="DJ234" s="136" t="n">
        <v>0.0025</v>
      </c>
      <c r="DK234" s="136" t="n">
        <v>0</v>
      </c>
      <c r="DL234" s="136" t="n">
        <v>0</v>
      </c>
      <c r="DM234" s="136" t="n">
        <v>0</v>
      </c>
      <c r="DN234" s="136" t="n">
        <v>0</v>
      </c>
      <c r="DO234" s="136" t="n">
        <v>0</v>
      </c>
      <c r="DP234" s="136" t="n">
        <v>0</v>
      </c>
      <c r="DQ234" s="136" t="n">
        <v>0</v>
      </c>
      <c r="DR234" s="136" t="n">
        <v>0</v>
      </c>
      <c r="DS234" s="136" t="n">
        <v>0.46</v>
      </c>
      <c r="DT234" s="136" t="n">
        <v>0.05</v>
      </c>
    </row>
    <row r="235" customFormat="false" ht="12.75" hidden="false" customHeight="false" outlineLevel="0" collapsed="false">
      <c r="D235" s="135" t="n">
        <v>43800</v>
      </c>
      <c r="F235" s="174" t="n">
        <v>4.8595</v>
      </c>
      <c r="G235" s="175" t="n">
        <v>0.0657667430537723</v>
      </c>
      <c r="H235" s="174" t="n">
        <v>0.17</v>
      </c>
      <c r="I235" s="174" t="n">
        <v>1</v>
      </c>
      <c r="J235" s="174" t="n">
        <v>1.05</v>
      </c>
      <c r="K235" s="174" t="n">
        <v>1</v>
      </c>
      <c r="L235" s="174" t="n">
        <v>1</v>
      </c>
      <c r="M235" s="174" t="n">
        <v>1.15</v>
      </c>
      <c r="N235" s="174" t="n">
        <v>1.25</v>
      </c>
      <c r="O235" s="174" t="n">
        <v>1.05</v>
      </c>
      <c r="P235" s="174" t="n">
        <v>1</v>
      </c>
      <c r="Q235" s="174" t="n">
        <v>1.35</v>
      </c>
      <c r="R235" s="175" t="n">
        <v>1</v>
      </c>
      <c r="S235" s="175" t="n">
        <v>1.1</v>
      </c>
      <c r="T235" s="174" t="n">
        <v>1</v>
      </c>
      <c r="U235" s="174" t="n">
        <v>1.25</v>
      </c>
      <c r="V235" s="174" t="n">
        <v>1.1</v>
      </c>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5"/>
      <c r="AZ235" s="175"/>
      <c r="BA235" s="175" t="n">
        <v>-0.13</v>
      </c>
      <c r="BB235" s="174" t="n">
        <v>0</v>
      </c>
      <c r="BC235" s="174" t="n">
        <v>-0.07</v>
      </c>
      <c r="BD235" s="174" t="n">
        <v>0</v>
      </c>
      <c r="BE235" s="174" t="n">
        <v>0.35</v>
      </c>
      <c r="BF235" s="174" t="n">
        <v>0</v>
      </c>
      <c r="BG235" s="174" t="n">
        <v>-0.06</v>
      </c>
      <c r="BH235" s="174" t="n">
        <v>0</v>
      </c>
      <c r="BI235" s="174" t="n">
        <v>0</v>
      </c>
      <c r="BJ235" s="136" t="n">
        <v>0</v>
      </c>
      <c r="BK235" s="136" t="n">
        <v>0.35</v>
      </c>
      <c r="BL235" s="136" t="n">
        <v>0</v>
      </c>
      <c r="BM235" s="136" t="n">
        <v>0.05</v>
      </c>
      <c r="BN235" s="136" t="n">
        <v>0</v>
      </c>
      <c r="BO235" s="136" t="n">
        <v>-0.26</v>
      </c>
      <c r="BP235" s="136" t="n">
        <v>0</v>
      </c>
      <c r="BQ235" s="136" t="n">
        <v>0.5</v>
      </c>
      <c r="BR235" s="136" t="n">
        <v>0</v>
      </c>
      <c r="BS235" s="136" t="n">
        <v>-0.07</v>
      </c>
      <c r="BT235" s="136" t="n">
        <v>0</v>
      </c>
      <c r="BU235" s="136" t="n">
        <v>0.3</v>
      </c>
      <c r="BV235" s="136" t="n">
        <v>0</v>
      </c>
      <c r="BW235" s="136" t="n">
        <v>0</v>
      </c>
      <c r="BX235" s="136" t="n">
        <v>0</v>
      </c>
      <c r="BY235" s="136" t="n">
        <v>0</v>
      </c>
      <c r="BZ235" s="136" t="n">
        <v>0</v>
      </c>
      <c r="CA235" s="136" t="n">
        <v>0.215</v>
      </c>
      <c r="CB235" s="136" t="n">
        <v>0.005</v>
      </c>
      <c r="CC235" s="136" t="n">
        <v>0</v>
      </c>
      <c r="CD235" s="136" t="n">
        <v>0</v>
      </c>
      <c r="CE235" s="136" t="n">
        <v>0</v>
      </c>
      <c r="CF235" s="136" t="n">
        <v>0</v>
      </c>
      <c r="CG235" s="136" t="n">
        <v>0</v>
      </c>
      <c r="CH235" s="136" t="n">
        <v>0</v>
      </c>
      <c r="CI235" s="136" t="n">
        <v>0</v>
      </c>
      <c r="CJ235" s="136" t="n">
        <v>0</v>
      </c>
      <c r="CK235" s="136" t="n">
        <v>0</v>
      </c>
      <c r="CL235" s="136" t="n">
        <v>0</v>
      </c>
      <c r="CM235" s="136" t="n">
        <v>0</v>
      </c>
      <c r="CN235" s="136" t="n">
        <v>0</v>
      </c>
      <c r="CO235" s="136" t="n">
        <v>0</v>
      </c>
      <c r="CP235" s="136" t="n">
        <v>0</v>
      </c>
      <c r="CQ235" s="136" t="n">
        <v>0</v>
      </c>
      <c r="CR235" s="136" t="n">
        <v>0</v>
      </c>
      <c r="CS235" s="136" t="n">
        <v>0.98</v>
      </c>
      <c r="CT235" s="136" t="n">
        <v>0.25</v>
      </c>
      <c r="CU235" s="136" t="n">
        <v>0.05</v>
      </c>
      <c r="CV235" s="136" t="n">
        <v>0</v>
      </c>
      <c r="CW235" s="136" t="n">
        <v>0.29</v>
      </c>
      <c r="CX235" s="136" t="n">
        <v>0.02</v>
      </c>
      <c r="CY235" s="136" t="n">
        <v>-0.18</v>
      </c>
      <c r="CZ235" s="136" t="n">
        <v>0</v>
      </c>
      <c r="DA235" s="136" t="n">
        <v>0</v>
      </c>
      <c r="DB235" s="136" t="n">
        <v>0</v>
      </c>
      <c r="DC235" s="136" t="n">
        <v>0.4</v>
      </c>
      <c r="DE235" s="136" t="n">
        <v>-0.0285</v>
      </c>
      <c r="DF235" s="136" t="n">
        <v>0.0125</v>
      </c>
      <c r="DG235" s="136" t="n">
        <v>0.019</v>
      </c>
      <c r="DH235" s="136" t="n">
        <v>0.0075</v>
      </c>
      <c r="DI235" s="136" t="n">
        <v>0.004</v>
      </c>
      <c r="DJ235" s="136" t="n">
        <v>0.0025</v>
      </c>
      <c r="DK235" s="136" t="n">
        <v>0</v>
      </c>
      <c r="DL235" s="136" t="n">
        <v>0</v>
      </c>
      <c r="DM235" s="136" t="n">
        <v>0</v>
      </c>
      <c r="DN235" s="136" t="n">
        <v>0</v>
      </c>
      <c r="DO235" s="136" t="n">
        <v>0</v>
      </c>
      <c r="DP235" s="136" t="n">
        <v>0</v>
      </c>
      <c r="DQ235" s="136" t="n">
        <v>0</v>
      </c>
      <c r="DR235" s="136" t="n">
        <v>0</v>
      </c>
      <c r="DS235" s="136" t="n">
        <v>0.77</v>
      </c>
      <c r="DT235" s="136" t="n">
        <v>0.05</v>
      </c>
    </row>
    <row r="236" customFormat="false" ht="12.75" hidden="false" customHeight="false" outlineLevel="0" collapsed="false">
      <c r="D236" s="135" t="n">
        <v>43831</v>
      </c>
      <c r="F236" s="174" t="n">
        <v>4.9195</v>
      </c>
      <c r="G236" s="175" t="n">
        <v>0.0658072871888193</v>
      </c>
      <c r="H236" s="174" t="n">
        <v>0.17</v>
      </c>
      <c r="I236" s="174" t="n">
        <v>1</v>
      </c>
      <c r="J236" s="174" t="n">
        <v>1.05</v>
      </c>
      <c r="K236" s="174" t="n">
        <v>1</v>
      </c>
      <c r="L236" s="174" t="n">
        <v>1</v>
      </c>
      <c r="M236" s="174" t="n">
        <v>1.15</v>
      </c>
      <c r="N236" s="174" t="n">
        <v>1.45</v>
      </c>
      <c r="O236" s="174" t="n">
        <v>1.05</v>
      </c>
      <c r="P236" s="174" t="n">
        <v>1</v>
      </c>
      <c r="Q236" s="174" t="n">
        <v>1.35</v>
      </c>
      <c r="R236" s="175" t="n">
        <v>1</v>
      </c>
      <c r="S236" s="175" t="n">
        <v>1.1</v>
      </c>
      <c r="T236" s="174" t="n">
        <v>1</v>
      </c>
      <c r="U236" s="174" t="n">
        <v>1.45</v>
      </c>
      <c r="V236" s="174" t="n">
        <v>1.1</v>
      </c>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5"/>
      <c r="AZ236" s="175"/>
      <c r="BA236" s="175" t="n">
        <v>-0.13</v>
      </c>
      <c r="BB236" s="174" t="n">
        <v>0</v>
      </c>
      <c r="BC236" s="174" t="n">
        <v>-0.07</v>
      </c>
      <c r="BD236" s="174" t="n">
        <v>0</v>
      </c>
      <c r="BE236" s="174" t="n">
        <v>0.35</v>
      </c>
      <c r="BF236" s="174" t="n">
        <v>0</v>
      </c>
      <c r="BG236" s="174" t="n">
        <v>-0.06</v>
      </c>
      <c r="BH236" s="174" t="n">
        <v>0</v>
      </c>
      <c r="BI236" s="174" t="n">
        <v>0</v>
      </c>
      <c r="BJ236" s="136" t="n">
        <v>0</v>
      </c>
      <c r="BK236" s="136" t="n">
        <v>0.35</v>
      </c>
      <c r="BL236" s="136" t="n">
        <v>0</v>
      </c>
      <c r="BM236" s="136" t="n">
        <v>0.05</v>
      </c>
      <c r="BN236" s="136" t="n">
        <v>0</v>
      </c>
      <c r="BO236" s="136" t="n">
        <v>-0.26</v>
      </c>
      <c r="BP236" s="136" t="n">
        <v>0</v>
      </c>
      <c r="BQ236" s="136" t="n">
        <v>0.5</v>
      </c>
      <c r="BR236" s="136" t="n">
        <v>0</v>
      </c>
      <c r="BS236" s="136" t="n">
        <v>-0.07</v>
      </c>
      <c r="BT236" s="136" t="n">
        <v>0</v>
      </c>
      <c r="BU236" s="136" t="n">
        <v>0.3</v>
      </c>
      <c r="BV236" s="136" t="n">
        <v>0</v>
      </c>
      <c r="BW236" s="136" t="n">
        <v>0</v>
      </c>
      <c r="BX236" s="136" t="n">
        <v>0</v>
      </c>
      <c r="BY236" s="136" t="n">
        <v>0</v>
      </c>
      <c r="BZ236" s="136" t="n">
        <v>0</v>
      </c>
      <c r="CA236" s="136" t="n">
        <v>0.235</v>
      </c>
      <c r="CB236" s="136" t="n">
        <v>0.005</v>
      </c>
      <c r="CC236" s="136" t="n">
        <v>0</v>
      </c>
      <c r="CD236" s="136" t="n">
        <v>0</v>
      </c>
      <c r="CE236" s="136" t="n">
        <v>0</v>
      </c>
      <c r="CF236" s="136" t="n">
        <v>0</v>
      </c>
      <c r="CG236" s="136" t="n">
        <v>0</v>
      </c>
      <c r="CH236" s="136" t="n">
        <v>0</v>
      </c>
      <c r="CI236" s="136" t="n">
        <v>0</v>
      </c>
      <c r="CJ236" s="136" t="n">
        <v>0</v>
      </c>
      <c r="CK236" s="136" t="n">
        <v>0</v>
      </c>
      <c r="CL236" s="136" t="n">
        <v>0</v>
      </c>
      <c r="CM236" s="136" t="n">
        <v>0</v>
      </c>
      <c r="CN236" s="136" t="n">
        <v>0</v>
      </c>
      <c r="CO236" s="136" t="n">
        <v>0</v>
      </c>
      <c r="CP236" s="136" t="n">
        <v>0</v>
      </c>
      <c r="CQ236" s="136" t="n">
        <v>0</v>
      </c>
      <c r="CR236" s="136" t="n">
        <v>0</v>
      </c>
      <c r="CS236" s="136" t="n">
        <v>1.6</v>
      </c>
      <c r="CT236" s="136" t="n">
        <v>0.45</v>
      </c>
      <c r="CU236" s="136" t="n">
        <v>0.05</v>
      </c>
      <c r="CV236" s="136" t="n">
        <v>0</v>
      </c>
      <c r="CW236" s="136" t="n">
        <v>0.34</v>
      </c>
      <c r="CX236" s="136" t="n">
        <v>0.02</v>
      </c>
      <c r="CY236" s="136" t="n">
        <v>-0.18</v>
      </c>
      <c r="CZ236" s="136" t="n">
        <v>0</v>
      </c>
      <c r="DA236" s="136" t="n">
        <v>0</v>
      </c>
      <c r="DB236" s="136" t="n">
        <v>0</v>
      </c>
      <c r="DC236" s="136" t="n">
        <v>0.35</v>
      </c>
      <c r="DE236" s="136" t="n">
        <v>-0.0285</v>
      </c>
      <c r="DF236" s="136" t="n">
        <v>0.0125</v>
      </c>
      <c r="DG236" s="136" t="n">
        <v>0.019</v>
      </c>
      <c r="DH236" s="136" t="n">
        <v>0.0075</v>
      </c>
      <c r="DI236" s="136" t="n">
        <v>0.004</v>
      </c>
      <c r="DJ236" s="136" t="n">
        <v>0.0025</v>
      </c>
      <c r="DK236" s="136" t="n">
        <v>0</v>
      </c>
      <c r="DL236" s="136" t="n">
        <v>0</v>
      </c>
      <c r="DM236" s="136" t="n">
        <v>0</v>
      </c>
      <c r="DN236" s="136" t="n">
        <v>0</v>
      </c>
      <c r="DO236" s="136" t="n">
        <v>0</v>
      </c>
      <c r="DP236" s="136" t="n">
        <v>0</v>
      </c>
      <c r="DQ236" s="136" t="n">
        <v>0</v>
      </c>
      <c r="DR236" s="136" t="n">
        <v>0</v>
      </c>
      <c r="DS236" s="136" t="n">
        <v>1.04</v>
      </c>
      <c r="DT236" s="136" t="n">
        <v>0.05</v>
      </c>
    </row>
    <row r="237" customFormat="false" ht="12.75" hidden="false" customHeight="false" outlineLevel="0" collapsed="false">
      <c r="D237" s="135" t="n">
        <v>43862</v>
      </c>
      <c r="F237" s="174" t="n">
        <v>4.8345</v>
      </c>
      <c r="G237" s="175" t="n">
        <v>0.0658478313244113</v>
      </c>
      <c r="H237" s="174" t="n">
        <v>0.17</v>
      </c>
      <c r="I237" s="174" t="n">
        <v>1</v>
      </c>
      <c r="J237" s="174" t="n">
        <v>1.05</v>
      </c>
      <c r="K237" s="174" t="n">
        <v>1</v>
      </c>
      <c r="L237" s="174" t="n">
        <v>1</v>
      </c>
      <c r="M237" s="174" t="n">
        <v>1.15</v>
      </c>
      <c r="N237" s="174" t="n">
        <v>1.45</v>
      </c>
      <c r="O237" s="174" t="n">
        <v>1.05</v>
      </c>
      <c r="P237" s="174" t="n">
        <v>1</v>
      </c>
      <c r="Q237" s="174" t="n">
        <v>1.35</v>
      </c>
      <c r="R237" s="175" t="n">
        <v>1</v>
      </c>
      <c r="S237" s="175" t="n">
        <v>1.1</v>
      </c>
      <c r="T237" s="174" t="n">
        <v>1</v>
      </c>
      <c r="U237" s="174" t="n">
        <v>1.45</v>
      </c>
      <c r="V237" s="174" t="n">
        <v>1.1</v>
      </c>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5"/>
      <c r="AZ237" s="175"/>
      <c r="BA237" s="175" t="n">
        <v>-0.13</v>
      </c>
      <c r="BB237" s="174" t="n">
        <v>0</v>
      </c>
      <c r="BC237" s="174" t="n">
        <v>-0.07</v>
      </c>
      <c r="BD237" s="174" t="n">
        <v>0</v>
      </c>
      <c r="BE237" s="174" t="n">
        <v>0.35</v>
      </c>
      <c r="BF237" s="174" t="n">
        <v>0</v>
      </c>
      <c r="BG237" s="174" t="n">
        <v>-0.06</v>
      </c>
      <c r="BH237" s="174" t="n">
        <v>0</v>
      </c>
      <c r="BI237" s="174" t="n">
        <v>0</v>
      </c>
      <c r="BJ237" s="136" t="n">
        <v>0</v>
      </c>
      <c r="BK237" s="136" t="n">
        <v>0.35</v>
      </c>
      <c r="BL237" s="136" t="n">
        <v>0</v>
      </c>
      <c r="BM237" s="136" t="n">
        <v>0.05</v>
      </c>
      <c r="BN237" s="136" t="n">
        <v>0</v>
      </c>
      <c r="BO237" s="136" t="n">
        <v>-0.26</v>
      </c>
      <c r="BP237" s="136" t="n">
        <v>0</v>
      </c>
      <c r="BQ237" s="136" t="n">
        <v>0.5</v>
      </c>
      <c r="BR237" s="136" t="n">
        <v>0</v>
      </c>
      <c r="BS237" s="136" t="n">
        <v>-0.07</v>
      </c>
      <c r="BT237" s="136" t="n">
        <v>0</v>
      </c>
      <c r="BU237" s="136" t="n">
        <v>0.3</v>
      </c>
      <c r="BV237" s="136" t="n">
        <v>0</v>
      </c>
      <c r="BW237" s="136" t="n">
        <v>0</v>
      </c>
      <c r="BX237" s="136" t="n">
        <v>0</v>
      </c>
      <c r="BY237" s="136" t="n">
        <v>0</v>
      </c>
      <c r="BZ237" s="136" t="n">
        <v>0</v>
      </c>
      <c r="CA237" s="136" t="n">
        <v>0.235</v>
      </c>
      <c r="CB237" s="136" t="n">
        <v>0.005</v>
      </c>
      <c r="CC237" s="136" t="n">
        <v>0</v>
      </c>
      <c r="CD237" s="136" t="n">
        <v>0</v>
      </c>
      <c r="CE237" s="136" t="n">
        <v>0</v>
      </c>
      <c r="CF237" s="136" t="n">
        <v>0</v>
      </c>
      <c r="CG237" s="136" t="n">
        <v>0</v>
      </c>
      <c r="CH237" s="136" t="n">
        <v>0</v>
      </c>
      <c r="CI237" s="136" t="n">
        <v>0</v>
      </c>
      <c r="CJ237" s="136" t="n">
        <v>0</v>
      </c>
      <c r="CK237" s="136" t="n">
        <v>0</v>
      </c>
      <c r="CL237" s="136" t="n">
        <v>0</v>
      </c>
      <c r="CM237" s="136" t="n">
        <v>0</v>
      </c>
      <c r="CN237" s="136" t="n">
        <v>0</v>
      </c>
      <c r="CO237" s="136" t="n">
        <v>0</v>
      </c>
      <c r="CP237" s="136" t="n">
        <v>0</v>
      </c>
      <c r="CQ237" s="136" t="n">
        <v>0</v>
      </c>
      <c r="CR237" s="136" t="n">
        <v>0</v>
      </c>
      <c r="CS237" s="136" t="n">
        <v>1.6</v>
      </c>
      <c r="CT237" s="136" t="n">
        <v>0.45</v>
      </c>
      <c r="CU237" s="136" t="n">
        <v>0.05</v>
      </c>
      <c r="CV237" s="136" t="n">
        <v>0</v>
      </c>
      <c r="CW237" s="136" t="n">
        <v>0.34</v>
      </c>
      <c r="CX237" s="136" t="n">
        <v>0.02</v>
      </c>
      <c r="CY237" s="136" t="n">
        <v>-0.18</v>
      </c>
      <c r="CZ237" s="136" t="n">
        <v>0</v>
      </c>
      <c r="DA237" s="136" t="n">
        <v>0</v>
      </c>
      <c r="DB237" s="136" t="n">
        <v>0</v>
      </c>
      <c r="DC237" s="136" t="n">
        <v>0.35</v>
      </c>
      <c r="DE237" s="136" t="n">
        <v>-0.0285</v>
      </c>
      <c r="DF237" s="136" t="n">
        <v>0.0125</v>
      </c>
      <c r="DG237" s="136" t="n">
        <v>0.019</v>
      </c>
      <c r="DH237" s="136" t="n">
        <v>0.0075</v>
      </c>
      <c r="DI237" s="136" t="n">
        <v>0.004</v>
      </c>
      <c r="DJ237" s="136" t="n">
        <v>0.0025</v>
      </c>
      <c r="DK237" s="136" t="n">
        <v>0</v>
      </c>
      <c r="DL237" s="136" t="n">
        <v>0</v>
      </c>
      <c r="DM237" s="136" t="n">
        <v>0</v>
      </c>
      <c r="DN237" s="136" t="n">
        <v>0</v>
      </c>
      <c r="DO237" s="136" t="n">
        <v>0</v>
      </c>
      <c r="DP237" s="136" t="n">
        <v>0</v>
      </c>
      <c r="DQ237" s="136" t="n">
        <v>0</v>
      </c>
      <c r="DR237" s="136" t="n">
        <v>0</v>
      </c>
      <c r="DS237" s="136" t="n">
        <v>1.04</v>
      </c>
      <c r="DT237" s="136" t="n">
        <v>0.05</v>
      </c>
    </row>
    <row r="238" customFormat="false" ht="12.75" hidden="false" customHeight="false" outlineLevel="0" collapsed="false">
      <c r="D238" s="135" t="n">
        <v>43891</v>
      </c>
      <c r="F238" s="174" t="n">
        <v>4.7045</v>
      </c>
      <c r="G238" s="175" t="n">
        <v>0.065885759709813</v>
      </c>
      <c r="H238" s="174" t="n">
        <v>0.17</v>
      </c>
      <c r="I238" s="174" t="n">
        <v>0.75</v>
      </c>
      <c r="J238" s="174" t="n">
        <v>0.8</v>
      </c>
      <c r="K238" s="174" t="n">
        <v>0.75</v>
      </c>
      <c r="L238" s="174" t="n">
        <v>0.75</v>
      </c>
      <c r="M238" s="174" t="n">
        <v>0.85</v>
      </c>
      <c r="N238" s="174" t="n">
        <v>1</v>
      </c>
      <c r="O238" s="174" t="n">
        <v>0.75</v>
      </c>
      <c r="P238" s="174" t="n">
        <v>0.75</v>
      </c>
      <c r="Q238" s="174" t="n">
        <v>0.95</v>
      </c>
      <c r="R238" s="175" t="n">
        <v>0.75</v>
      </c>
      <c r="S238" s="175" t="n">
        <v>0.75</v>
      </c>
      <c r="T238" s="174" t="n">
        <v>0.75</v>
      </c>
      <c r="U238" s="174" t="n">
        <v>1</v>
      </c>
      <c r="V238" s="174" t="n">
        <v>0.85</v>
      </c>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5"/>
      <c r="AZ238" s="175"/>
      <c r="BA238" s="175" t="n">
        <v>-0.13</v>
      </c>
      <c r="BB238" s="174" t="n">
        <v>0</v>
      </c>
      <c r="BC238" s="174" t="n">
        <v>-0.07</v>
      </c>
      <c r="BD238" s="174" t="n">
        <v>0</v>
      </c>
      <c r="BE238" s="174" t="n">
        <v>0.35</v>
      </c>
      <c r="BF238" s="174" t="n">
        <v>0</v>
      </c>
      <c r="BG238" s="174" t="n">
        <v>-0.06</v>
      </c>
      <c r="BH238" s="174" t="n">
        <v>0</v>
      </c>
      <c r="BI238" s="174" t="n">
        <v>0</v>
      </c>
      <c r="BJ238" s="136" t="n">
        <v>0</v>
      </c>
      <c r="BK238" s="136" t="n">
        <v>0.35</v>
      </c>
      <c r="BL238" s="136" t="n">
        <v>0</v>
      </c>
      <c r="BM238" s="136" t="n">
        <v>0.05</v>
      </c>
      <c r="BN238" s="136" t="n">
        <v>0</v>
      </c>
      <c r="BO238" s="136" t="n">
        <v>-0.26</v>
      </c>
      <c r="BP238" s="136" t="n">
        <v>0</v>
      </c>
      <c r="BQ238" s="136" t="n">
        <v>0.5</v>
      </c>
      <c r="BR238" s="136" t="n">
        <v>0</v>
      </c>
      <c r="BS238" s="136" t="n">
        <v>-0.07</v>
      </c>
      <c r="BT238" s="136" t="n">
        <v>0</v>
      </c>
      <c r="BU238" s="136" t="n">
        <v>0.3</v>
      </c>
      <c r="BV238" s="136" t="n">
        <v>0</v>
      </c>
      <c r="BW238" s="136" t="n">
        <v>0</v>
      </c>
      <c r="BX238" s="136" t="n">
        <v>0</v>
      </c>
      <c r="BY238" s="136" t="n">
        <v>0</v>
      </c>
      <c r="BZ238" s="136" t="n">
        <v>0</v>
      </c>
      <c r="CA238" s="136" t="n">
        <v>0.195</v>
      </c>
      <c r="CB238" s="136" t="n">
        <v>0.005</v>
      </c>
      <c r="CC238" s="136" t="n">
        <v>0</v>
      </c>
      <c r="CD238" s="136" t="n">
        <v>0</v>
      </c>
      <c r="CE238" s="136" t="n">
        <v>0</v>
      </c>
      <c r="CF238" s="136" t="n">
        <v>0</v>
      </c>
      <c r="CG238" s="136" t="n">
        <v>0</v>
      </c>
      <c r="CH238" s="136" t="n">
        <v>0</v>
      </c>
      <c r="CI238" s="136" t="n">
        <v>0</v>
      </c>
      <c r="CJ238" s="136" t="n">
        <v>0</v>
      </c>
      <c r="CK238" s="136" t="n">
        <v>0</v>
      </c>
      <c r="CL238" s="136" t="n">
        <v>0</v>
      </c>
      <c r="CM238" s="136" t="n">
        <v>0</v>
      </c>
      <c r="CN238" s="136" t="n">
        <v>0</v>
      </c>
      <c r="CO238" s="136" t="n">
        <v>0</v>
      </c>
      <c r="CP238" s="136" t="n">
        <v>0</v>
      </c>
      <c r="CQ238" s="136" t="n">
        <v>0</v>
      </c>
      <c r="CR238" s="136" t="n">
        <v>0</v>
      </c>
      <c r="CS238" s="136" t="n">
        <v>0.64</v>
      </c>
      <c r="CT238" s="136" t="n">
        <v>0.1</v>
      </c>
      <c r="CU238" s="136" t="n">
        <v>0.05</v>
      </c>
      <c r="CV238" s="136" t="n">
        <v>0</v>
      </c>
      <c r="CW238" s="136" t="n">
        <v>0.29</v>
      </c>
      <c r="CX238" s="136" t="n">
        <v>0.02</v>
      </c>
      <c r="CY238" s="136" t="n">
        <v>-0.18</v>
      </c>
      <c r="CZ238" s="136" t="n">
        <v>0</v>
      </c>
      <c r="DA238" s="136" t="n">
        <v>0</v>
      </c>
      <c r="DB238" s="136" t="n">
        <v>0</v>
      </c>
      <c r="DC238" s="136" t="n">
        <v>0.4</v>
      </c>
      <c r="DE238" s="136" t="n">
        <v>-0.0285</v>
      </c>
      <c r="DF238" s="136" t="n">
        <v>0.0125</v>
      </c>
      <c r="DG238" s="136" t="n">
        <v>0.024</v>
      </c>
      <c r="DH238" s="136" t="n">
        <v>0.0075</v>
      </c>
      <c r="DI238" s="136" t="n">
        <v>0.009</v>
      </c>
      <c r="DJ238" s="136" t="n">
        <v>0.0025</v>
      </c>
      <c r="DK238" s="136" t="n">
        <v>0</v>
      </c>
      <c r="DL238" s="136" t="n">
        <v>0</v>
      </c>
      <c r="DM238" s="136" t="n">
        <v>0</v>
      </c>
      <c r="DN238" s="136" t="n">
        <v>0</v>
      </c>
      <c r="DO238" s="136" t="n">
        <v>0</v>
      </c>
      <c r="DP238" s="136" t="n">
        <v>0</v>
      </c>
      <c r="DQ238" s="136" t="n">
        <v>0</v>
      </c>
      <c r="DR238" s="136" t="n">
        <v>0</v>
      </c>
      <c r="DS238" s="136" t="n">
        <v>0.54</v>
      </c>
      <c r="DT238" s="136" t="n">
        <v>0.05</v>
      </c>
    </row>
    <row r="239" customFormat="false" ht="12.75" hidden="false" customHeight="false" outlineLevel="0" collapsed="false">
      <c r="D239" s="135" t="n">
        <v>43922</v>
      </c>
      <c r="F239" s="174" t="n">
        <v>4.5195</v>
      </c>
      <c r="G239" s="175" t="n">
        <v>0.0659263038464588</v>
      </c>
      <c r="H239" s="174" t="n">
        <v>0.17</v>
      </c>
      <c r="I239" s="174" t="n">
        <v>0.4</v>
      </c>
      <c r="J239" s="174" t="n">
        <v>0.45</v>
      </c>
      <c r="K239" s="174" t="n">
        <v>0.4</v>
      </c>
      <c r="L239" s="174" t="n">
        <v>0.45</v>
      </c>
      <c r="M239" s="174" t="n">
        <v>0.45</v>
      </c>
      <c r="N239" s="174" t="n">
        <v>0.45</v>
      </c>
      <c r="O239" s="174" t="n">
        <v>0.45</v>
      </c>
      <c r="P239" s="174" t="n">
        <v>0.45</v>
      </c>
      <c r="Q239" s="174" t="n">
        <v>0.5</v>
      </c>
      <c r="R239" s="175" t="n">
        <v>0.4</v>
      </c>
      <c r="S239" s="175" t="n">
        <v>0.45</v>
      </c>
      <c r="T239" s="174" t="n">
        <v>0.4</v>
      </c>
      <c r="U239" s="174" t="n">
        <v>0.45</v>
      </c>
      <c r="V239" s="174" t="n">
        <v>0.55</v>
      </c>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5"/>
      <c r="AZ239" s="175"/>
      <c r="BA239" s="175" t="n">
        <v>-0.195</v>
      </c>
      <c r="BB239" s="174" t="n">
        <v>0</v>
      </c>
      <c r="BC239" s="174" t="n">
        <v>-0.07</v>
      </c>
      <c r="BD239" s="174" t="n">
        <v>0</v>
      </c>
      <c r="BE239" s="174" t="n">
        <v>0.43</v>
      </c>
      <c r="BF239" s="174" t="n">
        <v>0</v>
      </c>
      <c r="BG239" s="174" t="n">
        <v>-0.06</v>
      </c>
      <c r="BH239" s="174" t="n">
        <v>0</v>
      </c>
      <c r="BI239" s="174" t="n">
        <v>0</v>
      </c>
      <c r="BJ239" s="136" t="n">
        <v>0</v>
      </c>
      <c r="BK239" s="136" t="n">
        <v>0.43</v>
      </c>
      <c r="BL239" s="136" t="n">
        <v>0</v>
      </c>
      <c r="BM239" s="136" t="n">
        <v>0.05</v>
      </c>
      <c r="BN239" s="136" t="n">
        <v>0</v>
      </c>
      <c r="BO239" s="136" t="n">
        <v>-0.37</v>
      </c>
      <c r="BP239" s="136" t="n">
        <v>0</v>
      </c>
      <c r="BQ239" s="136" t="n">
        <v>0.5</v>
      </c>
      <c r="BR239" s="136" t="n">
        <v>0</v>
      </c>
      <c r="BS239" s="136" t="n">
        <v>-0.07</v>
      </c>
      <c r="BT239" s="136" t="n">
        <v>0</v>
      </c>
      <c r="BU239" s="136" t="n">
        <v>0.3</v>
      </c>
      <c r="BV239" s="136" t="n">
        <v>0</v>
      </c>
      <c r="BW239" s="136" t="n">
        <v>0</v>
      </c>
      <c r="BX239" s="136" t="n">
        <v>0</v>
      </c>
      <c r="BY239" s="136" t="n">
        <v>0</v>
      </c>
      <c r="BZ239" s="136" t="n">
        <v>0</v>
      </c>
      <c r="CA239" s="136" t="n">
        <v>0.145</v>
      </c>
      <c r="CB239" s="136" t="n">
        <v>0.005</v>
      </c>
      <c r="CC239" s="136" t="n">
        <v>0</v>
      </c>
      <c r="CD239" s="136" t="n">
        <v>0</v>
      </c>
      <c r="CE239" s="136" t="n">
        <v>0</v>
      </c>
      <c r="CF239" s="136" t="n">
        <v>0</v>
      </c>
      <c r="CG239" s="136" t="n">
        <v>0</v>
      </c>
      <c r="CH239" s="136" t="n">
        <v>0</v>
      </c>
      <c r="CI239" s="136" t="n">
        <v>0</v>
      </c>
      <c r="CJ239" s="136" t="n">
        <v>0</v>
      </c>
      <c r="CK239" s="136" t="n">
        <v>0</v>
      </c>
      <c r="CL239" s="136" t="n">
        <v>0</v>
      </c>
      <c r="CM239" s="136" t="n">
        <v>0</v>
      </c>
      <c r="CN239" s="136" t="n">
        <v>0</v>
      </c>
      <c r="CO239" s="136" t="n">
        <v>0</v>
      </c>
      <c r="CP239" s="136" t="n">
        <v>0</v>
      </c>
      <c r="CQ239" s="136" t="n">
        <v>0</v>
      </c>
      <c r="CR239" s="136" t="n">
        <v>0</v>
      </c>
      <c r="CS239" s="136" t="n">
        <v>0.38</v>
      </c>
      <c r="CT239" s="136" t="n">
        <v>0.02</v>
      </c>
      <c r="CU239" s="136" t="n">
        <v>0.05</v>
      </c>
      <c r="CV239" s="136" t="n">
        <v>0</v>
      </c>
      <c r="CW239" s="136" t="n">
        <v>0.195</v>
      </c>
      <c r="CX239" s="136" t="n">
        <v>0.0075</v>
      </c>
      <c r="CY239" s="136" t="n">
        <v>-0.18</v>
      </c>
      <c r="CZ239" s="136" t="n">
        <v>0</v>
      </c>
      <c r="DA239" s="136" t="n">
        <v>0</v>
      </c>
      <c r="DB239" s="136" t="n">
        <v>0</v>
      </c>
      <c r="DC239" s="136" t="n">
        <v>0.6</v>
      </c>
      <c r="DE239" s="136" t="n">
        <v>-0.036</v>
      </c>
      <c r="DF239" s="136" t="n">
        <v>0.01</v>
      </c>
      <c r="DG239" s="136" t="n">
        <v>0.024</v>
      </c>
      <c r="DH239" s="136" t="n">
        <v>0.01</v>
      </c>
      <c r="DI239" s="136" t="n">
        <v>0.009</v>
      </c>
      <c r="DJ239" s="136" t="n">
        <v>0.0075</v>
      </c>
      <c r="DK239" s="136" t="n">
        <v>0</v>
      </c>
      <c r="DL239" s="136" t="n">
        <v>0</v>
      </c>
      <c r="DM239" s="136" t="n">
        <v>0</v>
      </c>
      <c r="DN239" s="136" t="n">
        <v>0</v>
      </c>
      <c r="DO239" s="136" t="n">
        <v>0</v>
      </c>
      <c r="DP239" s="136" t="n">
        <v>0</v>
      </c>
      <c r="DQ239" s="136" t="n">
        <v>0</v>
      </c>
      <c r="DR239" s="136" t="n">
        <v>0</v>
      </c>
      <c r="DS239" s="136" t="n">
        <v>0.36</v>
      </c>
      <c r="DT239" s="136" t="n">
        <v>0.005</v>
      </c>
    </row>
    <row r="240" customFormat="false" ht="12.75" hidden="false" customHeight="false" outlineLevel="0" collapsed="false">
      <c r="D240" s="135" t="n">
        <v>43952</v>
      </c>
      <c r="F240" s="174" t="n">
        <v>4.5145</v>
      </c>
      <c r="G240" s="175" t="n">
        <v>0.0659655401082482</v>
      </c>
      <c r="H240" s="174" t="n">
        <v>0.17</v>
      </c>
      <c r="I240" s="174" t="n">
        <v>0.45</v>
      </c>
      <c r="J240" s="174" t="n">
        <v>0.5</v>
      </c>
      <c r="K240" s="174" t="n">
        <v>0.4</v>
      </c>
      <c r="L240" s="174" t="n">
        <v>0.4</v>
      </c>
      <c r="M240" s="174" t="n">
        <v>0.45</v>
      </c>
      <c r="N240" s="174" t="n">
        <v>0.5</v>
      </c>
      <c r="O240" s="174" t="n">
        <v>0.45</v>
      </c>
      <c r="P240" s="174" t="n">
        <v>0.4</v>
      </c>
      <c r="Q240" s="174" t="n">
        <v>0.45</v>
      </c>
      <c r="R240" s="175" t="n">
        <v>0.45</v>
      </c>
      <c r="S240" s="175" t="n">
        <v>0.5</v>
      </c>
      <c r="T240" s="174" t="n">
        <v>0.45</v>
      </c>
      <c r="U240" s="174" t="n">
        <v>0.5</v>
      </c>
      <c r="V240" s="174" t="n">
        <v>0.5</v>
      </c>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5"/>
      <c r="AZ240" s="175"/>
      <c r="BA240" s="175" t="n">
        <v>-0.195</v>
      </c>
      <c r="BB240" s="174" t="n">
        <v>0</v>
      </c>
      <c r="BC240" s="174" t="n">
        <v>-0.07</v>
      </c>
      <c r="BD240" s="174" t="n">
        <v>0</v>
      </c>
      <c r="BE240" s="174" t="n">
        <v>0.43</v>
      </c>
      <c r="BF240" s="174" t="n">
        <v>0</v>
      </c>
      <c r="BG240" s="174" t="n">
        <v>-0.06</v>
      </c>
      <c r="BH240" s="174" t="n">
        <v>0</v>
      </c>
      <c r="BI240" s="174" t="n">
        <v>0</v>
      </c>
      <c r="BJ240" s="136" t="n">
        <v>0</v>
      </c>
      <c r="BK240" s="136" t="n">
        <v>0.43</v>
      </c>
      <c r="BL240" s="136" t="n">
        <v>0</v>
      </c>
      <c r="BM240" s="136" t="n">
        <v>0.05</v>
      </c>
      <c r="BN240" s="136" t="n">
        <v>0</v>
      </c>
      <c r="BO240" s="136" t="n">
        <v>-0.37</v>
      </c>
      <c r="BP240" s="136" t="n">
        <v>0</v>
      </c>
      <c r="BQ240" s="136" t="n">
        <v>0.5</v>
      </c>
      <c r="BR240" s="136" t="n">
        <v>0</v>
      </c>
      <c r="BS240" s="136" t="n">
        <v>-0.07</v>
      </c>
      <c r="BT240" s="136" t="n">
        <v>0</v>
      </c>
      <c r="BU240" s="136" t="n">
        <v>0.3</v>
      </c>
      <c r="BV240" s="136" t="n">
        <v>0</v>
      </c>
      <c r="BW240" s="136" t="n">
        <v>0</v>
      </c>
      <c r="BX240" s="136" t="n">
        <v>0</v>
      </c>
      <c r="BY240" s="136" t="n">
        <v>0</v>
      </c>
      <c r="BZ240" s="136" t="n">
        <v>0</v>
      </c>
      <c r="CA240" s="136" t="n">
        <v>0.125</v>
      </c>
      <c r="CB240" s="136" t="n">
        <v>0.005</v>
      </c>
      <c r="CC240" s="136" t="n">
        <v>0</v>
      </c>
      <c r="CD240" s="136" t="n">
        <v>0</v>
      </c>
      <c r="CE240" s="136" t="n">
        <v>0</v>
      </c>
      <c r="CF240" s="136" t="n">
        <v>0</v>
      </c>
      <c r="CG240" s="136" t="n">
        <v>0</v>
      </c>
      <c r="CH240" s="136" t="n">
        <v>0</v>
      </c>
      <c r="CI240" s="136" t="n">
        <v>0</v>
      </c>
      <c r="CJ240" s="136" t="n">
        <v>0</v>
      </c>
      <c r="CK240" s="136" t="n">
        <v>0</v>
      </c>
      <c r="CL240" s="136" t="n">
        <v>0</v>
      </c>
      <c r="CM240" s="136" t="n">
        <v>0</v>
      </c>
      <c r="CN240" s="136" t="n">
        <v>0</v>
      </c>
      <c r="CO240" s="136" t="n">
        <v>0</v>
      </c>
      <c r="CP240" s="136" t="n">
        <v>0</v>
      </c>
      <c r="CQ240" s="136" t="n">
        <v>0</v>
      </c>
      <c r="CR240" s="136" t="n">
        <v>0</v>
      </c>
      <c r="CS240" s="136" t="n">
        <v>0.33</v>
      </c>
      <c r="CT240" s="136" t="n">
        <v>0.02</v>
      </c>
      <c r="CU240" s="136" t="n">
        <v>0.05</v>
      </c>
      <c r="CV240" s="136" t="n">
        <v>0</v>
      </c>
      <c r="CW240" s="136" t="n">
        <v>0.135</v>
      </c>
      <c r="CX240" s="136" t="n">
        <v>0.0075</v>
      </c>
      <c r="CY240" s="136" t="n">
        <v>-0.18</v>
      </c>
      <c r="CZ240" s="136" t="n">
        <v>0</v>
      </c>
      <c r="DA240" s="136" t="n">
        <v>0</v>
      </c>
      <c r="DB240" s="136" t="n">
        <v>0</v>
      </c>
      <c r="DC240" s="136" t="n">
        <v>0.75</v>
      </c>
      <c r="DE240" s="136" t="n">
        <v>-0.036</v>
      </c>
      <c r="DF240" s="136" t="n">
        <v>0.01</v>
      </c>
      <c r="DG240" s="136" t="n">
        <v>0.0265</v>
      </c>
      <c r="DH240" s="136" t="n">
        <v>0.01</v>
      </c>
      <c r="DI240" s="136" t="n">
        <v>0.0115</v>
      </c>
      <c r="DJ240" s="136" t="n">
        <v>0.0075</v>
      </c>
      <c r="DK240" s="136" t="n">
        <v>0</v>
      </c>
      <c r="DL240" s="136" t="n">
        <v>0</v>
      </c>
      <c r="DM240" s="136" t="n">
        <v>0</v>
      </c>
      <c r="DN240" s="136" t="n">
        <v>0</v>
      </c>
      <c r="DO240" s="136" t="n">
        <v>0</v>
      </c>
      <c r="DP240" s="136" t="n">
        <v>0</v>
      </c>
      <c r="DQ240" s="136" t="n">
        <v>0</v>
      </c>
      <c r="DR240" s="136" t="n">
        <v>0</v>
      </c>
      <c r="DS240" s="136" t="n">
        <v>0.325</v>
      </c>
      <c r="DT240" s="136" t="n">
        <v>0.005</v>
      </c>
    </row>
    <row r="241" customFormat="false" ht="12.75" hidden="false" customHeight="false" outlineLevel="0" collapsed="false">
      <c r="D241" s="135" t="n">
        <v>43983</v>
      </c>
      <c r="F241" s="174" t="n">
        <v>4.5495</v>
      </c>
      <c r="G241" s="175" t="n">
        <v>0.066006084245966</v>
      </c>
      <c r="H241" s="174" t="n">
        <v>0.17</v>
      </c>
      <c r="I241" s="174" t="n">
        <v>0.45</v>
      </c>
      <c r="J241" s="174" t="n">
        <v>0.5</v>
      </c>
      <c r="K241" s="174" t="n">
        <v>0.4</v>
      </c>
      <c r="L241" s="174" t="n">
        <v>0.5</v>
      </c>
      <c r="M241" s="174" t="n">
        <v>0.45</v>
      </c>
      <c r="N241" s="174" t="n">
        <v>0.5</v>
      </c>
      <c r="O241" s="174" t="n">
        <v>0.5</v>
      </c>
      <c r="P241" s="174" t="n">
        <v>0.5</v>
      </c>
      <c r="Q241" s="174" t="n">
        <v>0.5</v>
      </c>
      <c r="R241" s="175" t="n">
        <v>0.45</v>
      </c>
      <c r="S241" s="175" t="n">
        <v>0.5</v>
      </c>
      <c r="T241" s="174" t="n">
        <v>0.45</v>
      </c>
      <c r="U241" s="174" t="n">
        <v>0.5</v>
      </c>
      <c r="V241" s="174" t="n">
        <v>0.6</v>
      </c>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5"/>
      <c r="AZ241" s="175"/>
      <c r="BA241" s="175" t="n">
        <v>-0.195</v>
      </c>
      <c r="BB241" s="174" t="n">
        <v>0</v>
      </c>
      <c r="BC241" s="174" t="n">
        <v>-0.07</v>
      </c>
      <c r="BD241" s="174" t="n">
        <v>0</v>
      </c>
      <c r="BE241" s="174" t="n">
        <v>0.43</v>
      </c>
      <c r="BF241" s="174" t="n">
        <v>0</v>
      </c>
      <c r="BG241" s="174" t="n">
        <v>-0.06</v>
      </c>
      <c r="BH241" s="174" t="n">
        <v>0</v>
      </c>
      <c r="BI241" s="174" t="n">
        <v>0</v>
      </c>
      <c r="BJ241" s="136" t="n">
        <v>0</v>
      </c>
      <c r="BK241" s="136" t="n">
        <v>0.43</v>
      </c>
      <c r="BL241" s="136" t="n">
        <v>0</v>
      </c>
      <c r="BM241" s="136" t="n">
        <v>0.05</v>
      </c>
      <c r="BN241" s="136" t="n">
        <v>0</v>
      </c>
      <c r="BO241" s="136" t="n">
        <v>-0.37</v>
      </c>
      <c r="BP241" s="136" t="n">
        <v>0</v>
      </c>
      <c r="BQ241" s="136" t="n">
        <v>0.5</v>
      </c>
      <c r="BR241" s="136" t="n">
        <v>0</v>
      </c>
      <c r="BS241" s="136" t="n">
        <v>-0.07</v>
      </c>
      <c r="BT241" s="136" t="n">
        <v>0</v>
      </c>
      <c r="BU241" s="136" t="n">
        <v>0.3</v>
      </c>
      <c r="BV241" s="136" t="n">
        <v>0</v>
      </c>
      <c r="BW241" s="136" t="n">
        <v>0</v>
      </c>
      <c r="BX241" s="136" t="n">
        <v>0</v>
      </c>
      <c r="BY241" s="136" t="n">
        <v>0</v>
      </c>
      <c r="BZ241" s="136" t="n">
        <v>0</v>
      </c>
      <c r="CA241" s="136" t="n">
        <v>0.145</v>
      </c>
      <c r="CB241" s="136" t="n">
        <v>0.005</v>
      </c>
      <c r="CC241" s="136" t="n">
        <v>0</v>
      </c>
      <c r="CD241" s="136" t="n">
        <v>0</v>
      </c>
      <c r="CE241" s="136" t="n">
        <v>0</v>
      </c>
      <c r="CF241" s="136" t="n">
        <v>0</v>
      </c>
      <c r="CG241" s="136" t="n">
        <v>0</v>
      </c>
      <c r="CH241" s="136" t="n">
        <v>0</v>
      </c>
      <c r="CI241" s="136" t="n">
        <v>0</v>
      </c>
      <c r="CJ241" s="136" t="n">
        <v>0</v>
      </c>
      <c r="CK241" s="136" t="n">
        <v>0</v>
      </c>
      <c r="CL241" s="136" t="n">
        <v>0</v>
      </c>
      <c r="CM241" s="136" t="n">
        <v>0</v>
      </c>
      <c r="CN241" s="136" t="n">
        <v>0</v>
      </c>
      <c r="CO241" s="136" t="n">
        <v>0</v>
      </c>
      <c r="CP241" s="136" t="n">
        <v>0</v>
      </c>
      <c r="CQ241" s="136" t="n">
        <v>0</v>
      </c>
      <c r="CR241" s="136" t="n">
        <v>0</v>
      </c>
      <c r="CS241" s="136" t="n">
        <v>0.37</v>
      </c>
      <c r="CT241" s="136" t="n">
        <v>0.035</v>
      </c>
      <c r="CU241" s="136" t="n">
        <v>0.05</v>
      </c>
      <c r="CV241" s="136" t="n">
        <v>0</v>
      </c>
      <c r="CW241" s="136" t="n">
        <v>0.165</v>
      </c>
      <c r="CX241" s="136" t="n">
        <v>0.0075</v>
      </c>
      <c r="CY241" s="136" t="n">
        <v>-0.18</v>
      </c>
      <c r="CZ241" s="136" t="n">
        <v>0</v>
      </c>
      <c r="DA241" s="136" t="n">
        <v>0</v>
      </c>
      <c r="DB241" s="136" t="n">
        <v>0</v>
      </c>
      <c r="DC241" s="136" t="n">
        <v>0.85</v>
      </c>
      <c r="DE241" s="136" t="n">
        <v>-0.0335</v>
      </c>
      <c r="DF241" s="136" t="n">
        <v>0.01</v>
      </c>
      <c r="DG241" s="136" t="n">
        <v>0.0265</v>
      </c>
      <c r="DH241" s="136" t="n">
        <v>0.01</v>
      </c>
      <c r="DI241" s="136" t="n">
        <v>0.0115</v>
      </c>
      <c r="DJ241" s="136" t="n">
        <v>0.0075</v>
      </c>
      <c r="DK241" s="136" t="n">
        <v>0</v>
      </c>
      <c r="DL241" s="136" t="n">
        <v>0</v>
      </c>
      <c r="DM241" s="136" t="n">
        <v>0</v>
      </c>
      <c r="DN241" s="136" t="n">
        <v>0</v>
      </c>
      <c r="DO241" s="136" t="n">
        <v>0</v>
      </c>
      <c r="DP241" s="136" t="n">
        <v>0</v>
      </c>
      <c r="DQ241" s="136" t="n">
        <v>0</v>
      </c>
      <c r="DR241" s="136" t="n">
        <v>0</v>
      </c>
      <c r="DS241" s="136" t="n">
        <v>0.335</v>
      </c>
      <c r="DT241" s="136" t="n">
        <v>0.005</v>
      </c>
    </row>
    <row r="242" customFormat="false" ht="12.75" hidden="false" customHeight="false" outlineLevel="0" collapsed="false">
      <c r="D242" s="135" t="n">
        <v>44013</v>
      </c>
      <c r="F242" s="174" t="n">
        <v>4.5895</v>
      </c>
      <c r="G242" s="175" t="n">
        <v>0.0660453205087914</v>
      </c>
      <c r="H242" s="174" t="n">
        <v>0.17</v>
      </c>
      <c r="I242" s="174" t="n">
        <v>0.5</v>
      </c>
      <c r="J242" s="174" t="n">
        <v>0.5</v>
      </c>
      <c r="K242" s="174" t="n">
        <v>0.4</v>
      </c>
      <c r="L242" s="174" t="n">
        <v>0.5</v>
      </c>
      <c r="M242" s="174" t="n">
        <v>0.5</v>
      </c>
      <c r="N242" s="174" t="n">
        <v>0.5</v>
      </c>
      <c r="O242" s="174" t="n">
        <v>0.5</v>
      </c>
      <c r="P242" s="174" t="n">
        <v>0.5</v>
      </c>
      <c r="Q242" s="174" t="n">
        <v>0.5</v>
      </c>
      <c r="R242" s="175" t="n">
        <v>0.5</v>
      </c>
      <c r="S242" s="175" t="n">
        <v>0.55</v>
      </c>
      <c r="T242" s="174" t="n">
        <v>0.5</v>
      </c>
      <c r="U242" s="174" t="n">
        <v>0.5</v>
      </c>
      <c r="V242" s="174" t="n">
        <v>0.6</v>
      </c>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5"/>
      <c r="AZ242" s="175"/>
      <c r="BA242" s="175" t="n">
        <v>-0.195</v>
      </c>
      <c r="BB242" s="174" t="n">
        <v>0</v>
      </c>
      <c r="BC242" s="174" t="n">
        <v>-0.07</v>
      </c>
      <c r="BD242" s="174" t="n">
        <v>0</v>
      </c>
      <c r="BE242" s="174" t="n">
        <v>0.43</v>
      </c>
      <c r="BF242" s="174" t="n">
        <v>0</v>
      </c>
      <c r="BG242" s="174" t="n">
        <v>-0.06</v>
      </c>
      <c r="BH242" s="174" t="n">
        <v>0</v>
      </c>
      <c r="BI242" s="174" t="n">
        <v>0</v>
      </c>
      <c r="BJ242" s="136" t="n">
        <v>0</v>
      </c>
      <c r="BK242" s="136" t="n">
        <v>0.43</v>
      </c>
      <c r="BL242" s="136" t="n">
        <v>0</v>
      </c>
      <c r="BM242" s="136" t="n">
        <v>0.05</v>
      </c>
      <c r="BN242" s="136" t="n">
        <v>0</v>
      </c>
      <c r="BO242" s="136" t="n">
        <v>-0.37</v>
      </c>
      <c r="BP242" s="136" t="n">
        <v>0</v>
      </c>
      <c r="BQ242" s="136" t="n">
        <v>0.5</v>
      </c>
      <c r="BR242" s="136" t="n">
        <v>0</v>
      </c>
      <c r="BS242" s="136" t="n">
        <v>-0.07</v>
      </c>
      <c r="BT242" s="136" t="n">
        <v>0</v>
      </c>
      <c r="BU242" s="136" t="n">
        <v>0.3</v>
      </c>
      <c r="BV242" s="136" t="n">
        <v>0</v>
      </c>
      <c r="BW242" s="136" t="n">
        <v>0</v>
      </c>
      <c r="BX242" s="136" t="n">
        <v>0</v>
      </c>
      <c r="BY242" s="136" t="n">
        <v>0</v>
      </c>
      <c r="BZ242" s="136" t="n">
        <v>0</v>
      </c>
      <c r="CA242" s="136" t="n">
        <v>0.15</v>
      </c>
      <c r="CB242" s="136" t="n">
        <v>0.005</v>
      </c>
      <c r="CC242" s="136" t="n">
        <v>0</v>
      </c>
      <c r="CD242" s="136" t="n">
        <v>0</v>
      </c>
      <c r="CE242" s="136" t="n">
        <v>0</v>
      </c>
      <c r="CF242" s="136" t="n">
        <v>0</v>
      </c>
      <c r="CG242" s="136" t="n">
        <v>0</v>
      </c>
      <c r="CH242" s="136" t="n">
        <v>0</v>
      </c>
      <c r="CI242" s="136" t="n">
        <v>0</v>
      </c>
      <c r="CJ242" s="136" t="n">
        <v>0</v>
      </c>
      <c r="CK242" s="136" t="n">
        <v>0</v>
      </c>
      <c r="CL242" s="136" t="n">
        <v>0</v>
      </c>
      <c r="CM242" s="136" t="n">
        <v>0</v>
      </c>
      <c r="CN242" s="136" t="n">
        <v>0</v>
      </c>
      <c r="CO242" s="136" t="n">
        <v>0</v>
      </c>
      <c r="CP242" s="136" t="n">
        <v>0</v>
      </c>
      <c r="CQ242" s="136" t="n">
        <v>0</v>
      </c>
      <c r="CR242" s="136" t="n">
        <v>0</v>
      </c>
      <c r="CS242" s="136" t="n">
        <v>0.41</v>
      </c>
      <c r="CT242" s="136" t="n">
        <v>0.035</v>
      </c>
      <c r="CU242" s="136" t="n">
        <v>0.05</v>
      </c>
      <c r="CV242" s="136" t="n">
        <v>0</v>
      </c>
      <c r="CW242" s="136" t="n">
        <v>0.205</v>
      </c>
      <c r="CX242" s="136" t="n">
        <v>0.0075</v>
      </c>
      <c r="CY242" s="136" t="n">
        <v>-0.18</v>
      </c>
      <c r="CZ242" s="136" t="n">
        <v>0</v>
      </c>
      <c r="DA242" s="136" t="n">
        <v>0</v>
      </c>
      <c r="DB242" s="136" t="n">
        <v>0</v>
      </c>
      <c r="DC242" s="136" t="n">
        <v>1.05</v>
      </c>
      <c r="DE242" s="136" t="n">
        <v>-0.0335</v>
      </c>
      <c r="DF242" s="136" t="n">
        <v>0.01</v>
      </c>
      <c r="DG242" s="136" t="n">
        <v>0.0265</v>
      </c>
      <c r="DH242" s="136" t="n">
        <v>0.01</v>
      </c>
      <c r="DI242" s="136" t="n">
        <v>0.0115</v>
      </c>
      <c r="DJ242" s="136" t="n">
        <v>0.0075</v>
      </c>
      <c r="DK242" s="136" t="n">
        <v>0</v>
      </c>
      <c r="DL242" s="136" t="n">
        <v>0</v>
      </c>
      <c r="DM242" s="136" t="n">
        <v>0</v>
      </c>
      <c r="DN242" s="136" t="n">
        <v>0</v>
      </c>
      <c r="DO242" s="136" t="n">
        <v>0</v>
      </c>
      <c r="DP242" s="136" t="n">
        <v>0</v>
      </c>
      <c r="DQ242" s="136" t="n">
        <v>0</v>
      </c>
      <c r="DR242" s="136" t="n">
        <v>0</v>
      </c>
      <c r="DS242" s="136" t="n">
        <v>0.35</v>
      </c>
      <c r="DT242" s="136" t="n">
        <v>0.005</v>
      </c>
    </row>
    <row r="243" customFormat="false" ht="12.75" hidden="false" customHeight="false" outlineLevel="0" collapsed="false">
      <c r="D243" s="135" t="n">
        <v>44044</v>
      </c>
      <c r="F243" s="174" t="n">
        <v>4.6295</v>
      </c>
      <c r="G243" s="175" t="n">
        <v>0.0660858646475808</v>
      </c>
      <c r="H243" s="174" t="n">
        <v>0.17</v>
      </c>
      <c r="I243" s="174" t="n">
        <v>0.55</v>
      </c>
      <c r="J243" s="174" t="n">
        <v>0.55</v>
      </c>
      <c r="K243" s="174" t="n">
        <v>0.5</v>
      </c>
      <c r="L243" s="174" t="n">
        <v>0.6</v>
      </c>
      <c r="M243" s="174" t="n">
        <v>0.55</v>
      </c>
      <c r="N243" s="174" t="n">
        <v>0.6</v>
      </c>
      <c r="O243" s="174" t="n">
        <v>0.55</v>
      </c>
      <c r="P243" s="174" t="n">
        <v>0.6</v>
      </c>
      <c r="Q243" s="174" t="n">
        <v>0.45</v>
      </c>
      <c r="R243" s="175" t="n">
        <v>0.55</v>
      </c>
      <c r="S243" s="175" t="n">
        <v>0.6</v>
      </c>
      <c r="T243" s="174" t="n">
        <v>0.55</v>
      </c>
      <c r="U243" s="174" t="n">
        <v>0.6</v>
      </c>
      <c r="V243" s="174" t="n">
        <v>0.7</v>
      </c>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5"/>
      <c r="AZ243" s="175"/>
      <c r="BA243" s="175" t="n">
        <v>-0.195</v>
      </c>
      <c r="BB243" s="174" t="n">
        <v>0</v>
      </c>
      <c r="BC243" s="174" t="n">
        <v>-0.07</v>
      </c>
      <c r="BD243" s="174" t="n">
        <v>0</v>
      </c>
      <c r="BE243" s="174" t="n">
        <v>0.43</v>
      </c>
      <c r="BF243" s="174" t="n">
        <v>0</v>
      </c>
      <c r="BG243" s="174" t="n">
        <v>-0.06</v>
      </c>
      <c r="BH243" s="174" t="n">
        <v>0</v>
      </c>
      <c r="BI243" s="174" t="n">
        <v>0</v>
      </c>
      <c r="BJ243" s="136" t="n">
        <v>0</v>
      </c>
      <c r="BK243" s="136" t="n">
        <v>0.43</v>
      </c>
      <c r="BL243" s="136" t="n">
        <v>0</v>
      </c>
      <c r="BM243" s="136" t="n">
        <v>0.05</v>
      </c>
      <c r="BN243" s="136" t="n">
        <v>0</v>
      </c>
      <c r="BO243" s="136" t="n">
        <v>-0.37</v>
      </c>
      <c r="BP243" s="136" t="n">
        <v>0</v>
      </c>
      <c r="BQ243" s="136" t="n">
        <v>0.5</v>
      </c>
      <c r="BR243" s="136" t="n">
        <v>0</v>
      </c>
      <c r="BS243" s="136" t="n">
        <v>-0.07</v>
      </c>
      <c r="BT243" s="136" t="n">
        <v>0</v>
      </c>
      <c r="BU243" s="136" t="n">
        <v>0.3</v>
      </c>
      <c r="BV243" s="136" t="n">
        <v>0</v>
      </c>
      <c r="BW243" s="136" t="n">
        <v>0</v>
      </c>
      <c r="BX243" s="136" t="n">
        <v>0</v>
      </c>
      <c r="BY243" s="136" t="n">
        <v>0</v>
      </c>
      <c r="BZ243" s="136" t="n">
        <v>0</v>
      </c>
      <c r="CA243" s="136" t="n">
        <v>0.15</v>
      </c>
      <c r="CB243" s="136" t="n">
        <v>0.005</v>
      </c>
      <c r="CC243" s="136" t="n">
        <v>0</v>
      </c>
      <c r="CD243" s="136" t="n">
        <v>0</v>
      </c>
      <c r="CE243" s="136" t="n">
        <v>0</v>
      </c>
      <c r="CF243" s="136" t="n">
        <v>0</v>
      </c>
      <c r="CG243" s="136" t="n">
        <v>0</v>
      </c>
      <c r="CH243" s="136" t="n">
        <v>0</v>
      </c>
      <c r="CI243" s="136" t="n">
        <v>0</v>
      </c>
      <c r="CJ243" s="136" t="n">
        <v>0</v>
      </c>
      <c r="CK243" s="136" t="n">
        <v>0</v>
      </c>
      <c r="CL243" s="136" t="n">
        <v>0</v>
      </c>
      <c r="CM243" s="136" t="n">
        <v>0</v>
      </c>
      <c r="CN243" s="136" t="n">
        <v>0</v>
      </c>
      <c r="CO243" s="136" t="n">
        <v>0</v>
      </c>
      <c r="CP243" s="136" t="n">
        <v>0</v>
      </c>
      <c r="CQ243" s="136" t="n">
        <v>0</v>
      </c>
      <c r="CR243" s="136" t="n">
        <v>0</v>
      </c>
      <c r="CS243" s="136" t="n">
        <v>0.41</v>
      </c>
      <c r="CT243" s="136" t="n">
        <v>0.01</v>
      </c>
      <c r="CU243" s="136" t="n">
        <v>0.05</v>
      </c>
      <c r="CV243" s="136" t="n">
        <v>0</v>
      </c>
      <c r="CW243" s="136" t="n">
        <v>0.205</v>
      </c>
      <c r="CX243" s="136" t="n">
        <v>0.0075</v>
      </c>
      <c r="CY243" s="136" t="n">
        <v>-0.18</v>
      </c>
      <c r="CZ243" s="136" t="n">
        <v>0</v>
      </c>
      <c r="DA243" s="136" t="n">
        <v>0</v>
      </c>
      <c r="DB243" s="136" t="n">
        <v>0</v>
      </c>
      <c r="DC243" s="136" t="n">
        <v>1.05</v>
      </c>
      <c r="DE243" s="136" t="n">
        <v>-0.0335</v>
      </c>
      <c r="DF243" s="136" t="n">
        <v>0.01</v>
      </c>
      <c r="DG243" s="136" t="n">
        <v>0.0215</v>
      </c>
      <c r="DH243" s="136" t="n">
        <v>0.01</v>
      </c>
      <c r="DI243" s="136" t="n">
        <v>0.0065</v>
      </c>
      <c r="DJ243" s="136" t="n">
        <v>0.0075</v>
      </c>
      <c r="DK243" s="136" t="n">
        <v>0</v>
      </c>
      <c r="DL243" s="136" t="n">
        <v>0</v>
      </c>
      <c r="DM243" s="136" t="n">
        <v>0</v>
      </c>
      <c r="DN243" s="136" t="n">
        <v>0</v>
      </c>
      <c r="DO243" s="136" t="n">
        <v>0</v>
      </c>
      <c r="DP243" s="136" t="n">
        <v>0</v>
      </c>
      <c r="DQ243" s="136" t="n">
        <v>0</v>
      </c>
      <c r="DR243" s="136" t="n">
        <v>0</v>
      </c>
      <c r="DS243" s="136" t="n">
        <v>0.35</v>
      </c>
      <c r="DT243" s="136" t="n">
        <v>-0.005</v>
      </c>
    </row>
    <row r="244" customFormat="false" ht="12.75" hidden="false" customHeight="false" outlineLevel="0" collapsed="false">
      <c r="D244" s="135" t="n">
        <v>44075</v>
      </c>
      <c r="F244" s="174" t="n">
        <v>4.6245</v>
      </c>
      <c r="G244" s="175" t="n">
        <v>0.0661264087869147</v>
      </c>
      <c r="H244" s="174" t="n">
        <v>0.17</v>
      </c>
      <c r="I244" s="174" t="n">
        <v>0.55</v>
      </c>
      <c r="J244" s="174" t="n">
        <v>0.55</v>
      </c>
      <c r="K244" s="174" t="n">
        <v>0.55</v>
      </c>
      <c r="L244" s="174" t="n">
        <v>0.55</v>
      </c>
      <c r="M244" s="174" t="n">
        <v>0.55</v>
      </c>
      <c r="N244" s="174" t="n">
        <v>0.6</v>
      </c>
      <c r="O244" s="174" t="n">
        <v>0.6</v>
      </c>
      <c r="P244" s="174" t="n">
        <v>0.55</v>
      </c>
      <c r="Q244" s="174" t="n">
        <v>0.5</v>
      </c>
      <c r="R244" s="175" t="n">
        <v>0.55</v>
      </c>
      <c r="S244" s="175" t="n">
        <v>0.6</v>
      </c>
      <c r="T244" s="174" t="n">
        <v>0.55</v>
      </c>
      <c r="U244" s="174" t="n">
        <v>0.6</v>
      </c>
      <c r="V244" s="174" t="n">
        <v>0.65</v>
      </c>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5"/>
      <c r="AZ244" s="175"/>
      <c r="BA244" s="175" t="n">
        <v>-0.195</v>
      </c>
      <c r="BB244" s="174" t="n">
        <v>0</v>
      </c>
      <c r="BC244" s="174" t="n">
        <v>-0.07</v>
      </c>
      <c r="BD244" s="174" t="n">
        <v>0</v>
      </c>
      <c r="BE244" s="174" t="n">
        <v>0.43</v>
      </c>
      <c r="BF244" s="174" t="n">
        <v>0</v>
      </c>
      <c r="BG244" s="174" t="n">
        <v>-0.06</v>
      </c>
      <c r="BH244" s="174" t="n">
        <v>0</v>
      </c>
      <c r="BI244" s="174" t="n">
        <v>0</v>
      </c>
      <c r="BJ244" s="136" t="n">
        <v>0</v>
      </c>
      <c r="BK244" s="136" t="n">
        <v>0.43</v>
      </c>
      <c r="BL244" s="136" t="n">
        <v>0</v>
      </c>
      <c r="BM244" s="136" t="n">
        <v>0.05</v>
      </c>
      <c r="BN244" s="136" t="n">
        <v>0</v>
      </c>
      <c r="BO244" s="136" t="n">
        <v>-0.37</v>
      </c>
      <c r="BP244" s="136" t="n">
        <v>0</v>
      </c>
      <c r="BQ244" s="136" t="n">
        <v>0.5</v>
      </c>
      <c r="BR244" s="136" t="n">
        <v>0</v>
      </c>
      <c r="BS244" s="136" t="n">
        <v>-0.07</v>
      </c>
      <c r="BT244" s="136" t="n">
        <v>0</v>
      </c>
      <c r="BU244" s="136" t="n">
        <v>0.3</v>
      </c>
      <c r="BV244" s="136" t="n">
        <v>0</v>
      </c>
      <c r="BW244" s="136" t="n">
        <v>0</v>
      </c>
      <c r="BX244" s="136" t="n">
        <v>0</v>
      </c>
      <c r="BY244" s="136" t="n">
        <v>0</v>
      </c>
      <c r="BZ244" s="136" t="n">
        <v>0</v>
      </c>
      <c r="CA244" s="136" t="n">
        <v>0.125</v>
      </c>
      <c r="CB244" s="136" t="n">
        <v>0.005</v>
      </c>
      <c r="CC244" s="136" t="n">
        <v>0</v>
      </c>
      <c r="CD244" s="136" t="n">
        <v>0</v>
      </c>
      <c r="CE244" s="136" t="n">
        <v>0</v>
      </c>
      <c r="CF244" s="136" t="n">
        <v>0</v>
      </c>
      <c r="CG244" s="136" t="n">
        <v>0</v>
      </c>
      <c r="CH244" s="136" t="n">
        <v>0</v>
      </c>
      <c r="CI244" s="136" t="n">
        <v>0</v>
      </c>
      <c r="CJ244" s="136" t="n">
        <v>0</v>
      </c>
      <c r="CK244" s="136" t="n">
        <v>0</v>
      </c>
      <c r="CL244" s="136" t="n">
        <v>0</v>
      </c>
      <c r="CM244" s="136" t="n">
        <v>0</v>
      </c>
      <c r="CN244" s="136" t="n">
        <v>0</v>
      </c>
      <c r="CO244" s="136" t="n">
        <v>0</v>
      </c>
      <c r="CP244" s="136" t="n">
        <v>0</v>
      </c>
      <c r="CQ244" s="136" t="n">
        <v>0</v>
      </c>
      <c r="CR244" s="136" t="n">
        <v>0</v>
      </c>
      <c r="CS244" s="136" t="n">
        <v>0.36</v>
      </c>
      <c r="CT244" s="136" t="n">
        <v>0.01</v>
      </c>
      <c r="CU244" s="136" t="n">
        <v>0.05</v>
      </c>
      <c r="CV244" s="136" t="n">
        <v>0</v>
      </c>
      <c r="CW244" s="136" t="n">
        <v>0.145</v>
      </c>
      <c r="CX244" s="136" t="n">
        <v>0.0075</v>
      </c>
      <c r="CY244" s="136" t="n">
        <v>-0.18</v>
      </c>
      <c r="CZ244" s="136" t="n">
        <v>0</v>
      </c>
      <c r="DA244" s="136" t="n">
        <v>0</v>
      </c>
      <c r="DB244" s="136" t="n">
        <v>0</v>
      </c>
      <c r="DC244" s="136" t="n">
        <v>0.75</v>
      </c>
      <c r="DE244" s="136" t="n">
        <v>-0.0385</v>
      </c>
      <c r="DF244" s="136" t="n">
        <v>0.01</v>
      </c>
      <c r="DG244" s="136" t="n">
        <v>0.0215</v>
      </c>
      <c r="DH244" s="136" t="n">
        <v>0.01</v>
      </c>
      <c r="DI244" s="136" t="n">
        <v>0.0065</v>
      </c>
      <c r="DJ244" s="136" t="n">
        <v>0.0075</v>
      </c>
      <c r="DK244" s="136" t="n">
        <v>0</v>
      </c>
      <c r="DL244" s="136" t="n">
        <v>0</v>
      </c>
      <c r="DM244" s="136" t="n">
        <v>0</v>
      </c>
      <c r="DN244" s="136" t="n">
        <v>0</v>
      </c>
      <c r="DO244" s="136" t="n">
        <v>0</v>
      </c>
      <c r="DP244" s="136" t="n">
        <v>0</v>
      </c>
      <c r="DQ244" s="136" t="n">
        <v>0</v>
      </c>
      <c r="DR244" s="136" t="n">
        <v>0</v>
      </c>
      <c r="DS244" s="136" t="n">
        <v>0.315</v>
      </c>
      <c r="DT244" s="136" t="n">
        <v>-0.005</v>
      </c>
    </row>
    <row r="245" customFormat="false" ht="12.75" hidden="false" customHeight="false" outlineLevel="0" collapsed="false">
      <c r="D245" s="135" t="n">
        <v>44105</v>
      </c>
      <c r="F245" s="174" t="n">
        <v>4.6495</v>
      </c>
      <c r="G245" s="175" t="n">
        <v>0.0661656450513051</v>
      </c>
      <c r="H245" s="174" t="n">
        <v>0.17</v>
      </c>
      <c r="I245" s="174" t="n">
        <v>0.6</v>
      </c>
      <c r="J245" s="174" t="n">
        <v>0.6</v>
      </c>
      <c r="K245" s="174" t="n">
        <v>0.55</v>
      </c>
      <c r="L245" s="174" t="n">
        <v>0.6</v>
      </c>
      <c r="M245" s="174" t="n">
        <v>0.6</v>
      </c>
      <c r="N245" s="174" t="n">
        <v>0.65</v>
      </c>
      <c r="O245" s="174" t="n">
        <v>0.65</v>
      </c>
      <c r="P245" s="174" t="n">
        <v>0.6</v>
      </c>
      <c r="Q245" s="174" t="n">
        <v>0.5</v>
      </c>
      <c r="R245" s="175" t="n">
        <v>0.6</v>
      </c>
      <c r="S245" s="175" t="n">
        <v>0.65</v>
      </c>
      <c r="T245" s="174" t="n">
        <v>0.6</v>
      </c>
      <c r="U245" s="174" t="n">
        <v>0.65</v>
      </c>
      <c r="V245" s="174" t="n">
        <v>0.7</v>
      </c>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5"/>
      <c r="AZ245" s="175"/>
      <c r="BA245" s="175" t="n">
        <v>-0.195</v>
      </c>
      <c r="BB245" s="174" t="n">
        <v>0</v>
      </c>
      <c r="BC245" s="174" t="n">
        <v>-0.07</v>
      </c>
      <c r="BD245" s="174" t="n">
        <v>0</v>
      </c>
      <c r="BE245" s="174" t="n">
        <v>0.43</v>
      </c>
      <c r="BF245" s="174" t="n">
        <v>0</v>
      </c>
      <c r="BG245" s="174" t="n">
        <v>-0.06</v>
      </c>
      <c r="BH245" s="174" t="n">
        <v>0</v>
      </c>
      <c r="BI245" s="174" t="n">
        <v>0</v>
      </c>
      <c r="BJ245" s="136" t="n">
        <v>0</v>
      </c>
      <c r="BK245" s="136" t="n">
        <v>0.43</v>
      </c>
      <c r="BL245" s="136" t="n">
        <v>0</v>
      </c>
      <c r="BM245" s="136" t="n">
        <v>0.05</v>
      </c>
      <c r="BN245" s="136" t="n">
        <v>0</v>
      </c>
      <c r="BO245" s="136" t="n">
        <v>-0.37</v>
      </c>
      <c r="BP245" s="136" t="n">
        <v>0</v>
      </c>
      <c r="BQ245" s="136" t="n">
        <v>0.5</v>
      </c>
      <c r="BR245" s="136" t="n">
        <v>0</v>
      </c>
      <c r="BS245" s="136" t="n">
        <v>-0.07</v>
      </c>
      <c r="BT245" s="136" t="n">
        <v>0</v>
      </c>
      <c r="BU245" s="136" t="n">
        <v>0.3</v>
      </c>
      <c r="BV245" s="136" t="n">
        <v>0</v>
      </c>
      <c r="BW245" s="136" t="n">
        <v>0</v>
      </c>
      <c r="BX245" s="136" t="n">
        <v>0</v>
      </c>
      <c r="BY245" s="136" t="n">
        <v>0</v>
      </c>
      <c r="BZ245" s="136" t="n">
        <v>0</v>
      </c>
      <c r="CA245" s="136" t="n">
        <v>0.145</v>
      </c>
      <c r="CB245" s="136" t="n">
        <v>0.005</v>
      </c>
      <c r="CC245" s="136" t="n">
        <v>0</v>
      </c>
      <c r="CD245" s="136" t="n">
        <v>0</v>
      </c>
      <c r="CE245" s="136" t="n">
        <v>0</v>
      </c>
      <c r="CF245" s="136" t="n">
        <v>0</v>
      </c>
      <c r="CG245" s="136" t="n">
        <v>0</v>
      </c>
      <c r="CH245" s="136" t="n">
        <v>0</v>
      </c>
      <c r="CI245" s="136" t="n">
        <v>0</v>
      </c>
      <c r="CJ245" s="136" t="n">
        <v>0</v>
      </c>
      <c r="CK245" s="136" t="n">
        <v>0</v>
      </c>
      <c r="CL245" s="136" t="n">
        <v>0</v>
      </c>
      <c r="CM245" s="136" t="n">
        <v>0</v>
      </c>
      <c r="CN245" s="136" t="n">
        <v>0</v>
      </c>
      <c r="CO245" s="136" t="n">
        <v>0</v>
      </c>
      <c r="CP245" s="136" t="n">
        <v>0</v>
      </c>
      <c r="CQ245" s="136" t="n">
        <v>0</v>
      </c>
      <c r="CR245" s="136" t="n">
        <v>0</v>
      </c>
      <c r="CS245" s="136" t="n">
        <v>0.4</v>
      </c>
      <c r="CT245" s="136" t="n">
        <v>0.01</v>
      </c>
      <c r="CU245" s="136" t="n">
        <v>0.05</v>
      </c>
      <c r="CV245" s="136" t="n">
        <v>0</v>
      </c>
      <c r="CW245" s="136" t="n">
        <v>0.175</v>
      </c>
      <c r="CX245" s="136" t="n">
        <v>0.0075</v>
      </c>
      <c r="CY245" s="136" t="n">
        <v>-0.18</v>
      </c>
      <c r="CZ245" s="136" t="n">
        <v>0</v>
      </c>
      <c r="DA245" s="136" t="n">
        <v>0</v>
      </c>
      <c r="DB245" s="136" t="n">
        <v>0</v>
      </c>
      <c r="DC245" s="136" t="n">
        <v>0.45</v>
      </c>
      <c r="DE245" s="136" t="n">
        <v>-0.0385</v>
      </c>
      <c r="DF245" s="136" t="n">
        <v>0.01</v>
      </c>
      <c r="DG245" s="136" t="n">
        <v>0.019</v>
      </c>
      <c r="DH245" s="136" t="n">
        <v>0.01</v>
      </c>
      <c r="DI245" s="136" t="n">
        <v>0.004</v>
      </c>
      <c r="DJ245" s="136" t="n">
        <v>0.0075</v>
      </c>
      <c r="DK245" s="136" t="n">
        <v>0</v>
      </c>
      <c r="DL245" s="136" t="n">
        <v>0</v>
      </c>
      <c r="DM245" s="136" t="n">
        <v>0</v>
      </c>
      <c r="DN245" s="136" t="n">
        <v>0</v>
      </c>
      <c r="DO245" s="136" t="n">
        <v>0</v>
      </c>
      <c r="DP245" s="136" t="n">
        <v>0</v>
      </c>
      <c r="DQ245" s="136" t="n">
        <v>0</v>
      </c>
      <c r="DR245" s="136" t="n">
        <v>0</v>
      </c>
      <c r="DS245" s="136" t="n">
        <v>0.36</v>
      </c>
      <c r="DT245" s="136" t="n">
        <v>-0.005</v>
      </c>
    </row>
    <row r="246" customFormat="false" ht="12.75" hidden="false" customHeight="false" outlineLevel="0" collapsed="false">
      <c r="D246" s="135" t="n">
        <v>44136</v>
      </c>
      <c r="F246" s="174" t="n">
        <v>4.8015</v>
      </c>
      <c r="G246" s="175" t="n">
        <v>0.0662061891917105</v>
      </c>
      <c r="H246" s="174" t="n">
        <v>0.17</v>
      </c>
      <c r="I246" s="174" t="n">
        <v>0.8</v>
      </c>
      <c r="J246" s="174" t="n">
        <v>0.85</v>
      </c>
      <c r="K246" s="174" t="n">
        <v>0.8</v>
      </c>
      <c r="L246" s="174" t="n">
        <v>0.8</v>
      </c>
      <c r="M246" s="174" t="n">
        <v>0.9</v>
      </c>
      <c r="N246" s="174" t="n">
        <v>0.95</v>
      </c>
      <c r="O246" s="174" t="n">
        <v>0.85</v>
      </c>
      <c r="P246" s="174" t="n">
        <v>0.8</v>
      </c>
      <c r="Q246" s="174" t="n">
        <v>0.95</v>
      </c>
      <c r="R246" s="175" t="n">
        <v>0.8</v>
      </c>
      <c r="S246" s="175" t="n">
        <v>0.8</v>
      </c>
      <c r="T246" s="174" t="n">
        <v>0.8</v>
      </c>
      <c r="U246" s="174" t="n">
        <v>0.95</v>
      </c>
      <c r="V246" s="174" t="n">
        <v>0.9</v>
      </c>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5"/>
      <c r="AZ246" s="175"/>
      <c r="BA246" s="175" t="n">
        <v>0</v>
      </c>
      <c r="BB246" s="174" t="n">
        <v>0</v>
      </c>
      <c r="BC246" s="174" t="n">
        <v>-0.07</v>
      </c>
      <c r="BD246" s="174" t="n">
        <v>0</v>
      </c>
      <c r="BE246" s="174" t="n">
        <v>0.35</v>
      </c>
      <c r="BF246" s="174" t="n">
        <v>0</v>
      </c>
      <c r="BG246" s="174" t="n">
        <v>-0.06</v>
      </c>
      <c r="BH246" s="174" t="n">
        <v>0</v>
      </c>
      <c r="BI246" s="174" t="n">
        <v>0</v>
      </c>
      <c r="BJ246" s="136" t="n">
        <v>0</v>
      </c>
      <c r="BK246" s="136" t="n">
        <v>0.35</v>
      </c>
      <c r="BL246" s="136" t="n">
        <v>0</v>
      </c>
      <c r="BM246" s="136" t="n">
        <v>0.05</v>
      </c>
      <c r="BN246" s="136" t="n">
        <v>0</v>
      </c>
      <c r="BO246" s="136" t="n">
        <v>0</v>
      </c>
      <c r="BP246" s="136" t="n">
        <v>0</v>
      </c>
      <c r="BQ246" s="136" t="n">
        <v>0.5</v>
      </c>
      <c r="BR246" s="136" t="n">
        <v>0</v>
      </c>
      <c r="BS246" s="136" t="n">
        <v>-0.07</v>
      </c>
      <c r="BT246" s="136" t="n">
        <v>0</v>
      </c>
      <c r="BU246" s="136" t="n">
        <v>0.3</v>
      </c>
      <c r="BV246" s="136" t="n">
        <v>0</v>
      </c>
      <c r="BW246" s="136" t="n">
        <v>0</v>
      </c>
      <c r="BX246" s="136" t="n">
        <v>0</v>
      </c>
      <c r="BY246" s="136" t="n">
        <v>0</v>
      </c>
      <c r="BZ246" s="136" t="n">
        <v>0</v>
      </c>
      <c r="CA246" s="136" t="n">
        <v>0.195</v>
      </c>
      <c r="CB246" s="136" t="n">
        <v>0.005</v>
      </c>
      <c r="CC246" s="136" t="n">
        <v>0</v>
      </c>
      <c r="CD246" s="136" t="n">
        <v>0</v>
      </c>
      <c r="CE246" s="136" t="n">
        <v>0</v>
      </c>
      <c r="CF246" s="136" t="n">
        <v>0</v>
      </c>
      <c r="CG246" s="136" t="n">
        <v>0</v>
      </c>
      <c r="CH246" s="136" t="n">
        <v>0</v>
      </c>
      <c r="CI246" s="136" t="n">
        <v>0</v>
      </c>
      <c r="CJ246" s="136" t="n">
        <v>0</v>
      </c>
      <c r="CK246" s="136" t="n">
        <v>0</v>
      </c>
      <c r="CL246" s="136" t="n">
        <v>0</v>
      </c>
      <c r="CM246" s="136" t="n">
        <v>0</v>
      </c>
      <c r="CN246" s="136" t="n">
        <v>0</v>
      </c>
      <c r="CO246" s="136" t="n">
        <v>0</v>
      </c>
      <c r="CP246" s="136" t="n">
        <v>0</v>
      </c>
      <c r="CQ246" s="136" t="n">
        <v>0</v>
      </c>
      <c r="CR246" s="136" t="n">
        <v>0</v>
      </c>
      <c r="CS246" s="136" t="n">
        <v>0.65</v>
      </c>
      <c r="CT246" s="136" t="n">
        <v>0.055</v>
      </c>
      <c r="CU246" s="136" t="n">
        <v>0.05</v>
      </c>
      <c r="CV246" s="136" t="n">
        <v>0</v>
      </c>
      <c r="CW246" s="136" t="n">
        <v>0.21</v>
      </c>
      <c r="CX246" s="136" t="n">
        <v>0.02</v>
      </c>
      <c r="CY246" s="136" t="n">
        <v>-0.18</v>
      </c>
      <c r="CZ246" s="136" t="n">
        <v>0</v>
      </c>
      <c r="DA246" s="136" t="n">
        <v>0</v>
      </c>
      <c r="DB246" s="136" t="n">
        <v>0</v>
      </c>
      <c r="DC246" s="136" t="n">
        <v>0.45</v>
      </c>
      <c r="DE246" s="136" t="n">
        <v>-0.027</v>
      </c>
      <c r="DF246" s="136" t="n">
        <v>0.0125</v>
      </c>
      <c r="DG246" s="136" t="n">
        <v>0.02</v>
      </c>
      <c r="DH246" s="136" t="n">
        <v>0.0075</v>
      </c>
      <c r="DI246" s="136" t="n">
        <v>0.005</v>
      </c>
      <c r="DJ246" s="136" t="n">
        <v>0.0025</v>
      </c>
      <c r="DK246" s="136" t="n">
        <v>0</v>
      </c>
      <c r="DL246" s="136" t="n">
        <v>0</v>
      </c>
      <c r="DM246" s="136" t="n">
        <v>0</v>
      </c>
      <c r="DN246" s="136" t="n">
        <v>0</v>
      </c>
      <c r="DO246" s="136" t="n">
        <v>0</v>
      </c>
      <c r="DP246" s="136" t="n">
        <v>0</v>
      </c>
      <c r="DQ246" s="136" t="n">
        <v>0</v>
      </c>
      <c r="DR246" s="136" t="n">
        <v>0</v>
      </c>
      <c r="DS246" s="136" t="n">
        <v>0.46</v>
      </c>
      <c r="DT246" s="136" t="n">
        <v>0.05</v>
      </c>
    </row>
    <row r="247" customFormat="false" ht="12.75" hidden="false" customHeight="false" outlineLevel="0" collapsed="false">
      <c r="D247" s="135" t="n">
        <v>44166</v>
      </c>
      <c r="F247" s="174" t="n">
        <v>4.9445</v>
      </c>
      <c r="G247" s="175" t="n">
        <v>0.0662454254571374</v>
      </c>
      <c r="H247" s="174" t="n">
        <v>0.17</v>
      </c>
      <c r="I247" s="174" t="n">
        <v>1</v>
      </c>
      <c r="J247" s="174" t="n">
        <v>1.05</v>
      </c>
      <c r="K247" s="174" t="n">
        <v>1</v>
      </c>
      <c r="L247" s="174" t="n">
        <v>1</v>
      </c>
      <c r="M247" s="174" t="n">
        <v>1.15</v>
      </c>
      <c r="N247" s="174" t="n">
        <v>1.25</v>
      </c>
      <c r="O247" s="174" t="n">
        <v>1.05</v>
      </c>
      <c r="P247" s="174" t="n">
        <v>1</v>
      </c>
      <c r="Q247" s="174" t="n">
        <v>1.35</v>
      </c>
      <c r="R247" s="175" t="n">
        <v>1</v>
      </c>
      <c r="S247" s="175" t="n">
        <v>1.1</v>
      </c>
      <c r="T247" s="174" t="n">
        <v>1</v>
      </c>
      <c r="U247" s="174" t="n">
        <v>1.25</v>
      </c>
      <c r="V247" s="174" t="n">
        <v>1.1</v>
      </c>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5"/>
      <c r="AZ247" s="175"/>
      <c r="BA247" s="175" t="n">
        <v>0</v>
      </c>
      <c r="BB247" s="174" t="n">
        <v>0</v>
      </c>
      <c r="BC247" s="174" t="n">
        <v>-0.07</v>
      </c>
      <c r="BD247" s="174" t="n">
        <v>0</v>
      </c>
      <c r="BE247" s="174" t="n">
        <v>0.35</v>
      </c>
      <c r="BF247" s="174" t="n">
        <v>0</v>
      </c>
      <c r="BG247" s="174" t="n">
        <v>-0.06</v>
      </c>
      <c r="BH247" s="174" t="n">
        <v>0</v>
      </c>
      <c r="BI247" s="174" t="n">
        <v>0</v>
      </c>
      <c r="BJ247" s="136" t="n">
        <v>0</v>
      </c>
      <c r="BK247" s="136" t="n">
        <v>0.35</v>
      </c>
      <c r="BL247" s="136" t="n">
        <v>0</v>
      </c>
      <c r="BM247" s="136" t="n">
        <v>0.05</v>
      </c>
      <c r="BN247" s="136" t="n">
        <v>0</v>
      </c>
      <c r="BO247" s="136" t="n">
        <v>0</v>
      </c>
      <c r="BP247" s="136" t="n">
        <v>0</v>
      </c>
      <c r="BQ247" s="136" t="n">
        <v>0.5</v>
      </c>
      <c r="BR247" s="136" t="n">
        <v>0</v>
      </c>
      <c r="BS247" s="136" t="n">
        <v>-0.07</v>
      </c>
      <c r="BT247" s="136" t="n">
        <v>0</v>
      </c>
      <c r="BU247" s="136" t="n">
        <v>0.3</v>
      </c>
      <c r="BV247" s="136" t="n">
        <v>0</v>
      </c>
      <c r="BW247" s="136" t="n">
        <v>0</v>
      </c>
      <c r="BX247" s="136" t="n">
        <v>0</v>
      </c>
      <c r="BY247" s="136" t="n">
        <v>0</v>
      </c>
      <c r="BZ247" s="136" t="n">
        <v>0</v>
      </c>
      <c r="CA247" s="136" t="n">
        <v>0.215</v>
      </c>
      <c r="CB247" s="136" t="n">
        <v>0.005</v>
      </c>
      <c r="CC247" s="136" t="n">
        <v>0</v>
      </c>
      <c r="CD247" s="136" t="n">
        <v>0</v>
      </c>
      <c r="CE247" s="136" t="n">
        <v>0</v>
      </c>
      <c r="CF247" s="136" t="n">
        <v>0</v>
      </c>
      <c r="CG247" s="136" t="n">
        <v>0</v>
      </c>
      <c r="CH247" s="136" t="n">
        <v>0</v>
      </c>
      <c r="CI247" s="136" t="n">
        <v>0</v>
      </c>
      <c r="CJ247" s="136" t="n">
        <v>0</v>
      </c>
      <c r="CK247" s="136" t="n">
        <v>0</v>
      </c>
      <c r="CL247" s="136" t="n">
        <v>0</v>
      </c>
      <c r="CM247" s="136" t="n">
        <v>0</v>
      </c>
      <c r="CN247" s="136" t="n">
        <v>0</v>
      </c>
      <c r="CO247" s="136" t="n">
        <v>0</v>
      </c>
      <c r="CP247" s="136" t="n">
        <v>0</v>
      </c>
      <c r="CQ247" s="136" t="n">
        <v>0</v>
      </c>
      <c r="CR247" s="136" t="n">
        <v>0</v>
      </c>
      <c r="CS247" s="136" t="n">
        <v>0.98</v>
      </c>
      <c r="CT247" s="136" t="n">
        <v>0.25</v>
      </c>
      <c r="CU247" s="136" t="n">
        <v>0.05</v>
      </c>
      <c r="CV247" s="136" t="n">
        <v>0</v>
      </c>
      <c r="CW247" s="136" t="n">
        <v>0.29</v>
      </c>
      <c r="CX247" s="136" t="n">
        <v>0.02</v>
      </c>
      <c r="CY247" s="136" t="n">
        <v>-0.18</v>
      </c>
      <c r="CZ247" s="136" t="n">
        <v>0</v>
      </c>
      <c r="DA247" s="136" t="n">
        <v>0</v>
      </c>
      <c r="DB247" s="136" t="n">
        <v>0</v>
      </c>
      <c r="DC247" s="136" t="n">
        <v>0.4</v>
      </c>
      <c r="DE247" s="136" t="n">
        <v>-0.027</v>
      </c>
      <c r="DF247" s="136" t="n">
        <v>0.0125</v>
      </c>
      <c r="DG247" s="136" t="n">
        <v>0.02</v>
      </c>
      <c r="DH247" s="136" t="n">
        <v>0.0075</v>
      </c>
      <c r="DI247" s="136" t="n">
        <v>0.005</v>
      </c>
      <c r="DJ247" s="136" t="n">
        <v>0.0025</v>
      </c>
      <c r="DK247" s="136" t="n">
        <v>0</v>
      </c>
      <c r="DL247" s="136" t="n">
        <v>0</v>
      </c>
      <c r="DM247" s="136" t="n">
        <v>0</v>
      </c>
      <c r="DN247" s="136" t="n">
        <v>0</v>
      </c>
      <c r="DO247" s="136" t="n">
        <v>0</v>
      </c>
      <c r="DP247" s="136" t="n">
        <v>0</v>
      </c>
      <c r="DQ247" s="136" t="n">
        <v>0</v>
      </c>
      <c r="DR247" s="136" t="n">
        <v>0</v>
      </c>
      <c r="DS247" s="136" t="n">
        <v>0.77</v>
      </c>
      <c r="DT247" s="136" t="n">
        <v>0.05</v>
      </c>
    </row>
    <row r="248" customFormat="false" ht="12.75" hidden="false" customHeight="false" outlineLevel="0" collapsed="false">
      <c r="D248" s="135" t="n">
        <v>44197</v>
      </c>
      <c r="F248" s="174" t="n">
        <v>5.0045</v>
      </c>
      <c r="G248" s="175" t="n">
        <v>0.066285969598614</v>
      </c>
      <c r="H248" s="174" t="n">
        <v>0.17</v>
      </c>
      <c r="I248" s="174" t="n">
        <v>1</v>
      </c>
      <c r="J248" s="174" t="n">
        <v>1.05</v>
      </c>
      <c r="K248" s="174" t="n">
        <v>1</v>
      </c>
      <c r="L248" s="174" t="n">
        <v>1</v>
      </c>
      <c r="M248" s="174" t="n">
        <v>1.15</v>
      </c>
      <c r="N248" s="174" t="n">
        <v>1.45</v>
      </c>
      <c r="O248" s="174" t="n">
        <v>1.05</v>
      </c>
      <c r="P248" s="174" t="n">
        <v>1</v>
      </c>
      <c r="Q248" s="174" t="n">
        <v>1.35</v>
      </c>
      <c r="R248" s="175" t="n">
        <v>1</v>
      </c>
      <c r="S248" s="175" t="n">
        <v>1.1</v>
      </c>
      <c r="T248" s="174" t="n">
        <v>1</v>
      </c>
      <c r="U248" s="174" t="n">
        <v>1.45</v>
      </c>
      <c r="V248" s="174" t="n">
        <v>1.1</v>
      </c>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5"/>
      <c r="AZ248" s="175"/>
      <c r="BA248" s="175" t="n">
        <v>0</v>
      </c>
      <c r="BB248" s="174" t="n">
        <v>0</v>
      </c>
      <c r="BC248" s="174" t="n">
        <v>-0.07</v>
      </c>
      <c r="BD248" s="174" t="n">
        <v>0</v>
      </c>
      <c r="BE248" s="174" t="n">
        <v>0.35</v>
      </c>
      <c r="BF248" s="174" t="n">
        <v>0</v>
      </c>
      <c r="BG248" s="174" t="n">
        <v>-0.06</v>
      </c>
      <c r="BH248" s="174" t="n">
        <v>0</v>
      </c>
      <c r="BI248" s="174" t="n">
        <v>0</v>
      </c>
      <c r="BJ248" s="136" t="n">
        <v>0</v>
      </c>
      <c r="BK248" s="136" t="n">
        <v>0.35</v>
      </c>
      <c r="BL248" s="136" t="n">
        <v>0</v>
      </c>
      <c r="BM248" s="136" t="n">
        <v>0.05</v>
      </c>
      <c r="BN248" s="136" t="n">
        <v>0</v>
      </c>
      <c r="BO248" s="136" t="n">
        <v>0</v>
      </c>
      <c r="BP248" s="136" t="n">
        <v>0</v>
      </c>
      <c r="BQ248" s="136" t="n">
        <v>0.5</v>
      </c>
      <c r="BR248" s="136" t="n">
        <v>0</v>
      </c>
      <c r="BS248" s="136" t="n">
        <v>-0.07</v>
      </c>
      <c r="BT248" s="136" t="n">
        <v>0</v>
      </c>
      <c r="BU248" s="136" t="n">
        <v>0.3</v>
      </c>
      <c r="BV248" s="136" t="n">
        <v>0</v>
      </c>
      <c r="BW248" s="136" t="n">
        <v>0</v>
      </c>
      <c r="BX248" s="136" t="n">
        <v>0</v>
      </c>
      <c r="BY248" s="136" t="n">
        <v>0</v>
      </c>
      <c r="BZ248" s="136" t="n">
        <v>0</v>
      </c>
      <c r="CA248" s="136" t="n">
        <v>0.235</v>
      </c>
      <c r="CB248" s="136" t="n">
        <v>0.005</v>
      </c>
      <c r="CC248" s="136" t="n">
        <v>0</v>
      </c>
      <c r="CD248" s="136" t="n">
        <v>0</v>
      </c>
      <c r="CE248" s="136" t="n">
        <v>0</v>
      </c>
      <c r="CF248" s="136" t="n">
        <v>0</v>
      </c>
      <c r="CG248" s="136" t="n">
        <v>0</v>
      </c>
      <c r="CH248" s="136" t="n">
        <v>0</v>
      </c>
      <c r="CI248" s="136" t="n">
        <v>0</v>
      </c>
      <c r="CJ248" s="136" t="n">
        <v>0</v>
      </c>
      <c r="CK248" s="136" t="n">
        <v>0</v>
      </c>
      <c r="CL248" s="136" t="n">
        <v>0</v>
      </c>
      <c r="CM248" s="136" t="n">
        <v>0</v>
      </c>
      <c r="CN248" s="136" t="n">
        <v>0</v>
      </c>
      <c r="CO248" s="136" t="n">
        <v>0</v>
      </c>
      <c r="CP248" s="136" t="n">
        <v>0</v>
      </c>
      <c r="CQ248" s="136" t="n">
        <v>0</v>
      </c>
      <c r="CR248" s="136" t="n">
        <v>0</v>
      </c>
      <c r="CS248" s="136" t="n">
        <v>1.6</v>
      </c>
      <c r="CT248" s="136" t="n">
        <v>0.45</v>
      </c>
      <c r="CU248" s="136" t="n">
        <v>0.05</v>
      </c>
      <c r="CV248" s="136" t="n">
        <v>0</v>
      </c>
      <c r="CW248" s="136" t="n">
        <v>0.34</v>
      </c>
      <c r="CX248" s="136" t="n">
        <v>0.02</v>
      </c>
      <c r="CY248" s="136" t="n">
        <v>-0.18</v>
      </c>
      <c r="CZ248" s="136" t="n">
        <v>0</v>
      </c>
      <c r="DA248" s="136" t="n">
        <v>0</v>
      </c>
      <c r="DB248" s="136" t="n">
        <v>0</v>
      </c>
      <c r="DC248" s="136" t="n">
        <v>0.35</v>
      </c>
      <c r="DE248" s="136" t="n">
        <v>-0.027</v>
      </c>
      <c r="DF248" s="136" t="n">
        <v>0.0125</v>
      </c>
      <c r="DG248" s="136" t="n">
        <v>0.02</v>
      </c>
      <c r="DH248" s="136" t="n">
        <v>0.0075</v>
      </c>
      <c r="DI248" s="136" t="n">
        <v>0.005</v>
      </c>
      <c r="DJ248" s="136" t="n">
        <v>0.0025</v>
      </c>
      <c r="DK248" s="136" t="n">
        <v>0</v>
      </c>
      <c r="DL248" s="136" t="n">
        <v>0</v>
      </c>
      <c r="DM248" s="136" t="n">
        <v>0</v>
      </c>
      <c r="DN248" s="136" t="n">
        <v>0</v>
      </c>
      <c r="DO248" s="136" t="n">
        <v>0</v>
      </c>
      <c r="DP248" s="136" t="n">
        <v>0</v>
      </c>
      <c r="DQ248" s="136" t="n">
        <v>0</v>
      </c>
      <c r="DR248" s="136" t="n">
        <v>0</v>
      </c>
      <c r="DS248" s="136" t="n">
        <v>1.04</v>
      </c>
      <c r="DT248" s="136" t="n">
        <v>0.05</v>
      </c>
    </row>
    <row r="249" customFormat="false" ht="12.75" hidden="false" customHeight="false" outlineLevel="0" collapsed="false">
      <c r="D249" s="135" t="n">
        <v>44228</v>
      </c>
      <c r="F249" s="174" t="n">
        <v>4.9195</v>
      </c>
      <c r="G249" s="175" t="n">
        <v>0.0663265137406355</v>
      </c>
      <c r="H249" s="174" t="n">
        <v>0.17</v>
      </c>
      <c r="I249" s="174" t="n">
        <v>1</v>
      </c>
      <c r="J249" s="174" t="n">
        <v>1.05</v>
      </c>
      <c r="K249" s="174" t="n">
        <v>1</v>
      </c>
      <c r="L249" s="174" t="n">
        <v>1</v>
      </c>
      <c r="M249" s="174" t="n">
        <v>1.15</v>
      </c>
      <c r="N249" s="174" t="n">
        <v>1.45</v>
      </c>
      <c r="O249" s="174" t="n">
        <v>1.05</v>
      </c>
      <c r="P249" s="174" t="n">
        <v>1</v>
      </c>
      <c r="Q249" s="174" t="n">
        <v>1.35</v>
      </c>
      <c r="R249" s="175" t="n">
        <v>1</v>
      </c>
      <c r="S249" s="175" t="n">
        <v>1.1</v>
      </c>
      <c r="T249" s="174" t="n">
        <v>1</v>
      </c>
      <c r="U249" s="174" t="n">
        <v>1.45</v>
      </c>
      <c r="V249" s="174" t="n">
        <v>1.1</v>
      </c>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5"/>
      <c r="AZ249" s="175"/>
      <c r="BA249" s="175" t="n">
        <v>0</v>
      </c>
      <c r="BB249" s="174" t="n">
        <v>0</v>
      </c>
      <c r="BC249" s="174" t="n">
        <v>-0.07</v>
      </c>
      <c r="BD249" s="174" t="n">
        <v>0</v>
      </c>
      <c r="BE249" s="174" t="n">
        <v>0.35</v>
      </c>
      <c r="BF249" s="174" t="n">
        <v>0</v>
      </c>
      <c r="BG249" s="174" t="n">
        <v>-0.06</v>
      </c>
      <c r="BH249" s="174" t="n">
        <v>0</v>
      </c>
      <c r="BI249" s="174" t="n">
        <v>0</v>
      </c>
      <c r="BJ249" s="136" t="n">
        <v>0</v>
      </c>
      <c r="BK249" s="136" t="n">
        <v>0.35</v>
      </c>
      <c r="BL249" s="136" t="n">
        <v>0</v>
      </c>
      <c r="BM249" s="136" t="n">
        <v>0.05</v>
      </c>
      <c r="BN249" s="136" t="n">
        <v>0</v>
      </c>
      <c r="BO249" s="136" t="n">
        <v>0</v>
      </c>
      <c r="BP249" s="136" t="n">
        <v>0</v>
      </c>
      <c r="BQ249" s="136" t="n">
        <v>0.5</v>
      </c>
      <c r="BR249" s="136" t="n">
        <v>0</v>
      </c>
      <c r="BS249" s="136" t="n">
        <v>-0.07</v>
      </c>
      <c r="BT249" s="136" t="n">
        <v>0</v>
      </c>
      <c r="BU249" s="136" t="n">
        <v>0.3</v>
      </c>
      <c r="BV249" s="136" t="n">
        <v>0</v>
      </c>
      <c r="BW249" s="136" t="n">
        <v>0</v>
      </c>
      <c r="BX249" s="136" t="n">
        <v>0</v>
      </c>
      <c r="BY249" s="136" t="n">
        <v>0</v>
      </c>
      <c r="BZ249" s="136" t="n">
        <v>0</v>
      </c>
      <c r="CA249" s="136" t="n">
        <v>0.235</v>
      </c>
      <c r="CB249" s="136" t="n">
        <v>0.005</v>
      </c>
      <c r="CC249" s="136" t="n">
        <v>0</v>
      </c>
      <c r="CD249" s="136" t="n">
        <v>0</v>
      </c>
      <c r="CE249" s="136" t="n">
        <v>0</v>
      </c>
      <c r="CF249" s="136" t="n">
        <v>0</v>
      </c>
      <c r="CG249" s="136" t="n">
        <v>0</v>
      </c>
      <c r="CH249" s="136" t="n">
        <v>0</v>
      </c>
      <c r="CI249" s="136" t="n">
        <v>0</v>
      </c>
      <c r="CJ249" s="136" t="n">
        <v>0</v>
      </c>
      <c r="CK249" s="136" t="n">
        <v>0</v>
      </c>
      <c r="CL249" s="136" t="n">
        <v>0</v>
      </c>
      <c r="CM249" s="136" t="n">
        <v>0</v>
      </c>
      <c r="CN249" s="136" t="n">
        <v>0</v>
      </c>
      <c r="CO249" s="136" t="n">
        <v>0</v>
      </c>
      <c r="CP249" s="136" t="n">
        <v>0</v>
      </c>
      <c r="CQ249" s="136" t="n">
        <v>0</v>
      </c>
      <c r="CR249" s="136" t="n">
        <v>0</v>
      </c>
      <c r="CS249" s="136" t="n">
        <v>1.6</v>
      </c>
      <c r="CT249" s="136" t="n">
        <v>0.45</v>
      </c>
      <c r="CU249" s="136" t="n">
        <v>0.05</v>
      </c>
      <c r="CV249" s="136" t="n">
        <v>0</v>
      </c>
      <c r="CW249" s="136" t="n">
        <v>0.34</v>
      </c>
      <c r="CX249" s="136" t="n">
        <v>0.02</v>
      </c>
      <c r="CY249" s="136" t="n">
        <v>-0.18</v>
      </c>
      <c r="CZ249" s="136" t="n">
        <v>0</v>
      </c>
      <c r="DA249" s="136" t="n">
        <v>0</v>
      </c>
      <c r="DB249" s="136" t="n">
        <v>0</v>
      </c>
      <c r="DC249" s="136" t="n">
        <v>0.35</v>
      </c>
      <c r="DE249" s="136" t="n">
        <v>-0.027</v>
      </c>
      <c r="DF249" s="136" t="n">
        <v>0.0125</v>
      </c>
      <c r="DG249" s="136" t="n">
        <v>0.02</v>
      </c>
      <c r="DH249" s="136" t="n">
        <v>0.0075</v>
      </c>
      <c r="DI249" s="136" t="n">
        <v>0.005</v>
      </c>
      <c r="DJ249" s="136" t="n">
        <v>0.0025</v>
      </c>
      <c r="DK249" s="136" t="n">
        <v>0</v>
      </c>
      <c r="DL249" s="136" t="n">
        <v>0</v>
      </c>
      <c r="DM249" s="136" t="n">
        <v>0</v>
      </c>
      <c r="DN249" s="136" t="n">
        <v>0</v>
      </c>
      <c r="DO249" s="136" t="n">
        <v>0</v>
      </c>
      <c r="DP249" s="136" t="n">
        <v>0</v>
      </c>
      <c r="DQ249" s="136" t="n">
        <v>0</v>
      </c>
      <c r="DR249" s="136" t="n">
        <v>0</v>
      </c>
      <c r="DS249" s="136" t="n">
        <v>1.04</v>
      </c>
      <c r="DT249" s="136" t="n">
        <v>0.05</v>
      </c>
    </row>
    <row r="250" customFormat="false" ht="12.75" hidden="false" customHeight="false" outlineLevel="0" collapsed="false">
      <c r="D250" s="135" t="n">
        <v>44256</v>
      </c>
      <c r="F250" s="174" t="n">
        <v>4.7895</v>
      </c>
      <c r="G250" s="175" t="n">
        <v>0.0663631342564779</v>
      </c>
      <c r="H250" s="174" t="n">
        <v>0.17</v>
      </c>
      <c r="I250" s="174" t="n">
        <v>0.75</v>
      </c>
      <c r="J250" s="174" t="n">
        <v>0.8</v>
      </c>
      <c r="K250" s="174" t="n">
        <v>0.75</v>
      </c>
      <c r="L250" s="174" t="n">
        <v>0.75</v>
      </c>
      <c r="M250" s="174" t="n">
        <v>0.85</v>
      </c>
      <c r="N250" s="174" t="n">
        <v>1</v>
      </c>
      <c r="O250" s="174" t="n">
        <v>0.75</v>
      </c>
      <c r="P250" s="174" t="n">
        <v>0.75</v>
      </c>
      <c r="Q250" s="174" t="n">
        <v>0.95</v>
      </c>
      <c r="R250" s="175" t="n">
        <v>0.75</v>
      </c>
      <c r="S250" s="175" t="n">
        <v>0.75</v>
      </c>
      <c r="T250" s="174" t="n">
        <v>0.75</v>
      </c>
      <c r="U250" s="174" t="n">
        <v>1</v>
      </c>
      <c r="V250" s="174" t="n">
        <v>0.85</v>
      </c>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5"/>
      <c r="AZ250" s="175"/>
      <c r="BA250" s="175" t="n">
        <v>0</v>
      </c>
      <c r="BB250" s="174" t="n">
        <v>0</v>
      </c>
      <c r="BC250" s="174" t="n">
        <v>-0.07</v>
      </c>
      <c r="BD250" s="174" t="n">
        <v>0</v>
      </c>
      <c r="BE250" s="174" t="n">
        <v>0.35</v>
      </c>
      <c r="BF250" s="174" t="n">
        <v>0</v>
      </c>
      <c r="BG250" s="174" t="n">
        <v>-0.06</v>
      </c>
      <c r="BH250" s="174" t="n">
        <v>0</v>
      </c>
      <c r="BI250" s="174" t="n">
        <v>0</v>
      </c>
      <c r="BJ250" s="136" t="n">
        <v>0</v>
      </c>
      <c r="BK250" s="136" t="n">
        <v>0.35</v>
      </c>
      <c r="BL250" s="136" t="n">
        <v>0</v>
      </c>
      <c r="BM250" s="136" t="n">
        <v>0.05</v>
      </c>
      <c r="BN250" s="136" t="n">
        <v>0</v>
      </c>
      <c r="BO250" s="136" t="n">
        <v>0</v>
      </c>
      <c r="BP250" s="136" t="n">
        <v>0</v>
      </c>
      <c r="BQ250" s="136" t="n">
        <v>0.5</v>
      </c>
      <c r="BR250" s="136" t="n">
        <v>0</v>
      </c>
      <c r="BS250" s="136" t="n">
        <v>-0.07</v>
      </c>
      <c r="BT250" s="136" t="n">
        <v>0</v>
      </c>
      <c r="BU250" s="136" t="n">
        <v>0.3</v>
      </c>
      <c r="BV250" s="136" t="n">
        <v>0</v>
      </c>
      <c r="BW250" s="136" t="n">
        <v>0</v>
      </c>
      <c r="BX250" s="136" t="n">
        <v>0</v>
      </c>
      <c r="BY250" s="136" t="n">
        <v>0</v>
      </c>
      <c r="BZ250" s="136" t="n">
        <v>0</v>
      </c>
      <c r="CA250" s="136" t="n">
        <v>0.195</v>
      </c>
      <c r="CB250" s="136" t="n">
        <v>0.005</v>
      </c>
      <c r="CC250" s="136" t="n">
        <v>0</v>
      </c>
      <c r="CD250" s="136" t="n">
        <v>0</v>
      </c>
      <c r="CE250" s="136" t="n">
        <v>0</v>
      </c>
      <c r="CF250" s="136" t="n">
        <v>0</v>
      </c>
      <c r="CG250" s="136" t="n">
        <v>0</v>
      </c>
      <c r="CH250" s="136" t="n">
        <v>0</v>
      </c>
      <c r="CI250" s="136" t="n">
        <v>0</v>
      </c>
      <c r="CJ250" s="136" t="n">
        <v>0</v>
      </c>
      <c r="CK250" s="136" t="n">
        <v>0</v>
      </c>
      <c r="CL250" s="136" t="n">
        <v>0</v>
      </c>
      <c r="CM250" s="136" t="n">
        <v>0</v>
      </c>
      <c r="CN250" s="136" t="n">
        <v>0</v>
      </c>
      <c r="CO250" s="136" t="n">
        <v>0</v>
      </c>
      <c r="CP250" s="136" t="n">
        <v>0</v>
      </c>
      <c r="CQ250" s="136" t="n">
        <v>0</v>
      </c>
      <c r="CR250" s="136" t="n">
        <v>0</v>
      </c>
      <c r="CS250" s="136" t="n">
        <v>0.64</v>
      </c>
      <c r="CT250" s="136" t="n">
        <v>0.1</v>
      </c>
      <c r="CU250" s="136" t="n">
        <v>0.05</v>
      </c>
      <c r="CV250" s="136" t="n">
        <v>0</v>
      </c>
      <c r="CW250" s="136" t="n">
        <v>0.29</v>
      </c>
      <c r="CX250" s="136" t="n">
        <v>0.02</v>
      </c>
      <c r="CY250" s="136" t="n">
        <v>-0.18</v>
      </c>
      <c r="CZ250" s="136" t="n">
        <v>0</v>
      </c>
      <c r="DA250" s="136" t="n">
        <v>0</v>
      </c>
      <c r="DB250" s="136" t="n">
        <v>0</v>
      </c>
      <c r="DC250" s="136" t="n">
        <v>0.4</v>
      </c>
      <c r="DE250" s="136" t="n">
        <v>-0.027</v>
      </c>
      <c r="DF250" s="136" t="n">
        <v>0.0125</v>
      </c>
      <c r="DG250" s="136" t="n">
        <v>0.025</v>
      </c>
      <c r="DH250" s="136" t="n">
        <v>0.0075</v>
      </c>
      <c r="DI250" s="136" t="n">
        <v>0.01</v>
      </c>
      <c r="DJ250" s="136" t="n">
        <v>0.0025</v>
      </c>
      <c r="DK250" s="136" t="n">
        <v>0</v>
      </c>
      <c r="DL250" s="136" t="n">
        <v>0</v>
      </c>
      <c r="DM250" s="136" t="n">
        <v>0</v>
      </c>
      <c r="DN250" s="136" t="n">
        <v>0</v>
      </c>
      <c r="DO250" s="136" t="n">
        <v>0</v>
      </c>
      <c r="DP250" s="136" t="n">
        <v>0</v>
      </c>
      <c r="DQ250" s="136" t="n">
        <v>0</v>
      </c>
      <c r="DR250" s="136" t="n">
        <v>0</v>
      </c>
      <c r="DS250" s="136" t="n">
        <v>0.54</v>
      </c>
      <c r="DT250" s="136" t="n">
        <v>0.05</v>
      </c>
    </row>
    <row r="251" customFormat="false" ht="12.75" hidden="false" customHeight="false" outlineLevel="0" collapsed="false">
      <c r="D251" s="135" t="n">
        <v>44287</v>
      </c>
      <c r="F251" s="174" t="n">
        <v>4.6045</v>
      </c>
      <c r="G251" s="175" t="n">
        <v>0.0664036783995359</v>
      </c>
      <c r="H251" s="174" t="n">
        <v>0.17</v>
      </c>
      <c r="I251" s="174" t="n">
        <v>0.4</v>
      </c>
      <c r="J251" s="174" t="n">
        <v>0.45</v>
      </c>
      <c r="K251" s="174" t="n">
        <v>0.4</v>
      </c>
      <c r="L251" s="174" t="n">
        <v>0.45</v>
      </c>
      <c r="M251" s="174" t="n">
        <v>0.45</v>
      </c>
      <c r="N251" s="174" t="n">
        <v>0.45</v>
      </c>
      <c r="O251" s="174" t="n">
        <v>0.45</v>
      </c>
      <c r="P251" s="174" t="n">
        <v>0.45</v>
      </c>
      <c r="Q251" s="174" t="n">
        <v>0.5</v>
      </c>
      <c r="R251" s="175" t="n">
        <v>0.4</v>
      </c>
      <c r="S251" s="175" t="n">
        <v>0.45</v>
      </c>
      <c r="T251" s="174" t="n">
        <v>0.4</v>
      </c>
      <c r="U251" s="174" t="n">
        <v>0.45</v>
      </c>
      <c r="V251" s="174" t="n">
        <v>0.55</v>
      </c>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5"/>
      <c r="AZ251" s="175"/>
      <c r="BA251" s="175" t="n">
        <v>0</v>
      </c>
      <c r="BB251" s="174" t="n">
        <v>0</v>
      </c>
      <c r="BC251" s="174" t="n">
        <v>-0.07</v>
      </c>
      <c r="BD251" s="174" t="n">
        <v>0</v>
      </c>
      <c r="BE251" s="174" t="n">
        <v>0.43</v>
      </c>
      <c r="BF251" s="174" t="n">
        <v>0</v>
      </c>
      <c r="BG251" s="174" t="n">
        <v>-0.06</v>
      </c>
      <c r="BH251" s="174" t="n">
        <v>0</v>
      </c>
      <c r="BI251" s="174" t="n">
        <v>0</v>
      </c>
      <c r="BJ251" s="136" t="n">
        <v>0</v>
      </c>
      <c r="BK251" s="136" t="n">
        <v>0.43</v>
      </c>
      <c r="BL251" s="136" t="n">
        <v>0</v>
      </c>
      <c r="BM251" s="136" t="n">
        <v>0.05</v>
      </c>
      <c r="BN251" s="136" t="n">
        <v>0</v>
      </c>
      <c r="BO251" s="136" t="n">
        <v>0</v>
      </c>
      <c r="BP251" s="136" t="n">
        <v>0</v>
      </c>
      <c r="BQ251" s="136" t="n">
        <v>0.5</v>
      </c>
      <c r="BR251" s="136" t="n">
        <v>0</v>
      </c>
      <c r="BS251" s="136" t="n">
        <v>-0.07</v>
      </c>
      <c r="BT251" s="136" t="n">
        <v>0</v>
      </c>
      <c r="BU251" s="136" t="n">
        <v>0.3</v>
      </c>
      <c r="BV251" s="136" t="n">
        <v>0</v>
      </c>
      <c r="BW251" s="136" t="n">
        <v>0</v>
      </c>
      <c r="BX251" s="136" t="n">
        <v>0</v>
      </c>
      <c r="BY251" s="136" t="n">
        <v>0</v>
      </c>
      <c r="BZ251" s="136" t="n">
        <v>0</v>
      </c>
      <c r="CA251" s="136" t="n">
        <v>0.145</v>
      </c>
      <c r="CB251" s="136" t="n">
        <v>0.005</v>
      </c>
      <c r="CC251" s="136" t="n">
        <v>0</v>
      </c>
      <c r="CD251" s="136" t="n">
        <v>0</v>
      </c>
      <c r="CE251" s="136" t="n">
        <v>0</v>
      </c>
      <c r="CF251" s="136" t="n">
        <v>0</v>
      </c>
      <c r="CG251" s="136" t="n">
        <v>0</v>
      </c>
      <c r="CH251" s="136" t="n">
        <v>0</v>
      </c>
      <c r="CI251" s="136" t="n">
        <v>0</v>
      </c>
      <c r="CJ251" s="136" t="n">
        <v>0</v>
      </c>
      <c r="CK251" s="136" t="n">
        <v>0</v>
      </c>
      <c r="CL251" s="136" t="n">
        <v>0</v>
      </c>
      <c r="CM251" s="136" t="n">
        <v>0</v>
      </c>
      <c r="CN251" s="136" t="n">
        <v>0</v>
      </c>
      <c r="CO251" s="136" t="n">
        <v>0</v>
      </c>
      <c r="CP251" s="136" t="n">
        <v>0</v>
      </c>
      <c r="CQ251" s="136" t="n">
        <v>0</v>
      </c>
      <c r="CR251" s="136" t="n">
        <v>0</v>
      </c>
      <c r="CS251" s="136" t="n">
        <v>0.38</v>
      </c>
      <c r="CT251" s="136" t="n">
        <v>0.02</v>
      </c>
      <c r="CU251" s="136" t="n">
        <v>0.05</v>
      </c>
      <c r="CV251" s="136" t="n">
        <v>0</v>
      </c>
      <c r="CW251" s="136" t="n">
        <v>0.195</v>
      </c>
      <c r="CX251" s="136" t="n">
        <v>0.0075</v>
      </c>
      <c r="CY251" s="136" t="n">
        <v>-0.18</v>
      </c>
      <c r="CZ251" s="136" t="n">
        <v>0</v>
      </c>
      <c r="DA251" s="136" t="n">
        <v>0</v>
      </c>
      <c r="DB251" s="136" t="n">
        <v>0</v>
      </c>
      <c r="DC251" s="136" t="n">
        <v>0.6</v>
      </c>
      <c r="DE251" s="136" t="n">
        <v>-0.0345</v>
      </c>
      <c r="DF251" s="136" t="n">
        <v>0.01</v>
      </c>
      <c r="DG251" s="136" t="n">
        <v>0.025</v>
      </c>
      <c r="DH251" s="136" t="n">
        <v>0.01</v>
      </c>
      <c r="DI251" s="136" t="n">
        <v>0.01</v>
      </c>
      <c r="DJ251" s="136" t="n">
        <v>0.0075</v>
      </c>
      <c r="DK251" s="136" t="n">
        <v>0</v>
      </c>
      <c r="DL251" s="136" t="n">
        <v>0</v>
      </c>
      <c r="DM251" s="136" t="n">
        <v>0</v>
      </c>
      <c r="DN251" s="136" t="n">
        <v>0</v>
      </c>
      <c r="DO251" s="136" t="n">
        <v>0</v>
      </c>
      <c r="DP251" s="136" t="n">
        <v>0</v>
      </c>
      <c r="DQ251" s="136" t="n">
        <v>0</v>
      </c>
      <c r="DR251" s="136" t="n">
        <v>0</v>
      </c>
      <c r="DS251" s="136" t="n">
        <v>0.36</v>
      </c>
      <c r="DT251" s="136" t="n">
        <v>0.005</v>
      </c>
    </row>
    <row r="252" customFormat="false" ht="12.75" hidden="false" customHeight="false" outlineLevel="0" collapsed="false">
      <c r="D252" s="135" t="n">
        <v>44317</v>
      </c>
      <c r="F252" s="174" t="n">
        <v>4.5995</v>
      </c>
      <c r="G252" s="175" t="n">
        <v>0.0664429146675296</v>
      </c>
      <c r="H252" s="174" t="n">
        <v>0.17</v>
      </c>
      <c r="I252" s="174" t="n">
        <v>0.45</v>
      </c>
      <c r="J252" s="174" t="n">
        <v>0.5</v>
      </c>
      <c r="K252" s="174" t="n">
        <v>0.4</v>
      </c>
      <c r="L252" s="174" t="n">
        <v>0.4</v>
      </c>
      <c r="M252" s="174" t="n">
        <v>0.45</v>
      </c>
      <c r="N252" s="174" t="n">
        <v>0.5</v>
      </c>
      <c r="O252" s="174" t="n">
        <v>0.45</v>
      </c>
      <c r="P252" s="174" t="n">
        <v>0.4</v>
      </c>
      <c r="Q252" s="174" t="n">
        <v>0.45</v>
      </c>
      <c r="R252" s="175" t="n">
        <v>0.45</v>
      </c>
      <c r="S252" s="175" t="n">
        <v>0.5</v>
      </c>
      <c r="T252" s="174" t="n">
        <v>0.45</v>
      </c>
      <c r="U252" s="174" t="n">
        <v>0.5</v>
      </c>
      <c r="V252" s="174" t="n">
        <v>0.5</v>
      </c>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c r="AS252" s="174"/>
      <c r="AT252" s="174"/>
      <c r="AU252" s="174"/>
      <c r="AV252" s="174"/>
      <c r="AW252" s="174"/>
      <c r="AX252" s="174"/>
      <c r="AY252" s="175"/>
      <c r="AZ252" s="175"/>
      <c r="BA252" s="175" t="n">
        <v>0</v>
      </c>
      <c r="BB252" s="174" t="n">
        <v>0</v>
      </c>
      <c r="BC252" s="174" t="n">
        <v>-0.07</v>
      </c>
      <c r="BD252" s="174" t="n">
        <v>0</v>
      </c>
      <c r="BE252" s="174" t="n">
        <v>0.43</v>
      </c>
      <c r="BF252" s="174" t="n">
        <v>0</v>
      </c>
      <c r="BG252" s="174" t="n">
        <v>-0.06</v>
      </c>
      <c r="BH252" s="174" t="n">
        <v>0</v>
      </c>
      <c r="BI252" s="174" t="n">
        <v>0</v>
      </c>
      <c r="BJ252" s="136" t="n">
        <v>0</v>
      </c>
      <c r="BK252" s="136" t="n">
        <v>0.43</v>
      </c>
      <c r="BL252" s="136" t="n">
        <v>0</v>
      </c>
      <c r="BM252" s="136" t="n">
        <v>0.05</v>
      </c>
      <c r="BN252" s="136" t="n">
        <v>0</v>
      </c>
      <c r="BO252" s="136" t="n">
        <v>0</v>
      </c>
      <c r="BP252" s="136" t="n">
        <v>0</v>
      </c>
      <c r="BQ252" s="136" t="n">
        <v>0.5</v>
      </c>
      <c r="BR252" s="136" t="n">
        <v>0</v>
      </c>
      <c r="BS252" s="136" t="n">
        <v>-0.07</v>
      </c>
      <c r="BT252" s="136" t="n">
        <v>0</v>
      </c>
      <c r="BU252" s="136" t="n">
        <v>0.3</v>
      </c>
      <c r="BV252" s="136" t="n">
        <v>0</v>
      </c>
      <c r="BW252" s="136" t="n">
        <v>0</v>
      </c>
      <c r="BX252" s="136" t="n">
        <v>0</v>
      </c>
      <c r="BY252" s="136" t="n">
        <v>0</v>
      </c>
      <c r="BZ252" s="136" t="n">
        <v>0</v>
      </c>
      <c r="CA252" s="136" t="n">
        <v>0.125</v>
      </c>
      <c r="CB252" s="136" t="n">
        <v>0.005</v>
      </c>
      <c r="CC252" s="136" t="n">
        <v>0</v>
      </c>
      <c r="CD252" s="136" t="n">
        <v>0</v>
      </c>
      <c r="CE252" s="136" t="n">
        <v>0</v>
      </c>
      <c r="CF252" s="136" t="n">
        <v>0</v>
      </c>
      <c r="CG252" s="136" t="n">
        <v>0</v>
      </c>
      <c r="CH252" s="136" t="n">
        <v>0</v>
      </c>
      <c r="CI252" s="136" t="n">
        <v>0</v>
      </c>
      <c r="CJ252" s="136" t="n">
        <v>0</v>
      </c>
      <c r="CK252" s="136" t="n">
        <v>0</v>
      </c>
      <c r="CL252" s="136" t="n">
        <v>0</v>
      </c>
      <c r="CM252" s="136" t="n">
        <v>0</v>
      </c>
      <c r="CN252" s="136" t="n">
        <v>0</v>
      </c>
      <c r="CO252" s="136" t="n">
        <v>0</v>
      </c>
      <c r="CP252" s="136" t="n">
        <v>0</v>
      </c>
      <c r="CQ252" s="136" t="n">
        <v>0</v>
      </c>
      <c r="CR252" s="136" t="n">
        <v>0</v>
      </c>
      <c r="CS252" s="136" t="n">
        <v>0.33</v>
      </c>
      <c r="CT252" s="136" t="n">
        <v>0.02</v>
      </c>
      <c r="CU252" s="136" t="n">
        <v>0.05</v>
      </c>
      <c r="CV252" s="136" t="n">
        <v>0</v>
      </c>
      <c r="CW252" s="136" t="n">
        <v>0.135</v>
      </c>
      <c r="CX252" s="136" t="n">
        <v>0.0075</v>
      </c>
      <c r="CY252" s="136" t="n">
        <v>-0.18</v>
      </c>
      <c r="CZ252" s="136" t="n">
        <v>0</v>
      </c>
      <c r="DA252" s="136" t="n">
        <v>0</v>
      </c>
      <c r="DB252" s="136" t="n">
        <v>0</v>
      </c>
      <c r="DC252" s="136" t="n">
        <v>0.75</v>
      </c>
      <c r="DE252" s="136" t="n">
        <v>-0.0345</v>
      </c>
      <c r="DF252" s="136" t="n">
        <v>0.01</v>
      </c>
      <c r="DG252" s="136" t="n">
        <v>0.0275</v>
      </c>
      <c r="DH252" s="136" t="n">
        <v>0.01</v>
      </c>
      <c r="DI252" s="136" t="n">
        <v>0.0125</v>
      </c>
      <c r="DJ252" s="136" t="n">
        <v>0.0075</v>
      </c>
      <c r="DK252" s="136" t="n">
        <v>0</v>
      </c>
      <c r="DL252" s="136" t="n">
        <v>0</v>
      </c>
      <c r="DM252" s="136" t="n">
        <v>0</v>
      </c>
      <c r="DN252" s="136" t="n">
        <v>0</v>
      </c>
      <c r="DO252" s="136" t="n">
        <v>0</v>
      </c>
      <c r="DP252" s="136" t="n">
        <v>0</v>
      </c>
      <c r="DQ252" s="136" t="n">
        <v>0</v>
      </c>
      <c r="DR252" s="136" t="n">
        <v>0</v>
      </c>
      <c r="DS252" s="136" t="n">
        <v>0.325</v>
      </c>
      <c r="DT252" s="136" t="n">
        <v>0.005</v>
      </c>
    </row>
    <row r="253" customFormat="false" ht="12.75" hidden="false" customHeight="false" outlineLevel="0" collapsed="false">
      <c r="D253" s="135" t="n">
        <v>44348</v>
      </c>
      <c r="F253" s="174" t="n">
        <v>4.6345</v>
      </c>
      <c r="G253" s="175" t="n">
        <v>0.0664834588116587</v>
      </c>
      <c r="H253" s="174" t="n">
        <v>0.17</v>
      </c>
      <c r="I253" s="174" t="n">
        <v>0.45</v>
      </c>
      <c r="J253" s="174" t="n">
        <v>0.5</v>
      </c>
      <c r="K253" s="174" t="n">
        <v>0.4</v>
      </c>
      <c r="L253" s="174" t="n">
        <v>0.5</v>
      </c>
      <c r="M253" s="174" t="n">
        <v>0.45</v>
      </c>
      <c r="N253" s="174" t="n">
        <v>0.5</v>
      </c>
      <c r="O253" s="174" t="n">
        <v>0.5</v>
      </c>
      <c r="P253" s="174" t="n">
        <v>0.5</v>
      </c>
      <c r="Q253" s="174" t="n">
        <v>0.5</v>
      </c>
      <c r="R253" s="175" t="n">
        <v>0.45</v>
      </c>
      <c r="S253" s="175" t="n">
        <v>0.5</v>
      </c>
      <c r="T253" s="174" t="n">
        <v>0.45</v>
      </c>
      <c r="U253" s="174" t="n">
        <v>0.5</v>
      </c>
      <c r="V253" s="174" t="n">
        <v>0.6</v>
      </c>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5"/>
      <c r="AZ253" s="175"/>
      <c r="BA253" s="175" t="n">
        <v>0</v>
      </c>
      <c r="BB253" s="174" t="n">
        <v>0</v>
      </c>
      <c r="BC253" s="174" t="n">
        <v>-0.07</v>
      </c>
      <c r="BD253" s="174" t="n">
        <v>0</v>
      </c>
      <c r="BE253" s="174" t="n">
        <v>0.43</v>
      </c>
      <c r="BF253" s="174" t="n">
        <v>0</v>
      </c>
      <c r="BG253" s="174" t="n">
        <v>-0.06</v>
      </c>
      <c r="BH253" s="174" t="n">
        <v>0</v>
      </c>
      <c r="BI253" s="174" t="n">
        <v>0</v>
      </c>
      <c r="BJ253" s="136" t="n">
        <v>0</v>
      </c>
      <c r="BK253" s="136" t="n">
        <v>0.43</v>
      </c>
      <c r="BL253" s="136" t="n">
        <v>0</v>
      </c>
      <c r="BM253" s="136" t="n">
        <v>0.05</v>
      </c>
      <c r="BN253" s="136" t="n">
        <v>0</v>
      </c>
      <c r="BO253" s="136" t="n">
        <v>0</v>
      </c>
      <c r="BP253" s="136" t="n">
        <v>0</v>
      </c>
      <c r="BQ253" s="136" t="n">
        <v>0.5</v>
      </c>
      <c r="BR253" s="136" t="n">
        <v>0</v>
      </c>
      <c r="BS253" s="136" t="n">
        <v>-0.07</v>
      </c>
      <c r="BT253" s="136" t="n">
        <v>0</v>
      </c>
      <c r="BU253" s="136" t="n">
        <v>0.3</v>
      </c>
      <c r="BV253" s="136" t="n">
        <v>0</v>
      </c>
      <c r="BW253" s="136" t="n">
        <v>0</v>
      </c>
      <c r="BX253" s="136" t="n">
        <v>0</v>
      </c>
      <c r="BY253" s="136" t="n">
        <v>0</v>
      </c>
      <c r="BZ253" s="136" t="n">
        <v>0</v>
      </c>
      <c r="CA253" s="136" t="n">
        <v>0.145</v>
      </c>
      <c r="CB253" s="136" t="n">
        <v>0.005</v>
      </c>
      <c r="CC253" s="136" t="n">
        <v>0</v>
      </c>
      <c r="CD253" s="136" t="n">
        <v>0</v>
      </c>
      <c r="CE253" s="136" t="n">
        <v>0</v>
      </c>
      <c r="CF253" s="136" t="n">
        <v>0</v>
      </c>
      <c r="CG253" s="136" t="n">
        <v>0</v>
      </c>
      <c r="CH253" s="136" t="n">
        <v>0</v>
      </c>
      <c r="CI253" s="136" t="n">
        <v>0</v>
      </c>
      <c r="CJ253" s="136" t="n">
        <v>0</v>
      </c>
      <c r="CK253" s="136" t="n">
        <v>0</v>
      </c>
      <c r="CL253" s="136" t="n">
        <v>0</v>
      </c>
      <c r="CM253" s="136" t="n">
        <v>0</v>
      </c>
      <c r="CN253" s="136" t="n">
        <v>0</v>
      </c>
      <c r="CO253" s="136" t="n">
        <v>0</v>
      </c>
      <c r="CP253" s="136" t="n">
        <v>0</v>
      </c>
      <c r="CQ253" s="136" t="n">
        <v>0</v>
      </c>
      <c r="CR253" s="136" t="n">
        <v>0</v>
      </c>
      <c r="CS253" s="136" t="n">
        <v>0.37</v>
      </c>
      <c r="CT253" s="136" t="n">
        <v>0.035</v>
      </c>
      <c r="CU253" s="136" t="n">
        <v>0.05</v>
      </c>
      <c r="CV253" s="136" t="n">
        <v>0</v>
      </c>
      <c r="CW253" s="136" t="n">
        <v>0.165</v>
      </c>
      <c r="CX253" s="136" t="n">
        <v>0.0075</v>
      </c>
      <c r="CY253" s="136" t="n">
        <v>-0.18</v>
      </c>
      <c r="CZ253" s="136" t="n">
        <v>0</v>
      </c>
      <c r="DA253" s="136" t="n">
        <v>0</v>
      </c>
      <c r="DB253" s="136" t="n">
        <v>0</v>
      </c>
      <c r="DC253" s="136" t="n">
        <v>0.85</v>
      </c>
      <c r="DE253" s="136" t="n">
        <v>-0.032</v>
      </c>
      <c r="DF253" s="136" t="n">
        <v>0.01</v>
      </c>
      <c r="DG253" s="136" t="n">
        <v>0.0275</v>
      </c>
      <c r="DH253" s="136" t="n">
        <v>0.01</v>
      </c>
      <c r="DI253" s="136" t="n">
        <v>0.0125</v>
      </c>
      <c r="DJ253" s="136" t="n">
        <v>0.0075</v>
      </c>
      <c r="DK253" s="136" t="n">
        <v>0</v>
      </c>
      <c r="DL253" s="136" t="n">
        <v>0</v>
      </c>
      <c r="DM253" s="136" t="n">
        <v>0</v>
      </c>
      <c r="DN253" s="136" t="n">
        <v>0</v>
      </c>
      <c r="DO253" s="136" t="n">
        <v>0</v>
      </c>
      <c r="DP253" s="136" t="n">
        <v>0</v>
      </c>
      <c r="DQ253" s="136" t="n">
        <v>0</v>
      </c>
      <c r="DR253" s="136" t="n">
        <v>0</v>
      </c>
      <c r="DS253" s="136" t="n">
        <v>0.335</v>
      </c>
      <c r="DT253" s="136" t="n">
        <v>0.005</v>
      </c>
    </row>
    <row r="254" customFormat="false" ht="12.75" hidden="false" customHeight="false" outlineLevel="0" collapsed="false">
      <c r="D254" s="135" t="n">
        <v>44378</v>
      </c>
      <c r="F254" s="174" t="n">
        <v>4.6745</v>
      </c>
      <c r="G254" s="175" t="n">
        <v>0.0665226950806894</v>
      </c>
      <c r="H254" s="174" t="n">
        <v>0.17</v>
      </c>
      <c r="I254" s="174" t="n">
        <v>0.5</v>
      </c>
      <c r="J254" s="174" t="n">
        <v>0.5</v>
      </c>
      <c r="K254" s="174" t="n">
        <v>0.4</v>
      </c>
      <c r="L254" s="174" t="n">
        <v>0.5</v>
      </c>
      <c r="M254" s="174" t="n">
        <v>0.5</v>
      </c>
      <c r="N254" s="174" t="n">
        <v>0.5</v>
      </c>
      <c r="O254" s="174" t="n">
        <v>0.5</v>
      </c>
      <c r="P254" s="174" t="n">
        <v>0.5</v>
      </c>
      <c r="Q254" s="174" t="n">
        <v>0.5</v>
      </c>
      <c r="R254" s="175" t="n">
        <v>0.5</v>
      </c>
      <c r="S254" s="175" t="n">
        <v>0.55</v>
      </c>
      <c r="T254" s="174" t="n">
        <v>0.5</v>
      </c>
      <c r="U254" s="174" t="n">
        <v>0.5</v>
      </c>
      <c r="V254" s="174" t="n">
        <v>0.6</v>
      </c>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c r="AS254" s="174"/>
      <c r="AT254" s="174"/>
      <c r="AU254" s="174"/>
      <c r="AV254" s="174"/>
      <c r="AW254" s="174"/>
      <c r="AX254" s="174"/>
      <c r="AY254" s="175"/>
      <c r="AZ254" s="175"/>
      <c r="BA254" s="175" t="n">
        <v>0</v>
      </c>
      <c r="BB254" s="174" t="n">
        <v>0</v>
      </c>
      <c r="BC254" s="174" t="n">
        <v>-0.07</v>
      </c>
      <c r="BD254" s="174" t="n">
        <v>0</v>
      </c>
      <c r="BE254" s="174" t="n">
        <v>0.43</v>
      </c>
      <c r="BF254" s="174" t="n">
        <v>0</v>
      </c>
      <c r="BG254" s="174" t="n">
        <v>-0.06</v>
      </c>
      <c r="BH254" s="174" t="n">
        <v>0</v>
      </c>
      <c r="BI254" s="174" t="n">
        <v>0</v>
      </c>
      <c r="BJ254" s="136" t="n">
        <v>0</v>
      </c>
      <c r="BK254" s="136" t="n">
        <v>0.43</v>
      </c>
      <c r="BL254" s="136" t="n">
        <v>0</v>
      </c>
      <c r="BM254" s="136" t="n">
        <v>0.05</v>
      </c>
      <c r="BN254" s="136" t="n">
        <v>0</v>
      </c>
      <c r="BO254" s="136" t="n">
        <v>0</v>
      </c>
      <c r="BP254" s="136" t="n">
        <v>0</v>
      </c>
      <c r="BQ254" s="136" t="n">
        <v>0.5</v>
      </c>
      <c r="BR254" s="136" t="n">
        <v>0</v>
      </c>
      <c r="BS254" s="136" t="n">
        <v>-0.07</v>
      </c>
      <c r="BT254" s="136" t="n">
        <v>0</v>
      </c>
      <c r="BU254" s="136" t="n">
        <v>0.3</v>
      </c>
      <c r="BV254" s="136" t="n">
        <v>0</v>
      </c>
      <c r="BW254" s="136" t="n">
        <v>0</v>
      </c>
      <c r="BX254" s="136" t="n">
        <v>0</v>
      </c>
      <c r="BY254" s="136" t="n">
        <v>0</v>
      </c>
      <c r="BZ254" s="136" t="n">
        <v>0</v>
      </c>
      <c r="CA254" s="136" t="n">
        <v>0.15</v>
      </c>
      <c r="CB254" s="136" t="n">
        <v>0.005</v>
      </c>
      <c r="CC254" s="136" t="n">
        <v>0</v>
      </c>
      <c r="CD254" s="136" t="n">
        <v>0</v>
      </c>
      <c r="CE254" s="136" t="n">
        <v>0</v>
      </c>
      <c r="CF254" s="136" t="n">
        <v>0</v>
      </c>
      <c r="CG254" s="136" t="n">
        <v>0</v>
      </c>
      <c r="CH254" s="136" t="n">
        <v>0</v>
      </c>
      <c r="CI254" s="136" t="n">
        <v>0</v>
      </c>
      <c r="CJ254" s="136" t="n">
        <v>0</v>
      </c>
      <c r="CK254" s="136" t="n">
        <v>0</v>
      </c>
      <c r="CL254" s="136" t="n">
        <v>0</v>
      </c>
      <c r="CM254" s="136" t="n">
        <v>0</v>
      </c>
      <c r="CN254" s="136" t="n">
        <v>0</v>
      </c>
      <c r="CO254" s="136" t="n">
        <v>0</v>
      </c>
      <c r="CP254" s="136" t="n">
        <v>0</v>
      </c>
      <c r="CQ254" s="136" t="n">
        <v>0</v>
      </c>
      <c r="CR254" s="136" t="n">
        <v>0</v>
      </c>
      <c r="CS254" s="136" t="n">
        <v>0.41</v>
      </c>
      <c r="CT254" s="136" t="n">
        <v>0.035</v>
      </c>
      <c r="CU254" s="136" t="n">
        <v>0.05</v>
      </c>
      <c r="CV254" s="136" t="n">
        <v>0</v>
      </c>
      <c r="CW254" s="136" t="n">
        <v>0.205</v>
      </c>
      <c r="CX254" s="136" t="n">
        <v>0.0075</v>
      </c>
      <c r="CY254" s="136" t="n">
        <v>-0.18</v>
      </c>
      <c r="CZ254" s="136" t="n">
        <v>0</v>
      </c>
      <c r="DA254" s="136" t="n">
        <v>0</v>
      </c>
      <c r="DB254" s="136" t="n">
        <v>0</v>
      </c>
      <c r="DC254" s="136" t="n">
        <v>1.05</v>
      </c>
      <c r="DE254" s="136" t="n">
        <v>-0.032</v>
      </c>
      <c r="DF254" s="136" t="n">
        <v>0.01</v>
      </c>
      <c r="DG254" s="136" t="n">
        <v>0.0275</v>
      </c>
      <c r="DH254" s="136" t="n">
        <v>0.01</v>
      </c>
      <c r="DI254" s="136" t="n">
        <v>0.0125</v>
      </c>
      <c r="DJ254" s="136" t="n">
        <v>0.0075</v>
      </c>
      <c r="DK254" s="136" t="n">
        <v>0</v>
      </c>
      <c r="DL254" s="136" t="n">
        <v>0</v>
      </c>
      <c r="DM254" s="136" t="n">
        <v>0</v>
      </c>
      <c r="DN254" s="136" t="n">
        <v>0</v>
      </c>
      <c r="DO254" s="136" t="n">
        <v>0</v>
      </c>
      <c r="DP254" s="136" t="n">
        <v>0</v>
      </c>
      <c r="DQ254" s="136" t="n">
        <v>0</v>
      </c>
      <c r="DR254" s="136" t="n">
        <v>0</v>
      </c>
      <c r="DS254" s="136" t="n">
        <v>0.35</v>
      </c>
      <c r="DT254" s="136" t="n">
        <v>0.005</v>
      </c>
    </row>
    <row r="255" customFormat="false" ht="12.75" hidden="false" customHeight="false" outlineLevel="0" collapsed="false">
      <c r="D255" s="135" t="n">
        <v>44409</v>
      </c>
      <c r="F255" s="174" t="n">
        <v>4.7145</v>
      </c>
      <c r="G255" s="175" t="n">
        <v>0.0665632392258901</v>
      </c>
      <c r="H255" s="174" t="n">
        <v>0.17</v>
      </c>
      <c r="I255" s="174" t="n">
        <v>0.55</v>
      </c>
      <c r="J255" s="174" t="n">
        <v>0.55</v>
      </c>
      <c r="K255" s="174" t="n">
        <v>0.5</v>
      </c>
      <c r="L255" s="174" t="n">
        <v>0.6</v>
      </c>
      <c r="M255" s="174" t="n">
        <v>0.55</v>
      </c>
      <c r="N255" s="174" t="n">
        <v>0.6</v>
      </c>
      <c r="O255" s="174" t="n">
        <v>0.55</v>
      </c>
      <c r="P255" s="174" t="n">
        <v>0.6</v>
      </c>
      <c r="Q255" s="174" t="n">
        <v>0.45</v>
      </c>
      <c r="R255" s="175" t="n">
        <v>0.55</v>
      </c>
      <c r="S255" s="175" t="n">
        <v>0.6</v>
      </c>
      <c r="T255" s="174" t="n">
        <v>0.55</v>
      </c>
      <c r="U255" s="174" t="n">
        <v>0.6</v>
      </c>
      <c r="V255" s="174" t="n">
        <v>0.7</v>
      </c>
      <c r="W255" s="174"/>
      <c r="X255" s="174"/>
      <c r="Y255" s="174"/>
      <c r="Z255" s="174"/>
      <c r="AA255" s="174"/>
      <c r="AB255" s="174"/>
      <c r="AC255" s="174"/>
      <c r="AD255" s="174"/>
      <c r="AE255" s="174"/>
      <c r="AF255" s="174"/>
      <c r="AG255" s="174"/>
      <c r="AH255" s="174"/>
      <c r="AI255" s="174"/>
      <c r="AJ255" s="174"/>
      <c r="AK255" s="174"/>
      <c r="AL255" s="174"/>
      <c r="AM255" s="174"/>
      <c r="AN255" s="174"/>
      <c r="AO255" s="174"/>
      <c r="AP255" s="174"/>
      <c r="AQ255" s="174"/>
      <c r="AR255" s="174"/>
      <c r="AS255" s="174"/>
      <c r="AT255" s="174"/>
      <c r="AU255" s="174"/>
      <c r="AV255" s="174"/>
      <c r="AW255" s="174"/>
      <c r="AX255" s="174"/>
      <c r="AY255" s="175"/>
      <c r="AZ255" s="175"/>
      <c r="BA255" s="175" t="n">
        <v>0</v>
      </c>
      <c r="BB255" s="174" t="n">
        <v>0</v>
      </c>
      <c r="BC255" s="174" t="n">
        <v>-0.07</v>
      </c>
      <c r="BD255" s="174" t="n">
        <v>0</v>
      </c>
      <c r="BE255" s="174" t="n">
        <v>0.43</v>
      </c>
      <c r="BF255" s="174" t="n">
        <v>0</v>
      </c>
      <c r="BG255" s="174" t="n">
        <v>-0.06</v>
      </c>
      <c r="BH255" s="174" t="n">
        <v>0</v>
      </c>
      <c r="BI255" s="174" t="n">
        <v>0</v>
      </c>
      <c r="BJ255" s="136" t="n">
        <v>0</v>
      </c>
      <c r="BK255" s="136" t="n">
        <v>0.43</v>
      </c>
      <c r="BL255" s="136" t="n">
        <v>0</v>
      </c>
      <c r="BM255" s="136" t="n">
        <v>0.05</v>
      </c>
      <c r="BN255" s="136" t="n">
        <v>0</v>
      </c>
      <c r="BO255" s="136" t="n">
        <v>0</v>
      </c>
      <c r="BP255" s="136" t="n">
        <v>0</v>
      </c>
      <c r="BQ255" s="136" t="n">
        <v>0.5</v>
      </c>
      <c r="BR255" s="136" t="n">
        <v>0</v>
      </c>
      <c r="BS255" s="136" t="n">
        <v>-0.07</v>
      </c>
      <c r="BT255" s="136" t="n">
        <v>0</v>
      </c>
      <c r="BU255" s="136" t="n">
        <v>0.3</v>
      </c>
      <c r="BV255" s="136" t="n">
        <v>0</v>
      </c>
      <c r="BW255" s="136" t="n">
        <v>0</v>
      </c>
      <c r="BX255" s="136" t="n">
        <v>0</v>
      </c>
      <c r="BY255" s="136" t="n">
        <v>0</v>
      </c>
      <c r="BZ255" s="136" t="n">
        <v>0</v>
      </c>
      <c r="CA255" s="136" t="n">
        <v>0.15</v>
      </c>
      <c r="CB255" s="136" t="n">
        <v>0.005</v>
      </c>
      <c r="CC255" s="136" t="n">
        <v>0</v>
      </c>
      <c r="CD255" s="136" t="n">
        <v>0</v>
      </c>
      <c r="CE255" s="136" t="n">
        <v>0</v>
      </c>
      <c r="CF255" s="136" t="n">
        <v>0</v>
      </c>
      <c r="CG255" s="136" t="n">
        <v>0</v>
      </c>
      <c r="CH255" s="136" t="n">
        <v>0</v>
      </c>
      <c r="CI255" s="136" t="n">
        <v>0</v>
      </c>
      <c r="CJ255" s="136" t="n">
        <v>0</v>
      </c>
      <c r="CK255" s="136" t="n">
        <v>0</v>
      </c>
      <c r="CL255" s="136" t="n">
        <v>0</v>
      </c>
      <c r="CM255" s="136" t="n">
        <v>0</v>
      </c>
      <c r="CN255" s="136" t="n">
        <v>0</v>
      </c>
      <c r="CO255" s="136" t="n">
        <v>0</v>
      </c>
      <c r="CP255" s="136" t="n">
        <v>0</v>
      </c>
      <c r="CQ255" s="136" t="n">
        <v>0</v>
      </c>
      <c r="CR255" s="136" t="n">
        <v>0</v>
      </c>
      <c r="CS255" s="136" t="n">
        <v>0.41</v>
      </c>
      <c r="CT255" s="136" t="n">
        <v>0.01</v>
      </c>
      <c r="CU255" s="136" t="n">
        <v>0.05</v>
      </c>
      <c r="CV255" s="136" t="n">
        <v>0</v>
      </c>
      <c r="CW255" s="136" t="n">
        <v>0.205</v>
      </c>
      <c r="CX255" s="136" t="n">
        <v>0.0075</v>
      </c>
      <c r="CY255" s="136" t="n">
        <v>-0.18</v>
      </c>
      <c r="CZ255" s="136" t="n">
        <v>0</v>
      </c>
      <c r="DA255" s="136" t="n">
        <v>0</v>
      </c>
      <c r="DB255" s="136" t="n">
        <v>0</v>
      </c>
      <c r="DC255" s="136" t="n">
        <v>1.05</v>
      </c>
      <c r="DE255" s="136" t="n">
        <v>-0.032</v>
      </c>
      <c r="DF255" s="136" t="n">
        <v>0.01</v>
      </c>
      <c r="DG255" s="136" t="n">
        <v>0.0225</v>
      </c>
      <c r="DH255" s="136" t="n">
        <v>0.01</v>
      </c>
      <c r="DI255" s="136" t="n">
        <v>0.0075</v>
      </c>
      <c r="DJ255" s="136" t="n">
        <v>0.0075</v>
      </c>
      <c r="DK255" s="136" t="n">
        <v>0</v>
      </c>
      <c r="DL255" s="136" t="n">
        <v>0</v>
      </c>
      <c r="DM255" s="136" t="n">
        <v>0</v>
      </c>
      <c r="DN255" s="136" t="n">
        <v>0</v>
      </c>
      <c r="DO255" s="136" t="n">
        <v>0</v>
      </c>
      <c r="DP255" s="136" t="n">
        <v>0</v>
      </c>
      <c r="DQ255" s="136" t="n">
        <v>0</v>
      </c>
      <c r="DR255" s="136" t="n">
        <v>0</v>
      </c>
      <c r="DS255" s="136" t="n">
        <v>0.35</v>
      </c>
      <c r="DT255" s="136" t="n">
        <v>-0.005</v>
      </c>
    </row>
    <row r="256" customFormat="false" ht="12.75" hidden="false" customHeight="false" outlineLevel="0" collapsed="false">
      <c r="D256" s="135" t="n">
        <v>44440</v>
      </c>
      <c r="F256" s="174" t="n">
        <v>4.7095</v>
      </c>
      <c r="G256" s="175" t="n">
        <v>0.0666037833716353</v>
      </c>
      <c r="H256" s="174" t="n">
        <v>0.17</v>
      </c>
      <c r="I256" s="174" t="n">
        <v>0.55</v>
      </c>
      <c r="J256" s="174" t="n">
        <v>0.55</v>
      </c>
      <c r="K256" s="174" t="n">
        <v>0.55</v>
      </c>
      <c r="L256" s="174" t="n">
        <v>0.55</v>
      </c>
      <c r="M256" s="174" t="n">
        <v>0.55</v>
      </c>
      <c r="N256" s="174" t="n">
        <v>0.6</v>
      </c>
      <c r="O256" s="174" t="n">
        <v>0.6</v>
      </c>
      <c r="P256" s="174" t="n">
        <v>0.55</v>
      </c>
      <c r="Q256" s="174" t="n">
        <v>0.5</v>
      </c>
      <c r="R256" s="175" t="n">
        <v>0.55</v>
      </c>
      <c r="S256" s="175" t="n">
        <v>0.6</v>
      </c>
      <c r="T256" s="174" t="n">
        <v>0.55</v>
      </c>
      <c r="U256" s="174" t="n">
        <v>0.6</v>
      </c>
      <c r="V256" s="174" t="n">
        <v>0.65</v>
      </c>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c r="AS256" s="174"/>
      <c r="AT256" s="174"/>
      <c r="AU256" s="174"/>
      <c r="AV256" s="174"/>
      <c r="AW256" s="174"/>
      <c r="AX256" s="174"/>
      <c r="AY256" s="175"/>
      <c r="AZ256" s="175"/>
      <c r="BA256" s="175" t="n">
        <v>0</v>
      </c>
      <c r="BB256" s="174" t="n">
        <v>0</v>
      </c>
      <c r="BC256" s="174" t="n">
        <v>-0.07</v>
      </c>
      <c r="BD256" s="174" t="n">
        <v>0</v>
      </c>
      <c r="BE256" s="174" t="n">
        <v>0.43</v>
      </c>
      <c r="BF256" s="174" t="n">
        <v>0</v>
      </c>
      <c r="BG256" s="174" t="n">
        <v>-0.06</v>
      </c>
      <c r="BH256" s="174" t="n">
        <v>0</v>
      </c>
      <c r="BI256" s="174" t="n">
        <v>0</v>
      </c>
      <c r="BJ256" s="136" t="n">
        <v>0</v>
      </c>
      <c r="BK256" s="136" t="n">
        <v>0.43</v>
      </c>
      <c r="BL256" s="136" t="n">
        <v>0</v>
      </c>
      <c r="BM256" s="136" t="n">
        <v>0.05</v>
      </c>
      <c r="BN256" s="136" t="n">
        <v>0</v>
      </c>
      <c r="BO256" s="136" t="n">
        <v>0</v>
      </c>
      <c r="BP256" s="136" t="n">
        <v>0</v>
      </c>
      <c r="BQ256" s="136" t="n">
        <v>0.5</v>
      </c>
      <c r="BR256" s="136" t="n">
        <v>0</v>
      </c>
      <c r="BS256" s="136" t="n">
        <v>-0.07</v>
      </c>
      <c r="BT256" s="136" t="n">
        <v>0</v>
      </c>
      <c r="BU256" s="136" t="n">
        <v>0.3</v>
      </c>
      <c r="BV256" s="136" t="n">
        <v>0</v>
      </c>
      <c r="BW256" s="136" t="n">
        <v>0</v>
      </c>
      <c r="BX256" s="136" t="n">
        <v>0</v>
      </c>
      <c r="BY256" s="136" t="n">
        <v>0</v>
      </c>
      <c r="BZ256" s="136" t="n">
        <v>0</v>
      </c>
      <c r="CA256" s="136" t="n">
        <v>0.125</v>
      </c>
      <c r="CB256" s="136" t="n">
        <v>0.005</v>
      </c>
      <c r="CC256" s="136" t="n">
        <v>0</v>
      </c>
      <c r="CD256" s="136" t="n">
        <v>0</v>
      </c>
      <c r="CE256" s="136" t="n">
        <v>0</v>
      </c>
      <c r="CF256" s="136" t="n">
        <v>0</v>
      </c>
      <c r="CG256" s="136" t="n">
        <v>0</v>
      </c>
      <c r="CH256" s="136" t="n">
        <v>0</v>
      </c>
      <c r="CI256" s="136" t="n">
        <v>0</v>
      </c>
      <c r="CJ256" s="136" t="n">
        <v>0</v>
      </c>
      <c r="CK256" s="136" t="n">
        <v>0</v>
      </c>
      <c r="CL256" s="136" t="n">
        <v>0</v>
      </c>
      <c r="CM256" s="136" t="n">
        <v>0</v>
      </c>
      <c r="CN256" s="136" t="n">
        <v>0</v>
      </c>
      <c r="CO256" s="136" t="n">
        <v>0</v>
      </c>
      <c r="CP256" s="136" t="n">
        <v>0</v>
      </c>
      <c r="CQ256" s="136" t="n">
        <v>0</v>
      </c>
      <c r="CR256" s="136" t="n">
        <v>0</v>
      </c>
      <c r="CS256" s="136" t="n">
        <v>0.36</v>
      </c>
      <c r="CT256" s="136" t="n">
        <v>0.01</v>
      </c>
      <c r="CU256" s="136" t="n">
        <v>0.05</v>
      </c>
      <c r="CV256" s="136" t="n">
        <v>0</v>
      </c>
      <c r="CW256" s="136" t="n">
        <v>0.145</v>
      </c>
      <c r="CX256" s="136" t="n">
        <v>0.0075</v>
      </c>
      <c r="CY256" s="136" t="n">
        <v>-0.18</v>
      </c>
      <c r="CZ256" s="136" t="n">
        <v>0</v>
      </c>
      <c r="DA256" s="136" t="n">
        <v>0</v>
      </c>
      <c r="DB256" s="136" t="n">
        <v>0</v>
      </c>
      <c r="DC256" s="136" t="n">
        <v>0.75</v>
      </c>
      <c r="DE256" s="136" t="n">
        <v>-0.037</v>
      </c>
      <c r="DF256" s="136" t="n">
        <v>0.01</v>
      </c>
      <c r="DG256" s="136" t="n">
        <v>0.0225</v>
      </c>
      <c r="DH256" s="136" t="n">
        <v>0.01</v>
      </c>
      <c r="DI256" s="136" t="n">
        <v>0.0075</v>
      </c>
      <c r="DJ256" s="136" t="n">
        <v>0.0075</v>
      </c>
      <c r="DK256" s="136" t="n">
        <v>0</v>
      </c>
      <c r="DL256" s="136" t="n">
        <v>0</v>
      </c>
      <c r="DM256" s="136" t="n">
        <v>0</v>
      </c>
      <c r="DN256" s="136" t="n">
        <v>0</v>
      </c>
      <c r="DO256" s="136" t="n">
        <v>0</v>
      </c>
      <c r="DP256" s="136" t="n">
        <v>0</v>
      </c>
      <c r="DQ256" s="136" t="n">
        <v>0</v>
      </c>
      <c r="DR256" s="136" t="n">
        <v>0</v>
      </c>
      <c r="DS256" s="136" t="n">
        <v>0.315</v>
      </c>
      <c r="DT256" s="136" t="n">
        <v>-0.005</v>
      </c>
    </row>
    <row r="257" customFormat="false" ht="12.75" hidden="false" customHeight="false" outlineLevel="0" collapsed="false">
      <c r="D257" s="135" t="n">
        <v>44470</v>
      </c>
      <c r="F257" s="174" t="n">
        <v>4.7345</v>
      </c>
      <c r="G257" s="175" t="n">
        <v>0.0666430196422292</v>
      </c>
      <c r="H257" s="174" t="n">
        <v>0.17</v>
      </c>
      <c r="I257" s="174" t="n">
        <v>0.6</v>
      </c>
      <c r="J257" s="174" t="n">
        <v>0.6</v>
      </c>
      <c r="K257" s="174" t="n">
        <v>0.55</v>
      </c>
      <c r="L257" s="174" t="n">
        <v>0.6</v>
      </c>
      <c r="M257" s="174" t="n">
        <v>0.6</v>
      </c>
      <c r="N257" s="174" t="n">
        <v>0.65</v>
      </c>
      <c r="O257" s="174" t="n">
        <v>0.65</v>
      </c>
      <c r="P257" s="174" t="n">
        <v>0.6</v>
      </c>
      <c r="Q257" s="174" t="n">
        <v>0.5</v>
      </c>
      <c r="R257" s="175" t="n">
        <v>0.6</v>
      </c>
      <c r="S257" s="175" t="n">
        <v>0.65</v>
      </c>
      <c r="T257" s="174" t="n">
        <v>0.6</v>
      </c>
      <c r="U257" s="174" t="n">
        <v>0.65</v>
      </c>
      <c r="V257" s="174" t="n">
        <v>0.7</v>
      </c>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c r="AS257" s="174"/>
      <c r="AT257" s="174"/>
      <c r="AU257" s="174"/>
      <c r="AV257" s="174"/>
      <c r="AW257" s="174"/>
      <c r="AX257" s="174"/>
      <c r="AY257" s="175"/>
      <c r="AZ257" s="175"/>
      <c r="BA257" s="175" t="n">
        <v>0</v>
      </c>
      <c r="BB257" s="174" t="n">
        <v>0</v>
      </c>
      <c r="BC257" s="174" t="n">
        <v>-0.07</v>
      </c>
      <c r="BD257" s="174" t="n">
        <v>0</v>
      </c>
      <c r="BE257" s="174" t="n">
        <v>0.43</v>
      </c>
      <c r="BF257" s="174" t="n">
        <v>0</v>
      </c>
      <c r="BG257" s="174" t="n">
        <v>-0.06</v>
      </c>
      <c r="BH257" s="174" t="n">
        <v>0</v>
      </c>
      <c r="BI257" s="174" t="n">
        <v>0</v>
      </c>
      <c r="BJ257" s="136" t="n">
        <v>0</v>
      </c>
      <c r="BK257" s="136" t="n">
        <v>0.43</v>
      </c>
      <c r="BL257" s="136" t="n">
        <v>0</v>
      </c>
      <c r="BM257" s="136" t="n">
        <v>0.05</v>
      </c>
      <c r="BN257" s="136" t="n">
        <v>0</v>
      </c>
      <c r="BO257" s="136" t="n">
        <v>0</v>
      </c>
      <c r="BP257" s="136" t="n">
        <v>0</v>
      </c>
      <c r="BQ257" s="136" t="n">
        <v>0.5</v>
      </c>
      <c r="BR257" s="136" t="n">
        <v>0</v>
      </c>
      <c r="BS257" s="136" t="n">
        <v>-0.07</v>
      </c>
      <c r="BT257" s="136" t="n">
        <v>0</v>
      </c>
      <c r="BU257" s="136" t="n">
        <v>0.3</v>
      </c>
      <c r="BV257" s="136" t="n">
        <v>0</v>
      </c>
      <c r="BW257" s="136" t="n">
        <v>0</v>
      </c>
      <c r="BX257" s="136" t="n">
        <v>0</v>
      </c>
      <c r="BY257" s="136" t="n">
        <v>0</v>
      </c>
      <c r="BZ257" s="136" t="n">
        <v>0</v>
      </c>
      <c r="CA257" s="136" t="n">
        <v>0.145</v>
      </c>
      <c r="CB257" s="136" t="n">
        <v>0.005</v>
      </c>
      <c r="CC257" s="136" t="n">
        <v>0</v>
      </c>
      <c r="CD257" s="136" t="n">
        <v>0</v>
      </c>
      <c r="CE257" s="136" t="n">
        <v>0</v>
      </c>
      <c r="CF257" s="136" t="n">
        <v>0</v>
      </c>
      <c r="CG257" s="136" t="n">
        <v>0</v>
      </c>
      <c r="CH257" s="136" t="n">
        <v>0</v>
      </c>
      <c r="CI257" s="136" t="n">
        <v>0</v>
      </c>
      <c r="CJ257" s="136" t="n">
        <v>0</v>
      </c>
      <c r="CK257" s="136" t="n">
        <v>0</v>
      </c>
      <c r="CL257" s="136" t="n">
        <v>0</v>
      </c>
      <c r="CM257" s="136" t="n">
        <v>0</v>
      </c>
      <c r="CN257" s="136" t="n">
        <v>0</v>
      </c>
      <c r="CO257" s="136" t="n">
        <v>0</v>
      </c>
      <c r="CP257" s="136" t="n">
        <v>0</v>
      </c>
      <c r="CQ257" s="136" t="n">
        <v>0</v>
      </c>
      <c r="CR257" s="136" t="n">
        <v>0</v>
      </c>
      <c r="CS257" s="136" t="n">
        <v>0.4</v>
      </c>
      <c r="CT257" s="136" t="n">
        <v>0.01</v>
      </c>
      <c r="CU257" s="136" t="n">
        <v>0.05</v>
      </c>
      <c r="CV257" s="136" t="n">
        <v>0</v>
      </c>
      <c r="CW257" s="136" t="n">
        <v>0.175</v>
      </c>
      <c r="CX257" s="136" t="n">
        <v>0.0075</v>
      </c>
      <c r="CY257" s="136" t="n">
        <v>-0.18</v>
      </c>
      <c r="CZ257" s="136" t="n">
        <v>0</v>
      </c>
      <c r="DA257" s="136" t="n">
        <v>0</v>
      </c>
      <c r="DB257" s="136" t="n">
        <v>0</v>
      </c>
      <c r="DC257" s="136" t="n">
        <v>0.45</v>
      </c>
      <c r="DE257" s="136" t="n">
        <v>-0.037</v>
      </c>
      <c r="DF257" s="136" t="n">
        <v>0.01</v>
      </c>
      <c r="DG257" s="136" t="n">
        <v>0.02</v>
      </c>
      <c r="DH257" s="136" t="n">
        <v>0.01</v>
      </c>
      <c r="DI257" s="136" t="n">
        <v>0.005</v>
      </c>
      <c r="DJ257" s="136" t="n">
        <v>0.0075</v>
      </c>
      <c r="DK257" s="136" t="n">
        <v>0</v>
      </c>
      <c r="DL257" s="136" t="n">
        <v>0</v>
      </c>
      <c r="DM257" s="136" t="n">
        <v>0</v>
      </c>
      <c r="DN257" s="136" t="n">
        <v>0</v>
      </c>
      <c r="DO257" s="136" t="n">
        <v>0</v>
      </c>
      <c r="DP257" s="136" t="n">
        <v>0</v>
      </c>
      <c r="DQ257" s="136" t="n">
        <v>0</v>
      </c>
      <c r="DR257" s="136" t="n">
        <v>0</v>
      </c>
      <c r="DS257" s="136" t="n">
        <v>0.36</v>
      </c>
      <c r="DT257" s="136" t="n">
        <v>-0.005</v>
      </c>
    </row>
    <row r="258" customFormat="false" ht="12.75" hidden="false" customHeight="false" outlineLevel="0" collapsed="false">
      <c r="D258" s="135" t="n">
        <v>44501</v>
      </c>
      <c r="F258" s="174" t="n">
        <v>4.8865</v>
      </c>
      <c r="G258" s="175" t="n">
        <v>0.0666835637890455</v>
      </c>
      <c r="H258" s="174" t="n">
        <v>0.17</v>
      </c>
      <c r="I258" s="174" t="n">
        <v>0.8</v>
      </c>
      <c r="J258" s="174" t="n">
        <v>0.85</v>
      </c>
      <c r="K258" s="174" t="n">
        <v>0.8</v>
      </c>
      <c r="L258" s="174" t="n">
        <v>0.8</v>
      </c>
      <c r="M258" s="174" t="n">
        <v>0.9</v>
      </c>
      <c r="N258" s="174" t="n">
        <v>0.95</v>
      </c>
      <c r="O258" s="174" t="n">
        <v>0.85</v>
      </c>
      <c r="P258" s="174" t="n">
        <v>0.8</v>
      </c>
      <c r="Q258" s="174" t="n">
        <v>0.95</v>
      </c>
      <c r="R258" s="175" t="n">
        <v>0.8</v>
      </c>
      <c r="S258" s="175" t="n">
        <v>0.8</v>
      </c>
      <c r="T258" s="174" t="n">
        <v>0.8</v>
      </c>
      <c r="U258" s="174" t="n">
        <v>0.95</v>
      </c>
      <c r="V258" s="174" t="n">
        <v>0.9</v>
      </c>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c r="AS258" s="174"/>
      <c r="AT258" s="174"/>
      <c r="AU258" s="174"/>
      <c r="AV258" s="174"/>
      <c r="AW258" s="174"/>
      <c r="AX258" s="174"/>
      <c r="AY258" s="175"/>
      <c r="AZ258" s="175"/>
      <c r="BA258" s="175" t="n">
        <v>0</v>
      </c>
      <c r="BB258" s="174" t="n">
        <v>0</v>
      </c>
      <c r="BC258" s="174" t="n">
        <v>-0.07</v>
      </c>
      <c r="BD258" s="174" t="n">
        <v>0</v>
      </c>
      <c r="BE258" s="174" t="n">
        <v>0</v>
      </c>
      <c r="BF258" s="174" t="n">
        <v>0</v>
      </c>
      <c r="BG258" s="174" t="n">
        <v>-0.06</v>
      </c>
      <c r="BH258" s="174" t="n">
        <v>0</v>
      </c>
      <c r="BI258" s="174" t="n">
        <v>0</v>
      </c>
      <c r="BJ258" s="136" t="n">
        <v>0</v>
      </c>
      <c r="BK258" s="136" t="n">
        <v>0</v>
      </c>
      <c r="BL258" s="136" t="n">
        <v>0</v>
      </c>
      <c r="BM258" s="136" t="n">
        <v>0.05</v>
      </c>
      <c r="BN258" s="136" t="n">
        <v>0</v>
      </c>
      <c r="BO258" s="136" t="n">
        <v>0</v>
      </c>
      <c r="BP258" s="136" t="n">
        <v>0</v>
      </c>
      <c r="BQ258" s="136" t="n">
        <v>0</v>
      </c>
      <c r="BR258" s="136" t="n">
        <v>0</v>
      </c>
      <c r="BS258" s="136" t="n">
        <v>-0.07</v>
      </c>
      <c r="BT258" s="136" t="n">
        <v>0</v>
      </c>
      <c r="BU258" s="136" t="n">
        <v>-0.2</v>
      </c>
      <c r="BV258" s="136" t="n">
        <v>0</v>
      </c>
      <c r="BW258" s="136" t="n">
        <v>0</v>
      </c>
      <c r="BX258" s="136" t="n">
        <v>0</v>
      </c>
      <c r="BY258" s="136" t="n">
        <v>0</v>
      </c>
      <c r="BZ258" s="136" t="n">
        <v>0</v>
      </c>
      <c r="CA258" s="136" t="n">
        <v>0.195</v>
      </c>
      <c r="CB258" s="136" t="n">
        <v>0.005</v>
      </c>
      <c r="CC258" s="136" t="n">
        <v>0</v>
      </c>
      <c r="CD258" s="136" t="n">
        <v>0</v>
      </c>
      <c r="CE258" s="136" t="n">
        <v>0</v>
      </c>
      <c r="CF258" s="136" t="n">
        <v>0</v>
      </c>
      <c r="CG258" s="136" t="n">
        <v>0</v>
      </c>
      <c r="CH258" s="136" t="n">
        <v>0</v>
      </c>
      <c r="CI258" s="136" t="n">
        <v>0</v>
      </c>
      <c r="CJ258" s="136" t="n">
        <v>0</v>
      </c>
      <c r="CK258" s="136" t="n">
        <v>0</v>
      </c>
      <c r="CL258" s="136" t="n">
        <v>0</v>
      </c>
      <c r="CM258" s="136" t="n">
        <v>0</v>
      </c>
      <c r="CN258" s="136" t="n">
        <v>0</v>
      </c>
      <c r="CO258" s="136" t="n">
        <v>0</v>
      </c>
      <c r="CP258" s="136" t="n">
        <v>0</v>
      </c>
      <c r="CQ258" s="136" t="n">
        <v>0</v>
      </c>
      <c r="CR258" s="136" t="n">
        <v>0</v>
      </c>
      <c r="CS258" s="136" t="n">
        <v>0.65</v>
      </c>
      <c r="CT258" s="136" t="n">
        <v>0.055</v>
      </c>
      <c r="CU258" s="136" t="n">
        <v>0.05</v>
      </c>
      <c r="CV258" s="136" t="n">
        <v>0</v>
      </c>
      <c r="CW258" s="136" t="n">
        <v>0.21</v>
      </c>
      <c r="CX258" s="136" t="n">
        <v>0.02</v>
      </c>
      <c r="CY258" s="136" t="n">
        <v>-0.18</v>
      </c>
      <c r="CZ258" s="136" t="n">
        <v>0</v>
      </c>
      <c r="DA258" s="136" t="n">
        <v>0</v>
      </c>
      <c r="DB258" s="136" t="n">
        <v>0</v>
      </c>
      <c r="DC258" s="136" t="n">
        <v>0.45</v>
      </c>
      <c r="DE258" s="136" t="n">
        <v>-0.0255</v>
      </c>
      <c r="DF258" s="136" t="n">
        <v>0.0125</v>
      </c>
      <c r="DG258" s="136" t="n">
        <v>0.021</v>
      </c>
      <c r="DH258" s="136" t="n">
        <v>0.0075</v>
      </c>
      <c r="DI258" s="136" t="n">
        <v>0.006</v>
      </c>
      <c r="DJ258" s="136" t="n">
        <v>0.0025</v>
      </c>
      <c r="DK258" s="136" t="n">
        <v>0</v>
      </c>
      <c r="DL258" s="136" t="n">
        <v>0</v>
      </c>
      <c r="DM258" s="136" t="n">
        <v>0</v>
      </c>
      <c r="DN258" s="136" t="n">
        <v>0</v>
      </c>
      <c r="DO258" s="136" t="n">
        <v>0</v>
      </c>
      <c r="DP258" s="136" t="n">
        <v>0</v>
      </c>
      <c r="DQ258" s="136" t="n">
        <v>0</v>
      </c>
      <c r="DR258" s="136" t="n">
        <v>0</v>
      </c>
      <c r="DS258" s="136" t="n">
        <v>0.46</v>
      </c>
      <c r="DT258" s="136" t="n">
        <v>0.05</v>
      </c>
    </row>
    <row r="259" customFormat="false" ht="12.75" hidden="false" customHeight="false" outlineLevel="0" collapsed="false">
      <c r="D259" s="135" t="n">
        <v>44531</v>
      </c>
      <c r="F259" s="174" t="n">
        <v>5.0295</v>
      </c>
      <c r="G259" s="175" t="n">
        <v>0.0667228000606768</v>
      </c>
      <c r="H259" s="174" t="n">
        <v>0.17</v>
      </c>
      <c r="I259" s="174" t="n">
        <v>1</v>
      </c>
      <c r="J259" s="174" t="n">
        <v>1.05</v>
      </c>
      <c r="K259" s="174" t="n">
        <v>1</v>
      </c>
      <c r="L259" s="174" t="n">
        <v>1</v>
      </c>
      <c r="M259" s="174" t="n">
        <v>1.15</v>
      </c>
      <c r="N259" s="174" t="n">
        <v>1.25</v>
      </c>
      <c r="O259" s="174" t="n">
        <v>1.05</v>
      </c>
      <c r="P259" s="174" t="n">
        <v>1</v>
      </c>
      <c r="Q259" s="174" t="n">
        <v>1.35</v>
      </c>
      <c r="R259" s="175" t="n">
        <v>1</v>
      </c>
      <c r="S259" s="175" t="n">
        <v>1.1</v>
      </c>
      <c r="T259" s="174" t="n">
        <v>1</v>
      </c>
      <c r="U259" s="174" t="n">
        <v>1.25</v>
      </c>
      <c r="V259" s="174" t="n">
        <v>1.1</v>
      </c>
      <c r="W259" s="174"/>
      <c r="X259" s="174"/>
      <c r="Y259" s="174"/>
      <c r="Z259" s="174"/>
      <c r="AA259" s="174"/>
      <c r="AB259" s="174"/>
      <c r="AC259" s="174"/>
      <c r="AD259" s="174"/>
      <c r="AE259" s="174"/>
      <c r="AF259" s="174"/>
      <c r="AG259" s="174"/>
      <c r="AH259" s="174"/>
      <c r="AI259" s="174"/>
      <c r="AJ259" s="174"/>
      <c r="AK259" s="174"/>
      <c r="AL259" s="174"/>
      <c r="AM259" s="174"/>
      <c r="AN259" s="174"/>
      <c r="AO259" s="174"/>
      <c r="AP259" s="174"/>
      <c r="AQ259" s="174"/>
      <c r="AR259" s="174"/>
      <c r="AS259" s="174"/>
      <c r="AT259" s="174"/>
      <c r="AU259" s="174"/>
      <c r="AV259" s="174"/>
      <c r="AW259" s="174"/>
      <c r="AX259" s="174"/>
      <c r="AY259" s="175"/>
      <c r="AZ259" s="175"/>
      <c r="BA259" s="175" t="n">
        <v>0</v>
      </c>
      <c r="BB259" s="174" t="n">
        <v>0</v>
      </c>
      <c r="BC259" s="174" t="n">
        <v>-0.07</v>
      </c>
      <c r="BD259" s="174" t="n">
        <v>0</v>
      </c>
      <c r="BE259" s="174" t="n">
        <v>0</v>
      </c>
      <c r="BF259" s="174" t="n">
        <v>0</v>
      </c>
      <c r="BG259" s="174" t="n">
        <v>-0.06</v>
      </c>
      <c r="BH259" s="174" t="n">
        <v>0</v>
      </c>
      <c r="BI259" s="174" t="n">
        <v>0</v>
      </c>
      <c r="BJ259" s="136" t="n">
        <v>0</v>
      </c>
      <c r="BK259" s="136" t="n">
        <v>0</v>
      </c>
      <c r="BL259" s="136" t="n">
        <v>0</v>
      </c>
      <c r="BM259" s="136" t="n">
        <v>0.05</v>
      </c>
      <c r="BN259" s="136" t="n">
        <v>0</v>
      </c>
      <c r="BO259" s="136" t="n">
        <v>0</v>
      </c>
      <c r="BP259" s="136" t="n">
        <v>0</v>
      </c>
      <c r="BQ259" s="136" t="n">
        <v>0</v>
      </c>
      <c r="BR259" s="136" t="n">
        <v>0</v>
      </c>
      <c r="BS259" s="136" t="n">
        <v>-0.07</v>
      </c>
      <c r="BT259" s="136" t="n">
        <v>0</v>
      </c>
      <c r="BU259" s="136" t="n">
        <v>-0.2</v>
      </c>
      <c r="BV259" s="136" t="n">
        <v>0</v>
      </c>
      <c r="BW259" s="136" t="n">
        <v>0</v>
      </c>
      <c r="BX259" s="136" t="n">
        <v>0</v>
      </c>
      <c r="BY259" s="136" t="n">
        <v>0</v>
      </c>
      <c r="BZ259" s="136" t="n">
        <v>0</v>
      </c>
      <c r="CA259" s="136" t="n">
        <v>0.215</v>
      </c>
      <c r="CB259" s="136" t="n">
        <v>0.005</v>
      </c>
      <c r="CC259" s="136" t="n">
        <v>0</v>
      </c>
      <c r="CD259" s="136" t="n">
        <v>0</v>
      </c>
      <c r="CE259" s="136" t="n">
        <v>0</v>
      </c>
      <c r="CF259" s="136" t="n">
        <v>0</v>
      </c>
      <c r="CG259" s="136" t="n">
        <v>0</v>
      </c>
      <c r="CH259" s="136" t="n">
        <v>0</v>
      </c>
      <c r="CI259" s="136" t="n">
        <v>0</v>
      </c>
      <c r="CJ259" s="136" t="n">
        <v>0</v>
      </c>
      <c r="CK259" s="136" t="n">
        <v>0</v>
      </c>
      <c r="CL259" s="136" t="n">
        <v>0</v>
      </c>
      <c r="CM259" s="136" t="n">
        <v>0</v>
      </c>
      <c r="CN259" s="136" t="n">
        <v>0</v>
      </c>
      <c r="CO259" s="136" t="n">
        <v>0</v>
      </c>
      <c r="CP259" s="136" t="n">
        <v>0</v>
      </c>
      <c r="CQ259" s="136" t="n">
        <v>0</v>
      </c>
      <c r="CR259" s="136" t="n">
        <v>0</v>
      </c>
      <c r="CS259" s="136" t="n">
        <v>0.98</v>
      </c>
      <c r="CT259" s="136" t="n">
        <v>0.25</v>
      </c>
      <c r="CU259" s="136" t="n">
        <v>0.05</v>
      </c>
      <c r="CV259" s="136" t="n">
        <v>0</v>
      </c>
      <c r="CW259" s="136" t="n">
        <v>0.29</v>
      </c>
      <c r="CX259" s="136" t="n">
        <v>0.02</v>
      </c>
      <c r="CY259" s="136" t="n">
        <v>-0.18</v>
      </c>
      <c r="CZ259" s="136" t="n">
        <v>0</v>
      </c>
      <c r="DA259" s="136" t="n">
        <v>0</v>
      </c>
      <c r="DB259" s="136" t="n">
        <v>0</v>
      </c>
      <c r="DC259" s="136" t="n">
        <v>0.4</v>
      </c>
      <c r="DE259" s="136" t="n">
        <v>-0.0255</v>
      </c>
      <c r="DF259" s="136" t="n">
        <v>0.0125</v>
      </c>
      <c r="DG259" s="136" t="n">
        <v>0.021</v>
      </c>
      <c r="DH259" s="136" t="n">
        <v>0.0075</v>
      </c>
      <c r="DI259" s="136" t="n">
        <v>0.006</v>
      </c>
      <c r="DJ259" s="136" t="n">
        <v>0.0025</v>
      </c>
      <c r="DK259" s="136" t="n">
        <v>0</v>
      </c>
      <c r="DL259" s="136" t="n">
        <v>0</v>
      </c>
      <c r="DM259" s="136" t="n">
        <v>0</v>
      </c>
      <c r="DN259" s="136" t="n">
        <v>0</v>
      </c>
      <c r="DO259" s="136" t="n">
        <v>0</v>
      </c>
      <c r="DP259" s="136" t="n">
        <v>0</v>
      </c>
      <c r="DQ259" s="136" t="n">
        <v>0</v>
      </c>
      <c r="DR259" s="136" t="n">
        <v>0</v>
      </c>
      <c r="DS259" s="136" t="n">
        <v>0.77</v>
      </c>
      <c r="DT259" s="136" t="n">
        <v>0.05</v>
      </c>
    </row>
    <row r="260" customFormat="false" ht="12.75" hidden="false" customHeight="false" outlineLevel="0" collapsed="false">
      <c r="D260" s="135" t="n">
        <v>44562</v>
      </c>
      <c r="F260" s="174" t="n">
        <v>5.0895</v>
      </c>
      <c r="G260" s="175" t="n">
        <v>0.0667424456914376</v>
      </c>
      <c r="H260" s="174" t="n">
        <v>0.17</v>
      </c>
      <c r="I260" s="174" t="n">
        <v>0</v>
      </c>
      <c r="J260" s="174" t="n">
        <v>1.05</v>
      </c>
      <c r="K260" s="174" t="n">
        <v>1</v>
      </c>
      <c r="L260" s="174" t="n">
        <v>1</v>
      </c>
      <c r="M260" s="174" t="n">
        <v>1.15</v>
      </c>
      <c r="N260" s="174" t="n">
        <v>1.45</v>
      </c>
      <c r="O260" s="174" t="n">
        <v>1.05</v>
      </c>
      <c r="P260" s="174" t="n">
        <v>1</v>
      </c>
      <c r="Q260" s="174" t="n">
        <v>1.35</v>
      </c>
      <c r="R260" s="175" t="n">
        <v>0</v>
      </c>
      <c r="S260" s="175" t="n">
        <v>1.1</v>
      </c>
      <c r="T260" s="174" t="n">
        <v>1</v>
      </c>
      <c r="U260" s="174" t="n">
        <v>1.45</v>
      </c>
      <c r="V260" s="174" t="n">
        <v>1.1</v>
      </c>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5"/>
      <c r="AZ260" s="175"/>
      <c r="BA260" s="175" t="n">
        <v>0</v>
      </c>
      <c r="BB260" s="174" t="n">
        <v>0</v>
      </c>
      <c r="BC260" s="174" t="n">
        <v>-0.07</v>
      </c>
      <c r="BD260" s="174" t="n">
        <v>0</v>
      </c>
      <c r="BE260" s="174" t="n">
        <v>0</v>
      </c>
      <c r="BF260" s="174" t="n">
        <v>0</v>
      </c>
      <c r="BG260" s="174" t="n">
        <v>-0.06</v>
      </c>
      <c r="BH260" s="174" t="n">
        <v>0</v>
      </c>
      <c r="BI260" s="174" t="n">
        <v>0</v>
      </c>
      <c r="BJ260" s="136" t="n">
        <v>0</v>
      </c>
      <c r="BK260" s="136" t="n">
        <v>0</v>
      </c>
      <c r="BL260" s="136" t="n">
        <v>0</v>
      </c>
      <c r="BM260" s="136" t="n">
        <v>0.05</v>
      </c>
      <c r="BN260" s="136" t="n">
        <v>0</v>
      </c>
      <c r="BO260" s="136" t="n">
        <v>0</v>
      </c>
      <c r="BP260" s="136" t="n">
        <v>0</v>
      </c>
      <c r="BQ260" s="136" t="n">
        <v>0</v>
      </c>
      <c r="BR260" s="136" t="n">
        <v>0</v>
      </c>
      <c r="BS260" s="136" t="n">
        <v>-0.07</v>
      </c>
      <c r="BT260" s="136" t="n">
        <v>0</v>
      </c>
      <c r="BU260" s="136" t="n">
        <v>-0.2</v>
      </c>
      <c r="BV260" s="136" t="n">
        <v>0</v>
      </c>
      <c r="BW260" s="136" t="n">
        <v>0</v>
      </c>
      <c r="BX260" s="136" t="n">
        <v>0</v>
      </c>
      <c r="BY260" s="136" t="n">
        <v>0</v>
      </c>
      <c r="BZ260" s="136" t="n">
        <v>0</v>
      </c>
      <c r="CA260" s="136" t="n">
        <v>0.235</v>
      </c>
      <c r="CB260" s="136" t="n">
        <v>0.005</v>
      </c>
      <c r="CC260" s="136" t="n">
        <v>0</v>
      </c>
      <c r="CD260" s="136" t="n">
        <v>0</v>
      </c>
      <c r="CE260" s="136" t="n">
        <v>0</v>
      </c>
      <c r="CF260" s="136" t="n">
        <v>0</v>
      </c>
      <c r="CG260" s="136" t="n">
        <v>0</v>
      </c>
      <c r="CH260" s="136" t="n">
        <v>0</v>
      </c>
      <c r="CI260" s="136" t="n">
        <v>0</v>
      </c>
      <c r="CJ260" s="136" t="n">
        <v>0</v>
      </c>
      <c r="CK260" s="136" t="n">
        <v>0</v>
      </c>
      <c r="CL260" s="136" t="n">
        <v>0</v>
      </c>
      <c r="CM260" s="136" t="n">
        <v>0</v>
      </c>
      <c r="CN260" s="136" t="n">
        <v>0</v>
      </c>
      <c r="CO260" s="136" t="n">
        <v>0</v>
      </c>
      <c r="CP260" s="136" t="n">
        <v>0</v>
      </c>
      <c r="CQ260" s="136" t="n">
        <v>0</v>
      </c>
      <c r="CR260" s="136" t="n">
        <v>0</v>
      </c>
      <c r="CS260" s="136" t="n">
        <v>1.6</v>
      </c>
      <c r="CT260" s="136" t="n">
        <v>0.45</v>
      </c>
      <c r="CU260" s="136" t="n">
        <v>0.05</v>
      </c>
      <c r="CV260" s="136" t="n">
        <v>0</v>
      </c>
      <c r="CW260" s="136" t="n">
        <v>0.34</v>
      </c>
      <c r="CX260" s="136" t="n">
        <v>0.02</v>
      </c>
      <c r="CY260" s="136" t="n">
        <v>-0.18</v>
      </c>
      <c r="CZ260" s="136" t="n">
        <v>0</v>
      </c>
      <c r="DA260" s="136" t="n">
        <v>0</v>
      </c>
      <c r="DB260" s="136" t="n">
        <v>0</v>
      </c>
      <c r="DC260" s="136" t="n">
        <v>0.35</v>
      </c>
      <c r="DE260" s="136" t="n">
        <v>-0.0255</v>
      </c>
      <c r="DF260" s="136" t="n">
        <v>0.0125</v>
      </c>
      <c r="DG260" s="136" t="n">
        <v>0.021</v>
      </c>
      <c r="DH260" s="136" t="n">
        <v>0.0075</v>
      </c>
      <c r="DI260" s="136" t="n">
        <v>0.006</v>
      </c>
      <c r="DJ260" s="136" t="n">
        <v>0.0025</v>
      </c>
      <c r="DK260" s="136" t="n">
        <v>0</v>
      </c>
      <c r="DL260" s="136" t="n">
        <v>0</v>
      </c>
      <c r="DM260" s="136" t="n">
        <v>0</v>
      </c>
      <c r="DN260" s="136" t="n">
        <v>0</v>
      </c>
      <c r="DO260" s="136" t="n">
        <v>0</v>
      </c>
      <c r="DP260" s="136" t="n">
        <v>0</v>
      </c>
      <c r="DQ260" s="136" t="n">
        <v>0</v>
      </c>
      <c r="DR260" s="136" t="n">
        <v>0</v>
      </c>
      <c r="DS260" s="136" t="n">
        <v>1.04</v>
      </c>
      <c r="DT260" s="136" t="n">
        <v>0.05</v>
      </c>
    </row>
    <row r="261" customFormat="false" ht="12.75" hidden="false" customHeight="false" outlineLevel="0" collapsed="false">
      <c r="D261" s="135" t="n">
        <v>44593</v>
      </c>
      <c r="F261" s="174" t="n">
        <v>5.0045</v>
      </c>
      <c r="G261" s="175" t="n">
        <v>0.0667290020036231</v>
      </c>
      <c r="H261" s="174" t="n">
        <v>0.17</v>
      </c>
      <c r="I261" s="174" t="n">
        <v>0</v>
      </c>
      <c r="J261" s="174" t="n">
        <v>1.05</v>
      </c>
      <c r="K261" s="174" t="n">
        <v>1</v>
      </c>
      <c r="L261" s="174" t="n">
        <v>1</v>
      </c>
      <c r="M261" s="174" t="n">
        <v>1.15</v>
      </c>
      <c r="N261" s="174" t="n">
        <v>1.45</v>
      </c>
      <c r="O261" s="174" t="n">
        <v>1.05</v>
      </c>
      <c r="P261" s="174" t="n">
        <v>1</v>
      </c>
      <c r="Q261" s="174" t="n">
        <v>1.35</v>
      </c>
      <c r="R261" s="175" t="n">
        <v>0</v>
      </c>
      <c r="S261" s="175" t="n">
        <v>1.1</v>
      </c>
      <c r="T261" s="174" t="n">
        <v>1</v>
      </c>
      <c r="U261" s="174" t="n">
        <v>1.45</v>
      </c>
      <c r="V261" s="174" t="n">
        <v>1.1</v>
      </c>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5"/>
      <c r="AZ261" s="175"/>
      <c r="BA261" s="175" t="n">
        <v>0</v>
      </c>
      <c r="BB261" s="174" t="n">
        <v>0</v>
      </c>
      <c r="BC261" s="174" t="n">
        <v>-0.07</v>
      </c>
      <c r="BD261" s="174" t="n">
        <v>0</v>
      </c>
      <c r="BE261" s="174" t="n">
        <v>0</v>
      </c>
      <c r="BF261" s="174" t="n">
        <v>0</v>
      </c>
      <c r="BG261" s="174" t="n">
        <v>-0.06</v>
      </c>
      <c r="BH261" s="174" t="n">
        <v>0</v>
      </c>
      <c r="BI261" s="174" t="n">
        <v>0</v>
      </c>
      <c r="BJ261" s="136" t="n">
        <v>0</v>
      </c>
      <c r="BK261" s="136" t="n">
        <v>0</v>
      </c>
      <c r="BL261" s="136" t="n">
        <v>0</v>
      </c>
      <c r="BM261" s="136" t="n">
        <v>0.05</v>
      </c>
      <c r="BN261" s="136" t="n">
        <v>0</v>
      </c>
      <c r="BO261" s="136" t="n">
        <v>0</v>
      </c>
      <c r="BP261" s="136" t="n">
        <v>0</v>
      </c>
      <c r="BQ261" s="136" t="n">
        <v>0</v>
      </c>
      <c r="BR261" s="136" t="n">
        <v>0</v>
      </c>
      <c r="BS261" s="136" t="n">
        <v>-0.07</v>
      </c>
      <c r="BT261" s="136" t="n">
        <v>0</v>
      </c>
      <c r="BU261" s="136" t="n">
        <v>-0.2</v>
      </c>
      <c r="BV261" s="136" t="n">
        <v>0</v>
      </c>
      <c r="BW261" s="136" t="n">
        <v>0</v>
      </c>
      <c r="BX261" s="136" t="n">
        <v>0</v>
      </c>
      <c r="BY261" s="136" t="n">
        <v>0</v>
      </c>
      <c r="BZ261" s="136" t="n">
        <v>0</v>
      </c>
      <c r="CA261" s="136" t="n">
        <v>0.235</v>
      </c>
      <c r="CB261" s="136" t="n">
        <v>0.005</v>
      </c>
      <c r="CC261" s="136" t="n">
        <v>0</v>
      </c>
      <c r="CD261" s="136" t="n">
        <v>0</v>
      </c>
      <c r="CE261" s="136" t="n">
        <v>0</v>
      </c>
      <c r="CF261" s="136" t="n">
        <v>0</v>
      </c>
      <c r="CG261" s="136" t="n">
        <v>0</v>
      </c>
      <c r="CH261" s="136" t="n">
        <v>0</v>
      </c>
      <c r="CI261" s="136" t="n">
        <v>0</v>
      </c>
      <c r="CJ261" s="136" t="n">
        <v>0</v>
      </c>
      <c r="CK261" s="136" t="n">
        <v>0</v>
      </c>
      <c r="CL261" s="136" t="n">
        <v>0</v>
      </c>
      <c r="CM261" s="136" t="n">
        <v>0</v>
      </c>
      <c r="CN261" s="136" t="n">
        <v>0</v>
      </c>
      <c r="CO261" s="136" t="n">
        <v>0</v>
      </c>
      <c r="CP261" s="136" t="n">
        <v>0</v>
      </c>
      <c r="CQ261" s="136" t="n">
        <v>0</v>
      </c>
      <c r="CR261" s="136" t="n">
        <v>0</v>
      </c>
      <c r="CS261" s="136" t="n">
        <v>1.6</v>
      </c>
      <c r="CT261" s="136" t="n">
        <v>0.45</v>
      </c>
      <c r="CU261" s="136" t="n">
        <v>0.05</v>
      </c>
      <c r="CV261" s="136" t="n">
        <v>0</v>
      </c>
      <c r="CW261" s="136" t="n">
        <v>0.34</v>
      </c>
      <c r="CX261" s="136" t="n">
        <v>0.02</v>
      </c>
      <c r="CY261" s="136" t="n">
        <v>-0.18</v>
      </c>
      <c r="CZ261" s="136" t="n">
        <v>0</v>
      </c>
      <c r="DA261" s="136" t="n">
        <v>0</v>
      </c>
      <c r="DB261" s="136" t="n">
        <v>0</v>
      </c>
      <c r="DC261" s="136" t="n">
        <v>0.35</v>
      </c>
      <c r="DE261" s="136" t="n">
        <v>-0.0255</v>
      </c>
      <c r="DF261" s="136" t="n">
        <v>0.0125</v>
      </c>
      <c r="DG261" s="136" t="n">
        <v>0.021</v>
      </c>
      <c r="DH261" s="136" t="n">
        <v>0.0075</v>
      </c>
      <c r="DI261" s="136" t="n">
        <v>0.006</v>
      </c>
      <c r="DJ261" s="136" t="n">
        <v>0.0025</v>
      </c>
      <c r="DK261" s="136" t="n">
        <v>0</v>
      </c>
      <c r="DL261" s="136" t="n">
        <v>0</v>
      </c>
      <c r="DM261" s="136" t="n">
        <v>0</v>
      </c>
      <c r="DN261" s="136" t="n">
        <v>0</v>
      </c>
      <c r="DO261" s="136" t="n">
        <v>0</v>
      </c>
      <c r="DP261" s="136" t="n">
        <v>0</v>
      </c>
      <c r="DQ261" s="136" t="n">
        <v>0</v>
      </c>
      <c r="DR261" s="136" t="n">
        <v>0</v>
      </c>
      <c r="DS261" s="136" t="n">
        <v>1.04</v>
      </c>
      <c r="DT261" s="136" t="n">
        <v>0.05</v>
      </c>
    </row>
    <row r="262" customFormat="false" ht="12.75" hidden="false" customHeight="false" outlineLevel="0" collapsed="false">
      <c r="D262" s="135" t="n">
        <v>44621</v>
      </c>
      <c r="F262" s="174" t="n">
        <v>4.8745</v>
      </c>
      <c r="G262" s="175" t="n">
        <v>0.0667168593179062</v>
      </c>
      <c r="H262" s="174" t="n">
        <v>0.17</v>
      </c>
      <c r="I262" s="174" t="n">
        <v>0</v>
      </c>
      <c r="J262" s="174" t="n">
        <v>0.8</v>
      </c>
      <c r="K262" s="174" t="n">
        <v>0.75</v>
      </c>
      <c r="L262" s="174" t="n">
        <v>0.75</v>
      </c>
      <c r="M262" s="174" t="n">
        <v>0.85</v>
      </c>
      <c r="N262" s="174" t="n">
        <v>1</v>
      </c>
      <c r="O262" s="174" t="n">
        <v>0.75</v>
      </c>
      <c r="P262" s="174" t="n">
        <v>0.75</v>
      </c>
      <c r="Q262" s="174" t="n">
        <v>0.95</v>
      </c>
      <c r="R262" s="175" t="n">
        <v>0</v>
      </c>
      <c r="S262" s="175" t="n">
        <v>0.75</v>
      </c>
      <c r="T262" s="174" t="n">
        <v>0.75</v>
      </c>
      <c r="U262" s="174" t="n">
        <v>1</v>
      </c>
      <c r="V262" s="174" t="n">
        <v>0.85</v>
      </c>
      <c r="W262" s="174"/>
      <c r="X262" s="174"/>
      <c r="Y262" s="174"/>
      <c r="Z262" s="174"/>
      <c r="AA262" s="174"/>
      <c r="AB262" s="174"/>
      <c r="AC262" s="174"/>
      <c r="AD262" s="174"/>
      <c r="AE262" s="174"/>
      <c r="AF262" s="174"/>
      <c r="AG262" s="174"/>
      <c r="AH262" s="174"/>
      <c r="AI262" s="174"/>
      <c r="AJ262" s="174"/>
      <c r="AK262" s="174"/>
      <c r="AL262" s="174"/>
      <c r="AM262" s="174"/>
      <c r="AN262" s="174"/>
      <c r="AO262" s="174"/>
      <c r="AP262" s="174"/>
      <c r="AQ262" s="174"/>
      <c r="AR262" s="174"/>
      <c r="AS262" s="174"/>
      <c r="AT262" s="174"/>
      <c r="AU262" s="174"/>
      <c r="AV262" s="174"/>
      <c r="AW262" s="174"/>
      <c r="AX262" s="174"/>
      <c r="AY262" s="175"/>
      <c r="AZ262" s="175"/>
      <c r="BA262" s="175" t="n">
        <v>0</v>
      </c>
      <c r="BB262" s="174" t="n">
        <v>0</v>
      </c>
      <c r="BC262" s="174" t="n">
        <v>-0.07</v>
      </c>
      <c r="BD262" s="174" t="n">
        <v>0</v>
      </c>
      <c r="BE262" s="174" t="n">
        <v>0</v>
      </c>
      <c r="BF262" s="174" t="n">
        <v>0</v>
      </c>
      <c r="BG262" s="174" t="n">
        <v>-0.06</v>
      </c>
      <c r="BH262" s="174" t="n">
        <v>0</v>
      </c>
      <c r="BI262" s="174" t="n">
        <v>0</v>
      </c>
      <c r="BJ262" s="136" t="n">
        <v>0</v>
      </c>
      <c r="BK262" s="136" t="n">
        <v>0</v>
      </c>
      <c r="BL262" s="136" t="n">
        <v>0</v>
      </c>
      <c r="BM262" s="136" t="n">
        <v>0.05</v>
      </c>
      <c r="BN262" s="136" t="n">
        <v>0</v>
      </c>
      <c r="BO262" s="136" t="n">
        <v>0</v>
      </c>
      <c r="BP262" s="136" t="n">
        <v>0</v>
      </c>
      <c r="BQ262" s="136" t="n">
        <v>0</v>
      </c>
      <c r="BR262" s="136" t="n">
        <v>0</v>
      </c>
      <c r="BS262" s="136" t="n">
        <v>-0.07</v>
      </c>
      <c r="BT262" s="136" t="n">
        <v>0</v>
      </c>
      <c r="BU262" s="136" t="n">
        <v>-0.2</v>
      </c>
      <c r="BV262" s="136" t="n">
        <v>0</v>
      </c>
      <c r="BW262" s="136" t="n">
        <v>0</v>
      </c>
      <c r="BX262" s="136" t="n">
        <v>0</v>
      </c>
      <c r="BY262" s="136" t="n">
        <v>0</v>
      </c>
      <c r="BZ262" s="136" t="n">
        <v>0</v>
      </c>
      <c r="CA262" s="136" t="n">
        <v>0.195</v>
      </c>
      <c r="CB262" s="136" t="n">
        <v>0.005</v>
      </c>
      <c r="CC262" s="136" t="n">
        <v>0</v>
      </c>
      <c r="CD262" s="136" t="n">
        <v>0</v>
      </c>
      <c r="CE262" s="136" t="n">
        <v>0</v>
      </c>
      <c r="CF262" s="136" t="n">
        <v>0</v>
      </c>
      <c r="CG262" s="136" t="n">
        <v>0</v>
      </c>
      <c r="CH262" s="136" t="n">
        <v>0</v>
      </c>
      <c r="CI262" s="136" t="n">
        <v>0</v>
      </c>
      <c r="CJ262" s="136" t="n">
        <v>0</v>
      </c>
      <c r="CK262" s="136" t="n">
        <v>0</v>
      </c>
      <c r="CL262" s="136" t="n">
        <v>0</v>
      </c>
      <c r="CM262" s="136" t="n">
        <v>0</v>
      </c>
      <c r="CN262" s="136" t="n">
        <v>0</v>
      </c>
      <c r="CO262" s="136" t="n">
        <v>0</v>
      </c>
      <c r="CP262" s="136" t="n">
        <v>0</v>
      </c>
      <c r="CQ262" s="136" t="n">
        <v>0</v>
      </c>
      <c r="CR262" s="136" t="n">
        <v>0</v>
      </c>
      <c r="CS262" s="136" t="n">
        <v>0.64</v>
      </c>
      <c r="CT262" s="136" t="n">
        <v>0.1</v>
      </c>
      <c r="CU262" s="136" t="n">
        <v>0.05</v>
      </c>
      <c r="CV262" s="136" t="n">
        <v>0</v>
      </c>
      <c r="CW262" s="136" t="n">
        <v>0.29</v>
      </c>
      <c r="CX262" s="136" t="n">
        <v>0.02</v>
      </c>
      <c r="CY262" s="136" t="n">
        <v>-0.18</v>
      </c>
      <c r="CZ262" s="136" t="n">
        <v>0</v>
      </c>
      <c r="DA262" s="136" t="n">
        <v>0</v>
      </c>
      <c r="DB262" s="136" t="n">
        <v>0</v>
      </c>
      <c r="DC262" s="136" t="n">
        <v>0.4</v>
      </c>
      <c r="DE262" s="136" t="n">
        <v>-0.0255</v>
      </c>
      <c r="DF262" s="136" t="n">
        <v>0.0125</v>
      </c>
      <c r="DG262" s="136" t="n">
        <v>0.026</v>
      </c>
      <c r="DH262" s="136" t="n">
        <v>0.0075</v>
      </c>
      <c r="DI262" s="136" t="n">
        <v>0.011</v>
      </c>
      <c r="DJ262" s="136" t="n">
        <v>0.0025</v>
      </c>
      <c r="DK262" s="136" t="n">
        <v>0</v>
      </c>
      <c r="DL262" s="136" t="n">
        <v>0</v>
      </c>
      <c r="DM262" s="136" t="n">
        <v>0</v>
      </c>
      <c r="DN262" s="136" t="n">
        <v>0</v>
      </c>
      <c r="DO262" s="136" t="n">
        <v>0</v>
      </c>
      <c r="DP262" s="136" t="n">
        <v>0</v>
      </c>
      <c r="DQ262" s="136" t="n">
        <v>0</v>
      </c>
      <c r="DR262" s="136" t="n">
        <v>0</v>
      </c>
      <c r="DS262" s="136" t="n">
        <v>0.54</v>
      </c>
      <c r="DT262" s="136" t="n">
        <v>0.05</v>
      </c>
    </row>
    <row r="263" customFormat="false" ht="12.75" hidden="false" customHeight="false" outlineLevel="0" collapsed="false">
      <c r="D263" s="135" t="n">
        <v>44652</v>
      </c>
      <c r="F263" s="174" t="n">
        <v>4.6895</v>
      </c>
      <c r="G263" s="175" t="n">
        <v>0.0667034156302058</v>
      </c>
      <c r="H263" s="174" t="n">
        <v>0.17</v>
      </c>
      <c r="I263" s="174" t="n">
        <v>0</v>
      </c>
      <c r="J263" s="174" t="n">
        <v>0.45</v>
      </c>
      <c r="K263" s="174" t="n">
        <v>0.4</v>
      </c>
      <c r="L263" s="174" t="n">
        <v>0.45</v>
      </c>
      <c r="M263" s="174" t="n">
        <v>0.45</v>
      </c>
      <c r="N263" s="174" t="n">
        <v>0.45</v>
      </c>
      <c r="O263" s="174" t="n">
        <v>0.45</v>
      </c>
      <c r="P263" s="174" t="n">
        <v>0.45</v>
      </c>
      <c r="Q263" s="174" t="n">
        <v>0.5</v>
      </c>
      <c r="R263" s="175" t="n">
        <v>0</v>
      </c>
      <c r="S263" s="175" t="n">
        <v>0.45</v>
      </c>
      <c r="T263" s="174" t="n">
        <v>0.4</v>
      </c>
      <c r="U263" s="174" t="n">
        <v>0.45</v>
      </c>
      <c r="V263" s="174" t="n">
        <v>0.55</v>
      </c>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5"/>
      <c r="AZ263" s="175"/>
      <c r="BA263" s="175" t="n">
        <v>0</v>
      </c>
      <c r="BB263" s="174" t="n">
        <v>0</v>
      </c>
      <c r="BC263" s="174" t="n">
        <v>-0.07</v>
      </c>
      <c r="BD263" s="174" t="n">
        <v>0</v>
      </c>
      <c r="BE263" s="174" t="n">
        <v>0</v>
      </c>
      <c r="BF263" s="174" t="n">
        <v>0</v>
      </c>
      <c r="BG263" s="174" t="n">
        <v>-0.06</v>
      </c>
      <c r="BH263" s="174" t="n">
        <v>0</v>
      </c>
      <c r="BI263" s="174" t="n">
        <v>0</v>
      </c>
      <c r="BJ263" s="136" t="n">
        <v>0</v>
      </c>
      <c r="BK263" s="136" t="n">
        <v>0</v>
      </c>
      <c r="BL263" s="136" t="n">
        <v>0</v>
      </c>
      <c r="BM263" s="136" t="n">
        <v>0.05</v>
      </c>
      <c r="BN263" s="136" t="n">
        <v>0</v>
      </c>
      <c r="BO263" s="136" t="n">
        <v>0</v>
      </c>
      <c r="BP263" s="136" t="n">
        <v>0</v>
      </c>
      <c r="BQ263" s="136" t="n">
        <v>0</v>
      </c>
      <c r="BR263" s="136" t="n">
        <v>0</v>
      </c>
      <c r="BS263" s="136" t="n">
        <v>-0.07</v>
      </c>
      <c r="BT263" s="136" t="n">
        <v>0</v>
      </c>
      <c r="BU263" s="136" t="n">
        <v>-0.2</v>
      </c>
      <c r="BV263" s="136" t="n">
        <v>0</v>
      </c>
      <c r="BW263" s="136" t="n">
        <v>0</v>
      </c>
      <c r="BX263" s="136" t="n">
        <v>0</v>
      </c>
      <c r="BY263" s="136" t="n">
        <v>0</v>
      </c>
      <c r="BZ263" s="136" t="n">
        <v>0</v>
      </c>
      <c r="CA263" s="136" t="n">
        <v>0.145</v>
      </c>
      <c r="CB263" s="136" t="n">
        <v>0.005</v>
      </c>
      <c r="CC263" s="136" t="n">
        <v>0</v>
      </c>
      <c r="CD263" s="136" t="n">
        <v>0</v>
      </c>
      <c r="CE263" s="136" t="n">
        <v>0</v>
      </c>
      <c r="CF263" s="136" t="n">
        <v>0</v>
      </c>
      <c r="CG263" s="136" t="n">
        <v>0</v>
      </c>
      <c r="CH263" s="136" t="n">
        <v>0</v>
      </c>
      <c r="CI263" s="136" t="n">
        <v>0</v>
      </c>
      <c r="CJ263" s="136" t="n">
        <v>0</v>
      </c>
      <c r="CK263" s="136" t="n">
        <v>0</v>
      </c>
      <c r="CL263" s="136" t="n">
        <v>0</v>
      </c>
      <c r="CM263" s="136" t="n">
        <v>0</v>
      </c>
      <c r="CN263" s="136" t="n">
        <v>0</v>
      </c>
      <c r="CO263" s="136" t="n">
        <v>0</v>
      </c>
      <c r="CP263" s="136" t="n">
        <v>0</v>
      </c>
      <c r="CQ263" s="136" t="n">
        <v>0</v>
      </c>
      <c r="CR263" s="136" t="n">
        <v>0</v>
      </c>
      <c r="CS263" s="136" t="n">
        <v>0.38</v>
      </c>
      <c r="CT263" s="136" t="n">
        <v>0.02</v>
      </c>
      <c r="CU263" s="136" t="n">
        <v>0.05</v>
      </c>
      <c r="CV263" s="136" t="n">
        <v>0</v>
      </c>
      <c r="CW263" s="136" t="n">
        <v>0.195</v>
      </c>
      <c r="CX263" s="136" t="n">
        <v>0.0075</v>
      </c>
      <c r="CY263" s="136" t="n">
        <v>-0.18</v>
      </c>
      <c r="CZ263" s="136" t="n">
        <v>0</v>
      </c>
      <c r="DA263" s="136" t="n">
        <v>0</v>
      </c>
      <c r="DB263" s="136" t="n">
        <v>0</v>
      </c>
      <c r="DC263" s="136" t="n">
        <v>0.6</v>
      </c>
      <c r="DE263" s="136" t="n">
        <v>-0.033</v>
      </c>
      <c r="DF263" s="136" t="n">
        <v>0.01</v>
      </c>
      <c r="DG263" s="136" t="n">
        <v>0.026</v>
      </c>
      <c r="DH263" s="136" t="n">
        <v>0.01</v>
      </c>
      <c r="DI263" s="136" t="n">
        <v>0.011</v>
      </c>
      <c r="DJ263" s="136" t="n">
        <v>0.0075</v>
      </c>
      <c r="DK263" s="136" t="n">
        <v>0</v>
      </c>
      <c r="DL263" s="136" t="n">
        <v>0</v>
      </c>
      <c r="DM263" s="136" t="n">
        <v>0</v>
      </c>
      <c r="DN263" s="136" t="n">
        <v>0</v>
      </c>
      <c r="DO263" s="136" t="n">
        <v>0</v>
      </c>
      <c r="DP263" s="136" t="n">
        <v>0</v>
      </c>
      <c r="DQ263" s="136" t="n">
        <v>0</v>
      </c>
      <c r="DR263" s="136" t="n">
        <v>0</v>
      </c>
      <c r="DS263" s="136" t="n">
        <v>0.36</v>
      </c>
      <c r="DT263" s="136" t="n">
        <v>0.005</v>
      </c>
    </row>
    <row r="264" customFormat="false" ht="12.75" hidden="false" customHeight="false" outlineLevel="0" collapsed="false">
      <c r="D264" s="135" t="n">
        <v>44682</v>
      </c>
      <c r="F264" s="174" t="n">
        <v>4.6845</v>
      </c>
      <c r="G264" s="175" t="n">
        <v>0.0666904056099069</v>
      </c>
      <c r="H264" s="174" t="n">
        <v>0.17</v>
      </c>
      <c r="I264" s="174" t="n">
        <v>0</v>
      </c>
      <c r="J264" s="174" t="n">
        <v>0.5</v>
      </c>
      <c r="K264" s="174" t="n">
        <v>0.4</v>
      </c>
      <c r="L264" s="174" t="n">
        <v>0.4</v>
      </c>
      <c r="M264" s="174" t="n">
        <v>0.45</v>
      </c>
      <c r="N264" s="174" t="n">
        <v>0.5</v>
      </c>
      <c r="O264" s="174" t="n">
        <v>0.45</v>
      </c>
      <c r="P264" s="174" t="n">
        <v>0.4</v>
      </c>
      <c r="Q264" s="174" t="n">
        <v>0.45</v>
      </c>
      <c r="R264" s="175" t="n">
        <v>0</v>
      </c>
      <c r="S264" s="175" t="n">
        <v>0.5</v>
      </c>
      <c r="T264" s="174" t="n">
        <v>0.45</v>
      </c>
      <c r="U264" s="174" t="n">
        <v>0.5</v>
      </c>
      <c r="V264" s="174" t="n">
        <v>0.5</v>
      </c>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5"/>
      <c r="AZ264" s="175"/>
      <c r="BA264" s="175" t="n">
        <v>0</v>
      </c>
      <c r="BB264" s="174" t="n">
        <v>0</v>
      </c>
      <c r="BC264" s="174" t="n">
        <v>-0.07</v>
      </c>
      <c r="BD264" s="174" t="n">
        <v>0</v>
      </c>
      <c r="BE264" s="174" t="n">
        <v>0</v>
      </c>
      <c r="BF264" s="174" t="n">
        <v>0</v>
      </c>
      <c r="BG264" s="174" t="n">
        <v>-0.06</v>
      </c>
      <c r="BH264" s="174" t="n">
        <v>0</v>
      </c>
      <c r="BI264" s="174" t="n">
        <v>0</v>
      </c>
      <c r="BJ264" s="136" t="n">
        <v>0</v>
      </c>
      <c r="BK264" s="136" t="n">
        <v>0</v>
      </c>
      <c r="BL264" s="136" t="n">
        <v>0</v>
      </c>
      <c r="BM264" s="136" t="n">
        <v>0.05</v>
      </c>
      <c r="BN264" s="136" t="n">
        <v>0</v>
      </c>
      <c r="BO264" s="136" t="n">
        <v>0</v>
      </c>
      <c r="BP264" s="136" t="n">
        <v>0</v>
      </c>
      <c r="BQ264" s="136" t="n">
        <v>0</v>
      </c>
      <c r="BR264" s="136" t="n">
        <v>0</v>
      </c>
      <c r="BS264" s="136" t="n">
        <v>-0.07</v>
      </c>
      <c r="BT264" s="136" t="n">
        <v>0</v>
      </c>
      <c r="BU264" s="136" t="n">
        <v>-0.2</v>
      </c>
      <c r="BV264" s="136" t="n">
        <v>0</v>
      </c>
      <c r="BW264" s="136" t="n">
        <v>0</v>
      </c>
      <c r="BX264" s="136" t="n">
        <v>0</v>
      </c>
      <c r="BY264" s="136" t="n">
        <v>0</v>
      </c>
      <c r="BZ264" s="136" t="n">
        <v>0</v>
      </c>
      <c r="CA264" s="136" t="n">
        <v>0.125</v>
      </c>
      <c r="CB264" s="136" t="n">
        <v>0.005</v>
      </c>
      <c r="CC264" s="136" t="n">
        <v>0</v>
      </c>
      <c r="CD264" s="136" t="n">
        <v>0</v>
      </c>
      <c r="CE264" s="136" t="n">
        <v>0</v>
      </c>
      <c r="CF264" s="136" t="n">
        <v>0</v>
      </c>
      <c r="CG264" s="136" t="n">
        <v>0</v>
      </c>
      <c r="CH264" s="136" t="n">
        <v>0</v>
      </c>
      <c r="CI264" s="136" t="n">
        <v>0</v>
      </c>
      <c r="CJ264" s="136" t="n">
        <v>0</v>
      </c>
      <c r="CK264" s="136" t="n">
        <v>0</v>
      </c>
      <c r="CL264" s="136" t="n">
        <v>0</v>
      </c>
      <c r="CM264" s="136" t="n">
        <v>0</v>
      </c>
      <c r="CN264" s="136" t="n">
        <v>0</v>
      </c>
      <c r="CO264" s="136" t="n">
        <v>0</v>
      </c>
      <c r="CP264" s="136" t="n">
        <v>0</v>
      </c>
      <c r="CQ264" s="136" t="n">
        <v>0</v>
      </c>
      <c r="CR264" s="136" t="n">
        <v>0</v>
      </c>
      <c r="CS264" s="136" t="n">
        <v>0.33</v>
      </c>
      <c r="CT264" s="136" t="n">
        <v>0.02</v>
      </c>
      <c r="CU264" s="136" t="n">
        <v>0.05</v>
      </c>
      <c r="CV264" s="136" t="n">
        <v>0</v>
      </c>
      <c r="CW264" s="136" t="n">
        <v>0.135</v>
      </c>
      <c r="CX264" s="136" t="n">
        <v>0.0075</v>
      </c>
      <c r="CY264" s="136" t="n">
        <v>-0.18</v>
      </c>
      <c r="CZ264" s="136" t="n">
        <v>0</v>
      </c>
      <c r="DA264" s="136" t="n">
        <v>0</v>
      </c>
      <c r="DB264" s="136" t="n">
        <v>0</v>
      </c>
      <c r="DC264" s="136" t="n">
        <v>0.75</v>
      </c>
      <c r="DE264" s="136" t="n">
        <v>-0.033</v>
      </c>
      <c r="DF264" s="136" t="n">
        <v>0.01</v>
      </c>
      <c r="DG264" s="136" t="n">
        <v>0.0285</v>
      </c>
      <c r="DH264" s="136" t="n">
        <v>0.01</v>
      </c>
      <c r="DI264" s="136" t="n">
        <v>0.0135</v>
      </c>
      <c r="DJ264" s="136" t="n">
        <v>0.0075</v>
      </c>
      <c r="DK264" s="136" t="n">
        <v>0</v>
      </c>
      <c r="DL264" s="136" t="n">
        <v>0</v>
      </c>
      <c r="DM264" s="136" t="n">
        <v>0</v>
      </c>
      <c r="DN264" s="136" t="n">
        <v>0</v>
      </c>
      <c r="DO264" s="136" t="n">
        <v>0</v>
      </c>
      <c r="DP264" s="136" t="n">
        <v>0</v>
      </c>
      <c r="DQ264" s="136" t="n">
        <v>0</v>
      </c>
      <c r="DR264" s="136" t="n">
        <v>0</v>
      </c>
      <c r="DS264" s="136" t="n">
        <v>0.325</v>
      </c>
      <c r="DT264" s="136" t="n">
        <v>0.005</v>
      </c>
    </row>
    <row r="265" customFormat="false" ht="12.75" hidden="false" customHeight="false" outlineLevel="0" collapsed="false">
      <c r="D265" s="135" t="n">
        <v>44713</v>
      </c>
      <c r="F265" s="174" t="n">
        <v>4.7195</v>
      </c>
      <c r="G265" s="175" t="n">
        <v>0.0666769619223242</v>
      </c>
      <c r="H265" s="174" t="n">
        <v>0.17</v>
      </c>
      <c r="I265" s="174" t="n">
        <v>0</v>
      </c>
      <c r="J265" s="174" t="n">
        <v>0.5</v>
      </c>
      <c r="K265" s="174" t="n">
        <v>0.4</v>
      </c>
      <c r="L265" s="174" t="n">
        <v>0.5</v>
      </c>
      <c r="M265" s="174" t="n">
        <v>0.45</v>
      </c>
      <c r="N265" s="174" t="n">
        <v>0.5</v>
      </c>
      <c r="O265" s="174" t="n">
        <v>0.5</v>
      </c>
      <c r="P265" s="174" t="n">
        <v>0.5</v>
      </c>
      <c r="Q265" s="174" t="n">
        <v>0.5</v>
      </c>
      <c r="R265" s="175" t="n">
        <v>0</v>
      </c>
      <c r="S265" s="175" t="n">
        <v>0.5</v>
      </c>
      <c r="T265" s="174" t="n">
        <v>0.45</v>
      </c>
      <c r="U265" s="174" t="n">
        <v>0.5</v>
      </c>
      <c r="V265" s="174" t="n">
        <v>0.6</v>
      </c>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5"/>
      <c r="AZ265" s="175"/>
      <c r="BA265" s="175" t="n">
        <v>0</v>
      </c>
      <c r="BB265" s="174" t="n">
        <v>0</v>
      </c>
      <c r="BC265" s="174" t="n">
        <v>-0.07</v>
      </c>
      <c r="BD265" s="174" t="n">
        <v>0</v>
      </c>
      <c r="BE265" s="174" t="n">
        <v>0</v>
      </c>
      <c r="BF265" s="174" t="n">
        <v>0</v>
      </c>
      <c r="BG265" s="174" t="n">
        <v>-0.06</v>
      </c>
      <c r="BH265" s="174" t="n">
        <v>0</v>
      </c>
      <c r="BI265" s="174" t="n">
        <v>0</v>
      </c>
      <c r="BJ265" s="136" t="n">
        <v>0</v>
      </c>
      <c r="BK265" s="136" t="n">
        <v>0</v>
      </c>
      <c r="BL265" s="136" t="n">
        <v>0</v>
      </c>
      <c r="BM265" s="136" t="n">
        <v>0.05</v>
      </c>
      <c r="BN265" s="136" t="n">
        <v>0</v>
      </c>
      <c r="BO265" s="136" t="n">
        <v>0</v>
      </c>
      <c r="BP265" s="136" t="n">
        <v>0</v>
      </c>
      <c r="BQ265" s="136" t="n">
        <v>0</v>
      </c>
      <c r="BR265" s="136" t="n">
        <v>0</v>
      </c>
      <c r="BS265" s="136" t="n">
        <v>-0.07</v>
      </c>
      <c r="BT265" s="136" t="n">
        <v>0</v>
      </c>
      <c r="BU265" s="136" t="n">
        <v>-0.2</v>
      </c>
      <c r="BV265" s="136" t="n">
        <v>0</v>
      </c>
      <c r="BW265" s="136" t="n">
        <v>0</v>
      </c>
      <c r="BX265" s="136" t="n">
        <v>0</v>
      </c>
      <c r="BY265" s="136" t="n">
        <v>0</v>
      </c>
      <c r="BZ265" s="136" t="n">
        <v>0</v>
      </c>
      <c r="CA265" s="136" t="n">
        <v>0.145</v>
      </c>
      <c r="CB265" s="136" t="n">
        <v>0.005</v>
      </c>
      <c r="CC265" s="136" t="n">
        <v>0</v>
      </c>
      <c r="CD265" s="136" t="n">
        <v>0</v>
      </c>
      <c r="CE265" s="136" t="n">
        <v>0</v>
      </c>
      <c r="CF265" s="136" t="n">
        <v>0</v>
      </c>
      <c r="CG265" s="136" t="n">
        <v>0</v>
      </c>
      <c r="CH265" s="136" t="n">
        <v>0</v>
      </c>
      <c r="CI265" s="136" t="n">
        <v>0</v>
      </c>
      <c r="CJ265" s="136" t="n">
        <v>0</v>
      </c>
      <c r="CK265" s="136" t="n">
        <v>0</v>
      </c>
      <c r="CL265" s="136" t="n">
        <v>0</v>
      </c>
      <c r="CM265" s="136" t="n">
        <v>0</v>
      </c>
      <c r="CN265" s="136" t="n">
        <v>0</v>
      </c>
      <c r="CO265" s="136" t="n">
        <v>0</v>
      </c>
      <c r="CP265" s="136" t="n">
        <v>0</v>
      </c>
      <c r="CQ265" s="136" t="n">
        <v>0</v>
      </c>
      <c r="CR265" s="136" t="n">
        <v>0</v>
      </c>
      <c r="CS265" s="136" t="n">
        <v>0.37</v>
      </c>
      <c r="CT265" s="136" t="n">
        <v>0.035</v>
      </c>
      <c r="CU265" s="136" t="n">
        <v>0.05</v>
      </c>
      <c r="CV265" s="136" t="n">
        <v>0</v>
      </c>
      <c r="CW265" s="136" t="n">
        <v>0.165</v>
      </c>
      <c r="CX265" s="136" t="n">
        <v>0.0075</v>
      </c>
      <c r="CY265" s="136" t="n">
        <v>-0.18</v>
      </c>
      <c r="CZ265" s="136" t="n">
        <v>0</v>
      </c>
      <c r="DA265" s="136" t="n">
        <v>0</v>
      </c>
      <c r="DB265" s="136" t="n">
        <v>0</v>
      </c>
      <c r="DC265" s="136" t="n">
        <v>0.85</v>
      </c>
      <c r="DE265" s="136" t="n">
        <v>-0.0305</v>
      </c>
      <c r="DF265" s="136" t="n">
        <v>0.01</v>
      </c>
      <c r="DG265" s="136" t="n">
        <v>0.0285</v>
      </c>
      <c r="DH265" s="136" t="n">
        <v>0.01</v>
      </c>
      <c r="DI265" s="136" t="n">
        <v>0.0135</v>
      </c>
      <c r="DJ265" s="136" t="n">
        <v>0.0075</v>
      </c>
      <c r="DK265" s="136" t="n">
        <v>0</v>
      </c>
      <c r="DL265" s="136" t="n">
        <v>0</v>
      </c>
      <c r="DM265" s="136" t="n">
        <v>0</v>
      </c>
      <c r="DN265" s="136" t="n">
        <v>0</v>
      </c>
      <c r="DO265" s="136" t="n">
        <v>0</v>
      </c>
      <c r="DP265" s="136" t="n">
        <v>0</v>
      </c>
      <c r="DQ265" s="136" t="n">
        <v>0</v>
      </c>
      <c r="DR265" s="136" t="n">
        <v>0</v>
      </c>
      <c r="DS265" s="136" t="n">
        <v>0.335</v>
      </c>
      <c r="DT265" s="136" t="n">
        <v>0.005</v>
      </c>
    </row>
    <row r="266" customFormat="false" ht="12.75" hidden="false" customHeight="false" outlineLevel="0" collapsed="false">
      <c r="D266" s="135" t="n">
        <v>44743</v>
      </c>
      <c r="F266" s="174" t="n">
        <v>4.7595</v>
      </c>
      <c r="G266" s="175" t="n">
        <v>0.0666639519021399</v>
      </c>
      <c r="H266" s="174" t="n">
        <v>0.17</v>
      </c>
      <c r="I266" s="174" t="n">
        <v>0</v>
      </c>
      <c r="J266" s="174" t="n">
        <v>0.5</v>
      </c>
      <c r="K266" s="174" t="n">
        <v>0.4</v>
      </c>
      <c r="L266" s="174" t="n">
        <v>0.5</v>
      </c>
      <c r="M266" s="174" t="n">
        <v>0.5</v>
      </c>
      <c r="N266" s="174" t="n">
        <v>0.5</v>
      </c>
      <c r="O266" s="174" t="n">
        <v>0.5</v>
      </c>
      <c r="P266" s="174" t="n">
        <v>0.5</v>
      </c>
      <c r="Q266" s="174" t="n">
        <v>0.5</v>
      </c>
      <c r="R266" s="175" t="n">
        <v>0</v>
      </c>
      <c r="S266" s="175" t="n">
        <v>0.55</v>
      </c>
      <c r="T266" s="174" t="n">
        <v>0.5</v>
      </c>
      <c r="U266" s="174" t="n">
        <v>0.5</v>
      </c>
      <c r="V266" s="174" t="n">
        <v>0.6</v>
      </c>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5"/>
      <c r="AZ266" s="175"/>
      <c r="BA266" s="175" t="n">
        <v>0</v>
      </c>
      <c r="BB266" s="174" t="n">
        <v>0</v>
      </c>
      <c r="BC266" s="174" t="n">
        <v>-0.07</v>
      </c>
      <c r="BD266" s="174" t="n">
        <v>0</v>
      </c>
      <c r="BE266" s="174" t="n">
        <v>0</v>
      </c>
      <c r="BF266" s="174" t="n">
        <v>0</v>
      </c>
      <c r="BG266" s="174" t="n">
        <v>-0.06</v>
      </c>
      <c r="BH266" s="174" t="n">
        <v>0</v>
      </c>
      <c r="BI266" s="174" t="n">
        <v>0</v>
      </c>
      <c r="BJ266" s="136" t="n">
        <v>0</v>
      </c>
      <c r="BK266" s="136" t="n">
        <v>0</v>
      </c>
      <c r="BL266" s="136" t="n">
        <v>0</v>
      </c>
      <c r="BM266" s="136" t="n">
        <v>0.05</v>
      </c>
      <c r="BN266" s="136" t="n">
        <v>0</v>
      </c>
      <c r="BO266" s="136" t="n">
        <v>0</v>
      </c>
      <c r="BP266" s="136" t="n">
        <v>0</v>
      </c>
      <c r="BQ266" s="136" t="n">
        <v>0</v>
      </c>
      <c r="BR266" s="136" t="n">
        <v>0</v>
      </c>
      <c r="BS266" s="136" t="n">
        <v>-0.07</v>
      </c>
      <c r="BT266" s="136" t="n">
        <v>0</v>
      </c>
      <c r="BU266" s="136" t="n">
        <v>-0.2</v>
      </c>
      <c r="BV266" s="136" t="n">
        <v>0</v>
      </c>
      <c r="BW266" s="136" t="n">
        <v>0</v>
      </c>
      <c r="BX266" s="136" t="n">
        <v>0</v>
      </c>
      <c r="BY266" s="136" t="n">
        <v>0</v>
      </c>
      <c r="BZ266" s="136" t="n">
        <v>0</v>
      </c>
      <c r="CA266" s="136" t="n">
        <v>0.15</v>
      </c>
      <c r="CB266" s="136" t="n">
        <v>0.005</v>
      </c>
      <c r="CC266" s="136" t="n">
        <v>0</v>
      </c>
      <c r="CD266" s="136" t="n">
        <v>0</v>
      </c>
      <c r="CE266" s="136" t="n">
        <v>0</v>
      </c>
      <c r="CF266" s="136" t="n">
        <v>0</v>
      </c>
      <c r="CG266" s="136" t="n">
        <v>0</v>
      </c>
      <c r="CH266" s="136" t="n">
        <v>0</v>
      </c>
      <c r="CI266" s="136" t="n">
        <v>0</v>
      </c>
      <c r="CJ266" s="136" t="n">
        <v>0</v>
      </c>
      <c r="CK266" s="136" t="n">
        <v>0</v>
      </c>
      <c r="CL266" s="136" t="n">
        <v>0</v>
      </c>
      <c r="CM266" s="136" t="n">
        <v>0</v>
      </c>
      <c r="CN266" s="136" t="n">
        <v>0</v>
      </c>
      <c r="CO266" s="136" t="n">
        <v>0</v>
      </c>
      <c r="CP266" s="136" t="n">
        <v>0</v>
      </c>
      <c r="CQ266" s="136" t="n">
        <v>0</v>
      </c>
      <c r="CR266" s="136" t="n">
        <v>0</v>
      </c>
      <c r="CS266" s="136" t="n">
        <v>0.41</v>
      </c>
      <c r="CT266" s="136" t="n">
        <v>0.035</v>
      </c>
      <c r="CU266" s="136" t="n">
        <v>0.05</v>
      </c>
      <c r="CV266" s="136" t="n">
        <v>0</v>
      </c>
      <c r="CW266" s="136" t="n">
        <v>0.205</v>
      </c>
      <c r="CX266" s="136" t="n">
        <v>0.0075</v>
      </c>
      <c r="CY266" s="136" t="n">
        <v>-0.18</v>
      </c>
      <c r="CZ266" s="136" t="n">
        <v>0</v>
      </c>
      <c r="DA266" s="136" t="n">
        <v>0</v>
      </c>
      <c r="DB266" s="136" t="n">
        <v>0</v>
      </c>
      <c r="DC266" s="136" t="n">
        <v>1.05</v>
      </c>
      <c r="DE266" s="136" t="n">
        <v>-0.0305</v>
      </c>
      <c r="DF266" s="136" t="n">
        <v>0.01</v>
      </c>
      <c r="DG266" s="136" t="n">
        <v>0.0285</v>
      </c>
      <c r="DH266" s="136" t="n">
        <v>0.01</v>
      </c>
      <c r="DI266" s="136" t="n">
        <v>0.0135</v>
      </c>
      <c r="DJ266" s="136" t="n">
        <v>0.0075</v>
      </c>
      <c r="DK266" s="136" t="n">
        <v>0</v>
      </c>
      <c r="DL266" s="136" t="n">
        <v>0</v>
      </c>
      <c r="DM266" s="136" t="n">
        <v>0</v>
      </c>
      <c r="DN266" s="136" t="n">
        <v>0</v>
      </c>
      <c r="DO266" s="136" t="n">
        <v>0</v>
      </c>
      <c r="DP266" s="136" t="n">
        <v>0</v>
      </c>
      <c r="DQ266" s="136" t="n">
        <v>0</v>
      </c>
      <c r="DR266" s="136" t="n">
        <v>0</v>
      </c>
      <c r="DS266" s="136" t="n">
        <v>0.35</v>
      </c>
      <c r="DT266" s="136" t="n">
        <v>0.005</v>
      </c>
    </row>
    <row r="267" customFormat="false" ht="12.75" hidden="false" customHeight="false" outlineLevel="0" collapsed="false">
      <c r="D267" s="135" t="n">
        <v>44774</v>
      </c>
      <c r="F267" s="174" t="n">
        <v>4.7995</v>
      </c>
      <c r="G267" s="175" t="n">
        <v>0.0666505082146749</v>
      </c>
      <c r="H267" s="174" t="n">
        <v>0.17</v>
      </c>
      <c r="I267" s="174" t="n">
        <v>0</v>
      </c>
      <c r="J267" s="174" t="n">
        <v>0.55</v>
      </c>
      <c r="K267" s="174" t="n">
        <v>0.5</v>
      </c>
      <c r="L267" s="174" t="n">
        <v>0.6</v>
      </c>
      <c r="M267" s="174" t="n">
        <v>0.55</v>
      </c>
      <c r="N267" s="174" t="n">
        <v>0.6</v>
      </c>
      <c r="O267" s="174" t="n">
        <v>0.55</v>
      </c>
      <c r="P267" s="174" t="n">
        <v>0.6</v>
      </c>
      <c r="Q267" s="174" t="n">
        <v>0.45</v>
      </c>
      <c r="R267" s="175" t="n">
        <v>0</v>
      </c>
      <c r="S267" s="175" t="n">
        <v>0.6</v>
      </c>
      <c r="T267" s="174" t="n">
        <v>0.55</v>
      </c>
      <c r="U267" s="174" t="n">
        <v>0.6</v>
      </c>
      <c r="V267" s="174" t="n">
        <v>0.7</v>
      </c>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5"/>
      <c r="AZ267" s="175"/>
      <c r="BA267" s="175" t="n">
        <v>0</v>
      </c>
      <c r="BB267" s="174" t="n">
        <v>0</v>
      </c>
      <c r="BC267" s="174" t="n">
        <v>-0.07</v>
      </c>
      <c r="BD267" s="174" t="n">
        <v>0</v>
      </c>
      <c r="BE267" s="174" t="n">
        <v>0</v>
      </c>
      <c r="BF267" s="174" t="n">
        <v>0</v>
      </c>
      <c r="BG267" s="174" t="n">
        <v>-0.06</v>
      </c>
      <c r="BH267" s="174" t="n">
        <v>0</v>
      </c>
      <c r="BI267" s="174" t="n">
        <v>0</v>
      </c>
      <c r="BJ267" s="136" t="n">
        <v>0</v>
      </c>
      <c r="BK267" s="136" t="n">
        <v>0</v>
      </c>
      <c r="BL267" s="136" t="n">
        <v>0</v>
      </c>
      <c r="BM267" s="136" t="n">
        <v>0.05</v>
      </c>
      <c r="BN267" s="136" t="n">
        <v>0</v>
      </c>
      <c r="BO267" s="136" t="n">
        <v>0</v>
      </c>
      <c r="BP267" s="136" t="n">
        <v>0</v>
      </c>
      <c r="BQ267" s="136" t="n">
        <v>0</v>
      </c>
      <c r="BR267" s="136" t="n">
        <v>0</v>
      </c>
      <c r="BS267" s="136" t="n">
        <v>-0.07</v>
      </c>
      <c r="BT267" s="136" t="n">
        <v>0</v>
      </c>
      <c r="BU267" s="136" t="n">
        <v>-0.2</v>
      </c>
      <c r="BV267" s="136" t="n">
        <v>0</v>
      </c>
      <c r="BW267" s="136" t="n">
        <v>0</v>
      </c>
      <c r="BX267" s="136" t="n">
        <v>0</v>
      </c>
      <c r="BY267" s="136" t="n">
        <v>0</v>
      </c>
      <c r="BZ267" s="136" t="n">
        <v>0</v>
      </c>
      <c r="CA267" s="136" t="n">
        <v>0.15</v>
      </c>
      <c r="CB267" s="136" t="n">
        <v>0.005</v>
      </c>
      <c r="CC267" s="136" t="n">
        <v>0</v>
      </c>
      <c r="CD267" s="136" t="n">
        <v>0</v>
      </c>
      <c r="CE267" s="136" t="n">
        <v>0</v>
      </c>
      <c r="CF267" s="136" t="n">
        <v>0</v>
      </c>
      <c r="CG267" s="136" t="n">
        <v>0</v>
      </c>
      <c r="CH267" s="136" t="n">
        <v>0</v>
      </c>
      <c r="CI267" s="136" t="n">
        <v>0</v>
      </c>
      <c r="CJ267" s="136" t="n">
        <v>0</v>
      </c>
      <c r="CK267" s="136" t="n">
        <v>0</v>
      </c>
      <c r="CL267" s="136" t="n">
        <v>0</v>
      </c>
      <c r="CM267" s="136" t="n">
        <v>0</v>
      </c>
      <c r="CN267" s="136" t="n">
        <v>0</v>
      </c>
      <c r="CO267" s="136" t="n">
        <v>0</v>
      </c>
      <c r="CP267" s="136" t="n">
        <v>0</v>
      </c>
      <c r="CQ267" s="136" t="n">
        <v>0</v>
      </c>
      <c r="CR267" s="136" t="n">
        <v>0</v>
      </c>
      <c r="CS267" s="136" t="n">
        <v>0.41</v>
      </c>
      <c r="CT267" s="136" t="n">
        <v>0.01</v>
      </c>
      <c r="CU267" s="136" t="n">
        <v>0.05</v>
      </c>
      <c r="CV267" s="136" t="n">
        <v>0</v>
      </c>
      <c r="CW267" s="136" t="n">
        <v>0.205</v>
      </c>
      <c r="CX267" s="136" t="n">
        <v>0.0075</v>
      </c>
      <c r="CY267" s="136" t="n">
        <v>-0.18</v>
      </c>
      <c r="CZ267" s="136" t="n">
        <v>0</v>
      </c>
      <c r="DA267" s="136" t="n">
        <v>0</v>
      </c>
      <c r="DB267" s="136" t="n">
        <v>0</v>
      </c>
      <c r="DC267" s="136" t="n">
        <v>1.05</v>
      </c>
      <c r="DE267" s="136" t="n">
        <v>-0.0305</v>
      </c>
      <c r="DF267" s="136" t="n">
        <v>0.01</v>
      </c>
      <c r="DG267" s="136" t="n">
        <v>0.0235</v>
      </c>
      <c r="DH267" s="136" t="n">
        <v>0.01</v>
      </c>
      <c r="DI267" s="136" t="n">
        <v>0.0085</v>
      </c>
      <c r="DJ267" s="136" t="n">
        <v>0.0075</v>
      </c>
      <c r="DK267" s="136" t="n">
        <v>0</v>
      </c>
      <c r="DL267" s="136" t="n">
        <v>0</v>
      </c>
      <c r="DM267" s="136" t="n">
        <v>0</v>
      </c>
      <c r="DN267" s="136" t="n">
        <v>0</v>
      </c>
      <c r="DO267" s="136" t="n">
        <v>0</v>
      </c>
      <c r="DP267" s="136" t="n">
        <v>0</v>
      </c>
      <c r="DQ267" s="136" t="n">
        <v>0</v>
      </c>
      <c r="DR267" s="136" t="n">
        <v>0</v>
      </c>
      <c r="DS267" s="136" t="n">
        <v>0.35</v>
      </c>
      <c r="DT267" s="136" t="n">
        <v>-0.005</v>
      </c>
    </row>
    <row r="268" customFormat="false" ht="12.75" hidden="false" customHeight="false" outlineLevel="0" collapsed="false">
      <c r="D268" s="135" t="n">
        <v>44805</v>
      </c>
      <c r="F268" s="174" t="n">
        <v>4.7945</v>
      </c>
      <c r="G268" s="175" t="n">
        <v>0.0666370645272694</v>
      </c>
      <c r="H268" s="174" t="n">
        <v>0.17</v>
      </c>
      <c r="I268" s="174" t="n">
        <v>0</v>
      </c>
      <c r="J268" s="174" t="n">
        <v>0.55</v>
      </c>
      <c r="K268" s="174" t="n">
        <v>0.55</v>
      </c>
      <c r="L268" s="174" t="n">
        <v>0.55</v>
      </c>
      <c r="M268" s="174" t="n">
        <v>0.55</v>
      </c>
      <c r="N268" s="174" t="n">
        <v>0.6</v>
      </c>
      <c r="O268" s="174" t="n">
        <v>0.6</v>
      </c>
      <c r="P268" s="174" t="n">
        <v>0.55</v>
      </c>
      <c r="Q268" s="174" t="n">
        <v>0.5</v>
      </c>
      <c r="R268" s="175" t="n">
        <v>0</v>
      </c>
      <c r="S268" s="175" t="n">
        <v>0.6</v>
      </c>
      <c r="T268" s="174" t="n">
        <v>0.55</v>
      </c>
      <c r="U268" s="174" t="n">
        <v>0.6</v>
      </c>
      <c r="V268" s="174" t="n">
        <v>0.65</v>
      </c>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5"/>
      <c r="AZ268" s="175"/>
      <c r="BA268" s="175" t="n">
        <v>0</v>
      </c>
      <c r="BB268" s="174" t="n">
        <v>0</v>
      </c>
      <c r="BC268" s="174" t="n">
        <v>-0.07</v>
      </c>
      <c r="BD268" s="174" t="n">
        <v>0</v>
      </c>
      <c r="BE268" s="174" t="n">
        <v>0</v>
      </c>
      <c r="BF268" s="174" t="n">
        <v>0</v>
      </c>
      <c r="BG268" s="174" t="n">
        <v>-0.06</v>
      </c>
      <c r="BH268" s="174" t="n">
        <v>0</v>
      </c>
      <c r="BI268" s="174" t="n">
        <v>0</v>
      </c>
      <c r="BJ268" s="136" t="n">
        <v>0</v>
      </c>
      <c r="BK268" s="136" t="n">
        <v>0</v>
      </c>
      <c r="BL268" s="136" t="n">
        <v>0</v>
      </c>
      <c r="BM268" s="136" t="n">
        <v>0.05</v>
      </c>
      <c r="BN268" s="136" t="n">
        <v>0</v>
      </c>
      <c r="BO268" s="136" t="n">
        <v>0</v>
      </c>
      <c r="BP268" s="136" t="n">
        <v>0</v>
      </c>
      <c r="BQ268" s="136" t="n">
        <v>0</v>
      </c>
      <c r="BR268" s="136" t="n">
        <v>0</v>
      </c>
      <c r="BS268" s="136" t="n">
        <v>-0.07</v>
      </c>
      <c r="BT268" s="136" t="n">
        <v>0</v>
      </c>
      <c r="BU268" s="136" t="n">
        <v>-0.2</v>
      </c>
      <c r="BV268" s="136" t="n">
        <v>0</v>
      </c>
      <c r="BW268" s="136" t="n">
        <v>0</v>
      </c>
      <c r="BX268" s="136" t="n">
        <v>0</v>
      </c>
      <c r="BY268" s="136" t="n">
        <v>0</v>
      </c>
      <c r="BZ268" s="136" t="n">
        <v>0</v>
      </c>
      <c r="CA268" s="136" t="n">
        <v>0.125</v>
      </c>
      <c r="CB268" s="136" t="n">
        <v>0.005</v>
      </c>
      <c r="CC268" s="136" t="n">
        <v>0</v>
      </c>
      <c r="CD268" s="136" t="n">
        <v>0</v>
      </c>
      <c r="CE268" s="136" t="n">
        <v>0</v>
      </c>
      <c r="CF268" s="136" t="n">
        <v>0</v>
      </c>
      <c r="CG268" s="136" t="n">
        <v>0</v>
      </c>
      <c r="CH268" s="136" t="n">
        <v>0</v>
      </c>
      <c r="CI268" s="136" t="n">
        <v>0</v>
      </c>
      <c r="CJ268" s="136" t="n">
        <v>0</v>
      </c>
      <c r="CK268" s="136" t="n">
        <v>0</v>
      </c>
      <c r="CL268" s="136" t="n">
        <v>0</v>
      </c>
      <c r="CM268" s="136" t="n">
        <v>0</v>
      </c>
      <c r="CN268" s="136" t="n">
        <v>0</v>
      </c>
      <c r="CO268" s="136" t="n">
        <v>0</v>
      </c>
      <c r="CP268" s="136" t="n">
        <v>0</v>
      </c>
      <c r="CQ268" s="136" t="n">
        <v>0</v>
      </c>
      <c r="CR268" s="136" t="n">
        <v>0</v>
      </c>
      <c r="CS268" s="136" t="n">
        <v>0.36</v>
      </c>
      <c r="CT268" s="136" t="n">
        <v>0.01</v>
      </c>
      <c r="CU268" s="136" t="n">
        <v>0.05</v>
      </c>
      <c r="CV268" s="136" t="n">
        <v>0</v>
      </c>
      <c r="CW268" s="136" t="n">
        <v>0.145</v>
      </c>
      <c r="CX268" s="136" t="n">
        <v>0.0075</v>
      </c>
      <c r="CY268" s="136" t="n">
        <v>-0.18</v>
      </c>
      <c r="CZ268" s="136" t="n">
        <v>0</v>
      </c>
      <c r="DA268" s="136" t="n">
        <v>0</v>
      </c>
      <c r="DB268" s="136" t="n">
        <v>0</v>
      </c>
      <c r="DC268" s="136" t="n">
        <v>0.75</v>
      </c>
      <c r="DE268" s="136" t="n">
        <v>-0.0355</v>
      </c>
      <c r="DF268" s="136" t="n">
        <v>0.01</v>
      </c>
      <c r="DG268" s="136" t="n">
        <v>0.0235</v>
      </c>
      <c r="DH268" s="136" t="n">
        <v>0.01</v>
      </c>
      <c r="DI268" s="136" t="n">
        <v>0.0085</v>
      </c>
      <c r="DJ268" s="136" t="n">
        <v>0.0075</v>
      </c>
      <c r="DK268" s="136" t="n">
        <v>0</v>
      </c>
      <c r="DL268" s="136" t="n">
        <v>0</v>
      </c>
      <c r="DM268" s="136" t="n">
        <v>0</v>
      </c>
      <c r="DN268" s="136" t="n">
        <v>0</v>
      </c>
      <c r="DO268" s="136" t="n">
        <v>0</v>
      </c>
      <c r="DP268" s="136" t="n">
        <v>0</v>
      </c>
      <c r="DQ268" s="136" t="n">
        <v>0</v>
      </c>
      <c r="DR268" s="136" t="n">
        <v>0</v>
      </c>
      <c r="DS268" s="136" t="n">
        <v>0.315</v>
      </c>
      <c r="DT268" s="136" t="n">
        <v>-0.005</v>
      </c>
    </row>
    <row r="269" customFormat="false" ht="12.75" hidden="false" customHeight="false" outlineLevel="0" collapsed="false">
      <c r="D269" s="135" t="n">
        <v>44835</v>
      </c>
      <c r="F269" s="174" t="n">
        <v>4.8195</v>
      </c>
      <c r="G269" s="175" t="n">
        <v>0.066624054507257</v>
      </c>
      <c r="H269" s="174" t="n">
        <v>0.17</v>
      </c>
      <c r="I269" s="174" t="n">
        <v>0</v>
      </c>
      <c r="J269" s="174" t="n">
        <v>0.6</v>
      </c>
      <c r="K269" s="174" t="n">
        <v>0.55</v>
      </c>
      <c r="L269" s="174" t="n">
        <v>0.6</v>
      </c>
      <c r="M269" s="174" t="n">
        <v>0.6</v>
      </c>
      <c r="N269" s="174" t="n">
        <v>0.65</v>
      </c>
      <c r="O269" s="174" t="n">
        <v>0.65</v>
      </c>
      <c r="P269" s="174" t="n">
        <v>0.6</v>
      </c>
      <c r="Q269" s="174" t="n">
        <v>0.5</v>
      </c>
      <c r="R269" s="175" t="n">
        <v>0</v>
      </c>
      <c r="S269" s="175" t="n">
        <v>0.65</v>
      </c>
      <c r="T269" s="174" t="n">
        <v>0.6</v>
      </c>
      <c r="U269" s="174" t="n">
        <v>0.65</v>
      </c>
      <c r="V269" s="174" t="n">
        <v>0.7</v>
      </c>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5"/>
      <c r="AZ269" s="175"/>
      <c r="BA269" s="175" t="n">
        <v>0</v>
      </c>
      <c r="BB269" s="174" t="n">
        <v>0</v>
      </c>
      <c r="BC269" s="174" t="n">
        <v>-0.07</v>
      </c>
      <c r="BD269" s="174" t="n">
        <v>0</v>
      </c>
      <c r="BE269" s="174" t="n">
        <v>0</v>
      </c>
      <c r="BF269" s="174" t="n">
        <v>0</v>
      </c>
      <c r="BG269" s="174" t="n">
        <v>-0.06</v>
      </c>
      <c r="BH269" s="174" t="n">
        <v>0</v>
      </c>
      <c r="BI269" s="174" t="n">
        <v>0</v>
      </c>
      <c r="BJ269" s="136" t="n">
        <v>0</v>
      </c>
      <c r="BK269" s="136" t="n">
        <v>0</v>
      </c>
      <c r="BL269" s="136" t="n">
        <v>0</v>
      </c>
      <c r="BM269" s="136" t="n">
        <v>0.05</v>
      </c>
      <c r="BN269" s="136" t="n">
        <v>0</v>
      </c>
      <c r="BO269" s="136" t="n">
        <v>0</v>
      </c>
      <c r="BP269" s="136" t="n">
        <v>0</v>
      </c>
      <c r="BQ269" s="136" t="n">
        <v>0</v>
      </c>
      <c r="BR269" s="136" t="n">
        <v>0</v>
      </c>
      <c r="BS269" s="136" t="n">
        <v>-0.07</v>
      </c>
      <c r="BT269" s="136" t="n">
        <v>0</v>
      </c>
      <c r="BU269" s="136" t="n">
        <v>-0.2</v>
      </c>
      <c r="BV269" s="136" t="n">
        <v>0</v>
      </c>
      <c r="BW269" s="136" t="n">
        <v>0</v>
      </c>
      <c r="BX269" s="136" t="n">
        <v>0</v>
      </c>
      <c r="BY269" s="136" t="n">
        <v>0</v>
      </c>
      <c r="BZ269" s="136" t="n">
        <v>0</v>
      </c>
      <c r="CA269" s="136" t="n">
        <v>0.145</v>
      </c>
      <c r="CB269" s="136" t="n">
        <v>0.005</v>
      </c>
      <c r="CC269" s="136" t="n">
        <v>0</v>
      </c>
      <c r="CD269" s="136" t="n">
        <v>0</v>
      </c>
      <c r="CE269" s="136" t="n">
        <v>0</v>
      </c>
      <c r="CF269" s="136" t="n">
        <v>0</v>
      </c>
      <c r="CG269" s="136" t="n">
        <v>0</v>
      </c>
      <c r="CH269" s="136" t="n">
        <v>0</v>
      </c>
      <c r="CI269" s="136" t="n">
        <v>0</v>
      </c>
      <c r="CJ269" s="136" t="n">
        <v>0</v>
      </c>
      <c r="CK269" s="136" t="n">
        <v>0</v>
      </c>
      <c r="CL269" s="136" t="n">
        <v>0</v>
      </c>
      <c r="CM269" s="136" t="n">
        <v>0</v>
      </c>
      <c r="CN269" s="136" t="n">
        <v>0</v>
      </c>
      <c r="CO269" s="136" t="n">
        <v>0</v>
      </c>
      <c r="CP269" s="136" t="n">
        <v>0</v>
      </c>
      <c r="CQ269" s="136" t="n">
        <v>0</v>
      </c>
      <c r="CR269" s="136" t="n">
        <v>0</v>
      </c>
      <c r="CS269" s="136" t="n">
        <v>0.4</v>
      </c>
      <c r="CT269" s="136" t="n">
        <v>0.01</v>
      </c>
      <c r="CU269" s="136" t="n">
        <v>0.05</v>
      </c>
      <c r="CV269" s="136" t="n">
        <v>0</v>
      </c>
      <c r="CW269" s="136" t="n">
        <v>0.175</v>
      </c>
      <c r="CX269" s="136" t="n">
        <v>0.0075</v>
      </c>
      <c r="CY269" s="136" t="n">
        <v>-0.18</v>
      </c>
      <c r="CZ269" s="136" t="n">
        <v>0</v>
      </c>
      <c r="DA269" s="136" t="n">
        <v>0</v>
      </c>
      <c r="DB269" s="136" t="n">
        <v>0</v>
      </c>
      <c r="DC269" s="136" t="n">
        <v>0.45</v>
      </c>
      <c r="DE269" s="136" t="n">
        <v>-0.0355</v>
      </c>
      <c r="DF269" s="136" t="n">
        <v>0.01</v>
      </c>
      <c r="DG269" s="136" t="n">
        <v>0.021</v>
      </c>
      <c r="DH269" s="136" t="n">
        <v>0.01</v>
      </c>
      <c r="DI269" s="136" t="n">
        <v>0.006</v>
      </c>
      <c r="DJ269" s="136" t="n">
        <v>0.0075</v>
      </c>
      <c r="DK269" s="136" t="n">
        <v>0</v>
      </c>
      <c r="DL269" s="136" t="n">
        <v>0</v>
      </c>
      <c r="DM269" s="136" t="n">
        <v>0</v>
      </c>
      <c r="DN269" s="136" t="n">
        <v>0</v>
      </c>
      <c r="DO269" s="136" t="n">
        <v>0</v>
      </c>
      <c r="DP269" s="136" t="n">
        <v>0</v>
      </c>
      <c r="DQ269" s="136" t="n">
        <v>0</v>
      </c>
      <c r="DR269" s="136" t="n">
        <v>0</v>
      </c>
      <c r="DS269" s="136" t="n">
        <v>0.36</v>
      </c>
      <c r="DT269" s="136" t="n">
        <v>-0.005</v>
      </c>
    </row>
    <row r="270" customFormat="false" ht="12.75" hidden="false" customHeight="false" outlineLevel="0" collapsed="false">
      <c r="D270" s="135" t="n">
        <v>44866</v>
      </c>
      <c r="F270" s="174" t="n">
        <v>4.9715</v>
      </c>
      <c r="G270" s="175" t="n">
        <v>0.0666106108199696</v>
      </c>
      <c r="H270" s="174" t="n">
        <v>0.17</v>
      </c>
      <c r="I270" s="174" t="n">
        <v>0</v>
      </c>
      <c r="J270" s="174" t="n">
        <v>0.85</v>
      </c>
      <c r="K270" s="174" t="n">
        <v>0.8</v>
      </c>
      <c r="L270" s="174" t="n">
        <v>0.8</v>
      </c>
      <c r="M270" s="174" t="n">
        <v>0.9</v>
      </c>
      <c r="N270" s="174" t="n">
        <v>0.95</v>
      </c>
      <c r="O270" s="174" t="n">
        <v>0.85</v>
      </c>
      <c r="P270" s="174" t="n">
        <v>0.8</v>
      </c>
      <c r="Q270" s="174" t="n">
        <v>0.95</v>
      </c>
      <c r="R270" s="175" t="n">
        <v>0</v>
      </c>
      <c r="S270" s="175" t="n">
        <v>0.8</v>
      </c>
      <c r="T270" s="174" t="n">
        <v>0.8</v>
      </c>
      <c r="U270" s="174" t="n">
        <v>0.95</v>
      </c>
      <c r="V270" s="174" t="n">
        <v>0.9</v>
      </c>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c r="AS270" s="174"/>
      <c r="AT270" s="174"/>
      <c r="AU270" s="174"/>
      <c r="AV270" s="174"/>
      <c r="AW270" s="174"/>
      <c r="AX270" s="174"/>
      <c r="AY270" s="175"/>
      <c r="AZ270" s="175"/>
      <c r="BA270" s="175" t="n">
        <v>0</v>
      </c>
      <c r="BB270" s="174" t="n">
        <v>0</v>
      </c>
      <c r="BC270" s="174" t="n">
        <v>-0.07</v>
      </c>
      <c r="BD270" s="174" t="n">
        <v>0</v>
      </c>
      <c r="BE270" s="174" t="n">
        <v>0</v>
      </c>
      <c r="BF270" s="174" t="n">
        <v>0</v>
      </c>
      <c r="BG270" s="174" t="n">
        <v>-0.06</v>
      </c>
      <c r="BH270" s="174" t="n">
        <v>0</v>
      </c>
      <c r="BI270" s="174" t="n">
        <v>0</v>
      </c>
      <c r="BJ270" s="136" t="n">
        <v>0</v>
      </c>
      <c r="BK270" s="136" t="n">
        <v>0</v>
      </c>
      <c r="BL270" s="136" t="n">
        <v>0</v>
      </c>
      <c r="BM270" s="136" t="n">
        <v>0.05</v>
      </c>
      <c r="BN270" s="136" t="n">
        <v>0</v>
      </c>
      <c r="BO270" s="136" t="n">
        <v>0</v>
      </c>
      <c r="BP270" s="136" t="n">
        <v>0</v>
      </c>
      <c r="BQ270" s="136" t="n">
        <v>0</v>
      </c>
      <c r="BR270" s="136" t="n">
        <v>0</v>
      </c>
      <c r="BS270" s="136" t="n">
        <v>-0.07</v>
      </c>
      <c r="BT270" s="136" t="n">
        <v>0</v>
      </c>
      <c r="BU270" s="136" t="n">
        <v>-0.2</v>
      </c>
      <c r="BV270" s="136" t="n">
        <v>0</v>
      </c>
      <c r="BW270" s="136" t="n">
        <v>0</v>
      </c>
      <c r="BX270" s="136" t="n">
        <v>0</v>
      </c>
      <c r="BY270" s="136" t="n">
        <v>0</v>
      </c>
      <c r="BZ270" s="136" t="n">
        <v>0</v>
      </c>
      <c r="CA270" s="136" t="n">
        <v>0.195</v>
      </c>
      <c r="CB270" s="136" t="n">
        <v>0.005</v>
      </c>
      <c r="CC270" s="136" t="n">
        <v>0</v>
      </c>
      <c r="CD270" s="136" t="n">
        <v>0</v>
      </c>
      <c r="CE270" s="136" t="n">
        <v>0</v>
      </c>
      <c r="CF270" s="136" t="n">
        <v>0</v>
      </c>
      <c r="CG270" s="136" t="n">
        <v>0</v>
      </c>
      <c r="CH270" s="136" t="n">
        <v>0</v>
      </c>
      <c r="CI270" s="136" t="n">
        <v>0</v>
      </c>
      <c r="CJ270" s="136" t="n">
        <v>0</v>
      </c>
      <c r="CK270" s="136" t="n">
        <v>0</v>
      </c>
      <c r="CL270" s="136" t="n">
        <v>0</v>
      </c>
      <c r="CM270" s="136" t="n">
        <v>0</v>
      </c>
      <c r="CN270" s="136" t="n">
        <v>0</v>
      </c>
      <c r="CO270" s="136" t="n">
        <v>0</v>
      </c>
      <c r="CP270" s="136" t="n">
        <v>0</v>
      </c>
      <c r="CQ270" s="136" t="n">
        <v>0</v>
      </c>
      <c r="CR270" s="136" t="n">
        <v>0</v>
      </c>
      <c r="CS270" s="136" t="n">
        <v>0.65</v>
      </c>
      <c r="CT270" s="136" t="n">
        <v>0.055</v>
      </c>
      <c r="CU270" s="136" t="n">
        <v>0.05</v>
      </c>
      <c r="CV270" s="136" t="n">
        <v>0</v>
      </c>
      <c r="CW270" s="136" t="n">
        <v>0.21</v>
      </c>
      <c r="CX270" s="136" t="n">
        <v>0.02</v>
      </c>
      <c r="CY270" s="136" t="n">
        <v>-0.18</v>
      </c>
      <c r="CZ270" s="136" t="n">
        <v>0</v>
      </c>
      <c r="DA270" s="136" t="n">
        <v>0</v>
      </c>
      <c r="DB270" s="136" t="n">
        <v>0</v>
      </c>
      <c r="DC270" s="136" t="n">
        <v>0.45</v>
      </c>
      <c r="DE270" s="136" t="n">
        <v>-0.024</v>
      </c>
      <c r="DF270" s="136" t="n">
        <v>0.0125</v>
      </c>
      <c r="DG270" s="136" t="n">
        <v>0.022</v>
      </c>
      <c r="DH270" s="136" t="n">
        <v>0.0075</v>
      </c>
      <c r="DI270" s="136" t="n">
        <v>0.007</v>
      </c>
      <c r="DJ270" s="136" t="n">
        <v>0.0025</v>
      </c>
      <c r="DK270" s="136" t="n">
        <v>0</v>
      </c>
      <c r="DL270" s="136" t="n">
        <v>0</v>
      </c>
      <c r="DM270" s="136" t="n">
        <v>0</v>
      </c>
      <c r="DN270" s="136" t="n">
        <v>0</v>
      </c>
      <c r="DO270" s="136" t="n">
        <v>0</v>
      </c>
      <c r="DP270" s="136" t="n">
        <v>0</v>
      </c>
      <c r="DQ270" s="136" t="n">
        <v>0</v>
      </c>
      <c r="DR270" s="136" t="n">
        <v>0</v>
      </c>
      <c r="DS270" s="136" t="n">
        <v>0.46</v>
      </c>
      <c r="DT270" s="136" t="n">
        <v>0.05</v>
      </c>
    </row>
    <row r="271" customFormat="false" ht="12.75" hidden="false" customHeight="false" outlineLevel="0" collapsed="false">
      <c r="D271" s="135" t="n">
        <v>44896</v>
      </c>
      <c r="F271" s="174" t="n">
        <v>5.1145</v>
      </c>
      <c r="G271" s="175" t="n">
        <v>0.0665976008000708</v>
      </c>
      <c r="H271" s="174" t="n">
        <v>0.17</v>
      </c>
      <c r="I271" s="174" t="n">
        <v>0</v>
      </c>
      <c r="J271" s="174" t="n">
        <v>1.05</v>
      </c>
      <c r="K271" s="174" t="n">
        <v>1</v>
      </c>
      <c r="L271" s="174" t="n">
        <v>1</v>
      </c>
      <c r="M271" s="174" t="n">
        <v>1.15</v>
      </c>
      <c r="N271" s="174" t="n">
        <v>1.25</v>
      </c>
      <c r="O271" s="174" t="n">
        <v>1.05</v>
      </c>
      <c r="P271" s="174" t="n">
        <v>1</v>
      </c>
      <c r="Q271" s="174" t="n">
        <v>1.35</v>
      </c>
      <c r="R271" s="175" t="n">
        <v>0</v>
      </c>
      <c r="S271" s="175" t="n">
        <v>1.1</v>
      </c>
      <c r="T271" s="174" t="n">
        <v>1</v>
      </c>
      <c r="U271" s="174" t="n">
        <v>1.25</v>
      </c>
      <c r="V271" s="174" t="n">
        <v>1.1</v>
      </c>
      <c r="W271" s="174"/>
      <c r="X271" s="174"/>
      <c r="Y271" s="174"/>
      <c r="Z271" s="174"/>
      <c r="AA271" s="174"/>
      <c r="AB271" s="174"/>
      <c r="AC271" s="174"/>
      <c r="AD271" s="174"/>
      <c r="AE271" s="174"/>
      <c r="AF271" s="174"/>
      <c r="AG271" s="174"/>
      <c r="AH271" s="174"/>
      <c r="AI271" s="174"/>
      <c r="AJ271" s="174"/>
      <c r="AK271" s="174"/>
      <c r="AL271" s="174"/>
      <c r="AM271" s="174"/>
      <c r="AN271" s="174"/>
      <c r="AO271" s="174"/>
      <c r="AP271" s="174"/>
      <c r="AQ271" s="174"/>
      <c r="AR271" s="174"/>
      <c r="AS271" s="174"/>
      <c r="AT271" s="174"/>
      <c r="AU271" s="174"/>
      <c r="AV271" s="174"/>
      <c r="AW271" s="174"/>
      <c r="AX271" s="174"/>
      <c r="AY271" s="175"/>
      <c r="AZ271" s="175"/>
      <c r="BA271" s="175" t="n">
        <v>0</v>
      </c>
      <c r="BB271" s="174" t="n">
        <v>0</v>
      </c>
      <c r="BC271" s="174" t="n">
        <v>-0.07</v>
      </c>
      <c r="BD271" s="174" t="n">
        <v>0</v>
      </c>
      <c r="BE271" s="174" t="n">
        <v>0</v>
      </c>
      <c r="BF271" s="174" t="n">
        <v>0</v>
      </c>
      <c r="BG271" s="174" t="n">
        <v>-0.06</v>
      </c>
      <c r="BH271" s="174" t="n">
        <v>0</v>
      </c>
      <c r="BI271" s="174" t="n">
        <v>0</v>
      </c>
      <c r="BJ271" s="136" t="n">
        <v>0</v>
      </c>
      <c r="BK271" s="136" t="n">
        <v>0</v>
      </c>
      <c r="BL271" s="136" t="n">
        <v>0</v>
      </c>
      <c r="BM271" s="136" t="n">
        <v>0.05</v>
      </c>
      <c r="BN271" s="136" t="n">
        <v>0</v>
      </c>
      <c r="BO271" s="136" t="n">
        <v>0</v>
      </c>
      <c r="BP271" s="136" t="n">
        <v>0</v>
      </c>
      <c r="BQ271" s="136" t="n">
        <v>0</v>
      </c>
      <c r="BR271" s="136" t="n">
        <v>0</v>
      </c>
      <c r="BS271" s="136" t="n">
        <v>-0.07</v>
      </c>
      <c r="BT271" s="136" t="n">
        <v>0</v>
      </c>
      <c r="BU271" s="136" t="n">
        <v>-0.2</v>
      </c>
      <c r="BV271" s="136" t="n">
        <v>0</v>
      </c>
      <c r="BW271" s="136" t="n">
        <v>0</v>
      </c>
      <c r="BX271" s="136" t="n">
        <v>0</v>
      </c>
      <c r="BY271" s="136" t="n">
        <v>0</v>
      </c>
      <c r="BZ271" s="136" t="n">
        <v>0</v>
      </c>
      <c r="CA271" s="136" t="n">
        <v>0.215</v>
      </c>
      <c r="CB271" s="136" t="n">
        <v>0.005</v>
      </c>
      <c r="CC271" s="136" t="n">
        <v>0</v>
      </c>
      <c r="CD271" s="136" t="n">
        <v>0</v>
      </c>
      <c r="CE271" s="136" t="n">
        <v>0</v>
      </c>
      <c r="CF271" s="136" t="n">
        <v>0</v>
      </c>
      <c r="CG271" s="136" t="n">
        <v>0</v>
      </c>
      <c r="CH271" s="136" t="n">
        <v>0</v>
      </c>
      <c r="CI271" s="136" t="n">
        <v>0</v>
      </c>
      <c r="CJ271" s="136" t="n">
        <v>0</v>
      </c>
      <c r="CK271" s="136" t="n">
        <v>0</v>
      </c>
      <c r="CL271" s="136" t="n">
        <v>0</v>
      </c>
      <c r="CM271" s="136" t="n">
        <v>0</v>
      </c>
      <c r="CN271" s="136" t="n">
        <v>0</v>
      </c>
      <c r="CO271" s="136" t="n">
        <v>0</v>
      </c>
      <c r="CP271" s="136" t="n">
        <v>0</v>
      </c>
      <c r="CQ271" s="136" t="n">
        <v>0</v>
      </c>
      <c r="CR271" s="136" t="n">
        <v>0</v>
      </c>
      <c r="CS271" s="136" t="n">
        <v>0.98</v>
      </c>
      <c r="CT271" s="136" t="n">
        <v>0.25</v>
      </c>
      <c r="CU271" s="136" t="n">
        <v>0.05</v>
      </c>
      <c r="CV271" s="136" t="n">
        <v>0</v>
      </c>
      <c r="CW271" s="136" t="n">
        <v>0.29</v>
      </c>
      <c r="CX271" s="136" t="n">
        <v>0.02</v>
      </c>
      <c r="CY271" s="136" t="n">
        <v>-0.18</v>
      </c>
      <c r="CZ271" s="136" t="n">
        <v>0</v>
      </c>
      <c r="DA271" s="136" t="n">
        <v>0</v>
      </c>
      <c r="DB271" s="136" t="n">
        <v>0</v>
      </c>
      <c r="DC271" s="136" t="n">
        <v>0.4</v>
      </c>
      <c r="DE271" s="136" t="n">
        <v>-0.024</v>
      </c>
      <c r="DF271" s="136" t="n">
        <v>0.0125</v>
      </c>
      <c r="DG271" s="136" t="n">
        <v>0.022</v>
      </c>
      <c r="DH271" s="136" t="n">
        <v>0.0075</v>
      </c>
      <c r="DI271" s="136" t="n">
        <v>0.007</v>
      </c>
      <c r="DJ271" s="136" t="n">
        <v>0.0025</v>
      </c>
      <c r="DK271" s="136" t="n">
        <v>0</v>
      </c>
      <c r="DL271" s="136" t="n">
        <v>0</v>
      </c>
      <c r="DM271" s="136" t="n">
        <v>0</v>
      </c>
      <c r="DN271" s="136" t="n">
        <v>0</v>
      </c>
      <c r="DO271" s="136" t="n">
        <v>0</v>
      </c>
      <c r="DP271" s="136" t="n">
        <v>0</v>
      </c>
      <c r="DQ271" s="136" t="n">
        <v>0</v>
      </c>
      <c r="DR271" s="136" t="n">
        <v>0</v>
      </c>
      <c r="DS271" s="136" t="n">
        <v>0.77</v>
      </c>
      <c r="DT271" s="136" t="n">
        <v>0.05</v>
      </c>
    </row>
    <row r="272" customFormat="false" ht="12.75" hidden="false" customHeight="false" outlineLevel="0" collapsed="false">
      <c r="D272" s="135" t="n">
        <v>44927</v>
      </c>
      <c r="F272" s="174" t="n">
        <v>5.1745</v>
      </c>
      <c r="G272" s="175" t="n">
        <v>0.0665841571129011</v>
      </c>
      <c r="H272" s="174" t="n">
        <v>0.17</v>
      </c>
      <c r="I272" s="174" t="n">
        <v>0</v>
      </c>
      <c r="J272" s="174" t="n">
        <v>1.05</v>
      </c>
      <c r="K272" s="174" t="n">
        <v>1</v>
      </c>
      <c r="L272" s="174" t="n">
        <v>1</v>
      </c>
      <c r="M272" s="174" t="n">
        <v>1.15</v>
      </c>
      <c r="N272" s="174" t="n">
        <v>1.45</v>
      </c>
      <c r="O272" s="174" t="n">
        <v>1.05</v>
      </c>
      <c r="P272" s="174" t="n">
        <v>1</v>
      </c>
      <c r="Q272" s="174" t="n">
        <v>1.35</v>
      </c>
      <c r="R272" s="175" t="n">
        <v>0</v>
      </c>
      <c r="S272" s="175" t="n">
        <v>1.1</v>
      </c>
      <c r="T272" s="174" t="n">
        <v>1</v>
      </c>
      <c r="U272" s="174" t="n">
        <v>1.45</v>
      </c>
      <c r="V272" s="174" t="n">
        <v>1.1</v>
      </c>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5"/>
      <c r="AZ272" s="175"/>
      <c r="BA272" s="175" t="n">
        <v>0</v>
      </c>
      <c r="BB272" s="174" t="n">
        <v>0</v>
      </c>
      <c r="BC272" s="174" t="n">
        <v>-0.07</v>
      </c>
      <c r="BD272" s="174" t="n">
        <v>0</v>
      </c>
      <c r="BE272" s="174" t="n">
        <v>0</v>
      </c>
      <c r="BF272" s="174" t="n">
        <v>0</v>
      </c>
      <c r="BG272" s="174" t="n">
        <v>-0.06</v>
      </c>
      <c r="BH272" s="174" t="n">
        <v>0</v>
      </c>
      <c r="BI272" s="174" t="n">
        <v>0</v>
      </c>
      <c r="BJ272" s="136" t="n">
        <v>0</v>
      </c>
      <c r="BK272" s="136" t="n">
        <v>0</v>
      </c>
      <c r="BL272" s="136" t="n">
        <v>0</v>
      </c>
      <c r="BM272" s="136" t="n">
        <v>0.05</v>
      </c>
      <c r="BN272" s="136" t="n">
        <v>0</v>
      </c>
      <c r="BO272" s="136" t="n">
        <v>0</v>
      </c>
      <c r="BP272" s="136" t="n">
        <v>0</v>
      </c>
      <c r="BQ272" s="136" t="n">
        <v>0</v>
      </c>
      <c r="BR272" s="136" t="n">
        <v>0</v>
      </c>
      <c r="BS272" s="136" t="n">
        <v>-0.07</v>
      </c>
      <c r="BT272" s="136" t="n">
        <v>0</v>
      </c>
      <c r="BU272" s="136" t="n">
        <v>-0.2</v>
      </c>
      <c r="BV272" s="136" t="n">
        <v>0</v>
      </c>
      <c r="BW272" s="136" t="n">
        <v>0</v>
      </c>
      <c r="BX272" s="136" t="n">
        <v>0</v>
      </c>
      <c r="CA272" s="136" t="n">
        <v>0.235</v>
      </c>
      <c r="CB272" s="136" t="n">
        <v>0.005</v>
      </c>
      <c r="CM272" s="136"/>
      <c r="CN272" s="136"/>
      <c r="CO272" s="136"/>
      <c r="CP272" s="136"/>
      <c r="CQ272" s="136"/>
      <c r="CR272" s="136"/>
      <c r="CS272" s="136" t="n">
        <v>1.6</v>
      </c>
      <c r="CT272" s="136" t="n">
        <v>0.45</v>
      </c>
      <c r="CU272" s="136" t="n">
        <v>0.05</v>
      </c>
      <c r="CV272" s="136" t="n">
        <v>0</v>
      </c>
      <c r="CW272" s="136" t="n">
        <v>0.34</v>
      </c>
      <c r="CX272" s="136" t="n">
        <v>0.02</v>
      </c>
      <c r="CY272" s="136" t="n">
        <v>-0.18</v>
      </c>
      <c r="CZ272" s="136" t="n">
        <v>0</v>
      </c>
      <c r="DA272" s="136" t="n">
        <v>0</v>
      </c>
      <c r="DB272" s="136" t="n">
        <v>0</v>
      </c>
      <c r="DC272" s="136" t="n">
        <v>0.35</v>
      </c>
      <c r="DK272" s="136"/>
      <c r="DL272" s="136"/>
      <c r="DM272" s="136"/>
      <c r="DN272" s="136"/>
      <c r="DO272" s="136"/>
      <c r="DP272" s="136"/>
      <c r="DQ272" s="136"/>
      <c r="DR272" s="136"/>
      <c r="DS272" s="136" t="n">
        <v>1.04</v>
      </c>
      <c r="DT272" s="136" t="n">
        <v>0.05</v>
      </c>
    </row>
    <row r="273" customFormat="false" ht="12.75" hidden="false" customHeight="false" outlineLevel="0" collapsed="false">
      <c r="D273" s="135" t="n">
        <v>44958</v>
      </c>
      <c r="F273" s="174" t="n">
        <v>5.0895</v>
      </c>
      <c r="G273" s="175" t="n">
        <v>0.0665707134257914</v>
      </c>
      <c r="H273" s="174" t="n">
        <v>0.17</v>
      </c>
      <c r="I273" s="174" t="n">
        <v>0</v>
      </c>
      <c r="J273" s="174" t="n">
        <v>1.05</v>
      </c>
      <c r="K273" s="174" t="n">
        <v>1</v>
      </c>
      <c r="L273" s="174" t="n">
        <v>1</v>
      </c>
      <c r="M273" s="174" t="n">
        <v>1.15</v>
      </c>
      <c r="N273" s="174" t="n">
        <v>1.45</v>
      </c>
      <c r="O273" s="174" t="n">
        <v>1.05</v>
      </c>
      <c r="P273" s="174" t="n">
        <v>1</v>
      </c>
      <c r="Q273" s="174" t="n">
        <v>1.35</v>
      </c>
      <c r="R273" s="175" t="n">
        <v>0</v>
      </c>
      <c r="S273" s="175" t="n">
        <v>1.1</v>
      </c>
      <c r="T273" s="174" t="n">
        <v>1</v>
      </c>
      <c r="U273" s="174" t="n">
        <v>1.45</v>
      </c>
      <c r="V273" s="174" t="n">
        <v>1.1</v>
      </c>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5"/>
      <c r="AZ273" s="175"/>
      <c r="BA273" s="175" t="n">
        <v>0</v>
      </c>
      <c r="BB273" s="174" t="n">
        <v>0</v>
      </c>
      <c r="BC273" s="174" t="n">
        <v>-0.07</v>
      </c>
      <c r="BD273" s="174" t="n">
        <v>0</v>
      </c>
      <c r="BE273" s="174" t="n">
        <v>0</v>
      </c>
      <c r="BF273" s="174" t="n">
        <v>0</v>
      </c>
      <c r="BG273" s="174" t="n">
        <v>-0.06</v>
      </c>
      <c r="BH273" s="174" t="n">
        <v>0</v>
      </c>
      <c r="BI273" s="174" t="n">
        <v>0</v>
      </c>
      <c r="BJ273" s="136" t="n">
        <v>0</v>
      </c>
      <c r="BK273" s="136" t="n">
        <v>0</v>
      </c>
      <c r="BL273" s="136" t="n">
        <v>0</v>
      </c>
      <c r="BM273" s="136" t="n">
        <v>0.05</v>
      </c>
      <c r="BN273" s="136" t="n">
        <v>0</v>
      </c>
      <c r="BO273" s="136" t="n">
        <v>0</v>
      </c>
      <c r="BP273" s="136" t="n">
        <v>0</v>
      </c>
      <c r="BQ273" s="136" t="n">
        <v>0</v>
      </c>
      <c r="BR273" s="136" t="n">
        <v>0</v>
      </c>
      <c r="BS273" s="136" t="n">
        <v>-0.07</v>
      </c>
      <c r="BT273" s="136" t="n">
        <v>0</v>
      </c>
      <c r="BU273" s="136" t="n">
        <v>-0.2</v>
      </c>
      <c r="BV273" s="136" t="n">
        <v>0</v>
      </c>
      <c r="BW273" s="136" t="n">
        <v>0</v>
      </c>
      <c r="BX273" s="136" t="n">
        <v>0</v>
      </c>
      <c r="CA273" s="136" t="n">
        <v>0.235</v>
      </c>
      <c r="CB273" s="136" t="n">
        <v>0.005</v>
      </c>
      <c r="CM273" s="136"/>
      <c r="CN273" s="136"/>
      <c r="CO273" s="136"/>
      <c r="CP273" s="136"/>
      <c r="CQ273" s="136"/>
      <c r="CR273" s="136"/>
      <c r="CS273" s="136" t="n">
        <v>1.6</v>
      </c>
      <c r="CT273" s="136" t="n">
        <v>0.45</v>
      </c>
      <c r="CU273" s="136" t="n">
        <v>0.05</v>
      </c>
      <c r="CV273" s="136" t="n">
        <v>0</v>
      </c>
      <c r="CW273" s="136" t="n">
        <v>0.34</v>
      </c>
      <c r="CX273" s="136" t="n">
        <v>0.02</v>
      </c>
      <c r="CY273" s="136" t="n">
        <v>-0.18</v>
      </c>
      <c r="CZ273" s="136" t="n">
        <v>0</v>
      </c>
      <c r="DA273" s="136" t="n">
        <v>0</v>
      </c>
      <c r="DB273" s="136" t="n">
        <v>0</v>
      </c>
      <c r="DC273" s="136" t="n">
        <v>0.35</v>
      </c>
      <c r="DK273" s="136"/>
      <c r="DL273" s="136"/>
      <c r="DM273" s="136"/>
      <c r="DN273" s="136"/>
      <c r="DO273" s="136"/>
      <c r="DP273" s="136"/>
      <c r="DQ273" s="136"/>
      <c r="DR273" s="136"/>
      <c r="DS273" s="136" t="n">
        <v>1.04</v>
      </c>
      <c r="DT273" s="136" t="n">
        <v>0.05</v>
      </c>
    </row>
    <row r="274" customFormat="false" ht="12.75" hidden="false" customHeight="false" outlineLevel="0" collapsed="false">
      <c r="D274" s="135" t="n">
        <v>44986</v>
      </c>
      <c r="F274" s="174" t="n">
        <v>4.9595</v>
      </c>
      <c r="G274" s="175" t="n">
        <v>0.0665585707407112</v>
      </c>
      <c r="H274" s="174" t="n">
        <v>0.17</v>
      </c>
      <c r="I274" s="174" t="n">
        <v>0</v>
      </c>
      <c r="J274" s="174" t="n">
        <v>0.8</v>
      </c>
      <c r="K274" s="174" t="n">
        <v>0.75</v>
      </c>
      <c r="L274" s="174" t="n">
        <v>0.75</v>
      </c>
      <c r="M274" s="174" t="n">
        <v>0.85</v>
      </c>
      <c r="N274" s="174" t="n">
        <v>1</v>
      </c>
      <c r="O274" s="174" t="n">
        <v>0.75</v>
      </c>
      <c r="P274" s="174" t="n">
        <v>0.75</v>
      </c>
      <c r="Q274" s="174" t="n">
        <v>0.95</v>
      </c>
      <c r="R274" s="175" t="n">
        <v>0</v>
      </c>
      <c r="S274" s="175" t="n">
        <v>0.75</v>
      </c>
      <c r="T274" s="174" t="n">
        <v>0.75</v>
      </c>
      <c r="U274" s="174" t="n">
        <v>1</v>
      </c>
      <c r="V274" s="174" t="n">
        <v>0.85</v>
      </c>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5"/>
      <c r="AZ274" s="175"/>
      <c r="BA274" s="175" t="n">
        <v>0</v>
      </c>
      <c r="BB274" s="174" t="n">
        <v>0</v>
      </c>
      <c r="BC274" s="174" t="n">
        <v>-0.07</v>
      </c>
      <c r="BD274" s="174" t="n">
        <v>0</v>
      </c>
      <c r="BE274" s="174" t="n">
        <v>0</v>
      </c>
      <c r="BF274" s="174" t="n">
        <v>0</v>
      </c>
      <c r="BG274" s="174" t="n">
        <v>-0.06</v>
      </c>
      <c r="BH274" s="174" t="n">
        <v>0</v>
      </c>
      <c r="BI274" s="174" t="n">
        <v>0</v>
      </c>
      <c r="BJ274" s="136" t="n">
        <v>0</v>
      </c>
      <c r="BK274" s="136" t="n">
        <v>0</v>
      </c>
      <c r="BL274" s="136" t="n">
        <v>0</v>
      </c>
      <c r="BM274" s="136" t="n">
        <v>0.05</v>
      </c>
      <c r="BN274" s="136" t="n">
        <v>0</v>
      </c>
      <c r="BO274" s="136" t="n">
        <v>0</v>
      </c>
      <c r="BP274" s="136" t="n">
        <v>0</v>
      </c>
      <c r="BQ274" s="136" t="n">
        <v>0</v>
      </c>
      <c r="BR274" s="136" t="n">
        <v>0</v>
      </c>
      <c r="BS274" s="136" t="n">
        <v>-0.07</v>
      </c>
      <c r="BT274" s="136" t="n">
        <v>0</v>
      </c>
      <c r="BU274" s="136" t="n">
        <v>-0.2</v>
      </c>
      <c r="BV274" s="136" t="n">
        <v>0</v>
      </c>
      <c r="BW274" s="136" t="n">
        <v>0</v>
      </c>
      <c r="BX274" s="136" t="n">
        <v>0</v>
      </c>
      <c r="CA274" s="136" t="n">
        <v>0.195</v>
      </c>
      <c r="CB274" s="136" t="n">
        <v>0.005</v>
      </c>
      <c r="CM274" s="136"/>
      <c r="CN274" s="136"/>
      <c r="CO274" s="136"/>
      <c r="CP274" s="136"/>
      <c r="CQ274" s="136"/>
      <c r="CR274" s="136"/>
      <c r="CS274" s="136" t="n">
        <v>0.64</v>
      </c>
      <c r="CT274" s="136" t="n">
        <v>0.1</v>
      </c>
      <c r="CU274" s="136" t="n">
        <v>0.05</v>
      </c>
      <c r="CV274" s="136" t="n">
        <v>0</v>
      </c>
      <c r="CW274" s="136" t="n">
        <v>0.29</v>
      </c>
      <c r="CX274" s="136" t="n">
        <v>0.02</v>
      </c>
      <c r="CY274" s="136" t="n">
        <v>-0.18</v>
      </c>
      <c r="CZ274" s="136" t="n">
        <v>0</v>
      </c>
      <c r="DA274" s="136" t="n">
        <v>0</v>
      </c>
      <c r="DB274" s="136" t="n">
        <v>0</v>
      </c>
      <c r="DC274" s="136" t="n">
        <v>0.4</v>
      </c>
      <c r="DS274" s="136" t="n">
        <v>0.54</v>
      </c>
      <c r="DT274" s="136" t="n">
        <v>0.05</v>
      </c>
    </row>
    <row r="275" customFormat="false" ht="12.75" hidden="false" customHeight="false" outlineLevel="0" collapsed="false">
      <c r="D275" s="135" t="n">
        <v>45017</v>
      </c>
      <c r="F275" s="174" t="n">
        <v>4.7745</v>
      </c>
      <c r="G275" s="175" t="n">
        <v>0.0665451270537152</v>
      </c>
      <c r="H275" s="174" t="n">
        <v>0.17</v>
      </c>
      <c r="I275" s="174" t="n">
        <v>0</v>
      </c>
      <c r="J275" s="174" t="n">
        <v>0.45</v>
      </c>
      <c r="K275" s="174" t="n">
        <v>0.4</v>
      </c>
      <c r="L275" s="174" t="n">
        <v>0.45</v>
      </c>
      <c r="M275" s="174" t="n">
        <v>0.45</v>
      </c>
      <c r="N275" s="174" t="n">
        <v>0.45</v>
      </c>
      <c r="O275" s="174" t="n">
        <v>0.45</v>
      </c>
      <c r="P275" s="174" t="n">
        <v>0.45</v>
      </c>
      <c r="Q275" s="174" t="n">
        <v>0.5</v>
      </c>
      <c r="R275" s="175" t="n">
        <v>0</v>
      </c>
      <c r="S275" s="175" t="n">
        <v>0.45</v>
      </c>
      <c r="T275" s="174" t="n">
        <v>0.4</v>
      </c>
      <c r="U275" s="174" t="n">
        <v>0.45</v>
      </c>
      <c r="V275" s="174" t="n">
        <v>0.55</v>
      </c>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5"/>
      <c r="AZ275" s="175"/>
      <c r="BA275" s="175" t="n">
        <v>0</v>
      </c>
      <c r="BB275" s="174" t="n">
        <v>0</v>
      </c>
      <c r="BC275" s="174" t="n">
        <v>-0.07</v>
      </c>
      <c r="BD275" s="174" t="n">
        <v>0</v>
      </c>
      <c r="BE275" s="174" t="n">
        <v>0</v>
      </c>
      <c r="BF275" s="174" t="n">
        <v>0</v>
      </c>
      <c r="BG275" s="174" t="n">
        <v>-0.06</v>
      </c>
      <c r="BH275" s="174" t="n">
        <v>0</v>
      </c>
      <c r="BI275" s="174" t="n">
        <v>0</v>
      </c>
      <c r="BJ275" s="136" t="n">
        <v>0</v>
      </c>
      <c r="BK275" s="136" t="n">
        <v>0</v>
      </c>
      <c r="BL275" s="136" t="n">
        <v>0</v>
      </c>
      <c r="BM275" s="136" t="n">
        <v>0.05</v>
      </c>
      <c r="BN275" s="136" t="n">
        <v>0</v>
      </c>
      <c r="BO275" s="136" t="n">
        <v>0</v>
      </c>
      <c r="BP275" s="136" t="n">
        <v>0</v>
      </c>
      <c r="BQ275" s="136" t="n">
        <v>0</v>
      </c>
      <c r="BR275" s="136" t="n">
        <v>0</v>
      </c>
      <c r="BS275" s="136" t="n">
        <v>-0.07</v>
      </c>
      <c r="BT275" s="136" t="n">
        <v>0</v>
      </c>
      <c r="BU275" s="136" t="n">
        <v>-0.2</v>
      </c>
      <c r="BV275" s="136" t="n">
        <v>0</v>
      </c>
      <c r="BW275" s="136" t="n">
        <v>0</v>
      </c>
      <c r="BX275" s="136" t="n">
        <v>0</v>
      </c>
      <c r="CA275" s="136" t="n">
        <v>0.145</v>
      </c>
      <c r="CB275" s="136" t="n">
        <v>0.005</v>
      </c>
      <c r="CM275" s="136"/>
      <c r="CN275" s="136"/>
      <c r="CO275" s="136"/>
      <c r="CP275" s="136"/>
      <c r="CQ275" s="136"/>
      <c r="CR275" s="136"/>
      <c r="CS275" s="136" t="n">
        <v>0.38</v>
      </c>
      <c r="CT275" s="136" t="n">
        <v>0.02</v>
      </c>
      <c r="CU275" s="136" t="n">
        <v>0.05</v>
      </c>
      <c r="CV275" s="136" t="n">
        <v>0</v>
      </c>
      <c r="CW275" s="136" t="n">
        <v>0.195</v>
      </c>
      <c r="CX275" s="136" t="n">
        <v>0.0075</v>
      </c>
      <c r="CY275" s="136" t="n">
        <v>-0.18</v>
      </c>
      <c r="CZ275" s="136" t="n">
        <v>0</v>
      </c>
      <c r="DA275" s="136" t="n">
        <v>0</v>
      </c>
      <c r="DB275" s="136" t="n">
        <v>0</v>
      </c>
      <c r="DC275" s="136" t="n">
        <v>0.6</v>
      </c>
      <c r="DS275" s="136" t="n">
        <v>0.36</v>
      </c>
      <c r="DT275" s="136" t="n">
        <v>0.005</v>
      </c>
    </row>
    <row r="276" customFormat="false" ht="12.75" hidden="false" customHeight="false" outlineLevel="0" collapsed="false">
      <c r="D276" s="135" t="n">
        <v>45047</v>
      </c>
      <c r="F276" s="174" t="n">
        <v>4.7695</v>
      </c>
      <c r="G276" s="175" t="n">
        <v>0.0665321170340989</v>
      </c>
      <c r="H276" s="174" t="n">
        <v>0.17</v>
      </c>
      <c r="I276" s="174" t="n">
        <v>0</v>
      </c>
      <c r="J276" s="174" t="n">
        <v>0.5</v>
      </c>
      <c r="K276" s="174" t="n">
        <v>0.4</v>
      </c>
      <c r="L276" s="174" t="n">
        <v>0.4</v>
      </c>
      <c r="M276" s="174" t="n">
        <v>0.45</v>
      </c>
      <c r="N276" s="174" t="n">
        <v>0.5</v>
      </c>
      <c r="O276" s="174" t="n">
        <v>0.45</v>
      </c>
      <c r="P276" s="174" t="n">
        <v>0.4</v>
      </c>
      <c r="Q276" s="174" t="n">
        <v>0.45</v>
      </c>
      <c r="R276" s="175" t="n">
        <v>0</v>
      </c>
      <c r="S276" s="175" t="n">
        <v>0.5</v>
      </c>
      <c r="T276" s="174" t="n">
        <v>0.45</v>
      </c>
      <c r="U276" s="174" t="n">
        <v>0.5</v>
      </c>
      <c r="V276" s="174" t="n">
        <v>0.5</v>
      </c>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5"/>
      <c r="AZ276" s="175"/>
      <c r="BA276" s="175" t="n">
        <v>0</v>
      </c>
      <c r="BB276" s="174" t="n">
        <v>0</v>
      </c>
      <c r="BC276" s="174" t="n">
        <v>-0.07</v>
      </c>
      <c r="BD276" s="174" t="n">
        <v>0</v>
      </c>
      <c r="BE276" s="174" t="n">
        <v>0</v>
      </c>
      <c r="BF276" s="174" t="n">
        <v>0</v>
      </c>
      <c r="BG276" s="174" t="n">
        <v>-0.06</v>
      </c>
      <c r="BH276" s="174" t="n">
        <v>0</v>
      </c>
      <c r="BI276" s="174" t="n">
        <v>0</v>
      </c>
      <c r="BJ276" s="136" t="n">
        <v>0</v>
      </c>
      <c r="BK276" s="136" t="n">
        <v>0</v>
      </c>
      <c r="BL276" s="136" t="n">
        <v>0</v>
      </c>
      <c r="BM276" s="136" t="n">
        <v>0.05</v>
      </c>
      <c r="BN276" s="136" t="n">
        <v>0</v>
      </c>
      <c r="BO276" s="136" t="n">
        <v>0</v>
      </c>
      <c r="BP276" s="136" t="n">
        <v>0</v>
      </c>
      <c r="BQ276" s="136" t="n">
        <v>0</v>
      </c>
      <c r="BR276" s="136" t="n">
        <v>0</v>
      </c>
      <c r="BS276" s="136" t="n">
        <v>-0.07</v>
      </c>
      <c r="BT276" s="136" t="n">
        <v>0</v>
      </c>
      <c r="BU276" s="136" t="n">
        <v>-0.2</v>
      </c>
      <c r="BV276" s="136" t="n">
        <v>0</v>
      </c>
      <c r="BW276" s="136" t="n">
        <v>0</v>
      </c>
      <c r="BX276" s="136" t="n">
        <v>0</v>
      </c>
      <c r="CA276" s="136" t="n">
        <v>0.125</v>
      </c>
      <c r="CB276" s="136" t="n">
        <v>0.005</v>
      </c>
      <c r="CM276" s="136"/>
      <c r="CN276" s="136"/>
      <c r="CO276" s="136"/>
      <c r="CP276" s="136"/>
      <c r="CQ276" s="136"/>
      <c r="CR276" s="136"/>
      <c r="CS276" s="136" t="n">
        <v>0.33</v>
      </c>
      <c r="CT276" s="136" t="n">
        <v>0.02</v>
      </c>
      <c r="CU276" s="136" t="n">
        <v>0.05</v>
      </c>
      <c r="CV276" s="136" t="n">
        <v>0</v>
      </c>
      <c r="CW276" s="136" t="n">
        <v>0.135</v>
      </c>
      <c r="CX276" s="136" t="n">
        <v>0.0075</v>
      </c>
      <c r="CY276" s="136" t="n">
        <v>-0.18</v>
      </c>
      <c r="CZ276" s="136" t="n">
        <v>0</v>
      </c>
      <c r="DA276" s="136" t="n">
        <v>0</v>
      </c>
      <c r="DB276" s="136" t="n">
        <v>0</v>
      </c>
      <c r="DC276" s="136" t="n">
        <v>0.75</v>
      </c>
      <c r="DS276" s="136" t="n">
        <v>0.325</v>
      </c>
      <c r="DT276" s="136" t="n">
        <v>0.005</v>
      </c>
    </row>
    <row r="277" customFormat="false" ht="12.75" hidden="false" customHeight="false" outlineLevel="0" collapsed="false">
      <c r="D277" s="135" t="n">
        <v>45078</v>
      </c>
      <c r="F277" s="174" t="n">
        <v>4.8045</v>
      </c>
      <c r="G277" s="175" t="n">
        <v>0.066518673347221</v>
      </c>
      <c r="H277" s="174" t="n">
        <v>0.17</v>
      </c>
      <c r="I277" s="174" t="n">
        <v>0</v>
      </c>
      <c r="J277" s="174" t="n">
        <v>0.5</v>
      </c>
      <c r="K277" s="174" t="n">
        <v>0.4</v>
      </c>
      <c r="L277" s="174" t="n">
        <v>0.5</v>
      </c>
      <c r="M277" s="174" t="n">
        <v>0.45</v>
      </c>
      <c r="N277" s="174" t="n">
        <v>0.5</v>
      </c>
      <c r="O277" s="174" t="n">
        <v>0.5</v>
      </c>
      <c r="P277" s="174" t="n">
        <v>0.5</v>
      </c>
      <c r="Q277" s="174" t="n">
        <v>0.5</v>
      </c>
      <c r="R277" s="175" t="n">
        <v>0</v>
      </c>
      <c r="S277" s="175" t="n">
        <v>0.5</v>
      </c>
      <c r="T277" s="174" t="n">
        <v>0.45</v>
      </c>
      <c r="U277" s="174" t="n">
        <v>0.5</v>
      </c>
      <c r="V277" s="174" t="n">
        <v>0.6</v>
      </c>
      <c r="W277" s="174"/>
      <c r="X277" s="174"/>
      <c r="Y277" s="174"/>
      <c r="Z277" s="174"/>
      <c r="AA277" s="174"/>
      <c r="AB277" s="174"/>
      <c r="AC277" s="174"/>
      <c r="AD277" s="174"/>
      <c r="AE277" s="174"/>
      <c r="AF277" s="174"/>
      <c r="AG277" s="174"/>
      <c r="AH277" s="174"/>
      <c r="AI277" s="174"/>
      <c r="AJ277" s="174"/>
      <c r="AK277" s="174"/>
      <c r="AL277" s="174"/>
      <c r="AM277" s="174"/>
      <c r="AN277" s="174"/>
      <c r="AO277" s="174"/>
      <c r="AP277" s="174"/>
      <c r="AQ277" s="174"/>
      <c r="AR277" s="174"/>
      <c r="AS277" s="174"/>
      <c r="AT277" s="174"/>
      <c r="AU277" s="174"/>
      <c r="AV277" s="174"/>
      <c r="AW277" s="174"/>
      <c r="AX277" s="174"/>
      <c r="AY277" s="175"/>
      <c r="AZ277" s="175"/>
      <c r="BA277" s="175" t="n">
        <v>0</v>
      </c>
      <c r="BB277" s="174" t="n">
        <v>0</v>
      </c>
      <c r="BC277" s="174" t="n">
        <v>-0.07</v>
      </c>
      <c r="BD277" s="174" t="n">
        <v>0</v>
      </c>
      <c r="BE277" s="174" t="n">
        <v>0</v>
      </c>
      <c r="BF277" s="174" t="n">
        <v>0</v>
      </c>
      <c r="BG277" s="174" t="n">
        <v>-0.06</v>
      </c>
      <c r="BH277" s="174" t="n">
        <v>0</v>
      </c>
      <c r="BI277" s="174" t="n">
        <v>0</v>
      </c>
      <c r="BJ277" s="136" t="n">
        <v>0</v>
      </c>
      <c r="BK277" s="136" t="n">
        <v>0</v>
      </c>
      <c r="BL277" s="136" t="n">
        <v>0</v>
      </c>
      <c r="BM277" s="136" t="n">
        <v>0.05</v>
      </c>
      <c r="BN277" s="136" t="n">
        <v>0</v>
      </c>
      <c r="BO277" s="136" t="n">
        <v>0</v>
      </c>
      <c r="BP277" s="136" t="n">
        <v>0</v>
      </c>
      <c r="BQ277" s="136" t="n">
        <v>0</v>
      </c>
      <c r="BR277" s="136" t="n">
        <v>0</v>
      </c>
      <c r="BS277" s="136" t="n">
        <v>-0.07</v>
      </c>
      <c r="BT277" s="136" t="n">
        <v>0</v>
      </c>
      <c r="BU277" s="136" t="n">
        <v>-0.2</v>
      </c>
      <c r="BV277" s="136" t="n">
        <v>0</v>
      </c>
      <c r="BW277" s="136" t="n">
        <v>0</v>
      </c>
      <c r="BX277" s="136" t="n">
        <v>0</v>
      </c>
      <c r="CA277" s="136" t="n">
        <v>0.145</v>
      </c>
      <c r="CB277" s="136" t="n">
        <v>0.005</v>
      </c>
      <c r="CM277" s="136"/>
      <c r="CN277" s="136"/>
      <c r="CO277" s="136"/>
      <c r="CP277" s="136"/>
      <c r="CQ277" s="136"/>
      <c r="CR277" s="136"/>
      <c r="CS277" s="136" t="n">
        <v>0.37</v>
      </c>
      <c r="CT277" s="136" t="n">
        <v>0.035</v>
      </c>
      <c r="CU277" s="136" t="n">
        <v>0.05</v>
      </c>
      <c r="CV277" s="136" t="n">
        <v>0</v>
      </c>
      <c r="CW277" s="136" t="n">
        <v>0.165</v>
      </c>
      <c r="CX277" s="136" t="n">
        <v>0.0075</v>
      </c>
      <c r="CY277" s="136" t="n">
        <v>-0.18</v>
      </c>
      <c r="CZ277" s="136" t="n">
        <v>0</v>
      </c>
      <c r="DA277" s="136" t="n">
        <v>0</v>
      </c>
      <c r="DB277" s="136" t="n">
        <v>0</v>
      </c>
      <c r="DC277" s="136" t="n">
        <v>0.85</v>
      </c>
      <c r="DS277" s="136" t="n">
        <v>0.335</v>
      </c>
      <c r="DT277" s="136" t="n">
        <v>0.005</v>
      </c>
    </row>
    <row r="278" customFormat="false" ht="12.75" hidden="false" customHeight="false" outlineLevel="0" collapsed="false">
      <c r="D278" s="135" t="n">
        <v>45108</v>
      </c>
      <c r="F278" s="174" t="n">
        <v>4.8445</v>
      </c>
      <c r="G278" s="175" t="n">
        <v>0.0665056633277179</v>
      </c>
      <c r="H278" s="174" t="n">
        <v>0.17</v>
      </c>
      <c r="I278" s="174" t="n">
        <v>0</v>
      </c>
      <c r="J278" s="174" t="n">
        <v>0.5</v>
      </c>
      <c r="K278" s="174" t="n">
        <v>0.4</v>
      </c>
      <c r="L278" s="174" t="n">
        <v>0.5</v>
      </c>
      <c r="M278" s="174" t="n">
        <v>0.5</v>
      </c>
      <c r="N278" s="174" t="n">
        <v>0.5</v>
      </c>
      <c r="O278" s="174" t="n">
        <v>0.5</v>
      </c>
      <c r="P278" s="174" t="n">
        <v>0.5</v>
      </c>
      <c r="Q278" s="174" t="n">
        <v>0.5</v>
      </c>
      <c r="R278" s="175" t="n">
        <v>0</v>
      </c>
      <c r="S278" s="175" t="n">
        <v>0.55</v>
      </c>
      <c r="T278" s="174" t="n">
        <v>0.5</v>
      </c>
      <c r="U278" s="174" t="n">
        <v>0.5</v>
      </c>
      <c r="V278" s="174" t="n">
        <v>0.6</v>
      </c>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5"/>
      <c r="AZ278" s="175"/>
      <c r="BA278" s="175" t="n">
        <v>0</v>
      </c>
      <c r="BB278" s="174" t="n">
        <v>0</v>
      </c>
      <c r="BC278" s="174" t="n">
        <v>-0.07</v>
      </c>
      <c r="BD278" s="174" t="n">
        <v>0</v>
      </c>
      <c r="BE278" s="174" t="n">
        <v>0</v>
      </c>
      <c r="BF278" s="174" t="n">
        <v>0</v>
      </c>
      <c r="BG278" s="174" t="n">
        <v>-0.06</v>
      </c>
      <c r="BH278" s="174" t="n">
        <v>0</v>
      </c>
      <c r="BI278" s="174" t="n">
        <v>0</v>
      </c>
      <c r="BJ278" s="136" t="n">
        <v>0</v>
      </c>
      <c r="BK278" s="136" t="n">
        <v>0</v>
      </c>
      <c r="BL278" s="136" t="n">
        <v>0</v>
      </c>
      <c r="BM278" s="136" t="n">
        <v>0.05</v>
      </c>
      <c r="BN278" s="136" t="n">
        <v>0</v>
      </c>
      <c r="BO278" s="136" t="n">
        <v>0</v>
      </c>
      <c r="BP278" s="136" t="n">
        <v>0</v>
      </c>
      <c r="BQ278" s="136" t="n">
        <v>0</v>
      </c>
      <c r="BR278" s="136" t="n">
        <v>0</v>
      </c>
      <c r="BS278" s="136" t="n">
        <v>-0.07</v>
      </c>
      <c r="BT278" s="136" t="n">
        <v>0</v>
      </c>
      <c r="BU278" s="136" t="n">
        <v>-0.2</v>
      </c>
      <c r="BV278" s="136" t="n">
        <v>0</v>
      </c>
      <c r="BW278" s="136" t="n">
        <v>0</v>
      </c>
      <c r="BX278" s="136" t="n">
        <v>0</v>
      </c>
      <c r="CA278" s="136" t="n">
        <v>0.15</v>
      </c>
      <c r="CB278" s="136" t="n">
        <v>0.005</v>
      </c>
      <c r="CM278" s="136"/>
      <c r="CN278" s="136"/>
      <c r="CO278" s="136"/>
      <c r="CP278" s="136"/>
      <c r="CQ278" s="136"/>
      <c r="CR278" s="136"/>
      <c r="CS278" s="136" t="n">
        <v>0.41</v>
      </c>
      <c r="CT278" s="136" t="n">
        <v>0.035</v>
      </c>
      <c r="CU278" s="136" t="n">
        <v>0.05</v>
      </c>
      <c r="CV278" s="136" t="n">
        <v>0</v>
      </c>
      <c r="CW278" s="136" t="n">
        <v>0.205</v>
      </c>
      <c r="CX278" s="136" t="n">
        <v>0.0075</v>
      </c>
      <c r="CY278" s="136" t="n">
        <v>-0.18</v>
      </c>
      <c r="CZ278" s="136" t="n">
        <v>0</v>
      </c>
      <c r="DA278" s="136" t="n">
        <v>0</v>
      </c>
      <c r="DB278" s="136" t="n">
        <v>0</v>
      </c>
      <c r="DC278" s="136" t="n">
        <v>1.05</v>
      </c>
      <c r="DS278" s="136" t="n">
        <v>0.35</v>
      </c>
      <c r="DT278" s="136" t="n">
        <v>0.005</v>
      </c>
    </row>
    <row r="279" customFormat="false" ht="12.75" hidden="false" customHeight="false" outlineLevel="0" collapsed="false">
      <c r="D279" s="135" t="n">
        <v>45139</v>
      </c>
      <c r="F279" s="174" t="n">
        <v>4.8845</v>
      </c>
      <c r="G279" s="175" t="n">
        <v>0.0664922196409581</v>
      </c>
      <c r="H279" s="174" t="n">
        <v>0.17</v>
      </c>
      <c r="I279" s="174" t="n">
        <v>0</v>
      </c>
      <c r="J279" s="174" t="n">
        <v>0.55</v>
      </c>
      <c r="K279" s="174" t="n">
        <v>0.5</v>
      </c>
      <c r="L279" s="174" t="n">
        <v>0.6</v>
      </c>
      <c r="M279" s="174" t="n">
        <v>0.55</v>
      </c>
      <c r="N279" s="174" t="n">
        <v>0.6</v>
      </c>
      <c r="O279" s="174" t="n">
        <v>0.55</v>
      </c>
      <c r="P279" s="174" t="n">
        <v>0.6</v>
      </c>
      <c r="Q279" s="174" t="n">
        <v>0.45</v>
      </c>
      <c r="R279" s="175" t="n">
        <v>0</v>
      </c>
      <c r="S279" s="175" t="n">
        <v>0.6</v>
      </c>
      <c r="T279" s="174" t="n">
        <v>0.55</v>
      </c>
      <c r="U279" s="174" t="n">
        <v>0.6</v>
      </c>
      <c r="V279" s="174" t="n">
        <v>0.7</v>
      </c>
      <c r="W279" s="174"/>
      <c r="X279" s="174"/>
      <c r="Y279" s="174"/>
      <c r="Z279" s="174"/>
      <c r="AA279" s="174"/>
      <c r="AB279" s="174"/>
      <c r="AC279" s="174"/>
      <c r="AD279" s="174"/>
      <c r="AE279" s="174"/>
      <c r="AF279" s="174"/>
      <c r="AG279" s="174"/>
      <c r="AH279" s="174"/>
      <c r="AI279" s="174"/>
      <c r="AJ279" s="174"/>
      <c r="AK279" s="174"/>
      <c r="AL279" s="174"/>
      <c r="AM279" s="174"/>
      <c r="AN279" s="174"/>
      <c r="AO279" s="174"/>
      <c r="AP279" s="174"/>
      <c r="AQ279" s="174"/>
      <c r="AR279" s="174"/>
      <c r="AS279" s="174"/>
      <c r="AT279" s="174"/>
      <c r="AU279" s="174"/>
      <c r="AV279" s="174"/>
      <c r="AW279" s="174"/>
      <c r="AX279" s="174"/>
      <c r="AY279" s="175"/>
      <c r="AZ279" s="175"/>
      <c r="BA279" s="175" t="n">
        <v>0</v>
      </c>
      <c r="BB279" s="174" t="n">
        <v>0</v>
      </c>
      <c r="BC279" s="174" t="n">
        <v>-0.07</v>
      </c>
      <c r="BD279" s="174" t="n">
        <v>0</v>
      </c>
      <c r="BE279" s="174" t="n">
        <v>0</v>
      </c>
      <c r="BF279" s="174" t="n">
        <v>0</v>
      </c>
      <c r="BG279" s="174" t="n">
        <v>-0.06</v>
      </c>
      <c r="BH279" s="174" t="n">
        <v>0</v>
      </c>
      <c r="BI279" s="174" t="n">
        <v>0</v>
      </c>
      <c r="BJ279" s="136" t="n">
        <v>0</v>
      </c>
      <c r="BK279" s="136" t="n">
        <v>0</v>
      </c>
      <c r="BL279" s="136" t="n">
        <v>0</v>
      </c>
      <c r="BM279" s="136" t="n">
        <v>0.05</v>
      </c>
      <c r="BN279" s="136" t="n">
        <v>0</v>
      </c>
      <c r="BO279" s="136" t="n">
        <v>0</v>
      </c>
      <c r="BP279" s="136" t="n">
        <v>0</v>
      </c>
      <c r="BQ279" s="136" t="n">
        <v>0</v>
      </c>
      <c r="BR279" s="136" t="n">
        <v>0</v>
      </c>
      <c r="BS279" s="136" t="n">
        <v>-0.07</v>
      </c>
      <c r="BT279" s="136" t="n">
        <v>0</v>
      </c>
      <c r="BU279" s="136" t="n">
        <v>-0.2</v>
      </c>
      <c r="BV279" s="136" t="n">
        <v>0</v>
      </c>
      <c r="BW279" s="136" t="n">
        <v>0</v>
      </c>
      <c r="BX279" s="136" t="n">
        <v>0</v>
      </c>
      <c r="CA279" s="136" t="n">
        <v>0.15</v>
      </c>
      <c r="CB279" s="136" t="n">
        <v>0.005</v>
      </c>
      <c r="CM279" s="136"/>
      <c r="CN279" s="136"/>
      <c r="CO279" s="136"/>
      <c r="CP279" s="136"/>
      <c r="CQ279" s="136"/>
      <c r="CR279" s="136"/>
      <c r="CS279" s="136" t="n">
        <v>0.41</v>
      </c>
      <c r="CT279" s="136" t="n">
        <v>0.01</v>
      </c>
      <c r="CU279" s="136" t="n">
        <v>0.05</v>
      </c>
      <c r="CV279" s="136" t="n">
        <v>0</v>
      </c>
      <c r="CW279" s="136" t="n">
        <v>0.205</v>
      </c>
      <c r="CX279" s="136" t="n">
        <v>0.0075</v>
      </c>
      <c r="CY279" s="136" t="n">
        <v>-0.18</v>
      </c>
      <c r="CZ279" s="136" t="n">
        <v>0</v>
      </c>
      <c r="DA279" s="136" t="n">
        <v>0</v>
      </c>
      <c r="DB279" s="136" t="n">
        <v>0</v>
      </c>
      <c r="DC279" s="136" t="n">
        <v>1.05</v>
      </c>
      <c r="DS279" s="136" t="n">
        <v>0.35</v>
      </c>
      <c r="DT279" s="136" t="n">
        <v>-0.005</v>
      </c>
    </row>
    <row r="280" customFormat="false" ht="12.75" hidden="false" customHeight="false" outlineLevel="0" collapsed="false">
      <c r="D280" s="135" t="n">
        <v>45170</v>
      </c>
      <c r="F280" s="174" t="n">
        <v>4.8795</v>
      </c>
      <c r="G280" s="175" t="n">
        <v>0.0664787759542573</v>
      </c>
      <c r="H280" s="174" t="n">
        <v>0.17</v>
      </c>
      <c r="I280" s="174" t="n">
        <v>0</v>
      </c>
      <c r="J280" s="174" t="n">
        <v>0.55</v>
      </c>
      <c r="K280" s="174" t="n">
        <v>0.55</v>
      </c>
      <c r="L280" s="174" t="n">
        <v>0.55</v>
      </c>
      <c r="M280" s="174" t="n">
        <v>0.55</v>
      </c>
      <c r="N280" s="174" t="n">
        <v>0.6</v>
      </c>
      <c r="O280" s="174" t="n">
        <v>0.6</v>
      </c>
      <c r="P280" s="174" t="n">
        <v>0.55</v>
      </c>
      <c r="Q280" s="174" t="n">
        <v>0.5</v>
      </c>
      <c r="R280" s="175" t="n">
        <v>0</v>
      </c>
      <c r="S280" s="175" t="n">
        <v>0.6</v>
      </c>
      <c r="T280" s="174" t="n">
        <v>0.55</v>
      </c>
      <c r="U280" s="174" t="n">
        <v>0.6</v>
      </c>
      <c r="V280" s="174" t="n">
        <v>0.65</v>
      </c>
      <c r="W280" s="174"/>
      <c r="X280" s="174"/>
      <c r="Y280" s="174"/>
      <c r="Z280" s="174"/>
      <c r="AA280" s="174"/>
      <c r="AB280" s="174"/>
      <c r="AC280" s="174"/>
      <c r="AD280" s="174"/>
      <c r="AE280" s="174"/>
      <c r="AF280" s="174"/>
      <c r="AG280" s="174"/>
      <c r="AH280" s="174"/>
      <c r="AI280" s="174"/>
      <c r="AJ280" s="174"/>
      <c r="AK280" s="174"/>
      <c r="AL280" s="174"/>
      <c r="AM280" s="174"/>
      <c r="AN280" s="174"/>
      <c r="AO280" s="174"/>
      <c r="AP280" s="174"/>
      <c r="AQ280" s="174"/>
      <c r="AR280" s="174"/>
      <c r="AS280" s="174"/>
      <c r="AT280" s="174"/>
      <c r="AU280" s="174"/>
      <c r="AV280" s="174"/>
      <c r="AW280" s="174"/>
      <c r="AX280" s="174"/>
      <c r="AY280" s="175"/>
      <c r="AZ280" s="175"/>
      <c r="BA280" s="175" t="n">
        <v>0</v>
      </c>
      <c r="BB280" s="174" t="n">
        <v>0</v>
      </c>
      <c r="BC280" s="174" t="n">
        <v>-0.07</v>
      </c>
      <c r="BD280" s="174" t="n">
        <v>0</v>
      </c>
      <c r="BE280" s="174" t="n">
        <v>0</v>
      </c>
      <c r="BF280" s="174" t="n">
        <v>0</v>
      </c>
      <c r="BG280" s="174" t="n">
        <v>-0.06</v>
      </c>
      <c r="BH280" s="174" t="n">
        <v>0</v>
      </c>
      <c r="BI280" s="174" t="n">
        <v>0</v>
      </c>
      <c r="BJ280" s="136" t="n">
        <v>0</v>
      </c>
      <c r="BK280" s="136" t="n">
        <v>0</v>
      </c>
      <c r="BL280" s="136" t="n">
        <v>0</v>
      </c>
      <c r="BM280" s="136" t="n">
        <v>0.05</v>
      </c>
      <c r="BN280" s="136" t="n">
        <v>0</v>
      </c>
      <c r="BO280" s="136" t="n">
        <v>0</v>
      </c>
      <c r="BP280" s="136" t="n">
        <v>0</v>
      </c>
      <c r="BQ280" s="136" t="n">
        <v>0</v>
      </c>
      <c r="BR280" s="136" t="n">
        <v>0</v>
      </c>
      <c r="BS280" s="136" t="n">
        <v>-0.07</v>
      </c>
      <c r="BT280" s="136" t="n">
        <v>0</v>
      </c>
      <c r="BU280" s="136" t="n">
        <v>-0.2</v>
      </c>
      <c r="BV280" s="136" t="n">
        <v>0</v>
      </c>
      <c r="BW280" s="136" t="n">
        <v>0</v>
      </c>
      <c r="BX280" s="136" t="n">
        <v>0</v>
      </c>
      <c r="CA280" s="136" t="n">
        <v>0.125</v>
      </c>
      <c r="CB280" s="136" t="n">
        <v>0.005</v>
      </c>
      <c r="CM280" s="136"/>
      <c r="CN280" s="136"/>
      <c r="CO280" s="136"/>
      <c r="CP280" s="136"/>
      <c r="CQ280" s="136"/>
      <c r="CR280" s="136"/>
      <c r="CS280" s="136" t="n">
        <v>0.36</v>
      </c>
      <c r="CT280" s="136" t="n">
        <v>0.01</v>
      </c>
      <c r="CU280" s="136" t="n">
        <v>0.05</v>
      </c>
      <c r="CV280" s="136" t="n">
        <v>0</v>
      </c>
      <c r="CW280" s="136" t="n">
        <v>0.145</v>
      </c>
      <c r="CX280" s="136" t="n">
        <v>0.0075</v>
      </c>
      <c r="CY280" s="136" t="n">
        <v>-0.18</v>
      </c>
      <c r="CZ280" s="136" t="n">
        <v>0</v>
      </c>
      <c r="DA280" s="136" t="n">
        <v>0</v>
      </c>
      <c r="DB280" s="136" t="n">
        <v>0</v>
      </c>
      <c r="DC280" s="136" t="n">
        <v>0.75</v>
      </c>
      <c r="DS280" s="136" t="n">
        <v>0.315</v>
      </c>
      <c r="DT280" s="136" t="n">
        <v>-0.005</v>
      </c>
    </row>
    <row r="281" customFormat="false" ht="12.75" hidden="false" customHeight="false" outlineLevel="0" collapsed="false">
      <c r="D281" s="135" t="n">
        <v>45200</v>
      </c>
      <c r="F281" s="174" t="n">
        <v>4.9045</v>
      </c>
      <c r="G281" s="175" t="n">
        <v>0.0664657659349266</v>
      </c>
      <c r="H281" s="174" t="n">
        <v>0.17</v>
      </c>
      <c r="I281" s="174" t="n">
        <v>0</v>
      </c>
      <c r="J281" s="174" t="n">
        <v>0.6</v>
      </c>
      <c r="K281" s="174" t="n">
        <v>0.55</v>
      </c>
      <c r="L281" s="174" t="n">
        <v>0.6</v>
      </c>
      <c r="M281" s="174" t="n">
        <v>0.6</v>
      </c>
      <c r="N281" s="174" t="n">
        <v>0.65</v>
      </c>
      <c r="O281" s="174" t="n">
        <v>0.65</v>
      </c>
      <c r="P281" s="174" t="n">
        <v>0.6</v>
      </c>
      <c r="Q281" s="174" t="n">
        <v>0.5</v>
      </c>
      <c r="R281" s="175" t="n">
        <v>0</v>
      </c>
      <c r="S281" s="175" t="n">
        <v>0.65</v>
      </c>
      <c r="T281" s="174" t="n">
        <v>0.6</v>
      </c>
      <c r="U281" s="174" t="n">
        <v>0.65</v>
      </c>
      <c r="V281" s="174" t="n">
        <v>0.7</v>
      </c>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5"/>
      <c r="AZ281" s="175"/>
      <c r="BA281" s="175" t="n">
        <v>0</v>
      </c>
      <c r="BB281" s="174" t="n">
        <v>0</v>
      </c>
      <c r="BC281" s="174" t="n">
        <v>-0.07</v>
      </c>
      <c r="BD281" s="174" t="n">
        <v>0</v>
      </c>
      <c r="BE281" s="174" t="n">
        <v>0</v>
      </c>
      <c r="BF281" s="174" t="n">
        <v>0</v>
      </c>
      <c r="BG281" s="174" t="n">
        <v>-0.06</v>
      </c>
      <c r="BH281" s="174" t="n">
        <v>0</v>
      </c>
      <c r="BI281" s="174" t="n">
        <v>0</v>
      </c>
      <c r="BJ281" s="136" t="n">
        <v>0</v>
      </c>
      <c r="BK281" s="136" t="n">
        <v>0</v>
      </c>
      <c r="BL281" s="136" t="n">
        <v>0</v>
      </c>
      <c r="BM281" s="136" t="n">
        <v>0.05</v>
      </c>
      <c r="BN281" s="136" t="n">
        <v>0</v>
      </c>
      <c r="BO281" s="136" t="n">
        <v>0</v>
      </c>
      <c r="BP281" s="136" t="n">
        <v>0</v>
      </c>
      <c r="BQ281" s="136" t="n">
        <v>0</v>
      </c>
      <c r="BR281" s="136" t="n">
        <v>0</v>
      </c>
      <c r="BS281" s="136" t="n">
        <v>-0.07</v>
      </c>
      <c r="BT281" s="136" t="n">
        <v>0</v>
      </c>
      <c r="BU281" s="136" t="n">
        <v>-0.2</v>
      </c>
      <c r="BV281" s="136" t="n">
        <v>0</v>
      </c>
      <c r="BW281" s="136" t="n">
        <v>0</v>
      </c>
      <c r="BX281" s="136" t="n">
        <v>0</v>
      </c>
      <c r="CA281" s="136" t="n">
        <v>0.145</v>
      </c>
      <c r="CB281" s="136" t="n">
        <v>0.005</v>
      </c>
      <c r="CM281" s="136"/>
      <c r="CN281" s="136"/>
      <c r="CO281" s="136"/>
      <c r="CP281" s="136"/>
      <c r="CQ281" s="136"/>
      <c r="CR281" s="136"/>
      <c r="CS281" s="136" t="n">
        <v>0.4</v>
      </c>
      <c r="CT281" s="136" t="n">
        <v>0.01</v>
      </c>
      <c r="CU281" s="136" t="n">
        <v>0.05</v>
      </c>
      <c r="CV281" s="136" t="n">
        <v>0</v>
      </c>
      <c r="CW281" s="136" t="n">
        <v>0.175</v>
      </c>
      <c r="CX281" s="136" t="n">
        <v>0.0075</v>
      </c>
      <c r="CY281" s="136" t="n">
        <v>-0.18</v>
      </c>
      <c r="CZ281" s="136" t="n">
        <v>0</v>
      </c>
      <c r="DA281" s="136" t="n">
        <v>0</v>
      </c>
      <c r="DB281" s="136" t="n">
        <v>0</v>
      </c>
      <c r="DC281" s="136" t="n">
        <v>0.45</v>
      </c>
      <c r="DS281" s="136" t="n">
        <v>0.36</v>
      </c>
      <c r="DT281" s="136" t="n">
        <v>-0.005</v>
      </c>
    </row>
    <row r="282" customFormat="false" ht="12.75" hidden="false" customHeight="false" outlineLevel="0" collapsed="false">
      <c r="D282" s="135" t="n">
        <v>45231</v>
      </c>
      <c r="F282" s="174" t="n">
        <v>5.0565</v>
      </c>
      <c r="G282" s="175" t="n">
        <v>0.0664523222483444</v>
      </c>
      <c r="H282" s="174" t="n">
        <v>0.17</v>
      </c>
      <c r="I282" s="174" t="n">
        <v>0</v>
      </c>
      <c r="J282" s="174" t="n">
        <v>0.85</v>
      </c>
      <c r="K282" s="174" t="n">
        <v>0.8</v>
      </c>
      <c r="L282" s="174" t="n">
        <v>0.8</v>
      </c>
      <c r="M282" s="174" t="n">
        <v>0.9</v>
      </c>
      <c r="N282" s="174" t="n">
        <v>0.95</v>
      </c>
      <c r="O282" s="174" t="n">
        <v>0.85</v>
      </c>
      <c r="P282" s="174" t="n">
        <v>0.8</v>
      </c>
      <c r="Q282" s="174" t="n">
        <v>0.95</v>
      </c>
      <c r="R282" s="175" t="n">
        <v>0</v>
      </c>
      <c r="S282" s="175" t="n">
        <v>0.8</v>
      </c>
      <c r="T282" s="174" t="n">
        <v>0.8</v>
      </c>
      <c r="U282" s="174" t="n">
        <v>0.95</v>
      </c>
      <c r="V282" s="174" t="n">
        <v>0.9</v>
      </c>
      <c r="W282" s="174"/>
      <c r="X282" s="174"/>
      <c r="Y282" s="174"/>
      <c r="Z282" s="174"/>
      <c r="AA282" s="174"/>
      <c r="AB282" s="174"/>
      <c r="AC282" s="174"/>
      <c r="AD282" s="174"/>
      <c r="AE282" s="174"/>
      <c r="AF282" s="174"/>
      <c r="AG282" s="174"/>
      <c r="AH282" s="174"/>
      <c r="AI282" s="174"/>
      <c r="AJ282" s="174"/>
      <c r="AK282" s="174"/>
      <c r="AL282" s="174"/>
      <c r="AM282" s="174"/>
      <c r="AN282" s="174"/>
      <c r="AO282" s="174"/>
      <c r="AP282" s="174"/>
      <c r="AQ282" s="174"/>
      <c r="AR282" s="174"/>
      <c r="AS282" s="174"/>
      <c r="AT282" s="174"/>
      <c r="AU282" s="174"/>
      <c r="AV282" s="174"/>
      <c r="AW282" s="174"/>
      <c r="AX282" s="174"/>
      <c r="AY282" s="175"/>
      <c r="AZ282" s="175"/>
      <c r="BA282" s="175" t="n">
        <v>0</v>
      </c>
      <c r="BB282" s="174" t="n">
        <v>0</v>
      </c>
      <c r="BC282" s="174" t="n">
        <v>-0.07</v>
      </c>
      <c r="BD282" s="174" t="n">
        <v>0</v>
      </c>
      <c r="BE282" s="174" t="n">
        <v>0</v>
      </c>
      <c r="BF282" s="174" t="n">
        <v>0</v>
      </c>
      <c r="BG282" s="174" t="n">
        <v>-0.06</v>
      </c>
      <c r="BH282" s="174" t="n">
        <v>0</v>
      </c>
      <c r="BI282" s="174" t="n">
        <v>0</v>
      </c>
      <c r="BJ282" s="136" t="n">
        <v>0</v>
      </c>
      <c r="BK282" s="136" t="n">
        <v>0</v>
      </c>
      <c r="BL282" s="136" t="n">
        <v>0</v>
      </c>
      <c r="BM282" s="136" t="n">
        <v>0.05</v>
      </c>
      <c r="BN282" s="136" t="n">
        <v>0</v>
      </c>
      <c r="BO282" s="136" t="n">
        <v>0</v>
      </c>
      <c r="BP282" s="136" t="n">
        <v>0</v>
      </c>
      <c r="BQ282" s="136" t="n">
        <v>0</v>
      </c>
      <c r="BR282" s="136" t="n">
        <v>0</v>
      </c>
      <c r="BS282" s="136" t="n">
        <v>-0.07</v>
      </c>
      <c r="BT282" s="136" t="n">
        <v>0</v>
      </c>
      <c r="BU282" s="136" t="n">
        <v>-0.2</v>
      </c>
      <c r="BV282" s="136" t="n">
        <v>0</v>
      </c>
      <c r="BW282" s="136" t="n">
        <v>0</v>
      </c>
      <c r="BX282" s="136" t="n">
        <v>0</v>
      </c>
      <c r="CA282" s="136" t="n">
        <v>0.195</v>
      </c>
      <c r="CB282" s="136" t="n">
        <v>0.005</v>
      </c>
      <c r="CM282" s="136"/>
      <c r="CN282" s="136"/>
      <c r="CO282" s="136"/>
      <c r="CP282" s="136"/>
      <c r="CQ282" s="136"/>
      <c r="CR282" s="136"/>
      <c r="CS282" s="136" t="n">
        <v>0.65</v>
      </c>
      <c r="CT282" s="136" t="n">
        <v>0.055</v>
      </c>
      <c r="CU282" s="136" t="n">
        <v>0.05</v>
      </c>
      <c r="CV282" s="136" t="n">
        <v>0</v>
      </c>
      <c r="CW282" s="136" t="n">
        <v>0.21</v>
      </c>
      <c r="CX282" s="136" t="n">
        <v>0.02</v>
      </c>
      <c r="CY282" s="136" t="n">
        <v>-0.18</v>
      </c>
      <c r="CZ282" s="136" t="n">
        <v>0</v>
      </c>
      <c r="DA282" s="136" t="n">
        <v>0</v>
      </c>
      <c r="DB282" s="136" t="n">
        <v>0</v>
      </c>
      <c r="DC282" s="136" t="n">
        <v>0.45</v>
      </c>
      <c r="DS282" s="136" t="n">
        <v>0.46</v>
      </c>
      <c r="DT282" s="136" t="n">
        <v>0.05</v>
      </c>
    </row>
    <row r="283" customFormat="false" ht="12.75" hidden="false" customHeight="false" outlineLevel="0" collapsed="false">
      <c r="D283" s="135" t="n">
        <v>45261</v>
      </c>
      <c r="F283" s="174" t="n">
        <v>5.1995</v>
      </c>
      <c r="G283" s="175" t="n">
        <v>0.0664393122291278</v>
      </c>
      <c r="H283" s="174" t="n">
        <v>0.17</v>
      </c>
      <c r="I283" s="174" t="n">
        <v>0</v>
      </c>
      <c r="J283" s="174" t="n">
        <v>1.05</v>
      </c>
      <c r="K283" s="174" t="n">
        <v>1</v>
      </c>
      <c r="L283" s="174" t="n">
        <v>1</v>
      </c>
      <c r="M283" s="174" t="n">
        <v>1.15</v>
      </c>
      <c r="N283" s="174" t="n">
        <v>1.25</v>
      </c>
      <c r="O283" s="174" t="n">
        <v>1.05</v>
      </c>
      <c r="P283" s="174" t="n">
        <v>1</v>
      </c>
      <c r="Q283" s="174" t="n">
        <v>1.35</v>
      </c>
      <c r="R283" s="175" t="n">
        <v>0</v>
      </c>
      <c r="S283" s="175" t="n">
        <v>1.1</v>
      </c>
      <c r="T283" s="174" t="n">
        <v>1</v>
      </c>
      <c r="U283" s="174" t="n">
        <v>1.25</v>
      </c>
      <c r="V283" s="174" t="n">
        <v>1.1</v>
      </c>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5"/>
      <c r="AZ283" s="175"/>
      <c r="BA283" s="175" t="n">
        <v>0</v>
      </c>
      <c r="BB283" s="174" t="n">
        <v>0</v>
      </c>
      <c r="BC283" s="174" t="n">
        <v>-0.07</v>
      </c>
      <c r="BD283" s="174" t="n">
        <v>0</v>
      </c>
      <c r="BE283" s="174" t="n">
        <v>0</v>
      </c>
      <c r="BF283" s="174" t="n">
        <v>0</v>
      </c>
      <c r="BG283" s="174" t="n">
        <v>-0.06</v>
      </c>
      <c r="BH283" s="174" t="n">
        <v>0</v>
      </c>
      <c r="BI283" s="174" t="n">
        <v>0</v>
      </c>
      <c r="BJ283" s="136" t="n">
        <v>0</v>
      </c>
      <c r="BK283" s="136" t="n">
        <v>0</v>
      </c>
      <c r="BL283" s="136" t="n">
        <v>0</v>
      </c>
      <c r="BM283" s="136" t="n">
        <v>0.05</v>
      </c>
      <c r="BN283" s="136" t="n">
        <v>0</v>
      </c>
      <c r="BO283" s="136" t="n">
        <v>0</v>
      </c>
      <c r="BP283" s="136" t="n">
        <v>0</v>
      </c>
      <c r="BQ283" s="136" t="n">
        <v>0</v>
      </c>
      <c r="BR283" s="136" t="n">
        <v>0</v>
      </c>
      <c r="BS283" s="136" t="n">
        <v>-0.07</v>
      </c>
      <c r="BT283" s="136" t="n">
        <v>0</v>
      </c>
      <c r="BU283" s="136" t="n">
        <v>-0.2</v>
      </c>
      <c r="BV283" s="136" t="n">
        <v>0</v>
      </c>
      <c r="BW283" s="136" t="n">
        <v>0</v>
      </c>
      <c r="BX283" s="136" t="n">
        <v>0</v>
      </c>
      <c r="CA283" s="136" t="n">
        <v>0.215</v>
      </c>
      <c r="CB283" s="136" t="n">
        <v>0.005</v>
      </c>
      <c r="CM283" s="136"/>
      <c r="CN283" s="136"/>
      <c r="CO283" s="136"/>
      <c r="CP283" s="136"/>
      <c r="CQ283" s="136"/>
      <c r="CR283" s="136"/>
      <c r="CS283" s="136" t="n">
        <v>0.98</v>
      </c>
      <c r="CT283" s="136" t="n">
        <v>0.25</v>
      </c>
      <c r="CU283" s="136" t="n">
        <v>0.05</v>
      </c>
      <c r="CV283" s="136" t="n">
        <v>0</v>
      </c>
      <c r="CW283" s="136" t="n">
        <v>0.29</v>
      </c>
      <c r="CX283" s="136" t="n">
        <v>0.02</v>
      </c>
      <c r="CY283" s="136" t="n">
        <v>-0.18</v>
      </c>
      <c r="CZ283" s="136" t="n">
        <v>0</v>
      </c>
      <c r="DA283" s="136" t="n">
        <v>0</v>
      </c>
      <c r="DB283" s="136" t="n">
        <v>0</v>
      </c>
      <c r="DC283" s="136" t="n">
        <v>0.4</v>
      </c>
      <c r="DS283" s="136" t="n">
        <v>0.77</v>
      </c>
      <c r="DT283" s="136" t="n">
        <v>0.05</v>
      </c>
    </row>
    <row r="284" customFormat="false" ht="12.75" hidden="false" customHeight="false" outlineLevel="0" collapsed="false">
      <c r="D284" s="135" t="n">
        <v>45292</v>
      </c>
      <c r="F284" s="174" t="n">
        <v>5.2595</v>
      </c>
      <c r="G284" s="175" t="n">
        <v>0.0664258685426629</v>
      </c>
      <c r="H284" s="174" t="n">
        <v>0.17</v>
      </c>
      <c r="I284" s="174" t="n">
        <v>0</v>
      </c>
      <c r="J284" s="174" t="n">
        <v>1.05</v>
      </c>
      <c r="K284" s="174" t="n">
        <v>1</v>
      </c>
      <c r="L284" s="174" t="n">
        <v>1</v>
      </c>
      <c r="M284" s="174" t="n">
        <v>1.15</v>
      </c>
      <c r="N284" s="174" t="n">
        <v>1.45</v>
      </c>
      <c r="O284" s="174" t="n">
        <v>1.05</v>
      </c>
      <c r="P284" s="174" t="n">
        <v>1</v>
      </c>
      <c r="Q284" s="174" t="n">
        <v>1.35</v>
      </c>
      <c r="R284" s="175" t="n">
        <v>0</v>
      </c>
      <c r="S284" s="175" t="n">
        <v>1.1</v>
      </c>
      <c r="T284" s="174" t="n">
        <v>1</v>
      </c>
      <c r="U284" s="174" t="n">
        <v>1.45</v>
      </c>
      <c r="V284" s="174" t="n">
        <v>1.1</v>
      </c>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5"/>
      <c r="AZ284" s="175"/>
      <c r="BA284" s="175" t="n">
        <v>0</v>
      </c>
      <c r="BB284" s="174" t="n">
        <v>0</v>
      </c>
      <c r="BC284" s="174" t="n">
        <v>-0.07</v>
      </c>
      <c r="BD284" s="174" t="n">
        <v>0</v>
      </c>
      <c r="BE284" s="174" t="n">
        <v>0</v>
      </c>
      <c r="BF284" s="174" t="n">
        <v>0</v>
      </c>
      <c r="BG284" s="174" t="n">
        <v>-0.06</v>
      </c>
      <c r="BH284" s="174" t="n">
        <v>0</v>
      </c>
      <c r="BI284" s="174" t="n">
        <v>0</v>
      </c>
      <c r="BJ284" s="136" t="n">
        <v>0</v>
      </c>
      <c r="BK284" s="136" t="n">
        <v>0</v>
      </c>
      <c r="BL284" s="136" t="n">
        <v>0</v>
      </c>
      <c r="BM284" s="136" t="n">
        <v>0.05</v>
      </c>
      <c r="BN284" s="136" t="n">
        <v>0</v>
      </c>
      <c r="BO284" s="136" t="n">
        <v>0</v>
      </c>
      <c r="BP284" s="136" t="n">
        <v>0</v>
      </c>
      <c r="BQ284" s="136" t="n">
        <v>0</v>
      </c>
      <c r="BR284" s="136" t="n">
        <v>0</v>
      </c>
      <c r="BS284" s="136" t="n">
        <v>-0.07</v>
      </c>
      <c r="BT284" s="136" t="n">
        <v>0</v>
      </c>
      <c r="BU284" s="136" t="n">
        <v>-0.2</v>
      </c>
      <c r="BV284" s="136" t="n">
        <v>0</v>
      </c>
      <c r="BW284" s="136" t="n">
        <v>0</v>
      </c>
      <c r="BX284" s="136" t="n">
        <v>0</v>
      </c>
      <c r="CA284" s="136" t="n">
        <v>0.235</v>
      </c>
      <c r="CB284" s="136" t="n">
        <v>0.005</v>
      </c>
      <c r="CM284" s="136"/>
      <c r="CN284" s="136"/>
      <c r="CO284" s="136"/>
      <c r="CP284" s="136"/>
      <c r="CQ284" s="136"/>
      <c r="CR284" s="136"/>
      <c r="CS284" s="136" t="n">
        <v>1.6</v>
      </c>
      <c r="CT284" s="136" t="n">
        <v>0.45</v>
      </c>
      <c r="CU284" s="136" t="n">
        <v>0.05</v>
      </c>
      <c r="CV284" s="136" t="n">
        <v>0</v>
      </c>
      <c r="CW284" s="136" t="n">
        <v>0.34</v>
      </c>
      <c r="CX284" s="136" t="n">
        <v>0.02</v>
      </c>
      <c r="CY284" s="136" t="n">
        <v>-0.18</v>
      </c>
      <c r="CZ284" s="136" t="n">
        <v>0</v>
      </c>
      <c r="DA284" s="136" t="n">
        <v>0</v>
      </c>
      <c r="DB284" s="136" t="n">
        <v>0</v>
      </c>
      <c r="DC284" s="136" t="n">
        <v>0</v>
      </c>
      <c r="DS284" s="136" t="n">
        <v>1.04</v>
      </c>
      <c r="DT284" s="136" t="n">
        <v>0.05</v>
      </c>
    </row>
    <row r="285" customFormat="false" ht="12.75" hidden="false" customHeight="false" outlineLevel="0" collapsed="false">
      <c r="D285" s="135" t="n">
        <v>45323</v>
      </c>
      <c r="F285" s="174" t="n">
        <v>5.1745</v>
      </c>
      <c r="G285" s="175" t="n">
        <v>0.0664124248562579</v>
      </c>
      <c r="H285" s="174" t="n">
        <v>0.17</v>
      </c>
      <c r="I285" s="174" t="n">
        <v>0</v>
      </c>
      <c r="J285" s="174" t="n">
        <v>1.05</v>
      </c>
      <c r="K285" s="174" t="n">
        <v>1</v>
      </c>
      <c r="L285" s="174" t="n">
        <v>1</v>
      </c>
      <c r="M285" s="174" t="n">
        <v>1.15</v>
      </c>
      <c r="N285" s="174" t="n">
        <v>1.45</v>
      </c>
      <c r="O285" s="174" t="n">
        <v>1.05</v>
      </c>
      <c r="P285" s="174" t="n">
        <v>1</v>
      </c>
      <c r="Q285" s="174" t="n">
        <v>1.35</v>
      </c>
      <c r="R285" s="175" t="n">
        <v>0</v>
      </c>
      <c r="S285" s="175" t="n">
        <v>1.1</v>
      </c>
      <c r="T285" s="174" t="n">
        <v>1</v>
      </c>
      <c r="U285" s="174" t="n">
        <v>1.45</v>
      </c>
      <c r="V285" s="174" t="n">
        <v>1.1</v>
      </c>
      <c r="W285" s="174"/>
      <c r="X285" s="174"/>
      <c r="Y285" s="174"/>
      <c r="Z285" s="174"/>
      <c r="AA285" s="174"/>
      <c r="AB285" s="174"/>
      <c r="AC285" s="174"/>
      <c r="AD285" s="174"/>
      <c r="AE285" s="174"/>
      <c r="AF285" s="174"/>
      <c r="AG285" s="174"/>
      <c r="AH285" s="174"/>
      <c r="AI285" s="174"/>
      <c r="AJ285" s="174"/>
      <c r="AK285" s="174"/>
      <c r="AL285" s="174"/>
      <c r="AM285" s="174"/>
      <c r="AN285" s="174"/>
      <c r="AO285" s="174"/>
      <c r="AP285" s="174"/>
      <c r="AQ285" s="174"/>
      <c r="AR285" s="174"/>
      <c r="AS285" s="174"/>
      <c r="AT285" s="174"/>
      <c r="AU285" s="174"/>
      <c r="AV285" s="174"/>
      <c r="AW285" s="174"/>
      <c r="AX285" s="174"/>
      <c r="AY285" s="175"/>
      <c r="AZ285" s="175"/>
      <c r="BA285" s="175" t="n">
        <v>0</v>
      </c>
      <c r="BB285" s="174" t="n">
        <v>0</v>
      </c>
      <c r="BC285" s="174" t="n">
        <v>-0.07</v>
      </c>
      <c r="BD285" s="174" t="n">
        <v>0</v>
      </c>
      <c r="BE285" s="174" t="n">
        <v>0</v>
      </c>
      <c r="BF285" s="174" t="n">
        <v>0</v>
      </c>
      <c r="BG285" s="174" t="n">
        <v>-0.06</v>
      </c>
      <c r="BH285" s="174" t="n">
        <v>0</v>
      </c>
      <c r="BI285" s="174" t="n">
        <v>0</v>
      </c>
      <c r="BJ285" s="136" t="n">
        <v>0</v>
      </c>
      <c r="BK285" s="136" t="n">
        <v>0</v>
      </c>
      <c r="BL285" s="136" t="n">
        <v>0</v>
      </c>
      <c r="BM285" s="136" t="n">
        <v>0.05</v>
      </c>
      <c r="BN285" s="136" t="n">
        <v>0</v>
      </c>
      <c r="BO285" s="136" t="n">
        <v>0</v>
      </c>
      <c r="BP285" s="136" t="n">
        <v>0</v>
      </c>
      <c r="BQ285" s="136" t="n">
        <v>0</v>
      </c>
      <c r="BR285" s="136" t="n">
        <v>0</v>
      </c>
      <c r="BS285" s="136" t="n">
        <v>-0.07</v>
      </c>
      <c r="BT285" s="136" t="n">
        <v>0</v>
      </c>
      <c r="BU285" s="136" t="n">
        <v>-0.2</v>
      </c>
      <c r="BV285" s="136" t="n">
        <v>0</v>
      </c>
      <c r="BW285" s="136" t="n">
        <v>0</v>
      </c>
      <c r="BX285" s="136" t="n">
        <v>0</v>
      </c>
      <c r="CA285" s="136" t="n">
        <v>0.235</v>
      </c>
      <c r="CB285" s="136" t="n">
        <v>0.005</v>
      </c>
      <c r="CM285" s="136"/>
      <c r="CN285" s="136"/>
      <c r="CO285" s="136"/>
      <c r="CP285" s="136"/>
      <c r="CQ285" s="136"/>
      <c r="CR285" s="136"/>
      <c r="CS285" s="136" t="n">
        <v>1.6</v>
      </c>
      <c r="CT285" s="136" t="n">
        <v>0.45</v>
      </c>
      <c r="CU285" s="136" t="n">
        <v>0.05</v>
      </c>
      <c r="CV285" s="136" t="n">
        <v>0</v>
      </c>
      <c r="CW285" s="136" t="n">
        <v>0.34</v>
      </c>
      <c r="CX285" s="136" t="n">
        <v>0.02</v>
      </c>
      <c r="CY285" s="136" t="n">
        <v>-0.18</v>
      </c>
      <c r="CZ285" s="136" t="n">
        <v>0</v>
      </c>
      <c r="DA285" s="136" t="n">
        <v>0</v>
      </c>
      <c r="DB285" s="136" t="n">
        <v>0</v>
      </c>
      <c r="DC285" s="136" t="n">
        <v>0</v>
      </c>
      <c r="DS285" s="136" t="n">
        <v>1.04</v>
      </c>
      <c r="DT285" s="136" t="n">
        <v>0.05</v>
      </c>
    </row>
    <row r="286" customFormat="false" ht="12.75" hidden="false" customHeight="false" outlineLevel="0" collapsed="false">
      <c r="D286" s="135" t="n">
        <v>45352</v>
      </c>
      <c r="F286" s="174" t="n">
        <v>5.0445</v>
      </c>
      <c r="G286" s="175" t="n">
        <v>0.0663998485045139</v>
      </c>
      <c r="H286" s="174" t="n">
        <v>0.17</v>
      </c>
      <c r="I286" s="174" t="n">
        <v>0</v>
      </c>
      <c r="J286" s="174" t="n">
        <v>0.8</v>
      </c>
      <c r="K286" s="174" t="n">
        <v>0.75</v>
      </c>
      <c r="L286" s="174" t="n">
        <v>0.75</v>
      </c>
      <c r="M286" s="174" t="n">
        <v>0.85</v>
      </c>
      <c r="N286" s="174" t="n">
        <v>1</v>
      </c>
      <c r="O286" s="174" t="n">
        <v>0.75</v>
      </c>
      <c r="P286" s="174" t="n">
        <v>0.75</v>
      </c>
      <c r="Q286" s="174" t="n">
        <v>0.95</v>
      </c>
      <c r="R286" s="175" t="n">
        <v>0</v>
      </c>
      <c r="S286" s="175" t="n">
        <v>0.75</v>
      </c>
      <c r="T286" s="174" t="n">
        <v>0.75</v>
      </c>
      <c r="U286" s="174" t="n">
        <v>1</v>
      </c>
      <c r="V286" s="174" t="n">
        <v>0.85</v>
      </c>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5"/>
      <c r="AZ286" s="175"/>
      <c r="BA286" s="175" t="n">
        <v>0</v>
      </c>
      <c r="BB286" s="174" t="n">
        <v>0</v>
      </c>
      <c r="BC286" s="174" t="n">
        <v>-0.07</v>
      </c>
      <c r="BD286" s="174" t="n">
        <v>0</v>
      </c>
      <c r="BE286" s="174" t="n">
        <v>0</v>
      </c>
      <c r="BF286" s="174" t="n">
        <v>0</v>
      </c>
      <c r="BG286" s="174" t="n">
        <v>-0.06</v>
      </c>
      <c r="BH286" s="174" t="n">
        <v>0</v>
      </c>
      <c r="BI286" s="174" t="n">
        <v>0</v>
      </c>
      <c r="BJ286" s="136" t="n">
        <v>0</v>
      </c>
      <c r="BK286" s="136" t="n">
        <v>0</v>
      </c>
      <c r="BL286" s="136" t="n">
        <v>0</v>
      </c>
      <c r="BM286" s="136" t="n">
        <v>0.05</v>
      </c>
      <c r="BN286" s="136" t="n">
        <v>0</v>
      </c>
      <c r="BO286" s="136" t="n">
        <v>0</v>
      </c>
      <c r="BP286" s="136" t="n">
        <v>0</v>
      </c>
      <c r="BQ286" s="136" t="n">
        <v>0</v>
      </c>
      <c r="BR286" s="136" t="n">
        <v>0</v>
      </c>
      <c r="BS286" s="136" t="n">
        <v>-0.07</v>
      </c>
      <c r="BT286" s="136" t="n">
        <v>0</v>
      </c>
      <c r="BU286" s="136" t="n">
        <v>-0.2</v>
      </c>
      <c r="BV286" s="136" t="n">
        <v>0</v>
      </c>
      <c r="BW286" s="136" t="n">
        <v>0</v>
      </c>
      <c r="BX286" s="136" t="n">
        <v>0</v>
      </c>
      <c r="CA286" s="136" t="n">
        <v>0.195</v>
      </c>
      <c r="CB286" s="136" t="n">
        <v>0.005</v>
      </c>
      <c r="CM286" s="136"/>
      <c r="CN286" s="136"/>
      <c r="CO286" s="136"/>
      <c r="CP286" s="136"/>
      <c r="CQ286" s="136"/>
      <c r="CR286" s="136"/>
      <c r="CS286" s="136" t="n">
        <v>0.64</v>
      </c>
      <c r="CT286" s="136" t="n">
        <v>0.1</v>
      </c>
      <c r="CU286" s="136" t="n">
        <v>0.05</v>
      </c>
      <c r="CV286" s="136" t="n">
        <v>0</v>
      </c>
      <c r="CW286" s="136" t="n">
        <v>0.29</v>
      </c>
      <c r="CX286" s="136" t="n">
        <v>0.02</v>
      </c>
      <c r="CY286" s="136" t="n">
        <v>-0.18</v>
      </c>
      <c r="CZ286" s="136" t="n">
        <v>0</v>
      </c>
      <c r="DA286" s="136" t="n">
        <v>0</v>
      </c>
      <c r="DB286" s="136" t="n">
        <v>0</v>
      </c>
      <c r="DC286" s="136" t="n">
        <v>0</v>
      </c>
      <c r="DS286" s="136" t="n">
        <v>0.54</v>
      </c>
      <c r="DT286" s="136" t="n">
        <v>0.05</v>
      </c>
    </row>
    <row r="287" customFormat="false" ht="12.75" hidden="false" customHeight="false" outlineLevel="0" collapsed="false">
      <c r="D287" s="135" t="n">
        <v>45383</v>
      </c>
      <c r="F287" s="174" t="n">
        <v>4.8595</v>
      </c>
      <c r="G287" s="175" t="n">
        <v>0.0663864048182248</v>
      </c>
      <c r="H287" s="174" t="n">
        <v>0.17</v>
      </c>
      <c r="I287" s="174" t="n">
        <v>0</v>
      </c>
      <c r="J287" s="174" t="n">
        <v>0.45</v>
      </c>
      <c r="K287" s="174" t="n">
        <v>0.4</v>
      </c>
      <c r="L287" s="174" t="n">
        <v>0.45</v>
      </c>
      <c r="M287" s="174" t="n">
        <v>0.45</v>
      </c>
      <c r="N287" s="174" t="n">
        <v>0.45</v>
      </c>
      <c r="O287" s="174" t="n">
        <v>0.45</v>
      </c>
      <c r="P287" s="174" t="n">
        <v>0.45</v>
      </c>
      <c r="Q287" s="174" t="n">
        <v>0.5</v>
      </c>
      <c r="R287" s="175" t="n">
        <v>0</v>
      </c>
      <c r="S287" s="175" t="n">
        <v>0.45</v>
      </c>
      <c r="T287" s="174" t="n">
        <v>0.4</v>
      </c>
      <c r="U287" s="174" t="n">
        <v>0.45</v>
      </c>
      <c r="V287" s="174" t="n">
        <v>0.55</v>
      </c>
      <c r="W287" s="174"/>
      <c r="X287" s="174"/>
      <c r="Y287" s="174"/>
      <c r="Z287" s="174"/>
      <c r="AA287" s="174"/>
      <c r="AB287" s="174"/>
      <c r="AC287" s="174"/>
      <c r="AD287" s="174"/>
      <c r="AE287" s="174"/>
      <c r="AF287" s="174"/>
      <c r="AG287" s="174"/>
      <c r="AH287" s="174"/>
      <c r="AI287" s="174"/>
      <c r="AJ287" s="174"/>
      <c r="AK287" s="174"/>
      <c r="AL287" s="174"/>
      <c r="AM287" s="174"/>
      <c r="AN287" s="174"/>
      <c r="AO287" s="174"/>
      <c r="AP287" s="174"/>
      <c r="AQ287" s="174"/>
      <c r="AR287" s="174"/>
      <c r="AS287" s="174"/>
      <c r="AT287" s="174"/>
      <c r="AU287" s="174"/>
      <c r="AV287" s="174"/>
      <c r="AW287" s="174"/>
      <c r="AX287" s="174"/>
      <c r="AY287" s="175"/>
      <c r="AZ287" s="175"/>
      <c r="BA287" s="175" t="n">
        <v>0</v>
      </c>
      <c r="BB287" s="174" t="n">
        <v>0</v>
      </c>
      <c r="BC287" s="174" t="n">
        <v>-0.07</v>
      </c>
      <c r="BD287" s="174" t="n">
        <v>0</v>
      </c>
      <c r="BE287" s="174" t="n">
        <v>0</v>
      </c>
      <c r="BF287" s="174" t="n">
        <v>0</v>
      </c>
      <c r="BG287" s="174" t="n">
        <v>-0.06</v>
      </c>
      <c r="BH287" s="174" t="n">
        <v>0</v>
      </c>
      <c r="BI287" s="174" t="n">
        <v>0</v>
      </c>
      <c r="BJ287" s="136" t="n">
        <v>0</v>
      </c>
      <c r="BK287" s="136" t="n">
        <v>0</v>
      </c>
      <c r="BL287" s="136" t="n">
        <v>0</v>
      </c>
      <c r="BM287" s="136" t="n">
        <v>0.05</v>
      </c>
      <c r="BN287" s="136" t="n">
        <v>0</v>
      </c>
      <c r="BO287" s="136" t="n">
        <v>0</v>
      </c>
      <c r="BP287" s="136" t="n">
        <v>0</v>
      </c>
      <c r="BQ287" s="136" t="n">
        <v>0</v>
      </c>
      <c r="BR287" s="136" t="n">
        <v>0</v>
      </c>
      <c r="BS287" s="136" t="n">
        <v>-0.07</v>
      </c>
      <c r="BT287" s="136" t="n">
        <v>0</v>
      </c>
      <c r="BU287" s="136" t="n">
        <v>-0.2</v>
      </c>
      <c r="BV287" s="136" t="n">
        <v>0</v>
      </c>
      <c r="BW287" s="136" t="n">
        <v>0</v>
      </c>
      <c r="BX287" s="136" t="n">
        <v>0</v>
      </c>
      <c r="CA287" s="136" t="n">
        <v>0.145</v>
      </c>
      <c r="CB287" s="136" t="n">
        <v>0.005</v>
      </c>
      <c r="CM287" s="136"/>
      <c r="CN287" s="136"/>
      <c r="CO287" s="136"/>
      <c r="CP287" s="136"/>
      <c r="CQ287" s="136"/>
      <c r="CR287" s="136"/>
      <c r="CS287" s="136" t="n">
        <v>0.38</v>
      </c>
      <c r="CT287" s="136" t="n">
        <v>0.02</v>
      </c>
      <c r="CU287" s="136" t="n">
        <v>0.05</v>
      </c>
      <c r="CV287" s="136" t="n">
        <v>0</v>
      </c>
      <c r="CW287" s="136" t="n">
        <v>0.195</v>
      </c>
      <c r="CX287" s="136" t="n">
        <v>0.0075</v>
      </c>
      <c r="CY287" s="136" t="n">
        <v>-0.18</v>
      </c>
      <c r="CZ287" s="136" t="n">
        <v>0</v>
      </c>
      <c r="DA287" s="136" t="n">
        <v>0</v>
      </c>
      <c r="DB287" s="136" t="n">
        <v>0</v>
      </c>
      <c r="DC287" s="136" t="n">
        <v>0</v>
      </c>
      <c r="DS287" s="136" t="n">
        <v>0.36</v>
      </c>
      <c r="DT287" s="136" t="n">
        <v>0.005</v>
      </c>
    </row>
    <row r="288" customFormat="false" ht="12.75" hidden="false" customHeight="false" outlineLevel="0" collapsed="false">
      <c r="D288" s="135" t="n">
        <v>45413</v>
      </c>
      <c r="F288" s="174" t="n">
        <v>4.8545</v>
      </c>
      <c r="G288" s="175" t="n">
        <v>0.0663733947992924</v>
      </c>
      <c r="H288" s="174" t="n">
        <v>0.17</v>
      </c>
      <c r="I288" s="174" t="n">
        <v>0</v>
      </c>
      <c r="J288" s="174" t="n">
        <v>0.5</v>
      </c>
      <c r="K288" s="174" t="n">
        <v>0.4</v>
      </c>
      <c r="L288" s="174" t="n">
        <v>0.4</v>
      </c>
      <c r="M288" s="174" t="n">
        <v>0.45</v>
      </c>
      <c r="N288" s="174" t="n">
        <v>0.5</v>
      </c>
      <c r="O288" s="174" t="n">
        <v>0.45</v>
      </c>
      <c r="P288" s="174" t="n">
        <v>0.4</v>
      </c>
      <c r="Q288" s="174" t="n">
        <v>0.45</v>
      </c>
      <c r="R288" s="175" t="n">
        <v>0</v>
      </c>
      <c r="S288" s="175" t="n">
        <v>0.5</v>
      </c>
      <c r="T288" s="174" t="n">
        <v>0.45</v>
      </c>
      <c r="U288" s="174" t="n">
        <v>0.5</v>
      </c>
      <c r="V288" s="174" t="n">
        <v>0.5</v>
      </c>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5"/>
      <c r="AZ288" s="175"/>
      <c r="BA288" s="175" t="n">
        <v>0</v>
      </c>
      <c r="BB288" s="174" t="n">
        <v>0</v>
      </c>
      <c r="BC288" s="174" t="n">
        <v>-0.07</v>
      </c>
      <c r="BD288" s="174" t="n">
        <v>0</v>
      </c>
      <c r="BE288" s="174" t="n">
        <v>0</v>
      </c>
      <c r="BF288" s="174" t="n">
        <v>0</v>
      </c>
      <c r="BG288" s="174" t="n">
        <v>-0.06</v>
      </c>
      <c r="BH288" s="174" t="n">
        <v>0</v>
      </c>
      <c r="BI288" s="174" t="n">
        <v>0</v>
      </c>
      <c r="BJ288" s="136" t="n">
        <v>0</v>
      </c>
      <c r="BK288" s="136" t="n">
        <v>0</v>
      </c>
      <c r="BL288" s="136" t="n">
        <v>0</v>
      </c>
      <c r="BM288" s="136" t="n">
        <v>0.05</v>
      </c>
      <c r="BN288" s="136" t="n">
        <v>0</v>
      </c>
      <c r="BO288" s="136" t="n">
        <v>0</v>
      </c>
      <c r="BP288" s="136" t="n">
        <v>0</v>
      </c>
      <c r="BQ288" s="136" t="n">
        <v>0</v>
      </c>
      <c r="BR288" s="136" t="n">
        <v>0</v>
      </c>
      <c r="BS288" s="136" t="n">
        <v>-0.07</v>
      </c>
      <c r="BT288" s="136" t="n">
        <v>0</v>
      </c>
      <c r="BU288" s="136" t="n">
        <v>-0.2</v>
      </c>
      <c r="BV288" s="136" t="n">
        <v>0</v>
      </c>
      <c r="BW288" s="136" t="n">
        <v>0</v>
      </c>
      <c r="BX288" s="136" t="n">
        <v>0</v>
      </c>
      <c r="CA288" s="136" t="n">
        <v>0.125</v>
      </c>
      <c r="CB288" s="136" t="n">
        <v>0.005</v>
      </c>
      <c r="CM288" s="136"/>
      <c r="CN288" s="136"/>
      <c r="CO288" s="136"/>
      <c r="CP288" s="136"/>
      <c r="CQ288" s="136"/>
      <c r="CR288" s="136"/>
      <c r="CS288" s="136" t="n">
        <v>0.33</v>
      </c>
      <c r="CT288" s="136" t="n">
        <v>0.02</v>
      </c>
      <c r="CU288" s="136" t="n">
        <v>0.05</v>
      </c>
      <c r="CV288" s="136" t="n">
        <v>0</v>
      </c>
      <c r="CW288" s="136" t="n">
        <v>0.135</v>
      </c>
      <c r="CX288" s="136" t="n">
        <v>0.0075</v>
      </c>
      <c r="CY288" s="136" t="n">
        <v>-0.18</v>
      </c>
      <c r="CZ288" s="136" t="n">
        <v>0</v>
      </c>
      <c r="DA288" s="136" t="n">
        <v>0</v>
      </c>
      <c r="DB288" s="136" t="n">
        <v>0</v>
      </c>
      <c r="DC288" s="136" t="n">
        <v>0</v>
      </c>
      <c r="DS288" s="136" t="n">
        <v>0.325</v>
      </c>
      <c r="DT288" s="136" t="n">
        <v>0.005</v>
      </c>
    </row>
    <row r="289" customFormat="false" ht="12.75" hidden="false" customHeight="false" outlineLevel="0" collapsed="false">
      <c r="D289" s="135" t="n">
        <v>45444</v>
      </c>
      <c r="F289" s="174" t="n">
        <v>4.8895</v>
      </c>
      <c r="G289" s="175" t="n">
        <v>0.066359951113121</v>
      </c>
      <c r="H289" s="174" t="n">
        <v>0.17</v>
      </c>
      <c r="I289" s="174" t="n">
        <v>0</v>
      </c>
      <c r="J289" s="174" t="n">
        <v>0.5</v>
      </c>
      <c r="K289" s="174" t="n">
        <v>0.4</v>
      </c>
      <c r="L289" s="174" t="n">
        <v>0.5</v>
      </c>
      <c r="M289" s="174" t="n">
        <v>0.45</v>
      </c>
      <c r="N289" s="174" t="n">
        <v>0.5</v>
      </c>
      <c r="O289" s="174" t="n">
        <v>0.5</v>
      </c>
      <c r="P289" s="174" t="n">
        <v>0.5</v>
      </c>
      <c r="Q289" s="174" t="n">
        <v>0.5</v>
      </c>
      <c r="R289" s="175" t="n">
        <v>0</v>
      </c>
      <c r="S289" s="175" t="n">
        <v>0.5</v>
      </c>
      <c r="T289" s="174" t="n">
        <v>0.45</v>
      </c>
      <c r="U289" s="174" t="n">
        <v>0.5</v>
      </c>
      <c r="V289" s="174" t="n">
        <v>0.6</v>
      </c>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5"/>
      <c r="AZ289" s="175"/>
      <c r="BA289" s="175" t="n">
        <v>0</v>
      </c>
      <c r="BB289" s="174" t="n">
        <v>0</v>
      </c>
      <c r="BC289" s="174" t="n">
        <v>-0.07</v>
      </c>
      <c r="BD289" s="174" t="n">
        <v>0</v>
      </c>
      <c r="BE289" s="174" t="n">
        <v>0</v>
      </c>
      <c r="BF289" s="174" t="n">
        <v>0</v>
      </c>
      <c r="BG289" s="174" t="n">
        <v>-0.06</v>
      </c>
      <c r="BH289" s="174" t="n">
        <v>0</v>
      </c>
      <c r="BI289" s="174" t="n">
        <v>0</v>
      </c>
      <c r="BJ289" s="136" t="n">
        <v>0</v>
      </c>
      <c r="BK289" s="136" t="n">
        <v>0</v>
      </c>
      <c r="BL289" s="136" t="n">
        <v>0</v>
      </c>
      <c r="BM289" s="136" t="n">
        <v>0.05</v>
      </c>
      <c r="BN289" s="136" t="n">
        <v>0</v>
      </c>
      <c r="BO289" s="136" t="n">
        <v>0</v>
      </c>
      <c r="BP289" s="136" t="n">
        <v>0</v>
      </c>
      <c r="BQ289" s="136" t="n">
        <v>0</v>
      </c>
      <c r="BR289" s="136" t="n">
        <v>0</v>
      </c>
      <c r="BS289" s="136" t="n">
        <v>-0.07</v>
      </c>
      <c r="BT289" s="136" t="n">
        <v>0</v>
      </c>
      <c r="BU289" s="136" t="n">
        <v>-0.2</v>
      </c>
      <c r="BV289" s="136" t="n">
        <v>0</v>
      </c>
      <c r="BW289" s="136" t="n">
        <v>0</v>
      </c>
      <c r="BX289" s="136" t="n">
        <v>0</v>
      </c>
      <c r="CA289" s="136" t="n">
        <v>0.145</v>
      </c>
      <c r="CB289" s="136" t="n">
        <v>0.005</v>
      </c>
      <c r="CM289" s="136"/>
      <c r="CN289" s="136"/>
      <c r="CO289" s="136"/>
      <c r="CP289" s="136"/>
      <c r="CQ289" s="136"/>
      <c r="CR289" s="136"/>
      <c r="CS289" s="136" t="n">
        <v>0.37</v>
      </c>
      <c r="CT289" s="136" t="n">
        <v>0.035</v>
      </c>
      <c r="CU289" s="136" t="n">
        <v>0.05</v>
      </c>
      <c r="CV289" s="136" t="n">
        <v>0</v>
      </c>
      <c r="CW289" s="136" t="n">
        <v>0.165</v>
      </c>
      <c r="CX289" s="136" t="n">
        <v>0.0075</v>
      </c>
      <c r="CY289" s="136" t="n">
        <v>-0.18</v>
      </c>
      <c r="CZ289" s="136" t="n">
        <v>0</v>
      </c>
      <c r="DA289" s="136" t="n">
        <v>0</v>
      </c>
      <c r="DB289" s="136" t="n">
        <v>0</v>
      </c>
      <c r="DC289" s="136" t="n">
        <v>0</v>
      </c>
      <c r="DS289" s="136" t="n">
        <v>0.335</v>
      </c>
      <c r="DT289" s="136" t="n">
        <v>0.005</v>
      </c>
    </row>
    <row r="290" customFormat="false" ht="12.75" hidden="false" customHeight="false" outlineLevel="0" collapsed="false">
      <c r="D290" s="135" t="n">
        <v>45474</v>
      </c>
      <c r="F290" s="174" t="n">
        <v>4.9295</v>
      </c>
      <c r="G290" s="175" t="n">
        <v>0.0663469410943023</v>
      </c>
      <c r="H290" s="174" t="n">
        <v>0.17</v>
      </c>
      <c r="I290" s="174" t="n">
        <v>0</v>
      </c>
      <c r="J290" s="174" t="n">
        <v>0.5</v>
      </c>
      <c r="K290" s="174" t="n">
        <v>0.4</v>
      </c>
      <c r="L290" s="174" t="n">
        <v>0.5</v>
      </c>
      <c r="M290" s="174" t="n">
        <v>0.5</v>
      </c>
      <c r="N290" s="174" t="n">
        <v>0.5</v>
      </c>
      <c r="O290" s="174" t="n">
        <v>0.5</v>
      </c>
      <c r="P290" s="174" t="n">
        <v>0.5</v>
      </c>
      <c r="Q290" s="174" t="n">
        <v>0.5</v>
      </c>
      <c r="R290" s="175" t="n">
        <v>0</v>
      </c>
      <c r="S290" s="175" t="n">
        <v>0.55</v>
      </c>
      <c r="T290" s="174" t="n">
        <v>0.5</v>
      </c>
      <c r="U290" s="174" t="n">
        <v>0.5</v>
      </c>
      <c r="V290" s="174" t="n">
        <v>0.6</v>
      </c>
      <c r="W290" s="174"/>
      <c r="X290" s="174"/>
      <c r="Y290" s="174"/>
      <c r="Z290" s="174"/>
      <c r="AA290" s="174"/>
      <c r="AB290" s="174"/>
      <c r="AC290" s="174"/>
      <c r="AD290" s="174"/>
      <c r="AE290" s="174"/>
      <c r="AF290" s="174"/>
      <c r="AG290" s="174"/>
      <c r="AH290" s="174"/>
      <c r="AI290" s="174"/>
      <c r="AJ290" s="174"/>
      <c r="AK290" s="174"/>
      <c r="AL290" s="174"/>
      <c r="AM290" s="174"/>
      <c r="AN290" s="174"/>
      <c r="AO290" s="174"/>
      <c r="AP290" s="174"/>
      <c r="AQ290" s="174"/>
      <c r="AR290" s="174"/>
      <c r="AS290" s="174"/>
      <c r="AT290" s="174"/>
      <c r="AU290" s="174"/>
      <c r="AV290" s="174"/>
      <c r="AW290" s="174"/>
      <c r="AX290" s="174"/>
      <c r="AY290" s="175"/>
      <c r="AZ290" s="175"/>
      <c r="BA290" s="175" t="n">
        <v>0</v>
      </c>
      <c r="BB290" s="174" t="n">
        <v>0</v>
      </c>
      <c r="BC290" s="174" t="n">
        <v>-0.07</v>
      </c>
      <c r="BD290" s="174" t="n">
        <v>0</v>
      </c>
      <c r="BE290" s="174" t="n">
        <v>0</v>
      </c>
      <c r="BF290" s="174" t="n">
        <v>0</v>
      </c>
      <c r="BG290" s="174" t="n">
        <v>-0.06</v>
      </c>
      <c r="BH290" s="174" t="n">
        <v>0</v>
      </c>
      <c r="BI290" s="174" t="n">
        <v>0</v>
      </c>
      <c r="BJ290" s="136" t="n">
        <v>0</v>
      </c>
      <c r="BK290" s="136" t="n">
        <v>0</v>
      </c>
      <c r="BL290" s="136" t="n">
        <v>0</v>
      </c>
      <c r="BM290" s="136" t="n">
        <v>0.05</v>
      </c>
      <c r="BN290" s="136" t="n">
        <v>0</v>
      </c>
      <c r="BO290" s="136" t="n">
        <v>0</v>
      </c>
      <c r="BP290" s="136" t="n">
        <v>0</v>
      </c>
      <c r="BQ290" s="136" t="n">
        <v>0</v>
      </c>
      <c r="BR290" s="136" t="n">
        <v>0</v>
      </c>
      <c r="BS290" s="136" t="n">
        <v>-0.07</v>
      </c>
      <c r="BT290" s="136" t="n">
        <v>0</v>
      </c>
      <c r="BU290" s="136" t="n">
        <v>-0.2</v>
      </c>
      <c r="BV290" s="136" t="n">
        <v>0</v>
      </c>
      <c r="BW290" s="136" t="n">
        <v>0</v>
      </c>
      <c r="BX290" s="136" t="n">
        <v>0</v>
      </c>
      <c r="CA290" s="136" t="n">
        <v>0.15</v>
      </c>
      <c r="CB290" s="136" t="n">
        <v>0.005</v>
      </c>
      <c r="CM290" s="136"/>
      <c r="CN290" s="136"/>
      <c r="CO290" s="136"/>
      <c r="CP290" s="136"/>
      <c r="CQ290" s="136"/>
      <c r="CR290" s="136"/>
      <c r="CS290" s="136" t="n">
        <v>0.41</v>
      </c>
      <c r="CT290" s="136" t="n">
        <v>0.035</v>
      </c>
      <c r="CU290" s="136" t="n">
        <v>0.05</v>
      </c>
      <c r="CV290" s="136" t="n">
        <v>0</v>
      </c>
      <c r="CW290" s="136" t="n">
        <v>0.205</v>
      </c>
      <c r="CX290" s="136" t="n">
        <v>0.0075</v>
      </c>
      <c r="CY290" s="136" t="n">
        <v>-0.18</v>
      </c>
      <c r="CZ290" s="136" t="n">
        <v>0</v>
      </c>
      <c r="DA290" s="136" t="n">
        <v>0</v>
      </c>
      <c r="DB290" s="136" t="n">
        <v>0</v>
      </c>
      <c r="DC290" s="136" t="n">
        <v>0</v>
      </c>
      <c r="DS290" s="136" t="n">
        <v>0.35</v>
      </c>
      <c r="DT290" s="136" t="n">
        <v>0.005</v>
      </c>
    </row>
    <row r="291" customFormat="false" ht="12.75" hidden="false" customHeight="false" outlineLevel="0" collapsed="false">
      <c r="D291" s="135" t="n">
        <v>45505</v>
      </c>
      <c r="F291" s="174" t="n">
        <v>4.9695</v>
      </c>
      <c r="G291" s="175" t="n">
        <v>0.066333497408249</v>
      </c>
      <c r="H291" s="174" t="n">
        <v>0.17</v>
      </c>
      <c r="I291" s="174" t="n">
        <v>0</v>
      </c>
      <c r="J291" s="174" t="n">
        <v>0.55</v>
      </c>
      <c r="K291" s="174" t="n">
        <v>0.5</v>
      </c>
      <c r="L291" s="174" t="n">
        <v>0.6</v>
      </c>
      <c r="M291" s="174" t="n">
        <v>0.55</v>
      </c>
      <c r="N291" s="174" t="n">
        <v>0.6</v>
      </c>
      <c r="O291" s="174" t="n">
        <v>0.55</v>
      </c>
      <c r="P291" s="174" t="n">
        <v>0.6</v>
      </c>
      <c r="Q291" s="174" t="n">
        <v>0.45</v>
      </c>
      <c r="R291" s="175" t="n">
        <v>0</v>
      </c>
      <c r="S291" s="175" t="n">
        <v>0.6</v>
      </c>
      <c r="T291" s="174" t="n">
        <v>0.55</v>
      </c>
      <c r="U291" s="174" t="n">
        <v>0.6</v>
      </c>
      <c r="V291" s="174" t="n">
        <v>0.7</v>
      </c>
      <c r="W291" s="174"/>
      <c r="X291" s="174"/>
      <c r="Y291" s="174"/>
      <c r="Z291" s="174"/>
      <c r="AA291" s="174"/>
      <c r="AB291" s="174"/>
      <c r="AC291" s="174"/>
      <c r="AD291" s="174"/>
      <c r="AE291" s="174"/>
      <c r="AF291" s="174"/>
      <c r="AG291" s="174"/>
      <c r="AH291" s="174"/>
      <c r="AI291" s="174"/>
      <c r="AJ291" s="174"/>
      <c r="AK291" s="174"/>
      <c r="AL291" s="174"/>
      <c r="AM291" s="174"/>
      <c r="AN291" s="174"/>
      <c r="AO291" s="174"/>
      <c r="AP291" s="174"/>
      <c r="AQ291" s="174"/>
      <c r="AR291" s="174"/>
      <c r="AS291" s="174"/>
      <c r="AT291" s="174"/>
      <c r="AU291" s="174"/>
      <c r="AV291" s="174"/>
      <c r="AW291" s="174"/>
      <c r="AX291" s="174"/>
      <c r="AY291" s="175"/>
      <c r="AZ291" s="175"/>
      <c r="BA291" s="175" t="n">
        <v>0</v>
      </c>
      <c r="BB291" s="174" t="n">
        <v>0</v>
      </c>
      <c r="BC291" s="174" t="n">
        <v>-0.07</v>
      </c>
      <c r="BD291" s="174" t="n">
        <v>0</v>
      </c>
      <c r="BE291" s="174" t="n">
        <v>0</v>
      </c>
      <c r="BF291" s="174" t="n">
        <v>0</v>
      </c>
      <c r="BG291" s="174" t="n">
        <v>-0.06</v>
      </c>
      <c r="BH291" s="174" t="n">
        <v>0</v>
      </c>
      <c r="BI291" s="174" t="n">
        <v>0</v>
      </c>
      <c r="BJ291" s="136" t="n">
        <v>0</v>
      </c>
      <c r="BK291" s="136" t="n">
        <v>0</v>
      </c>
      <c r="BL291" s="136" t="n">
        <v>0</v>
      </c>
      <c r="BM291" s="136" t="n">
        <v>0.05</v>
      </c>
      <c r="BN291" s="136" t="n">
        <v>0</v>
      </c>
      <c r="BO291" s="136" t="n">
        <v>0</v>
      </c>
      <c r="BP291" s="136" t="n">
        <v>0</v>
      </c>
      <c r="BQ291" s="136" t="n">
        <v>0</v>
      </c>
      <c r="BR291" s="136" t="n">
        <v>0</v>
      </c>
      <c r="BS291" s="136" t="n">
        <v>-0.07</v>
      </c>
      <c r="BT291" s="136" t="n">
        <v>0</v>
      </c>
      <c r="BU291" s="136" t="n">
        <v>-0.2</v>
      </c>
      <c r="BV291" s="136" t="n">
        <v>0</v>
      </c>
      <c r="BW291" s="136" t="n">
        <v>0</v>
      </c>
      <c r="BX291" s="136" t="n">
        <v>0</v>
      </c>
      <c r="CA291" s="136" t="n">
        <v>0.15</v>
      </c>
      <c r="CB291" s="136" t="n">
        <v>0.005</v>
      </c>
      <c r="CM291" s="136"/>
      <c r="CN291" s="136"/>
      <c r="CO291" s="136"/>
      <c r="CP291" s="136"/>
      <c r="CQ291" s="136"/>
      <c r="CR291" s="136"/>
      <c r="CS291" s="136" t="n">
        <v>0.41</v>
      </c>
      <c r="CT291" s="136" t="n">
        <v>0.01</v>
      </c>
      <c r="CU291" s="136" t="n">
        <v>0.05</v>
      </c>
      <c r="CV291" s="136" t="n">
        <v>0</v>
      </c>
      <c r="CW291" s="136" t="n">
        <v>0.205</v>
      </c>
      <c r="CX291" s="136" t="n">
        <v>0.0075</v>
      </c>
      <c r="CY291" s="136" t="n">
        <v>-0.18</v>
      </c>
      <c r="CZ291" s="136" t="n">
        <v>0</v>
      </c>
      <c r="DA291" s="136" t="n">
        <v>0</v>
      </c>
      <c r="DB291" s="136" t="n">
        <v>0</v>
      </c>
      <c r="DC291" s="136" t="n">
        <v>0</v>
      </c>
      <c r="DS291" s="136" t="n">
        <v>0.35</v>
      </c>
      <c r="DT291" s="136" t="n">
        <v>-0.005</v>
      </c>
    </row>
    <row r="292" customFormat="false" ht="12.75" hidden="false" customHeight="false" outlineLevel="0" collapsed="false">
      <c r="D292" s="135" t="n">
        <v>45536</v>
      </c>
      <c r="F292" s="174" t="n">
        <v>4.9645</v>
      </c>
      <c r="G292" s="175" t="n">
        <v>0.0663200537222552</v>
      </c>
      <c r="H292" s="174" t="n">
        <v>0.17</v>
      </c>
      <c r="I292" s="174" t="n">
        <v>0</v>
      </c>
      <c r="J292" s="174" t="n">
        <v>0.55</v>
      </c>
      <c r="K292" s="174" t="n">
        <v>0.55</v>
      </c>
      <c r="L292" s="174" t="n">
        <v>0.55</v>
      </c>
      <c r="M292" s="174" t="n">
        <v>0.55</v>
      </c>
      <c r="N292" s="174" t="n">
        <v>0.6</v>
      </c>
      <c r="O292" s="174" t="n">
        <v>0.6</v>
      </c>
      <c r="P292" s="174" t="n">
        <v>0.55</v>
      </c>
      <c r="Q292" s="174" t="n">
        <v>0.5</v>
      </c>
      <c r="R292" s="175" t="n">
        <v>0</v>
      </c>
      <c r="S292" s="175" t="n">
        <v>0.6</v>
      </c>
      <c r="T292" s="174" t="n">
        <v>0.55</v>
      </c>
      <c r="U292" s="174" t="n">
        <v>0.6</v>
      </c>
      <c r="V292" s="174" t="n">
        <v>0.65</v>
      </c>
      <c r="W292" s="174"/>
      <c r="X292" s="174"/>
      <c r="Y292" s="174"/>
      <c r="Z292" s="174"/>
      <c r="AA292" s="174"/>
      <c r="AB292" s="174"/>
      <c r="AC292" s="174"/>
      <c r="AD292" s="174"/>
      <c r="AE292" s="174"/>
      <c r="AF292" s="174"/>
      <c r="AG292" s="174"/>
      <c r="AH292" s="174"/>
      <c r="AI292" s="174"/>
      <c r="AJ292" s="174"/>
      <c r="AK292" s="174"/>
      <c r="AL292" s="174"/>
      <c r="AM292" s="174"/>
      <c r="AN292" s="174"/>
      <c r="AO292" s="174"/>
      <c r="AP292" s="174"/>
      <c r="AQ292" s="174"/>
      <c r="AR292" s="174"/>
      <c r="AS292" s="174"/>
      <c r="AT292" s="174"/>
      <c r="AU292" s="174"/>
      <c r="AV292" s="174"/>
      <c r="AW292" s="174"/>
      <c r="AX292" s="174"/>
      <c r="AY292" s="175"/>
      <c r="AZ292" s="175"/>
      <c r="BA292" s="175" t="n">
        <v>0</v>
      </c>
      <c r="BB292" s="174" t="n">
        <v>0</v>
      </c>
      <c r="BC292" s="174" t="n">
        <v>-0.07</v>
      </c>
      <c r="BD292" s="174" t="n">
        <v>0</v>
      </c>
      <c r="BE292" s="174" t="n">
        <v>0</v>
      </c>
      <c r="BF292" s="174" t="n">
        <v>0</v>
      </c>
      <c r="BG292" s="174" t="n">
        <v>-0.06</v>
      </c>
      <c r="BH292" s="174" t="n">
        <v>0</v>
      </c>
      <c r="BI292" s="174" t="n">
        <v>0</v>
      </c>
      <c r="BJ292" s="136" t="n">
        <v>0</v>
      </c>
      <c r="BK292" s="136" t="n">
        <v>0</v>
      </c>
      <c r="BL292" s="136" t="n">
        <v>0</v>
      </c>
      <c r="BM292" s="136" t="n">
        <v>0.05</v>
      </c>
      <c r="BN292" s="136" t="n">
        <v>0</v>
      </c>
      <c r="BO292" s="136" t="n">
        <v>0</v>
      </c>
      <c r="BP292" s="136" t="n">
        <v>0</v>
      </c>
      <c r="BQ292" s="136" t="n">
        <v>0</v>
      </c>
      <c r="BR292" s="136" t="n">
        <v>0</v>
      </c>
      <c r="BS292" s="136" t="n">
        <v>-0.07</v>
      </c>
      <c r="BT292" s="136" t="n">
        <v>0</v>
      </c>
      <c r="BU292" s="136" t="n">
        <v>-0.2</v>
      </c>
      <c r="BV292" s="136" t="n">
        <v>0</v>
      </c>
      <c r="BW292" s="136" t="n">
        <v>0</v>
      </c>
      <c r="BX292" s="136" t="n">
        <v>0</v>
      </c>
      <c r="CA292" s="136" t="n">
        <v>0.125</v>
      </c>
      <c r="CB292" s="136" t="n">
        <v>0.005</v>
      </c>
      <c r="CM292" s="136"/>
      <c r="CN292" s="136"/>
      <c r="CO292" s="136"/>
      <c r="CP292" s="136"/>
      <c r="CQ292" s="136"/>
      <c r="CR292" s="136"/>
      <c r="CS292" s="136" t="n">
        <v>0.36</v>
      </c>
      <c r="CT292" s="136" t="n">
        <v>0.01</v>
      </c>
      <c r="CU292" s="136" t="n">
        <v>0.05</v>
      </c>
      <c r="CV292" s="136" t="n">
        <v>0</v>
      </c>
      <c r="CW292" s="136" t="n">
        <v>0.145</v>
      </c>
      <c r="CX292" s="136" t="n">
        <v>0.0075</v>
      </c>
      <c r="CY292" s="136" t="n">
        <v>-0.18</v>
      </c>
      <c r="CZ292" s="136" t="n">
        <v>0</v>
      </c>
      <c r="DA292" s="136" t="n">
        <v>0</v>
      </c>
      <c r="DB292" s="136" t="n">
        <v>0</v>
      </c>
      <c r="DC292" s="136" t="n">
        <v>0</v>
      </c>
      <c r="DS292" s="136" t="n">
        <v>0.315</v>
      </c>
      <c r="DT292" s="136" t="n">
        <v>-0.005</v>
      </c>
    </row>
    <row r="293" customFormat="false" ht="12.75" hidden="false" customHeight="false" outlineLevel="0" collapsed="false">
      <c r="D293" s="135" t="n">
        <v>45566</v>
      </c>
      <c r="F293" s="174" t="n">
        <v>4.9895</v>
      </c>
      <c r="G293" s="175" t="n">
        <v>0.0663070437036084</v>
      </c>
      <c r="H293" s="174" t="n">
        <v>0.17</v>
      </c>
      <c r="I293" s="174" t="n">
        <v>0</v>
      </c>
      <c r="J293" s="174" t="n">
        <v>0.6</v>
      </c>
      <c r="K293" s="174" t="n">
        <v>0.55</v>
      </c>
      <c r="L293" s="174" t="n">
        <v>0.6</v>
      </c>
      <c r="M293" s="174" t="n">
        <v>0.6</v>
      </c>
      <c r="N293" s="174" t="n">
        <v>0.65</v>
      </c>
      <c r="O293" s="174" t="n">
        <v>0.65</v>
      </c>
      <c r="P293" s="174" t="n">
        <v>0.6</v>
      </c>
      <c r="Q293" s="174" t="n">
        <v>0.5</v>
      </c>
      <c r="R293" s="175" t="n">
        <v>0</v>
      </c>
      <c r="S293" s="175" t="n">
        <v>0.65</v>
      </c>
      <c r="T293" s="174" t="n">
        <v>0.6</v>
      </c>
      <c r="U293" s="174" t="n">
        <v>0.65</v>
      </c>
      <c r="V293" s="174" t="n">
        <v>0.7</v>
      </c>
      <c r="W293" s="174"/>
      <c r="X293" s="174"/>
      <c r="Y293" s="174"/>
      <c r="Z293" s="174"/>
      <c r="AA293" s="174"/>
      <c r="AB293" s="174"/>
      <c r="AC293" s="174"/>
      <c r="AD293" s="174"/>
      <c r="AE293" s="174"/>
      <c r="AF293" s="174"/>
      <c r="AG293" s="174"/>
      <c r="AH293" s="174"/>
      <c r="AI293" s="174"/>
      <c r="AJ293" s="174"/>
      <c r="AK293" s="174"/>
      <c r="AL293" s="174"/>
      <c r="AM293" s="174"/>
      <c r="AN293" s="174"/>
      <c r="AO293" s="174"/>
      <c r="AP293" s="174"/>
      <c r="AQ293" s="174"/>
      <c r="AR293" s="174"/>
      <c r="AS293" s="174"/>
      <c r="AT293" s="174"/>
      <c r="AU293" s="174"/>
      <c r="AV293" s="174"/>
      <c r="AW293" s="174"/>
      <c r="AX293" s="174"/>
      <c r="AY293" s="175"/>
      <c r="AZ293" s="175"/>
      <c r="BA293" s="175" t="n">
        <v>0</v>
      </c>
      <c r="BB293" s="174" t="n">
        <v>0</v>
      </c>
      <c r="BC293" s="174" t="n">
        <v>-0.07</v>
      </c>
      <c r="BD293" s="174" t="n">
        <v>0</v>
      </c>
      <c r="BE293" s="174" t="n">
        <v>0</v>
      </c>
      <c r="BF293" s="174" t="n">
        <v>0</v>
      </c>
      <c r="BG293" s="174" t="n">
        <v>-0.06</v>
      </c>
      <c r="BH293" s="174" t="n">
        <v>0</v>
      </c>
      <c r="BI293" s="174" t="n">
        <v>0</v>
      </c>
      <c r="BJ293" s="136" t="n">
        <v>0</v>
      </c>
      <c r="BK293" s="136" t="n">
        <v>0</v>
      </c>
      <c r="BL293" s="136" t="n">
        <v>0</v>
      </c>
      <c r="BM293" s="136" t="n">
        <v>0.05</v>
      </c>
      <c r="BN293" s="136" t="n">
        <v>0</v>
      </c>
      <c r="BO293" s="136" t="n">
        <v>0</v>
      </c>
      <c r="BP293" s="136" t="n">
        <v>0</v>
      </c>
      <c r="BQ293" s="136" t="n">
        <v>0</v>
      </c>
      <c r="BR293" s="136" t="n">
        <v>0</v>
      </c>
      <c r="BS293" s="136" t="n">
        <v>-0.07</v>
      </c>
      <c r="BT293" s="136" t="n">
        <v>0</v>
      </c>
      <c r="BU293" s="136" t="n">
        <v>-0.2</v>
      </c>
      <c r="BV293" s="136" t="n">
        <v>0</v>
      </c>
      <c r="BW293" s="136" t="n">
        <v>0</v>
      </c>
      <c r="BX293" s="136" t="n">
        <v>0</v>
      </c>
      <c r="CA293" s="136" t="n">
        <v>0.145</v>
      </c>
      <c r="CB293" s="136" t="n">
        <v>0.005</v>
      </c>
      <c r="CM293" s="136"/>
      <c r="CN293" s="136"/>
      <c r="CO293" s="136"/>
      <c r="CP293" s="136"/>
      <c r="CQ293" s="136"/>
      <c r="CR293" s="136"/>
      <c r="CS293" s="136" t="n">
        <v>0.4</v>
      </c>
      <c r="CT293" s="136" t="n">
        <v>0.01</v>
      </c>
      <c r="CU293" s="136" t="n">
        <v>0.05</v>
      </c>
      <c r="CV293" s="136" t="n">
        <v>0</v>
      </c>
      <c r="CW293" s="136" t="n">
        <v>0.175</v>
      </c>
      <c r="CX293" s="136" t="n">
        <v>0.0075</v>
      </c>
      <c r="CY293" s="136" t="n">
        <v>-0.18</v>
      </c>
      <c r="CZ293" s="136" t="n">
        <v>0</v>
      </c>
      <c r="DA293" s="136" t="n">
        <v>0</v>
      </c>
      <c r="DB293" s="136" t="n">
        <v>0</v>
      </c>
      <c r="DC293" s="136" t="n">
        <v>0</v>
      </c>
      <c r="DS293" s="136" t="n">
        <v>0.36</v>
      </c>
      <c r="DT293" s="136" t="n">
        <v>-0.005</v>
      </c>
    </row>
    <row r="294" customFormat="false" ht="12.75" hidden="false" customHeight="false" outlineLevel="0" collapsed="false">
      <c r="D294" s="135" t="n">
        <v>45597</v>
      </c>
      <c r="F294" s="174" t="n">
        <v>5.1415</v>
      </c>
      <c r="G294" s="175" t="n">
        <v>0.0662936000177328</v>
      </c>
      <c r="H294" s="174" t="n">
        <v>0.17</v>
      </c>
      <c r="I294" s="174" t="n">
        <v>0</v>
      </c>
      <c r="J294" s="174" t="n">
        <v>0.85</v>
      </c>
      <c r="K294" s="174" t="n">
        <v>0.8</v>
      </c>
      <c r="L294" s="174" t="n">
        <v>0.8</v>
      </c>
      <c r="M294" s="174" t="n">
        <v>0.9</v>
      </c>
      <c r="N294" s="174" t="n">
        <v>0.95</v>
      </c>
      <c r="O294" s="174" t="n">
        <v>0.85</v>
      </c>
      <c r="P294" s="174" t="n">
        <v>0.8</v>
      </c>
      <c r="Q294" s="174" t="n">
        <v>0.95</v>
      </c>
      <c r="R294" s="175" t="n">
        <v>0</v>
      </c>
      <c r="S294" s="175" t="n">
        <v>0.8</v>
      </c>
      <c r="T294" s="174" t="n">
        <v>0.8</v>
      </c>
      <c r="U294" s="174" t="n">
        <v>0.95</v>
      </c>
      <c r="V294" s="174" t="n">
        <v>0.9</v>
      </c>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5"/>
      <c r="AZ294" s="175"/>
      <c r="BA294" s="175" t="n">
        <v>0</v>
      </c>
      <c r="BB294" s="174" t="n">
        <v>0</v>
      </c>
      <c r="BC294" s="174" t="n">
        <v>-0.07</v>
      </c>
      <c r="BD294" s="174" t="n">
        <v>0</v>
      </c>
      <c r="BE294" s="174" t="n">
        <v>0</v>
      </c>
      <c r="BF294" s="174" t="n">
        <v>0</v>
      </c>
      <c r="BG294" s="174" t="n">
        <v>-0.06</v>
      </c>
      <c r="BH294" s="174" t="n">
        <v>0</v>
      </c>
      <c r="BI294" s="174" t="n">
        <v>0</v>
      </c>
      <c r="BJ294" s="136" t="n">
        <v>0</v>
      </c>
      <c r="BK294" s="136" t="n">
        <v>0</v>
      </c>
      <c r="BL294" s="136" t="n">
        <v>0</v>
      </c>
      <c r="BM294" s="136" t="n">
        <v>0.05</v>
      </c>
      <c r="BN294" s="136" t="n">
        <v>0</v>
      </c>
      <c r="BO294" s="136" t="n">
        <v>0</v>
      </c>
      <c r="BP294" s="136" t="n">
        <v>0</v>
      </c>
      <c r="BQ294" s="136" t="n">
        <v>0</v>
      </c>
      <c r="BR294" s="136" t="n">
        <v>0</v>
      </c>
      <c r="BS294" s="136" t="n">
        <v>-0.07</v>
      </c>
      <c r="BT294" s="136" t="n">
        <v>0</v>
      </c>
      <c r="BU294" s="136" t="n">
        <v>-0.2</v>
      </c>
      <c r="BV294" s="136" t="n">
        <v>0</v>
      </c>
      <c r="BW294" s="136" t="n">
        <v>0</v>
      </c>
      <c r="BX294" s="136" t="n">
        <v>0</v>
      </c>
      <c r="CA294" s="136" t="n">
        <v>0.195</v>
      </c>
      <c r="CB294" s="136" t="n">
        <v>0.005</v>
      </c>
      <c r="CM294" s="136"/>
      <c r="CN294" s="136"/>
      <c r="CO294" s="136"/>
      <c r="CP294" s="136"/>
      <c r="CQ294" s="136"/>
      <c r="CR294" s="136"/>
      <c r="CS294" s="136" t="n">
        <v>0.65</v>
      </c>
      <c r="CT294" s="136" t="n">
        <v>0.055</v>
      </c>
      <c r="CU294" s="136" t="n">
        <v>0.05</v>
      </c>
      <c r="CV294" s="136" t="n">
        <v>0</v>
      </c>
      <c r="CW294" s="136" t="n">
        <v>0.21</v>
      </c>
      <c r="CX294" s="136" t="n">
        <v>0.02</v>
      </c>
      <c r="CY294" s="136" t="n">
        <v>-0.18</v>
      </c>
      <c r="CZ294" s="136" t="n">
        <v>0</v>
      </c>
      <c r="DA294" s="136" t="n">
        <v>0</v>
      </c>
      <c r="DB294" s="136" t="n">
        <v>0</v>
      </c>
      <c r="DC294" s="136" t="n">
        <v>0</v>
      </c>
      <c r="DS294" s="136" t="n">
        <v>0.46</v>
      </c>
      <c r="DT294" s="136" t="n">
        <v>0.05</v>
      </c>
    </row>
    <row r="295" customFormat="false" ht="12.75" hidden="false" customHeight="false" outlineLevel="0" collapsed="false">
      <c r="D295" s="135" t="n">
        <v>45627</v>
      </c>
      <c r="F295" s="174" t="n">
        <v>5.2845</v>
      </c>
      <c r="G295" s="175" t="n">
        <v>0.0662805899992001</v>
      </c>
      <c r="H295" s="174" t="n">
        <v>0.17</v>
      </c>
      <c r="I295" s="174" t="n">
        <v>0</v>
      </c>
      <c r="J295" s="174" t="n">
        <v>1.05</v>
      </c>
      <c r="K295" s="174" t="n">
        <v>1</v>
      </c>
      <c r="L295" s="174" t="n">
        <v>1</v>
      </c>
      <c r="M295" s="174" t="n">
        <v>1.15</v>
      </c>
      <c r="N295" s="174" t="n">
        <v>1.25</v>
      </c>
      <c r="O295" s="174" t="n">
        <v>1.05</v>
      </c>
      <c r="P295" s="174" t="n">
        <v>1</v>
      </c>
      <c r="Q295" s="174" t="n">
        <v>1.35</v>
      </c>
      <c r="R295" s="175" t="n">
        <v>0</v>
      </c>
      <c r="S295" s="175" t="n">
        <v>1.1</v>
      </c>
      <c r="T295" s="174" t="n">
        <v>1</v>
      </c>
      <c r="U295" s="174" t="n">
        <v>1.25</v>
      </c>
      <c r="V295" s="174" t="n">
        <v>1.1</v>
      </c>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5"/>
      <c r="AZ295" s="175"/>
      <c r="BA295" s="175" t="n">
        <v>0</v>
      </c>
      <c r="BB295" s="174" t="n">
        <v>0</v>
      </c>
      <c r="BC295" s="174" t="n">
        <v>-0.07</v>
      </c>
      <c r="BD295" s="174" t="n">
        <v>0</v>
      </c>
      <c r="BE295" s="174" t="n">
        <v>0</v>
      </c>
      <c r="BF295" s="174" t="n">
        <v>0</v>
      </c>
      <c r="BG295" s="174" t="n">
        <v>-0.06</v>
      </c>
      <c r="BH295" s="174" t="n">
        <v>0</v>
      </c>
      <c r="BI295" s="174" t="n">
        <v>0</v>
      </c>
      <c r="BJ295" s="136" t="n">
        <v>0</v>
      </c>
      <c r="BK295" s="136" t="n">
        <v>0</v>
      </c>
      <c r="BL295" s="136" t="n">
        <v>0</v>
      </c>
      <c r="BM295" s="136" t="n">
        <v>0.05</v>
      </c>
      <c r="BN295" s="136" t="n">
        <v>0</v>
      </c>
      <c r="BO295" s="136" t="n">
        <v>0</v>
      </c>
      <c r="BP295" s="136" t="n">
        <v>0</v>
      </c>
      <c r="BQ295" s="136" t="n">
        <v>0</v>
      </c>
      <c r="BR295" s="136" t="n">
        <v>0</v>
      </c>
      <c r="BS295" s="136" t="n">
        <v>-0.07</v>
      </c>
      <c r="BT295" s="136" t="n">
        <v>0</v>
      </c>
      <c r="BU295" s="136" t="n">
        <v>-0.2</v>
      </c>
      <c r="BV295" s="136" t="n">
        <v>0</v>
      </c>
      <c r="BW295" s="136" t="n">
        <v>0</v>
      </c>
      <c r="BX295" s="136" t="n">
        <v>0</v>
      </c>
      <c r="CA295" s="136" t="n">
        <v>0.215</v>
      </c>
      <c r="CB295" s="136" t="n">
        <v>0.005</v>
      </c>
      <c r="CM295" s="136"/>
      <c r="CN295" s="136"/>
      <c r="CO295" s="136"/>
      <c r="CP295" s="136"/>
      <c r="CQ295" s="136"/>
      <c r="CR295" s="136"/>
      <c r="CS295" s="136" t="n">
        <v>0.98</v>
      </c>
      <c r="CT295" s="136" t="n">
        <v>0.25</v>
      </c>
      <c r="CU295" s="136" t="n">
        <v>0.05</v>
      </c>
      <c r="CV295" s="136" t="n">
        <v>0</v>
      </c>
      <c r="CW295" s="136" t="n">
        <v>0.29</v>
      </c>
      <c r="CX295" s="136" t="n">
        <v>0.02</v>
      </c>
      <c r="CY295" s="136" t="n">
        <v>-0.18</v>
      </c>
      <c r="CZ295" s="136" t="n">
        <v>0</v>
      </c>
      <c r="DA295" s="136" t="n">
        <v>0</v>
      </c>
      <c r="DB295" s="136" t="n">
        <v>0</v>
      </c>
      <c r="DC295" s="136" t="n">
        <v>0</v>
      </c>
      <c r="DS295" s="136" t="n">
        <v>0.77</v>
      </c>
      <c r="DT295" s="136" t="n">
        <v>0.05</v>
      </c>
    </row>
    <row r="296" customFormat="false" ht="12.75" hidden="false" customHeight="false" outlineLevel="0" collapsed="false">
      <c r="D296" s="135" t="n">
        <v>45658</v>
      </c>
      <c r="F296" s="174"/>
      <c r="G296" s="175" t="n">
        <v>0.0662671463134421</v>
      </c>
      <c r="H296" s="174"/>
      <c r="I296" s="174" t="n">
        <v>0</v>
      </c>
      <c r="J296" s="174" t="n">
        <v>1.05</v>
      </c>
      <c r="K296" s="174" t="n">
        <v>1</v>
      </c>
      <c r="L296" s="174" t="n">
        <v>1</v>
      </c>
      <c r="M296" s="174" t="n">
        <v>1.15</v>
      </c>
      <c r="N296" s="174" t="n">
        <v>1.45</v>
      </c>
      <c r="O296" s="174" t="n">
        <v>1.05</v>
      </c>
      <c r="P296" s="174" t="n">
        <v>1</v>
      </c>
      <c r="Q296" s="174" t="n">
        <v>1.35</v>
      </c>
      <c r="R296" s="175" t="n">
        <v>0</v>
      </c>
      <c r="S296" s="175" t="n">
        <v>1.1</v>
      </c>
      <c r="T296" s="174" t="n">
        <v>1</v>
      </c>
      <c r="U296" s="174" t="n">
        <v>1.45</v>
      </c>
      <c r="V296" s="174" t="n">
        <v>1.1</v>
      </c>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5"/>
      <c r="AZ296" s="175"/>
      <c r="BA296" s="175" t="n">
        <v>0</v>
      </c>
      <c r="BB296" s="174" t="n">
        <v>0</v>
      </c>
      <c r="BC296" s="174" t="n">
        <v>-0.07</v>
      </c>
      <c r="BD296" s="174" t="n">
        <v>0</v>
      </c>
      <c r="BE296" s="174" t="n">
        <v>0</v>
      </c>
      <c r="BF296" s="174" t="n">
        <v>0</v>
      </c>
      <c r="BG296" s="174" t="n">
        <v>-0.06</v>
      </c>
      <c r="BH296" s="174" t="n">
        <v>0</v>
      </c>
      <c r="BI296" s="174" t="n">
        <v>0</v>
      </c>
      <c r="BJ296" s="136" t="n">
        <v>0</v>
      </c>
      <c r="BK296" s="136" t="n">
        <v>0</v>
      </c>
      <c r="BL296" s="136" t="n">
        <v>0</v>
      </c>
      <c r="BM296" s="136" t="n">
        <v>0.05</v>
      </c>
      <c r="BN296" s="136" t="n">
        <v>0</v>
      </c>
      <c r="BO296" s="136" t="n">
        <v>0</v>
      </c>
      <c r="BP296" s="136" t="n">
        <v>0</v>
      </c>
      <c r="BQ296" s="136" t="n">
        <v>0</v>
      </c>
      <c r="BR296" s="136" t="n">
        <v>0</v>
      </c>
      <c r="BS296" s="136" t="n">
        <v>-0.07</v>
      </c>
      <c r="BT296" s="136" t="n">
        <v>0</v>
      </c>
      <c r="BU296" s="136" t="n">
        <v>-0.2</v>
      </c>
      <c r="BV296" s="136" t="n">
        <v>0</v>
      </c>
      <c r="BW296" s="136" t="n">
        <v>0</v>
      </c>
      <c r="BX296" s="136" t="n">
        <v>0</v>
      </c>
      <c r="CA296" s="136" t="n">
        <v>0.235</v>
      </c>
      <c r="CB296" s="136" t="n">
        <v>0.005</v>
      </c>
      <c r="CM296" s="136"/>
      <c r="CN296" s="136"/>
      <c r="CO296" s="136"/>
      <c r="CP296" s="136"/>
      <c r="CQ296" s="136"/>
      <c r="CR296" s="136"/>
      <c r="CS296" s="136" t="n">
        <v>1.6</v>
      </c>
      <c r="CT296" s="136" t="n">
        <v>0.45</v>
      </c>
      <c r="CU296" s="136" t="n">
        <v>0.05</v>
      </c>
      <c r="CV296" s="136" t="n">
        <v>0</v>
      </c>
      <c r="CW296" s="136" t="n">
        <v>0.34</v>
      </c>
      <c r="CX296" s="136" t="n">
        <v>0.02</v>
      </c>
      <c r="CY296" s="136" t="n">
        <v>-0.18</v>
      </c>
      <c r="CZ296" s="136" t="n">
        <v>0</v>
      </c>
      <c r="DA296" s="136" t="n">
        <v>0</v>
      </c>
      <c r="DB296" s="136" t="n">
        <v>0</v>
      </c>
      <c r="DC296" s="136" t="n">
        <v>0</v>
      </c>
      <c r="DS296" s="136" t="n">
        <v>1.04</v>
      </c>
      <c r="DT296" s="136" t="n">
        <v>0.05</v>
      </c>
    </row>
    <row r="297" customFormat="false" ht="12.75" hidden="false" customHeight="false" outlineLevel="0" collapsed="false">
      <c r="D297" s="135" t="n">
        <v>45689</v>
      </c>
      <c r="F297" s="174"/>
      <c r="G297" s="175" t="n">
        <v>0.0662537026277441</v>
      </c>
      <c r="H297" s="174"/>
      <c r="I297" s="174" t="n">
        <v>0</v>
      </c>
      <c r="J297" s="174" t="n">
        <v>1.05</v>
      </c>
      <c r="K297" s="174" t="n">
        <v>1</v>
      </c>
      <c r="L297" s="174" t="n">
        <v>1</v>
      </c>
      <c r="M297" s="174" t="n">
        <v>1.15</v>
      </c>
      <c r="N297" s="174" t="n">
        <v>1.45</v>
      </c>
      <c r="O297" s="174" t="n">
        <v>1.05</v>
      </c>
      <c r="P297" s="174" t="n">
        <v>1</v>
      </c>
      <c r="Q297" s="174" t="n">
        <v>1.35</v>
      </c>
      <c r="R297" s="175" t="n">
        <v>0</v>
      </c>
      <c r="S297" s="175" t="n">
        <v>1.1</v>
      </c>
      <c r="T297" s="174" t="n">
        <v>1</v>
      </c>
      <c r="U297" s="174" t="n">
        <v>1.45</v>
      </c>
      <c r="V297" s="174" t="n">
        <v>1.1</v>
      </c>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5"/>
      <c r="AZ297" s="175"/>
      <c r="BA297" s="175" t="n">
        <v>0</v>
      </c>
      <c r="BB297" s="174" t="n">
        <v>0</v>
      </c>
      <c r="BC297" s="174" t="n">
        <v>-0.07</v>
      </c>
      <c r="BD297" s="174" t="n">
        <v>0</v>
      </c>
      <c r="BE297" s="174" t="n">
        <v>0</v>
      </c>
      <c r="BF297" s="174" t="n">
        <v>0</v>
      </c>
      <c r="BG297" s="174" t="n">
        <v>-0.06</v>
      </c>
      <c r="BH297" s="174" t="n">
        <v>0</v>
      </c>
      <c r="BI297" s="174" t="n">
        <v>0</v>
      </c>
      <c r="BJ297" s="136" t="n">
        <v>0</v>
      </c>
      <c r="BK297" s="136" t="n">
        <v>0</v>
      </c>
      <c r="BL297" s="136" t="n">
        <v>0</v>
      </c>
      <c r="BM297" s="136" t="n">
        <v>0.05</v>
      </c>
      <c r="BN297" s="136" t="n">
        <v>0</v>
      </c>
      <c r="BO297" s="136" t="n">
        <v>0</v>
      </c>
      <c r="BP297" s="136" t="n">
        <v>0</v>
      </c>
      <c r="BQ297" s="136" t="n">
        <v>0</v>
      </c>
      <c r="BR297" s="136" t="n">
        <v>0</v>
      </c>
      <c r="BS297" s="136" t="n">
        <v>-0.07</v>
      </c>
      <c r="BT297" s="136" t="n">
        <v>0</v>
      </c>
      <c r="BU297" s="136" t="n">
        <v>-0.2</v>
      </c>
      <c r="BV297" s="136" t="n">
        <v>0</v>
      </c>
      <c r="BW297" s="136" t="n">
        <v>0</v>
      </c>
      <c r="BX297" s="136" t="n">
        <v>0</v>
      </c>
      <c r="CA297" s="136" t="n">
        <v>0.235</v>
      </c>
      <c r="CB297" s="136" t="n">
        <v>0.005</v>
      </c>
      <c r="CM297" s="136"/>
      <c r="CN297" s="136"/>
      <c r="CO297" s="136"/>
      <c r="CP297" s="136"/>
      <c r="CQ297" s="136"/>
      <c r="CR297" s="136"/>
      <c r="CS297" s="136" t="n">
        <v>1.6</v>
      </c>
      <c r="CT297" s="136" t="n">
        <v>0.45</v>
      </c>
      <c r="CU297" s="136" t="n">
        <v>0.05</v>
      </c>
      <c r="CV297" s="136" t="n">
        <v>0</v>
      </c>
      <c r="CW297" s="136" t="n">
        <v>0.34</v>
      </c>
      <c r="CX297" s="136" t="n">
        <v>0.02</v>
      </c>
      <c r="CY297" s="136" t="n">
        <v>-0.18</v>
      </c>
      <c r="CZ297" s="136" t="n">
        <v>0</v>
      </c>
      <c r="DA297" s="136" t="n">
        <v>0</v>
      </c>
      <c r="DB297" s="136" t="n">
        <v>0</v>
      </c>
      <c r="DC297" s="136" t="n">
        <v>0</v>
      </c>
      <c r="DS297" s="136" t="n">
        <v>1.04</v>
      </c>
      <c r="DT297" s="136" t="n">
        <v>0.05</v>
      </c>
    </row>
    <row r="298" customFormat="false" ht="12.75" hidden="false" customHeight="false" outlineLevel="0" collapsed="false">
      <c r="D298" s="135" t="n">
        <v>45717</v>
      </c>
      <c r="F298" s="174"/>
      <c r="G298" s="175" t="n">
        <v>0.066241559943939</v>
      </c>
      <c r="H298" s="174"/>
      <c r="I298" s="174" t="n">
        <v>0</v>
      </c>
      <c r="J298" s="174" t="n">
        <v>0.8</v>
      </c>
      <c r="K298" s="174" t="n">
        <v>0.75</v>
      </c>
      <c r="L298" s="174" t="n">
        <v>0.75</v>
      </c>
      <c r="M298" s="174" t="n">
        <v>0.85</v>
      </c>
      <c r="N298" s="174" t="n">
        <v>1</v>
      </c>
      <c r="O298" s="174" t="n">
        <v>0.75</v>
      </c>
      <c r="P298" s="174" t="n">
        <v>0.75</v>
      </c>
      <c r="Q298" s="174" t="n">
        <v>0.95</v>
      </c>
      <c r="R298" s="175" t="n">
        <v>0</v>
      </c>
      <c r="S298" s="175" t="n">
        <v>0.75</v>
      </c>
      <c r="T298" s="174" t="n">
        <v>0.75</v>
      </c>
      <c r="U298" s="174" t="n">
        <v>1</v>
      </c>
      <c r="V298" s="174" t="n">
        <v>0.85</v>
      </c>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5"/>
      <c r="AZ298" s="175"/>
      <c r="BA298" s="175" t="n">
        <v>0</v>
      </c>
      <c r="BB298" s="174" t="n">
        <v>0</v>
      </c>
      <c r="BC298" s="174" t="n">
        <v>-0.07</v>
      </c>
      <c r="BD298" s="174" t="n">
        <v>0</v>
      </c>
      <c r="BE298" s="174" t="n">
        <v>0</v>
      </c>
      <c r="BF298" s="174" t="n">
        <v>0</v>
      </c>
      <c r="BG298" s="174" t="n">
        <v>-0.06</v>
      </c>
      <c r="BH298" s="174" t="n">
        <v>0</v>
      </c>
      <c r="BI298" s="174" t="n">
        <v>0</v>
      </c>
      <c r="BJ298" s="136" t="n">
        <v>0</v>
      </c>
      <c r="BK298" s="136" t="n">
        <v>0</v>
      </c>
      <c r="BL298" s="136" t="n">
        <v>0</v>
      </c>
      <c r="BM298" s="136" t="n">
        <v>0.05</v>
      </c>
      <c r="BN298" s="136" t="n">
        <v>0</v>
      </c>
      <c r="BO298" s="136" t="n">
        <v>0</v>
      </c>
      <c r="BP298" s="136" t="n">
        <v>0</v>
      </c>
      <c r="BQ298" s="136" t="n">
        <v>0</v>
      </c>
      <c r="BR298" s="136" t="n">
        <v>0</v>
      </c>
      <c r="BS298" s="136" t="n">
        <v>-0.07</v>
      </c>
      <c r="BT298" s="136" t="n">
        <v>0</v>
      </c>
      <c r="BU298" s="136" t="n">
        <v>-0.2</v>
      </c>
      <c r="BV298" s="136" t="n">
        <v>0</v>
      </c>
      <c r="BW298" s="136" t="n">
        <v>0</v>
      </c>
      <c r="BX298" s="136" t="n">
        <v>0</v>
      </c>
      <c r="CA298" s="136" t="n">
        <v>0.195</v>
      </c>
      <c r="CB298" s="136" t="n">
        <v>0.005</v>
      </c>
      <c r="CM298" s="136"/>
      <c r="CN298" s="136"/>
      <c r="CO298" s="136"/>
      <c r="CP298" s="136"/>
      <c r="CQ298" s="136"/>
      <c r="CR298" s="136"/>
      <c r="CS298" s="136" t="n">
        <v>0.64</v>
      </c>
      <c r="CT298" s="136" t="n">
        <v>0.1</v>
      </c>
      <c r="CU298" s="136" t="n">
        <v>0.05</v>
      </c>
      <c r="CV298" s="136" t="n">
        <v>0</v>
      </c>
      <c r="CW298" s="136" t="n">
        <v>0.29</v>
      </c>
      <c r="CX298" s="136" t="n">
        <v>0.02</v>
      </c>
      <c r="CY298" s="136" t="n">
        <v>-0.18</v>
      </c>
      <c r="CZ298" s="136" t="n">
        <v>0</v>
      </c>
      <c r="DA298" s="136" t="n">
        <v>0</v>
      </c>
      <c r="DB298" s="136" t="n">
        <v>0</v>
      </c>
      <c r="DC298" s="136" t="n">
        <v>0</v>
      </c>
      <c r="DS298" s="136" t="n">
        <v>0.54</v>
      </c>
      <c r="DT298" s="136" t="n">
        <v>0.05</v>
      </c>
    </row>
    <row r="299" customFormat="false" ht="12.75" hidden="false" customHeight="false" outlineLevel="0" collapsed="false">
      <c r="D299" s="135" t="n">
        <v>45748</v>
      </c>
      <c r="F299" s="174"/>
      <c r="G299" s="175" t="n">
        <v>0.0662281162583547</v>
      </c>
      <c r="H299" s="174"/>
      <c r="I299" s="174" t="n">
        <v>0</v>
      </c>
      <c r="J299" s="174" t="n">
        <v>0.45</v>
      </c>
      <c r="K299" s="174" t="n">
        <v>0.4</v>
      </c>
      <c r="L299" s="174" t="n">
        <v>0.45</v>
      </c>
      <c r="M299" s="174" t="n">
        <v>0.45</v>
      </c>
      <c r="N299" s="174" t="n">
        <v>0.45</v>
      </c>
      <c r="O299" s="174" t="n">
        <v>0.45</v>
      </c>
      <c r="P299" s="174" t="n">
        <v>0.45</v>
      </c>
      <c r="Q299" s="174" t="n">
        <v>0.5</v>
      </c>
      <c r="R299" s="175" t="n">
        <v>0</v>
      </c>
      <c r="S299" s="175" t="n">
        <v>0.45</v>
      </c>
      <c r="T299" s="174" t="n">
        <v>0.4</v>
      </c>
      <c r="U299" s="174" t="n">
        <v>0.45</v>
      </c>
      <c r="V299" s="174" t="n">
        <v>0.55</v>
      </c>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5"/>
      <c r="AZ299" s="175"/>
      <c r="BA299" s="175" t="n">
        <v>0</v>
      </c>
      <c r="BB299" s="174" t="n">
        <v>0</v>
      </c>
      <c r="BC299" s="174" t="n">
        <v>-0.07</v>
      </c>
      <c r="BD299" s="174" t="n">
        <v>0</v>
      </c>
      <c r="BE299" s="174" t="n">
        <v>0</v>
      </c>
      <c r="BF299" s="174" t="n">
        <v>0</v>
      </c>
      <c r="BG299" s="174" t="n">
        <v>-0.06</v>
      </c>
      <c r="BH299" s="174" t="n">
        <v>0</v>
      </c>
      <c r="BI299" s="174" t="n">
        <v>0</v>
      </c>
      <c r="BJ299" s="136" t="n">
        <v>0</v>
      </c>
      <c r="BK299" s="136" t="n">
        <v>0</v>
      </c>
      <c r="BL299" s="136" t="n">
        <v>0</v>
      </c>
      <c r="BM299" s="136" t="n">
        <v>0.05</v>
      </c>
      <c r="BN299" s="136" t="n">
        <v>0</v>
      </c>
      <c r="BO299" s="136" t="n">
        <v>0</v>
      </c>
      <c r="BP299" s="136" t="n">
        <v>0</v>
      </c>
      <c r="BQ299" s="136" t="n">
        <v>0</v>
      </c>
      <c r="BR299" s="136" t="n">
        <v>0</v>
      </c>
      <c r="BS299" s="136" t="n">
        <v>-0.07</v>
      </c>
      <c r="BT299" s="136" t="n">
        <v>0</v>
      </c>
      <c r="BU299" s="136" t="n">
        <v>-0.2</v>
      </c>
      <c r="BV299" s="136" t="n">
        <v>0</v>
      </c>
      <c r="BW299" s="136" t="n">
        <v>0</v>
      </c>
      <c r="BX299" s="136" t="n">
        <v>0</v>
      </c>
      <c r="CA299" s="136" t="n">
        <v>0.145</v>
      </c>
      <c r="CB299" s="136" t="n">
        <v>0.005</v>
      </c>
      <c r="CM299" s="136"/>
      <c r="CN299" s="136"/>
      <c r="CO299" s="136"/>
      <c r="CP299" s="136"/>
      <c r="CQ299" s="136"/>
      <c r="CR299" s="136"/>
      <c r="CS299" s="136" t="n">
        <v>0.38</v>
      </c>
      <c r="CT299" s="136" t="n">
        <v>0.02</v>
      </c>
      <c r="CU299" s="136" t="n">
        <v>0.05</v>
      </c>
      <c r="CV299" s="136" t="n">
        <v>0</v>
      </c>
      <c r="CW299" s="136" t="n">
        <v>0.195</v>
      </c>
      <c r="CX299" s="136" t="n">
        <v>0.0075</v>
      </c>
      <c r="CY299" s="136" t="n">
        <v>-0.18</v>
      </c>
      <c r="CZ299" s="136" t="n">
        <v>0</v>
      </c>
      <c r="DA299" s="136" t="n">
        <v>0</v>
      </c>
      <c r="DB299" s="136" t="n">
        <v>0</v>
      </c>
      <c r="DC299" s="136" t="n">
        <v>0</v>
      </c>
      <c r="DS299" s="136" t="n">
        <v>0.36</v>
      </c>
      <c r="DT299" s="136" t="n">
        <v>0.005</v>
      </c>
    </row>
    <row r="300" customFormat="false" ht="12.75" hidden="false" customHeight="false" outlineLevel="0" collapsed="false">
      <c r="D300" s="135" t="n">
        <v>45778</v>
      </c>
      <c r="F300" s="174"/>
      <c r="G300" s="175" t="n">
        <v>0.0662151062401044</v>
      </c>
      <c r="H300" s="174"/>
      <c r="I300" s="174" t="n">
        <v>0</v>
      </c>
      <c r="J300" s="174" t="n">
        <v>0.5</v>
      </c>
      <c r="K300" s="174" t="n">
        <v>0.4</v>
      </c>
      <c r="L300" s="174" t="n">
        <v>0.4</v>
      </c>
      <c r="M300" s="174" t="n">
        <v>0.45</v>
      </c>
      <c r="N300" s="174" t="n">
        <v>0.5</v>
      </c>
      <c r="O300" s="174" t="n">
        <v>0.45</v>
      </c>
      <c r="P300" s="174" t="n">
        <v>0.4</v>
      </c>
      <c r="Q300" s="174" t="n">
        <v>0.45</v>
      </c>
      <c r="R300" s="175" t="n">
        <v>0</v>
      </c>
      <c r="S300" s="175" t="n">
        <v>0.5</v>
      </c>
      <c r="T300" s="174" t="n">
        <v>0.45</v>
      </c>
      <c r="U300" s="174" t="n">
        <v>0.5</v>
      </c>
      <c r="V300" s="174" t="n">
        <v>0.5</v>
      </c>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5"/>
      <c r="AZ300" s="175"/>
      <c r="BA300" s="175" t="n">
        <v>0</v>
      </c>
      <c r="BB300" s="174" t="n">
        <v>0</v>
      </c>
      <c r="BC300" s="174" t="n">
        <v>-0.07</v>
      </c>
      <c r="BD300" s="174" t="n">
        <v>0</v>
      </c>
      <c r="BE300" s="174" t="n">
        <v>0</v>
      </c>
      <c r="BF300" s="174" t="n">
        <v>0</v>
      </c>
      <c r="BG300" s="174" t="n">
        <v>-0.06</v>
      </c>
      <c r="BH300" s="174" t="n">
        <v>0</v>
      </c>
      <c r="BI300" s="174" t="n">
        <v>0</v>
      </c>
      <c r="BJ300" s="136" t="n">
        <v>0</v>
      </c>
      <c r="BK300" s="136" t="n">
        <v>0</v>
      </c>
      <c r="BL300" s="136" t="n">
        <v>0</v>
      </c>
      <c r="BM300" s="136" t="n">
        <v>0.05</v>
      </c>
      <c r="BN300" s="136" t="n">
        <v>0</v>
      </c>
      <c r="BO300" s="136" t="n">
        <v>0</v>
      </c>
      <c r="BP300" s="136" t="n">
        <v>0</v>
      </c>
      <c r="BQ300" s="136" t="n">
        <v>0</v>
      </c>
      <c r="BR300" s="136" t="n">
        <v>0</v>
      </c>
      <c r="BS300" s="136" t="n">
        <v>-0.07</v>
      </c>
      <c r="BT300" s="136" t="n">
        <v>0</v>
      </c>
      <c r="BU300" s="136" t="n">
        <v>-0.2</v>
      </c>
      <c r="BV300" s="136" t="n">
        <v>0</v>
      </c>
      <c r="BW300" s="136" t="n">
        <v>0</v>
      </c>
      <c r="BX300" s="136" t="n">
        <v>0</v>
      </c>
      <c r="CA300" s="136" t="n">
        <v>0.125</v>
      </c>
      <c r="CB300" s="136" t="n">
        <v>0.005</v>
      </c>
      <c r="CM300" s="136"/>
      <c r="CN300" s="136"/>
      <c r="CO300" s="136"/>
      <c r="CP300" s="136"/>
      <c r="CQ300" s="136"/>
      <c r="CR300" s="136"/>
      <c r="CS300" s="136" t="n">
        <v>0.33</v>
      </c>
      <c r="CT300" s="136" t="n">
        <v>0.02</v>
      </c>
      <c r="CU300" s="136" t="n">
        <v>0.05</v>
      </c>
      <c r="CV300" s="136" t="n">
        <v>0</v>
      </c>
      <c r="CW300" s="136" t="n">
        <v>0.135</v>
      </c>
      <c r="CX300" s="136" t="n">
        <v>0.0075</v>
      </c>
      <c r="CY300" s="136" t="n">
        <v>-0.18</v>
      </c>
      <c r="CZ300" s="136" t="n">
        <v>0</v>
      </c>
      <c r="DA300" s="136" t="n">
        <v>0</v>
      </c>
      <c r="DB300" s="136" t="n">
        <v>0</v>
      </c>
      <c r="DC300" s="136" t="n">
        <v>0</v>
      </c>
      <c r="DS300" s="136" t="n">
        <v>0.325</v>
      </c>
      <c r="DT300" s="136" t="n">
        <v>0.005</v>
      </c>
    </row>
    <row r="301" customFormat="false" ht="12.75" hidden="false" customHeight="false" outlineLevel="0" collapsed="false">
      <c r="D301" s="135" t="n">
        <v>45809</v>
      </c>
      <c r="F301" s="174"/>
      <c r="G301" s="175" t="n">
        <v>0.0662016625546378</v>
      </c>
      <c r="H301" s="174"/>
      <c r="I301" s="174" t="n">
        <v>0</v>
      </c>
      <c r="J301" s="174" t="n">
        <v>0.5</v>
      </c>
      <c r="K301" s="174" t="n">
        <v>0.4</v>
      </c>
      <c r="L301" s="174" t="n">
        <v>0.5</v>
      </c>
      <c r="M301" s="174" t="n">
        <v>0.45</v>
      </c>
      <c r="N301" s="174" t="n">
        <v>0.5</v>
      </c>
      <c r="O301" s="174" t="n">
        <v>0.5</v>
      </c>
      <c r="P301" s="174" t="n">
        <v>0.5</v>
      </c>
      <c r="Q301" s="174" t="n">
        <v>0.5</v>
      </c>
      <c r="R301" s="175" t="n">
        <v>0</v>
      </c>
      <c r="S301" s="175" t="n">
        <v>0.5</v>
      </c>
      <c r="T301" s="174" t="n">
        <v>0.45</v>
      </c>
      <c r="U301" s="174" t="n">
        <v>0.5</v>
      </c>
      <c r="V301" s="174" t="n">
        <v>0.6</v>
      </c>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5"/>
      <c r="AZ301" s="175"/>
      <c r="BA301" s="175" t="n">
        <v>0</v>
      </c>
      <c r="BB301" s="174" t="n">
        <v>0</v>
      </c>
      <c r="BC301" s="174" t="n">
        <v>-0.07</v>
      </c>
      <c r="BD301" s="174" t="n">
        <v>0</v>
      </c>
      <c r="BE301" s="174" t="n">
        <v>0</v>
      </c>
      <c r="BF301" s="174" t="n">
        <v>0</v>
      </c>
      <c r="BG301" s="174" t="n">
        <v>-0.06</v>
      </c>
      <c r="BH301" s="174" t="n">
        <v>0</v>
      </c>
      <c r="BI301" s="174" t="n">
        <v>0</v>
      </c>
      <c r="BJ301" s="136" t="n">
        <v>0</v>
      </c>
      <c r="BK301" s="136" t="n">
        <v>0</v>
      </c>
      <c r="BL301" s="136" t="n">
        <v>0</v>
      </c>
      <c r="BM301" s="136" t="n">
        <v>0.05</v>
      </c>
      <c r="BN301" s="136" t="n">
        <v>0</v>
      </c>
      <c r="BO301" s="136" t="n">
        <v>0</v>
      </c>
      <c r="BP301" s="136" t="n">
        <v>0</v>
      </c>
      <c r="BQ301" s="136" t="n">
        <v>0</v>
      </c>
      <c r="BR301" s="136" t="n">
        <v>0</v>
      </c>
      <c r="BS301" s="136" t="n">
        <v>-0.07</v>
      </c>
      <c r="BT301" s="136" t="n">
        <v>0</v>
      </c>
      <c r="BU301" s="136" t="n">
        <v>-0.2</v>
      </c>
      <c r="BV301" s="136" t="n">
        <v>0</v>
      </c>
      <c r="BW301" s="136" t="n">
        <v>0</v>
      </c>
      <c r="BX301" s="136" t="n">
        <v>0</v>
      </c>
      <c r="CA301" s="136" t="n">
        <v>0.145</v>
      </c>
      <c r="CB301" s="136" t="n">
        <v>0.005</v>
      </c>
      <c r="CM301" s="136"/>
      <c r="CN301" s="136"/>
      <c r="CO301" s="136"/>
      <c r="CP301" s="136"/>
      <c r="CQ301" s="136"/>
      <c r="CR301" s="136"/>
      <c r="CS301" s="136" t="n">
        <v>0.37</v>
      </c>
      <c r="CT301" s="136" t="n">
        <v>0.035</v>
      </c>
      <c r="CU301" s="136" t="n">
        <v>0.05</v>
      </c>
      <c r="CV301" s="136" t="n">
        <v>0</v>
      </c>
      <c r="CW301" s="136" t="n">
        <v>0.165</v>
      </c>
      <c r="CX301" s="136" t="n">
        <v>0.0075</v>
      </c>
      <c r="CY301" s="136" t="n">
        <v>-0.18</v>
      </c>
      <c r="CZ301" s="136" t="n">
        <v>0</v>
      </c>
      <c r="DA301" s="136" t="n">
        <v>0</v>
      </c>
      <c r="DB301" s="136" t="n">
        <v>0</v>
      </c>
      <c r="DC301" s="136" t="n">
        <v>0</v>
      </c>
      <c r="DS301" s="136" t="n">
        <v>0.335</v>
      </c>
      <c r="DT301" s="136" t="n">
        <v>0.005</v>
      </c>
    </row>
    <row r="302" customFormat="false" ht="12.75" hidden="false" customHeight="false" outlineLevel="0" collapsed="false">
      <c r="D302" s="135" t="n">
        <v>45839</v>
      </c>
      <c r="F302" s="174"/>
      <c r="G302" s="175" t="n">
        <v>0.0661886525365016</v>
      </c>
      <c r="H302" s="174"/>
      <c r="I302" s="174" t="n">
        <v>0</v>
      </c>
      <c r="J302" s="174" t="n">
        <v>0.5</v>
      </c>
      <c r="K302" s="174" t="n">
        <v>0.4</v>
      </c>
      <c r="L302" s="174" t="n">
        <v>0.5</v>
      </c>
      <c r="M302" s="174" t="n">
        <v>0.5</v>
      </c>
      <c r="N302" s="174" t="n">
        <v>0.5</v>
      </c>
      <c r="O302" s="174" t="n">
        <v>0.5</v>
      </c>
      <c r="P302" s="174" t="n">
        <v>0.5</v>
      </c>
      <c r="Q302" s="174" t="n">
        <v>0.5</v>
      </c>
      <c r="R302" s="175" t="n">
        <v>0</v>
      </c>
      <c r="S302" s="175" t="n">
        <v>0.55</v>
      </c>
      <c r="T302" s="174" t="n">
        <v>0.5</v>
      </c>
      <c r="U302" s="174" t="n">
        <v>0.5</v>
      </c>
      <c r="V302" s="174" t="n">
        <v>0.6</v>
      </c>
      <c r="W302" s="174"/>
      <c r="X302" s="174"/>
      <c r="Y302" s="174"/>
      <c r="Z302" s="174"/>
      <c r="AA302" s="174"/>
      <c r="AB302" s="174"/>
      <c r="AC302" s="174"/>
      <c r="AD302" s="174"/>
      <c r="AE302" s="174"/>
      <c r="AF302" s="174"/>
      <c r="AG302" s="174"/>
      <c r="AH302" s="174"/>
      <c r="AI302" s="174"/>
      <c r="AJ302" s="174"/>
      <c r="AK302" s="174"/>
      <c r="AL302" s="174"/>
      <c r="AM302" s="174"/>
      <c r="AN302" s="174"/>
      <c r="AO302" s="174"/>
      <c r="AP302" s="174"/>
      <c r="AQ302" s="174"/>
      <c r="AR302" s="174"/>
      <c r="AS302" s="174"/>
      <c r="AT302" s="174"/>
      <c r="AU302" s="174"/>
      <c r="AV302" s="174"/>
      <c r="AW302" s="174"/>
      <c r="AX302" s="174"/>
      <c r="AY302" s="175"/>
      <c r="AZ302" s="175"/>
      <c r="BA302" s="175" t="n">
        <v>0</v>
      </c>
      <c r="BB302" s="174" t="n">
        <v>0</v>
      </c>
      <c r="BC302" s="174" t="n">
        <v>-0.07</v>
      </c>
      <c r="BD302" s="174" t="n">
        <v>0</v>
      </c>
      <c r="BE302" s="174" t="n">
        <v>0</v>
      </c>
      <c r="BF302" s="174" t="n">
        <v>0</v>
      </c>
      <c r="BG302" s="174" t="n">
        <v>-0.06</v>
      </c>
      <c r="BH302" s="174" t="n">
        <v>0</v>
      </c>
      <c r="BI302" s="174" t="n">
        <v>0</v>
      </c>
      <c r="BJ302" s="136" t="n">
        <v>0</v>
      </c>
      <c r="BK302" s="136" t="n">
        <v>0</v>
      </c>
      <c r="BL302" s="136" t="n">
        <v>0</v>
      </c>
      <c r="BM302" s="136" t="n">
        <v>0.05</v>
      </c>
      <c r="BN302" s="136" t="n">
        <v>0</v>
      </c>
      <c r="BO302" s="136" t="n">
        <v>0</v>
      </c>
      <c r="BP302" s="136" t="n">
        <v>0</v>
      </c>
      <c r="BQ302" s="136" t="n">
        <v>0</v>
      </c>
      <c r="BR302" s="136" t="n">
        <v>0</v>
      </c>
      <c r="BS302" s="136" t="n">
        <v>-0.07</v>
      </c>
      <c r="BT302" s="136" t="n">
        <v>0</v>
      </c>
      <c r="BU302" s="136" t="n">
        <v>-0.2</v>
      </c>
      <c r="BV302" s="136" t="n">
        <v>0</v>
      </c>
      <c r="BW302" s="136" t="n">
        <v>0</v>
      </c>
      <c r="BX302" s="136" t="n">
        <v>0</v>
      </c>
      <c r="CA302" s="136" t="n">
        <v>0.15</v>
      </c>
      <c r="CB302" s="136" t="n">
        <v>0.005</v>
      </c>
      <c r="CM302" s="136"/>
      <c r="CN302" s="136"/>
      <c r="CO302" s="136"/>
      <c r="CP302" s="136"/>
      <c r="CQ302" s="136"/>
      <c r="CR302" s="136"/>
      <c r="CS302" s="136" t="n">
        <v>0.41</v>
      </c>
      <c r="CT302" s="136" t="n">
        <v>0.035</v>
      </c>
      <c r="CU302" s="136" t="n">
        <v>0.05</v>
      </c>
      <c r="CV302" s="136" t="n">
        <v>0</v>
      </c>
      <c r="CW302" s="136" t="n">
        <v>0.205</v>
      </c>
      <c r="CX302" s="136" t="n">
        <v>0.0075</v>
      </c>
      <c r="CY302" s="136" t="n">
        <v>-0.18</v>
      </c>
      <c r="CZ302" s="136" t="n">
        <v>0</v>
      </c>
      <c r="DA302" s="136" t="n">
        <v>0</v>
      </c>
      <c r="DB302" s="136" t="n">
        <v>0</v>
      </c>
      <c r="DC302" s="136" t="n">
        <v>0</v>
      </c>
      <c r="DS302" s="136" t="n">
        <v>0.35</v>
      </c>
      <c r="DT302" s="136" t="n">
        <v>0.005</v>
      </c>
    </row>
    <row r="303" customFormat="false" ht="12.75" hidden="false" customHeight="false" outlineLevel="0" collapsed="false">
      <c r="D303" s="135" t="n">
        <v>45870</v>
      </c>
      <c r="F303" s="174"/>
      <c r="G303" s="175" t="n">
        <v>0.0661752088511527</v>
      </c>
      <c r="H303" s="174"/>
      <c r="I303" s="174" t="n">
        <v>0</v>
      </c>
      <c r="J303" s="174" t="n">
        <v>0.55</v>
      </c>
      <c r="K303" s="174" t="n">
        <v>0.5</v>
      </c>
      <c r="L303" s="174" t="n">
        <v>0.6</v>
      </c>
      <c r="M303" s="174" t="n">
        <v>0.55</v>
      </c>
      <c r="N303" s="174" t="n">
        <v>0.6</v>
      </c>
      <c r="O303" s="174" t="n">
        <v>0.55</v>
      </c>
      <c r="P303" s="174" t="n">
        <v>0.6</v>
      </c>
      <c r="Q303" s="174" t="n">
        <v>0.45</v>
      </c>
      <c r="R303" s="175" t="n">
        <v>0</v>
      </c>
      <c r="S303" s="175" t="n">
        <v>0.6</v>
      </c>
      <c r="T303" s="174" t="n">
        <v>0.55</v>
      </c>
      <c r="U303" s="174" t="n">
        <v>0.6</v>
      </c>
      <c r="V303" s="174" t="n">
        <v>0.7</v>
      </c>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5"/>
      <c r="AZ303" s="175"/>
      <c r="BA303" s="175" t="n">
        <v>0</v>
      </c>
      <c r="BB303" s="174" t="n">
        <v>0</v>
      </c>
      <c r="BC303" s="174" t="n">
        <v>-0.07</v>
      </c>
      <c r="BD303" s="174" t="n">
        <v>0</v>
      </c>
      <c r="BE303" s="174" t="n">
        <v>0</v>
      </c>
      <c r="BF303" s="174" t="n">
        <v>0</v>
      </c>
      <c r="BG303" s="174" t="n">
        <v>-0.06</v>
      </c>
      <c r="BH303" s="174" t="n">
        <v>0</v>
      </c>
      <c r="BI303" s="174" t="n">
        <v>0</v>
      </c>
      <c r="BJ303" s="136" t="n">
        <v>0</v>
      </c>
      <c r="BK303" s="136" t="n">
        <v>0</v>
      </c>
      <c r="BL303" s="136" t="n">
        <v>0</v>
      </c>
      <c r="BM303" s="136" t="n">
        <v>0.05</v>
      </c>
      <c r="BN303" s="136" t="n">
        <v>0</v>
      </c>
      <c r="BO303" s="136" t="n">
        <v>0</v>
      </c>
      <c r="BP303" s="136" t="n">
        <v>0</v>
      </c>
      <c r="BQ303" s="136" t="n">
        <v>0</v>
      </c>
      <c r="BR303" s="136" t="n">
        <v>0</v>
      </c>
      <c r="BS303" s="136" t="n">
        <v>-0.07</v>
      </c>
      <c r="BT303" s="136" t="n">
        <v>0</v>
      </c>
      <c r="BU303" s="136" t="n">
        <v>-0.2</v>
      </c>
      <c r="BV303" s="136" t="n">
        <v>0</v>
      </c>
      <c r="BW303" s="136" t="n">
        <v>0</v>
      </c>
      <c r="BX303" s="136" t="n">
        <v>0</v>
      </c>
      <c r="CA303" s="136" t="n">
        <v>0.15</v>
      </c>
      <c r="CB303" s="136" t="n">
        <v>0.005</v>
      </c>
      <c r="CM303" s="136"/>
      <c r="CN303" s="136"/>
      <c r="CO303" s="136"/>
      <c r="CP303" s="136"/>
      <c r="CQ303" s="136"/>
      <c r="CR303" s="136"/>
      <c r="CS303" s="136" t="n">
        <v>0.41</v>
      </c>
      <c r="CT303" s="136" t="n">
        <v>0.01</v>
      </c>
      <c r="CU303" s="136" t="n">
        <v>0.05</v>
      </c>
      <c r="CV303" s="136" t="n">
        <v>0</v>
      </c>
      <c r="CW303" s="136" t="n">
        <v>0.205</v>
      </c>
      <c r="CX303" s="136" t="n">
        <v>0.0075</v>
      </c>
      <c r="CY303" s="136" t="n">
        <v>-0.18</v>
      </c>
      <c r="CZ303" s="136" t="n">
        <v>0</v>
      </c>
      <c r="DA303" s="136" t="n">
        <v>0</v>
      </c>
      <c r="DB303" s="136" t="n">
        <v>0</v>
      </c>
      <c r="DC303" s="136" t="n">
        <v>0</v>
      </c>
      <c r="DS303" s="136" t="n">
        <v>0.35</v>
      </c>
      <c r="DT303" s="136" t="n">
        <v>-0.005</v>
      </c>
    </row>
    <row r="304" customFormat="false" ht="12.75" hidden="false" customHeight="false" outlineLevel="0" collapsed="false">
      <c r="D304" s="135" t="n">
        <v>45901</v>
      </c>
      <c r="F304" s="174"/>
      <c r="G304" s="175" t="n">
        <v>0.0661617651658641</v>
      </c>
      <c r="H304" s="174"/>
      <c r="I304" s="174" t="n">
        <v>0</v>
      </c>
      <c r="J304" s="174" t="n">
        <v>0.55</v>
      </c>
      <c r="K304" s="174" t="n">
        <v>0.55</v>
      </c>
      <c r="L304" s="174" t="n">
        <v>0.55</v>
      </c>
      <c r="M304" s="174" t="n">
        <v>0.55</v>
      </c>
      <c r="N304" s="174" t="n">
        <v>0.6</v>
      </c>
      <c r="O304" s="174" t="n">
        <v>0.6</v>
      </c>
      <c r="P304" s="174" t="n">
        <v>0.55</v>
      </c>
      <c r="Q304" s="174" t="n">
        <v>0.5</v>
      </c>
      <c r="R304" s="175" t="n">
        <v>0</v>
      </c>
      <c r="S304" s="175" t="n">
        <v>0.6</v>
      </c>
      <c r="T304" s="174" t="n">
        <v>0.55</v>
      </c>
      <c r="U304" s="174" t="n">
        <v>0.6</v>
      </c>
      <c r="V304" s="174" t="n">
        <v>0.65</v>
      </c>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c r="AS304" s="174"/>
      <c r="AT304" s="174"/>
      <c r="AU304" s="174"/>
      <c r="AV304" s="174"/>
      <c r="AW304" s="174"/>
      <c r="AX304" s="174"/>
      <c r="AY304" s="175"/>
      <c r="AZ304" s="175"/>
      <c r="BA304" s="175" t="n">
        <v>0</v>
      </c>
      <c r="BB304" s="174" t="n">
        <v>0</v>
      </c>
      <c r="BC304" s="174" t="n">
        <v>-0.07</v>
      </c>
      <c r="BD304" s="174" t="n">
        <v>0</v>
      </c>
      <c r="BE304" s="174" t="n">
        <v>0</v>
      </c>
      <c r="BF304" s="174" t="n">
        <v>0</v>
      </c>
      <c r="BG304" s="174" t="n">
        <v>-0.06</v>
      </c>
      <c r="BH304" s="174" t="n">
        <v>0</v>
      </c>
      <c r="BI304" s="174" t="n">
        <v>0</v>
      </c>
      <c r="BJ304" s="136" t="n">
        <v>0</v>
      </c>
      <c r="BK304" s="136" t="n">
        <v>0</v>
      </c>
      <c r="BL304" s="136" t="n">
        <v>0</v>
      </c>
      <c r="BM304" s="136" t="n">
        <v>0.05</v>
      </c>
      <c r="BN304" s="136" t="n">
        <v>0</v>
      </c>
      <c r="BO304" s="136" t="n">
        <v>0</v>
      </c>
      <c r="BP304" s="136" t="n">
        <v>0</v>
      </c>
      <c r="BQ304" s="136" t="n">
        <v>0</v>
      </c>
      <c r="BR304" s="136" t="n">
        <v>0</v>
      </c>
      <c r="BS304" s="136" t="n">
        <v>-0.07</v>
      </c>
      <c r="BT304" s="136" t="n">
        <v>0</v>
      </c>
      <c r="BU304" s="136" t="n">
        <v>-0.2</v>
      </c>
      <c r="BV304" s="136" t="n">
        <v>0</v>
      </c>
      <c r="BW304" s="136" t="n">
        <v>0</v>
      </c>
      <c r="BX304" s="136" t="n">
        <v>0</v>
      </c>
      <c r="CA304" s="136" t="n">
        <v>0.125</v>
      </c>
      <c r="CB304" s="136" t="n">
        <v>0.005</v>
      </c>
      <c r="CM304" s="136"/>
      <c r="CN304" s="136"/>
      <c r="CO304" s="136"/>
      <c r="CP304" s="136"/>
      <c r="CQ304" s="136"/>
      <c r="CR304" s="136"/>
      <c r="CS304" s="136" t="n">
        <v>0.36</v>
      </c>
      <c r="CT304" s="136" t="n">
        <v>0.01</v>
      </c>
      <c r="CU304" s="136" t="n">
        <v>0.05</v>
      </c>
      <c r="CV304" s="136" t="n">
        <v>0</v>
      </c>
      <c r="CW304" s="136" t="n">
        <v>0.145</v>
      </c>
      <c r="CX304" s="136" t="n">
        <v>0.0075</v>
      </c>
      <c r="CY304" s="136" t="n">
        <v>-0.18</v>
      </c>
      <c r="CZ304" s="136" t="n">
        <v>0</v>
      </c>
      <c r="DA304" s="136" t="n">
        <v>0</v>
      </c>
      <c r="DB304" s="136" t="n">
        <v>0</v>
      </c>
      <c r="DC304" s="136" t="n">
        <v>0</v>
      </c>
      <c r="DS304" s="136" t="n">
        <v>0.315</v>
      </c>
      <c r="DT304" s="136" t="n">
        <v>-0.005</v>
      </c>
    </row>
    <row r="305" customFormat="false" ht="12.75" hidden="false" customHeight="false" outlineLevel="0" collapsed="false">
      <c r="D305" s="135" t="n">
        <v>45931</v>
      </c>
      <c r="F305" s="174"/>
      <c r="G305" s="175" t="n">
        <v>0.0661487551478999</v>
      </c>
      <c r="H305" s="174"/>
      <c r="I305" s="174" t="n">
        <v>0</v>
      </c>
      <c r="J305" s="174" t="n">
        <v>0.6</v>
      </c>
      <c r="K305" s="174" t="n">
        <v>0.55</v>
      </c>
      <c r="L305" s="174" t="n">
        <v>0.6</v>
      </c>
      <c r="M305" s="174" t="n">
        <v>0.6</v>
      </c>
      <c r="N305" s="174" t="n">
        <v>0.65</v>
      </c>
      <c r="O305" s="174" t="n">
        <v>0.65</v>
      </c>
      <c r="P305" s="174" t="n">
        <v>0.6</v>
      </c>
      <c r="Q305" s="174" t="n">
        <v>0.5</v>
      </c>
      <c r="R305" s="175" t="n">
        <v>0</v>
      </c>
      <c r="S305" s="175" t="n">
        <v>0.65</v>
      </c>
      <c r="T305" s="174" t="n">
        <v>0.6</v>
      </c>
      <c r="U305" s="174" t="n">
        <v>0.65</v>
      </c>
      <c r="V305" s="174" t="n">
        <v>0.7</v>
      </c>
      <c r="W305" s="174"/>
      <c r="X305" s="174"/>
      <c r="Y305" s="174"/>
      <c r="Z305" s="174"/>
      <c r="AA305" s="174"/>
      <c r="AB305" s="174"/>
      <c r="AC305" s="174"/>
      <c r="AD305" s="174"/>
      <c r="AE305" s="174"/>
      <c r="AF305" s="174"/>
      <c r="AG305" s="174"/>
      <c r="AH305" s="174"/>
      <c r="AI305" s="174"/>
      <c r="AJ305" s="174"/>
      <c r="AK305" s="174"/>
      <c r="AL305" s="174"/>
      <c r="AM305" s="174"/>
      <c r="AN305" s="174"/>
      <c r="AO305" s="174"/>
      <c r="AP305" s="174"/>
      <c r="AQ305" s="174"/>
      <c r="AR305" s="174"/>
      <c r="AS305" s="174"/>
      <c r="AT305" s="174"/>
      <c r="AU305" s="174"/>
      <c r="AV305" s="174"/>
      <c r="AW305" s="174"/>
      <c r="AX305" s="174"/>
      <c r="AY305" s="175"/>
      <c r="AZ305" s="175"/>
      <c r="BA305" s="175" t="n">
        <v>0</v>
      </c>
      <c r="BB305" s="174" t="n">
        <v>0</v>
      </c>
      <c r="BC305" s="174" t="n">
        <v>-0.07</v>
      </c>
      <c r="BD305" s="174" t="n">
        <v>0</v>
      </c>
      <c r="BE305" s="174" t="n">
        <v>0</v>
      </c>
      <c r="BF305" s="174" t="n">
        <v>0</v>
      </c>
      <c r="BG305" s="174" t="n">
        <v>-0.06</v>
      </c>
      <c r="BH305" s="174" t="n">
        <v>0</v>
      </c>
      <c r="BI305" s="174" t="n">
        <v>0</v>
      </c>
      <c r="BJ305" s="136" t="n">
        <v>0</v>
      </c>
      <c r="BK305" s="136" t="n">
        <v>0</v>
      </c>
      <c r="BL305" s="136" t="n">
        <v>0</v>
      </c>
      <c r="BM305" s="136" t="n">
        <v>0.05</v>
      </c>
      <c r="BN305" s="136" t="n">
        <v>0</v>
      </c>
      <c r="BO305" s="136" t="n">
        <v>0</v>
      </c>
      <c r="BP305" s="136" t="n">
        <v>0</v>
      </c>
      <c r="BQ305" s="136" t="n">
        <v>0</v>
      </c>
      <c r="BR305" s="136" t="n">
        <v>0</v>
      </c>
      <c r="BS305" s="136" t="n">
        <v>-0.07</v>
      </c>
      <c r="BT305" s="136" t="n">
        <v>0</v>
      </c>
      <c r="BU305" s="136" t="n">
        <v>-0.2</v>
      </c>
      <c r="BV305" s="136" t="n">
        <v>0</v>
      </c>
      <c r="BW305" s="136" t="n">
        <v>0</v>
      </c>
      <c r="BX305" s="136" t="n">
        <v>0</v>
      </c>
      <c r="CA305" s="136" t="n">
        <v>0.145</v>
      </c>
      <c r="CB305" s="136" t="n">
        <v>0.005</v>
      </c>
      <c r="CM305" s="136"/>
      <c r="CN305" s="136"/>
      <c r="CO305" s="136"/>
      <c r="CP305" s="136"/>
      <c r="CQ305" s="136"/>
      <c r="CR305" s="136"/>
      <c r="CS305" s="136" t="n">
        <v>0.4</v>
      </c>
      <c r="CT305" s="136" t="n">
        <v>0.01</v>
      </c>
      <c r="CU305" s="136" t="n">
        <v>0.05</v>
      </c>
      <c r="CV305" s="136" t="n">
        <v>0</v>
      </c>
      <c r="CW305" s="136" t="n">
        <v>0.175</v>
      </c>
      <c r="CX305" s="136" t="n">
        <v>0.0075</v>
      </c>
      <c r="CY305" s="136" t="n">
        <v>-0.18</v>
      </c>
      <c r="CZ305" s="136" t="n">
        <v>0</v>
      </c>
      <c r="DA305" s="136" t="n">
        <v>0</v>
      </c>
      <c r="DB305" s="136" t="n">
        <v>0</v>
      </c>
      <c r="DC305" s="136" t="n">
        <v>0</v>
      </c>
      <c r="DS305" s="136" t="n">
        <v>0.36</v>
      </c>
      <c r="DT305" s="136" t="n">
        <v>-0.005</v>
      </c>
    </row>
    <row r="306" customFormat="false" ht="12.75" hidden="false" customHeight="false" outlineLevel="0" collapsed="false">
      <c r="D306" s="135" t="n">
        <v>45962</v>
      </c>
      <c r="F306" s="174"/>
      <c r="G306" s="175" t="n">
        <v>0.0661353114627294</v>
      </c>
      <c r="H306" s="174"/>
      <c r="I306" s="174" t="n">
        <v>0</v>
      </c>
      <c r="J306" s="174" t="n">
        <v>0.85</v>
      </c>
      <c r="K306" s="174" t="n">
        <v>0.8</v>
      </c>
      <c r="L306" s="174" t="n">
        <v>0.8</v>
      </c>
      <c r="M306" s="174" t="n">
        <v>0.9</v>
      </c>
      <c r="N306" s="174" t="n">
        <v>0.95</v>
      </c>
      <c r="O306" s="174" t="n">
        <v>0.85</v>
      </c>
      <c r="P306" s="174" t="n">
        <v>0.8</v>
      </c>
      <c r="Q306" s="174" t="n">
        <v>0.95</v>
      </c>
      <c r="R306" s="175" t="n">
        <v>0</v>
      </c>
      <c r="S306" s="175" t="n">
        <v>0.8</v>
      </c>
      <c r="T306" s="174" t="n">
        <v>0.8</v>
      </c>
      <c r="U306" s="174" t="n">
        <v>0.95</v>
      </c>
      <c r="V306" s="174" t="n">
        <v>0.9</v>
      </c>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5"/>
      <c r="AZ306" s="175"/>
      <c r="BA306" s="175" t="n">
        <v>0</v>
      </c>
      <c r="BB306" s="174" t="n">
        <v>0</v>
      </c>
      <c r="BC306" s="174" t="n">
        <v>-0.07</v>
      </c>
      <c r="BD306" s="174" t="n">
        <v>0</v>
      </c>
      <c r="BE306" s="174" t="n">
        <v>0</v>
      </c>
      <c r="BF306" s="174" t="n">
        <v>0</v>
      </c>
      <c r="BG306" s="174" t="n">
        <v>-0.06</v>
      </c>
      <c r="BH306" s="174" t="n">
        <v>0</v>
      </c>
      <c r="BI306" s="174" t="n">
        <v>0</v>
      </c>
      <c r="BJ306" s="136" t="n">
        <v>0</v>
      </c>
      <c r="BK306" s="136" t="n">
        <v>0</v>
      </c>
      <c r="BL306" s="136" t="n">
        <v>0</v>
      </c>
      <c r="BM306" s="136" t="n">
        <v>0.05</v>
      </c>
      <c r="BN306" s="136" t="n">
        <v>0</v>
      </c>
      <c r="BO306" s="136" t="n">
        <v>0</v>
      </c>
      <c r="BP306" s="136" t="n">
        <v>0</v>
      </c>
      <c r="BQ306" s="136" t="n">
        <v>0</v>
      </c>
      <c r="BR306" s="136" t="n">
        <v>0</v>
      </c>
      <c r="BS306" s="136" t="n">
        <v>-0.07</v>
      </c>
      <c r="BT306" s="136" t="n">
        <v>0</v>
      </c>
      <c r="BU306" s="136" t="n">
        <v>-0.2</v>
      </c>
      <c r="BV306" s="136" t="n">
        <v>0</v>
      </c>
      <c r="BW306" s="136" t="n">
        <v>0</v>
      </c>
      <c r="BX306" s="136" t="n">
        <v>0</v>
      </c>
      <c r="CA306" s="136" t="n">
        <v>0.195</v>
      </c>
      <c r="CB306" s="136" t="n">
        <v>0.005</v>
      </c>
      <c r="CM306" s="136"/>
      <c r="CN306" s="136"/>
      <c r="CO306" s="136"/>
      <c r="CP306" s="136"/>
      <c r="CQ306" s="136"/>
      <c r="CR306" s="136"/>
      <c r="CS306" s="136" t="n">
        <v>0.65</v>
      </c>
      <c r="CT306" s="136" t="n">
        <v>0.055</v>
      </c>
      <c r="CU306" s="136" t="n">
        <v>0.05</v>
      </c>
      <c r="CV306" s="136" t="n">
        <v>0</v>
      </c>
      <c r="CW306" s="136" t="n">
        <v>0.21</v>
      </c>
      <c r="CX306" s="136" t="n">
        <v>0.02</v>
      </c>
      <c r="CY306" s="136" t="n">
        <v>-0.18</v>
      </c>
      <c r="CZ306" s="136" t="n">
        <v>0</v>
      </c>
      <c r="DA306" s="136" t="n">
        <v>0</v>
      </c>
      <c r="DB306" s="136" t="n">
        <v>0</v>
      </c>
      <c r="DC306" s="136" t="n">
        <v>0</v>
      </c>
      <c r="DS306" s="136" t="n">
        <v>0.46</v>
      </c>
      <c r="DT306" s="136" t="n">
        <v>0.05</v>
      </c>
    </row>
    <row r="307" customFormat="false" ht="12.75" hidden="false" customHeight="false" outlineLevel="0" collapsed="false">
      <c r="D307" s="135" t="n">
        <v>45992</v>
      </c>
      <c r="F307" s="174"/>
      <c r="G307" s="175" t="n">
        <v>0.0661223014448784</v>
      </c>
      <c r="H307" s="174"/>
      <c r="I307" s="174" t="n">
        <v>0</v>
      </c>
      <c r="J307" s="174" t="n">
        <v>1.05</v>
      </c>
      <c r="K307" s="174" t="n">
        <v>1</v>
      </c>
      <c r="L307" s="174" t="n">
        <v>1</v>
      </c>
      <c r="M307" s="174" t="n">
        <v>1.15</v>
      </c>
      <c r="N307" s="174" t="n">
        <v>1.25</v>
      </c>
      <c r="O307" s="174" t="n">
        <v>1.05</v>
      </c>
      <c r="P307" s="174" t="n">
        <v>1</v>
      </c>
      <c r="Q307" s="174" t="n">
        <v>1.35</v>
      </c>
      <c r="R307" s="175" t="n">
        <v>0</v>
      </c>
      <c r="S307" s="175" t="n">
        <v>1.1</v>
      </c>
      <c r="T307" s="174" t="n">
        <v>1</v>
      </c>
      <c r="U307" s="174" t="n">
        <v>1.25</v>
      </c>
      <c r="V307" s="174" t="n">
        <v>1.1</v>
      </c>
      <c r="W307" s="174"/>
      <c r="X307" s="174"/>
      <c r="Y307" s="174"/>
      <c r="Z307" s="174"/>
      <c r="AA307" s="174"/>
      <c r="AB307" s="174"/>
      <c r="AC307" s="174"/>
      <c r="AD307" s="174"/>
      <c r="AE307" s="174"/>
      <c r="AF307" s="174"/>
      <c r="AG307" s="174"/>
      <c r="AH307" s="174"/>
      <c r="AI307" s="174"/>
      <c r="AJ307" s="174"/>
      <c r="AK307" s="174"/>
      <c r="AL307" s="174"/>
      <c r="AM307" s="174"/>
      <c r="AN307" s="174"/>
      <c r="AO307" s="174"/>
      <c r="AP307" s="174"/>
      <c r="AQ307" s="174"/>
      <c r="AR307" s="174"/>
      <c r="AS307" s="174"/>
      <c r="AT307" s="174"/>
      <c r="AU307" s="174"/>
      <c r="AV307" s="174"/>
      <c r="AW307" s="174"/>
      <c r="AX307" s="174"/>
      <c r="AY307" s="175"/>
      <c r="AZ307" s="175"/>
      <c r="BA307" s="175" t="n">
        <v>0</v>
      </c>
      <c r="BB307" s="174" t="n">
        <v>0</v>
      </c>
      <c r="BC307" s="174" t="n">
        <v>-0.07</v>
      </c>
      <c r="BD307" s="174" t="n">
        <v>0</v>
      </c>
      <c r="BE307" s="174" t="n">
        <v>0</v>
      </c>
      <c r="BF307" s="174" t="n">
        <v>0</v>
      </c>
      <c r="BG307" s="174" t="n">
        <v>-0.06</v>
      </c>
      <c r="BH307" s="174" t="n">
        <v>0</v>
      </c>
      <c r="BI307" s="174" t="n">
        <v>0</v>
      </c>
      <c r="BJ307" s="136" t="n">
        <v>0</v>
      </c>
      <c r="BK307" s="136" t="n">
        <v>0</v>
      </c>
      <c r="BL307" s="136" t="n">
        <v>0</v>
      </c>
      <c r="BM307" s="136" t="n">
        <v>0.05</v>
      </c>
      <c r="BN307" s="136" t="n">
        <v>0</v>
      </c>
      <c r="BO307" s="136" t="n">
        <v>0</v>
      </c>
      <c r="BP307" s="136" t="n">
        <v>0</v>
      </c>
      <c r="BQ307" s="136" t="n">
        <v>0</v>
      </c>
      <c r="BR307" s="136" t="n">
        <v>0</v>
      </c>
      <c r="BS307" s="136" t="n">
        <v>-0.07</v>
      </c>
      <c r="BT307" s="136" t="n">
        <v>0</v>
      </c>
      <c r="BU307" s="136" t="n">
        <v>-0.2</v>
      </c>
      <c r="BV307" s="136" t="n">
        <v>0</v>
      </c>
      <c r="BW307" s="136" t="n">
        <v>0</v>
      </c>
      <c r="BX307" s="136" t="n">
        <v>0</v>
      </c>
      <c r="CA307" s="136" t="n">
        <v>0.215</v>
      </c>
      <c r="CB307" s="136" t="n">
        <v>0.005</v>
      </c>
      <c r="CM307" s="136"/>
      <c r="CN307" s="136"/>
      <c r="CO307" s="136"/>
      <c r="CP307" s="136"/>
      <c r="CQ307" s="136"/>
      <c r="CR307" s="136"/>
      <c r="CS307" s="136" t="n">
        <v>0.98</v>
      </c>
      <c r="CT307" s="136" t="n">
        <v>0.25</v>
      </c>
      <c r="CU307" s="136" t="n">
        <v>0.05</v>
      </c>
      <c r="CV307" s="136" t="n">
        <v>0</v>
      </c>
      <c r="CW307" s="136" t="n">
        <v>0.29</v>
      </c>
      <c r="CX307" s="136" t="n">
        <v>0.02</v>
      </c>
      <c r="CY307" s="136" t="n">
        <v>-0.18</v>
      </c>
      <c r="CZ307" s="136" t="n">
        <v>0</v>
      </c>
      <c r="DA307" s="136" t="n">
        <v>0</v>
      </c>
      <c r="DB307" s="136" t="n">
        <v>0</v>
      </c>
      <c r="DC307" s="136" t="n">
        <v>0</v>
      </c>
      <c r="DS307" s="136" t="n">
        <v>0.77</v>
      </c>
      <c r="DT307" s="136" t="n">
        <v>0.05</v>
      </c>
    </row>
    <row r="308" customFormat="false" ht="12.75" hidden="false" customHeight="false" outlineLevel="0" collapsed="false">
      <c r="F308" s="174"/>
      <c r="G308" s="175"/>
      <c r="H308" s="174"/>
      <c r="I308" s="174"/>
      <c r="J308" s="174"/>
      <c r="K308" s="174"/>
      <c r="L308" s="174"/>
      <c r="M308" s="174"/>
      <c r="N308" s="174"/>
      <c r="O308" s="174"/>
      <c r="P308" s="174"/>
      <c r="Q308" s="174"/>
      <c r="R308" s="175"/>
      <c r="S308" s="175"/>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5"/>
      <c r="AZ308" s="175"/>
      <c r="BA308" s="175"/>
      <c r="BB308" s="174"/>
      <c r="BC308" s="174"/>
      <c r="BD308" s="174"/>
      <c r="BE308" s="174"/>
      <c r="BF308" s="174"/>
      <c r="BG308" s="174"/>
      <c r="BH308" s="174"/>
      <c r="BI308" s="174"/>
      <c r="BJ308" s="136"/>
      <c r="BK308" s="136"/>
      <c r="BL308" s="136"/>
      <c r="BM308" s="136"/>
      <c r="BN308" s="136"/>
      <c r="BO308" s="136"/>
      <c r="BP308" s="136"/>
      <c r="BQ308" s="136"/>
      <c r="BR308" s="136"/>
      <c r="BS308" s="136"/>
      <c r="BT308" s="136"/>
      <c r="BU308" s="136"/>
      <c r="BV308" s="136"/>
      <c r="BW308" s="136"/>
      <c r="BX308" s="136"/>
      <c r="CA308" s="136"/>
      <c r="CB308" s="136"/>
      <c r="CM308" s="136"/>
      <c r="CN308" s="136"/>
      <c r="CO308" s="136"/>
      <c r="CP308" s="136"/>
      <c r="CQ308" s="136"/>
      <c r="CR308" s="136"/>
      <c r="CS308" s="136"/>
      <c r="CT308" s="136"/>
      <c r="CU308" s="136"/>
      <c r="CV308" s="136"/>
      <c r="CW308" s="136"/>
      <c r="CX308" s="136"/>
      <c r="CY308" s="136"/>
      <c r="CZ308" s="136"/>
      <c r="DA308" s="136"/>
      <c r="DB308" s="136"/>
      <c r="DC308" s="136"/>
      <c r="DS308" s="136"/>
      <c r="DT308" s="136"/>
    </row>
    <row r="309" customFormat="false" ht="12.75" hidden="false" customHeight="false" outlineLevel="0" collapsed="false">
      <c r="F309" s="174"/>
      <c r="G309" s="175"/>
      <c r="H309" s="174"/>
      <c r="I309" s="174"/>
      <c r="J309" s="174"/>
      <c r="K309" s="174"/>
      <c r="L309" s="174"/>
      <c r="M309" s="174"/>
      <c r="N309" s="174"/>
      <c r="O309" s="174"/>
      <c r="P309" s="174"/>
      <c r="Q309" s="174"/>
      <c r="R309" s="175"/>
      <c r="S309" s="175"/>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5"/>
      <c r="AZ309" s="175"/>
      <c r="BA309" s="175"/>
      <c r="BB309" s="174"/>
      <c r="BC309" s="174"/>
      <c r="BD309" s="174"/>
      <c r="BE309" s="174"/>
      <c r="BF309" s="174"/>
      <c r="BG309" s="174"/>
      <c r="BH309" s="174"/>
      <c r="BI309" s="174"/>
      <c r="BJ309" s="136"/>
      <c r="BK309" s="136"/>
      <c r="BL309" s="136"/>
      <c r="BM309" s="136"/>
      <c r="BN309" s="136"/>
      <c r="BO309" s="136"/>
      <c r="BP309" s="136"/>
      <c r="BQ309" s="136"/>
      <c r="BR309" s="136"/>
      <c r="BS309" s="136"/>
      <c r="BT309" s="136"/>
      <c r="BU309" s="136"/>
      <c r="BV309" s="136"/>
      <c r="BW309" s="136"/>
      <c r="BX309" s="136"/>
      <c r="CA309" s="136"/>
      <c r="CB309" s="136"/>
      <c r="CM309" s="136"/>
      <c r="CN309" s="136"/>
      <c r="CO309" s="136"/>
      <c r="CP309" s="136"/>
      <c r="CQ309" s="136"/>
      <c r="CR309" s="136"/>
      <c r="CS309" s="136"/>
      <c r="CT309" s="136"/>
      <c r="CU309" s="136"/>
      <c r="CV309" s="136"/>
      <c r="CW309" s="136"/>
      <c r="CX309" s="136"/>
      <c r="CY309" s="136"/>
      <c r="CZ309" s="136"/>
      <c r="DA309" s="136"/>
      <c r="DB309" s="136"/>
      <c r="DC309" s="136"/>
      <c r="DS309" s="136"/>
      <c r="DT309" s="136"/>
    </row>
    <row r="310" customFormat="false" ht="12.75" hidden="false" customHeight="false" outlineLevel="0" collapsed="false">
      <c r="F310" s="174"/>
      <c r="G310" s="175"/>
      <c r="H310" s="174"/>
      <c r="I310" s="174"/>
      <c r="J310" s="174"/>
      <c r="K310" s="174"/>
      <c r="L310" s="174"/>
      <c r="M310" s="174"/>
      <c r="N310" s="174"/>
      <c r="O310" s="174"/>
      <c r="P310" s="174"/>
      <c r="Q310" s="174"/>
      <c r="R310" s="175"/>
      <c r="S310" s="175"/>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5"/>
      <c r="AZ310" s="175"/>
      <c r="BA310" s="175"/>
      <c r="BB310" s="174"/>
      <c r="BC310" s="174"/>
      <c r="BD310" s="174"/>
      <c r="BE310" s="174"/>
      <c r="BF310" s="174"/>
      <c r="BG310" s="174"/>
      <c r="BH310" s="174"/>
      <c r="BI310" s="174"/>
      <c r="BJ310" s="136"/>
      <c r="BK310" s="136"/>
      <c r="BL310" s="136"/>
      <c r="BM310" s="136"/>
      <c r="BN310" s="136"/>
      <c r="BO310" s="136"/>
      <c r="BP310" s="136"/>
      <c r="BQ310" s="136"/>
      <c r="BR310" s="136"/>
      <c r="BS310" s="136"/>
      <c r="BT310" s="136"/>
      <c r="BU310" s="136"/>
      <c r="BV310" s="136"/>
      <c r="BW310" s="136"/>
      <c r="BX310" s="136"/>
      <c r="CA310" s="136"/>
      <c r="CB310" s="136"/>
      <c r="CM310" s="136"/>
      <c r="CN310" s="136"/>
      <c r="CO310" s="136"/>
      <c r="CP310" s="136"/>
      <c r="CQ310" s="136"/>
      <c r="CR310" s="136"/>
      <c r="CS310" s="136"/>
      <c r="CT310" s="136"/>
      <c r="CU310" s="136"/>
      <c r="CV310" s="136"/>
      <c r="CW310" s="136"/>
      <c r="CX310" s="136"/>
      <c r="CY310" s="136"/>
      <c r="CZ310" s="136"/>
      <c r="DA310" s="136"/>
      <c r="DB310" s="136"/>
      <c r="DC310" s="136"/>
    </row>
    <row r="311" customFormat="false" ht="12.75" hidden="false" customHeight="false" outlineLevel="0" collapsed="false">
      <c r="F311" s="174"/>
      <c r="G311" s="175"/>
      <c r="H311" s="174"/>
      <c r="I311" s="174"/>
      <c r="J311" s="174"/>
      <c r="K311" s="174"/>
      <c r="L311" s="174"/>
      <c r="M311" s="174"/>
      <c r="N311" s="174"/>
      <c r="O311" s="174"/>
      <c r="P311" s="174"/>
      <c r="Q311" s="174"/>
      <c r="R311" s="175"/>
      <c r="S311" s="175"/>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5"/>
      <c r="AZ311" s="175"/>
      <c r="BA311" s="175"/>
      <c r="BB311" s="174"/>
      <c r="BC311" s="174"/>
      <c r="BD311" s="174"/>
      <c r="BE311" s="174"/>
      <c r="BF311" s="174"/>
      <c r="BG311" s="174"/>
      <c r="BH311" s="174"/>
      <c r="BI311" s="174"/>
      <c r="BJ311" s="136"/>
      <c r="BK311" s="136"/>
      <c r="BL311" s="136"/>
      <c r="BM311" s="136"/>
      <c r="BN311" s="136"/>
      <c r="BO311" s="136"/>
      <c r="BP311" s="136"/>
      <c r="BQ311" s="136"/>
      <c r="BR311" s="136"/>
      <c r="BS311" s="136"/>
      <c r="BT311" s="136"/>
      <c r="BU311" s="136"/>
      <c r="BV311" s="136"/>
      <c r="BW311" s="136"/>
      <c r="BX311" s="136"/>
      <c r="CA311" s="136"/>
      <c r="CB311" s="136"/>
      <c r="CM311" s="136"/>
      <c r="CN311" s="136"/>
      <c r="CO311" s="136"/>
      <c r="CP311" s="136"/>
      <c r="CQ311" s="136"/>
      <c r="CR311" s="136"/>
      <c r="CS311" s="136"/>
      <c r="CT311" s="136"/>
      <c r="CU311" s="136"/>
      <c r="CV311" s="136"/>
      <c r="CW311" s="136"/>
      <c r="CX311" s="136"/>
      <c r="CY311" s="136"/>
      <c r="CZ311" s="136"/>
      <c r="DA311" s="136"/>
      <c r="DB311" s="136"/>
      <c r="DC311" s="136"/>
    </row>
    <row r="312" customFormat="false" ht="12.75" hidden="false" customHeight="false" outlineLevel="0" collapsed="false">
      <c r="F312" s="174"/>
      <c r="G312" s="175"/>
      <c r="H312" s="174"/>
      <c r="I312" s="174"/>
      <c r="J312" s="174"/>
      <c r="K312" s="174"/>
      <c r="L312" s="174"/>
      <c r="M312" s="174"/>
      <c r="N312" s="174"/>
      <c r="O312" s="174"/>
      <c r="P312" s="174"/>
      <c r="Q312" s="174"/>
      <c r="R312" s="175"/>
      <c r="S312" s="175"/>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5"/>
      <c r="AZ312" s="175"/>
      <c r="BA312" s="175"/>
      <c r="BB312" s="174"/>
      <c r="BC312" s="174"/>
      <c r="BD312" s="174"/>
      <c r="BE312" s="174"/>
      <c r="BF312" s="174"/>
      <c r="BG312" s="174"/>
      <c r="BH312" s="174"/>
      <c r="BI312" s="174"/>
      <c r="BJ312" s="136"/>
      <c r="BK312" s="136"/>
      <c r="BL312" s="136"/>
      <c r="BM312" s="136"/>
      <c r="BN312" s="136"/>
      <c r="BO312" s="136"/>
      <c r="BP312" s="136"/>
      <c r="BQ312" s="136"/>
      <c r="BR312" s="136"/>
      <c r="BS312" s="136"/>
      <c r="BT312" s="136"/>
      <c r="BU312" s="136"/>
      <c r="BV312" s="136"/>
      <c r="BW312" s="136"/>
      <c r="BX312" s="136"/>
      <c r="CA312" s="136"/>
      <c r="CB312" s="136"/>
      <c r="CM312" s="136"/>
      <c r="CN312" s="136"/>
      <c r="CO312" s="136"/>
      <c r="CP312" s="136"/>
      <c r="CQ312" s="136"/>
      <c r="CR312" s="136"/>
      <c r="CS312" s="136"/>
      <c r="CT312" s="136"/>
      <c r="CU312" s="136"/>
      <c r="CV312" s="136"/>
      <c r="CW312" s="136"/>
      <c r="CX312" s="136"/>
      <c r="CY312" s="136"/>
      <c r="CZ312" s="136"/>
      <c r="DA312" s="136"/>
      <c r="DB312" s="136"/>
      <c r="DC312" s="136"/>
    </row>
    <row r="313" customFormat="false" ht="12.75" hidden="false" customHeight="false" outlineLevel="0" collapsed="false">
      <c r="F313" s="174"/>
      <c r="G313" s="175"/>
      <c r="H313" s="174"/>
      <c r="I313" s="174"/>
      <c r="J313" s="174"/>
      <c r="K313" s="174"/>
      <c r="L313" s="174"/>
      <c r="M313" s="174"/>
      <c r="N313" s="174"/>
      <c r="O313" s="174"/>
      <c r="P313" s="174"/>
      <c r="Q313" s="174"/>
      <c r="R313" s="175"/>
      <c r="S313" s="175"/>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174"/>
      <c r="AO313" s="174"/>
      <c r="AP313" s="174"/>
      <c r="AQ313" s="174"/>
      <c r="AR313" s="174"/>
      <c r="AS313" s="174"/>
      <c r="AT313" s="174"/>
      <c r="AU313" s="174"/>
      <c r="AV313" s="174"/>
      <c r="AW313" s="174"/>
      <c r="AX313" s="174"/>
      <c r="AY313" s="175"/>
      <c r="AZ313" s="175"/>
      <c r="BA313" s="175"/>
      <c r="BB313" s="174"/>
      <c r="BC313" s="174"/>
      <c r="BD313" s="174"/>
      <c r="BE313" s="174"/>
      <c r="BF313" s="174"/>
      <c r="BG313" s="174"/>
      <c r="BH313" s="174"/>
      <c r="BI313" s="174"/>
      <c r="BJ313" s="136"/>
      <c r="BK313" s="136"/>
      <c r="BL313" s="136"/>
      <c r="BM313" s="136"/>
      <c r="BN313" s="136"/>
      <c r="BO313" s="136"/>
      <c r="BP313" s="136"/>
      <c r="BQ313" s="136"/>
      <c r="BR313" s="136"/>
      <c r="BS313" s="136"/>
      <c r="BT313" s="136"/>
      <c r="BU313" s="136"/>
      <c r="BV313" s="136"/>
      <c r="BW313" s="136"/>
      <c r="BX313" s="136"/>
      <c r="CA313" s="136"/>
      <c r="CB313" s="136"/>
      <c r="CM313" s="136"/>
      <c r="CN313" s="136"/>
      <c r="CO313" s="136"/>
      <c r="CP313" s="136"/>
      <c r="CQ313" s="136"/>
      <c r="CR313" s="136"/>
      <c r="CS313" s="136"/>
      <c r="CT313" s="136"/>
      <c r="CU313" s="136"/>
      <c r="CV313" s="136"/>
      <c r="CW313" s="136"/>
      <c r="CX313" s="136"/>
      <c r="CY313" s="136"/>
      <c r="CZ313" s="136"/>
      <c r="DA313" s="136"/>
      <c r="DB313" s="136"/>
      <c r="DC313" s="136"/>
    </row>
    <row r="314" customFormat="false" ht="12.75" hidden="false" customHeight="false" outlineLevel="0" collapsed="false">
      <c r="F314" s="174"/>
      <c r="G314" s="175"/>
      <c r="H314" s="174"/>
      <c r="I314" s="174"/>
      <c r="J314" s="174"/>
      <c r="K314" s="174"/>
      <c r="L314" s="174"/>
      <c r="M314" s="174"/>
      <c r="N314" s="174"/>
      <c r="O314" s="174"/>
      <c r="P314" s="174"/>
      <c r="Q314" s="174"/>
      <c r="R314" s="175"/>
      <c r="S314" s="175"/>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5"/>
      <c r="AZ314" s="175"/>
      <c r="BA314" s="175"/>
      <c r="BB314" s="174"/>
      <c r="BC314" s="174"/>
      <c r="BD314" s="174"/>
      <c r="BE314" s="174"/>
      <c r="BF314" s="174"/>
      <c r="BG314" s="174"/>
      <c r="BH314" s="174"/>
      <c r="BI314" s="174"/>
      <c r="BJ314" s="136"/>
      <c r="BK314" s="136"/>
      <c r="BL314" s="136"/>
      <c r="BM314" s="136"/>
      <c r="BN314" s="136"/>
      <c r="BO314" s="136"/>
      <c r="BP314" s="136"/>
      <c r="BQ314" s="136"/>
      <c r="BR314" s="136"/>
      <c r="BS314" s="136"/>
      <c r="BT314" s="136"/>
      <c r="BU314" s="136"/>
      <c r="BV314" s="136"/>
      <c r="BW314" s="136"/>
      <c r="BX314" s="136"/>
      <c r="CA314" s="136"/>
      <c r="CB314" s="136"/>
      <c r="CM314" s="136"/>
      <c r="CN314" s="136"/>
      <c r="CO314" s="136"/>
      <c r="CP314" s="136"/>
      <c r="CQ314" s="136"/>
      <c r="CR314" s="136"/>
      <c r="CS314" s="136"/>
      <c r="CT314" s="136"/>
      <c r="CU314" s="136"/>
      <c r="CV314" s="136"/>
      <c r="CW314" s="136"/>
      <c r="CX314" s="136"/>
      <c r="CY314" s="136"/>
      <c r="CZ314" s="136"/>
      <c r="DA314" s="136"/>
      <c r="DB314" s="136"/>
      <c r="DC314" s="136"/>
    </row>
    <row r="315" customFormat="false" ht="12.75" hidden="false" customHeight="false" outlineLevel="0" collapsed="false">
      <c r="F315" s="174"/>
      <c r="G315" s="175"/>
      <c r="H315" s="174"/>
      <c r="I315" s="174"/>
      <c r="J315" s="174"/>
      <c r="K315" s="174"/>
      <c r="L315" s="174"/>
      <c r="M315" s="174"/>
      <c r="N315" s="174"/>
      <c r="O315" s="174"/>
      <c r="P315" s="174"/>
      <c r="Q315" s="174"/>
      <c r="R315" s="175"/>
      <c r="S315" s="175"/>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5"/>
      <c r="AZ315" s="175"/>
      <c r="BA315" s="175"/>
      <c r="BB315" s="174"/>
      <c r="BC315" s="174"/>
      <c r="BD315" s="174"/>
      <c r="BE315" s="174"/>
      <c r="BF315" s="174"/>
      <c r="BG315" s="174"/>
      <c r="BH315" s="174"/>
      <c r="BI315" s="174"/>
      <c r="BJ315" s="136"/>
      <c r="BK315" s="136"/>
      <c r="BL315" s="136"/>
      <c r="BM315" s="136"/>
      <c r="BN315" s="136"/>
      <c r="BO315" s="136"/>
      <c r="BP315" s="136"/>
      <c r="BQ315" s="136"/>
      <c r="BR315" s="136"/>
      <c r="BS315" s="136"/>
      <c r="BT315" s="136"/>
      <c r="BU315" s="136"/>
      <c r="BV315" s="136"/>
      <c r="BW315" s="136"/>
      <c r="BX315" s="136"/>
      <c r="CA315" s="136"/>
      <c r="CB315" s="136"/>
      <c r="CM315" s="136"/>
      <c r="CN315" s="136"/>
      <c r="CO315" s="136"/>
      <c r="CP315" s="136"/>
      <c r="CQ315" s="136"/>
      <c r="CR315" s="136"/>
      <c r="CS315" s="136"/>
      <c r="CT315" s="136"/>
      <c r="CU315" s="136"/>
      <c r="CV315" s="136"/>
      <c r="CW315" s="136"/>
      <c r="CX315" s="136"/>
      <c r="CY315" s="136"/>
      <c r="CZ315" s="136"/>
      <c r="DA315" s="136"/>
      <c r="DB315" s="136"/>
      <c r="DC315" s="136"/>
    </row>
    <row r="316" customFormat="false" ht="12.75" hidden="false" customHeight="false" outlineLevel="0" collapsed="false">
      <c r="F316" s="174"/>
      <c r="G316" s="175"/>
      <c r="H316" s="174"/>
      <c r="I316" s="174"/>
      <c r="J316" s="174"/>
      <c r="K316" s="174"/>
      <c r="L316" s="174"/>
      <c r="M316" s="174"/>
      <c r="N316" s="174"/>
      <c r="O316" s="174"/>
      <c r="P316" s="174"/>
      <c r="Q316" s="174"/>
      <c r="R316" s="175"/>
      <c r="S316" s="175"/>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5"/>
      <c r="AZ316" s="175"/>
      <c r="BA316" s="175"/>
      <c r="BB316" s="174"/>
      <c r="BC316" s="174"/>
      <c r="BD316" s="174"/>
      <c r="BE316" s="174"/>
      <c r="BF316" s="174"/>
      <c r="BG316" s="174"/>
      <c r="BH316" s="174"/>
      <c r="BI316" s="174"/>
      <c r="BJ316" s="136"/>
      <c r="BK316" s="136"/>
      <c r="BL316" s="136"/>
      <c r="BM316" s="136"/>
      <c r="BN316" s="136"/>
      <c r="BO316" s="136"/>
      <c r="BP316" s="136"/>
      <c r="BQ316" s="136"/>
      <c r="BR316" s="136"/>
      <c r="BS316" s="136"/>
      <c r="BT316" s="136"/>
      <c r="BU316" s="136"/>
      <c r="BV316" s="136"/>
      <c r="BW316" s="136"/>
      <c r="BX316" s="136"/>
      <c r="CA316" s="136"/>
      <c r="CB316" s="136"/>
      <c r="CM316" s="136"/>
      <c r="CN316" s="136"/>
      <c r="CO316" s="136"/>
      <c r="CP316" s="136"/>
      <c r="CQ316" s="136"/>
      <c r="CR316" s="136"/>
      <c r="CS316" s="136"/>
      <c r="CT316" s="136"/>
      <c r="CU316" s="136"/>
      <c r="CV316" s="136"/>
      <c r="CW316" s="136"/>
      <c r="CX316" s="136"/>
      <c r="CY316" s="136"/>
      <c r="CZ316" s="136"/>
      <c r="DA316" s="136"/>
      <c r="DB316" s="136"/>
      <c r="DC316" s="136"/>
    </row>
    <row r="317" customFormat="false" ht="12.75" hidden="false" customHeight="false" outlineLevel="0" collapsed="false">
      <c r="F317" s="174"/>
      <c r="G317" s="175"/>
      <c r="H317" s="174"/>
      <c r="I317" s="174"/>
      <c r="J317" s="174"/>
      <c r="K317" s="174"/>
      <c r="L317" s="174"/>
      <c r="M317" s="174"/>
      <c r="N317" s="174"/>
      <c r="O317" s="174"/>
      <c r="P317" s="174"/>
      <c r="Q317" s="174"/>
      <c r="R317" s="175"/>
      <c r="S317" s="175"/>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5"/>
      <c r="AZ317" s="175"/>
      <c r="BA317" s="175"/>
      <c r="BB317" s="174"/>
      <c r="BC317" s="174"/>
      <c r="BD317" s="174"/>
      <c r="BE317" s="174"/>
      <c r="BF317" s="174"/>
      <c r="BG317" s="174"/>
      <c r="BH317" s="174"/>
      <c r="BI317" s="174"/>
      <c r="BJ317" s="136"/>
      <c r="BK317" s="136"/>
      <c r="BL317" s="136"/>
      <c r="BM317" s="136"/>
      <c r="BN317" s="136"/>
      <c r="BO317" s="136"/>
      <c r="BP317" s="136"/>
      <c r="BQ317" s="136"/>
      <c r="BR317" s="136"/>
      <c r="BS317" s="136"/>
      <c r="BT317" s="136"/>
      <c r="BU317" s="136"/>
      <c r="BV317" s="136"/>
      <c r="BW317" s="136"/>
      <c r="BX317" s="136"/>
      <c r="CA317" s="136"/>
      <c r="CB317" s="136"/>
      <c r="CM317" s="136"/>
      <c r="CN317" s="136"/>
      <c r="CO317" s="136"/>
      <c r="CP317" s="136"/>
      <c r="CQ317" s="136"/>
      <c r="CR317" s="136"/>
      <c r="CS317" s="136"/>
      <c r="CT317" s="136"/>
      <c r="CU317" s="136"/>
      <c r="CV317" s="136"/>
      <c r="CW317" s="136"/>
      <c r="CX317" s="136"/>
      <c r="CY317" s="136"/>
      <c r="CZ317" s="136"/>
      <c r="DA317" s="136"/>
      <c r="DB317" s="136"/>
      <c r="DC317" s="136"/>
    </row>
    <row r="318" customFormat="false" ht="12.75" hidden="false" customHeight="false" outlineLevel="0" collapsed="false">
      <c r="F318" s="174"/>
      <c r="G318" s="175"/>
      <c r="H318" s="174"/>
      <c r="I318" s="174"/>
      <c r="J318" s="174"/>
      <c r="K318" s="174"/>
      <c r="L318" s="174"/>
      <c r="M318" s="174"/>
      <c r="N318" s="174"/>
      <c r="O318" s="174"/>
      <c r="P318" s="174"/>
      <c r="Q318" s="174"/>
      <c r="R318" s="175"/>
      <c r="S318" s="175"/>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5"/>
      <c r="AZ318" s="175"/>
      <c r="BA318" s="175"/>
      <c r="BB318" s="174"/>
      <c r="BC318" s="174"/>
      <c r="BD318" s="174"/>
      <c r="BE318" s="174"/>
      <c r="BF318" s="174"/>
      <c r="BG318" s="174"/>
      <c r="BH318" s="174"/>
      <c r="BI318" s="174"/>
      <c r="BJ318" s="136"/>
      <c r="BK318" s="136"/>
      <c r="BL318" s="136"/>
      <c r="BM318" s="136"/>
      <c r="BN318" s="136"/>
      <c r="BO318" s="136"/>
      <c r="BP318" s="136"/>
      <c r="BQ318" s="136"/>
      <c r="BR318" s="136"/>
      <c r="BS318" s="136"/>
      <c r="BT318" s="136"/>
      <c r="BU318" s="136"/>
      <c r="BV318" s="136"/>
      <c r="BW318" s="136"/>
      <c r="BX318" s="136"/>
      <c r="CA318" s="136"/>
      <c r="CB318" s="136"/>
      <c r="CM318" s="136"/>
      <c r="CN318" s="136"/>
      <c r="CO318" s="136"/>
      <c r="CP318" s="136"/>
      <c r="CQ318" s="136"/>
      <c r="CR318" s="136"/>
      <c r="CS318" s="136"/>
      <c r="CT318" s="136"/>
      <c r="CU318" s="136"/>
      <c r="CV318" s="136"/>
      <c r="CW318" s="136"/>
      <c r="CX318" s="136"/>
      <c r="CY318" s="136"/>
      <c r="CZ318" s="136"/>
      <c r="DA318" s="136"/>
      <c r="DB318" s="136"/>
      <c r="DC318" s="136"/>
    </row>
    <row r="319" customFormat="false" ht="12.75" hidden="false" customHeight="false" outlineLevel="0" collapsed="false">
      <c r="F319" s="174"/>
      <c r="G319" s="175"/>
      <c r="H319" s="174"/>
      <c r="I319" s="174"/>
      <c r="J319" s="174"/>
      <c r="K319" s="174"/>
      <c r="L319" s="174"/>
      <c r="M319" s="174"/>
      <c r="N319" s="174"/>
      <c r="O319" s="174"/>
      <c r="P319" s="174"/>
      <c r="Q319" s="174"/>
      <c r="R319" s="175"/>
      <c r="S319" s="175"/>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5"/>
      <c r="AZ319" s="175"/>
      <c r="BA319" s="175"/>
      <c r="BB319" s="174"/>
      <c r="BC319" s="174"/>
      <c r="BD319" s="174"/>
      <c r="BE319" s="174"/>
      <c r="BF319" s="174"/>
      <c r="BG319" s="174"/>
      <c r="BH319" s="174"/>
      <c r="BI319" s="174"/>
      <c r="BJ319" s="136"/>
      <c r="BK319" s="136"/>
      <c r="BL319" s="136"/>
      <c r="BM319" s="136"/>
      <c r="BN319" s="136"/>
      <c r="BO319" s="136"/>
      <c r="BP319" s="136"/>
      <c r="BQ319" s="136"/>
      <c r="BR319" s="136"/>
      <c r="BS319" s="136"/>
      <c r="BT319" s="136"/>
      <c r="BU319" s="136"/>
      <c r="BV319" s="136"/>
      <c r="BW319" s="136"/>
      <c r="BX319" s="136"/>
      <c r="CA319" s="136"/>
      <c r="CB319" s="136"/>
      <c r="CM319" s="136"/>
      <c r="CN319" s="136"/>
      <c r="CO319" s="136"/>
      <c r="CP319" s="136"/>
      <c r="CQ319" s="136"/>
      <c r="CR319" s="136"/>
      <c r="CS319" s="136"/>
      <c r="CT319" s="136"/>
      <c r="CU319" s="136"/>
      <c r="CV319" s="136"/>
      <c r="CW319" s="136"/>
      <c r="CX319" s="136"/>
      <c r="CY319" s="136"/>
      <c r="CZ319" s="136"/>
      <c r="DA319" s="136"/>
      <c r="DB319" s="136"/>
      <c r="DC319" s="136"/>
    </row>
    <row r="320" customFormat="false" ht="12.75" hidden="false" customHeight="false" outlineLevel="0" collapsed="false">
      <c r="F320" s="174"/>
      <c r="G320" s="175"/>
      <c r="H320" s="174"/>
      <c r="I320" s="174"/>
      <c r="J320" s="174"/>
      <c r="K320" s="174"/>
      <c r="L320" s="174"/>
      <c r="M320" s="174"/>
      <c r="N320" s="174"/>
      <c r="O320" s="174"/>
      <c r="P320" s="174"/>
      <c r="Q320" s="174"/>
      <c r="R320" s="175"/>
      <c r="S320" s="175"/>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5"/>
      <c r="AZ320" s="175"/>
      <c r="BA320" s="175"/>
      <c r="BB320" s="174"/>
      <c r="BC320" s="174"/>
      <c r="BD320" s="174"/>
      <c r="BE320" s="174"/>
      <c r="BF320" s="174"/>
      <c r="BG320" s="174"/>
      <c r="BH320" s="174"/>
      <c r="BI320" s="174"/>
      <c r="BJ320" s="136"/>
      <c r="BK320" s="136"/>
      <c r="BL320" s="136"/>
      <c r="BM320" s="136"/>
      <c r="BN320" s="136"/>
      <c r="BO320" s="136"/>
      <c r="BP320" s="136"/>
      <c r="BQ320" s="136"/>
      <c r="BR320" s="136"/>
      <c r="BS320" s="136"/>
      <c r="BT320" s="136"/>
      <c r="BU320" s="136"/>
      <c r="BV320" s="136"/>
      <c r="BW320" s="136"/>
      <c r="BX320" s="136"/>
      <c r="CA320" s="136"/>
      <c r="CB320" s="136"/>
      <c r="CM320" s="136"/>
      <c r="CN320" s="136"/>
      <c r="CO320" s="136"/>
      <c r="CP320" s="136"/>
      <c r="CQ320" s="136"/>
      <c r="CR320" s="136"/>
      <c r="CS320" s="136"/>
      <c r="CT320" s="136"/>
      <c r="CU320" s="136"/>
      <c r="CV320" s="136"/>
      <c r="CW320" s="136"/>
      <c r="CX320" s="136"/>
      <c r="CY320" s="136"/>
      <c r="CZ320" s="136"/>
      <c r="DA320" s="136"/>
      <c r="DB320" s="136"/>
    </row>
    <row r="321" customFormat="false" ht="12.75" hidden="false" customHeight="false" outlineLevel="0" collapsed="false">
      <c r="F321" s="174"/>
      <c r="G321" s="175"/>
      <c r="H321" s="174"/>
      <c r="I321" s="174"/>
      <c r="J321" s="174"/>
      <c r="K321" s="174"/>
      <c r="L321" s="174"/>
      <c r="M321" s="174"/>
      <c r="N321" s="174"/>
      <c r="O321" s="174"/>
      <c r="P321" s="174"/>
      <c r="Q321" s="174"/>
      <c r="R321" s="175"/>
      <c r="S321" s="175"/>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5"/>
      <c r="AZ321" s="175"/>
      <c r="BA321" s="175"/>
      <c r="BB321" s="174"/>
      <c r="BC321" s="174"/>
      <c r="BD321" s="174"/>
      <c r="BE321" s="174"/>
      <c r="BF321" s="174"/>
      <c r="BG321" s="174"/>
      <c r="BH321" s="174"/>
      <c r="BI321" s="174"/>
      <c r="BJ321" s="136"/>
      <c r="BK321" s="136"/>
      <c r="BL321" s="136"/>
      <c r="BM321" s="136"/>
      <c r="BN321" s="136"/>
      <c r="BO321" s="136"/>
      <c r="BP321" s="136"/>
      <c r="BQ321" s="136"/>
      <c r="BR321" s="136"/>
      <c r="BS321" s="136"/>
      <c r="BT321" s="136"/>
      <c r="BU321" s="136"/>
      <c r="BV321" s="136"/>
      <c r="BW321" s="136"/>
      <c r="BX321" s="136"/>
      <c r="CA321" s="136"/>
      <c r="CB321" s="136"/>
      <c r="CM321" s="136"/>
      <c r="CN321" s="136"/>
      <c r="CO321" s="136"/>
      <c r="CP321" s="136"/>
      <c r="CQ321" s="136"/>
      <c r="CR321" s="136"/>
      <c r="CS321" s="136"/>
      <c r="CT321" s="136"/>
      <c r="CU321" s="136"/>
      <c r="CV321" s="136"/>
      <c r="CW321" s="136"/>
      <c r="CX321" s="136"/>
    </row>
    <row r="322" customFormat="false" ht="12.75" hidden="false" customHeight="false" outlineLevel="0" collapsed="false">
      <c r="F322" s="174"/>
      <c r="G322" s="175"/>
      <c r="H322" s="174"/>
      <c r="I322" s="174"/>
      <c r="J322" s="174"/>
      <c r="K322" s="174"/>
      <c r="L322" s="174"/>
      <c r="M322" s="174"/>
      <c r="N322" s="174"/>
      <c r="O322" s="174"/>
      <c r="P322" s="174"/>
      <c r="Q322" s="174"/>
      <c r="R322" s="175"/>
      <c r="S322" s="175"/>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5"/>
      <c r="AZ322" s="175"/>
      <c r="BA322" s="175"/>
      <c r="BB322" s="174"/>
      <c r="BC322" s="174"/>
      <c r="BD322" s="174"/>
      <c r="BE322" s="174"/>
      <c r="BF322" s="174"/>
      <c r="BG322" s="174"/>
      <c r="BH322" s="174"/>
      <c r="BI322" s="174"/>
      <c r="BJ322" s="136"/>
      <c r="BK322" s="136"/>
      <c r="BL322" s="136"/>
      <c r="BM322" s="136"/>
      <c r="BN322" s="136"/>
      <c r="BO322" s="136"/>
      <c r="BP322" s="136"/>
      <c r="BQ322" s="136"/>
      <c r="BR322" s="136"/>
      <c r="BS322" s="136"/>
      <c r="BT322" s="136"/>
      <c r="BU322" s="136"/>
      <c r="BV322" s="136"/>
      <c r="BW322" s="136"/>
      <c r="BX322" s="136"/>
      <c r="CA322" s="136"/>
      <c r="CB322" s="136"/>
      <c r="CM322" s="136"/>
      <c r="CN322" s="136"/>
      <c r="CO322" s="136"/>
      <c r="CP322" s="136"/>
      <c r="CQ322" s="136"/>
      <c r="CR322" s="136"/>
      <c r="CS322" s="136"/>
      <c r="CT322" s="136"/>
      <c r="CU322" s="136"/>
      <c r="CV322" s="136"/>
      <c r="CW322" s="136"/>
      <c r="CX322" s="136"/>
    </row>
    <row r="323" customFormat="false" ht="12.75" hidden="false" customHeight="false" outlineLevel="0" collapsed="false">
      <c r="F323" s="174"/>
      <c r="G323" s="175"/>
      <c r="H323" s="174"/>
      <c r="I323" s="174"/>
      <c r="J323" s="174"/>
      <c r="K323" s="174"/>
      <c r="L323" s="174"/>
      <c r="M323" s="174"/>
      <c r="N323" s="174"/>
      <c r="O323" s="174"/>
      <c r="P323" s="174"/>
      <c r="Q323" s="174"/>
      <c r="R323" s="175"/>
      <c r="S323" s="175"/>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5"/>
      <c r="AZ323" s="175"/>
      <c r="BA323" s="175"/>
      <c r="BB323" s="174"/>
      <c r="BC323" s="174"/>
      <c r="BD323" s="174"/>
      <c r="BE323" s="174"/>
      <c r="BF323" s="174"/>
      <c r="BG323" s="174"/>
      <c r="BH323" s="174"/>
      <c r="BI323" s="174"/>
      <c r="BJ323" s="136"/>
      <c r="BK323" s="136"/>
      <c r="BL323" s="136"/>
      <c r="BM323" s="136"/>
      <c r="BN323" s="136"/>
      <c r="BO323" s="136"/>
      <c r="BP323" s="136"/>
      <c r="BQ323" s="136"/>
      <c r="BR323" s="136"/>
      <c r="BS323" s="136"/>
      <c r="BT323" s="136"/>
      <c r="BU323" s="136"/>
      <c r="BV323" s="136"/>
      <c r="BW323" s="136"/>
      <c r="BX323" s="136"/>
      <c r="CA323" s="136"/>
      <c r="CB323" s="136"/>
      <c r="CM323" s="136"/>
      <c r="CN323" s="136"/>
      <c r="CO323" s="136"/>
      <c r="CP323" s="136"/>
      <c r="CQ323" s="136"/>
      <c r="CR323" s="136"/>
      <c r="CS323" s="136"/>
      <c r="CT323" s="136"/>
      <c r="CU323" s="136"/>
      <c r="CV323" s="136"/>
      <c r="CW323" s="136"/>
      <c r="CX323" s="136"/>
    </row>
    <row r="324" customFormat="false" ht="12.75" hidden="false" customHeight="false" outlineLevel="0" collapsed="false">
      <c r="F324" s="174"/>
      <c r="G324" s="175"/>
      <c r="H324" s="174"/>
      <c r="I324" s="174"/>
      <c r="J324" s="174"/>
      <c r="K324" s="174"/>
      <c r="L324" s="174"/>
      <c r="M324" s="174"/>
      <c r="N324" s="174"/>
      <c r="O324" s="174"/>
      <c r="P324" s="174"/>
      <c r="Q324" s="174"/>
      <c r="R324" s="175"/>
      <c r="S324" s="175"/>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5"/>
      <c r="AZ324" s="175"/>
      <c r="BA324" s="175"/>
      <c r="BB324" s="174"/>
      <c r="BC324" s="174"/>
      <c r="BD324" s="174"/>
      <c r="BE324" s="174"/>
      <c r="BF324" s="174"/>
      <c r="BG324" s="174"/>
      <c r="BH324" s="174"/>
      <c r="BI324" s="174"/>
      <c r="BJ324" s="136"/>
      <c r="BK324" s="136"/>
      <c r="BL324" s="136"/>
      <c r="BM324" s="136"/>
      <c r="BN324" s="136"/>
      <c r="BO324" s="136"/>
      <c r="BP324" s="136"/>
      <c r="BQ324" s="136"/>
      <c r="BR324" s="136"/>
      <c r="BS324" s="136"/>
      <c r="BT324" s="136"/>
      <c r="BU324" s="136"/>
      <c r="BV324" s="136"/>
      <c r="BW324" s="136"/>
      <c r="BX324" s="136"/>
      <c r="CA324" s="136"/>
      <c r="CB324" s="136"/>
      <c r="CM324" s="136"/>
      <c r="CN324" s="136"/>
      <c r="CO324" s="136"/>
      <c r="CP324" s="136"/>
      <c r="CQ324" s="136"/>
      <c r="CR324" s="136"/>
      <c r="CS324" s="136"/>
      <c r="CT324" s="136"/>
      <c r="CU324" s="136"/>
      <c r="CV324" s="136"/>
      <c r="CW324" s="136"/>
      <c r="CX324" s="136"/>
    </row>
    <row r="325" customFormat="false" ht="12.75" hidden="false" customHeight="false" outlineLevel="0" collapsed="false">
      <c r="F325" s="174"/>
      <c r="G325" s="175"/>
      <c r="H325" s="174"/>
      <c r="I325" s="174"/>
      <c r="J325" s="174"/>
      <c r="K325" s="174"/>
      <c r="L325" s="174"/>
      <c r="M325" s="174"/>
      <c r="N325" s="174"/>
      <c r="O325" s="174"/>
      <c r="P325" s="174"/>
      <c r="Q325" s="174"/>
      <c r="R325" s="175"/>
      <c r="S325" s="175"/>
      <c r="T325" s="174"/>
      <c r="U325" s="174"/>
      <c r="V325" s="174"/>
      <c r="W325" s="174"/>
      <c r="X325" s="174"/>
      <c r="Y325" s="174"/>
      <c r="Z325" s="174"/>
      <c r="AA325" s="174"/>
      <c r="AB325" s="174"/>
      <c r="AC325" s="174"/>
      <c r="AD325" s="174"/>
      <c r="AE325" s="174"/>
      <c r="AF325" s="174"/>
      <c r="AG325" s="174"/>
      <c r="AH325" s="174"/>
      <c r="AI325" s="174"/>
      <c r="AJ325" s="174"/>
      <c r="AK325" s="174"/>
      <c r="AL325" s="174"/>
      <c r="AM325" s="174"/>
      <c r="AN325" s="174"/>
      <c r="AO325" s="174"/>
      <c r="AP325" s="174"/>
      <c r="AQ325" s="174"/>
      <c r="AR325" s="174"/>
      <c r="AS325" s="174"/>
      <c r="AT325" s="174"/>
      <c r="AU325" s="174"/>
      <c r="AV325" s="174"/>
      <c r="AW325" s="174"/>
      <c r="AX325" s="174"/>
      <c r="AY325" s="175"/>
      <c r="AZ325" s="175"/>
      <c r="BA325" s="175"/>
      <c r="BB325" s="174"/>
      <c r="BC325" s="174"/>
      <c r="BD325" s="174"/>
      <c r="BE325" s="174"/>
      <c r="BF325" s="174"/>
      <c r="BG325" s="174"/>
      <c r="BH325" s="174"/>
      <c r="BI325" s="174"/>
      <c r="BJ325" s="136"/>
      <c r="BK325" s="136"/>
      <c r="BL325" s="136"/>
      <c r="BM325" s="136"/>
      <c r="BN325" s="136"/>
      <c r="BO325" s="136"/>
      <c r="BP325" s="136"/>
      <c r="BQ325" s="136"/>
      <c r="BR325" s="136"/>
      <c r="BS325" s="136"/>
      <c r="BT325" s="136"/>
      <c r="BU325" s="136"/>
      <c r="BV325" s="136"/>
      <c r="BW325" s="136"/>
      <c r="BX325" s="136"/>
      <c r="CA325" s="136"/>
      <c r="CB325" s="136"/>
      <c r="CM325" s="136"/>
      <c r="CN325" s="136"/>
      <c r="CO325" s="136"/>
      <c r="CP325" s="136"/>
      <c r="CQ325" s="136"/>
      <c r="CR325" s="136"/>
      <c r="CS325" s="136"/>
      <c r="CT325" s="136"/>
      <c r="CU325" s="136"/>
      <c r="CV325" s="136"/>
      <c r="CW325" s="136"/>
      <c r="CX325" s="136"/>
    </row>
    <row r="326" customFormat="false" ht="12.75" hidden="false" customHeight="false" outlineLevel="0" collapsed="false">
      <c r="F326" s="174"/>
      <c r="H326" s="174"/>
      <c r="I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36"/>
      <c r="AZ326" s="136"/>
      <c r="BA326" s="136"/>
      <c r="BB326" s="174"/>
      <c r="BC326" s="174"/>
      <c r="BD326" s="174"/>
      <c r="BE326" s="174"/>
      <c r="BF326" s="174"/>
      <c r="BG326" s="174"/>
      <c r="BH326" s="174"/>
      <c r="BI326" s="174"/>
    </row>
    <row r="327" customFormat="false" ht="12.75" hidden="false" customHeight="false" outlineLevel="0" collapsed="false">
      <c r="F327" s="174"/>
      <c r="H327" s="174"/>
      <c r="I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c r="AN327" s="174"/>
      <c r="AO327" s="174"/>
      <c r="AP327" s="174"/>
      <c r="AQ327" s="174"/>
      <c r="AR327" s="174"/>
      <c r="AS327" s="174"/>
      <c r="AT327" s="174"/>
      <c r="AU327" s="174"/>
      <c r="AV327" s="174"/>
      <c r="AW327" s="174"/>
      <c r="AX327" s="174"/>
      <c r="AY327" s="136"/>
      <c r="AZ327" s="136"/>
      <c r="BA327" s="136"/>
      <c r="BB327" s="174"/>
      <c r="BC327" s="174"/>
      <c r="BD327" s="174"/>
      <c r="BE327" s="174"/>
      <c r="BF327" s="174"/>
      <c r="BG327" s="174"/>
      <c r="BH327" s="174"/>
      <c r="BI327" s="174"/>
    </row>
    <row r="328" customFormat="false" ht="12.75" hidden="false" customHeight="false" outlineLevel="0" collapsed="false">
      <c r="F328" s="174"/>
      <c r="H328" s="174"/>
      <c r="I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36"/>
      <c r="AZ328" s="136"/>
      <c r="BA328" s="136"/>
      <c r="BB328" s="174"/>
      <c r="BC328" s="174"/>
      <c r="BD328" s="174"/>
      <c r="BE328" s="174"/>
      <c r="BF328" s="174"/>
      <c r="BG328" s="174"/>
      <c r="BH328" s="174"/>
      <c r="BI328" s="174"/>
    </row>
    <row r="329" customFormat="false" ht="12.75" hidden="false" customHeight="false" outlineLevel="0" collapsed="false">
      <c r="F329" s="174"/>
      <c r="H329" s="174"/>
      <c r="I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c r="AN329" s="174"/>
      <c r="AO329" s="174"/>
      <c r="AP329" s="174"/>
      <c r="AQ329" s="174"/>
      <c r="AR329" s="174"/>
      <c r="AS329" s="174"/>
      <c r="AT329" s="174"/>
      <c r="AU329" s="174"/>
      <c r="AV329" s="174"/>
      <c r="AW329" s="174"/>
      <c r="AX329" s="174"/>
      <c r="AY329" s="136"/>
      <c r="AZ329" s="136"/>
      <c r="BA329" s="136"/>
      <c r="BB329" s="174"/>
      <c r="BC329" s="174"/>
      <c r="BD329" s="174"/>
      <c r="BE329" s="174"/>
      <c r="BF329" s="174"/>
      <c r="BG329" s="174"/>
      <c r="BH329" s="174"/>
      <c r="BI329" s="174"/>
    </row>
    <row r="330" customFormat="false" ht="12.75" hidden="false" customHeight="false" outlineLevel="0" collapsed="false">
      <c r="F330" s="174"/>
      <c r="H330" s="174"/>
      <c r="I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36"/>
      <c r="AZ330" s="136"/>
      <c r="BA330" s="136"/>
      <c r="BB330" s="174"/>
      <c r="BC330" s="174"/>
      <c r="BD330" s="174"/>
      <c r="BE330" s="174"/>
      <c r="BF330" s="174"/>
      <c r="BG330" s="174"/>
      <c r="BH330" s="174"/>
      <c r="BI330" s="174"/>
    </row>
    <row r="331" customFormat="false" ht="12.75" hidden="false" customHeight="false" outlineLevel="0" collapsed="false">
      <c r="F331" s="174"/>
      <c r="H331" s="174"/>
      <c r="I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36"/>
      <c r="AZ331" s="136"/>
      <c r="BA331" s="136"/>
      <c r="BB331" s="174"/>
      <c r="BC331" s="174"/>
      <c r="BD331" s="174"/>
      <c r="BE331" s="174"/>
      <c r="BF331" s="174"/>
      <c r="BG331" s="174"/>
      <c r="BH331" s="174"/>
      <c r="BI331" s="174"/>
    </row>
    <row r="332" customFormat="false" ht="12.75" hidden="false" customHeight="false" outlineLevel="0" collapsed="false">
      <c r="F332" s="174"/>
      <c r="H332" s="174"/>
      <c r="I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c r="AN332" s="174"/>
      <c r="AO332" s="174"/>
      <c r="AP332" s="174"/>
      <c r="AQ332" s="174"/>
      <c r="AR332" s="174"/>
      <c r="AS332" s="174"/>
      <c r="AT332" s="174"/>
      <c r="AU332" s="174"/>
      <c r="AV332" s="174"/>
      <c r="AW332" s="174"/>
      <c r="AX332" s="174"/>
      <c r="AY332" s="136"/>
      <c r="AZ332" s="136"/>
      <c r="BA332" s="136"/>
      <c r="BB332" s="174"/>
      <c r="BC332" s="174"/>
      <c r="BD332" s="174"/>
      <c r="BE332" s="174"/>
      <c r="BF332" s="174"/>
      <c r="BG332" s="174"/>
      <c r="BH332" s="174"/>
      <c r="BI332" s="174"/>
    </row>
    <row r="333" customFormat="false" ht="12.75" hidden="false" customHeight="false" outlineLevel="0" collapsed="false">
      <c r="F333" s="174"/>
      <c r="H333" s="174"/>
      <c r="I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36"/>
      <c r="AZ333" s="136"/>
      <c r="BA333" s="136"/>
      <c r="BB333" s="174"/>
      <c r="BC333" s="174"/>
      <c r="BD333" s="174"/>
      <c r="BE333" s="174"/>
      <c r="BF333" s="174"/>
      <c r="BG333" s="174"/>
      <c r="BH333" s="174"/>
      <c r="BI333" s="174"/>
    </row>
    <row r="334" customFormat="false" ht="12.75" hidden="false" customHeight="false" outlineLevel="0" collapsed="false">
      <c r="F334" s="174"/>
      <c r="H334" s="174"/>
      <c r="I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36"/>
      <c r="AZ334" s="136"/>
      <c r="BA334" s="136"/>
      <c r="BB334" s="174"/>
      <c r="BC334" s="174"/>
      <c r="BD334" s="174"/>
      <c r="BE334" s="174"/>
      <c r="BF334" s="174"/>
      <c r="BG334" s="174"/>
      <c r="BH334" s="174"/>
      <c r="BI334" s="174"/>
    </row>
    <row r="335" customFormat="false" ht="12.75" hidden="false" customHeight="false" outlineLevel="0" collapsed="false">
      <c r="F335" s="174"/>
      <c r="H335" s="174"/>
      <c r="I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174"/>
      <c r="AO335" s="174"/>
      <c r="AP335" s="174"/>
      <c r="AQ335" s="174"/>
      <c r="AR335" s="174"/>
      <c r="AS335" s="174"/>
      <c r="AT335" s="174"/>
      <c r="AU335" s="174"/>
      <c r="AV335" s="174"/>
      <c r="AW335" s="174"/>
      <c r="AX335" s="174"/>
      <c r="AY335" s="136"/>
      <c r="AZ335" s="136"/>
      <c r="BA335" s="136"/>
      <c r="BB335" s="174"/>
      <c r="BC335" s="174"/>
      <c r="BD335" s="174"/>
      <c r="BE335" s="174"/>
      <c r="BF335" s="174"/>
      <c r="BG335" s="174"/>
      <c r="BH335" s="174"/>
      <c r="BI335" s="174"/>
    </row>
    <row r="336" customFormat="false" ht="12.75" hidden="false" customHeight="false" outlineLevel="0" collapsed="false">
      <c r="F336" s="174"/>
      <c r="H336" s="174"/>
      <c r="I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36"/>
      <c r="AZ336" s="136"/>
      <c r="BA336" s="136"/>
      <c r="BB336" s="174"/>
      <c r="BC336" s="174"/>
      <c r="BD336" s="174"/>
      <c r="BE336" s="174"/>
      <c r="BF336" s="174"/>
      <c r="BG336" s="174"/>
      <c r="BH336" s="174"/>
      <c r="BI336" s="174"/>
    </row>
    <row r="337" customFormat="false" ht="12.75" hidden="false" customHeight="false" outlineLevel="0" collapsed="false">
      <c r="F337" s="174"/>
      <c r="H337" s="174"/>
      <c r="I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36"/>
      <c r="AZ337" s="136"/>
      <c r="BA337" s="136"/>
      <c r="BB337" s="174"/>
      <c r="BC337" s="174"/>
      <c r="BD337" s="174"/>
      <c r="BE337" s="174"/>
      <c r="BF337" s="174"/>
      <c r="BG337" s="174"/>
      <c r="BH337" s="174"/>
      <c r="BI337" s="174"/>
    </row>
    <row r="338" customFormat="false" ht="12.75" hidden="false" customHeight="false" outlineLevel="0" collapsed="false">
      <c r="F338" s="174"/>
      <c r="H338" s="174"/>
      <c r="I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36"/>
      <c r="AZ338" s="136"/>
      <c r="BA338" s="136"/>
      <c r="BB338" s="174"/>
      <c r="BC338" s="174"/>
      <c r="BD338" s="174"/>
      <c r="BE338" s="174"/>
      <c r="BF338" s="174"/>
      <c r="BG338" s="174"/>
      <c r="BH338" s="174"/>
      <c r="BI338" s="174"/>
    </row>
    <row r="339" customFormat="false" ht="12.75" hidden="false" customHeight="false" outlineLevel="0" collapsed="false">
      <c r="F339" s="174"/>
      <c r="H339" s="174"/>
      <c r="I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36"/>
      <c r="AZ339" s="136"/>
      <c r="BA339" s="136"/>
      <c r="BB339" s="174"/>
      <c r="BC339" s="174"/>
      <c r="BD339" s="174"/>
      <c r="BE339" s="174"/>
      <c r="BF339" s="174"/>
      <c r="BG339" s="174"/>
      <c r="BH339" s="174"/>
      <c r="BI339" s="174"/>
    </row>
    <row r="340" customFormat="false" ht="12.75" hidden="false" customHeight="false" outlineLevel="0" collapsed="false">
      <c r="F340" s="174"/>
      <c r="H340" s="174"/>
      <c r="I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36"/>
      <c r="AZ340" s="136"/>
      <c r="BA340" s="136"/>
      <c r="BB340" s="174"/>
      <c r="BC340" s="174"/>
      <c r="BD340" s="174"/>
      <c r="BE340" s="174"/>
      <c r="BF340" s="174"/>
      <c r="BG340" s="174"/>
      <c r="BH340" s="174"/>
      <c r="BI340" s="174"/>
    </row>
    <row r="341" customFormat="false" ht="12.75" hidden="false" customHeight="false" outlineLevel="0" collapsed="false">
      <c r="F341" s="174"/>
      <c r="H341" s="174"/>
      <c r="I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36"/>
      <c r="AZ341" s="136"/>
      <c r="BA341" s="136"/>
      <c r="BB341" s="174"/>
      <c r="BC341" s="174"/>
      <c r="BD341" s="174"/>
      <c r="BE341" s="174"/>
      <c r="BF341" s="174"/>
      <c r="BG341" s="174"/>
      <c r="BH341" s="174"/>
      <c r="BI341" s="174"/>
    </row>
    <row r="342" customFormat="false" ht="12.75" hidden="false" customHeight="false" outlineLevel="0" collapsed="false">
      <c r="F342" s="174"/>
      <c r="H342" s="174"/>
      <c r="I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36"/>
      <c r="AZ342" s="136"/>
      <c r="BA342" s="136"/>
      <c r="BB342" s="174"/>
      <c r="BC342" s="174"/>
      <c r="BD342" s="174"/>
      <c r="BE342" s="174"/>
      <c r="BF342" s="174"/>
      <c r="BG342" s="174"/>
      <c r="BH342" s="174"/>
      <c r="BI342" s="174"/>
    </row>
    <row r="343" customFormat="false" ht="12.75" hidden="false" customHeight="false" outlineLevel="0" collapsed="false">
      <c r="F343" s="174"/>
      <c r="H343" s="174"/>
      <c r="I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c r="AN343" s="174"/>
      <c r="AO343" s="174"/>
      <c r="AP343" s="174"/>
      <c r="AQ343" s="174"/>
      <c r="AR343" s="174"/>
      <c r="AS343" s="174"/>
      <c r="AT343" s="174"/>
      <c r="AU343" s="174"/>
      <c r="AV343" s="174"/>
      <c r="AW343" s="174"/>
      <c r="AX343" s="174"/>
      <c r="AY343" s="136"/>
      <c r="AZ343" s="136"/>
      <c r="BA343" s="136"/>
      <c r="BB343" s="174"/>
      <c r="BC343" s="174"/>
      <c r="BD343" s="174"/>
      <c r="BE343" s="174"/>
      <c r="BF343" s="174"/>
      <c r="BG343" s="174"/>
      <c r="BH343" s="174"/>
      <c r="BI343" s="174"/>
    </row>
    <row r="344" customFormat="false" ht="12.75" hidden="false" customHeight="false" outlineLevel="0" collapsed="false">
      <c r="F344" s="174"/>
      <c r="H344" s="174"/>
      <c r="I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36"/>
      <c r="AZ344" s="136"/>
      <c r="BA344" s="136"/>
      <c r="BB344" s="174"/>
      <c r="BC344" s="174"/>
      <c r="BD344" s="174"/>
      <c r="BE344" s="174"/>
      <c r="BF344" s="174"/>
      <c r="BG344" s="174"/>
      <c r="BH344" s="174"/>
      <c r="BI344" s="174"/>
    </row>
    <row r="345" customFormat="false" ht="12.75" hidden="false" customHeight="false" outlineLevel="0" collapsed="false">
      <c r="F345" s="174"/>
      <c r="H345" s="174"/>
      <c r="I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36"/>
      <c r="AZ345" s="136"/>
      <c r="BA345" s="136"/>
      <c r="BB345" s="174"/>
      <c r="BC345" s="174"/>
      <c r="BD345" s="174"/>
      <c r="BE345" s="174"/>
      <c r="BF345" s="174"/>
      <c r="BG345" s="174"/>
      <c r="BH345" s="174"/>
      <c r="BI345" s="174"/>
    </row>
    <row r="346" customFormat="false" ht="12.75" hidden="false" customHeight="false" outlineLevel="0" collapsed="false">
      <c r="F346" s="174"/>
      <c r="H346" s="174"/>
      <c r="I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36"/>
      <c r="AZ346" s="136"/>
      <c r="BA346" s="136"/>
      <c r="BB346" s="174"/>
      <c r="BC346" s="174"/>
      <c r="BD346" s="174"/>
      <c r="BE346" s="174"/>
      <c r="BF346" s="174"/>
      <c r="BG346" s="174"/>
      <c r="BH346" s="174"/>
      <c r="BI346" s="174"/>
    </row>
    <row r="347" customFormat="false" ht="12.75" hidden="false" customHeight="false" outlineLevel="0" collapsed="false">
      <c r="F347" s="174"/>
      <c r="H347" s="174"/>
      <c r="I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c r="AS347" s="174"/>
      <c r="AT347" s="174"/>
      <c r="AU347" s="174"/>
      <c r="AV347" s="174"/>
      <c r="AW347" s="174"/>
      <c r="AX347" s="174"/>
      <c r="AY347" s="136"/>
      <c r="AZ347" s="136"/>
      <c r="BA347" s="136"/>
      <c r="BB347" s="174"/>
      <c r="BC347" s="174"/>
      <c r="BD347" s="174"/>
      <c r="BE347" s="174"/>
      <c r="BF347" s="174"/>
      <c r="BG347" s="174"/>
      <c r="BH347" s="174"/>
      <c r="BI347" s="174"/>
    </row>
    <row r="348" customFormat="false" ht="12.75" hidden="false" customHeight="false" outlineLevel="0" collapsed="false">
      <c r="F348" s="174"/>
      <c r="H348" s="174"/>
      <c r="I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36"/>
      <c r="AZ348" s="136"/>
      <c r="BA348" s="136"/>
      <c r="BB348" s="174"/>
      <c r="BC348" s="174"/>
      <c r="BD348" s="174"/>
      <c r="BE348" s="174"/>
      <c r="BF348" s="174"/>
      <c r="BG348" s="174"/>
      <c r="BH348" s="174"/>
      <c r="BI348" s="174"/>
    </row>
    <row r="349" customFormat="false" ht="12.75" hidden="false" customHeight="false" outlineLevel="0" collapsed="false">
      <c r="F349" s="174"/>
      <c r="H349" s="174"/>
      <c r="I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c r="AN349" s="174"/>
      <c r="AO349" s="174"/>
      <c r="AP349" s="174"/>
      <c r="AQ349" s="174"/>
      <c r="AR349" s="174"/>
      <c r="AS349" s="174"/>
      <c r="AT349" s="174"/>
      <c r="AU349" s="174"/>
      <c r="AV349" s="174"/>
      <c r="AW349" s="174"/>
      <c r="AX349" s="174"/>
      <c r="AY349" s="136"/>
      <c r="AZ349" s="136"/>
      <c r="BA349" s="136"/>
      <c r="BB349" s="174"/>
      <c r="BC349" s="174"/>
      <c r="BD349" s="174"/>
      <c r="BE349" s="174"/>
      <c r="BF349" s="174"/>
      <c r="BG349" s="174"/>
      <c r="BH349" s="174"/>
      <c r="BI349" s="174"/>
    </row>
    <row r="350" customFormat="false" ht="12.75" hidden="false" customHeight="false" outlineLevel="0" collapsed="false">
      <c r="F350" s="174"/>
      <c r="H350" s="174"/>
      <c r="I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c r="AN350" s="174"/>
      <c r="AO350" s="174"/>
      <c r="AP350" s="174"/>
      <c r="AQ350" s="174"/>
      <c r="AR350" s="174"/>
      <c r="AS350" s="174"/>
      <c r="AT350" s="174"/>
      <c r="AU350" s="174"/>
      <c r="AV350" s="174"/>
      <c r="AW350" s="174"/>
      <c r="AX350" s="174"/>
      <c r="AY350" s="136"/>
      <c r="AZ350" s="136"/>
      <c r="BA350" s="136"/>
      <c r="BB350" s="174"/>
      <c r="BC350" s="174"/>
      <c r="BD350" s="174"/>
      <c r="BE350" s="174"/>
      <c r="BF350" s="174"/>
      <c r="BG350" s="174"/>
      <c r="BH350" s="174"/>
      <c r="BI350" s="174"/>
    </row>
    <row r="351" customFormat="false" ht="12.75" hidden="false" customHeight="false" outlineLevel="0" collapsed="false">
      <c r="F351" s="174"/>
      <c r="H351" s="174"/>
      <c r="I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36"/>
      <c r="AZ351" s="136"/>
      <c r="BA351" s="136"/>
      <c r="BB351" s="174"/>
      <c r="BC351" s="174"/>
      <c r="BD351" s="174"/>
      <c r="BE351" s="174"/>
      <c r="BF351" s="174"/>
      <c r="BG351" s="174"/>
      <c r="BH351" s="174"/>
      <c r="BI351" s="174"/>
    </row>
    <row r="352" customFormat="false" ht="12.75" hidden="false" customHeight="false" outlineLevel="0" collapsed="false">
      <c r="F352" s="174"/>
      <c r="H352" s="174"/>
      <c r="I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c r="AN352" s="174"/>
      <c r="AO352" s="174"/>
      <c r="AP352" s="174"/>
      <c r="AQ352" s="174"/>
      <c r="AR352" s="174"/>
      <c r="AS352" s="174"/>
      <c r="AT352" s="174"/>
      <c r="AU352" s="174"/>
      <c r="AV352" s="174"/>
      <c r="AW352" s="174"/>
      <c r="AX352" s="174"/>
      <c r="AY352" s="136"/>
      <c r="AZ352" s="136"/>
      <c r="BA352" s="136"/>
      <c r="BB352" s="174"/>
      <c r="BC352" s="174"/>
      <c r="BD352" s="174"/>
      <c r="BE352" s="174"/>
      <c r="BF352" s="174"/>
      <c r="BG352" s="174"/>
      <c r="BH352" s="174"/>
      <c r="BI352" s="174"/>
    </row>
    <row r="353" customFormat="false" ht="12.75" hidden="false" customHeight="false" outlineLevel="0" collapsed="false">
      <c r="F353" s="174"/>
      <c r="H353" s="174"/>
      <c r="I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c r="AN353" s="174"/>
      <c r="AO353" s="174"/>
      <c r="AP353" s="174"/>
      <c r="AQ353" s="174"/>
      <c r="AR353" s="174"/>
      <c r="AS353" s="174"/>
      <c r="AT353" s="174"/>
      <c r="AU353" s="174"/>
      <c r="AV353" s="174"/>
      <c r="AW353" s="174"/>
      <c r="AX353" s="174"/>
      <c r="AY353" s="136"/>
      <c r="AZ353" s="136"/>
      <c r="BA353" s="136"/>
      <c r="BB353" s="174"/>
      <c r="BC353" s="174"/>
      <c r="BD353" s="174"/>
      <c r="BE353" s="174"/>
      <c r="BF353" s="174"/>
      <c r="BG353" s="174"/>
      <c r="BH353" s="174"/>
      <c r="BI353" s="174"/>
    </row>
    <row r="354" customFormat="false" ht="12.75" hidden="false" customHeight="false" outlineLevel="0" collapsed="false">
      <c r="F354" s="174"/>
      <c r="H354" s="174"/>
      <c r="I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36"/>
      <c r="AZ354" s="136"/>
      <c r="BA354" s="136"/>
      <c r="BB354" s="174"/>
      <c r="BC354" s="174"/>
      <c r="BD354" s="174"/>
      <c r="BE354" s="174"/>
      <c r="BF354" s="174"/>
      <c r="BG354" s="174"/>
      <c r="BH354" s="174"/>
      <c r="BI354" s="174"/>
    </row>
    <row r="355" customFormat="false" ht="12.75" hidden="false" customHeight="false" outlineLevel="0" collapsed="false">
      <c r="F355" s="174"/>
      <c r="H355" s="174"/>
      <c r="I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136"/>
      <c r="AZ355" s="136"/>
      <c r="BA355" s="136"/>
      <c r="BB355" s="174"/>
      <c r="BC355" s="174"/>
      <c r="BD355" s="174"/>
      <c r="BE355" s="174"/>
      <c r="BF355" s="174"/>
      <c r="BG355" s="174"/>
      <c r="BH355" s="174"/>
      <c r="BI355" s="174"/>
    </row>
    <row r="356" customFormat="false" ht="12.75" hidden="false" customHeight="false" outlineLevel="0" collapsed="false">
      <c r="F356" s="174"/>
      <c r="H356" s="174"/>
      <c r="I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36"/>
      <c r="AZ356" s="136"/>
      <c r="BA356" s="136"/>
      <c r="BB356" s="174"/>
      <c r="BC356" s="174"/>
      <c r="BD356" s="174"/>
      <c r="BE356" s="174"/>
      <c r="BF356" s="174"/>
      <c r="BG356" s="174"/>
      <c r="BH356" s="174"/>
      <c r="BI356" s="174"/>
    </row>
    <row r="357" customFormat="false" ht="12.75" hidden="false" customHeight="false" outlineLevel="0" collapsed="false">
      <c r="F357" s="174"/>
      <c r="H357" s="174"/>
      <c r="I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136"/>
      <c r="AZ357" s="136"/>
      <c r="BA357" s="136"/>
      <c r="BB357" s="174"/>
      <c r="BC357" s="174"/>
      <c r="BD357" s="174"/>
      <c r="BE357" s="174"/>
      <c r="BF357" s="174"/>
      <c r="BG357" s="174"/>
      <c r="BH357" s="174"/>
      <c r="BI357" s="174"/>
    </row>
    <row r="358" customFormat="false" ht="12.75" hidden="false" customHeight="false" outlineLevel="0" collapsed="false">
      <c r="F358" s="174"/>
      <c r="H358" s="174"/>
      <c r="I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136"/>
      <c r="AZ358" s="136"/>
      <c r="BA358" s="136"/>
      <c r="BB358" s="174"/>
      <c r="BC358" s="174"/>
      <c r="BD358" s="174"/>
      <c r="BE358" s="174"/>
      <c r="BF358" s="174"/>
      <c r="BG358" s="174"/>
      <c r="BH358" s="174"/>
      <c r="BI358" s="174"/>
    </row>
    <row r="359" customFormat="false" ht="12.75" hidden="false" customHeight="false" outlineLevel="0" collapsed="false">
      <c r="F359" s="174"/>
      <c r="H359" s="174"/>
      <c r="I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c r="AN359" s="174"/>
      <c r="AO359" s="174"/>
      <c r="AP359" s="174"/>
      <c r="AQ359" s="174"/>
      <c r="AR359" s="174"/>
      <c r="AS359" s="174"/>
      <c r="AT359" s="174"/>
      <c r="AU359" s="174"/>
      <c r="AV359" s="174"/>
      <c r="AW359" s="174"/>
      <c r="AX359" s="174"/>
      <c r="AY359" s="136"/>
      <c r="AZ359" s="136"/>
      <c r="BA359" s="136"/>
      <c r="BB359" s="174"/>
      <c r="BC359" s="174"/>
      <c r="BD359" s="174"/>
      <c r="BE359" s="174"/>
      <c r="BF359" s="174"/>
      <c r="BG359" s="174"/>
      <c r="BH359" s="174"/>
      <c r="BI359" s="174"/>
    </row>
    <row r="360" customFormat="false" ht="12.75" hidden="false" customHeight="false" outlineLevel="0" collapsed="false">
      <c r="F360" s="174"/>
      <c r="H360" s="174"/>
      <c r="I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36"/>
      <c r="AZ360" s="136"/>
      <c r="BA360" s="136"/>
      <c r="BB360" s="174"/>
      <c r="BC360" s="174"/>
      <c r="BD360" s="174"/>
      <c r="BE360" s="174"/>
      <c r="BF360" s="174"/>
      <c r="BG360" s="174"/>
      <c r="BH360" s="174"/>
      <c r="BI360" s="174"/>
    </row>
    <row r="361" customFormat="false" ht="12.75" hidden="false" customHeight="false" outlineLevel="0" collapsed="false">
      <c r="F361" s="174"/>
      <c r="H361" s="174"/>
      <c r="I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c r="AN361" s="174"/>
      <c r="AO361" s="174"/>
      <c r="AP361" s="174"/>
      <c r="AQ361" s="174"/>
      <c r="AR361" s="174"/>
      <c r="AS361" s="174"/>
      <c r="AT361" s="174"/>
      <c r="AU361" s="174"/>
      <c r="AV361" s="174"/>
      <c r="AW361" s="174"/>
      <c r="AX361" s="174"/>
      <c r="AY361" s="136"/>
      <c r="AZ361" s="136"/>
      <c r="BA361" s="136"/>
      <c r="BB361" s="174"/>
      <c r="BC361" s="174"/>
      <c r="BD361" s="174"/>
      <c r="BE361" s="174"/>
      <c r="BF361" s="174"/>
      <c r="BG361" s="174"/>
      <c r="BH361" s="174"/>
      <c r="BI361" s="174"/>
    </row>
    <row r="362" customFormat="false" ht="12.75" hidden="false" customHeight="false" outlineLevel="0" collapsed="false">
      <c r="F362" s="174"/>
      <c r="H362" s="174"/>
      <c r="I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c r="AN362" s="174"/>
      <c r="AO362" s="174"/>
      <c r="AP362" s="174"/>
      <c r="AQ362" s="174"/>
      <c r="AR362" s="174"/>
      <c r="AS362" s="174"/>
      <c r="AT362" s="174"/>
      <c r="AU362" s="174"/>
      <c r="AV362" s="174"/>
      <c r="AW362" s="174"/>
      <c r="AX362" s="174"/>
      <c r="AY362" s="136"/>
      <c r="AZ362" s="136"/>
      <c r="BA362" s="136"/>
      <c r="BB362" s="174"/>
      <c r="BC362" s="174"/>
      <c r="BD362" s="174"/>
      <c r="BE362" s="174"/>
      <c r="BF362" s="174"/>
      <c r="BG362" s="174"/>
      <c r="BH362" s="174"/>
      <c r="BI362" s="174"/>
    </row>
    <row r="363" customFormat="false" ht="12.75" hidden="false" customHeight="false" outlineLevel="0" collapsed="false">
      <c r="F363" s="174"/>
      <c r="H363" s="174"/>
      <c r="I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136"/>
      <c r="AZ363" s="136"/>
      <c r="BA363" s="136"/>
      <c r="BB363" s="174"/>
      <c r="BC363" s="174"/>
      <c r="BD363" s="174"/>
      <c r="BE363" s="174"/>
      <c r="BF363" s="174"/>
      <c r="BG363" s="174"/>
      <c r="BH363" s="174"/>
      <c r="BI363" s="174"/>
    </row>
    <row r="364" customFormat="false" ht="12.75" hidden="false" customHeight="false" outlineLevel="0" collapsed="false">
      <c r="F364" s="174"/>
      <c r="H364" s="174"/>
      <c r="I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36"/>
      <c r="AZ364" s="136"/>
      <c r="BA364" s="136"/>
      <c r="BB364" s="174"/>
      <c r="BC364" s="174"/>
      <c r="BD364" s="174"/>
      <c r="BE364" s="174"/>
      <c r="BF364" s="174"/>
      <c r="BG364" s="174"/>
      <c r="BH364" s="174"/>
      <c r="BI364" s="174"/>
    </row>
    <row r="365" customFormat="false" ht="12.75" hidden="false" customHeight="false" outlineLevel="0" collapsed="false">
      <c r="F365" s="174"/>
      <c r="H365" s="174"/>
      <c r="I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36"/>
      <c r="AZ365" s="136"/>
      <c r="BA365" s="136"/>
      <c r="BB365" s="174"/>
      <c r="BC365" s="174"/>
      <c r="BD365" s="174"/>
      <c r="BE365" s="174"/>
      <c r="BF365" s="174"/>
      <c r="BG365" s="174"/>
      <c r="BH365" s="174"/>
      <c r="BI365" s="174"/>
    </row>
    <row r="366" customFormat="false" ht="12.75" hidden="false" customHeight="false" outlineLevel="0" collapsed="false">
      <c r="F366" s="174"/>
      <c r="H366" s="174"/>
      <c r="I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36"/>
      <c r="AZ366" s="136"/>
      <c r="BA366" s="136"/>
      <c r="BB366" s="174"/>
      <c r="BC366" s="174"/>
      <c r="BD366" s="174"/>
      <c r="BE366" s="174"/>
      <c r="BF366" s="174"/>
      <c r="BG366" s="174"/>
      <c r="BH366" s="174"/>
      <c r="BI366" s="174"/>
    </row>
    <row r="367" customFormat="false" ht="12.75" hidden="false" customHeight="false" outlineLevel="0" collapsed="false">
      <c r="F367" s="174"/>
      <c r="H367" s="174"/>
      <c r="I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36"/>
      <c r="AZ367" s="136"/>
      <c r="BA367" s="136"/>
      <c r="BB367" s="174"/>
      <c r="BC367" s="174"/>
      <c r="BD367" s="174"/>
      <c r="BE367" s="174"/>
      <c r="BF367" s="174"/>
      <c r="BG367" s="174"/>
      <c r="BH367" s="174"/>
      <c r="BI367" s="174"/>
    </row>
    <row r="368" customFormat="false" ht="12.75" hidden="false" customHeight="false" outlineLevel="0" collapsed="false">
      <c r="F368" s="174"/>
      <c r="H368" s="174"/>
      <c r="I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36"/>
      <c r="AZ368" s="136"/>
      <c r="BA368" s="136"/>
      <c r="BB368" s="174"/>
      <c r="BC368" s="174"/>
      <c r="BD368" s="174"/>
      <c r="BE368" s="174"/>
      <c r="BF368" s="174"/>
      <c r="BG368" s="174"/>
      <c r="BH368" s="174"/>
      <c r="BI368" s="174"/>
    </row>
    <row r="369" customFormat="false" ht="12.75" hidden="false" customHeight="false" outlineLevel="0" collapsed="false">
      <c r="F369" s="174"/>
      <c r="H369" s="174"/>
      <c r="I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36"/>
      <c r="AZ369" s="136"/>
      <c r="BA369" s="136"/>
      <c r="BB369" s="174"/>
      <c r="BC369" s="174"/>
      <c r="BD369" s="174"/>
      <c r="BE369" s="174"/>
      <c r="BF369" s="174"/>
      <c r="BG369" s="174"/>
      <c r="BH369" s="174"/>
      <c r="BI369" s="174"/>
    </row>
    <row r="370" customFormat="false" ht="12.75" hidden="false" customHeight="false" outlineLevel="0" collapsed="false">
      <c r="F370" s="174"/>
      <c r="H370" s="174"/>
      <c r="I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c r="AS370" s="174"/>
      <c r="AT370" s="174"/>
      <c r="AU370" s="174"/>
      <c r="AV370" s="174"/>
      <c r="AW370" s="174"/>
      <c r="AX370" s="174"/>
      <c r="AY370" s="136"/>
      <c r="AZ370" s="136"/>
      <c r="BA370" s="136"/>
      <c r="BB370" s="174"/>
      <c r="BC370" s="174"/>
      <c r="BD370" s="174"/>
      <c r="BE370" s="174"/>
      <c r="BF370" s="174"/>
      <c r="BG370" s="174"/>
      <c r="BH370" s="174"/>
      <c r="BI370" s="174"/>
    </row>
    <row r="371" customFormat="false" ht="12.75" hidden="false" customHeight="false" outlineLevel="0" collapsed="false">
      <c r="F371" s="174"/>
      <c r="H371" s="174"/>
      <c r="I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c r="AN371" s="174"/>
      <c r="AO371" s="174"/>
      <c r="AP371" s="174"/>
      <c r="AQ371" s="174"/>
      <c r="AR371" s="174"/>
      <c r="AS371" s="174"/>
      <c r="AT371" s="174"/>
      <c r="AU371" s="174"/>
      <c r="AV371" s="174"/>
      <c r="AW371" s="174"/>
      <c r="AX371" s="174"/>
      <c r="AY371" s="136"/>
      <c r="AZ371" s="136"/>
      <c r="BA371" s="136"/>
      <c r="BB371" s="174"/>
      <c r="BC371" s="174"/>
      <c r="BD371" s="174"/>
      <c r="BE371" s="174"/>
      <c r="BF371" s="174"/>
      <c r="BG371" s="174"/>
      <c r="BH371" s="174"/>
      <c r="BI371" s="174"/>
    </row>
    <row r="372" customFormat="false" ht="12.75" hidden="false" customHeight="false" outlineLevel="0" collapsed="false">
      <c r="F372" s="174"/>
      <c r="H372" s="174"/>
      <c r="I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c r="AS372" s="174"/>
      <c r="AT372" s="174"/>
      <c r="AU372" s="174"/>
      <c r="AV372" s="174"/>
      <c r="AW372" s="174"/>
      <c r="AX372" s="174"/>
      <c r="AY372" s="136"/>
      <c r="AZ372" s="136"/>
      <c r="BA372" s="136"/>
      <c r="BB372" s="174"/>
      <c r="BC372" s="174"/>
      <c r="BD372" s="174"/>
      <c r="BE372" s="174"/>
      <c r="BF372" s="174"/>
      <c r="BG372" s="174"/>
      <c r="BH372" s="174"/>
      <c r="BI372" s="174"/>
    </row>
    <row r="373" customFormat="false" ht="12.75" hidden="false" customHeight="false" outlineLevel="0" collapsed="false">
      <c r="F373" s="174"/>
      <c r="H373" s="174"/>
      <c r="I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c r="AS373" s="174"/>
      <c r="AT373" s="174"/>
      <c r="AU373" s="174"/>
      <c r="AV373" s="174"/>
      <c r="AW373" s="174"/>
      <c r="AX373" s="174"/>
      <c r="AY373" s="136"/>
      <c r="AZ373" s="136"/>
      <c r="BA373" s="136"/>
      <c r="BB373" s="174"/>
      <c r="BC373" s="174"/>
      <c r="BD373" s="174"/>
      <c r="BE373" s="174"/>
      <c r="BF373" s="174"/>
      <c r="BG373" s="174"/>
      <c r="BH373" s="174"/>
      <c r="BI373" s="174"/>
    </row>
    <row r="374" customFormat="false" ht="12.75" hidden="false" customHeight="false" outlineLevel="0" collapsed="false">
      <c r="F374" s="174"/>
      <c r="H374" s="174"/>
      <c r="I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36"/>
      <c r="AZ374" s="136"/>
      <c r="BA374" s="136"/>
      <c r="BB374" s="174"/>
      <c r="BC374" s="174"/>
      <c r="BD374" s="174"/>
      <c r="BE374" s="174"/>
      <c r="BF374" s="174"/>
      <c r="BG374" s="174"/>
      <c r="BH374" s="174"/>
      <c r="BI374" s="174"/>
    </row>
    <row r="375" customFormat="false" ht="12.75" hidden="false" customHeight="false" outlineLevel="0" collapsed="false">
      <c r="F375" s="174"/>
      <c r="H375" s="174"/>
      <c r="I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c r="AS375" s="174"/>
      <c r="AT375" s="174"/>
      <c r="AU375" s="174"/>
      <c r="AV375" s="174"/>
      <c r="AW375" s="174"/>
      <c r="AX375" s="174"/>
      <c r="AY375" s="136"/>
      <c r="AZ375" s="136"/>
      <c r="BA375" s="136"/>
      <c r="BB375" s="174"/>
      <c r="BC375" s="174"/>
      <c r="BD375" s="174"/>
      <c r="BE375" s="174"/>
      <c r="BF375" s="174"/>
      <c r="BG375" s="174"/>
      <c r="BH375" s="174"/>
      <c r="BI375" s="174"/>
    </row>
    <row r="376" customFormat="false" ht="12.75" hidden="false" customHeight="false" outlineLevel="0" collapsed="false">
      <c r="F376" s="174"/>
      <c r="H376" s="174"/>
      <c r="I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c r="AN376" s="174"/>
      <c r="AO376" s="174"/>
      <c r="AP376" s="174"/>
      <c r="AQ376" s="174"/>
      <c r="AR376" s="174"/>
      <c r="AS376" s="174"/>
      <c r="AT376" s="174"/>
      <c r="AU376" s="174"/>
      <c r="AV376" s="174"/>
      <c r="AW376" s="174"/>
      <c r="AX376" s="174"/>
      <c r="AY376" s="136"/>
      <c r="AZ376" s="136"/>
      <c r="BA376" s="136"/>
      <c r="BB376" s="174"/>
      <c r="BC376" s="174"/>
      <c r="BD376" s="174"/>
      <c r="BE376" s="174"/>
      <c r="BF376" s="174"/>
      <c r="BG376" s="174"/>
      <c r="BH376" s="174"/>
      <c r="BI376" s="174"/>
    </row>
    <row r="377" customFormat="false" ht="12.75" hidden="false" customHeight="false" outlineLevel="0" collapsed="false">
      <c r="F377" s="174"/>
      <c r="H377" s="174"/>
      <c r="I377" s="174"/>
      <c r="AY377" s="136"/>
      <c r="AZ377" s="136"/>
      <c r="BA377" s="136"/>
    </row>
    <row r="378" customFormat="false" ht="12.75" hidden="false" customHeight="false" outlineLevel="0" collapsed="false">
      <c r="F378" s="174"/>
      <c r="H378" s="174"/>
      <c r="I378" s="174"/>
      <c r="AY378" s="136"/>
      <c r="AZ378" s="136"/>
      <c r="BA378" s="136"/>
    </row>
    <row r="379" customFormat="false" ht="12.75" hidden="false" customHeight="false" outlineLevel="0" collapsed="false">
      <c r="F379" s="174"/>
      <c r="H379" s="174"/>
      <c r="I379" s="174"/>
      <c r="AY379" s="136"/>
      <c r="AZ379" s="136"/>
      <c r="BA379" s="136"/>
    </row>
    <row r="380" customFormat="false" ht="12.75" hidden="false" customHeight="false" outlineLevel="0" collapsed="false">
      <c r="F380" s="174"/>
      <c r="H380" s="174"/>
      <c r="I380" s="174"/>
    </row>
    <row r="381" customFormat="false" ht="12.75" hidden="false" customHeight="false" outlineLevel="0" collapsed="false">
      <c r="F381" s="174"/>
      <c r="H381" s="174"/>
      <c r="I381" s="174"/>
    </row>
    <row r="382" customFormat="false" ht="12.75" hidden="false" customHeight="false" outlineLevel="0" collapsed="false">
      <c r="F382" s="174"/>
      <c r="H382" s="174"/>
      <c r="I382" s="174"/>
    </row>
    <row r="383" customFormat="false" ht="12.75" hidden="false" customHeight="false" outlineLevel="0" collapsed="false">
      <c r="F383" s="174"/>
      <c r="H383" s="174"/>
      <c r="I383" s="174"/>
    </row>
    <row r="384" customFormat="false" ht="12.75" hidden="false" customHeight="false" outlineLevel="0" collapsed="false">
      <c r="F384" s="174"/>
      <c r="H384" s="174"/>
      <c r="I384" s="174"/>
    </row>
    <row r="385" customFormat="false" ht="12.75" hidden="false" customHeight="false" outlineLevel="0" collapsed="false">
      <c r="F385" s="174"/>
      <c r="H385" s="174"/>
      <c r="I385" s="174"/>
    </row>
    <row r="386" customFormat="false" ht="12.75" hidden="false" customHeight="false" outlineLevel="0" collapsed="false">
      <c r="F386" s="174"/>
      <c r="H386" s="174"/>
      <c r="I386" s="174"/>
    </row>
    <row r="387" customFormat="false" ht="12.75" hidden="false" customHeight="false" outlineLevel="0" collapsed="false">
      <c r="F387" s="174"/>
      <c r="H387" s="174"/>
      <c r="I387" s="174"/>
    </row>
    <row r="388" customFormat="false" ht="12.75" hidden="false" customHeight="false" outlineLevel="0" collapsed="false">
      <c r="F388" s="174"/>
      <c r="H388" s="174"/>
      <c r="I388" s="174"/>
    </row>
    <row r="389" customFormat="false" ht="12.75" hidden="false" customHeight="false" outlineLevel="0" collapsed="false">
      <c r="F389" s="174"/>
      <c r="H389" s="174"/>
      <c r="I389" s="174"/>
    </row>
    <row r="390" customFormat="false" ht="12.75" hidden="false" customHeight="false" outlineLevel="0" collapsed="false">
      <c r="F390" s="174"/>
      <c r="H390" s="174"/>
      <c r="I390" s="174"/>
    </row>
    <row r="391" customFormat="false" ht="12.75" hidden="false" customHeight="false" outlineLevel="0" collapsed="false">
      <c r="F391" s="174"/>
      <c r="H391" s="174"/>
      <c r="I391" s="174"/>
    </row>
    <row r="392" customFormat="false" ht="12.75" hidden="false" customHeight="false" outlineLevel="0" collapsed="false">
      <c r="F392" s="174"/>
      <c r="H392" s="174"/>
      <c r="I392" s="174"/>
    </row>
    <row r="393" customFormat="false" ht="12.75" hidden="false" customHeight="false" outlineLevel="0" collapsed="false">
      <c r="F393" s="174"/>
      <c r="H393" s="174"/>
      <c r="I393" s="174"/>
    </row>
    <row r="394" customFormat="false" ht="12.75" hidden="false" customHeight="false" outlineLevel="0" collapsed="false">
      <c r="F394" s="174"/>
      <c r="H394" s="174"/>
      <c r="I394" s="174"/>
    </row>
    <row r="395" customFormat="false" ht="12.75" hidden="false" customHeight="false" outlineLevel="0" collapsed="false">
      <c r="F395" s="174"/>
      <c r="H395" s="174"/>
      <c r="I395" s="174"/>
    </row>
    <row r="396" customFormat="false" ht="12.75" hidden="false" customHeight="false" outlineLevel="0" collapsed="false">
      <c r="F396" s="174"/>
      <c r="H396" s="174"/>
      <c r="I396" s="174"/>
    </row>
    <row r="397" customFormat="false" ht="12.75" hidden="false" customHeight="false" outlineLevel="0" collapsed="false">
      <c r="F397" s="174"/>
      <c r="H397" s="174"/>
      <c r="I397" s="174"/>
    </row>
    <row r="398" customFormat="false" ht="12.75" hidden="false" customHeight="false" outlineLevel="0" collapsed="false">
      <c r="F398" s="174"/>
      <c r="H398" s="174"/>
      <c r="I398" s="174"/>
    </row>
    <row r="399" customFormat="false" ht="12.75" hidden="false" customHeight="false" outlineLevel="0" collapsed="false">
      <c r="F399" s="174"/>
      <c r="H399" s="174"/>
      <c r="I399" s="174"/>
    </row>
    <row r="400" customFormat="false" ht="12.75" hidden="false" customHeight="false" outlineLevel="0" collapsed="false">
      <c r="F400" s="174"/>
      <c r="H400" s="174"/>
      <c r="I400" s="174"/>
    </row>
    <row r="401" customFormat="false" ht="12.75" hidden="false" customHeight="false" outlineLevel="0" collapsed="false">
      <c r="F401" s="174"/>
      <c r="H401" s="174"/>
      <c r="I401" s="174"/>
    </row>
    <row r="402" customFormat="false" ht="12.75" hidden="false" customHeight="false" outlineLevel="0" collapsed="false">
      <c r="F402" s="174"/>
      <c r="H402" s="174"/>
      <c r="I402" s="174"/>
    </row>
    <row r="403" customFormat="false" ht="12.75" hidden="false" customHeight="false" outlineLevel="0" collapsed="false">
      <c r="F403" s="174"/>
      <c r="H403" s="174"/>
      <c r="I403" s="174"/>
    </row>
    <row r="404" customFormat="false" ht="12.75" hidden="false" customHeight="false" outlineLevel="0" collapsed="false">
      <c r="F404" s="174"/>
      <c r="H404" s="174"/>
      <c r="I404" s="174"/>
    </row>
    <row r="405" customFormat="false" ht="12.75" hidden="false" customHeight="false" outlineLevel="0" collapsed="false">
      <c r="F405" s="174"/>
      <c r="H405" s="174"/>
      <c r="I405" s="174"/>
    </row>
    <row r="406" customFormat="false" ht="12.75" hidden="false" customHeight="false" outlineLevel="0" collapsed="false">
      <c r="F406" s="174"/>
      <c r="H406" s="174"/>
      <c r="I406" s="174"/>
    </row>
    <row r="407" customFormat="false" ht="12.75" hidden="false" customHeight="false" outlineLevel="0" collapsed="false">
      <c r="F407" s="174"/>
      <c r="H407" s="174"/>
      <c r="I407" s="174"/>
    </row>
    <row r="408" customFormat="false" ht="12.75" hidden="false" customHeight="false" outlineLevel="0" collapsed="false">
      <c r="F408" s="174"/>
      <c r="H408" s="174"/>
      <c r="I408" s="174"/>
    </row>
    <row r="409" customFormat="false" ht="12.75" hidden="false" customHeight="false" outlineLevel="0" collapsed="false">
      <c r="F409" s="174"/>
      <c r="H409" s="174"/>
      <c r="I409" s="174"/>
    </row>
    <row r="410" customFormat="false" ht="12.75" hidden="false" customHeight="false" outlineLevel="0" collapsed="false">
      <c r="F410" s="174"/>
      <c r="H410" s="174"/>
      <c r="I410" s="174"/>
    </row>
    <row r="411" customFormat="false" ht="12.75" hidden="false" customHeight="false" outlineLevel="0" collapsed="false">
      <c r="F411" s="174"/>
      <c r="H411" s="174"/>
      <c r="I411" s="174"/>
    </row>
    <row r="412" customFormat="false" ht="12.75" hidden="false" customHeight="false" outlineLevel="0" collapsed="false">
      <c r="F412" s="174"/>
      <c r="H412" s="174"/>
      <c r="I412" s="174"/>
    </row>
    <row r="413" customFormat="false" ht="12.75" hidden="false" customHeight="false" outlineLevel="0" collapsed="false">
      <c r="F413" s="174"/>
      <c r="H413" s="174"/>
      <c r="I413" s="174"/>
    </row>
    <row r="414" customFormat="false" ht="12.75" hidden="false" customHeight="false" outlineLevel="0" collapsed="false">
      <c r="F414" s="174"/>
      <c r="H414" s="174"/>
      <c r="I414" s="174"/>
    </row>
    <row r="415" customFormat="false" ht="12.75" hidden="false" customHeight="false" outlineLevel="0" collapsed="false">
      <c r="F415" s="174"/>
      <c r="H415" s="174"/>
      <c r="I415" s="174"/>
    </row>
    <row r="416" customFormat="false" ht="12.75" hidden="false" customHeight="false" outlineLevel="0" collapsed="false">
      <c r="F416" s="174"/>
      <c r="H416" s="174"/>
      <c r="I416" s="174"/>
    </row>
    <row r="417" customFormat="false" ht="12.75" hidden="false" customHeight="false" outlineLevel="0" collapsed="false">
      <c r="F417" s="174"/>
      <c r="H417" s="174"/>
      <c r="I417" s="174"/>
    </row>
    <row r="418" customFormat="false" ht="12.75" hidden="false" customHeight="false" outlineLevel="0" collapsed="false">
      <c r="F418" s="174"/>
      <c r="H418" s="174"/>
      <c r="I418" s="174"/>
    </row>
    <row r="419" customFormat="false" ht="12.75" hidden="false" customHeight="false" outlineLevel="0" collapsed="false">
      <c r="F419" s="174"/>
      <c r="H419" s="174"/>
      <c r="I419" s="174"/>
    </row>
    <row r="420" customFormat="false" ht="12.75" hidden="false" customHeight="false" outlineLevel="0" collapsed="false">
      <c r="F420" s="174"/>
      <c r="H420" s="174"/>
      <c r="I420" s="174"/>
    </row>
    <row r="421" customFormat="false" ht="12.75" hidden="false" customHeight="false" outlineLevel="0" collapsed="false">
      <c r="F421" s="174"/>
      <c r="H421" s="174"/>
      <c r="I421" s="174"/>
    </row>
    <row r="422" customFormat="false" ht="12.75" hidden="false" customHeight="false" outlineLevel="0" collapsed="false">
      <c r="F422" s="174"/>
      <c r="H422" s="174"/>
      <c r="I422" s="174"/>
    </row>
    <row r="423" customFormat="false" ht="12.75" hidden="false" customHeight="false" outlineLevel="0" collapsed="false">
      <c r="F423" s="174"/>
      <c r="H423" s="174"/>
      <c r="I423" s="174"/>
    </row>
    <row r="424" customFormat="false" ht="12.75" hidden="false" customHeight="false" outlineLevel="0" collapsed="false">
      <c r="F424" s="174"/>
      <c r="H424" s="174"/>
      <c r="I424" s="174"/>
    </row>
    <row r="425" customFormat="false" ht="12.75" hidden="false" customHeight="false" outlineLevel="0" collapsed="false">
      <c r="F425" s="174"/>
      <c r="H425" s="174"/>
      <c r="I425" s="174"/>
    </row>
    <row r="426" customFormat="false" ht="12.75" hidden="false" customHeight="false" outlineLevel="0" collapsed="false">
      <c r="F426" s="174"/>
      <c r="H426" s="174"/>
      <c r="I426" s="174"/>
    </row>
    <row r="427" customFormat="false" ht="12.75" hidden="false" customHeight="false" outlineLevel="0" collapsed="false">
      <c r="F427" s="174"/>
      <c r="H427" s="174"/>
      <c r="I427" s="174"/>
    </row>
    <row r="428" customFormat="false" ht="12.75" hidden="false" customHeight="false" outlineLevel="0" collapsed="false">
      <c r="F428" s="174"/>
      <c r="H428" s="174"/>
      <c r="I428" s="174"/>
    </row>
    <row r="429" customFormat="false" ht="12.75" hidden="false" customHeight="false" outlineLevel="0" collapsed="false">
      <c r="F429" s="174"/>
      <c r="H429" s="174"/>
      <c r="I429" s="174"/>
    </row>
    <row r="430" customFormat="false" ht="12.75" hidden="false" customHeight="false" outlineLevel="0" collapsed="false">
      <c r="F430" s="174"/>
      <c r="H430" s="174"/>
      <c r="I430" s="174"/>
    </row>
    <row r="431" customFormat="false" ht="12.75" hidden="false" customHeight="false" outlineLevel="0" collapsed="false">
      <c r="F431" s="174"/>
      <c r="H431" s="174"/>
      <c r="I431" s="174"/>
    </row>
    <row r="432" customFormat="false" ht="12.75" hidden="false" customHeight="false" outlineLevel="0" collapsed="false">
      <c r="F432" s="174"/>
      <c r="H432" s="174"/>
      <c r="I432" s="174"/>
    </row>
    <row r="433" customFormat="false" ht="12.75" hidden="false" customHeight="false" outlineLevel="0" collapsed="false">
      <c r="F433" s="174"/>
      <c r="H433" s="174"/>
      <c r="I433" s="174"/>
    </row>
    <row r="434" customFormat="false" ht="12.75" hidden="false" customHeight="false" outlineLevel="0" collapsed="false">
      <c r="F434" s="174"/>
      <c r="H434" s="174"/>
      <c r="I434" s="174"/>
    </row>
    <row r="435" customFormat="false" ht="12.75" hidden="false" customHeight="false" outlineLevel="0" collapsed="false">
      <c r="F435" s="174"/>
      <c r="H435" s="174"/>
      <c r="I435" s="174"/>
    </row>
    <row r="436" customFormat="false" ht="12.75" hidden="false" customHeight="false" outlineLevel="0" collapsed="false">
      <c r="F436" s="174"/>
      <c r="H436" s="174"/>
      <c r="I436" s="174"/>
    </row>
    <row r="437" customFormat="false" ht="12.75" hidden="false" customHeight="false" outlineLevel="0" collapsed="false">
      <c r="F437" s="174"/>
      <c r="H437" s="174"/>
      <c r="I437" s="174"/>
    </row>
    <row r="438" customFormat="false" ht="12.75" hidden="false" customHeight="false" outlineLevel="0" collapsed="false">
      <c r="F438" s="174"/>
      <c r="H438" s="174"/>
      <c r="I438" s="174"/>
    </row>
    <row r="439" customFormat="false" ht="12.75" hidden="false" customHeight="false" outlineLevel="0" collapsed="false">
      <c r="F439" s="174"/>
      <c r="H439" s="174"/>
      <c r="I439" s="174"/>
    </row>
    <row r="440" customFormat="false" ht="12.75" hidden="false" customHeight="false" outlineLevel="0" collapsed="false">
      <c r="F440" s="174"/>
      <c r="H440" s="174"/>
      <c r="I440" s="174"/>
    </row>
    <row r="441" customFormat="false" ht="12.75" hidden="false" customHeight="false" outlineLevel="0" collapsed="false">
      <c r="F441" s="174"/>
      <c r="H441" s="174"/>
      <c r="I441" s="174"/>
    </row>
    <row r="442" customFormat="false" ht="12.75" hidden="false" customHeight="false" outlineLevel="0" collapsed="false">
      <c r="F442" s="174"/>
      <c r="H442" s="174"/>
      <c r="I442" s="174"/>
    </row>
    <row r="443" customFormat="false" ht="12.75" hidden="false" customHeight="false" outlineLevel="0" collapsed="false">
      <c r="F443" s="174"/>
      <c r="H443" s="174"/>
      <c r="I443" s="174"/>
    </row>
    <row r="444" customFormat="false" ht="12.75" hidden="false" customHeight="false" outlineLevel="0" collapsed="false">
      <c r="F444" s="174"/>
      <c r="H444" s="174"/>
      <c r="I444" s="174"/>
    </row>
    <row r="445" customFormat="false" ht="12.75" hidden="false" customHeight="false" outlineLevel="0" collapsed="false">
      <c r="F445" s="174"/>
      <c r="H445" s="174"/>
      <c r="I445" s="174"/>
    </row>
    <row r="446" customFormat="false" ht="12.75" hidden="false" customHeight="false" outlineLevel="0" collapsed="false">
      <c r="F446" s="174"/>
      <c r="H446" s="174"/>
      <c r="I446" s="174"/>
    </row>
    <row r="447" customFormat="false" ht="12.75" hidden="false" customHeight="false" outlineLevel="0" collapsed="false">
      <c r="F447" s="174"/>
      <c r="H447" s="174"/>
      <c r="I447" s="174"/>
    </row>
    <row r="448" customFormat="false" ht="12.75" hidden="false" customHeight="false" outlineLevel="0" collapsed="false">
      <c r="F448" s="174"/>
      <c r="H448" s="174"/>
      <c r="I448" s="174"/>
    </row>
    <row r="449" customFormat="false" ht="12.75" hidden="false" customHeight="false" outlineLevel="0" collapsed="false">
      <c r="F449" s="174"/>
      <c r="H449" s="174"/>
      <c r="I449" s="174"/>
    </row>
    <row r="450" customFormat="false" ht="12.75" hidden="false" customHeight="false" outlineLevel="0" collapsed="false">
      <c r="F450" s="174"/>
      <c r="H450" s="174"/>
      <c r="I450" s="174"/>
    </row>
    <row r="451" customFormat="false" ht="12.75" hidden="false" customHeight="false" outlineLevel="0" collapsed="false">
      <c r="F451" s="174"/>
      <c r="H451" s="174"/>
      <c r="I451" s="174"/>
    </row>
    <row r="452" customFormat="false" ht="12.75" hidden="false" customHeight="false" outlineLevel="0" collapsed="false">
      <c r="F452" s="174"/>
      <c r="H452" s="174"/>
      <c r="I452" s="174"/>
    </row>
    <row r="453" customFormat="false" ht="12.75" hidden="false" customHeight="false" outlineLevel="0" collapsed="false">
      <c r="F453" s="174"/>
      <c r="H453" s="174"/>
      <c r="I453" s="174"/>
    </row>
    <row r="454" customFormat="false" ht="12.75" hidden="false" customHeight="false" outlineLevel="0" collapsed="false">
      <c r="F454" s="174"/>
      <c r="H454" s="174"/>
      <c r="I454" s="174"/>
    </row>
    <row r="455" customFormat="false" ht="12.75" hidden="false" customHeight="false" outlineLevel="0" collapsed="false">
      <c r="F455" s="174"/>
      <c r="H455" s="174"/>
      <c r="I455" s="174"/>
    </row>
    <row r="456" customFormat="false" ht="12.75" hidden="false" customHeight="false" outlineLevel="0" collapsed="false">
      <c r="F456" s="174"/>
      <c r="H456" s="174"/>
      <c r="I456" s="174"/>
    </row>
    <row r="457" customFormat="false" ht="12.75" hidden="false" customHeight="false" outlineLevel="0" collapsed="false">
      <c r="F457" s="174"/>
      <c r="H457" s="174"/>
      <c r="I457" s="174"/>
    </row>
    <row r="458" customFormat="false" ht="12.75" hidden="false" customHeight="false" outlineLevel="0" collapsed="false">
      <c r="F458" s="174"/>
      <c r="H458" s="174"/>
      <c r="I458" s="174"/>
    </row>
    <row r="459" customFormat="false" ht="12.75" hidden="false" customHeight="false" outlineLevel="0" collapsed="false">
      <c r="F459" s="174"/>
      <c r="H459" s="174"/>
      <c r="I459" s="174"/>
    </row>
    <row r="460" customFormat="false" ht="12.75" hidden="false" customHeight="false" outlineLevel="0" collapsed="false">
      <c r="F460" s="174"/>
      <c r="H460" s="174"/>
      <c r="I460" s="174"/>
    </row>
    <row r="461" customFormat="false" ht="12.75" hidden="false" customHeight="false" outlineLevel="0" collapsed="false">
      <c r="F461" s="174"/>
      <c r="H461" s="174"/>
      <c r="I461" s="174"/>
    </row>
    <row r="462" customFormat="false" ht="12.75" hidden="false" customHeight="false" outlineLevel="0" collapsed="false">
      <c r="F462" s="174"/>
      <c r="H462" s="174"/>
      <c r="I462" s="174"/>
    </row>
    <row r="463" customFormat="false" ht="12.75" hidden="false" customHeight="false" outlineLevel="0" collapsed="false">
      <c r="F463" s="174"/>
      <c r="H463" s="174"/>
      <c r="I463" s="174"/>
    </row>
    <row r="464" customFormat="false" ht="12.75" hidden="false" customHeight="false" outlineLevel="0" collapsed="false">
      <c r="F464" s="174"/>
      <c r="H464" s="174"/>
      <c r="I464" s="174"/>
    </row>
    <row r="465" customFormat="false" ht="12.75" hidden="false" customHeight="false" outlineLevel="0" collapsed="false">
      <c r="F465" s="174"/>
      <c r="H465" s="174"/>
      <c r="I465" s="174"/>
    </row>
    <row r="466" customFormat="false" ht="12.75" hidden="false" customHeight="false" outlineLevel="0" collapsed="false">
      <c r="F466" s="174"/>
      <c r="H466" s="174"/>
      <c r="I466" s="174"/>
    </row>
    <row r="467" customFormat="false" ht="12.75" hidden="false" customHeight="false" outlineLevel="0" collapsed="false">
      <c r="F467" s="174"/>
      <c r="H467" s="174"/>
      <c r="I467" s="174"/>
    </row>
    <row r="468" customFormat="false" ht="12.75" hidden="false" customHeight="false" outlineLevel="0" collapsed="false">
      <c r="F468" s="174"/>
      <c r="H468" s="174"/>
      <c r="I468" s="174"/>
    </row>
    <row r="469" customFormat="false" ht="12.75" hidden="false" customHeight="false" outlineLevel="0" collapsed="false">
      <c r="F469" s="174"/>
      <c r="H469" s="174"/>
      <c r="I469" s="174"/>
    </row>
    <row r="470" customFormat="false" ht="12.75" hidden="false" customHeight="false" outlineLevel="0" collapsed="false">
      <c r="F470" s="174"/>
      <c r="H470" s="174"/>
      <c r="I470" s="174"/>
    </row>
    <row r="471" customFormat="false" ht="12.75" hidden="false" customHeight="false" outlineLevel="0" collapsed="false">
      <c r="F471" s="174"/>
      <c r="H471" s="174"/>
      <c r="I471" s="174"/>
    </row>
    <row r="472" customFormat="false" ht="12.75" hidden="false" customHeight="false" outlineLevel="0" collapsed="false">
      <c r="F472" s="174"/>
      <c r="H472" s="174"/>
      <c r="I472" s="174"/>
    </row>
    <row r="473" customFormat="false" ht="12.75" hidden="false" customHeight="false" outlineLevel="0" collapsed="false">
      <c r="F473" s="174"/>
      <c r="H473" s="174"/>
      <c r="I473" s="174"/>
    </row>
    <row r="474" customFormat="false" ht="12.75" hidden="false" customHeight="false" outlineLevel="0" collapsed="false">
      <c r="F474" s="174"/>
      <c r="H474" s="174"/>
      <c r="I474" s="174"/>
    </row>
    <row r="475" customFormat="false" ht="12.75" hidden="false" customHeight="false" outlineLevel="0" collapsed="false">
      <c r="F475" s="174"/>
      <c r="H475" s="174"/>
      <c r="I475" s="174"/>
    </row>
    <row r="476" customFormat="false" ht="12.75" hidden="false" customHeight="false" outlineLevel="0" collapsed="false">
      <c r="F476" s="174"/>
      <c r="H476" s="174"/>
      <c r="I476" s="174"/>
    </row>
    <row r="477" customFormat="false" ht="12.75" hidden="false" customHeight="false" outlineLevel="0" collapsed="false">
      <c r="F477" s="174"/>
      <c r="H477" s="174"/>
      <c r="I477" s="174"/>
    </row>
    <row r="478" customFormat="false" ht="12.75" hidden="false" customHeight="false" outlineLevel="0" collapsed="false">
      <c r="F478" s="174"/>
      <c r="H478" s="174"/>
      <c r="I478" s="174"/>
    </row>
    <row r="479" customFormat="false" ht="12.75" hidden="false" customHeight="false" outlineLevel="0" collapsed="false">
      <c r="F479" s="174"/>
      <c r="H479" s="174"/>
      <c r="I479" s="174"/>
    </row>
    <row r="480" customFormat="false" ht="12.75" hidden="false" customHeight="false" outlineLevel="0" collapsed="false">
      <c r="F480" s="174"/>
      <c r="H480" s="174"/>
      <c r="I480" s="174"/>
    </row>
    <row r="481" customFormat="false" ht="12.75" hidden="false" customHeight="false" outlineLevel="0" collapsed="false">
      <c r="F481" s="174"/>
      <c r="H481" s="174"/>
      <c r="I481" s="174"/>
    </row>
    <row r="482" customFormat="false" ht="12.75" hidden="false" customHeight="false" outlineLevel="0" collapsed="false">
      <c r="F482" s="174"/>
      <c r="H482" s="174"/>
      <c r="I482" s="174"/>
    </row>
    <row r="483" customFormat="false" ht="12.75" hidden="false" customHeight="false" outlineLevel="0" collapsed="false">
      <c r="F483" s="174"/>
      <c r="H483" s="174"/>
      <c r="I483" s="174"/>
    </row>
    <row r="484" customFormat="false" ht="12.75" hidden="false" customHeight="false" outlineLevel="0" collapsed="false">
      <c r="F484" s="174"/>
      <c r="H484" s="174"/>
      <c r="I484" s="174"/>
    </row>
    <row r="485" customFormat="false" ht="12.75" hidden="false" customHeight="false" outlineLevel="0" collapsed="false">
      <c r="F485" s="174"/>
      <c r="H485" s="174"/>
      <c r="I485" s="174"/>
    </row>
    <row r="486" customFormat="false" ht="12.75" hidden="false" customHeight="false" outlineLevel="0" collapsed="false">
      <c r="F486" s="174"/>
      <c r="H486" s="174"/>
      <c r="I486" s="174"/>
    </row>
    <row r="487" customFormat="false" ht="12.75" hidden="false" customHeight="false" outlineLevel="0" collapsed="false">
      <c r="F487" s="174"/>
      <c r="H487" s="174"/>
      <c r="I487" s="174"/>
    </row>
    <row r="488" customFormat="false" ht="12.75" hidden="false" customHeight="false" outlineLevel="0" collapsed="false">
      <c r="F488" s="174"/>
      <c r="H488" s="174"/>
      <c r="I488" s="174"/>
    </row>
    <row r="489" customFormat="false" ht="12.75" hidden="false" customHeight="false" outlineLevel="0" collapsed="false">
      <c r="F489" s="174"/>
      <c r="H489" s="174"/>
      <c r="I489" s="174"/>
    </row>
    <row r="490" customFormat="false" ht="12.75" hidden="false" customHeight="false" outlineLevel="0" collapsed="false">
      <c r="F490" s="174"/>
      <c r="H490" s="174"/>
      <c r="I490" s="174"/>
    </row>
    <row r="491" customFormat="false" ht="12.75" hidden="false" customHeight="false" outlineLevel="0" collapsed="false">
      <c r="F491" s="174"/>
      <c r="H491" s="174"/>
      <c r="I491" s="174"/>
    </row>
    <row r="492" customFormat="false" ht="12.75" hidden="false" customHeight="false" outlineLevel="0" collapsed="false">
      <c r="F492" s="174"/>
      <c r="H492" s="174"/>
      <c r="I492" s="174"/>
    </row>
    <row r="493" customFormat="false" ht="12.75" hidden="false" customHeight="false" outlineLevel="0" collapsed="false">
      <c r="F493" s="174"/>
      <c r="H493" s="174"/>
      <c r="I493" s="174"/>
    </row>
    <row r="494" customFormat="false" ht="12.75" hidden="false" customHeight="false" outlineLevel="0" collapsed="false">
      <c r="F494" s="174"/>
      <c r="H494" s="174"/>
      <c r="I494" s="174"/>
    </row>
    <row r="495" customFormat="false" ht="12.75" hidden="false" customHeight="false" outlineLevel="0" collapsed="false">
      <c r="F495" s="174"/>
      <c r="H495" s="174"/>
      <c r="I495" s="174"/>
    </row>
    <row r="496" customFormat="false" ht="12.75" hidden="false" customHeight="false" outlineLevel="0" collapsed="false">
      <c r="F496" s="174"/>
      <c r="H496" s="174"/>
      <c r="I496" s="174"/>
    </row>
    <row r="497" customFormat="false" ht="12.75" hidden="false" customHeight="false" outlineLevel="0" collapsed="false">
      <c r="F497" s="174"/>
      <c r="H497" s="174"/>
      <c r="I497" s="174"/>
    </row>
    <row r="498" customFormat="false" ht="12.75" hidden="false" customHeight="false" outlineLevel="0" collapsed="false">
      <c r="F498" s="174"/>
      <c r="H498" s="174"/>
      <c r="I498" s="174"/>
    </row>
    <row r="499" customFormat="false" ht="12.75" hidden="false" customHeight="false" outlineLevel="0" collapsed="false">
      <c r="F499" s="174"/>
      <c r="H499" s="174"/>
      <c r="I499" s="174"/>
    </row>
    <row r="500" customFormat="false" ht="12.75" hidden="false" customHeight="false" outlineLevel="0" collapsed="false">
      <c r="F500" s="174"/>
      <c r="H500" s="174"/>
      <c r="I500" s="174"/>
    </row>
    <row r="501" customFormat="false" ht="12.75" hidden="false" customHeight="false" outlineLevel="0" collapsed="false">
      <c r="F501" s="174"/>
      <c r="H501" s="174"/>
      <c r="I501" s="174"/>
    </row>
    <row r="502" customFormat="false" ht="12.75" hidden="false" customHeight="false" outlineLevel="0" collapsed="false">
      <c r="F502" s="174"/>
      <c r="H502" s="174"/>
      <c r="I502" s="174"/>
    </row>
    <row r="503" customFormat="false" ht="12.75" hidden="false" customHeight="false" outlineLevel="0" collapsed="false">
      <c r="F503" s="174"/>
      <c r="H503" s="174"/>
      <c r="I503" s="174"/>
    </row>
    <row r="504" customFormat="false" ht="12.75" hidden="false" customHeight="false" outlineLevel="0" collapsed="false">
      <c r="F504" s="174"/>
      <c r="H504" s="174"/>
      <c r="I504" s="174"/>
    </row>
    <row r="505" customFormat="false" ht="12.75" hidden="false" customHeight="false" outlineLevel="0" collapsed="false">
      <c r="F505" s="174"/>
      <c r="H505" s="174"/>
      <c r="I505" s="174"/>
    </row>
    <row r="506" customFormat="false" ht="12.75" hidden="false" customHeight="false" outlineLevel="0" collapsed="false">
      <c r="F506" s="174"/>
      <c r="H506" s="174"/>
      <c r="I506" s="174"/>
    </row>
    <row r="507" customFormat="false" ht="12.75" hidden="false" customHeight="false" outlineLevel="0" collapsed="false">
      <c r="F507" s="174"/>
      <c r="H507" s="174"/>
      <c r="I507" s="174"/>
    </row>
    <row r="508" customFormat="false" ht="12.75" hidden="false" customHeight="false" outlineLevel="0" collapsed="false">
      <c r="F508" s="174"/>
      <c r="H508" s="174"/>
      <c r="I508" s="174"/>
    </row>
    <row r="509" customFormat="false" ht="12.75" hidden="false" customHeight="false" outlineLevel="0" collapsed="false">
      <c r="F509" s="174"/>
      <c r="H509" s="174"/>
      <c r="I509" s="174"/>
    </row>
    <row r="510" customFormat="false" ht="12.75" hidden="false" customHeight="false" outlineLevel="0" collapsed="false">
      <c r="F510" s="174"/>
      <c r="H510" s="174"/>
      <c r="I510" s="174"/>
    </row>
    <row r="511" customFormat="false" ht="12.75" hidden="false" customHeight="false" outlineLevel="0" collapsed="false">
      <c r="F511" s="174"/>
      <c r="H511" s="174"/>
      <c r="I511" s="174"/>
    </row>
    <row r="512" customFormat="false" ht="12.75" hidden="false" customHeight="false" outlineLevel="0" collapsed="false">
      <c r="F512" s="174"/>
      <c r="H512" s="174"/>
      <c r="I512" s="174"/>
    </row>
    <row r="513" customFormat="false" ht="12.75" hidden="false" customHeight="false" outlineLevel="0" collapsed="false">
      <c r="F513" s="174"/>
      <c r="H513" s="174"/>
      <c r="I513" s="174"/>
    </row>
    <row r="514" customFormat="false" ht="12.75" hidden="false" customHeight="false" outlineLevel="0" collapsed="false">
      <c r="F514" s="174"/>
      <c r="H514" s="174"/>
      <c r="I514" s="174"/>
    </row>
    <row r="515" customFormat="false" ht="12.75" hidden="false" customHeight="false" outlineLevel="0" collapsed="false">
      <c r="F515" s="174"/>
      <c r="H515" s="174"/>
      <c r="I515" s="174"/>
    </row>
    <row r="516" customFormat="false" ht="12.75" hidden="false" customHeight="false" outlineLevel="0" collapsed="false">
      <c r="F516" s="174"/>
      <c r="H516" s="174"/>
      <c r="I516" s="174"/>
    </row>
    <row r="517" customFormat="false" ht="12.75" hidden="false" customHeight="false" outlineLevel="0" collapsed="false">
      <c r="F517" s="174"/>
      <c r="H517" s="174"/>
      <c r="I517" s="174"/>
    </row>
    <row r="518" customFormat="false" ht="12.75" hidden="false" customHeight="false" outlineLevel="0" collapsed="false">
      <c r="F518" s="174"/>
      <c r="H518" s="174"/>
      <c r="I518" s="174"/>
    </row>
    <row r="519" customFormat="false" ht="12.75" hidden="false" customHeight="false" outlineLevel="0" collapsed="false">
      <c r="F519" s="174"/>
      <c r="H519" s="174"/>
      <c r="I519" s="174"/>
    </row>
    <row r="520" customFormat="false" ht="12.75" hidden="false" customHeight="false" outlineLevel="0" collapsed="false">
      <c r="F520" s="174"/>
      <c r="H520" s="174"/>
      <c r="I520" s="174"/>
    </row>
    <row r="521" customFormat="false" ht="12.75" hidden="false" customHeight="false" outlineLevel="0" collapsed="false">
      <c r="F521" s="174"/>
      <c r="H521" s="174"/>
      <c r="I521" s="174"/>
    </row>
    <row r="522" customFormat="false" ht="12.75" hidden="false" customHeight="false" outlineLevel="0" collapsed="false">
      <c r="F522" s="174"/>
      <c r="H522" s="174"/>
      <c r="I522" s="174"/>
    </row>
    <row r="523" customFormat="false" ht="12.75" hidden="false" customHeight="false" outlineLevel="0" collapsed="false">
      <c r="F523" s="174"/>
      <c r="H523" s="174"/>
      <c r="I523" s="174"/>
    </row>
    <row r="524" customFormat="false" ht="12.75" hidden="false" customHeight="false" outlineLevel="0" collapsed="false">
      <c r="F524" s="174"/>
      <c r="H524" s="174"/>
      <c r="I524" s="174"/>
    </row>
    <row r="525" customFormat="false" ht="12.75" hidden="false" customHeight="false" outlineLevel="0" collapsed="false">
      <c r="F525" s="174"/>
      <c r="H525" s="174"/>
      <c r="I525" s="174"/>
    </row>
    <row r="526" customFormat="false" ht="12.75" hidden="false" customHeight="false" outlineLevel="0" collapsed="false">
      <c r="F526" s="174"/>
      <c r="H526" s="174"/>
      <c r="I526" s="174"/>
    </row>
    <row r="527" customFormat="false" ht="12.75" hidden="false" customHeight="false" outlineLevel="0" collapsed="false">
      <c r="F527" s="174"/>
      <c r="H527" s="174"/>
      <c r="I527" s="174"/>
    </row>
    <row r="528" customFormat="false" ht="12.75" hidden="false" customHeight="false" outlineLevel="0" collapsed="false">
      <c r="F528" s="174"/>
      <c r="H528" s="174"/>
      <c r="I528" s="174"/>
    </row>
    <row r="529" customFormat="false" ht="12.75" hidden="false" customHeight="false" outlineLevel="0" collapsed="false">
      <c r="F529" s="174"/>
      <c r="H529" s="174"/>
      <c r="I529" s="174"/>
    </row>
    <row r="530" customFormat="false" ht="12.75" hidden="false" customHeight="false" outlineLevel="0" collapsed="false">
      <c r="F530" s="174"/>
      <c r="H530" s="174"/>
      <c r="I530" s="174"/>
    </row>
    <row r="531" customFormat="false" ht="12.75" hidden="false" customHeight="false" outlineLevel="0" collapsed="false">
      <c r="F531" s="174"/>
      <c r="H531" s="174"/>
      <c r="I531" s="174"/>
    </row>
    <row r="532" customFormat="false" ht="12.75" hidden="false" customHeight="false" outlineLevel="0" collapsed="false">
      <c r="F532" s="174"/>
      <c r="H532" s="174"/>
      <c r="I532" s="174"/>
    </row>
    <row r="533" customFormat="false" ht="12.75" hidden="false" customHeight="false" outlineLevel="0" collapsed="false">
      <c r="F533" s="174"/>
      <c r="H533" s="174"/>
      <c r="I533" s="174"/>
    </row>
    <row r="534" customFormat="false" ht="12.75" hidden="false" customHeight="false" outlineLevel="0" collapsed="false">
      <c r="F534" s="174"/>
      <c r="H534" s="174"/>
      <c r="I534" s="174"/>
    </row>
    <row r="535" customFormat="false" ht="12.75" hidden="false" customHeight="false" outlineLevel="0" collapsed="false">
      <c r="F535" s="174"/>
      <c r="H535" s="174"/>
      <c r="I535" s="174"/>
    </row>
    <row r="536" customFormat="false" ht="12.75" hidden="false" customHeight="false" outlineLevel="0" collapsed="false">
      <c r="F536" s="174"/>
      <c r="H536" s="174"/>
      <c r="I536" s="174"/>
    </row>
    <row r="537" customFormat="false" ht="12.75" hidden="false" customHeight="false" outlineLevel="0" collapsed="false">
      <c r="F537" s="174"/>
      <c r="H537" s="174"/>
      <c r="I537" s="174"/>
    </row>
    <row r="538" customFormat="false" ht="12.75" hidden="false" customHeight="false" outlineLevel="0" collapsed="false">
      <c r="F538" s="174"/>
      <c r="H538" s="174"/>
      <c r="I538" s="174"/>
    </row>
    <row r="539" customFormat="false" ht="12.75" hidden="false" customHeight="false" outlineLevel="0" collapsed="false">
      <c r="F539" s="174"/>
      <c r="H539" s="174"/>
      <c r="I539" s="174"/>
    </row>
    <row r="540" customFormat="false" ht="12.75" hidden="false" customHeight="false" outlineLevel="0" collapsed="false">
      <c r="F540" s="174"/>
      <c r="H540" s="174"/>
      <c r="I540" s="174"/>
    </row>
    <row r="541" customFormat="false" ht="12.75" hidden="false" customHeight="false" outlineLevel="0" collapsed="false">
      <c r="F541" s="174"/>
      <c r="H541" s="174"/>
      <c r="I541" s="174"/>
    </row>
    <row r="542" customFormat="false" ht="12.75" hidden="false" customHeight="false" outlineLevel="0" collapsed="false">
      <c r="F542" s="174"/>
      <c r="H542" s="174"/>
      <c r="I542" s="174"/>
    </row>
    <row r="543" customFormat="false" ht="12.75" hidden="false" customHeight="false" outlineLevel="0" collapsed="false">
      <c r="F543" s="174"/>
      <c r="H543" s="174"/>
      <c r="I543" s="174"/>
    </row>
    <row r="544" customFormat="false" ht="12.75" hidden="false" customHeight="false" outlineLevel="0" collapsed="false">
      <c r="F544" s="174"/>
      <c r="H544" s="174"/>
      <c r="I544" s="174"/>
    </row>
    <row r="545" customFormat="false" ht="12.75" hidden="false" customHeight="false" outlineLevel="0" collapsed="false">
      <c r="F545" s="174"/>
      <c r="H545" s="174"/>
      <c r="I545" s="174"/>
    </row>
    <row r="546" customFormat="false" ht="12.75" hidden="false" customHeight="false" outlineLevel="0" collapsed="false">
      <c r="F546" s="174"/>
      <c r="H546" s="174"/>
      <c r="I546" s="174"/>
    </row>
    <row r="547" customFormat="false" ht="12.75" hidden="false" customHeight="false" outlineLevel="0" collapsed="false">
      <c r="F547" s="174"/>
      <c r="H547" s="174"/>
      <c r="I547" s="174"/>
    </row>
    <row r="548" customFormat="false" ht="12.75" hidden="false" customHeight="false" outlineLevel="0" collapsed="false">
      <c r="F548" s="174"/>
      <c r="H548" s="174"/>
      <c r="I548" s="174"/>
    </row>
    <row r="549" customFormat="false" ht="12.75" hidden="false" customHeight="false" outlineLevel="0" collapsed="false">
      <c r="F549" s="174"/>
      <c r="H549" s="174"/>
      <c r="I549" s="174"/>
    </row>
    <row r="550" customFormat="false" ht="12.75" hidden="false" customHeight="false" outlineLevel="0" collapsed="false">
      <c r="F550" s="174"/>
      <c r="H550" s="174"/>
      <c r="I550" s="174"/>
    </row>
    <row r="551" customFormat="false" ht="12.75" hidden="false" customHeight="false" outlineLevel="0" collapsed="false">
      <c r="F551" s="174"/>
      <c r="H551" s="174"/>
      <c r="I551" s="174"/>
    </row>
    <row r="552" customFormat="false" ht="12.75" hidden="false" customHeight="false" outlineLevel="0" collapsed="false">
      <c r="F552" s="174"/>
      <c r="H552" s="174"/>
      <c r="I552" s="174"/>
    </row>
    <row r="553" customFormat="false" ht="12.75" hidden="false" customHeight="false" outlineLevel="0" collapsed="false">
      <c r="F553" s="174"/>
      <c r="H553" s="174"/>
      <c r="I553" s="174"/>
    </row>
    <row r="554" customFormat="false" ht="12.75" hidden="false" customHeight="false" outlineLevel="0" collapsed="false">
      <c r="F554" s="174"/>
      <c r="H554" s="174"/>
      <c r="I554" s="174"/>
    </row>
    <row r="555" customFormat="false" ht="12.75" hidden="false" customHeight="false" outlineLevel="0" collapsed="false">
      <c r="F555" s="174"/>
      <c r="H555" s="174"/>
      <c r="I555" s="174"/>
    </row>
    <row r="556" customFormat="false" ht="12.75" hidden="false" customHeight="false" outlineLevel="0" collapsed="false">
      <c r="F556" s="174"/>
      <c r="H556" s="174"/>
      <c r="I556" s="174"/>
    </row>
    <row r="557" customFormat="false" ht="12.75" hidden="false" customHeight="false" outlineLevel="0" collapsed="false">
      <c r="F557" s="174"/>
      <c r="H557" s="174"/>
      <c r="I557" s="174"/>
    </row>
    <row r="558" customFormat="false" ht="12.75" hidden="false" customHeight="false" outlineLevel="0" collapsed="false">
      <c r="F558" s="174"/>
      <c r="H558" s="174"/>
      <c r="I558" s="174"/>
    </row>
    <row r="559" customFormat="false" ht="12.75" hidden="false" customHeight="false" outlineLevel="0" collapsed="false">
      <c r="F559" s="174"/>
      <c r="H559" s="174"/>
      <c r="I559" s="174"/>
    </row>
    <row r="560" customFormat="false" ht="12.75" hidden="false" customHeight="false" outlineLevel="0" collapsed="false">
      <c r="F560" s="174"/>
      <c r="H560" s="174"/>
      <c r="I560" s="174"/>
    </row>
    <row r="561" customFormat="false" ht="12.75" hidden="false" customHeight="false" outlineLevel="0" collapsed="false">
      <c r="F561" s="174"/>
      <c r="H561" s="174"/>
      <c r="I561" s="174"/>
    </row>
    <row r="562" customFormat="false" ht="12.75" hidden="false" customHeight="false" outlineLevel="0" collapsed="false">
      <c r="F562" s="174"/>
      <c r="H562" s="174"/>
      <c r="I562" s="174"/>
    </row>
    <row r="563" customFormat="false" ht="12.75" hidden="false" customHeight="false" outlineLevel="0" collapsed="false">
      <c r="F563" s="174"/>
      <c r="H563" s="174"/>
      <c r="I563" s="174"/>
    </row>
    <row r="564" customFormat="false" ht="12.75" hidden="false" customHeight="false" outlineLevel="0" collapsed="false">
      <c r="F564" s="174"/>
      <c r="H564" s="174"/>
      <c r="I564" s="174"/>
    </row>
    <row r="565" customFormat="false" ht="12.75" hidden="false" customHeight="false" outlineLevel="0" collapsed="false">
      <c r="F565" s="174"/>
      <c r="H565" s="174"/>
      <c r="I565" s="174"/>
    </row>
    <row r="566" customFormat="false" ht="12.75" hidden="false" customHeight="false" outlineLevel="0" collapsed="false">
      <c r="F566" s="174"/>
      <c r="H566" s="174"/>
      <c r="I566" s="174"/>
    </row>
    <row r="567" customFormat="false" ht="12.75" hidden="false" customHeight="false" outlineLevel="0" collapsed="false">
      <c r="F567" s="174"/>
      <c r="H567" s="174"/>
      <c r="I567" s="174"/>
    </row>
    <row r="568" customFormat="false" ht="12.75" hidden="false" customHeight="false" outlineLevel="0" collapsed="false">
      <c r="F568" s="174"/>
      <c r="H568" s="174"/>
      <c r="I568" s="174"/>
    </row>
    <row r="569" customFormat="false" ht="12.75" hidden="false" customHeight="false" outlineLevel="0" collapsed="false">
      <c r="F569" s="174"/>
      <c r="H569" s="174"/>
      <c r="I569" s="174"/>
    </row>
    <row r="570" customFormat="false" ht="12.75" hidden="false" customHeight="false" outlineLevel="0" collapsed="false">
      <c r="F570" s="174"/>
      <c r="H570" s="174"/>
      <c r="I570" s="174"/>
    </row>
    <row r="571" customFormat="false" ht="12.75" hidden="false" customHeight="false" outlineLevel="0" collapsed="false">
      <c r="F571" s="174"/>
      <c r="H571" s="174"/>
      <c r="I571" s="174"/>
    </row>
    <row r="572" customFormat="false" ht="12.75" hidden="false" customHeight="false" outlineLevel="0" collapsed="false">
      <c r="F572" s="174"/>
      <c r="H572" s="174"/>
      <c r="I572" s="174"/>
    </row>
    <row r="573" customFormat="false" ht="12.75" hidden="false" customHeight="false" outlineLevel="0" collapsed="false">
      <c r="F573" s="174"/>
      <c r="H573" s="174"/>
      <c r="I573" s="174"/>
    </row>
    <row r="574" customFormat="false" ht="12.75" hidden="false" customHeight="false" outlineLevel="0" collapsed="false">
      <c r="F574" s="174"/>
      <c r="H574" s="174"/>
      <c r="I574" s="174"/>
    </row>
    <row r="575" customFormat="false" ht="12.75" hidden="false" customHeight="false" outlineLevel="0" collapsed="false">
      <c r="F575" s="174"/>
      <c r="H575" s="174"/>
      <c r="I575" s="174"/>
    </row>
    <row r="576" customFormat="false" ht="12.75" hidden="false" customHeight="false" outlineLevel="0" collapsed="false">
      <c r="F576" s="174"/>
      <c r="H576" s="174"/>
      <c r="I576" s="174"/>
    </row>
    <row r="577" customFormat="false" ht="12.75" hidden="false" customHeight="false" outlineLevel="0" collapsed="false">
      <c r="F577" s="174"/>
      <c r="H577" s="174"/>
      <c r="I577" s="174"/>
    </row>
    <row r="578" customFormat="false" ht="12.75" hidden="false" customHeight="false" outlineLevel="0" collapsed="false">
      <c r="F578" s="174"/>
      <c r="H578" s="174"/>
      <c r="I578" s="174"/>
    </row>
    <row r="579" customFormat="false" ht="12.75" hidden="false" customHeight="false" outlineLevel="0" collapsed="false">
      <c r="F579" s="174"/>
      <c r="H579" s="174"/>
      <c r="I579" s="174"/>
    </row>
    <row r="580" customFormat="false" ht="12.75" hidden="false" customHeight="false" outlineLevel="0" collapsed="false">
      <c r="F580" s="174"/>
      <c r="H580" s="174"/>
      <c r="I580" s="174"/>
    </row>
    <row r="581" customFormat="false" ht="12.75" hidden="false" customHeight="false" outlineLevel="0" collapsed="false">
      <c r="F581" s="174"/>
      <c r="H581" s="174"/>
      <c r="I581" s="174"/>
    </row>
    <row r="582" customFormat="false" ht="12.75" hidden="false" customHeight="false" outlineLevel="0" collapsed="false">
      <c r="F582" s="174"/>
      <c r="H582" s="174"/>
      <c r="I582" s="174"/>
    </row>
    <row r="583" customFormat="false" ht="12.75" hidden="false" customHeight="false" outlineLevel="0" collapsed="false">
      <c r="F583" s="174"/>
      <c r="H583" s="174"/>
      <c r="I583" s="174"/>
    </row>
    <row r="584" customFormat="false" ht="12.75" hidden="false" customHeight="false" outlineLevel="0" collapsed="false">
      <c r="F584" s="174"/>
      <c r="H584" s="174"/>
      <c r="I584" s="174"/>
    </row>
    <row r="585" customFormat="false" ht="12.75" hidden="false" customHeight="false" outlineLevel="0" collapsed="false">
      <c r="F585" s="174"/>
      <c r="H585" s="174"/>
      <c r="I585" s="174"/>
    </row>
    <row r="586" customFormat="false" ht="12.75" hidden="false" customHeight="false" outlineLevel="0" collapsed="false">
      <c r="F586" s="174"/>
      <c r="H586" s="174"/>
      <c r="I586" s="174"/>
    </row>
    <row r="587" customFormat="false" ht="12.75" hidden="false" customHeight="false" outlineLevel="0" collapsed="false">
      <c r="H587" s="174"/>
      <c r="I587" s="174"/>
    </row>
    <row r="588" customFormat="false" ht="12.75" hidden="false" customHeight="false" outlineLevel="0" collapsed="false">
      <c r="H588" s="174"/>
      <c r="I588" s="174"/>
    </row>
    <row r="589" customFormat="false" ht="12.75" hidden="false" customHeight="false" outlineLevel="0" collapsed="false">
      <c r="H589" s="174"/>
      <c r="I589" s="174"/>
    </row>
    <row r="590" customFormat="false" ht="12.75" hidden="false" customHeight="false" outlineLevel="0" collapsed="false">
      <c r="H590" s="174"/>
      <c r="I590" s="174"/>
    </row>
    <row r="591" customFormat="false" ht="12.75" hidden="false" customHeight="false" outlineLevel="0" collapsed="false">
      <c r="H591" s="174"/>
      <c r="I591" s="174"/>
    </row>
    <row r="592" customFormat="false" ht="12.75" hidden="false" customHeight="false" outlineLevel="0" collapsed="false">
      <c r="H592" s="174"/>
      <c r="I592" s="174"/>
    </row>
    <row r="593" customFormat="false" ht="12.75" hidden="false" customHeight="false" outlineLevel="0" collapsed="false">
      <c r="H593" s="174"/>
      <c r="I593" s="174"/>
    </row>
    <row r="594" customFormat="false" ht="12.75" hidden="false" customHeight="false" outlineLevel="0" collapsed="false">
      <c r="H594" s="174"/>
      <c r="I594" s="174"/>
    </row>
    <row r="595" customFormat="false" ht="12.75" hidden="false" customHeight="false" outlineLevel="0" collapsed="false">
      <c r="H595" s="174"/>
      <c r="I595" s="174"/>
    </row>
    <row r="596" customFormat="false" ht="12.75" hidden="false" customHeight="false" outlineLevel="0" collapsed="false">
      <c r="H596" s="174"/>
      <c r="I596" s="174"/>
    </row>
    <row r="597" customFormat="false" ht="12.75" hidden="false" customHeight="false" outlineLevel="0" collapsed="false">
      <c r="H597" s="174"/>
      <c r="I597" s="174"/>
    </row>
    <row r="598" customFormat="false" ht="12.75" hidden="false" customHeight="false" outlineLevel="0" collapsed="false">
      <c r="H598" s="174"/>
      <c r="I598" s="174"/>
    </row>
    <row r="599" customFormat="false" ht="12.75" hidden="false" customHeight="false" outlineLevel="0" collapsed="false">
      <c r="H599" s="174"/>
      <c r="I599" s="174"/>
    </row>
    <row r="600" customFormat="false" ht="12.75" hidden="false" customHeight="false" outlineLevel="0" collapsed="false">
      <c r="H600" s="174"/>
      <c r="I600" s="174"/>
    </row>
    <row r="601" customFormat="false" ht="12.75" hidden="false" customHeight="false" outlineLevel="0" collapsed="false">
      <c r="H601" s="174"/>
      <c r="I601" s="174"/>
    </row>
    <row r="602" customFormat="false" ht="12.75" hidden="false" customHeight="false" outlineLevel="0" collapsed="false">
      <c r="H602" s="174"/>
      <c r="I602" s="174"/>
    </row>
    <row r="603" customFormat="false" ht="12.75" hidden="false" customHeight="false" outlineLevel="0" collapsed="false">
      <c r="H603" s="174"/>
      <c r="I603" s="174"/>
    </row>
    <row r="604" customFormat="false" ht="12.75" hidden="false" customHeight="false" outlineLevel="0" collapsed="false">
      <c r="H604" s="174"/>
      <c r="I604" s="174"/>
    </row>
    <row r="605" customFormat="false" ht="12.75" hidden="false" customHeight="false" outlineLevel="0" collapsed="false">
      <c r="H605" s="174"/>
      <c r="I605" s="174"/>
    </row>
    <row r="606" customFormat="false" ht="12.75" hidden="false" customHeight="false" outlineLevel="0" collapsed="false">
      <c r="H606" s="174"/>
      <c r="I606" s="174"/>
    </row>
    <row r="607" customFormat="false" ht="12.75" hidden="false" customHeight="false" outlineLevel="0" collapsed="false">
      <c r="H607" s="174"/>
      <c r="I607" s="174"/>
    </row>
    <row r="608" customFormat="false" ht="12.75" hidden="false" customHeight="false" outlineLevel="0" collapsed="false">
      <c r="H608" s="174"/>
      <c r="I608" s="174"/>
    </row>
    <row r="609" customFormat="false" ht="12.75" hidden="false" customHeight="false" outlineLevel="0" collapsed="false">
      <c r="H609" s="174"/>
      <c r="I609" s="174"/>
    </row>
    <row r="610" customFormat="false" ht="12.75" hidden="false" customHeight="false" outlineLevel="0" collapsed="false">
      <c r="H610" s="174"/>
      <c r="I610" s="174"/>
    </row>
    <row r="611" customFormat="false" ht="12.75" hidden="false" customHeight="false" outlineLevel="0" collapsed="false">
      <c r="H611" s="174"/>
      <c r="I611" s="174"/>
    </row>
    <row r="612" customFormat="false" ht="12.75" hidden="false" customHeight="false" outlineLevel="0" collapsed="false">
      <c r="H612" s="174"/>
      <c r="I612" s="174"/>
    </row>
    <row r="613" customFormat="false" ht="12.75" hidden="false" customHeight="false" outlineLevel="0" collapsed="false">
      <c r="H613" s="174"/>
      <c r="I613" s="174"/>
    </row>
    <row r="614" customFormat="false" ht="12.75" hidden="false" customHeight="false" outlineLevel="0" collapsed="false">
      <c r="H614" s="174"/>
      <c r="I614" s="174"/>
    </row>
    <row r="615" customFormat="false" ht="12.75" hidden="false" customHeight="false" outlineLevel="0" collapsed="false">
      <c r="H615" s="174"/>
      <c r="I615" s="174"/>
    </row>
    <row r="616" customFormat="false" ht="12.75" hidden="false" customHeight="false" outlineLevel="0" collapsed="false">
      <c r="H616" s="174"/>
      <c r="I616" s="174"/>
    </row>
    <row r="617" customFormat="false" ht="12.75" hidden="false" customHeight="false" outlineLevel="0" collapsed="false">
      <c r="H617" s="174"/>
      <c r="I617" s="174"/>
    </row>
    <row r="618" customFormat="false" ht="12.75" hidden="false" customHeight="false" outlineLevel="0" collapsed="false">
      <c r="H618" s="174"/>
      <c r="I618" s="174"/>
    </row>
    <row r="619" customFormat="false" ht="12.75" hidden="false" customHeight="false" outlineLevel="0" collapsed="false">
      <c r="H619" s="174"/>
      <c r="I619" s="174"/>
    </row>
    <row r="620" customFormat="false" ht="12.75" hidden="false" customHeight="false" outlineLevel="0" collapsed="false">
      <c r="H620" s="174"/>
      <c r="I620" s="174"/>
    </row>
    <row r="621" customFormat="false" ht="12.75" hidden="false" customHeight="false" outlineLevel="0" collapsed="false">
      <c r="H621" s="174"/>
      <c r="I621" s="174"/>
    </row>
    <row r="622" customFormat="false" ht="12.75" hidden="false" customHeight="false" outlineLevel="0" collapsed="false">
      <c r="H622" s="174"/>
      <c r="I622" s="174"/>
    </row>
    <row r="623" customFormat="false" ht="12.75" hidden="false" customHeight="false" outlineLevel="0" collapsed="false">
      <c r="H623" s="174"/>
      <c r="I623" s="174"/>
    </row>
    <row r="624" customFormat="false" ht="12.75" hidden="false" customHeight="false" outlineLevel="0" collapsed="false">
      <c r="H624" s="174"/>
      <c r="I624" s="174"/>
    </row>
    <row r="625" customFormat="false" ht="12.75" hidden="false" customHeight="false" outlineLevel="0" collapsed="false">
      <c r="H625" s="174"/>
      <c r="I625" s="174"/>
    </row>
    <row r="626" customFormat="false" ht="12.75" hidden="false" customHeight="false" outlineLevel="0" collapsed="false">
      <c r="H626" s="174"/>
      <c r="I626" s="174"/>
    </row>
    <row r="627" customFormat="false" ht="12.75" hidden="false" customHeight="false" outlineLevel="0" collapsed="false">
      <c r="H627" s="174"/>
      <c r="I627" s="174"/>
    </row>
    <row r="628" customFormat="false" ht="12.75" hidden="false" customHeight="false" outlineLevel="0" collapsed="false">
      <c r="H628" s="174"/>
      <c r="I628" s="174"/>
    </row>
    <row r="629" customFormat="false" ht="12.75" hidden="false" customHeight="false" outlineLevel="0" collapsed="false">
      <c r="H629" s="174"/>
      <c r="I629" s="174"/>
    </row>
    <row r="630" customFormat="false" ht="12.75" hidden="false" customHeight="false" outlineLevel="0" collapsed="false">
      <c r="H630" s="174"/>
      <c r="I630" s="174"/>
    </row>
    <row r="631" customFormat="false" ht="12.75" hidden="false" customHeight="false" outlineLevel="0" collapsed="false">
      <c r="H631" s="174"/>
      <c r="I631" s="174"/>
    </row>
    <row r="632" customFormat="false" ht="12.75" hidden="false" customHeight="false" outlineLevel="0" collapsed="false">
      <c r="H632" s="174"/>
      <c r="I632" s="174"/>
    </row>
    <row r="633" customFormat="false" ht="12.75" hidden="false" customHeight="false" outlineLevel="0" collapsed="false">
      <c r="H633" s="174"/>
      <c r="I633" s="174"/>
    </row>
    <row r="634" customFormat="false" ht="12.75" hidden="false" customHeight="false" outlineLevel="0" collapsed="false">
      <c r="H634" s="174"/>
      <c r="I634" s="174"/>
    </row>
    <row r="635" customFormat="false" ht="12.75" hidden="false" customHeight="false" outlineLevel="0" collapsed="false">
      <c r="H635" s="174"/>
      <c r="I635" s="174"/>
    </row>
    <row r="636" customFormat="false" ht="12.75" hidden="false" customHeight="false" outlineLevel="0" collapsed="false">
      <c r="H636" s="174"/>
      <c r="I636" s="174"/>
    </row>
    <row r="637" customFormat="false" ht="12.75" hidden="false" customHeight="false" outlineLevel="0" collapsed="false">
      <c r="H637" s="174"/>
      <c r="I637" s="174"/>
    </row>
    <row r="638" customFormat="false" ht="12.75" hidden="false" customHeight="false" outlineLevel="0" collapsed="false">
      <c r="H638" s="174"/>
      <c r="I638" s="174"/>
    </row>
    <row r="639" customFormat="false" ht="12.75" hidden="false" customHeight="false" outlineLevel="0" collapsed="false">
      <c r="H639" s="174"/>
      <c r="I639" s="174"/>
    </row>
    <row r="640" customFormat="false" ht="12.75" hidden="false" customHeight="false" outlineLevel="0" collapsed="false">
      <c r="H640" s="174"/>
      <c r="I640" s="174"/>
    </row>
    <row r="641" customFormat="false" ht="12.75" hidden="false" customHeight="false" outlineLevel="0" collapsed="false">
      <c r="H641" s="174"/>
      <c r="I641" s="174"/>
    </row>
    <row r="642" customFormat="false" ht="12.75" hidden="false" customHeight="false" outlineLevel="0" collapsed="false">
      <c r="H642" s="174"/>
      <c r="I642" s="174"/>
    </row>
    <row r="643" customFormat="false" ht="12.75" hidden="false" customHeight="false" outlineLevel="0" collapsed="false">
      <c r="H643" s="174"/>
      <c r="I643" s="174"/>
    </row>
    <row r="644" customFormat="false" ht="12.75" hidden="false" customHeight="false" outlineLevel="0" collapsed="false">
      <c r="H644" s="174"/>
      <c r="I644" s="174"/>
    </row>
    <row r="645" customFormat="false" ht="12.75" hidden="false" customHeight="false" outlineLevel="0" collapsed="false">
      <c r="H645" s="174"/>
      <c r="I645" s="174"/>
    </row>
    <row r="646" customFormat="false" ht="12.75" hidden="false" customHeight="false" outlineLevel="0" collapsed="false">
      <c r="H646" s="174"/>
      <c r="I646" s="174"/>
    </row>
    <row r="647" customFormat="false" ht="12.75" hidden="false" customHeight="false" outlineLevel="0" collapsed="false">
      <c r="H647" s="174"/>
      <c r="I647" s="174"/>
    </row>
    <row r="648" customFormat="false" ht="12.75" hidden="false" customHeight="false" outlineLevel="0" collapsed="false">
      <c r="H648" s="174"/>
      <c r="I648" s="174"/>
    </row>
    <row r="649" customFormat="false" ht="12.75" hidden="false" customHeight="false" outlineLevel="0" collapsed="false">
      <c r="H649" s="174"/>
      <c r="I649" s="174"/>
    </row>
    <row r="650" customFormat="false" ht="12.75" hidden="false" customHeight="false" outlineLevel="0" collapsed="false">
      <c r="H650" s="174"/>
      <c r="I650" s="174"/>
    </row>
    <row r="651" customFormat="false" ht="12.75" hidden="false" customHeight="false" outlineLevel="0" collapsed="false">
      <c r="H651" s="174"/>
      <c r="I651" s="174"/>
    </row>
    <row r="652" customFormat="false" ht="12.75" hidden="false" customHeight="false" outlineLevel="0" collapsed="false">
      <c r="H652" s="174"/>
      <c r="I652" s="174"/>
    </row>
    <row r="653" customFormat="false" ht="12.75" hidden="false" customHeight="false" outlineLevel="0" collapsed="false">
      <c r="H653" s="174"/>
      <c r="I653" s="174"/>
    </row>
    <row r="654" customFormat="false" ht="12.75" hidden="false" customHeight="false" outlineLevel="0" collapsed="false">
      <c r="H654" s="174"/>
      <c r="I654" s="174"/>
    </row>
  </sheetData>
  <conditionalFormatting sqref="A18:IV18">
    <cfRule type="cellIs" priority="2" operator="equal" aboveAverage="0" equalAverage="0" bottom="0" percent="0" rank="0" text="" dxfId="0">
      <formula>"VERIFY"</formula>
    </cfRule>
  </conditionalFormatting>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F443"/>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pane xSplit="1" ySplit="2" topLeftCell="P3" activePane="bottomRight" state="frozen"/>
      <selection pane="topLeft" activeCell="A1" activeCellId="0" sqref="A1"/>
      <selection pane="topRight" activeCell="P1" activeCellId="0" sqref="P1"/>
      <selection pane="bottomLeft" activeCell="A3" activeCellId="0" sqref="A3"/>
      <selection pane="bottomRight" activeCell="U30" activeCellId="0" sqref="U30"/>
    </sheetView>
  </sheetViews>
  <sheetFormatPr defaultColWidth="9.0546875" defaultRowHeight="12.75" customHeight="true" zeroHeight="false" outlineLevelRow="0" outlineLevelCol="0"/>
  <cols>
    <col collapsed="false" customWidth="true" hidden="false" outlineLevel="0" max="1" min="1" style="0" width="12.42"/>
    <col collapsed="false" customWidth="true" hidden="false" outlineLevel="0" max="2" min="2" style="0" width="14.85"/>
    <col collapsed="false" customWidth="true" hidden="false" outlineLevel="0" max="3" min="3" style="0" width="15.85"/>
    <col collapsed="false" customWidth="true" hidden="false" outlineLevel="0" max="4" min="4" style="0" width="13.28"/>
    <col collapsed="false" customWidth="true" hidden="false" outlineLevel="0" max="5" min="5" style="0" width="13.99"/>
    <col collapsed="false" customWidth="true" hidden="false" outlineLevel="0" max="6" min="6" style="0" width="13.28"/>
    <col collapsed="false" customWidth="true" hidden="false" outlineLevel="0" max="7" min="7" style="0" width="11.56"/>
    <col collapsed="false" customWidth="true" hidden="false" outlineLevel="0" max="8" min="8" style="0" width="15.41"/>
    <col collapsed="false" customWidth="true" hidden="false" outlineLevel="0" max="9" min="9" style="0" width="10.85"/>
    <col collapsed="false" customWidth="true" hidden="false" outlineLevel="0" max="10" min="10" style="0" width="17.42"/>
    <col collapsed="false" customWidth="true" hidden="false" outlineLevel="0" max="11" min="11" style="0" width="10.99"/>
    <col collapsed="false" customWidth="true" hidden="false" outlineLevel="0" max="13" min="12" style="176" width="15.85"/>
    <col collapsed="false" customWidth="true" hidden="false" outlineLevel="0" max="16" min="14" style="0" width="15.85"/>
    <col collapsed="false" customWidth="true" hidden="false" outlineLevel="0" max="17" min="17" style="177" width="15.41"/>
    <col collapsed="false" customWidth="true" hidden="false" outlineLevel="0" max="18" min="18" style="0" width="10.99"/>
    <col collapsed="false" customWidth="true" hidden="false" outlineLevel="0" max="19" min="19" style="176" width="14.28"/>
    <col collapsed="false" customWidth="true" hidden="false" outlineLevel="0" max="39" min="20" style="0" width="10.99"/>
    <col collapsed="false" customWidth="true" hidden="false" outlineLevel="0" max="40" min="40" style="0" width="15.85"/>
    <col collapsed="false" customWidth="true" hidden="false" outlineLevel="0" max="43" min="41" style="0" width="10.99"/>
    <col collapsed="false" customWidth="true" hidden="false" outlineLevel="0" max="44" min="44" style="0" width="14.28"/>
    <col collapsed="false" customWidth="true" hidden="false" outlineLevel="0" max="45" min="45" style="0" width="17.14"/>
    <col collapsed="false" customWidth="true" hidden="false" outlineLevel="0" max="68" min="46" style="0" width="10.99"/>
    <col collapsed="false" customWidth="true" hidden="false" outlineLevel="0" max="76" min="70" style="0" width="10.99"/>
    <col collapsed="false" customWidth="true" hidden="false" outlineLevel="0" max="78" min="77" style="0" width="11.99"/>
    <col collapsed="false" customWidth="true" hidden="false" outlineLevel="0" max="79" min="79" style="0" width="9.56"/>
    <col collapsed="false" customWidth="true" hidden="false" outlineLevel="0" max="80" min="80" style="0" width="15.99"/>
    <col collapsed="false" customWidth="true" hidden="false" outlineLevel="0" max="93" min="81" style="0" width="9.56"/>
    <col collapsed="false" customWidth="true" hidden="false" outlineLevel="0" max="100" min="100" style="0" width="14.28"/>
    <col collapsed="false" customWidth="true" hidden="false" outlineLevel="0" max="103" min="103" style="0" width="12.56"/>
    <col collapsed="false" customWidth="true" hidden="false" outlineLevel="0" max="104" min="104" style="0" width="14.85"/>
    <col collapsed="false" customWidth="true" hidden="false" outlineLevel="0" max="105" min="105" style="0" width="16.42"/>
    <col collapsed="false" customWidth="true" hidden="false" outlineLevel="0" max="118" min="118" style="0" width="9.41"/>
    <col collapsed="false" customWidth="true" hidden="false" outlineLevel="0" max="122" min="122" style="0" width="13.14"/>
    <col collapsed="false" customWidth="true" hidden="false" outlineLevel="0" max="124" min="124" style="0" width="13.56"/>
    <col collapsed="false" customWidth="true" hidden="false" outlineLevel="0" max="128" min="128" style="0" width="15.85"/>
  </cols>
  <sheetData>
    <row r="1" customFormat="false" ht="12.75" hidden="false" customHeight="false" outlineLevel="0" collapsed="false">
      <c r="A1" s="178"/>
      <c r="B1" s="179" t="s">
        <v>286</v>
      </c>
      <c r="C1" s="179" t="s">
        <v>262</v>
      </c>
      <c r="D1" s="180" t="s">
        <v>260</v>
      </c>
      <c r="E1" s="181" t="s">
        <v>269</v>
      </c>
      <c r="F1" s="180" t="s">
        <v>268</v>
      </c>
      <c r="G1" s="180" t="s">
        <v>275</v>
      </c>
      <c r="H1" s="180" t="s">
        <v>354</v>
      </c>
      <c r="I1" s="180" t="s">
        <v>280</v>
      </c>
      <c r="J1" s="180" t="s">
        <v>281</v>
      </c>
      <c r="K1" s="179" t="s">
        <v>275</v>
      </c>
      <c r="L1" s="182" t="s">
        <v>155</v>
      </c>
      <c r="M1" s="182" t="s">
        <v>168</v>
      </c>
      <c r="N1" s="179" t="s">
        <v>196</v>
      </c>
      <c r="O1" s="179" t="s">
        <v>196</v>
      </c>
      <c r="P1" s="179" t="s">
        <v>355</v>
      </c>
      <c r="Q1" s="179" t="s">
        <v>155</v>
      </c>
      <c r="R1" s="179" t="s">
        <v>356</v>
      </c>
      <c r="S1" s="182" t="s">
        <v>165</v>
      </c>
      <c r="T1" s="179" t="s">
        <v>188</v>
      </c>
      <c r="U1" s="179" t="s">
        <v>184</v>
      </c>
      <c r="V1" s="179" t="s">
        <v>357</v>
      </c>
      <c r="W1" s="179" t="s">
        <v>178</v>
      </c>
      <c r="X1" s="179" t="s">
        <v>188</v>
      </c>
      <c r="Y1" s="179" t="s">
        <v>184</v>
      </c>
      <c r="Z1" s="179" t="s">
        <v>357</v>
      </c>
      <c r="AA1" s="179" t="s">
        <v>178</v>
      </c>
      <c r="AB1" s="179" t="s">
        <v>355</v>
      </c>
      <c r="AC1" s="179" t="s">
        <v>358</v>
      </c>
      <c r="AD1" s="179" t="s">
        <v>355</v>
      </c>
      <c r="AE1" s="179" t="s">
        <v>358</v>
      </c>
      <c r="AF1" s="179" t="s">
        <v>359</v>
      </c>
      <c r="AG1" s="183" t="s">
        <v>360</v>
      </c>
      <c r="AH1" s="183" t="s">
        <v>361</v>
      </c>
      <c r="AI1" s="183" t="s">
        <v>362</v>
      </c>
      <c r="AJ1" s="183" t="s">
        <v>363</v>
      </c>
      <c r="AK1" s="183" t="s">
        <v>282</v>
      </c>
      <c r="AL1" s="183" t="s">
        <v>276</v>
      </c>
      <c r="AM1" s="183" t="s">
        <v>364</v>
      </c>
      <c r="AN1" s="183" t="s">
        <v>288</v>
      </c>
      <c r="AO1" s="183" t="s">
        <v>365</v>
      </c>
      <c r="AP1" s="183" t="s">
        <v>272</v>
      </c>
      <c r="AQ1" s="183" t="s">
        <v>366</v>
      </c>
      <c r="AR1" s="183" t="s">
        <v>273</v>
      </c>
      <c r="AS1" s="183" t="s">
        <v>272</v>
      </c>
      <c r="AT1" s="183" t="s">
        <v>367</v>
      </c>
      <c r="AU1" s="183" t="s">
        <v>361</v>
      </c>
      <c r="AV1" s="183" t="s">
        <v>368</v>
      </c>
      <c r="AW1" s="178" t="s">
        <v>271</v>
      </c>
      <c r="AX1" s="178" t="s">
        <v>268</v>
      </c>
      <c r="AY1" s="178" t="s">
        <v>261</v>
      </c>
      <c r="AZ1" s="183" t="s">
        <v>273</v>
      </c>
      <c r="BA1" s="183" t="s">
        <v>366</v>
      </c>
      <c r="BB1" s="178" t="s">
        <v>369</v>
      </c>
      <c r="BC1" s="178" t="s">
        <v>136</v>
      </c>
      <c r="BD1" s="178" t="s">
        <v>91</v>
      </c>
      <c r="BE1" s="178" t="s">
        <v>91</v>
      </c>
      <c r="BF1" s="178" t="s">
        <v>370</v>
      </c>
      <c r="BG1" s="178" t="s">
        <v>355</v>
      </c>
      <c r="BH1" s="178" t="s">
        <v>355</v>
      </c>
      <c r="BI1" s="179" t="s">
        <v>371</v>
      </c>
      <c r="BJ1" s="179" t="s">
        <v>372</v>
      </c>
      <c r="BK1" s="180" t="s">
        <v>21</v>
      </c>
      <c r="BL1" s="180" t="s">
        <v>21</v>
      </c>
      <c r="BM1" s="179" t="s">
        <v>372</v>
      </c>
      <c r="BN1" s="0" t="s">
        <v>373</v>
      </c>
      <c r="BO1" s="0" t="s">
        <v>59</v>
      </c>
      <c r="BP1" s="0" t="s">
        <v>59</v>
      </c>
      <c r="BQ1" s="183" t="s">
        <v>282</v>
      </c>
      <c r="BR1" s="0" t="s">
        <v>286</v>
      </c>
      <c r="BS1" s="0" t="s">
        <v>262</v>
      </c>
      <c r="BT1" s="0" t="s">
        <v>260</v>
      </c>
      <c r="BU1" s="0" t="s">
        <v>269</v>
      </c>
      <c r="BV1" s="0" t="s">
        <v>268</v>
      </c>
      <c r="BW1" s="0" t="s">
        <v>275</v>
      </c>
      <c r="BX1" s="0" t="s">
        <v>354</v>
      </c>
      <c r="BY1" s="0" t="s">
        <v>280</v>
      </c>
      <c r="BZ1" s="0" t="s">
        <v>281</v>
      </c>
      <c r="CA1" s="0" t="s">
        <v>275</v>
      </c>
      <c r="CB1" s="0" t="s">
        <v>155</v>
      </c>
      <c r="CC1" s="0" t="s">
        <v>168</v>
      </c>
      <c r="CD1" s="0" t="s">
        <v>196</v>
      </c>
      <c r="CE1" s="0" t="s">
        <v>196</v>
      </c>
      <c r="CF1" s="0" t="s">
        <v>355</v>
      </c>
      <c r="CH1" s="0" t="s">
        <v>361</v>
      </c>
      <c r="CP1" s="0" t="s">
        <v>286</v>
      </c>
      <c r="CQ1" s="0" t="s">
        <v>262</v>
      </c>
      <c r="CR1" s="0" t="s">
        <v>260</v>
      </c>
      <c r="CS1" s="0" t="s">
        <v>269</v>
      </c>
      <c r="CT1" s="0" t="s">
        <v>268</v>
      </c>
      <c r="CU1" s="0" t="s">
        <v>275</v>
      </c>
      <c r="CV1" s="0" t="s">
        <v>354</v>
      </c>
      <c r="CW1" s="0" t="s">
        <v>280</v>
      </c>
      <c r="CX1" s="0" t="s">
        <v>281</v>
      </c>
      <c r="CY1" s="0" t="s">
        <v>275</v>
      </c>
      <c r="CZ1" s="0" t="s">
        <v>155</v>
      </c>
      <c r="DA1" s="0" t="s">
        <v>168</v>
      </c>
      <c r="DB1" s="0" t="s">
        <v>196</v>
      </c>
      <c r="DC1" s="0" t="s">
        <v>196</v>
      </c>
      <c r="DD1" s="0" t="s">
        <v>355</v>
      </c>
      <c r="DE1" s="0" t="s">
        <v>361</v>
      </c>
      <c r="DF1" s="0" t="s">
        <v>288</v>
      </c>
      <c r="DG1" s="0" t="s">
        <v>365</v>
      </c>
      <c r="DH1" s="0" t="s">
        <v>272</v>
      </c>
      <c r="DI1" s="0" t="s">
        <v>367</v>
      </c>
      <c r="DN1" s="0" t="s">
        <v>286</v>
      </c>
      <c r="DO1" s="0" t="s">
        <v>262</v>
      </c>
      <c r="DP1" s="0" t="s">
        <v>260</v>
      </c>
      <c r="DQ1" s="0" t="s">
        <v>269</v>
      </c>
      <c r="DR1" s="0" t="s">
        <v>268</v>
      </c>
      <c r="DS1" s="0" t="s">
        <v>275</v>
      </c>
      <c r="DT1" s="0" t="s">
        <v>354</v>
      </c>
      <c r="DU1" s="0" t="s">
        <v>280</v>
      </c>
      <c r="DV1" s="0" t="s">
        <v>281</v>
      </c>
      <c r="DW1" s="0" t="s">
        <v>275</v>
      </c>
      <c r="DX1" s="0" t="s">
        <v>155</v>
      </c>
      <c r="DY1" s="0" t="s">
        <v>168</v>
      </c>
      <c r="DZ1" s="0" t="s">
        <v>196</v>
      </c>
      <c r="EA1" s="0" t="s">
        <v>196</v>
      </c>
      <c r="EB1" s="0" t="s">
        <v>355</v>
      </c>
      <c r="ED1" s="0" t="s">
        <v>361</v>
      </c>
      <c r="EF1" s="183" t="s">
        <v>282</v>
      </c>
    </row>
    <row r="2" customFormat="false" ht="12.75" hidden="false" customHeight="false" outlineLevel="0" collapsed="false">
      <c r="A2" s="178"/>
      <c r="B2" s="180" t="s">
        <v>287</v>
      </c>
      <c r="C2" s="179" t="s">
        <v>156</v>
      </c>
      <c r="D2" s="180" t="s">
        <v>261</v>
      </c>
      <c r="E2" s="181" t="s">
        <v>261</v>
      </c>
      <c r="F2" s="180" t="s">
        <v>270</v>
      </c>
      <c r="G2" s="180" t="s">
        <v>278</v>
      </c>
      <c r="H2" s="180" t="s">
        <v>275</v>
      </c>
      <c r="I2" s="180" t="s">
        <v>283</v>
      </c>
      <c r="J2" s="180" t="s">
        <v>279</v>
      </c>
      <c r="K2" s="180" t="s">
        <v>280</v>
      </c>
      <c r="L2" s="184" t="s">
        <v>156</v>
      </c>
      <c r="M2" s="184" t="s">
        <v>156</v>
      </c>
      <c r="N2" s="180" t="s">
        <v>197</v>
      </c>
      <c r="O2" s="180" t="s">
        <v>179</v>
      </c>
      <c r="P2" s="179" t="s">
        <v>374</v>
      </c>
      <c r="Q2" s="180" t="s">
        <v>168</v>
      </c>
      <c r="R2" s="180" t="s">
        <v>375</v>
      </c>
      <c r="S2" s="184" t="s">
        <v>156</v>
      </c>
      <c r="T2" s="180" t="s">
        <v>197</v>
      </c>
      <c r="U2" s="180" t="s">
        <v>197</v>
      </c>
      <c r="V2" s="180" t="s">
        <v>197</v>
      </c>
      <c r="W2" s="180" t="s">
        <v>197</v>
      </c>
      <c r="X2" s="179" t="s">
        <v>179</v>
      </c>
      <c r="Y2" s="179" t="s">
        <v>179</v>
      </c>
      <c r="Z2" s="179" t="s">
        <v>179</v>
      </c>
      <c r="AA2" s="179" t="s">
        <v>179</v>
      </c>
      <c r="AB2" s="179" t="s">
        <v>376</v>
      </c>
      <c r="AC2" s="179" t="s">
        <v>376</v>
      </c>
      <c r="AD2" s="179" t="s">
        <v>377</v>
      </c>
      <c r="AE2" s="179" t="s">
        <v>377</v>
      </c>
      <c r="AF2" s="179" t="s">
        <v>378</v>
      </c>
      <c r="AG2" s="183" t="s">
        <v>379</v>
      </c>
      <c r="AH2" s="185" t="s">
        <v>380</v>
      </c>
      <c r="AI2" s="183" t="s">
        <v>381</v>
      </c>
      <c r="AJ2" s="183" t="s">
        <v>168</v>
      </c>
      <c r="AK2" s="183" t="s">
        <v>282</v>
      </c>
      <c r="AL2" s="183" t="s">
        <v>280</v>
      </c>
      <c r="AM2" s="183" t="s">
        <v>367</v>
      </c>
      <c r="AN2" s="183" t="s">
        <v>286</v>
      </c>
      <c r="AO2" s="183" t="s">
        <v>287</v>
      </c>
      <c r="AP2" s="183" t="s">
        <v>366</v>
      </c>
      <c r="AQ2" s="183" t="s">
        <v>367</v>
      </c>
      <c r="AR2" s="183" t="s">
        <v>367</v>
      </c>
      <c r="AS2" s="183" t="s">
        <v>288</v>
      </c>
      <c r="AT2" s="178" t="s">
        <v>382</v>
      </c>
      <c r="AU2" s="185" t="s">
        <v>367</v>
      </c>
      <c r="AV2" s="185" t="s">
        <v>261</v>
      </c>
      <c r="AW2" s="185" t="s">
        <v>261</v>
      </c>
      <c r="AX2" s="178" t="s">
        <v>261</v>
      </c>
      <c r="AY2" s="180" t="s">
        <v>287</v>
      </c>
      <c r="AZ2" s="183" t="s">
        <v>274</v>
      </c>
      <c r="BA2" s="178" t="s">
        <v>274</v>
      </c>
      <c r="BB2" s="178" t="s">
        <v>383</v>
      </c>
      <c r="BC2" s="178" t="s">
        <v>384</v>
      </c>
      <c r="BD2" s="178" t="s">
        <v>385</v>
      </c>
      <c r="BE2" s="178" t="s">
        <v>386</v>
      </c>
      <c r="BF2" s="178" t="s">
        <v>21</v>
      </c>
      <c r="BG2" s="178" t="s">
        <v>377</v>
      </c>
      <c r="BH2" s="178" t="s">
        <v>358</v>
      </c>
      <c r="BI2" s="180" t="s">
        <v>387</v>
      </c>
      <c r="BJ2" s="179" t="s">
        <v>388</v>
      </c>
      <c r="BK2" s="180" t="s">
        <v>389</v>
      </c>
      <c r="BL2" s="179" t="s">
        <v>372</v>
      </c>
      <c r="BM2" s="179" t="s">
        <v>371</v>
      </c>
      <c r="BN2" s="0" t="s">
        <v>59</v>
      </c>
      <c r="BO2" s="0" t="s">
        <v>91</v>
      </c>
      <c r="BP2" s="0" t="s">
        <v>109</v>
      </c>
      <c r="BQ2" s="180" t="s">
        <v>280</v>
      </c>
      <c r="BR2" s="0" t="s">
        <v>287</v>
      </c>
      <c r="BS2" s="0" t="s">
        <v>156</v>
      </c>
      <c r="BT2" s="0" t="s">
        <v>261</v>
      </c>
      <c r="BU2" s="0" t="s">
        <v>261</v>
      </c>
      <c r="BV2" s="0" t="s">
        <v>270</v>
      </c>
      <c r="BW2" s="0" t="s">
        <v>278</v>
      </c>
      <c r="BX2" s="0" t="s">
        <v>275</v>
      </c>
      <c r="BY2" s="0" t="s">
        <v>283</v>
      </c>
      <c r="BZ2" s="0" t="s">
        <v>279</v>
      </c>
      <c r="CA2" s="0" t="s">
        <v>280</v>
      </c>
      <c r="CB2" s="0" t="s">
        <v>156</v>
      </c>
      <c r="CC2" s="0" t="s">
        <v>156</v>
      </c>
      <c r="CD2" s="0" t="s">
        <v>197</v>
      </c>
      <c r="CE2" s="0" t="s">
        <v>179</v>
      </c>
      <c r="CF2" s="0" t="s">
        <v>374</v>
      </c>
      <c r="CH2" s="0" t="s">
        <v>380</v>
      </c>
      <c r="CP2" s="0" t="s">
        <v>287</v>
      </c>
      <c r="CQ2" s="0" t="s">
        <v>156</v>
      </c>
      <c r="CR2" s="0" t="s">
        <v>261</v>
      </c>
      <c r="CS2" s="0" t="s">
        <v>261</v>
      </c>
      <c r="CT2" s="0" t="s">
        <v>270</v>
      </c>
      <c r="CU2" s="0" t="s">
        <v>278</v>
      </c>
      <c r="CV2" s="0" t="s">
        <v>275</v>
      </c>
      <c r="CW2" s="0" t="s">
        <v>283</v>
      </c>
      <c r="CX2" s="0" t="s">
        <v>279</v>
      </c>
      <c r="CY2" s="0" t="s">
        <v>280</v>
      </c>
      <c r="CZ2" s="0" t="s">
        <v>156</v>
      </c>
      <c r="DA2" s="0" t="s">
        <v>156</v>
      </c>
      <c r="DB2" s="0" t="s">
        <v>197</v>
      </c>
      <c r="DC2" s="0" t="s">
        <v>179</v>
      </c>
      <c r="DD2" s="0" t="s">
        <v>374</v>
      </c>
      <c r="DE2" s="0" t="s">
        <v>380</v>
      </c>
      <c r="DF2" s="0" t="s">
        <v>390</v>
      </c>
      <c r="DG2" s="0" t="s">
        <v>287</v>
      </c>
      <c r="DH2" s="0" t="s">
        <v>366</v>
      </c>
      <c r="DI2" s="0" t="s">
        <v>382</v>
      </c>
      <c r="DN2" s="0" t="s">
        <v>287</v>
      </c>
      <c r="DO2" s="0" t="s">
        <v>156</v>
      </c>
      <c r="DP2" s="0" t="s">
        <v>261</v>
      </c>
      <c r="DQ2" s="0" t="s">
        <v>261</v>
      </c>
      <c r="DR2" s="0" t="s">
        <v>270</v>
      </c>
      <c r="DS2" s="0" t="s">
        <v>278</v>
      </c>
      <c r="DT2" s="0" t="s">
        <v>275</v>
      </c>
      <c r="DU2" s="0" t="s">
        <v>283</v>
      </c>
      <c r="DV2" s="0" t="s">
        <v>279</v>
      </c>
      <c r="DW2" s="0" t="s">
        <v>280</v>
      </c>
      <c r="DX2" s="0" t="s">
        <v>156</v>
      </c>
      <c r="DY2" s="0" t="s">
        <v>156</v>
      </c>
      <c r="DZ2" s="0" t="s">
        <v>197</v>
      </c>
      <c r="EA2" s="0" t="s">
        <v>179</v>
      </c>
      <c r="EB2" s="0" t="s">
        <v>374</v>
      </c>
      <c r="ED2" s="0" t="s">
        <v>380</v>
      </c>
      <c r="EF2" s="180" t="s">
        <v>280</v>
      </c>
    </row>
    <row r="3" customFormat="false" ht="12.75" hidden="false" customHeight="false" outlineLevel="0" collapsed="false">
      <c r="A3" s="149" t="n">
        <v>36465</v>
      </c>
      <c r="B3" s="0" t="n">
        <v>0.945</v>
      </c>
      <c r="C3" s="0" t="n">
        <v>0.89</v>
      </c>
      <c r="D3" s="0" t="n">
        <v>0.89</v>
      </c>
      <c r="E3" s="0" t="n">
        <v>0.89</v>
      </c>
      <c r="F3" s="0" t="n">
        <v>0.977</v>
      </c>
      <c r="G3" s="0" t="n">
        <v>0.48</v>
      </c>
      <c r="H3" s="0" t="n">
        <v>0.45</v>
      </c>
      <c r="I3" s="0" t="n">
        <v>0.895</v>
      </c>
      <c r="J3" s="0" t="n">
        <v>0.485</v>
      </c>
      <c r="K3" s="0" t="n">
        <v>0.475</v>
      </c>
      <c r="L3" s="176" t="n">
        <v>0.79</v>
      </c>
      <c r="M3" s="176" t="n">
        <v>0.8225</v>
      </c>
      <c r="N3" s="0" t="n">
        <v>0.85</v>
      </c>
      <c r="O3" s="0" t="n">
        <v>0.9025</v>
      </c>
      <c r="P3" s="0" t="n">
        <v>0.85</v>
      </c>
      <c r="Q3" s="177" t="n">
        <v>0.79</v>
      </c>
      <c r="R3" s="0" t="n">
        <v>0.79</v>
      </c>
      <c r="S3" s="176" t="n">
        <v>0.79</v>
      </c>
      <c r="T3" s="0" t="n">
        <v>0.85</v>
      </c>
      <c r="U3" s="0" t="n">
        <v>0.85</v>
      </c>
      <c r="V3" s="0" t="n">
        <v>0.85</v>
      </c>
      <c r="W3" s="0" t="n">
        <v>0.85</v>
      </c>
      <c r="X3" s="0" t="n">
        <v>0.9025</v>
      </c>
      <c r="Y3" s="0" t="n">
        <v>0.9025</v>
      </c>
      <c r="Z3" s="0" t="n">
        <v>0.9025</v>
      </c>
      <c r="AA3" s="0" t="n">
        <v>0.9025</v>
      </c>
      <c r="AB3" s="0" t="n">
        <v>0.85</v>
      </c>
      <c r="AC3" s="0" t="n">
        <v>0.85</v>
      </c>
      <c r="AD3" s="0" t="n">
        <v>0.9025</v>
      </c>
      <c r="AE3" s="0" t="n">
        <v>0.9025</v>
      </c>
      <c r="AF3" s="0" t="n">
        <v>0.85</v>
      </c>
      <c r="AG3" s="186" t="n">
        <v>0.99</v>
      </c>
      <c r="AH3" s="0" t="n">
        <v>0.89</v>
      </c>
      <c r="AI3" s="0" t="n">
        <v>0.89</v>
      </c>
      <c r="AJ3" s="0" t="n">
        <v>0.85</v>
      </c>
      <c r="AK3" s="0" t="n">
        <v>1</v>
      </c>
      <c r="AL3" s="0" t="n">
        <v>0.475</v>
      </c>
      <c r="AM3" s="0" t="n">
        <v>1</v>
      </c>
      <c r="AN3" s="177" t="n">
        <v>1</v>
      </c>
      <c r="AO3" s="177" t="n">
        <v>1</v>
      </c>
      <c r="AP3" s="177" t="n">
        <v>1</v>
      </c>
      <c r="AQ3" s="0" t="n">
        <v>1</v>
      </c>
      <c r="AR3" s="0" t="n">
        <v>0.89</v>
      </c>
      <c r="AS3" s="0" t="n">
        <v>0.977</v>
      </c>
      <c r="AT3" s="177" t="n">
        <v>1</v>
      </c>
      <c r="AU3" s="0" t="n">
        <v>0.89</v>
      </c>
      <c r="AV3" s="0" t="n">
        <v>0.89</v>
      </c>
      <c r="AW3" s="0" t="n">
        <v>0.89</v>
      </c>
      <c r="AX3" s="0" t="n">
        <v>0.89</v>
      </c>
      <c r="AY3" s="0" t="n">
        <v>0.89</v>
      </c>
      <c r="AZ3" s="0" t="n">
        <v>0.89</v>
      </c>
      <c r="BA3" s="0" t="n">
        <v>0.89</v>
      </c>
      <c r="BB3" s="187" t="n">
        <v>1</v>
      </c>
      <c r="BC3" s="0" t="n">
        <v>1</v>
      </c>
      <c r="BD3" s="0" t="n">
        <v>1</v>
      </c>
      <c r="BE3" s="0" t="n">
        <v>1</v>
      </c>
      <c r="BF3" s="0" t="n">
        <v>0.999</v>
      </c>
      <c r="BG3" s="0" t="n">
        <v>1</v>
      </c>
      <c r="BH3" s="0" t="n">
        <v>1</v>
      </c>
      <c r="BI3" s="0" t="n">
        <v>0.995</v>
      </c>
      <c r="BJ3" s="0" t="n">
        <v>0.999</v>
      </c>
      <c r="BK3" s="0" t="n">
        <v>0.998</v>
      </c>
      <c r="BL3" s="0" t="n">
        <v>0.9985</v>
      </c>
      <c r="BM3" s="0" t="n">
        <v>0.9985</v>
      </c>
      <c r="BN3" s="0" t="n">
        <v>0.972</v>
      </c>
      <c r="BO3" s="0" t="n">
        <v>0.9999</v>
      </c>
      <c r="BP3" s="0" t="n">
        <v>0.9999</v>
      </c>
      <c r="BQ3" s="0" t="n">
        <v>1</v>
      </c>
      <c r="BR3" s="0" t="n">
        <v>1</v>
      </c>
      <c r="BS3" s="0" t="n">
        <v>1</v>
      </c>
      <c r="BT3" s="0" t="n">
        <v>1</v>
      </c>
      <c r="BU3" s="0" t="n">
        <v>1</v>
      </c>
      <c r="BV3" s="0" t="n">
        <v>1</v>
      </c>
      <c r="BW3" s="0" t="n">
        <v>1</v>
      </c>
      <c r="BX3" s="0" t="n">
        <v>1</v>
      </c>
      <c r="BY3" s="0" t="n">
        <v>1</v>
      </c>
      <c r="BZ3" s="0" t="n">
        <v>1</v>
      </c>
      <c r="CA3" s="0" t="n">
        <v>1</v>
      </c>
      <c r="CB3" s="0" t="n">
        <v>1</v>
      </c>
      <c r="CC3" s="0" t="n">
        <v>1</v>
      </c>
      <c r="CD3" s="0" t="n">
        <v>1</v>
      </c>
      <c r="CE3" s="0" t="n">
        <v>1</v>
      </c>
      <c r="CF3" s="0" t="n">
        <v>1</v>
      </c>
      <c r="CH3" s="0" t="n">
        <v>1</v>
      </c>
      <c r="CP3" s="0" t="n">
        <v>0.945</v>
      </c>
      <c r="CQ3" s="0" t="n">
        <v>0.89</v>
      </c>
      <c r="CR3" s="0" t="n">
        <v>0.89</v>
      </c>
      <c r="CS3" s="0" t="n">
        <v>0.92</v>
      </c>
      <c r="CT3" s="0" t="n">
        <v>0.999</v>
      </c>
      <c r="CU3" s="0" t="n">
        <v>0.48</v>
      </c>
      <c r="CV3" s="0" t="n">
        <v>0.45</v>
      </c>
      <c r="CW3" s="0" t="n">
        <v>0.895</v>
      </c>
      <c r="CX3" s="0" t="n">
        <v>0.485</v>
      </c>
      <c r="CY3" s="0" t="n">
        <v>0.475</v>
      </c>
      <c r="CZ3" s="0" t="n">
        <v>0.79</v>
      </c>
      <c r="DA3" s="0" t="n">
        <v>0.8225</v>
      </c>
      <c r="DB3" s="0" t="n">
        <v>0.85</v>
      </c>
      <c r="DC3" s="0" t="n">
        <v>0.9025</v>
      </c>
      <c r="DD3" s="0" t="n">
        <v>0.82</v>
      </c>
      <c r="DE3" s="0" t="n">
        <v>0.89</v>
      </c>
      <c r="DF3" s="0" t="n">
        <v>1</v>
      </c>
      <c r="DG3" s="0" t="n">
        <v>1</v>
      </c>
      <c r="DH3" s="0" t="n">
        <v>1</v>
      </c>
      <c r="DN3" s="188"/>
      <c r="DO3" s="188"/>
      <c r="DP3" s="188"/>
      <c r="DQ3" s="188"/>
      <c r="DR3" s="188"/>
      <c r="DS3" s="188"/>
      <c r="DT3" s="188"/>
      <c r="DU3" s="188"/>
      <c r="DV3" s="188"/>
      <c r="DW3" s="188"/>
      <c r="DX3" s="188"/>
      <c r="DY3" s="188"/>
      <c r="DZ3" s="188"/>
      <c r="EA3" s="188"/>
      <c r="EB3" s="188"/>
      <c r="ED3" s="188"/>
      <c r="EF3" s="0" t="n">
        <v>1</v>
      </c>
    </row>
    <row r="4" customFormat="false" ht="12.75" hidden="false" customHeight="false" outlineLevel="0" collapsed="false">
      <c r="A4" s="149" t="n">
        <v>36495</v>
      </c>
      <c r="B4" s="0" t="n">
        <v>0.935</v>
      </c>
      <c r="C4" s="0" t="n">
        <v>0.87</v>
      </c>
      <c r="D4" s="0" t="n">
        <v>0.87</v>
      </c>
      <c r="E4" s="0" t="n">
        <v>0.87</v>
      </c>
      <c r="F4" s="0" t="n">
        <v>0.977</v>
      </c>
      <c r="G4" s="0" t="n">
        <v>0.51</v>
      </c>
      <c r="H4" s="0" t="n">
        <v>0.47</v>
      </c>
      <c r="I4" s="0" t="n">
        <v>0.865</v>
      </c>
      <c r="J4" s="0" t="n">
        <v>0.49</v>
      </c>
      <c r="K4" s="0" t="n">
        <v>0.475</v>
      </c>
      <c r="L4" s="176" t="n">
        <v>0.59</v>
      </c>
      <c r="M4" s="176" t="n">
        <v>0.6225</v>
      </c>
      <c r="N4" s="0" t="n">
        <v>0.69</v>
      </c>
      <c r="O4" s="0" t="n">
        <v>0.8925</v>
      </c>
      <c r="P4" s="0" t="n">
        <v>0.69</v>
      </c>
      <c r="Q4" s="177" t="n">
        <v>0.59</v>
      </c>
      <c r="R4" s="0" t="n">
        <v>0.59</v>
      </c>
      <c r="S4" s="176" t="n">
        <v>0.59</v>
      </c>
      <c r="T4" s="0" t="n">
        <v>0.69</v>
      </c>
      <c r="U4" s="0" t="n">
        <v>0.69</v>
      </c>
      <c r="V4" s="0" t="n">
        <v>0.69</v>
      </c>
      <c r="W4" s="0" t="n">
        <v>0.69</v>
      </c>
      <c r="X4" s="0" t="n">
        <v>0.8925</v>
      </c>
      <c r="Y4" s="0" t="n">
        <v>0.8925</v>
      </c>
      <c r="Z4" s="0" t="n">
        <v>0.8925</v>
      </c>
      <c r="AA4" s="0" t="n">
        <v>0.8925</v>
      </c>
      <c r="AB4" s="0" t="n">
        <v>0.69</v>
      </c>
      <c r="AC4" s="0" t="n">
        <v>0.69</v>
      </c>
      <c r="AD4" s="0" t="n">
        <v>0.8925</v>
      </c>
      <c r="AE4" s="0" t="n">
        <v>0.8925</v>
      </c>
      <c r="AF4" s="0" t="n">
        <v>0.69</v>
      </c>
      <c r="AG4" s="186" t="n">
        <v>0.98</v>
      </c>
      <c r="AH4" s="0" t="n">
        <v>0.89</v>
      </c>
      <c r="AI4" s="0" t="n">
        <v>0.89</v>
      </c>
      <c r="AJ4" s="0" t="n">
        <v>0.69</v>
      </c>
      <c r="AK4" s="0" t="n">
        <v>1</v>
      </c>
      <c r="AL4" s="0" t="n">
        <v>0.475</v>
      </c>
      <c r="AM4" s="0" t="n">
        <v>1</v>
      </c>
      <c r="AN4" s="177" t="n">
        <v>1</v>
      </c>
      <c r="AO4" s="177" t="n">
        <v>1</v>
      </c>
      <c r="AP4" s="177" t="n">
        <v>1</v>
      </c>
      <c r="AQ4" s="0" t="n">
        <v>1</v>
      </c>
      <c r="AR4" s="0" t="n">
        <v>0.89</v>
      </c>
      <c r="AS4" s="0" t="n">
        <v>0.977</v>
      </c>
      <c r="AT4" s="177" t="n">
        <v>1</v>
      </c>
      <c r="AU4" s="0" t="n">
        <v>0.89</v>
      </c>
      <c r="AV4" s="0" t="n">
        <v>0.87</v>
      </c>
      <c r="AW4" s="0" t="n">
        <v>0.87</v>
      </c>
      <c r="AX4" s="0" t="n">
        <v>0.87</v>
      </c>
      <c r="AY4" s="0" t="n">
        <v>0.89</v>
      </c>
      <c r="AZ4" s="0" t="n">
        <v>0.89</v>
      </c>
      <c r="BA4" s="0" t="n">
        <v>0.87</v>
      </c>
      <c r="BB4" s="187" t="n">
        <v>1</v>
      </c>
      <c r="BC4" s="0" t="n">
        <v>1</v>
      </c>
      <c r="BD4" s="0" t="n">
        <v>1</v>
      </c>
      <c r="BE4" s="0" t="n">
        <v>1</v>
      </c>
      <c r="BF4" s="0" t="n">
        <v>0.9999</v>
      </c>
      <c r="BG4" s="0" t="n">
        <v>1</v>
      </c>
      <c r="BH4" s="0" t="n">
        <v>1</v>
      </c>
      <c r="BI4" s="0" t="n">
        <v>0.995</v>
      </c>
      <c r="BJ4" s="0" t="n">
        <v>0.999</v>
      </c>
      <c r="BK4" s="0" t="n">
        <v>0.998</v>
      </c>
      <c r="BL4" s="0" t="n">
        <v>0.9985</v>
      </c>
      <c r="BM4" s="0" t="n">
        <v>0.9985</v>
      </c>
      <c r="BN4" s="0" t="n">
        <v>0.972</v>
      </c>
      <c r="BO4" s="0" t="n">
        <v>0.9999</v>
      </c>
      <c r="BP4" s="0" t="n">
        <v>0.9999</v>
      </c>
      <c r="BQ4" s="0" t="n">
        <v>1</v>
      </c>
      <c r="BR4" s="0" t="n">
        <v>1</v>
      </c>
      <c r="BS4" s="0" t="n">
        <v>1</v>
      </c>
      <c r="BT4" s="0" t="n">
        <v>1</v>
      </c>
      <c r="BU4" s="0" t="n">
        <v>1</v>
      </c>
      <c r="BV4" s="0" t="n">
        <v>1</v>
      </c>
      <c r="BW4" s="0" t="n">
        <v>1</v>
      </c>
      <c r="BX4" s="0" t="n">
        <v>1</v>
      </c>
      <c r="BY4" s="0" t="n">
        <v>1</v>
      </c>
      <c r="BZ4" s="0" t="n">
        <v>1</v>
      </c>
      <c r="CA4" s="0" t="n">
        <v>1</v>
      </c>
      <c r="CB4" s="0" t="n">
        <v>1</v>
      </c>
      <c r="CC4" s="0" t="n">
        <v>1</v>
      </c>
      <c r="CD4" s="0" t="n">
        <v>1</v>
      </c>
      <c r="CE4" s="0" t="n">
        <v>1</v>
      </c>
      <c r="CF4" s="0" t="n">
        <v>1</v>
      </c>
      <c r="CG4" s="188"/>
      <c r="CH4" s="0" t="n">
        <v>1</v>
      </c>
      <c r="CI4" s="188"/>
      <c r="CJ4" s="188"/>
      <c r="CK4" s="188"/>
      <c r="CL4" s="188"/>
      <c r="CM4" s="188"/>
      <c r="CN4" s="188"/>
      <c r="CO4" s="188"/>
      <c r="CP4" s="0" t="n">
        <v>0.935</v>
      </c>
      <c r="CQ4" s="0" t="n">
        <v>0.87</v>
      </c>
      <c r="CR4" s="0" t="n">
        <v>0.87</v>
      </c>
      <c r="CS4" s="0" t="n">
        <v>0.91</v>
      </c>
      <c r="CT4" s="0" t="n">
        <v>0.999</v>
      </c>
      <c r="CU4" s="0" t="n">
        <v>0.51</v>
      </c>
      <c r="CV4" s="0" t="n">
        <v>0.47</v>
      </c>
      <c r="CW4" s="0" t="n">
        <v>0.865</v>
      </c>
      <c r="CX4" s="0" t="n">
        <v>0.49</v>
      </c>
      <c r="CY4" s="0" t="n">
        <v>0.475</v>
      </c>
      <c r="CZ4" s="0" t="n">
        <v>0.59</v>
      </c>
      <c r="DA4" s="0" t="n">
        <v>0.6225</v>
      </c>
      <c r="DB4" s="0" t="n">
        <v>0.69</v>
      </c>
      <c r="DC4" s="0" t="n">
        <v>0.8925</v>
      </c>
      <c r="DD4" s="0" t="n">
        <v>0.715</v>
      </c>
      <c r="DE4" s="0" t="n">
        <v>0.89</v>
      </c>
      <c r="DF4" s="0" t="n">
        <v>1</v>
      </c>
      <c r="DG4" s="0" t="n">
        <v>1</v>
      </c>
      <c r="DH4" s="0" t="n">
        <v>1</v>
      </c>
      <c r="DN4" s="188"/>
      <c r="DO4" s="188"/>
      <c r="DP4" s="188"/>
      <c r="DQ4" s="188"/>
      <c r="DR4" s="188"/>
      <c r="DS4" s="188"/>
      <c r="DT4" s="188"/>
      <c r="DU4" s="188"/>
      <c r="DV4" s="188"/>
      <c r="DW4" s="188"/>
      <c r="DX4" s="188"/>
      <c r="DY4" s="188"/>
      <c r="DZ4" s="188"/>
      <c r="EA4" s="188"/>
      <c r="EB4" s="188"/>
      <c r="ED4" s="188"/>
      <c r="EF4" s="0" t="n">
        <v>1</v>
      </c>
    </row>
    <row r="5" customFormat="false" ht="12.75" hidden="false" customHeight="false" outlineLevel="0" collapsed="false">
      <c r="A5" s="149" t="n">
        <v>36526</v>
      </c>
      <c r="B5" s="0" t="n">
        <v>0.895</v>
      </c>
      <c r="C5" s="0" t="n">
        <v>0.86</v>
      </c>
      <c r="D5" s="0" t="n">
        <v>0.87</v>
      </c>
      <c r="E5" s="0" t="n">
        <v>0.87</v>
      </c>
      <c r="F5" s="0" t="n">
        <v>0.977</v>
      </c>
      <c r="G5" s="0" t="n">
        <v>0.58</v>
      </c>
      <c r="H5" s="0" t="n">
        <v>0.44</v>
      </c>
      <c r="I5" s="0" t="n">
        <v>0.795</v>
      </c>
      <c r="J5" s="0" t="n">
        <v>0.49</v>
      </c>
      <c r="K5" s="0" t="n">
        <v>0.505</v>
      </c>
      <c r="L5" s="176" t="n">
        <v>0.605</v>
      </c>
      <c r="M5" s="176" t="n">
        <v>0.6375</v>
      </c>
      <c r="N5" s="0" t="n">
        <v>0.69</v>
      </c>
      <c r="O5" s="0" t="n">
        <v>0.88</v>
      </c>
      <c r="P5" s="0" t="n">
        <v>0.69</v>
      </c>
      <c r="Q5" s="177" t="n">
        <v>0.605</v>
      </c>
      <c r="R5" s="0" t="n">
        <v>0.605</v>
      </c>
      <c r="S5" s="176" t="n">
        <v>0.605</v>
      </c>
      <c r="T5" s="0" t="n">
        <v>0.69</v>
      </c>
      <c r="U5" s="0" t="n">
        <v>0.69</v>
      </c>
      <c r="V5" s="0" t="n">
        <v>0.69</v>
      </c>
      <c r="W5" s="0" t="n">
        <v>0.69</v>
      </c>
      <c r="X5" s="0" t="n">
        <v>0.88</v>
      </c>
      <c r="Y5" s="0" t="n">
        <v>0.88</v>
      </c>
      <c r="Z5" s="0" t="n">
        <v>0.88</v>
      </c>
      <c r="AA5" s="0" t="n">
        <v>0.88</v>
      </c>
      <c r="AB5" s="0" t="n">
        <v>0.69</v>
      </c>
      <c r="AC5" s="0" t="n">
        <v>0.69</v>
      </c>
      <c r="AD5" s="0" t="n">
        <v>0.88</v>
      </c>
      <c r="AE5" s="0" t="n">
        <v>0.88</v>
      </c>
      <c r="AF5" s="0" t="n">
        <v>0.69</v>
      </c>
      <c r="AG5" s="186" t="n">
        <v>0.98</v>
      </c>
      <c r="AH5" s="0" t="n">
        <v>0.89</v>
      </c>
      <c r="AI5" s="0" t="n">
        <v>0.89</v>
      </c>
      <c r="AJ5" s="0" t="n">
        <v>0.69</v>
      </c>
      <c r="AK5" s="0" t="n">
        <v>1</v>
      </c>
      <c r="AL5" s="0" t="n">
        <v>0.505</v>
      </c>
      <c r="AM5" s="0" t="n">
        <v>0.87</v>
      </c>
      <c r="AN5" s="177" t="n">
        <v>0.985</v>
      </c>
      <c r="AO5" s="177" t="n">
        <v>0.96</v>
      </c>
      <c r="AP5" s="177" t="n">
        <v>0.99</v>
      </c>
      <c r="AQ5" s="0" t="n">
        <v>0.87</v>
      </c>
      <c r="AR5" s="0" t="n">
        <v>0.89</v>
      </c>
      <c r="AS5" s="0" t="n">
        <v>0.977</v>
      </c>
      <c r="AT5" s="177" t="n">
        <v>0.925</v>
      </c>
      <c r="AU5" s="0" t="n">
        <v>0.89</v>
      </c>
      <c r="AV5" s="0" t="n">
        <v>0.87</v>
      </c>
      <c r="AW5" s="0" t="n">
        <v>0.87</v>
      </c>
      <c r="AX5" s="0" t="n">
        <v>0.87</v>
      </c>
      <c r="AY5" s="0" t="n">
        <v>0.89</v>
      </c>
      <c r="AZ5" s="0" t="n">
        <v>0.89</v>
      </c>
      <c r="BA5" s="0" t="n">
        <v>0.87</v>
      </c>
      <c r="BB5" s="187" t="n">
        <v>1</v>
      </c>
      <c r="BC5" s="0" t="n">
        <v>1</v>
      </c>
      <c r="BD5" s="0" t="n">
        <v>1</v>
      </c>
      <c r="BE5" s="0" t="n">
        <v>1</v>
      </c>
      <c r="BF5" s="0" t="n">
        <v>0.9999</v>
      </c>
      <c r="BG5" s="0" t="n">
        <v>1</v>
      </c>
      <c r="BH5" s="0" t="n">
        <v>1</v>
      </c>
      <c r="BI5" s="0" t="n">
        <v>0.995</v>
      </c>
      <c r="BJ5" s="0" t="n">
        <v>0.999</v>
      </c>
      <c r="BK5" s="0" t="n">
        <v>0.998</v>
      </c>
      <c r="BL5" s="0" t="n">
        <v>0.9985</v>
      </c>
      <c r="BM5" s="0" t="n">
        <v>0.9985</v>
      </c>
      <c r="BN5" s="0" t="n">
        <v>0.972</v>
      </c>
      <c r="BO5" s="0" t="n">
        <v>0.9999</v>
      </c>
      <c r="BP5" s="0" t="n">
        <v>0.9999</v>
      </c>
      <c r="BQ5" s="0" t="n">
        <v>1</v>
      </c>
      <c r="BR5" s="0" t="n">
        <v>1</v>
      </c>
      <c r="BS5" s="0" t="n">
        <v>1</v>
      </c>
      <c r="BT5" s="0" t="n">
        <v>1</v>
      </c>
      <c r="BU5" s="0" t="n">
        <v>1</v>
      </c>
      <c r="BV5" s="0" t="n">
        <v>1</v>
      </c>
      <c r="BW5" s="0" t="n">
        <v>1</v>
      </c>
      <c r="BX5" s="0" t="n">
        <v>1</v>
      </c>
      <c r="BY5" s="0" t="n">
        <v>1</v>
      </c>
      <c r="BZ5" s="0" t="n">
        <v>1</v>
      </c>
      <c r="CA5" s="0" t="n">
        <v>1</v>
      </c>
      <c r="CB5" s="0" t="n">
        <v>1</v>
      </c>
      <c r="CC5" s="0" t="n">
        <v>1</v>
      </c>
      <c r="CD5" s="0" t="n">
        <v>1</v>
      </c>
      <c r="CE5" s="0" t="n">
        <v>1</v>
      </c>
      <c r="CF5" s="0" t="n">
        <v>1</v>
      </c>
      <c r="CG5" s="188"/>
      <c r="CH5" s="0" t="n">
        <v>1</v>
      </c>
      <c r="CI5" s="188"/>
      <c r="CJ5" s="188"/>
      <c r="CK5" s="188"/>
      <c r="CL5" s="188"/>
      <c r="CM5" s="188"/>
      <c r="CN5" s="188"/>
      <c r="CO5" s="188"/>
      <c r="CP5" s="0" t="n">
        <v>0.895</v>
      </c>
      <c r="CQ5" s="0" t="n">
        <v>0.86</v>
      </c>
      <c r="CR5" s="0" t="n">
        <v>0.87</v>
      </c>
      <c r="CS5" s="0" t="n">
        <v>0.92</v>
      </c>
      <c r="CT5" s="0" t="n">
        <v>0.999</v>
      </c>
      <c r="CU5" s="0" t="n">
        <v>0.58</v>
      </c>
      <c r="CV5" s="0" t="n">
        <v>0.44</v>
      </c>
      <c r="CW5" s="0" t="n">
        <v>0.795</v>
      </c>
      <c r="CX5" s="0" t="n">
        <v>0.49</v>
      </c>
      <c r="CY5" s="0" t="n">
        <v>0.505</v>
      </c>
      <c r="CZ5" s="0" t="n">
        <v>0.605</v>
      </c>
      <c r="DA5" s="0" t="n">
        <v>0.6375</v>
      </c>
      <c r="DB5" s="0" t="n">
        <v>0.69</v>
      </c>
      <c r="DC5" s="0" t="n">
        <v>0.88</v>
      </c>
      <c r="DD5" s="0" t="n">
        <v>0.64</v>
      </c>
      <c r="DE5" s="0" t="n">
        <v>0.89</v>
      </c>
      <c r="DF5" s="0" t="n">
        <v>0.985</v>
      </c>
      <c r="DG5" s="0" t="n">
        <v>0.96</v>
      </c>
      <c r="DH5" s="0" t="n">
        <v>0.99</v>
      </c>
      <c r="DI5" s="0" t="n">
        <v>0.925</v>
      </c>
      <c r="DN5" s="188"/>
      <c r="DO5" s="188"/>
      <c r="DP5" s="188"/>
      <c r="DQ5" s="188"/>
      <c r="DR5" s="188"/>
      <c r="DS5" s="188"/>
      <c r="DT5" s="188"/>
      <c r="DU5" s="188"/>
      <c r="DV5" s="188"/>
      <c r="DW5" s="188"/>
      <c r="DX5" s="188"/>
      <c r="DY5" s="188"/>
      <c r="DZ5" s="188"/>
      <c r="EA5" s="188"/>
      <c r="EB5" s="188"/>
      <c r="ED5" s="188"/>
      <c r="EF5" s="0" t="n">
        <v>1</v>
      </c>
    </row>
    <row r="6" customFormat="false" ht="12.75" hidden="false" customHeight="false" outlineLevel="0" collapsed="false">
      <c r="A6" s="149" t="n">
        <v>36557</v>
      </c>
      <c r="B6" s="0" t="n">
        <v>0.865</v>
      </c>
      <c r="C6" s="0" t="n">
        <v>0.86</v>
      </c>
      <c r="D6" s="0" t="n">
        <v>0.89</v>
      </c>
      <c r="E6" s="0" t="n">
        <v>0.89</v>
      </c>
      <c r="F6" s="0" t="n">
        <v>0.977</v>
      </c>
      <c r="G6" s="0" t="n">
        <v>0.58</v>
      </c>
      <c r="H6" s="0" t="n">
        <v>0.44</v>
      </c>
      <c r="I6" s="0" t="n">
        <v>0.835</v>
      </c>
      <c r="J6" s="0" t="n">
        <v>0.595</v>
      </c>
      <c r="K6" s="0" t="n">
        <v>0.505</v>
      </c>
      <c r="L6" s="176" t="n">
        <v>0.635</v>
      </c>
      <c r="M6" s="176" t="n">
        <v>0.6675</v>
      </c>
      <c r="N6" s="0" t="n">
        <v>0.71</v>
      </c>
      <c r="O6" s="0" t="n">
        <v>0.8775</v>
      </c>
      <c r="P6" s="0" t="n">
        <v>0.71</v>
      </c>
      <c r="Q6" s="177" t="n">
        <v>0.635</v>
      </c>
      <c r="R6" s="0" t="n">
        <v>0.635</v>
      </c>
      <c r="S6" s="176" t="n">
        <v>0.635</v>
      </c>
      <c r="T6" s="0" t="n">
        <v>0.71</v>
      </c>
      <c r="U6" s="0" t="n">
        <v>0.71</v>
      </c>
      <c r="V6" s="0" t="n">
        <v>0.71</v>
      </c>
      <c r="W6" s="0" t="n">
        <v>0.71</v>
      </c>
      <c r="X6" s="0" t="n">
        <v>0.8775</v>
      </c>
      <c r="Y6" s="0" t="n">
        <v>0.8775</v>
      </c>
      <c r="Z6" s="0" t="n">
        <v>0.8775</v>
      </c>
      <c r="AA6" s="0" t="n">
        <v>0.8775</v>
      </c>
      <c r="AB6" s="0" t="n">
        <v>0.71</v>
      </c>
      <c r="AC6" s="0" t="n">
        <v>0.71</v>
      </c>
      <c r="AD6" s="0" t="n">
        <v>0.8775</v>
      </c>
      <c r="AE6" s="0" t="n">
        <v>0.8775</v>
      </c>
      <c r="AF6" s="0" t="n">
        <v>0.71</v>
      </c>
      <c r="AG6" s="186" t="n">
        <v>0.98</v>
      </c>
      <c r="AH6" s="0" t="n">
        <v>0.9612</v>
      </c>
      <c r="AI6" s="0" t="n">
        <v>0.9612</v>
      </c>
      <c r="AJ6" s="0" t="n">
        <v>0.71</v>
      </c>
      <c r="AK6" s="0" t="n">
        <v>1</v>
      </c>
      <c r="AL6" s="0" t="n">
        <v>0.505</v>
      </c>
      <c r="AM6" s="0" t="n">
        <v>0.89</v>
      </c>
      <c r="AN6" s="177" t="n">
        <v>0.985</v>
      </c>
      <c r="AO6" s="177" t="n">
        <v>0.97</v>
      </c>
      <c r="AP6" s="177" t="n">
        <v>0.99</v>
      </c>
      <c r="AQ6" s="0" t="n">
        <v>0.89</v>
      </c>
      <c r="AR6" s="0" t="n">
        <v>0.9612</v>
      </c>
      <c r="AS6" s="0" t="n">
        <v>0.977</v>
      </c>
      <c r="AT6" s="177" t="n">
        <v>0.93</v>
      </c>
      <c r="AU6" s="0" t="n">
        <v>0.9612</v>
      </c>
      <c r="AV6" s="0" t="n">
        <v>0.89</v>
      </c>
      <c r="AW6" s="0" t="n">
        <v>0.89</v>
      </c>
      <c r="AX6" s="0" t="n">
        <v>0.89</v>
      </c>
      <c r="AY6" s="0" t="n">
        <v>0.9612</v>
      </c>
      <c r="AZ6" s="0" t="n">
        <v>0.9612</v>
      </c>
      <c r="BA6" s="0" t="n">
        <v>0.89</v>
      </c>
      <c r="BB6" s="187" t="n">
        <v>1</v>
      </c>
      <c r="BC6" s="0" t="n">
        <v>1</v>
      </c>
      <c r="BD6" s="0" t="n">
        <v>1</v>
      </c>
      <c r="BE6" s="0" t="n">
        <v>1</v>
      </c>
      <c r="BF6" s="0" t="n">
        <v>0.9999</v>
      </c>
      <c r="BG6" s="0" t="n">
        <v>1</v>
      </c>
      <c r="BH6" s="0" t="n">
        <v>1</v>
      </c>
      <c r="BI6" s="0" t="n">
        <v>0.995</v>
      </c>
      <c r="BJ6" s="0" t="n">
        <v>0.999</v>
      </c>
      <c r="BK6" s="0" t="n">
        <v>0.998</v>
      </c>
      <c r="BL6" s="0" t="n">
        <v>0.9985</v>
      </c>
      <c r="BM6" s="0" t="n">
        <v>0.9985</v>
      </c>
      <c r="BN6" s="0" t="n">
        <v>0.972</v>
      </c>
      <c r="BO6" s="0" t="n">
        <v>0.9999</v>
      </c>
      <c r="BP6" s="0" t="n">
        <v>0.9999</v>
      </c>
      <c r="BQ6" s="0" t="n">
        <v>1</v>
      </c>
      <c r="BR6" s="0" t="n">
        <v>1</v>
      </c>
      <c r="BS6" s="0" t="n">
        <v>1</v>
      </c>
      <c r="BT6" s="0" t="n">
        <v>1</v>
      </c>
      <c r="BU6" s="0" t="n">
        <v>1</v>
      </c>
      <c r="BV6" s="0" t="n">
        <v>1</v>
      </c>
      <c r="BW6" s="0" t="n">
        <v>1</v>
      </c>
      <c r="BX6" s="0" t="n">
        <v>1</v>
      </c>
      <c r="BY6" s="0" t="n">
        <v>1</v>
      </c>
      <c r="BZ6" s="0" t="n">
        <v>1</v>
      </c>
      <c r="CA6" s="0" t="n">
        <v>1</v>
      </c>
      <c r="CB6" s="0" t="n">
        <v>1</v>
      </c>
      <c r="CC6" s="0" t="n">
        <v>1</v>
      </c>
      <c r="CD6" s="0" t="n">
        <v>1</v>
      </c>
      <c r="CE6" s="0" t="n">
        <v>1</v>
      </c>
      <c r="CF6" s="0" t="n">
        <v>1</v>
      </c>
      <c r="CG6" s="188"/>
      <c r="CH6" s="0" t="n">
        <v>1.08</v>
      </c>
      <c r="CI6" s="188"/>
      <c r="CJ6" s="188"/>
      <c r="CK6" s="188"/>
      <c r="CL6" s="188"/>
      <c r="CM6" s="188"/>
      <c r="CN6" s="188"/>
      <c r="CO6" s="188"/>
      <c r="CP6" s="0" t="n">
        <v>0.865</v>
      </c>
      <c r="CQ6" s="0" t="n">
        <v>0.86</v>
      </c>
      <c r="CR6" s="0" t="n">
        <v>0.89</v>
      </c>
      <c r="CS6" s="0" t="n">
        <v>0.935</v>
      </c>
      <c r="CT6" s="0" t="n">
        <v>0.99895</v>
      </c>
      <c r="CU6" s="0" t="n">
        <v>0.58</v>
      </c>
      <c r="CV6" s="0" t="n">
        <v>0.44</v>
      </c>
      <c r="CW6" s="0" t="n">
        <v>0.835</v>
      </c>
      <c r="CX6" s="0" t="n">
        <v>0.595</v>
      </c>
      <c r="CY6" s="0" t="n">
        <v>0.505</v>
      </c>
      <c r="CZ6" s="0" t="n">
        <v>0.635</v>
      </c>
      <c r="DA6" s="0" t="n">
        <v>0.6675</v>
      </c>
      <c r="DB6" s="0" t="n">
        <v>0.71</v>
      </c>
      <c r="DC6" s="0" t="n">
        <v>0.8775</v>
      </c>
      <c r="DD6" s="0" t="n">
        <v>0.67</v>
      </c>
      <c r="DE6" s="0" t="n">
        <v>0.89</v>
      </c>
      <c r="DF6" s="0" t="n">
        <v>0.985</v>
      </c>
      <c r="DG6" s="0" t="n">
        <v>0.97</v>
      </c>
      <c r="DH6" s="0" t="n">
        <v>0.99</v>
      </c>
      <c r="DI6" s="0" t="n">
        <v>0.93</v>
      </c>
      <c r="DN6" s="188"/>
      <c r="DO6" s="188"/>
      <c r="DP6" s="188"/>
      <c r="DQ6" s="188"/>
      <c r="DR6" s="188"/>
      <c r="DS6" s="188"/>
      <c r="DT6" s="188"/>
      <c r="DU6" s="188"/>
      <c r="DV6" s="188"/>
      <c r="DW6" s="188"/>
      <c r="DX6" s="188"/>
      <c r="DY6" s="188"/>
      <c r="DZ6" s="188"/>
      <c r="EA6" s="188"/>
      <c r="EB6" s="188"/>
      <c r="ED6" s="188" t="n">
        <v>0.08</v>
      </c>
      <c r="EF6" s="0" t="n">
        <v>1</v>
      </c>
    </row>
    <row r="7" customFormat="false" ht="12.75" hidden="false" customHeight="false" outlineLevel="0" collapsed="false">
      <c r="A7" s="149" t="n">
        <v>36586</v>
      </c>
      <c r="B7" s="0" t="n">
        <v>0.91863</v>
      </c>
      <c r="C7" s="0" t="n">
        <v>0.9167</v>
      </c>
      <c r="D7" s="0" t="n">
        <v>0.981435</v>
      </c>
      <c r="E7" s="0" t="n">
        <v>0.981435</v>
      </c>
      <c r="F7" s="0" t="n">
        <v>0.977</v>
      </c>
      <c r="G7" s="0" t="n">
        <v>0.9875</v>
      </c>
      <c r="H7" s="0" t="n">
        <v>0.968</v>
      </c>
      <c r="I7" s="0" t="n">
        <v>0.865</v>
      </c>
      <c r="J7" s="0" t="n">
        <v>0.9849375</v>
      </c>
      <c r="K7" s="0" t="n">
        <v>0.985</v>
      </c>
      <c r="L7" s="176" t="n">
        <v>0.9875</v>
      </c>
      <c r="M7" s="176" t="n">
        <v>0.9875</v>
      </c>
      <c r="N7" s="0" t="n">
        <v>0.98</v>
      </c>
      <c r="O7" s="0" t="n">
        <v>0.936</v>
      </c>
      <c r="P7" s="0" t="n">
        <v>0.98</v>
      </c>
      <c r="Q7" s="177" t="n">
        <v>0.9875</v>
      </c>
      <c r="R7" s="0" t="n">
        <v>0.9875</v>
      </c>
      <c r="S7" s="176" t="n">
        <v>0.9875</v>
      </c>
      <c r="T7" s="0" t="n">
        <v>0.98</v>
      </c>
      <c r="U7" s="0" t="n">
        <v>0.98</v>
      </c>
      <c r="V7" s="0" t="n">
        <v>0.98</v>
      </c>
      <c r="W7" s="0" t="n">
        <v>0.98</v>
      </c>
      <c r="X7" s="0" t="n">
        <v>0.936</v>
      </c>
      <c r="Y7" s="0" t="n">
        <v>0.936</v>
      </c>
      <c r="Z7" s="0" t="n">
        <v>0.936</v>
      </c>
      <c r="AA7" s="0" t="n">
        <v>0.936</v>
      </c>
      <c r="AB7" s="0" t="n">
        <v>0.98</v>
      </c>
      <c r="AC7" s="0" t="n">
        <v>0.98</v>
      </c>
      <c r="AD7" s="0" t="n">
        <v>0.936</v>
      </c>
      <c r="AE7" s="0" t="n">
        <v>0.936</v>
      </c>
      <c r="AF7" s="0" t="n">
        <v>0.98</v>
      </c>
      <c r="AG7" s="0" t="n">
        <v>0.99</v>
      </c>
      <c r="AH7" s="0" t="n">
        <v>0.962535</v>
      </c>
      <c r="AI7" s="0" t="n">
        <v>0.962535</v>
      </c>
      <c r="AJ7" s="0" t="n">
        <v>0.98</v>
      </c>
      <c r="AK7" s="0" t="n">
        <v>1</v>
      </c>
      <c r="AL7" s="0" t="n">
        <v>0.985</v>
      </c>
      <c r="AM7" s="0" t="n">
        <v>0.981435</v>
      </c>
      <c r="AN7" s="177" t="n">
        <v>0.985</v>
      </c>
      <c r="AO7" s="177" t="n">
        <v>0.97</v>
      </c>
      <c r="AP7" s="177" t="n">
        <v>0.99</v>
      </c>
      <c r="AQ7" s="176" t="n">
        <v>0.981435</v>
      </c>
      <c r="AR7" s="0" t="n">
        <v>0.962535</v>
      </c>
      <c r="AS7" s="0" t="n">
        <v>0.977</v>
      </c>
      <c r="AT7" s="177" t="n">
        <v>0.945</v>
      </c>
      <c r="AU7" s="0" t="n">
        <v>0.962535</v>
      </c>
      <c r="AV7" s="0" t="n">
        <v>0.981435</v>
      </c>
      <c r="AW7" s="0" t="n">
        <v>0.981435</v>
      </c>
      <c r="AX7" s="0" t="n">
        <v>0.981435</v>
      </c>
      <c r="AY7" s="0" t="n">
        <v>0.962535</v>
      </c>
      <c r="AZ7" s="0" t="n">
        <v>0.962535</v>
      </c>
      <c r="BA7" s="0" t="n">
        <v>0.981435</v>
      </c>
      <c r="BB7" s="187" t="n">
        <v>1</v>
      </c>
      <c r="BC7" s="0" t="n">
        <v>1</v>
      </c>
      <c r="BD7" s="0" t="n">
        <v>1</v>
      </c>
      <c r="BE7" s="0" t="n">
        <v>1</v>
      </c>
      <c r="BF7" s="0" t="n">
        <v>0.9999</v>
      </c>
      <c r="BG7" s="0" t="n">
        <v>1</v>
      </c>
      <c r="BH7" s="0" t="n">
        <v>1</v>
      </c>
      <c r="BI7" s="0" t="n">
        <v>0.995</v>
      </c>
      <c r="BJ7" s="0" t="n">
        <v>0.999</v>
      </c>
      <c r="BK7" s="0" t="n">
        <v>0.998</v>
      </c>
      <c r="BL7" s="0" t="n">
        <v>0.9985</v>
      </c>
      <c r="BM7" s="0" t="n">
        <v>0.9985</v>
      </c>
      <c r="BN7" s="0" t="n">
        <v>0.972</v>
      </c>
      <c r="BO7" s="0" t="n">
        <v>0.9999</v>
      </c>
      <c r="BP7" s="0" t="n">
        <v>0.9999</v>
      </c>
      <c r="BQ7" s="0" t="n">
        <v>1</v>
      </c>
      <c r="BR7" s="0" t="n">
        <v>1.062</v>
      </c>
      <c r="BS7" s="0" t="n">
        <v>1.03</v>
      </c>
      <c r="BT7" s="0" t="n">
        <v>1.0785</v>
      </c>
      <c r="BU7" s="0" t="n">
        <v>1.005</v>
      </c>
      <c r="BV7" s="0" t="n">
        <v>1</v>
      </c>
      <c r="BW7" s="0" t="n">
        <v>1.85</v>
      </c>
      <c r="BX7" s="0" t="n">
        <v>2.2</v>
      </c>
      <c r="BY7" s="0" t="n">
        <v>1</v>
      </c>
      <c r="BZ7" s="0" t="n">
        <v>1.2875</v>
      </c>
      <c r="CA7" s="0" t="n">
        <v>1.98</v>
      </c>
      <c r="CB7" s="0" t="n">
        <v>1.46</v>
      </c>
      <c r="CC7" s="0" t="n">
        <v>1.46</v>
      </c>
      <c r="CD7" s="0" t="n">
        <v>1.225</v>
      </c>
      <c r="CE7" s="0" t="n">
        <v>1.04</v>
      </c>
      <c r="CF7" s="0" t="n">
        <v>1.38</v>
      </c>
      <c r="CG7" s="188"/>
      <c r="CH7" s="0" t="n">
        <v>1.0815</v>
      </c>
      <c r="CI7" s="188"/>
      <c r="CJ7" s="188"/>
      <c r="CK7" s="188"/>
      <c r="CL7" s="188"/>
      <c r="CM7" s="188"/>
      <c r="CN7" s="188"/>
      <c r="CO7" s="188"/>
      <c r="CP7" s="0" t="n">
        <v>0.865</v>
      </c>
      <c r="CQ7" s="0" t="n">
        <v>0.89</v>
      </c>
      <c r="CR7" s="0" t="n">
        <v>0.91</v>
      </c>
      <c r="CS7" s="0" t="n">
        <v>0.935</v>
      </c>
      <c r="CT7" s="0" t="n">
        <v>0.99895</v>
      </c>
      <c r="CU7" s="0" t="n">
        <v>0.54</v>
      </c>
      <c r="CV7" s="0" t="n">
        <v>0.44</v>
      </c>
      <c r="CW7" s="0" t="n">
        <v>0.865</v>
      </c>
      <c r="CX7" s="0" t="n">
        <v>0.765</v>
      </c>
      <c r="CY7" s="0" t="n">
        <v>0.515</v>
      </c>
      <c r="CZ7" s="0" t="n">
        <v>0.785</v>
      </c>
      <c r="DA7" s="0" t="n">
        <v>0.8175</v>
      </c>
      <c r="DB7" s="0" t="n">
        <v>0.8</v>
      </c>
      <c r="DC7" s="0" t="n">
        <v>0.9</v>
      </c>
      <c r="DD7" s="0" t="n">
        <v>0.83</v>
      </c>
      <c r="DE7" s="0" t="n">
        <v>0.89</v>
      </c>
      <c r="DF7" s="0" t="n">
        <v>0.985</v>
      </c>
      <c r="DG7" s="0" t="n">
        <v>0.97</v>
      </c>
      <c r="DH7" s="0" t="n">
        <v>0.99</v>
      </c>
      <c r="DI7" s="0" t="n">
        <v>0.945</v>
      </c>
      <c r="DN7" s="188" t="n">
        <v>0.062</v>
      </c>
      <c r="DO7" s="188" t="n">
        <v>0.03</v>
      </c>
      <c r="DP7" s="188" t="n">
        <v>0.0785</v>
      </c>
      <c r="DQ7" s="188" t="n">
        <v>0.005</v>
      </c>
      <c r="DR7" s="188" t="n">
        <v>0</v>
      </c>
      <c r="DS7" s="188" t="n">
        <v>0.85</v>
      </c>
      <c r="DT7" s="188" t="n">
        <v>1.2</v>
      </c>
      <c r="DU7" s="188" t="n">
        <v>0</v>
      </c>
      <c r="DV7" s="188" t="n">
        <v>0.2875</v>
      </c>
      <c r="DW7" s="188" t="n">
        <v>0.98</v>
      </c>
      <c r="DX7" s="188" t="n">
        <v>0.46</v>
      </c>
      <c r="DY7" s="188" t="n">
        <v>0.46</v>
      </c>
      <c r="DZ7" s="188" t="n">
        <v>0.225</v>
      </c>
      <c r="EA7" s="188" t="n">
        <v>0.04</v>
      </c>
      <c r="EB7" s="188" t="n">
        <v>0.38</v>
      </c>
      <c r="ED7" s="188" t="n">
        <v>0.0015</v>
      </c>
      <c r="EF7" s="0" t="n">
        <v>1</v>
      </c>
    </row>
    <row r="8" customFormat="false" ht="12.75" hidden="false" customHeight="false" outlineLevel="0" collapsed="false">
      <c r="A8" s="149" t="n">
        <v>36617</v>
      </c>
      <c r="B8" s="0" t="n">
        <v>0.9509375</v>
      </c>
      <c r="C8" s="0" t="n">
        <v>0.954</v>
      </c>
      <c r="D8" s="0" t="n">
        <v>0.98189</v>
      </c>
      <c r="E8" s="0" t="n">
        <v>0.98189</v>
      </c>
      <c r="F8" s="0" t="n">
        <v>0.977</v>
      </c>
      <c r="G8" s="0" t="n">
        <v>0.88992</v>
      </c>
      <c r="H8" s="0" t="n">
        <v>0.9040377</v>
      </c>
      <c r="I8" s="0" t="n">
        <v>0.92661875</v>
      </c>
      <c r="J8" s="0" t="n">
        <v>0.972138</v>
      </c>
      <c r="K8" s="0" t="n">
        <v>0.985</v>
      </c>
      <c r="L8" s="176" t="n">
        <v>0.9875</v>
      </c>
      <c r="M8" s="176" t="n">
        <v>0.9875</v>
      </c>
      <c r="N8" s="0" t="n">
        <v>0.98</v>
      </c>
      <c r="O8" s="0" t="n">
        <v>0.9404745</v>
      </c>
      <c r="P8" s="0" t="n">
        <v>0.98</v>
      </c>
      <c r="Q8" s="177" t="n">
        <v>0.9875</v>
      </c>
      <c r="R8" s="0" t="n">
        <v>0.9875</v>
      </c>
      <c r="S8" s="176" t="n">
        <v>0.9875</v>
      </c>
      <c r="T8" s="0" t="n">
        <v>0.98</v>
      </c>
      <c r="U8" s="0" t="n">
        <v>0.98</v>
      </c>
      <c r="V8" s="0" t="n">
        <v>0.98</v>
      </c>
      <c r="W8" s="0" t="n">
        <v>0.98</v>
      </c>
      <c r="X8" s="0" t="n">
        <v>0.9404745</v>
      </c>
      <c r="Y8" s="0" t="n">
        <v>0.9404745</v>
      </c>
      <c r="Z8" s="0" t="n">
        <v>0.9404745</v>
      </c>
      <c r="AA8" s="0" t="n">
        <v>0.9404745</v>
      </c>
      <c r="AB8" s="0" t="n">
        <v>0.98</v>
      </c>
      <c r="AC8" s="0" t="n">
        <v>0.98</v>
      </c>
      <c r="AD8" s="0" t="n">
        <v>0.9404745</v>
      </c>
      <c r="AE8" s="0" t="n">
        <v>0.9404745</v>
      </c>
      <c r="AF8" s="0" t="n">
        <v>0.98</v>
      </c>
      <c r="AG8" s="0" t="n">
        <v>0.99</v>
      </c>
      <c r="AH8" s="0" t="n">
        <v>0.963781</v>
      </c>
      <c r="AI8" s="0" t="n">
        <v>0.963781</v>
      </c>
      <c r="AJ8" s="0" t="n">
        <v>0.98</v>
      </c>
      <c r="AK8" s="0" t="n">
        <v>1</v>
      </c>
      <c r="AL8" s="0" t="n">
        <v>0.985</v>
      </c>
      <c r="AM8" s="0" t="n">
        <v>0.98189</v>
      </c>
      <c r="AN8" s="177" t="n">
        <v>0.985</v>
      </c>
      <c r="AO8" s="177" t="n">
        <v>0.99</v>
      </c>
      <c r="AP8" s="177" t="n">
        <v>0.99</v>
      </c>
      <c r="AQ8" s="0" t="n">
        <v>0.98189</v>
      </c>
      <c r="AR8" s="0" t="n">
        <v>0.963781</v>
      </c>
      <c r="AS8" s="0" t="n">
        <v>0.977</v>
      </c>
      <c r="AT8" s="177" t="n">
        <v>0.97</v>
      </c>
      <c r="AU8" s="0" t="n">
        <v>0.963781</v>
      </c>
      <c r="AV8" s="0" t="n">
        <v>0.98189</v>
      </c>
      <c r="AW8" s="0" t="n">
        <v>0.98189</v>
      </c>
      <c r="AX8" s="0" t="n">
        <v>0.98189</v>
      </c>
      <c r="AY8" s="0" t="n">
        <v>0.963781</v>
      </c>
      <c r="AZ8" s="0" t="n">
        <v>0.963781</v>
      </c>
      <c r="BA8" s="0" t="n">
        <v>0.98189</v>
      </c>
      <c r="BB8" s="187" t="n">
        <v>1</v>
      </c>
      <c r="BC8" s="0" t="n">
        <v>1</v>
      </c>
      <c r="BD8" s="0" t="n">
        <v>1</v>
      </c>
      <c r="BE8" s="0" t="n">
        <v>1</v>
      </c>
      <c r="BF8" s="0" t="n">
        <v>0.9999</v>
      </c>
      <c r="BG8" s="0" t="n">
        <v>1</v>
      </c>
      <c r="BH8" s="0" t="n">
        <v>1</v>
      </c>
      <c r="BI8" s="0" t="n">
        <v>0.995</v>
      </c>
      <c r="BJ8" s="0" t="n">
        <v>0.999</v>
      </c>
      <c r="BK8" s="0" t="n">
        <v>0.998</v>
      </c>
      <c r="BL8" s="0" t="n">
        <v>0.9985</v>
      </c>
      <c r="BM8" s="0" t="n">
        <v>0.9985</v>
      </c>
      <c r="BN8" s="0" t="n">
        <v>0.972</v>
      </c>
      <c r="BO8" s="0" t="n">
        <v>0.9999</v>
      </c>
      <c r="BP8" s="0" t="n">
        <v>0.9999</v>
      </c>
      <c r="BQ8" s="0" t="n">
        <v>1</v>
      </c>
      <c r="BR8" s="0" t="n">
        <v>1.0625</v>
      </c>
      <c r="BS8" s="0" t="n">
        <v>1.06</v>
      </c>
      <c r="BT8" s="0" t="n">
        <v>1.079</v>
      </c>
      <c r="BU8" s="0" t="n">
        <v>1.0051</v>
      </c>
      <c r="BV8" s="0" t="n">
        <v>1</v>
      </c>
      <c r="BW8" s="0" t="n">
        <v>1.854</v>
      </c>
      <c r="BX8" s="0" t="n">
        <v>2.20497</v>
      </c>
      <c r="BY8" s="0" t="n">
        <v>1.00175</v>
      </c>
      <c r="BZ8" s="0" t="n">
        <v>1.2876</v>
      </c>
      <c r="CA8" s="0" t="n">
        <v>1.9815</v>
      </c>
      <c r="CB8" s="0" t="n">
        <v>1.4615</v>
      </c>
      <c r="CC8" s="0" t="n">
        <v>1.4615</v>
      </c>
      <c r="CD8" s="0" t="n">
        <v>1.2265</v>
      </c>
      <c r="CE8" s="0" t="n">
        <v>1.0415</v>
      </c>
      <c r="CF8" s="0" t="n">
        <v>1.3815</v>
      </c>
      <c r="CG8" s="188"/>
      <c r="CH8" s="0" t="n">
        <v>1.0829</v>
      </c>
      <c r="CI8" s="188"/>
      <c r="CJ8" s="188"/>
      <c r="CK8" s="188"/>
      <c r="CL8" s="188"/>
      <c r="CM8" s="188"/>
      <c r="CN8" s="188"/>
      <c r="CO8" s="188"/>
      <c r="CP8" s="0" t="n">
        <v>0.895</v>
      </c>
      <c r="CQ8" s="0" t="n">
        <v>0.9</v>
      </c>
      <c r="CR8" s="0" t="n">
        <v>0.91</v>
      </c>
      <c r="CS8" s="0" t="n">
        <v>0.96</v>
      </c>
      <c r="CT8" s="0" t="n">
        <v>0.99895</v>
      </c>
      <c r="CU8" s="0" t="n">
        <v>0.48</v>
      </c>
      <c r="CV8" s="0" t="n">
        <v>0.41</v>
      </c>
      <c r="CW8" s="0" t="n">
        <v>0.925</v>
      </c>
      <c r="CX8" s="0" t="n">
        <v>0.755</v>
      </c>
      <c r="CY8" s="0" t="n">
        <v>0.575</v>
      </c>
      <c r="CZ8" s="0" t="n">
        <v>0.895</v>
      </c>
      <c r="DA8" s="0" t="n">
        <v>0.9275</v>
      </c>
      <c r="DB8" s="0" t="n">
        <v>0.85</v>
      </c>
      <c r="DC8" s="0" t="n">
        <v>0.903</v>
      </c>
      <c r="DD8" s="0" t="n">
        <v>0.92</v>
      </c>
      <c r="DE8" s="0" t="n">
        <v>0.89</v>
      </c>
      <c r="DF8" s="0" t="n">
        <v>0.985</v>
      </c>
      <c r="DG8" s="0" t="n">
        <v>0.99</v>
      </c>
      <c r="DH8" s="0" t="n">
        <v>0.99</v>
      </c>
      <c r="DI8" s="0" t="n">
        <v>0.97</v>
      </c>
      <c r="DN8" s="188" t="n">
        <v>0.0005</v>
      </c>
      <c r="DO8" s="188" t="n">
        <v>0.03</v>
      </c>
      <c r="DP8" s="188" t="n">
        <v>0.0005</v>
      </c>
      <c r="DQ8" s="188" t="n">
        <v>0.0001</v>
      </c>
      <c r="DR8" s="188" t="n">
        <v>0</v>
      </c>
      <c r="DS8" s="188" t="n">
        <v>0.004</v>
      </c>
      <c r="DT8" s="188" t="n">
        <v>0.00497</v>
      </c>
      <c r="DU8" s="188" t="n">
        <v>0.00175</v>
      </c>
      <c r="DV8" s="188" t="n">
        <v>0.0001</v>
      </c>
      <c r="DW8" s="188" t="n">
        <v>0.0015</v>
      </c>
      <c r="DX8" s="188" t="n">
        <v>0.0015</v>
      </c>
      <c r="DY8" s="188" t="n">
        <v>0.0015</v>
      </c>
      <c r="DZ8" s="188" t="n">
        <v>0.0015</v>
      </c>
      <c r="EA8" s="188" t="n">
        <v>0.0015</v>
      </c>
      <c r="EB8" s="188" t="n">
        <v>0.0015</v>
      </c>
      <c r="ED8" s="188" t="n">
        <v>0.0014</v>
      </c>
      <c r="EF8" s="0" t="n">
        <v>1</v>
      </c>
    </row>
    <row r="9" customFormat="false" ht="12.75" hidden="false" customHeight="false" outlineLevel="0" collapsed="false">
      <c r="A9" s="149" t="n">
        <v>36647</v>
      </c>
      <c r="B9" s="0" t="n">
        <v>0.988</v>
      </c>
      <c r="C9" s="0" t="n">
        <v>0.9828</v>
      </c>
      <c r="D9" s="0" t="n">
        <v>0.97155</v>
      </c>
      <c r="E9" s="0" t="n">
        <v>0.97155</v>
      </c>
      <c r="F9" s="0" t="n">
        <v>0.977</v>
      </c>
      <c r="G9" s="0" t="n">
        <v>0.631686</v>
      </c>
      <c r="H9" s="0" t="n">
        <v>0.9059852</v>
      </c>
      <c r="I9" s="0" t="n">
        <v>0.9282375</v>
      </c>
      <c r="J9" s="0" t="n">
        <v>0.8434435</v>
      </c>
      <c r="K9" s="0" t="n">
        <v>0.985</v>
      </c>
      <c r="L9" s="176" t="n">
        <v>0.9875</v>
      </c>
      <c r="M9" s="176" t="n">
        <v>0.9875</v>
      </c>
      <c r="N9" s="0" t="n">
        <v>0.98</v>
      </c>
      <c r="O9" s="0" t="n">
        <v>0.93861</v>
      </c>
      <c r="P9" s="0" t="n">
        <v>0.98</v>
      </c>
      <c r="Q9" s="177" t="n">
        <v>0.9875</v>
      </c>
      <c r="R9" s="0" t="n">
        <v>0.9875</v>
      </c>
      <c r="S9" s="176" t="n">
        <v>0.9875</v>
      </c>
      <c r="T9" s="0" t="n">
        <v>0.98</v>
      </c>
      <c r="U9" s="0" t="n">
        <v>0.98</v>
      </c>
      <c r="V9" s="0" t="n">
        <v>0.98</v>
      </c>
      <c r="W9" s="0" t="n">
        <v>0.98</v>
      </c>
      <c r="X9" s="0" t="n">
        <v>0.93861</v>
      </c>
      <c r="Y9" s="0" t="n">
        <v>0.93861</v>
      </c>
      <c r="Z9" s="0" t="n">
        <v>0.93861</v>
      </c>
      <c r="AA9" s="0" t="n">
        <v>0.93861</v>
      </c>
      <c r="AB9" s="0" t="n">
        <v>0.98</v>
      </c>
      <c r="AC9" s="0" t="n">
        <v>0.98</v>
      </c>
      <c r="AD9" s="0" t="n">
        <v>0.93861</v>
      </c>
      <c r="AE9" s="0" t="n">
        <v>0.93861</v>
      </c>
      <c r="AF9" s="0" t="n">
        <v>0.98</v>
      </c>
      <c r="AG9" s="0" t="n">
        <v>0.99</v>
      </c>
      <c r="AH9" s="0" t="n">
        <v>0.96494245</v>
      </c>
      <c r="AI9" s="0" t="n">
        <v>0.96494245</v>
      </c>
      <c r="AJ9" s="0" t="n">
        <v>0.98</v>
      </c>
      <c r="AK9" s="0" t="n">
        <v>1</v>
      </c>
      <c r="AL9" s="0" t="n">
        <v>0.985</v>
      </c>
      <c r="AM9" s="0" t="n">
        <v>0.97155</v>
      </c>
      <c r="AN9" s="177" t="n">
        <v>0.985</v>
      </c>
      <c r="AO9" s="177" t="n">
        <v>0.99</v>
      </c>
      <c r="AP9" s="177" t="n">
        <v>0.99</v>
      </c>
      <c r="AQ9" s="0" t="n">
        <v>0.97155</v>
      </c>
      <c r="AR9" s="0" t="n">
        <v>0.96494245</v>
      </c>
      <c r="AS9" s="0" t="n">
        <v>0.977</v>
      </c>
      <c r="AT9" s="177" t="n">
        <v>0.97</v>
      </c>
      <c r="AU9" s="0" t="n">
        <v>0.96494245</v>
      </c>
      <c r="AV9" s="0" t="n">
        <v>0.97155</v>
      </c>
      <c r="AW9" s="0" t="n">
        <v>0.97155</v>
      </c>
      <c r="AX9" s="0" t="n">
        <v>0.97155</v>
      </c>
      <c r="AY9" s="0" t="n">
        <v>0.96494245</v>
      </c>
      <c r="AZ9" s="0" t="n">
        <v>0.96494245</v>
      </c>
      <c r="BA9" s="0" t="n">
        <v>0.97155</v>
      </c>
      <c r="BB9" s="187" t="n">
        <v>1</v>
      </c>
      <c r="BC9" s="0" t="n">
        <v>1</v>
      </c>
      <c r="BD9" s="0" t="n">
        <v>1</v>
      </c>
      <c r="BE9" s="0" t="n">
        <v>1</v>
      </c>
      <c r="BF9" s="0" t="n">
        <v>0.9999</v>
      </c>
      <c r="BG9" s="0" t="n">
        <v>1</v>
      </c>
      <c r="BH9" s="0" t="n">
        <v>1</v>
      </c>
      <c r="BI9" s="0" t="n">
        <v>0.995</v>
      </c>
      <c r="BJ9" s="0" t="n">
        <v>0.999</v>
      </c>
      <c r="BK9" s="0" t="n">
        <v>0.998</v>
      </c>
      <c r="BL9" s="0" t="n">
        <v>0.9985</v>
      </c>
      <c r="BM9" s="0" t="n">
        <v>0.9985</v>
      </c>
      <c r="BN9" s="0" t="n">
        <v>0.972</v>
      </c>
      <c r="BO9" s="0" t="n">
        <v>0.9999</v>
      </c>
      <c r="BP9" s="0" t="n">
        <v>0.9999</v>
      </c>
      <c r="BQ9" s="0" t="n">
        <v>1</v>
      </c>
      <c r="BR9" s="0" t="n">
        <v>1.06299</v>
      </c>
      <c r="BS9" s="0" t="n">
        <v>1.08</v>
      </c>
      <c r="BT9" s="0" t="n">
        <v>1.0795</v>
      </c>
      <c r="BU9" s="0" t="n">
        <v>1.0052</v>
      </c>
      <c r="BV9" s="0" t="n">
        <v>1</v>
      </c>
      <c r="BW9" s="0" t="n">
        <v>1.8579</v>
      </c>
      <c r="BX9" s="0" t="n">
        <v>2.20972</v>
      </c>
      <c r="BY9" s="0" t="n">
        <v>1.0035</v>
      </c>
      <c r="BZ9" s="0" t="n">
        <v>1.2877</v>
      </c>
      <c r="CA9" s="0" t="n">
        <v>1.983</v>
      </c>
      <c r="CB9" s="0" t="n">
        <v>1.4629</v>
      </c>
      <c r="CC9" s="0" t="n">
        <v>1.4629</v>
      </c>
      <c r="CD9" s="0" t="n">
        <v>1.2279</v>
      </c>
      <c r="CE9" s="0" t="n">
        <v>1.0429</v>
      </c>
      <c r="CF9" s="0" t="n">
        <v>1.3829</v>
      </c>
      <c r="CG9" s="188"/>
      <c r="CH9" s="0" t="n">
        <v>1.084205</v>
      </c>
      <c r="CI9" s="188"/>
      <c r="CJ9" s="188"/>
      <c r="CK9" s="188"/>
      <c r="CL9" s="188"/>
      <c r="CM9" s="188"/>
      <c r="CN9" s="188"/>
      <c r="CO9" s="188"/>
      <c r="CP9" s="0" t="n">
        <v>0.965</v>
      </c>
      <c r="CQ9" s="0" t="n">
        <v>0.91</v>
      </c>
      <c r="CR9" s="0" t="n">
        <v>0.9</v>
      </c>
      <c r="CS9" s="0" t="n">
        <v>0.97</v>
      </c>
      <c r="CT9" s="0" t="n">
        <v>0.99895</v>
      </c>
      <c r="CU9" s="0" t="n">
        <v>0.34</v>
      </c>
      <c r="CV9" s="0" t="n">
        <v>0.41</v>
      </c>
      <c r="CW9" s="0" t="n">
        <v>0.925</v>
      </c>
      <c r="CX9" s="0" t="n">
        <v>0.655</v>
      </c>
      <c r="CY9" s="0" t="n">
        <v>0.625</v>
      </c>
      <c r="CZ9" s="0" t="n">
        <v>0.9175</v>
      </c>
      <c r="DA9" s="0" t="n">
        <v>0.95</v>
      </c>
      <c r="DB9" s="0" t="n">
        <v>0.88</v>
      </c>
      <c r="DC9" s="0" t="n">
        <v>0.9</v>
      </c>
      <c r="DD9" s="0" t="n">
        <v>0.935</v>
      </c>
      <c r="DE9" s="0" t="n">
        <v>0.89</v>
      </c>
      <c r="DF9" s="0" t="n">
        <v>0.985</v>
      </c>
      <c r="DG9" s="0" t="n">
        <v>0.99</v>
      </c>
      <c r="DH9" s="0" t="n">
        <v>0.99</v>
      </c>
      <c r="DI9" s="0" t="n">
        <v>0.97</v>
      </c>
      <c r="DN9" s="188" t="n">
        <v>0.00049</v>
      </c>
      <c r="DO9" s="188" t="n">
        <v>0.02</v>
      </c>
      <c r="DP9" s="188" t="n">
        <v>0.0005</v>
      </c>
      <c r="DQ9" s="188" t="n">
        <v>0.0001</v>
      </c>
      <c r="DR9" s="188" t="n">
        <v>0</v>
      </c>
      <c r="DS9" s="188" t="n">
        <v>0.0039</v>
      </c>
      <c r="DT9" s="188" t="n">
        <v>0.00475</v>
      </c>
      <c r="DU9" s="188" t="n">
        <v>0.00175</v>
      </c>
      <c r="DV9" s="188" t="n">
        <v>0.0001</v>
      </c>
      <c r="DW9" s="188" t="n">
        <v>0.0015</v>
      </c>
      <c r="DX9" s="188" t="n">
        <v>0.0014</v>
      </c>
      <c r="DY9" s="188" t="n">
        <v>0.0014</v>
      </c>
      <c r="DZ9" s="188" t="n">
        <v>0.0014</v>
      </c>
      <c r="EA9" s="188" t="n">
        <v>0.0014</v>
      </c>
      <c r="EB9" s="188" t="n">
        <v>0.0014</v>
      </c>
      <c r="ED9" s="188" t="n">
        <v>0.001305</v>
      </c>
      <c r="EF9" s="0" t="n">
        <v>1</v>
      </c>
    </row>
    <row r="10" customFormat="false" ht="12.75" hidden="false" customHeight="false" outlineLevel="0" collapsed="false">
      <c r="A10" s="149" t="n">
        <v>36678</v>
      </c>
      <c r="B10" s="0" t="n">
        <v>0.988</v>
      </c>
      <c r="C10" s="0" t="n">
        <v>0.988</v>
      </c>
      <c r="D10" s="0" t="n">
        <v>0.972</v>
      </c>
      <c r="E10" s="0" t="n">
        <v>0.972</v>
      </c>
      <c r="F10" s="0" t="n">
        <v>0.977</v>
      </c>
      <c r="G10" s="0" t="n">
        <v>0.632978</v>
      </c>
      <c r="H10" s="0" t="n">
        <v>0.9875</v>
      </c>
      <c r="I10" s="0" t="n">
        <v>0.92985625</v>
      </c>
      <c r="J10" s="0" t="n">
        <v>0.727607</v>
      </c>
      <c r="K10" s="0" t="n">
        <v>0.985</v>
      </c>
      <c r="L10" s="176" t="n">
        <v>0.9875</v>
      </c>
      <c r="M10" s="176" t="n">
        <v>0.9875</v>
      </c>
      <c r="N10" s="0" t="n">
        <v>0.98</v>
      </c>
      <c r="O10" s="0" t="n">
        <v>0.942395013</v>
      </c>
      <c r="P10" s="0" t="n">
        <v>0.98</v>
      </c>
      <c r="Q10" s="177" t="n">
        <v>0.9875</v>
      </c>
      <c r="R10" s="0" t="n">
        <v>0.9875</v>
      </c>
      <c r="S10" s="176" t="n">
        <v>0.9875</v>
      </c>
      <c r="T10" s="0" t="n">
        <v>0.98</v>
      </c>
      <c r="U10" s="0" t="n">
        <v>0.98</v>
      </c>
      <c r="V10" s="0" t="n">
        <v>0.98</v>
      </c>
      <c r="W10" s="0" t="n">
        <v>0.98</v>
      </c>
      <c r="X10" s="0" t="n">
        <v>0.942395013</v>
      </c>
      <c r="Y10" s="0" t="n">
        <v>0.942395013</v>
      </c>
      <c r="Z10" s="0" t="n">
        <v>0.942395013</v>
      </c>
      <c r="AA10" s="0" t="n">
        <v>0.942395013</v>
      </c>
      <c r="AB10" s="0" t="n">
        <v>0.98</v>
      </c>
      <c r="AC10" s="0" t="n">
        <v>0.98</v>
      </c>
      <c r="AD10" s="0" t="n">
        <v>0.942395013</v>
      </c>
      <c r="AE10" s="0" t="n">
        <v>0.942395013</v>
      </c>
      <c r="AF10" s="0" t="n">
        <v>0.98</v>
      </c>
      <c r="AG10" s="0" t="n">
        <v>0.99</v>
      </c>
      <c r="AH10" s="0" t="n">
        <v>0.96601045</v>
      </c>
      <c r="AI10" s="0" t="n">
        <v>0.96601045</v>
      </c>
      <c r="AJ10" s="0" t="n">
        <v>0.98</v>
      </c>
      <c r="AK10" s="0" t="n">
        <v>1</v>
      </c>
      <c r="AL10" s="0" t="n">
        <v>0.985</v>
      </c>
      <c r="AM10" s="0" t="n">
        <v>0.972</v>
      </c>
      <c r="AN10" s="177" t="n">
        <v>0.985</v>
      </c>
      <c r="AO10" s="177" t="n">
        <v>0.99</v>
      </c>
      <c r="AP10" s="177" t="n">
        <v>0.99</v>
      </c>
      <c r="AQ10" s="0" t="n">
        <v>0.972</v>
      </c>
      <c r="AR10" s="0" t="n">
        <v>0.96601045</v>
      </c>
      <c r="AS10" s="0" t="n">
        <v>0.977</v>
      </c>
      <c r="AT10" s="177" t="n">
        <v>0.97</v>
      </c>
      <c r="AU10" s="0" t="n">
        <v>0.96601045</v>
      </c>
      <c r="AV10" s="0" t="n">
        <v>0.972</v>
      </c>
      <c r="AW10" s="0" t="n">
        <v>0.972</v>
      </c>
      <c r="AX10" s="0" t="n">
        <v>0.972</v>
      </c>
      <c r="AY10" s="0" t="n">
        <v>0.96601045</v>
      </c>
      <c r="AZ10" s="0" t="n">
        <v>0.96601045</v>
      </c>
      <c r="BA10" s="0" t="n">
        <v>0.972</v>
      </c>
      <c r="BB10" s="187" t="n">
        <v>1</v>
      </c>
      <c r="BC10" s="0" t="n">
        <v>1</v>
      </c>
      <c r="BD10" s="0" t="n">
        <v>1</v>
      </c>
      <c r="BE10" s="0" t="n">
        <v>1</v>
      </c>
      <c r="BF10" s="0" t="n">
        <v>0.9999</v>
      </c>
      <c r="BG10" s="0" t="n">
        <v>1</v>
      </c>
      <c r="BH10" s="0" t="n">
        <v>1</v>
      </c>
      <c r="BI10" s="0" t="n">
        <v>0.995</v>
      </c>
      <c r="BJ10" s="0" t="n">
        <v>0.999</v>
      </c>
      <c r="BK10" s="0" t="n">
        <v>0.998</v>
      </c>
      <c r="BL10" s="0" t="n">
        <v>0.9985</v>
      </c>
      <c r="BM10" s="0" t="n">
        <v>0.9985</v>
      </c>
      <c r="BN10" s="0" t="n">
        <v>0.972</v>
      </c>
      <c r="BO10" s="0" t="n">
        <v>0.9999</v>
      </c>
      <c r="BP10" s="0" t="n">
        <v>0.9999</v>
      </c>
      <c r="BQ10" s="0" t="n">
        <v>1</v>
      </c>
      <c r="BR10" s="0" t="n">
        <v>1.0634701</v>
      </c>
      <c r="BS10" s="0" t="n">
        <v>1.09</v>
      </c>
      <c r="BT10" s="0" t="n">
        <v>1.08</v>
      </c>
      <c r="BU10" s="0" t="n">
        <v>1.0053</v>
      </c>
      <c r="BV10" s="0" t="n">
        <v>1</v>
      </c>
      <c r="BW10" s="0" t="n">
        <v>1.8617</v>
      </c>
      <c r="BX10" s="0" t="n">
        <v>2.21412</v>
      </c>
      <c r="BY10" s="0" t="n">
        <v>1.00525</v>
      </c>
      <c r="BZ10" s="0" t="n">
        <v>1.2878</v>
      </c>
      <c r="CA10" s="0" t="n">
        <v>1.9845</v>
      </c>
      <c r="CB10" s="0" t="n">
        <v>1.464205</v>
      </c>
      <c r="CC10" s="0" t="n">
        <v>1.464205</v>
      </c>
      <c r="CD10" s="0" t="n">
        <v>1.229205</v>
      </c>
      <c r="CE10" s="0" t="n">
        <v>1.044205</v>
      </c>
      <c r="CF10" s="0" t="n">
        <v>1.384205</v>
      </c>
      <c r="CG10" s="188"/>
      <c r="CH10" s="0" t="n">
        <v>1.085405</v>
      </c>
      <c r="CI10" s="188"/>
      <c r="CJ10" s="188"/>
      <c r="CK10" s="188"/>
      <c r="CL10" s="188"/>
      <c r="CM10" s="188"/>
      <c r="CN10" s="188"/>
      <c r="CO10" s="188"/>
      <c r="CP10" s="0" t="n">
        <v>0.965</v>
      </c>
      <c r="CQ10" s="0" t="n">
        <v>0.91</v>
      </c>
      <c r="CR10" s="0" t="n">
        <v>0.9</v>
      </c>
      <c r="CS10" s="0" t="n">
        <v>0.98</v>
      </c>
      <c r="CT10" s="0" t="n">
        <v>0.99895</v>
      </c>
      <c r="CU10" s="0" t="n">
        <v>0.34</v>
      </c>
      <c r="CV10" s="0" t="n">
        <v>0.46</v>
      </c>
      <c r="CW10" s="0" t="n">
        <v>0.925</v>
      </c>
      <c r="CX10" s="0" t="n">
        <v>0.565</v>
      </c>
      <c r="CY10" s="0" t="n">
        <v>0.725</v>
      </c>
      <c r="CZ10" s="0" t="n">
        <v>0.8825</v>
      </c>
      <c r="DA10" s="0" t="n">
        <v>0.915</v>
      </c>
      <c r="DB10" s="0" t="n">
        <v>0.88</v>
      </c>
      <c r="DC10" s="0" t="n">
        <v>0.9025</v>
      </c>
      <c r="DD10" s="0" t="n">
        <v>0.915</v>
      </c>
      <c r="DE10" s="0" t="n">
        <v>0.89</v>
      </c>
      <c r="DF10" s="0" t="n">
        <v>0.985</v>
      </c>
      <c r="DG10" s="0" t="n">
        <v>0.99</v>
      </c>
      <c r="DH10" s="0" t="n">
        <v>0.99</v>
      </c>
      <c r="DI10" s="0" t="n">
        <v>0.97</v>
      </c>
      <c r="DN10" s="188" t="n">
        <v>0.0004801</v>
      </c>
      <c r="DO10" s="188" t="n">
        <v>0.01</v>
      </c>
      <c r="DP10" s="188" t="n">
        <v>0.0005</v>
      </c>
      <c r="DQ10" s="188" t="n">
        <v>0.0001</v>
      </c>
      <c r="DR10" s="188" t="n">
        <v>0</v>
      </c>
      <c r="DS10" s="188" t="n">
        <v>0.0038</v>
      </c>
      <c r="DT10" s="188" t="n">
        <v>0.0044</v>
      </c>
      <c r="DU10" s="188" t="n">
        <v>0.00175</v>
      </c>
      <c r="DV10" s="188" t="n">
        <v>0.0001</v>
      </c>
      <c r="DW10" s="188" t="n">
        <v>0.0015</v>
      </c>
      <c r="DX10" s="188" t="n">
        <v>0.001305</v>
      </c>
      <c r="DY10" s="188" t="n">
        <v>0.001305</v>
      </c>
      <c r="DZ10" s="188" t="n">
        <v>0.001305</v>
      </c>
      <c r="EA10" s="188" t="n">
        <v>0.001305</v>
      </c>
      <c r="EB10" s="188" t="n">
        <v>0.001305</v>
      </c>
      <c r="ED10" s="188" t="n">
        <v>0.0012</v>
      </c>
      <c r="EF10" s="0" t="n">
        <v>1</v>
      </c>
    </row>
    <row r="11" customFormat="false" ht="12.75" hidden="false" customHeight="false" outlineLevel="0" collapsed="false">
      <c r="A11" s="149" t="n">
        <v>36708</v>
      </c>
      <c r="B11" s="0" t="n">
        <v>0.988</v>
      </c>
      <c r="C11" s="0" t="n">
        <v>0.988</v>
      </c>
      <c r="D11" s="0" t="n">
        <v>0.97245</v>
      </c>
      <c r="E11" s="0" t="n">
        <v>0.97245</v>
      </c>
      <c r="F11" s="0" t="n">
        <v>0.977</v>
      </c>
      <c r="G11" s="0" t="n">
        <v>0.764814</v>
      </c>
      <c r="H11" s="0" t="n">
        <v>0.9875</v>
      </c>
      <c r="I11" s="0" t="n">
        <v>0.931475</v>
      </c>
      <c r="J11" s="0" t="n">
        <v>0.7534215</v>
      </c>
      <c r="K11" s="0" t="n">
        <v>0.985</v>
      </c>
      <c r="L11" s="176" t="n">
        <v>0.9875</v>
      </c>
      <c r="M11" s="176" t="n">
        <v>0.9875</v>
      </c>
      <c r="N11" s="0" t="n">
        <v>0.98</v>
      </c>
      <c r="O11" s="0" t="n">
        <v>0.948705038</v>
      </c>
      <c r="P11" s="0" t="n">
        <v>0.98</v>
      </c>
      <c r="Q11" s="177" t="n">
        <v>0.9875</v>
      </c>
      <c r="R11" s="0" t="n">
        <v>0.9875</v>
      </c>
      <c r="S11" s="176" t="n">
        <v>0.9875</v>
      </c>
      <c r="T11" s="0" t="n">
        <v>0.98</v>
      </c>
      <c r="U11" s="0" t="n">
        <v>0.98</v>
      </c>
      <c r="V11" s="0" t="n">
        <v>0.98</v>
      </c>
      <c r="W11" s="0" t="n">
        <v>0.98</v>
      </c>
      <c r="X11" s="0" t="n">
        <v>0.948705038</v>
      </c>
      <c r="Y11" s="0" t="n">
        <v>0.948705038</v>
      </c>
      <c r="Z11" s="0" t="n">
        <v>0.948705038</v>
      </c>
      <c r="AA11" s="0" t="n">
        <v>0.948705038</v>
      </c>
      <c r="AB11" s="0" t="n">
        <v>0.98</v>
      </c>
      <c r="AC11" s="0" t="n">
        <v>0.98</v>
      </c>
      <c r="AD11" s="0" t="n">
        <v>0.948705038</v>
      </c>
      <c r="AE11" s="0" t="n">
        <v>0.948705038</v>
      </c>
      <c r="AF11" s="0" t="n">
        <v>0.98</v>
      </c>
      <c r="AG11" s="0" t="n">
        <v>0.99</v>
      </c>
      <c r="AH11" s="0" t="n">
        <v>0.96698945</v>
      </c>
      <c r="AI11" s="0" t="n">
        <v>0.96698945</v>
      </c>
      <c r="AJ11" s="0" t="n">
        <v>0.98</v>
      </c>
      <c r="AK11" s="0" t="n">
        <v>1</v>
      </c>
      <c r="AL11" s="0" t="n">
        <v>0.985</v>
      </c>
      <c r="AM11" s="0" t="n">
        <v>0.97245</v>
      </c>
      <c r="AN11" s="177" t="n">
        <v>0.985</v>
      </c>
      <c r="AO11" s="177" t="n">
        <v>0.99</v>
      </c>
      <c r="AP11" s="177" t="n">
        <v>0.99</v>
      </c>
      <c r="AQ11" s="0" t="n">
        <v>0.97245</v>
      </c>
      <c r="AR11" s="0" t="n">
        <v>0.96698945</v>
      </c>
      <c r="AS11" s="0" t="n">
        <v>0.977</v>
      </c>
      <c r="AT11" s="177" t="n">
        <v>0.97</v>
      </c>
      <c r="AU11" s="0" t="n">
        <v>0.96698945</v>
      </c>
      <c r="AV11" s="0" t="n">
        <v>0.97245</v>
      </c>
      <c r="AW11" s="0" t="n">
        <v>0.97245</v>
      </c>
      <c r="AX11" s="0" t="n">
        <v>0.97245</v>
      </c>
      <c r="AY11" s="0" t="n">
        <v>0.96698945</v>
      </c>
      <c r="AZ11" s="0" t="n">
        <v>0.96698945</v>
      </c>
      <c r="BA11" s="0" t="n">
        <v>0.97245</v>
      </c>
      <c r="BB11" s="187" t="n">
        <v>1</v>
      </c>
      <c r="BC11" s="0" t="n">
        <v>1</v>
      </c>
      <c r="BD11" s="0" t="n">
        <v>1</v>
      </c>
      <c r="BE11" s="0" t="n">
        <v>1</v>
      </c>
      <c r="BF11" s="0" t="n">
        <v>0.9999</v>
      </c>
      <c r="BG11" s="0" t="n">
        <v>1</v>
      </c>
      <c r="BH11" s="0" t="n">
        <v>1</v>
      </c>
      <c r="BI11" s="0" t="n">
        <v>0.995</v>
      </c>
      <c r="BJ11" s="0" t="n">
        <v>0.999</v>
      </c>
      <c r="BK11" s="0" t="n">
        <v>0.998</v>
      </c>
      <c r="BL11" s="0" t="n">
        <v>0.9985</v>
      </c>
      <c r="BM11" s="0" t="n">
        <v>0.9985</v>
      </c>
      <c r="BN11" s="0" t="n">
        <v>0.972</v>
      </c>
      <c r="BO11" s="0" t="n">
        <v>0.9999</v>
      </c>
      <c r="BP11" s="0" t="n">
        <v>0.9999</v>
      </c>
      <c r="BQ11" s="0" t="n">
        <v>1</v>
      </c>
      <c r="BR11" s="0" t="n">
        <v>1.0639401</v>
      </c>
      <c r="BS11" s="0" t="n">
        <v>1.0902</v>
      </c>
      <c r="BT11" s="0" t="n">
        <v>1.0805</v>
      </c>
      <c r="BU11" s="0" t="n">
        <v>1.0054</v>
      </c>
      <c r="BV11" s="0" t="n">
        <v>1</v>
      </c>
      <c r="BW11" s="0" t="n">
        <v>1.8654</v>
      </c>
      <c r="BX11" s="0" t="n">
        <v>2.21832</v>
      </c>
      <c r="BY11" s="0" t="n">
        <v>1.007</v>
      </c>
      <c r="BZ11" s="0" t="n">
        <v>1.2879</v>
      </c>
      <c r="CA11" s="0" t="n">
        <v>1.986</v>
      </c>
      <c r="CB11" s="0" t="n">
        <v>1.465405</v>
      </c>
      <c r="CC11" s="0" t="n">
        <v>1.465405</v>
      </c>
      <c r="CD11" s="0" t="n">
        <v>1.230405</v>
      </c>
      <c r="CE11" s="0" t="n">
        <v>1.045405</v>
      </c>
      <c r="CF11" s="0" t="n">
        <v>1.385405</v>
      </c>
      <c r="CG11" s="188"/>
      <c r="CH11" s="0" t="n">
        <v>1.086505</v>
      </c>
      <c r="CI11" s="188"/>
      <c r="CJ11" s="188"/>
      <c r="CK11" s="188"/>
      <c r="CL11" s="188"/>
      <c r="CM11" s="188"/>
      <c r="CN11" s="188"/>
      <c r="CO11" s="188"/>
      <c r="CP11" s="0" t="n">
        <v>0.975</v>
      </c>
      <c r="CQ11" s="0" t="n">
        <v>0.91</v>
      </c>
      <c r="CR11" s="0" t="n">
        <v>0.9</v>
      </c>
      <c r="CS11" s="0" t="n">
        <v>0.97</v>
      </c>
      <c r="CT11" s="0" t="n">
        <v>0.99895</v>
      </c>
      <c r="CU11" s="0" t="n">
        <v>0.41</v>
      </c>
      <c r="CV11" s="0" t="n">
        <v>0.46</v>
      </c>
      <c r="CW11" s="0" t="n">
        <v>0.925</v>
      </c>
      <c r="CX11" s="0" t="n">
        <v>0.585</v>
      </c>
      <c r="CY11" s="0" t="n">
        <v>0.725</v>
      </c>
      <c r="CZ11" s="0" t="n">
        <v>0.8775</v>
      </c>
      <c r="DA11" s="0" t="n">
        <v>0.91</v>
      </c>
      <c r="DB11" s="0" t="n">
        <v>0.89</v>
      </c>
      <c r="DC11" s="0" t="n">
        <v>0.9075</v>
      </c>
      <c r="DD11" s="0" t="n">
        <v>0.915</v>
      </c>
      <c r="DE11" s="0" t="n">
        <v>0.89</v>
      </c>
      <c r="DF11" s="0" t="n">
        <v>0.985</v>
      </c>
      <c r="DG11" s="0" t="n">
        <v>0.99</v>
      </c>
      <c r="DH11" s="0" t="n">
        <v>0.99</v>
      </c>
      <c r="DI11" s="0" t="n">
        <v>0.97</v>
      </c>
      <c r="DN11" s="188" t="n">
        <v>0.00047</v>
      </c>
      <c r="DO11" s="188" t="n">
        <v>0.0002</v>
      </c>
      <c r="DP11" s="188" t="n">
        <v>0.0005</v>
      </c>
      <c r="DQ11" s="188" t="n">
        <v>0.0001</v>
      </c>
      <c r="DR11" s="188" t="n">
        <v>0</v>
      </c>
      <c r="DS11" s="188" t="n">
        <v>0.0037</v>
      </c>
      <c r="DT11" s="188" t="n">
        <v>0.0042</v>
      </c>
      <c r="DU11" s="188" t="n">
        <v>0.00175</v>
      </c>
      <c r="DV11" s="188" t="n">
        <v>0.0001</v>
      </c>
      <c r="DW11" s="188" t="n">
        <v>0.0015</v>
      </c>
      <c r="DX11" s="188" t="n">
        <v>0.0012</v>
      </c>
      <c r="DY11" s="188" t="n">
        <v>0.0012</v>
      </c>
      <c r="DZ11" s="188" t="n">
        <v>0.0012</v>
      </c>
      <c r="EA11" s="188" t="n">
        <v>0.0012</v>
      </c>
      <c r="EB11" s="188" t="n">
        <v>0.0012</v>
      </c>
      <c r="ED11" s="188" t="n">
        <v>0.0011</v>
      </c>
      <c r="EF11" s="0" t="n">
        <v>1</v>
      </c>
    </row>
    <row r="12" customFormat="false" ht="12.75" hidden="false" customHeight="false" outlineLevel="0" collapsed="false">
      <c r="A12" s="149" t="n">
        <v>36739</v>
      </c>
      <c r="B12" s="0" t="n">
        <v>0.988</v>
      </c>
      <c r="C12" s="0" t="n">
        <v>0.988</v>
      </c>
      <c r="D12" s="0" t="n">
        <v>0.9729</v>
      </c>
      <c r="E12" s="0" t="n">
        <v>0.9729</v>
      </c>
      <c r="F12" s="0" t="n">
        <v>0.977</v>
      </c>
      <c r="G12" s="0" t="n">
        <v>0.80367</v>
      </c>
      <c r="H12" s="0" t="n">
        <v>0.9875</v>
      </c>
      <c r="I12" s="0" t="n">
        <v>0.92300625</v>
      </c>
      <c r="J12" s="0" t="n">
        <v>0.8694</v>
      </c>
      <c r="K12" s="0" t="n">
        <v>0.985</v>
      </c>
      <c r="L12" s="176" t="n">
        <v>0.9875</v>
      </c>
      <c r="M12" s="176" t="n">
        <v>0.9875</v>
      </c>
      <c r="N12" s="0" t="n">
        <v>0.98</v>
      </c>
      <c r="O12" s="0" t="n">
        <v>0.970633388</v>
      </c>
      <c r="P12" s="0" t="n">
        <v>0.98</v>
      </c>
      <c r="Q12" s="177" t="n">
        <v>0.9875</v>
      </c>
      <c r="R12" s="0" t="n">
        <v>0.9875</v>
      </c>
      <c r="S12" s="176" t="n">
        <v>0.9875</v>
      </c>
      <c r="T12" s="0" t="n">
        <v>0.98</v>
      </c>
      <c r="U12" s="0" t="n">
        <v>0.98</v>
      </c>
      <c r="V12" s="0" t="n">
        <v>0.98</v>
      </c>
      <c r="W12" s="0" t="n">
        <v>0.98</v>
      </c>
      <c r="X12" s="0" t="n">
        <v>0.970633388</v>
      </c>
      <c r="Y12" s="0" t="n">
        <v>0.970633388</v>
      </c>
      <c r="Z12" s="0" t="n">
        <v>0.970633388</v>
      </c>
      <c r="AA12" s="0" t="n">
        <v>0.970633388</v>
      </c>
      <c r="AB12" s="0" t="n">
        <v>0.98</v>
      </c>
      <c r="AC12" s="0" t="n">
        <v>0.98</v>
      </c>
      <c r="AD12" s="0" t="n">
        <v>0.970633388</v>
      </c>
      <c r="AE12" s="0" t="n">
        <v>0.970633388</v>
      </c>
      <c r="AF12" s="0" t="n">
        <v>0.98</v>
      </c>
      <c r="AG12" s="0" t="n">
        <v>0.99</v>
      </c>
      <c r="AH12" s="0" t="n">
        <v>0.96787945</v>
      </c>
      <c r="AI12" s="0" t="n">
        <v>0.96787945</v>
      </c>
      <c r="AJ12" s="0" t="n">
        <v>0.98</v>
      </c>
      <c r="AK12" s="0" t="n">
        <v>1</v>
      </c>
      <c r="AL12" s="0" t="n">
        <v>0.985</v>
      </c>
      <c r="AM12" s="0" t="n">
        <v>0.9729</v>
      </c>
      <c r="AN12" s="177" t="n">
        <v>0.985</v>
      </c>
      <c r="AO12" s="177" t="n">
        <v>0.99</v>
      </c>
      <c r="AP12" s="177" t="n">
        <v>0.99</v>
      </c>
      <c r="AQ12" s="0" t="n">
        <v>0.9729</v>
      </c>
      <c r="AR12" s="0" t="n">
        <v>0.96787945</v>
      </c>
      <c r="AS12" s="0" t="n">
        <v>0.977</v>
      </c>
      <c r="AT12" s="177" t="n">
        <v>0.97</v>
      </c>
      <c r="AU12" s="0" t="n">
        <v>0.96787945</v>
      </c>
      <c r="AV12" s="0" t="n">
        <v>0.9729</v>
      </c>
      <c r="AW12" s="0" t="n">
        <v>0.9729</v>
      </c>
      <c r="AX12" s="0" t="n">
        <v>0.9729</v>
      </c>
      <c r="AY12" s="0" t="n">
        <v>0.96787945</v>
      </c>
      <c r="AZ12" s="0" t="n">
        <v>0.96787945</v>
      </c>
      <c r="BA12" s="0" t="n">
        <v>0.9729</v>
      </c>
      <c r="BB12" s="187" t="n">
        <v>1</v>
      </c>
      <c r="BC12" s="0" t="n">
        <v>1</v>
      </c>
      <c r="BD12" s="0" t="n">
        <v>1</v>
      </c>
      <c r="BE12" s="0" t="n">
        <v>1</v>
      </c>
      <c r="BF12" s="0" t="n">
        <v>0.9999</v>
      </c>
      <c r="BG12" s="0" t="n">
        <v>1</v>
      </c>
      <c r="BH12" s="0" t="n">
        <v>1</v>
      </c>
      <c r="BI12" s="0" t="n">
        <v>0.995</v>
      </c>
      <c r="BJ12" s="0" t="n">
        <v>0.999</v>
      </c>
      <c r="BK12" s="0" t="n">
        <v>0.998</v>
      </c>
      <c r="BL12" s="0" t="n">
        <v>0.9985</v>
      </c>
      <c r="BM12" s="0" t="n">
        <v>0.9985</v>
      </c>
      <c r="BN12" s="0" t="n">
        <v>0.972</v>
      </c>
      <c r="BO12" s="0" t="n">
        <v>0.9999</v>
      </c>
      <c r="BP12" s="0" t="n">
        <v>0.9999</v>
      </c>
      <c r="BQ12" s="0" t="n">
        <v>1</v>
      </c>
      <c r="BR12" s="0" t="n">
        <v>1.0644001</v>
      </c>
      <c r="BS12" s="0" t="n">
        <v>1.0904</v>
      </c>
      <c r="BT12" s="0" t="n">
        <v>1.081</v>
      </c>
      <c r="BU12" s="0" t="n">
        <v>1.0055</v>
      </c>
      <c r="BV12" s="0" t="n">
        <v>1</v>
      </c>
      <c r="BW12" s="0" t="n">
        <v>1.869</v>
      </c>
      <c r="BX12" s="0" t="n">
        <v>2.222086667</v>
      </c>
      <c r="BY12" s="0" t="n">
        <v>1.00875</v>
      </c>
      <c r="BZ12" s="0" t="n">
        <v>1.288</v>
      </c>
      <c r="CA12" s="0" t="n">
        <v>1.9875</v>
      </c>
      <c r="CB12" s="0" t="n">
        <v>1.466505</v>
      </c>
      <c r="CC12" s="0" t="n">
        <v>1.466505</v>
      </c>
      <c r="CD12" s="0" t="n">
        <v>1.231505</v>
      </c>
      <c r="CE12" s="0" t="n">
        <v>1.046505</v>
      </c>
      <c r="CF12" s="0" t="n">
        <v>1.386505</v>
      </c>
      <c r="CG12" s="188"/>
      <c r="CH12" s="0" t="n">
        <v>1.087505</v>
      </c>
      <c r="CI12" s="188"/>
      <c r="CJ12" s="188"/>
      <c r="CK12" s="188"/>
      <c r="CL12" s="188"/>
      <c r="CM12" s="188"/>
      <c r="CN12" s="188"/>
      <c r="CO12" s="188"/>
      <c r="CP12" s="0" t="n">
        <v>0.975</v>
      </c>
      <c r="CQ12" s="0" t="n">
        <v>0.91</v>
      </c>
      <c r="CR12" s="0" t="n">
        <v>0.9</v>
      </c>
      <c r="CS12" s="0" t="n">
        <v>0.97</v>
      </c>
      <c r="CT12" s="0" t="n">
        <v>0.99895</v>
      </c>
      <c r="CU12" s="0" t="n">
        <v>0.43</v>
      </c>
      <c r="CV12" s="0" t="n">
        <v>0.51</v>
      </c>
      <c r="CW12" s="0" t="n">
        <v>0.915</v>
      </c>
      <c r="CX12" s="0" t="n">
        <v>0.675</v>
      </c>
      <c r="CY12" s="0" t="n">
        <v>0.725</v>
      </c>
      <c r="CZ12" s="0" t="n">
        <v>0.89</v>
      </c>
      <c r="DA12" s="0" t="n">
        <v>0.9225</v>
      </c>
      <c r="DB12" s="0" t="n">
        <v>0.915</v>
      </c>
      <c r="DC12" s="0" t="n">
        <v>0.9275</v>
      </c>
      <c r="DD12" s="0" t="n">
        <v>0.915</v>
      </c>
      <c r="DE12" s="0" t="n">
        <v>0.89</v>
      </c>
      <c r="DF12" s="0" t="n">
        <v>0.985</v>
      </c>
      <c r="DG12" s="0" t="n">
        <v>0.99</v>
      </c>
      <c r="DH12" s="0" t="n">
        <v>0.99</v>
      </c>
      <c r="DI12" s="0" t="n">
        <v>0.97</v>
      </c>
      <c r="DN12" s="188" t="n">
        <v>0.00046</v>
      </c>
      <c r="DO12" s="188" t="n">
        <v>0.0002</v>
      </c>
      <c r="DP12" s="188" t="n">
        <v>0.0005</v>
      </c>
      <c r="DQ12" s="188" t="n">
        <v>0.0001</v>
      </c>
      <c r="DR12" s="188" t="n">
        <v>0</v>
      </c>
      <c r="DS12" s="188" t="n">
        <v>0.0036</v>
      </c>
      <c r="DT12" s="188" t="n">
        <v>0.003766667</v>
      </c>
      <c r="DU12" s="188" t="n">
        <v>0.00175</v>
      </c>
      <c r="DV12" s="188" t="n">
        <v>0.0001</v>
      </c>
      <c r="DW12" s="188" t="n">
        <v>0.0015</v>
      </c>
      <c r="DX12" s="188" t="n">
        <v>0.0011</v>
      </c>
      <c r="DY12" s="188" t="n">
        <v>0.0011</v>
      </c>
      <c r="DZ12" s="188" t="n">
        <v>0.0011</v>
      </c>
      <c r="EA12" s="188" t="n">
        <v>0.0011</v>
      </c>
      <c r="EB12" s="188" t="n">
        <v>0.0011</v>
      </c>
      <c r="ED12" s="188" t="n">
        <v>0.001</v>
      </c>
      <c r="EF12" s="0" t="n">
        <v>1</v>
      </c>
    </row>
    <row r="13" customFormat="false" ht="12.75" hidden="false" customHeight="false" outlineLevel="0" collapsed="false">
      <c r="A13" s="149" t="n">
        <v>36770</v>
      </c>
      <c r="B13" s="0" t="n">
        <v>0.988</v>
      </c>
      <c r="C13" s="0" t="n">
        <v>0.988</v>
      </c>
      <c r="D13" s="0" t="n">
        <v>0.97326</v>
      </c>
      <c r="E13" s="0" t="n">
        <v>0.97326</v>
      </c>
      <c r="F13" s="0" t="n">
        <v>0.977</v>
      </c>
      <c r="G13" s="0" t="n">
        <v>0.861396</v>
      </c>
      <c r="H13" s="0" t="n">
        <v>0.9875</v>
      </c>
      <c r="I13" s="0" t="n">
        <v>0.9246075</v>
      </c>
      <c r="J13" s="0" t="n">
        <v>0.6891335</v>
      </c>
      <c r="K13" s="0" t="n">
        <v>0.985</v>
      </c>
      <c r="L13" s="176" t="n">
        <v>0.9875</v>
      </c>
      <c r="M13" s="176" t="n">
        <v>0.9875</v>
      </c>
      <c r="N13" s="0" t="n">
        <v>0.98</v>
      </c>
      <c r="O13" s="0" t="n">
        <v>0.9637046</v>
      </c>
      <c r="P13" s="0" t="n">
        <v>0.98</v>
      </c>
      <c r="Q13" s="177" t="n">
        <v>0.9875</v>
      </c>
      <c r="R13" s="0" t="n">
        <v>0.9875</v>
      </c>
      <c r="S13" s="176" t="n">
        <v>0.9875</v>
      </c>
      <c r="T13" s="0" t="n">
        <v>0.98</v>
      </c>
      <c r="U13" s="0" t="n">
        <v>0.98</v>
      </c>
      <c r="V13" s="0" t="n">
        <v>0.98</v>
      </c>
      <c r="W13" s="0" t="n">
        <v>0.98</v>
      </c>
      <c r="X13" s="0" t="n">
        <v>0.9637046</v>
      </c>
      <c r="Y13" s="0" t="n">
        <v>0.9637046</v>
      </c>
      <c r="Z13" s="0" t="n">
        <v>0.9637046</v>
      </c>
      <c r="AA13" s="0" t="n">
        <v>0.9637046</v>
      </c>
      <c r="AB13" s="0" t="n">
        <v>0.98</v>
      </c>
      <c r="AC13" s="0" t="n">
        <v>0.98</v>
      </c>
      <c r="AD13" s="0" t="n">
        <v>0.9637046</v>
      </c>
      <c r="AE13" s="0" t="n">
        <v>0.9637046</v>
      </c>
      <c r="AF13" s="0" t="n">
        <v>0.98</v>
      </c>
      <c r="AG13" s="0" t="n">
        <v>0.99</v>
      </c>
      <c r="AH13" s="0" t="n">
        <v>0.96868045</v>
      </c>
      <c r="AI13" s="0" t="n">
        <v>0.96868045</v>
      </c>
      <c r="AJ13" s="0" t="n">
        <v>0.98</v>
      </c>
      <c r="AK13" s="0" t="n">
        <v>1</v>
      </c>
      <c r="AL13" s="0" t="n">
        <v>0.985</v>
      </c>
      <c r="AM13" s="0" t="n">
        <v>0.97326</v>
      </c>
      <c r="AN13" s="177" t="n">
        <v>0.985</v>
      </c>
      <c r="AO13" s="177" t="n">
        <v>0.99</v>
      </c>
      <c r="AP13" s="177" t="n">
        <v>0.99</v>
      </c>
      <c r="AQ13" s="0" t="n">
        <v>0.97326</v>
      </c>
      <c r="AR13" s="0" t="n">
        <v>0.96868045</v>
      </c>
      <c r="AS13" s="0" t="n">
        <v>0.977</v>
      </c>
      <c r="AT13" s="177" t="n">
        <v>0.97</v>
      </c>
      <c r="AU13" s="0" t="n">
        <v>0.96868045</v>
      </c>
      <c r="AV13" s="0" t="n">
        <v>0.97326</v>
      </c>
      <c r="AW13" s="0" t="n">
        <v>0.97326</v>
      </c>
      <c r="AX13" s="0" t="n">
        <v>0.97326</v>
      </c>
      <c r="AY13" s="0" t="n">
        <v>0.96868045</v>
      </c>
      <c r="AZ13" s="0" t="n">
        <v>0.96868045</v>
      </c>
      <c r="BA13" s="0" t="n">
        <v>0.97326</v>
      </c>
      <c r="BB13" s="187" t="n">
        <v>1</v>
      </c>
      <c r="BC13" s="0" t="n">
        <v>1</v>
      </c>
      <c r="BD13" s="0" t="n">
        <v>1</v>
      </c>
      <c r="BE13" s="0" t="n">
        <v>1</v>
      </c>
      <c r="BF13" s="0" t="n">
        <v>0.9999</v>
      </c>
      <c r="BG13" s="0" t="n">
        <v>1</v>
      </c>
      <c r="BH13" s="0" t="n">
        <v>1</v>
      </c>
      <c r="BI13" s="0" t="n">
        <v>0.995</v>
      </c>
      <c r="BJ13" s="0" t="n">
        <v>0.999</v>
      </c>
      <c r="BK13" s="0" t="n">
        <v>0.998</v>
      </c>
      <c r="BL13" s="0" t="n">
        <v>0.9985</v>
      </c>
      <c r="BM13" s="0" t="n">
        <v>0.9985</v>
      </c>
      <c r="BN13" s="0" t="n">
        <v>0.972</v>
      </c>
      <c r="BO13" s="0" t="n">
        <v>0.9999</v>
      </c>
      <c r="BP13" s="0" t="n">
        <v>0.9999</v>
      </c>
      <c r="BQ13" s="0" t="n">
        <v>1</v>
      </c>
      <c r="BR13" s="0" t="n">
        <v>1.0648501</v>
      </c>
      <c r="BS13" s="0" t="n">
        <v>1.0906</v>
      </c>
      <c r="BT13" s="0" t="n">
        <v>1.0814</v>
      </c>
      <c r="BU13" s="0" t="n">
        <v>1.0056</v>
      </c>
      <c r="BV13" s="0" t="n">
        <v>1</v>
      </c>
      <c r="BW13" s="0" t="n">
        <v>1.8726</v>
      </c>
      <c r="BX13" s="0" t="n">
        <v>2.225453333</v>
      </c>
      <c r="BY13" s="0" t="n">
        <v>1.0105</v>
      </c>
      <c r="BZ13" s="0" t="n">
        <v>1.2881</v>
      </c>
      <c r="CA13" s="0" t="n">
        <v>1.989</v>
      </c>
      <c r="CB13" s="0" t="n">
        <v>1.467505</v>
      </c>
      <c r="CC13" s="0" t="n">
        <v>1.467505</v>
      </c>
      <c r="CD13" s="0" t="n">
        <v>1.232505</v>
      </c>
      <c r="CE13" s="0" t="n">
        <v>1.047505</v>
      </c>
      <c r="CF13" s="0" t="n">
        <v>1.387505</v>
      </c>
      <c r="CG13" s="188"/>
      <c r="CH13" s="0" t="n">
        <v>1.088405</v>
      </c>
      <c r="CI13" s="188"/>
      <c r="CJ13" s="188"/>
      <c r="CK13" s="188"/>
      <c r="CL13" s="188"/>
      <c r="CM13" s="188"/>
      <c r="CN13" s="188"/>
      <c r="CO13" s="188"/>
      <c r="CP13" s="0" t="n">
        <v>0.975</v>
      </c>
      <c r="CQ13" s="0" t="n">
        <v>0.91</v>
      </c>
      <c r="CR13" s="0" t="n">
        <v>0.9</v>
      </c>
      <c r="CS13" s="0" t="n">
        <v>0.95</v>
      </c>
      <c r="CT13" s="0" t="n">
        <v>0.99895</v>
      </c>
      <c r="CU13" s="0" t="n">
        <v>0.46</v>
      </c>
      <c r="CV13" s="0" t="n">
        <v>0.54</v>
      </c>
      <c r="CW13" s="0" t="n">
        <v>0.915</v>
      </c>
      <c r="CX13" s="0" t="n">
        <v>0.535</v>
      </c>
      <c r="CY13" s="0" t="n">
        <v>0.575</v>
      </c>
      <c r="CZ13" s="0" t="n">
        <v>0.945</v>
      </c>
      <c r="DA13" s="0" t="n">
        <v>0.9775</v>
      </c>
      <c r="DB13" s="0" t="n">
        <v>0.945</v>
      </c>
      <c r="DC13" s="0" t="n">
        <v>0.92</v>
      </c>
      <c r="DD13" s="0" t="n">
        <v>0.915</v>
      </c>
      <c r="DE13" s="0" t="n">
        <v>0.89</v>
      </c>
      <c r="DF13" s="0" t="n">
        <v>0.985</v>
      </c>
      <c r="DG13" s="0" t="n">
        <v>0.99</v>
      </c>
      <c r="DH13" s="0" t="n">
        <v>0.99</v>
      </c>
      <c r="DI13" s="0" t="n">
        <v>0.97</v>
      </c>
      <c r="DN13" s="188" t="n">
        <v>0.00045</v>
      </c>
      <c r="DO13" s="188" t="n">
        <v>0.0002</v>
      </c>
      <c r="DP13" s="188" t="n">
        <v>0.0004</v>
      </c>
      <c r="DQ13" s="188" t="n">
        <v>0.0001</v>
      </c>
      <c r="DR13" s="188" t="n">
        <v>0</v>
      </c>
      <c r="DS13" s="188" t="n">
        <v>0.0036</v>
      </c>
      <c r="DT13" s="188" t="n">
        <v>0.003366667</v>
      </c>
      <c r="DU13" s="188" t="n">
        <v>0.00175</v>
      </c>
      <c r="DV13" s="188" t="n">
        <v>0.0001</v>
      </c>
      <c r="DW13" s="188" t="n">
        <v>0.0015</v>
      </c>
      <c r="DX13" s="188" t="n">
        <v>0.001</v>
      </c>
      <c r="DY13" s="188" t="n">
        <v>0.001</v>
      </c>
      <c r="DZ13" s="188" t="n">
        <v>0.001</v>
      </c>
      <c r="EA13" s="188" t="n">
        <v>0.001</v>
      </c>
      <c r="EB13" s="188" t="n">
        <v>0.001</v>
      </c>
      <c r="ED13" s="188" t="n">
        <v>0.0009</v>
      </c>
      <c r="EF13" s="0" t="n">
        <v>1</v>
      </c>
    </row>
    <row r="14" customFormat="false" ht="12.75" hidden="false" customHeight="false" outlineLevel="0" collapsed="false">
      <c r="A14" s="149" t="n">
        <v>36800</v>
      </c>
      <c r="B14" s="0" t="n">
        <v>0.988</v>
      </c>
      <c r="C14" s="0" t="n">
        <v>0.98172</v>
      </c>
      <c r="D14" s="0" t="n">
        <v>0.995</v>
      </c>
      <c r="E14" s="0" t="n">
        <v>0.973575</v>
      </c>
      <c r="F14" s="0" t="n">
        <v>0.977</v>
      </c>
      <c r="G14" s="0" t="n">
        <v>0.863052</v>
      </c>
      <c r="H14" s="0" t="n">
        <v>0.9805048</v>
      </c>
      <c r="I14" s="0" t="n">
        <v>0.92620875</v>
      </c>
      <c r="J14" s="0" t="n">
        <v>0.676305</v>
      </c>
      <c r="K14" s="0" t="n">
        <v>0.985</v>
      </c>
      <c r="L14" s="176" t="n">
        <v>0.9875</v>
      </c>
      <c r="M14" s="176" t="n">
        <v>0.9875</v>
      </c>
      <c r="N14" s="0" t="n">
        <v>0.98</v>
      </c>
      <c r="O14" s="0" t="n">
        <v>0.946185513</v>
      </c>
      <c r="P14" s="0" t="n">
        <v>0.98</v>
      </c>
      <c r="Q14" s="177" t="n">
        <v>0.9875</v>
      </c>
      <c r="R14" s="0" t="n">
        <v>0.9875</v>
      </c>
      <c r="S14" s="176" t="n">
        <v>0.9875</v>
      </c>
      <c r="T14" s="0" t="n">
        <v>0.98</v>
      </c>
      <c r="U14" s="0" t="n">
        <v>0.98</v>
      </c>
      <c r="V14" s="0" t="n">
        <v>0.98</v>
      </c>
      <c r="W14" s="0" t="n">
        <v>0.98</v>
      </c>
      <c r="X14" s="0" t="n">
        <v>0.946185513</v>
      </c>
      <c r="Y14" s="0" t="n">
        <v>0.946185513</v>
      </c>
      <c r="Z14" s="0" t="n">
        <v>0.946185513</v>
      </c>
      <c r="AA14" s="0" t="n">
        <v>0.946185513</v>
      </c>
      <c r="AB14" s="0" t="n">
        <v>0.98</v>
      </c>
      <c r="AC14" s="0" t="n">
        <v>0.98</v>
      </c>
      <c r="AD14" s="0" t="n">
        <v>0.946185513</v>
      </c>
      <c r="AE14" s="0" t="n">
        <v>0.946185513</v>
      </c>
      <c r="AF14" s="0" t="n">
        <v>0.98</v>
      </c>
      <c r="AG14" s="0" t="n">
        <v>0.99</v>
      </c>
      <c r="AH14" s="0" t="n">
        <v>0.96939245</v>
      </c>
      <c r="AI14" s="0" t="n">
        <v>0.96939245</v>
      </c>
      <c r="AJ14" s="0" t="n">
        <v>0.98</v>
      </c>
      <c r="AK14" s="0" t="n">
        <v>1</v>
      </c>
      <c r="AL14" s="0" t="n">
        <v>0.985</v>
      </c>
      <c r="AM14" s="0" t="n">
        <v>0.973575</v>
      </c>
      <c r="AN14" s="177" t="n">
        <v>0.985</v>
      </c>
      <c r="AO14" s="177" t="n">
        <v>0.98</v>
      </c>
      <c r="AP14" s="177" t="n">
        <v>0.99</v>
      </c>
      <c r="AQ14" s="0" t="n">
        <v>0.973575</v>
      </c>
      <c r="AR14" s="0" t="n">
        <v>0.96939245</v>
      </c>
      <c r="AS14" s="0" t="n">
        <v>0.977</v>
      </c>
      <c r="AT14" s="177" t="n">
        <v>0.97</v>
      </c>
      <c r="AU14" s="0" t="n">
        <v>0.96939245</v>
      </c>
      <c r="AV14" s="0" t="n">
        <v>0.973575</v>
      </c>
      <c r="AW14" s="0" t="n">
        <v>0.973575</v>
      </c>
      <c r="AX14" s="0" t="n">
        <v>0.973575</v>
      </c>
      <c r="AY14" s="0" t="n">
        <v>0.96939245</v>
      </c>
      <c r="AZ14" s="0" t="n">
        <v>0.96939245</v>
      </c>
      <c r="BA14" s="0" t="n">
        <v>0.973575</v>
      </c>
      <c r="BB14" s="187" t="n">
        <v>1</v>
      </c>
      <c r="BC14" s="0" t="n">
        <v>1</v>
      </c>
      <c r="BD14" s="0" t="n">
        <v>1</v>
      </c>
      <c r="BE14" s="0" t="n">
        <v>1</v>
      </c>
      <c r="BF14" s="0" t="n">
        <v>0.9999</v>
      </c>
      <c r="BG14" s="0" t="n">
        <v>1</v>
      </c>
      <c r="BH14" s="0" t="n">
        <v>1</v>
      </c>
      <c r="BI14" s="0" t="n">
        <v>0.995</v>
      </c>
      <c r="BJ14" s="0" t="n">
        <v>0.999</v>
      </c>
      <c r="BK14" s="0" t="n">
        <v>0.998</v>
      </c>
      <c r="BL14" s="0" t="n">
        <v>0.9985</v>
      </c>
      <c r="BM14" s="0" t="n">
        <v>0.9985</v>
      </c>
      <c r="BN14" s="0" t="n">
        <v>0.972</v>
      </c>
      <c r="BO14" s="0" t="n">
        <v>0.9999</v>
      </c>
      <c r="BP14" s="0" t="n">
        <v>0.9999</v>
      </c>
      <c r="BQ14" s="0" t="n">
        <v>1</v>
      </c>
      <c r="BR14" s="0" t="n">
        <v>1.0652901</v>
      </c>
      <c r="BS14" s="0" t="n">
        <v>1.0908</v>
      </c>
      <c r="BT14" s="0" t="n">
        <v>1.08175</v>
      </c>
      <c r="BU14" s="0" t="n">
        <v>1.0057</v>
      </c>
      <c r="BV14" s="0" t="n">
        <v>1</v>
      </c>
      <c r="BW14" s="0" t="n">
        <v>1.8762</v>
      </c>
      <c r="BX14" s="0" t="n">
        <v>2.22842</v>
      </c>
      <c r="BY14" s="0" t="n">
        <v>1.01225</v>
      </c>
      <c r="BZ14" s="0" t="n">
        <v>1.2882</v>
      </c>
      <c r="CA14" s="0" t="n">
        <v>1.9905</v>
      </c>
      <c r="CB14" s="0" t="n">
        <v>1.468405</v>
      </c>
      <c r="CC14" s="0" t="n">
        <v>1.468405</v>
      </c>
      <c r="CD14" s="0" t="n">
        <v>1.233405</v>
      </c>
      <c r="CE14" s="0" t="n">
        <v>1.048405</v>
      </c>
      <c r="CF14" s="0" t="n">
        <v>1.388405</v>
      </c>
      <c r="CG14" s="188"/>
      <c r="CH14" s="0" t="n">
        <v>1.089205</v>
      </c>
      <c r="CI14" s="188"/>
      <c r="CJ14" s="188"/>
      <c r="CK14" s="188"/>
      <c r="CL14" s="188"/>
      <c r="CM14" s="188"/>
      <c r="CN14" s="188"/>
      <c r="CO14" s="188"/>
      <c r="CP14" s="0" t="n">
        <v>0.955</v>
      </c>
      <c r="CQ14" s="0" t="n">
        <v>0.9</v>
      </c>
      <c r="CR14" s="0" t="n">
        <v>0.9</v>
      </c>
      <c r="CS14" s="0" t="n">
        <v>0.94</v>
      </c>
      <c r="CT14" s="0" t="n">
        <v>0.99895</v>
      </c>
      <c r="CU14" s="0" t="n">
        <v>0.46</v>
      </c>
      <c r="CV14" s="0" t="n">
        <v>0.44</v>
      </c>
      <c r="CW14" s="0" t="n">
        <v>0.915</v>
      </c>
      <c r="CX14" s="0" t="n">
        <v>0.525</v>
      </c>
      <c r="CY14" s="0" t="n">
        <v>0.505</v>
      </c>
      <c r="CZ14" s="0" t="n">
        <v>0.805</v>
      </c>
      <c r="DA14" s="0" t="n">
        <v>0.8375</v>
      </c>
      <c r="DB14" s="0" t="n">
        <v>0.875</v>
      </c>
      <c r="DC14" s="0" t="n">
        <v>0.9025</v>
      </c>
      <c r="DD14" s="0" t="n">
        <v>0.82</v>
      </c>
      <c r="DE14" s="0" t="n">
        <v>0.89</v>
      </c>
      <c r="DF14" s="0" t="n">
        <v>0.985</v>
      </c>
      <c r="DG14" s="0" t="n">
        <v>0.98</v>
      </c>
      <c r="DH14" s="0" t="n">
        <v>0.99</v>
      </c>
      <c r="DI14" s="0" t="n">
        <v>0.97</v>
      </c>
      <c r="DN14" s="188" t="n">
        <v>0.00044</v>
      </c>
      <c r="DO14" s="188" t="n">
        <v>0.0002</v>
      </c>
      <c r="DP14" s="188" t="n">
        <v>0.00035</v>
      </c>
      <c r="DQ14" s="188" t="n">
        <v>0.0001</v>
      </c>
      <c r="DR14" s="188" t="n">
        <v>0</v>
      </c>
      <c r="DS14" s="188" t="n">
        <v>0.0036</v>
      </c>
      <c r="DT14" s="188" t="n">
        <v>0.002966667</v>
      </c>
      <c r="DU14" s="188" t="n">
        <v>0.00175</v>
      </c>
      <c r="DV14" s="188" t="n">
        <v>0.0001</v>
      </c>
      <c r="DW14" s="188" t="n">
        <v>0.0015</v>
      </c>
      <c r="DX14" s="188" t="n">
        <v>0.0009</v>
      </c>
      <c r="DY14" s="188" t="n">
        <v>0.0009</v>
      </c>
      <c r="DZ14" s="188" t="n">
        <v>0.0009</v>
      </c>
      <c r="EA14" s="188" t="n">
        <v>0.0009</v>
      </c>
      <c r="EB14" s="188" t="n">
        <v>0.0009</v>
      </c>
      <c r="ED14" s="188" t="n">
        <v>0.0008</v>
      </c>
      <c r="EF14" s="0" t="n">
        <v>1</v>
      </c>
    </row>
    <row r="15" customFormat="false" ht="12.75" hidden="false" customHeight="false" outlineLevel="0" collapsed="false">
      <c r="A15" s="149" t="n">
        <v>36831</v>
      </c>
      <c r="B15" s="0" t="n">
        <v>0.995</v>
      </c>
      <c r="C15" s="0" t="n">
        <v>0.9819</v>
      </c>
      <c r="D15" s="0" t="n">
        <v>0.999</v>
      </c>
      <c r="E15" s="0" t="n">
        <v>0.994</v>
      </c>
      <c r="F15" s="0" t="n">
        <v>0.998</v>
      </c>
      <c r="G15" s="0" t="n">
        <v>0.902304</v>
      </c>
      <c r="H15" s="0" t="n">
        <v>0.9875</v>
      </c>
      <c r="I15" s="0" t="n">
        <v>0.90753</v>
      </c>
      <c r="J15" s="0" t="n">
        <v>0.6248255</v>
      </c>
      <c r="K15" s="0" t="n">
        <v>0.96612</v>
      </c>
      <c r="L15" s="176" t="n">
        <v>0.9875</v>
      </c>
      <c r="M15" s="176" t="n">
        <v>0.9875</v>
      </c>
      <c r="N15" s="0" t="n">
        <v>0.98</v>
      </c>
      <c r="O15" s="0" t="n">
        <v>0.946907513</v>
      </c>
      <c r="P15" s="0" t="n">
        <v>0.98</v>
      </c>
      <c r="Q15" s="177" t="n">
        <v>0.9875</v>
      </c>
      <c r="R15" s="0" t="n">
        <v>0.9875</v>
      </c>
      <c r="S15" s="176" t="n">
        <v>0.9875</v>
      </c>
      <c r="T15" s="0" t="n">
        <v>0.98</v>
      </c>
      <c r="U15" s="0" t="n">
        <v>0.98</v>
      </c>
      <c r="V15" s="0" t="n">
        <v>0.98</v>
      </c>
      <c r="W15" s="0" t="n">
        <v>0.98</v>
      </c>
      <c r="X15" s="0" t="n">
        <v>0.946907513</v>
      </c>
      <c r="Y15" s="0" t="n">
        <v>0.946907513</v>
      </c>
      <c r="Z15" s="0" t="n">
        <v>0.946907513</v>
      </c>
      <c r="AA15" s="0" t="n">
        <v>0.946907513</v>
      </c>
      <c r="AB15" s="0" t="n">
        <v>0.98</v>
      </c>
      <c r="AC15" s="0" t="n">
        <v>0.98</v>
      </c>
      <c r="AD15" s="0" t="n">
        <v>0.946907513</v>
      </c>
      <c r="AE15" s="0" t="n">
        <v>0.946907513</v>
      </c>
      <c r="AF15" s="0" t="n">
        <v>0.98</v>
      </c>
      <c r="AG15" s="0" t="n">
        <v>0.99</v>
      </c>
      <c r="AH15" s="0" t="n">
        <v>0.97001545</v>
      </c>
      <c r="AI15" s="0" t="n">
        <v>0.97001545</v>
      </c>
      <c r="AJ15" s="0" t="n">
        <v>0.98</v>
      </c>
      <c r="AK15" s="0" t="n">
        <v>1</v>
      </c>
      <c r="AL15" s="0" t="n">
        <v>0.96612</v>
      </c>
      <c r="AM15" s="0" t="n">
        <v>0.9630245</v>
      </c>
      <c r="AN15" s="177" t="n">
        <v>0.995</v>
      </c>
      <c r="AO15" s="177" t="n">
        <v>0.97</v>
      </c>
      <c r="AP15" s="177" t="n">
        <v>0.99</v>
      </c>
      <c r="AQ15" s="0" t="n">
        <v>0.9630245</v>
      </c>
      <c r="AR15" s="0" t="n">
        <v>0.97001545</v>
      </c>
      <c r="AS15" s="0" t="n">
        <v>0.977</v>
      </c>
      <c r="AT15" s="177" t="n">
        <v>0.97</v>
      </c>
      <c r="AU15" s="0" t="n">
        <v>0.97001545</v>
      </c>
      <c r="AV15" s="0" t="n">
        <v>0.9630245</v>
      </c>
      <c r="AW15" s="0" t="n">
        <v>0.9630245</v>
      </c>
      <c r="AX15" s="0" t="n">
        <v>0.9630245</v>
      </c>
      <c r="AY15" s="0" t="n">
        <v>0.97001545</v>
      </c>
      <c r="AZ15" s="0" t="n">
        <v>0.999</v>
      </c>
      <c r="BA15" s="0" t="n">
        <v>0.99</v>
      </c>
      <c r="BB15" s="187" t="n">
        <v>1</v>
      </c>
      <c r="BC15" s="0" t="n">
        <v>1</v>
      </c>
      <c r="BD15" s="0" t="n">
        <v>1</v>
      </c>
      <c r="BE15" s="0" t="n">
        <v>1</v>
      </c>
      <c r="BF15" s="0" t="n">
        <v>0.9999</v>
      </c>
      <c r="BG15" s="0" t="n">
        <v>1</v>
      </c>
      <c r="BH15" s="0" t="n">
        <v>1</v>
      </c>
      <c r="BI15" s="0" t="n">
        <v>0.995</v>
      </c>
      <c r="BJ15" s="0" t="n">
        <v>0.999</v>
      </c>
      <c r="BK15" s="0" t="n">
        <v>0.998</v>
      </c>
      <c r="BL15" s="0" t="n">
        <v>0.9985</v>
      </c>
      <c r="BM15" s="0" t="n">
        <v>0.9985</v>
      </c>
      <c r="BN15" s="0" t="n">
        <v>0.972</v>
      </c>
      <c r="BO15" s="0" t="n">
        <v>0.9999</v>
      </c>
      <c r="BP15" s="0" t="n">
        <v>0.9999</v>
      </c>
      <c r="BQ15" s="0" t="n">
        <v>1</v>
      </c>
      <c r="BR15" s="0" t="n">
        <v>1.0657207</v>
      </c>
      <c r="BS15" s="0" t="n">
        <v>1.091</v>
      </c>
      <c r="BT15" s="0" t="n">
        <v>1.08205</v>
      </c>
      <c r="BU15" s="0" t="n">
        <v>1.0058</v>
      </c>
      <c r="BV15" s="0" t="n">
        <v>1</v>
      </c>
      <c r="BW15" s="0" t="n">
        <v>1.8798</v>
      </c>
      <c r="BX15" s="0" t="n">
        <v>2.230986667</v>
      </c>
      <c r="BY15" s="0" t="n">
        <v>1.014</v>
      </c>
      <c r="BZ15" s="0" t="n">
        <v>1.2883</v>
      </c>
      <c r="CA15" s="0" t="n">
        <v>1.992</v>
      </c>
      <c r="CB15" s="0" t="n">
        <v>1.469205</v>
      </c>
      <c r="CC15" s="0" t="n">
        <v>1.469205</v>
      </c>
      <c r="CD15" s="0" t="n">
        <v>1.234205</v>
      </c>
      <c r="CE15" s="0" t="n">
        <v>1.049205</v>
      </c>
      <c r="CF15" s="0" t="n">
        <v>1.389205</v>
      </c>
      <c r="CG15" s="188"/>
      <c r="CH15" s="0" t="n">
        <v>1.089905</v>
      </c>
      <c r="CI15" s="188"/>
      <c r="CJ15" s="188"/>
      <c r="CK15" s="188"/>
      <c r="CL15" s="188"/>
      <c r="CM15" s="188"/>
      <c r="CN15" s="188"/>
      <c r="CO15" s="188"/>
      <c r="CP15" s="0" t="n">
        <v>0.955</v>
      </c>
      <c r="CQ15" s="0" t="n">
        <v>0.9</v>
      </c>
      <c r="CR15" s="0" t="n">
        <v>0.89</v>
      </c>
      <c r="CS15" s="0" t="n">
        <v>0.94</v>
      </c>
      <c r="CT15" s="0" t="n">
        <v>0.999</v>
      </c>
      <c r="CU15" s="0" t="n">
        <v>0.48</v>
      </c>
      <c r="CV15" s="0" t="n">
        <v>0.45</v>
      </c>
      <c r="CW15" s="0" t="n">
        <v>0.895</v>
      </c>
      <c r="CX15" s="0" t="n">
        <v>0.485</v>
      </c>
      <c r="CY15" s="0" t="n">
        <v>0.485</v>
      </c>
      <c r="CZ15" s="0" t="n">
        <v>0.795</v>
      </c>
      <c r="DA15" s="0" t="n">
        <v>0.8275</v>
      </c>
      <c r="DB15" s="0" t="n">
        <v>0.85</v>
      </c>
      <c r="DC15" s="0" t="n">
        <v>0.9025</v>
      </c>
      <c r="DD15" s="0" t="n">
        <v>0.82</v>
      </c>
      <c r="DE15" s="0" t="n">
        <v>0.89</v>
      </c>
      <c r="DF15" s="0" t="n">
        <v>0.985</v>
      </c>
      <c r="DG15" s="0" t="n">
        <v>0.97</v>
      </c>
      <c r="DH15" s="0" t="n">
        <v>0.99</v>
      </c>
      <c r="DI15" s="0" t="n">
        <v>0.97</v>
      </c>
      <c r="DN15" s="188" t="n">
        <v>0.0004306</v>
      </c>
      <c r="DO15" s="188" t="n">
        <v>0.0002</v>
      </c>
      <c r="DP15" s="188" t="n">
        <v>0.0003</v>
      </c>
      <c r="DQ15" s="188" t="n">
        <v>0.0001</v>
      </c>
      <c r="DR15" s="188" t="n">
        <v>0</v>
      </c>
      <c r="DS15" s="188" t="n">
        <v>0.0036</v>
      </c>
      <c r="DT15" s="188" t="n">
        <v>0.002566667</v>
      </c>
      <c r="DU15" s="188" t="n">
        <v>0.00175</v>
      </c>
      <c r="DV15" s="188" t="n">
        <v>0.0001</v>
      </c>
      <c r="DW15" s="188" t="n">
        <v>0.0015</v>
      </c>
      <c r="DX15" s="188" t="n">
        <v>0.0008</v>
      </c>
      <c r="DY15" s="188" t="n">
        <v>0.0008</v>
      </c>
      <c r="DZ15" s="188" t="n">
        <v>0.0008</v>
      </c>
      <c r="EA15" s="188" t="n">
        <v>0.0008</v>
      </c>
      <c r="EB15" s="188" t="n">
        <v>0.0008</v>
      </c>
      <c r="ED15" s="188" t="n">
        <v>0.0007</v>
      </c>
      <c r="EF15" s="0" t="n">
        <v>1</v>
      </c>
    </row>
    <row r="16" customFormat="false" ht="12.75" hidden="false" customHeight="false" outlineLevel="0" collapsed="false">
      <c r="A16" s="149" t="n">
        <v>36861</v>
      </c>
      <c r="B16" s="0" t="n">
        <v>0.995</v>
      </c>
      <c r="C16" s="0" t="n">
        <v>0.971168</v>
      </c>
      <c r="D16" s="0" t="n">
        <v>0.999</v>
      </c>
      <c r="E16" s="0" t="n">
        <v>0.994</v>
      </c>
      <c r="F16" s="0" t="n">
        <v>0.998</v>
      </c>
      <c r="G16" s="0" t="n">
        <v>0.960534</v>
      </c>
      <c r="H16" s="0" t="n">
        <v>0.9875</v>
      </c>
      <c r="I16" s="0" t="n">
        <v>0.87862375</v>
      </c>
      <c r="J16" s="0" t="n">
        <v>0.631316</v>
      </c>
      <c r="K16" s="0" t="n">
        <v>0.9668475</v>
      </c>
      <c r="L16" s="176" t="n">
        <v>0.86724395</v>
      </c>
      <c r="M16" s="176" t="n">
        <v>0.915015863</v>
      </c>
      <c r="N16" s="0" t="n">
        <v>0.85208445</v>
      </c>
      <c r="O16" s="0" t="n">
        <v>0.937040213</v>
      </c>
      <c r="P16" s="0" t="n">
        <v>0.85208445</v>
      </c>
      <c r="Q16" s="177" t="n">
        <v>0.86724395</v>
      </c>
      <c r="R16" s="0" t="n">
        <v>0.86724395</v>
      </c>
      <c r="S16" s="176" t="n">
        <v>0.86724395</v>
      </c>
      <c r="T16" s="0" t="n">
        <v>0.85208445</v>
      </c>
      <c r="U16" s="0" t="n">
        <v>0.85208445</v>
      </c>
      <c r="V16" s="0" t="n">
        <v>0.85208445</v>
      </c>
      <c r="W16" s="0" t="n">
        <v>0.85208445</v>
      </c>
      <c r="X16" s="0" t="n">
        <v>0.937040213</v>
      </c>
      <c r="Y16" s="0" t="n">
        <v>0.937040213</v>
      </c>
      <c r="Z16" s="0" t="n">
        <v>0.937040213</v>
      </c>
      <c r="AA16" s="0" t="n">
        <v>0.937040213</v>
      </c>
      <c r="AB16" s="0" t="n">
        <v>0.85208445</v>
      </c>
      <c r="AC16" s="0" t="n">
        <v>0.85208445</v>
      </c>
      <c r="AD16" s="0" t="n">
        <v>0.937040213</v>
      </c>
      <c r="AE16" s="0" t="n">
        <v>0.937040213</v>
      </c>
      <c r="AF16" s="0" t="n">
        <v>0.85208445</v>
      </c>
      <c r="AG16" s="0" t="n">
        <v>0.98</v>
      </c>
      <c r="AH16" s="0" t="n">
        <v>0.97054945</v>
      </c>
      <c r="AI16" s="0" t="n">
        <v>0.97054945</v>
      </c>
      <c r="AJ16" s="0" t="n">
        <v>0.85208445</v>
      </c>
      <c r="AK16" s="0" t="n">
        <v>1</v>
      </c>
      <c r="AL16" s="0" t="n">
        <v>0.9668475</v>
      </c>
      <c r="AM16" s="0" t="n">
        <v>0.9415575</v>
      </c>
      <c r="AN16" s="177" t="n">
        <v>0.9958</v>
      </c>
      <c r="AO16" s="177" t="n">
        <v>0.97</v>
      </c>
      <c r="AP16" s="177" t="n">
        <v>0.99</v>
      </c>
      <c r="AQ16" s="0" t="n">
        <v>0.9415575</v>
      </c>
      <c r="AR16" s="0" t="n">
        <v>0.97054945</v>
      </c>
      <c r="AS16" s="0" t="n">
        <v>0.977</v>
      </c>
      <c r="AT16" s="177" t="n">
        <v>0.97</v>
      </c>
      <c r="AU16" s="0" t="n">
        <v>0.97054945</v>
      </c>
      <c r="AV16" s="0" t="n">
        <v>0.9415575</v>
      </c>
      <c r="AW16" s="0" t="n">
        <v>0.9415575</v>
      </c>
      <c r="AX16" s="0" t="n">
        <v>0.9415575</v>
      </c>
      <c r="AY16" s="0" t="n">
        <v>0.97054945</v>
      </c>
      <c r="AZ16" s="0" t="n">
        <v>0.999</v>
      </c>
      <c r="BA16" s="0" t="n">
        <v>0.99</v>
      </c>
      <c r="BB16" s="187" t="n">
        <v>1</v>
      </c>
      <c r="BC16" s="0" t="n">
        <v>1</v>
      </c>
      <c r="BD16" s="0" t="n">
        <v>1</v>
      </c>
      <c r="BE16" s="0" t="n">
        <v>1</v>
      </c>
      <c r="BF16" s="0" t="n">
        <v>0.9999</v>
      </c>
      <c r="BG16" s="0" t="n">
        <v>1</v>
      </c>
      <c r="BH16" s="0" t="n">
        <v>1</v>
      </c>
      <c r="BI16" s="0" t="n">
        <v>0.995</v>
      </c>
      <c r="BJ16" s="0" t="n">
        <v>0.999</v>
      </c>
      <c r="BK16" s="0" t="n">
        <v>0.998</v>
      </c>
      <c r="BL16" s="0" t="n">
        <v>0.9985</v>
      </c>
      <c r="BM16" s="0" t="n">
        <v>0.9985</v>
      </c>
      <c r="BN16" s="0" t="n">
        <v>0.972</v>
      </c>
      <c r="BO16" s="0" t="n">
        <v>0.9999</v>
      </c>
      <c r="BP16" s="0" t="n">
        <v>0.9999</v>
      </c>
      <c r="BQ16" s="0" t="n">
        <v>1</v>
      </c>
      <c r="BR16" s="0" t="n">
        <v>1.0661414</v>
      </c>
      <c r="BS16" s="0" t="n">
        <v>1.0912</v>
      </c>
      <c r="BT16" s="0" t="n">
        <v>1.08225</v>
      </c>
      <c r="BU16" s="0" t="n">
        <v>1.0059</v>
      </c>
      <c r="BV16" s="0" t="n">
        <v>1</v>
      </c>
      <c r="BW16" s="0" t="n">
        <v>1.8834</v>
      </c>
      <c r="BX16" s="0" t="n">
        <v>2.233153333</v>
      </c>
      <c r="BY16" s="0" t="n">
        <v>1.01575</v>
      </c>
      <c r="BZ16" s="0" t="n">
        <v>1.2884</v>
      </c>
      <c r="CA16" s="0" t="n">
        <v>1.9935</v>
      </c>
      <c r="CB16" s="0" t="n">
        <v>1.469905</v>
      </c>
      <c r="CC16" s="0" t="n">
        <v>1.469905</v>
      </c>
      <c r="CD16" s="0" t="n">
        <v>1.234905</v>
      </c>
      <c r="CE16" s="0" t="n">
        <v>1.049905</v>
      </c>
      <c r="CF16" s="0" t="n">
        <v>1.389905</v>
      </c>
      <c r="CG16" s="188"/>
      <c r="CH16" s="0" t="n">
        <v>1.090505</v>
      </c>
      <c r="CI16" s="188"/>
      <c r="CJ16" s="188"/>
      <c r="CK16" s="188"/>
      <c r="CL16" s="188"/>
      <c r="CM16" s="188"/>
      <c r="CN16" s="188"/>
      <c r="CO16" s="188"/>
      <c r="CP16" s="0" t="n">
        <v>0.935</v>
      </c>
      <c r="CQ16" s="0" t="n">
        <v>0.89</v>
      </c>
      <c r="CR16" s="0" t="n">
        <v>0.87</v>
      </c>
      <c r="CS16" s="0" t="n">
        <v>0.92</v>
      </c>
      <c r="CT16" s="0" t="n">
        <v>0.999</v>
      </c>
      <c r="CU16" s="0" t="n">
        <v>0.51</v>
      </c>
      <c r="CV16" s="0" t="n">
        <v>0.47</v>
      </c>
      <c r="CW16" s="0" t="n">
        <v>0.865</v>
      </c>
      <c r="CX16" s="0" t="n">
        <v>0.49</v>
      </c>
      <c r="CY16" s="0" t="n">
        <v>0.485</v>
      </c>
      <c r="CZ16" s="0" t="n">
        <v>0.59</v>
      </c>
      <c r="DA16" s="0" t="n">
        <v>0.6225</v>
      </c>
      <c r="DB16" s="0" t="n">
        <v>0.69</v>
      </c>
      <c r="DC16" s="0" t="n">
        <v>0.8925</v>
      </c>
      <c r="DD16" s="0" t="n">
        <v>0.715</v>
      </c>
      <c r="DE16" s="0" t="n">
        <v>0.89</v>
      </c>
      <c r="DF16" s="0" t="n">
        <v>0.985</v>
      </c>
      <c r="DG16" s="0" t="n">
        <v>0.97</v>
      </c>
      <c r="DH16" s="0" t="n">
        <v>0.99</v>
      </c>
      <c r="DI16" s="0" t="n">
        <v>0.97</v>
      </c>
      <c r="DN16" s="188" t="n">
        <v>0.0004207</v>
      </c>
      <c r="DO16" s="188" t="n">
        <v>0.0002</v>
      </c>
      <c r="DP16" s="188" t="n">
        <v>0.0002</v>
      </c>
      <c r="DQ16" s="188" t="n">
        <v>0.0001</v>
      </c>
      <c r="DR16" s="188" t="n">
        <v>0</v>
      </c>
      <c r="DS16" s="188" t="n">
        <v>0.0036</v>
      </c>
      <c r="DT16" s="188" t="n">
        <v>0.002166667</v>
      </c>
      <c r="DU16" s="188" t="n">
        <v>0.00175</v>
      </c>
      <c r="DV16" s="188" t="n">
        <v>0.0001</v>
      </c>
      <c r="DW16" s="188" t="n">
        <v>0.0015</v>
      </c>
      <c r="DX16" s="188" t="n">
        <v>0.0007</v>
      </c>
      <c r="DY16" s="188" t="n">
        <v>0.0007</v>
      </c>
      <c r="DZ16" s="188" t="n">
        <v>0.0007</v>
      </c>
      <c r="EA16" s="188" t="n">
        <v>0.0007</v>
      </c>
      <c r="EB16" s="188" t="n">
        <v>0.0007</v>
      </c>
      <c r="ED16" s="188" t="n">
        <v>0.0006</v>
      </c>
      <c r="EF16" s="0" t="n">
        <v>1</v>
      </c>
    </row>
    <row r="17" customFormat="false" ht="12.75" hidden="false" customHeight="false" outlineLevel="0" collapsed="false">
      <c r="A17" s="149" t="n">
        <v>36892</v>
      </c>
      <c r="B17" s="0" t="n">
        <v>0.995</v>
      </c>
      <c r="C17" s="0" t="n">
        <v>0.938604</v>
      </c>
      <c r="D17" s="0" t="n">
        <v>0.99</v>
      </c>
      <c r="E17" s="0" t="n">
        <v>0.994</v>
      </c>
      <c r="F17" s="0" t="n">
        <v>0.997</v>
      </c>
      <c r="G17" s="0" t="n">
        <v>0.9875</v>
      </c>
      <c r="H17" s="0" t="n">
        <v>0.9875</v>
      </c>
      <c r="I17" s="0" t="n">
        <v>0.81904725</v>
      </c>
      <c r="J17" s="0" t="n">
        <v>0.64425</v>
      </c>
      <c r="K17" s="0" t="n">
        <v>0.985</v>
      </c>
      <c r="L17" s="176" t="n">
        <v>0.889655525</v>
      </c>
      <c r="M17" s="176" t="n">
        <v>0.937446938</v>
      </c>
      <c r="N17" s="0" t="n">
        <v>0.85249845</v>
      </c>
      <c r="O17" s="0" t="n">
        <v>0.9244444</v>
      </c>
      <c r="P17" s="0" t="n">
        <v>0.85249845</v>
      </c>
      <c r="Q17" s="177" t="n">
        <v>0.889655525</v>
      </c>
      <c r="R17" s="0" t="n">
        <v>0.889655525</v>
      </c>
      <c r="S17" s="176" t="n">
        <v>0.889655525</v>
      </c>
      <c r="T17" s="0" t="n">
        <v>0.85249845</v>
      </c>
      <c r="U17" s="0" t="n">
        <v>0.85249845</v>
      </c>
      <c r="V17" s="0" t="n">
        <v>0.85249845</v>
      </c>
      <c r="W17" s="0" t="n">
        <v>0.85249845</v>
      </c>
      <c r="X17" s="0" t="n">
        <v>0.9244444</v>
      </c>
      <c r="Y17" s="0" t="n">
        <v>0.9244444</v>
      </c>
      <c r="Z17" s="0" t="n">
        <v>0.9244444</v>
      </c>
      <c r="AA17" s="0" t="n">
        <v>0.9244444</v>
      </c>
      <c r="AB17" s="0" t="n">
        <v>0.85249845</v>
      </c>
      <c r="AC17" s="0" t="n">
        <v>0.85249845</v>
      </c>
      <c r="AD17" s="0" t="n">
        <v>0.9244444</v>
      </c>
      <c r="AE17" s="0" t="n">
        <v>0.9244444</v>
      </c>
      <c r="AF17" s="0" t="n">
        <v>0.85249845</v>
      </c>
      <c r="AG17" s="0" t="n">
        <v>0.98</v>
      </c>
      <c r="AH17" s="0" t="n">
        <v>0.97099445</v>
      </c>
      <c r="AI17" s="0" t="n">
        <v>0.97099445</v>
      </c>
      <c r="AJ17" s="0" t="n">
        <v>0.85249845</v>
      </c>
      <c r="AK17" s="0" t="n">
        <v>1</v>
      </c>
      <c r="AL17" s="0" t="n">
        <v>0.985</v>
      </c>
      <c r="AM17" s="0" t="n">
        <v>0.9416445</v>
      </c>
      <c r="AN17" s="177" t="n">
        <v>0.9958</v>
      </c>
      <c r="AO17" s="177" t="n">
        <v>0.96</v>
      </c>
      <c r="AP17" s="177" t="n">
        <v>0.99</v>
      </c>
      <c r="AQ17" s="0" t="n">
        <v>0.9416445</v>
      </c>
      <c r="AR17" s="0" t="n">
        <v>0.97099445</v>
      </c>
      <c r="AS17" s="0" t="n">
        <v>0.977</v>
      </c>
      <c r="AT17" s="177" t="n">
        <v>0.97</v>
      </c>
      <c r="AU17" s="0" t="n">
        <v>0.97099445</v>
      </c>
      <c r="AV17" s="0" t="n">
        <v>0.9416445</v>
      </c>
      <c r="AW17" s="0" t="n">
        <v>0.9416445</v>
      </c>
      <c r="AX17" s="0" t="n">
        <v>0.9416445</v>
      </c>
      <c r="AY17" s="0" t="n">
        <v>0.97099445</v>
      </c>
      <c r="AZ17" s="0" t="n">
        <v>0.998</v>
      </c>
      <c r="BA17" s="0" t="n">
        <v>0.99</v>
      </c>
      <c r="BB17" s="187" t="n">
        <v>1</v>
      </c>
      <c r="BC17" s="0" t="n">
        <v>1</v>
      </c>
      <c r="BD17" s="0" t="n">
        <v>1</v>
      </c>
      <c r="BE17" s="0" t="n">
        <v>1</v>
      </c>
      <c r="BF17" s="0" t="n">
        <v>0.9999</v>
      </c>
      <c r="BG17" s="0" t="n">
        <v>1</v>
      </c>
      <c r="BH17" s="0" t="n">
        <v>1</v>
      </c>
      <c r="BI17" s="0" t="n">
        <v>0.99</v>
      </c>
      <c r="BJ17" s="0" t="n">
        <v>0.999</v>
      </c>
      <c r="BK17" s="0" t="n">
        <v>0.998</v>
      </c>
      <c r="BL17" s="0" t="n">
        <v>0.9985</v>
      </c>
      <c r="BM17" s="0" t="n">
        <v>0.9985</v>
      </c>
      <c r="BN17" s="0" t="n">
        <v>0.972</v>
      </c>
      <c r="BO17" s="0" t="n">
        <v>0.9999</v>
      </c>
      <c r="BP17" s="0" t="n">
        <v>0.9999</v>
      </c>
      <c r="BQ17" s="0" t="n">
        <v>1</v>
      </c>
      <c r="BR17" s="0" t="n">
        <v>1.0665522</v>
      </c>
      <c r="BS17" s="0" t="n">
        <v>1.0914</v>
      </c>
      <c r="BT17" s="0" t="n">
        <v>1.08235</v>
      </c>
      <c r="BU17" s="0" t="n">
        <v>1.006</v>
      </c>
      <c r="BV17" s="0" t="n">
        <v>1</v>
      </c>
      <c r="BW17" s="0" t="n">
        <v>1.887</v>
      </c>
      <c r="BX17" s="0" t="n">
        <v>2.23492</v>
      </c>
      <c r="BY17" s="0" t="n">
        <v>1.01745</v>
      </c>
      <c r="BZ17" s="0" t="n">
        <v>1.2885</v>
      </c>
      <c r="CA17" s="0" t="n">
        <v>1.995</v>
      </c>
      <c r="CB17" s="0" t="n">
        <v>1.470505</v>
      </c>
      <c r="CC17" s="0" t="n">
        <v>1.470505</v>
      </c>
      <c r="CD17" s="0" t="n">
        <v>1.235505</v>
      </c>
      <c r="CE17" s="0" t="n">
        <v>1.050505</v>
      </c>
      <c r="CF17" s="0" t="n">
        <v>1.390505</v>
      </c>
      <c r="CG17" s="188"/>
      <c r="CH17" s="0" t="n">
        <v>1.091005</v>
      </c>
      <c r="CI17" s="188"/>
      <c r="CJ17" s="188"/>
      <c r="CK17" s="188"/>
      <c r="CL17" s="188"/>
      <c r="CM17" s="188"/>
      <c r="CN17" s="188"/>
      <c r="CO17" s="188"/>
      <c r="CP17" s="0" t="n">
        <v>0.895</v>
      </c>
      <c r="CQ17" s="0" t="n">
        <v>0.86</v>
      </c>
      <c r="CR17" s="0" t="n">
        <v>0.87</v>
      </c>
      <c r="CS17" s="0" t="n">
        <v>0.92</v>
      </c>
      <c r="CT17" s="0" t="n">
        <v>0.999</v>
      </c>
      <c r="CU17" s="0" t="n">
        <v>0.58</v>
      </c>
      <c r="CV17" s="0" t="n">
        <v>0.45</v>
      </c>
      <c r="CW17" s="0" t="n">
        <v>0.805</v>
      </c>
      <c r="CX17" s="0" t="n">
        <v>0.5</v>
      </c>
      <c r="CY17" s="0" t="n">
        <v>0.505</v>
      </c>
      <c r="CZ17" s="0" t="n">
        <v>0.605</v>
      </c>
      <c r="DA17" s="0" t="n">
        <v>0.6375</v>
      </c>
      <c r="DB17" s="0" t="n">
        <v>0.69</v>
      </c>
      <c r="DC17" s="0" t="n">
        <v>0.88</v>
      </c>
      <c r="DD17" s="0" t="n">
        <v>0.64</v>
      </c>
      <c r="DE17" s="0" t="n">
        <v>0.89</v>
      </c>
      <c r="DF17" s="0" t="n">
        <v>0.985</v>
      </c>
      <c r="DG17" s="0" t="n">
        <v>0.96</v>
      </c>
      <c r="DH17" s="0" t="n">
        <v>0.99</v>
      </c>
      <c r="DI17" s="0" t="n">
        <v>0.97</v>
      </c>
      <c r="DN17" s="188" t="n">
        <v>0.0004108</v>
      </c>
      <c r="DO17" s="188" t="n">
        <v>0.0002</v>
      </c>
      <c r="DP17" s="188" t="n">
        <v>0.0001</v>
      </c>
      <c r="DQ17" s="188" t="n">
        <v>0.0001</v>
      </c>
      <c r="DR17" s="188" t="n">
        <v>0</v>
      </c>
      <c r="DS17" s="188" t="n">
        <v>0.0036</v>
      </c>
      <c r="DT17" s="188" t="n">
        <v>0.001766667</v>
      </c>
      <c r="DU17" s="188" t="n">
        <v>0.0017</v>
      </c>
      <c r="DV17" s="188" t="n">
        <v>0.0001</v>
      </c>
      <c r="DW17" s="188" t="n">
        <v>0.0015</v>
      </c>
      <c r="DX17" s="188" t="n">
        <v>0.0006</v>
      </c>
      <c r="DY17" s="188" t="n">
        <v>0.0006</v>
      </c>
      <c r="DZ17" s="188" t="n">
        <v>0.0006</v>
      </c>
      <c r="EA17" s="188" t="n">
        <v>0.0006</v>
      </c>
      <c r="EB17" s="188" t="n">
        <v>0.0006</v>
      </c>
      <c r="ED17" s="188" t="n">
        <v>0.0005</v>
      </c>
      <c r="EF17" s="0" t="n">
        <v>1</v>
      </c>
    </row>
    <row r="18" customFormat="false" ht="12.75" hidden="false" customHeight="false" outlineLevel="0" collapsed="false">
      <c r="A18" s="149" t="n">
        <v>36923</v>
      </c>
      <c r="B18" s="0" t="n">
        <v>0.99</v>
      </c>
      <c r="C18" s="0" t="n">
        <v>0.938776</v>
      </c>
      <c r="D18" s="0" t="n">
        <v>0.99</v>
      </c>
      <c r="E18" s="0" t="n">
        <v>0.994</v>
      </c>
      <c r="F18" s="0" t="n">
        <v>0.996</v>
      </c>
      <c r="G18" s="0" t="n">
        <v>0.9875</v>
      </c>
      <c r="H18" s="0" t="n">
        <v>0.9875</v>
      </c>
      <c r="I18" s="0" t="n">
        <v>0.8611395</v>
      </c>
      <c r="J18" s="0" t="n">
        <v>0.7795425</v>
      </c>
      <c r="K18" s="0" t="n">
        <v>0.985</v>
      </c>
      <c r="L18" s="176" t="n">
        <v>0.934088175</v>
      </c>
      <c r="M18" s="176" t="n">
        <v>0.981895838</v>
      </c>
      <c r="N18" s="0" t="n">
        <v>0.87756355</v>
      </c>
      <c r="O18" s="0" t="n">
        <v>0.922256888</v>
      </c>
      <c r="P18" s="0" t="n">
        <v>0.87756355</v>
      </c>
      <c r="Q18" s="177" t="n">
        <v>0.934088175</v>
      </c>
      <c r="R18" s="0" t="n">
        <v>0.934088175</v>
      </c>
      <c r="S18" s="176" t="n">
        <v>0.934088175</v>
      </c>
      <c r="T18" s="0" t="n">
        <v>0.87756355</v>
      </c>
      <c r="U18" s="0" t="n">
        <v>0.87756355</v>
      </c>
      <c r="V18" s="0" t="n">
        <v>0.87756355</v>
      </c>
      <c r="W18" s="0" t="n">
        <v>0.87756355</v>
      </c>
      <c r="X18" s="0" t="n">
        <v>0.922256888</v>
      </c>
      <c r="Y18" s="0" t="n">
        <v>0.922256888</v>
      </c>
      <c r="Z18" s="0" t="n">
        <v>0.922256888</v>
      </c>
      <c r="AA18" s="0" t="n">
        <v>0.922256888</v>
      </c>
      <c r="AB18" s="0" t="n">
        <v>0.87756355</v>
      </c>
      <c r="AC18" s="0" t="n">
        <v>0.87756355</v>
      </c>
      <c r="AD18" s="0" t="n">
        <v>0.922256888</v>
      </c>
      <c r="AE18" s="0" t="n">
        <v>0.922256888</v>
      </c>
      <c r="AF18" s="0" t="n">
        <v>0.87756355</v>
      </c>
      <c r="AG18" s="0" t="n">
        <v>0.98</v>
      </c>
      <c r="AH18" s="0" t="n">
        <v>0.97135935</v>
      </c>
      <c r="AI18" s="0" t="n">
        <v>0.97135935</v>
      </c>
      <c r="AJ18" s="0" t="n">
        <v>0.87756355</v>
      </c>
      <c r="AK18" s="0" t="n">
        <v>1</v>
      </c>
      <c r="AL18" s="0" t="n">
        <v>0.985</v>
      </c>
      <c r="AM18" s="0" t="n">
        <v>0.9633716</v>
      </c>
      <c r="AN18" s="177" t="n">
        <v>0.9958</v>
      </c>
      <c r="AO18" s="177" t="n">
        <v>0.97</v>
      </c>
      <c r="AP18" s="177" t="n">
        <v>0.99</v>
      </c>
      <c r="AQ18" s="0" t="n">
        <v>0.9633716</v>
      </c>
      <c r="AR18" s="0" t="n">
        <v>0.97135935</v>
      </c>
      <c r="AS18" s="0" t="n">
        <v>0.977</v>
      </c>
      <c r="AT18" s="177" t="n">
        <v>0.97</v>
      </c>
      <c r="AU18" s="0" t="n">
        <v>0.97135935</v>
      </c>
      <c r="AV18" s="0" t="n">
        <v>0.9633716</v>
      </c>
      <c r="AW18" s="0" t="n">
        <v>0.9633716</v>
      </c>
      <c r="AX18" s="0" t="n">
        <v>0.9633716</v>
      </c>
      <c r="AY18" s="0" t="n">
        <v>0.97135935</v>
      </c>
      <c r="AZ18" s="0" t="n">
        <v>0.996</v>
      </c>
      <c r="BA18" s="0" t="n">
        <v>0.99</v>
      </c>
      <c r="BB18" s="187" t="n">
        <v>1</v>
      </c>
      <c r="BC18" s="0" t="n">
        <v>1</v>
      </c>
      <c r="BD18" s="0" t="n">
        <v>1</v>
      </c>
      <c r="BE18" s="0" t="n">
        <v>1</v>
      </c>
      <c r="BF18" s="0" t="n">
        <v>0.9999</v>
      </c>
      <c r="BG18" s="0" t="n">
        <v>1</v>
      </c>
      <c r="BH18" s="0" t="n">
        <v>1</v>
      </c>
      <c r="BI18" s="0" t="n">
        <v>0.99</v>
      </c>
      <c r="BJ18" s="0" t="n">
        <v>0.99</v>
      </c>
      <c r="BK18" s="0" t="n">
        <v>0.998</v>
      </c>
      <c r="BL18" s="0" t="n">
        <v>0.9985</v>
      </c>
      <c r="BM18" s="0" t="n">
        <v>0.99</v>
      </c>
      <c r="BN18" s="0" t="n">
        <v>0.972</v>
      </c>
      <c r="BO18" s="0" t="n">
        <v>0.9999</v>
      </c>
      <c r="BP18" s="0" t="n">
        <v>0.9999</v>
      </c>
      <c r="BQ18" s="0" t="n">
        <v>1</v>
      </c>
      <c r="BR18" s="0" t="n">
        <v>1.0669531</v>
      </c>
      <c r="BS18" s="0" t="n">
        <v>1.0916</v>
      </c>
      <c r="BT18" s="0" t="n">
        <v>1.08244</v>
      </c>
      <c r="BU18" s="0" t="n">
        <v>1.0061</v>
      </c>
      <c r="BV18" s="0" t="n">
        <v>1</v>
      </c>
      <c r="BW18" s="0" t="n">
        <v>1.8906</v>
      </c>
      <c r="BX18" s="0" t="n">
        <v>2.236286667</v>
      </c>
      <c r="BY18" s="0" t="n">
        <v>1.0191</v>
      </c>
      <c r="BZ18" s="0" t="n">
        <v>1.2885</v>
      </c>
      <c r="CA18" s="0" t="n">
        <v>1.9965</v>
      </c>
      <c r="CB18" s="0" t="n">
        <v>1.471005</v>
      </c>
      <c r="CC18" s="0" t="n">
        <v>1.471005</v>
      </c>
      <c r="CD18" s="0" t="n">
        <v>1.236005</v>
      </c>
      <c r="CE18" s="0" t="n">
        <v>1.051005</v>
      </c>
      <c r="CF18" s="0" t="n">
        <v>1.391005</v>
      </c>
      <c r="CG18" s="188"/>
      <c r="CH18" s="0" t="n">
        <v>1.091415</v>
      </c>
      <c r="CI18" s="188"/>
      <c r="CJ18" s="188"/>
      <c r="CK18" s="188"/>
      <c r="CL18" s="188"/>
      <c r="CM18" s="188"/>
      <c r="CN18" s="188"/>
      <c r="CO18" s="188"/>
      <c r="CP18" s="0" t="n">
        <v>0.865</v>
      </c>
      <c r="CQ18" s="0" t="n">
        <v>0.86</v>
      </c>
      <c r="CR18" s="0" t="n">
        <v>0.89</v>
      </c>
      <c r="CS18" s="0" t="n">
        <v>0.935</v>
      </c>
      <c r="CT18" s="0" t="n">
        <v>0.99895</v>
      </c>
      <c r="CU18" s="0" t="n">
        <v>0.58</v>
      </c>
      <c r="CV18" s="0" t="n">
        <v>0.45</v>
      </c>
      <c r="CW18" s="0" t="n">
        <v>0.845</v>
      </c>
      <c r="CX18" s="0" t="n">
        <v>0.605</v>
      </c>
      <c r="CY18" s="0" t="n">
        <v>0.505</v>
      </c>
      <c r="CZ18" s="0" t="n">
        <v>0.635</v>
      </c>
      <c r="DA18" s="0" t="n">
        <v>0.6675</v>
      </c>
      <c r="DB18" s="0" t="n">
        <v>0.71</v>
      </c>
      <c r="DC18" s="0" t="n">
        <v>0.8775</v>
      </c>
      <c r="DD18" s="0" t="n">
        <v>0.67</v>
      </c>
      <c r="DE18" s="0" t="n">
        <v>0.89</v>
      </c>
      <c r="DF18" s="0" t="n">
        <v>0.985</v>
      </c>
      <c r="DG18" s="0" t="n">
        <v>0.97</v>
      </c>
      <c r="DH18" s="0" t="n">
        <v>0.99</v>
      </c>
      <c r="DI18" s="0" t="n">
        <v>0.97</v>
      </c>
      <c r="DN18" s="188" t="n">
        <v>0.0004009</v>
      </c>
      <c r="DO18" s="188" t="n">
        <v>0.0002</v>
      </c>
      <c r="DP18" s="188" t="n">
        <v>9E-005</v>
      </c>
      <c r="DQ18" s="188" t="n">
        <v>0.0001</v>
      </c>
      <c r="DR18" s="188" t="n">
        <v>0</v>
      </c>
      <c r="DS18" s="188" t="n">
        <v>0.0036</v>
      </c>
      <c r="DT18" s="188" t="n">
        <v>0.001366667</v>
      </c>
      <c r="DU18" s="188" t="n">
        <v>0.00165</v>
      </c>
      <c r="DV18" s="188" t="n">
        <v>0</v>
      </c>
      <c r="DW18" s="188" t="n">
        <v>0.0015</v>
      </c>
      <c r="DX18" s="188" t="n">
        <v>0.0005</v>
      </c>
      <c r="DY18" s="188" t="n">
        <v>0.0005</v>
      </c>
      <c r="DZ18" s="188" t="n">
        <v>0.0005</v>
      </c>
      <c r="EA18" s="188" t="n">
        <v>0.0005</v>
      </c>
      <c r="EB18" s="188" t="n">
        <v>0.0005</v>
      </c>
      <c r="ED18" s="188" t="n">
        <v>0.00041</v>
      </c>
      <c r="EF18" s="0" t="n">
        <v>1</v>
      </c>
    </row>
    <row r="19" customFormat="false" ht="12.75" hidden="false" customHeight="false" outlineLevel="0" collapsed="false">
      <c r="A19" s="149" t="n">
        <v>36951</v>
      </c>
      <c r="B19" s="0" t="n">
        <v>0.99</v>
      </c>
      <c r="C19" s="0" t="n">
        <v>0.971702</v>
      </c>
      <c r="D19" s="0" t="n">
        <v>0.99</v>
      </c>
      <c r="E19" s="0" t="n">
        <v>0.994</v>
      </c>
      <c r="F19" s="0" t="n">
        <v>0.996</v>
      </c>
      <c r="G19" s="0" t="n">
        <v>0.9875</v>
      </c>
      <c r="H19" s="0" t="n">
        <v>0.9875</v>
      </c>
      <c r="I19" s="0" t="n">
        <v>0.8931125</v>
      </c>
      <c r="J19" s="0" t="n">
        <v>0.985</v>
      </c>
      <c r="K19" s="0" t="n">
        <v>0.985</v>
      </c>
      <c r="L19" s="176" t="n">
        <v>0.9875</v>
      </c>
      <c r="M19" s="176" t="n">
        <v>0.9875</v>
      </c>
      <c r="N19" s="0" t="n">
        <v>0.98</v>
      </c>
      <c r="O19" s="0" t="n">
        <v>0.9462645</v>
      </c>
      <c r="P19" s="0" t="n">
        <v>0.98</v>
      </c>
      <c r="Q19" s="177" t="n">
        <v>0.9875</v>
      </c>
      <c r="R19" s="0" t="n">
        <v>0.9875</v>
      </c>
      <c r="S19" s="176" t="n">
        <v>0.9875</v>
      </c>
      <c r="T19" s="0" t="n">
        <v>0.98</v>
      </c>
      <c r="U19" s="0" t="n">
        <v>0.98</v>
      </c>
      <c r="V19" s="0" t="n">
        <v>0.98</v>
      </c>
      <c r="W19" s="0" t="n">
        <v>0.98</v>
      </c>
      <c r="X19" s="0" t="n">
        <v>0.9462645</v>
      </c>
      <c r="Y19" s="0" t="n">
        <v>0.9462645</v>
      </c>
      <c r="Z19" s="0" t="n">
        <v>0.9462645</v>
      </c>
      <c r="AA19" s="0" t="n">
        <v>0.9462645</v>
      </c>
      <c r="AB19" s="0" t="n">
        <v>0.98</v>
      </c>
      <c r="AC19" s="0" t="n">
        <v>0.98</v>
      </c>
      <c r="AD19" s="0" t="n">
        <v>0.9462645</v>
      </c>
      <c r="AE19" s="0" t="n">
        <v>0.9462645</v>
      </c>
      <c r="AF19" s="0" t="n">
        <v>0.98</v>
      </c>
      <c r="AG19" s="0" t="n">
        <v>0.99</v>
      </c>
      <c r="AH19" s="0" t="n">
        <v>0.97164415</v>
      </c>
      <c r="AI19" s="0" t="n">
        <v>0.97164415</v>
      </c>
      <c r="AJ19" s="0" t="n">
        <v>0.98</v>
      </c>
      <c r="AK19" s="0" t="n">
        <v>1</v>
      </c>
      <c r="AL19" s="0" t="n">
        <v>0.985</v>
      </c>
      <c r="AM19" s="0" t="n">
        <v>0.985</v>
      </c>
      <c r="AN19" s="177" t="n">
        <v>0.9958</v>
      </c>
      <c r="AO19" s="177" t="n">
        <v>0.97</v>
      </c>
      <c r="AP19" s="177" t="n">
        <v>0.99</v>
      </c>
      <c r="AQ19" s="0" t="n">
        <v>0.985</v>
      </c>
      <c r="AR19" s="0" t="n">
        <v>0.97164415</v>
      </c>
      <c r="AS19" s="0" t="n">
        <v>0.977</v>
      </c>
      <c r="AT19" s="177" t="n">
        <v>0.97</v>
      </c>
      <c r="AU19" s="0" t="n">
        <v>0.97164415</v>
      </c>
      <c r="AV19" s="0" t="n">
        <v>0.985</v>
      </c>
      <c r="AW19" s="0" t="n">
        <v>0.985</v>
      </c>
      <c r="AX19" s="0" t="n">
        <v>0.985</v>
      </c>
      <c r="AY19" s="0" t="n">
        <v>0.97164415</v>
      </c>
      <c r="AZ19" s="0" t="n">
        <v>0.994</v>
      </c>
      <c r="BA19" s="0" t="n">
        <v>0.99</v>
      </c>
      <c r="BB19" s="187" t="n">
        <v>1</v>
      </c>
      <c r="BC19" s="0" t="n">
        <v>1</v>
      </c>
      <c r="BD19" s="0" t="n">
        <v>1</v>
      </c>
      <c r="BE19" s="0" t="n">
        <v>1</v>
      </c>
      <c r="BF19" s="0" t="n">
        <v>0.9999</v>
      </c>
      <c r="BG19" s="0" t="n">
        <v>1</v>
      </c>
      <c r="BH19" s="0" t="n">
        <v>1</v>
      </c>
      <c r="BI19" s="0" t="n">
        <v>0.99</v>
      </c>
      <c r="BJ19" s="0" t="n">
        <v>0.99</v>
      </c>
      <c r="BK19" s="0" t="n">
        <v>0.998</v>
      </c>
      <c r="BL19" s="0" t="n">
        <v>0.9985</v>
      </c>
      <c r="BM19" s="0" t="n">
        <v>0.99</v>
      </c>
      <c r="BN19" s="0" t="n">
        <v>0.972</v>
      </c>
      <c r="BO19" s="0" t="n">
        <v>0.9999</v>
      </c>
      <c r="BP19" s="0" t="n">
        <v>0.9999</v>
      </c>
      <c r="BQ19" s="0" t="n">
        <v>1</v>
      </c>
      <c r="BR19" s="0" t="n">
        <v>1.0673441</v>
      </c>
      <c r="BS19" s="0" t="n">
        <v>1.0918</v>
      </c>
      <c r="BT19" s="0" t="n">
        <v>1.08252</v>
      </c>
      <c r="BU19" s="0" t="n">
        <v>1.0062</v>
      </c>
      <c r="BV19" s="0" t="n">
        <v>1</v>
      </c>
      <c r="BW19" s="0" t="n">
        <v>1.8942</v>
      </c>
      <c r="BX19" s="0" t="n">
        <v>2.237253333</v>
      </c>
      <c r="BY19" s="0" t="n">
        <v>1.0207</v>
      </c>
      <c r="BZ19" s="0" t="n">
        <v>1.2885</v>
      </c>
      <c r="CA19" s="0" t="n">
        <v>1.998</v>
      </c>
      <c r="CB19" s="0" t="n">
        <v>1.471505</v>
      </c>
      <c r="CC19" s="0" t="n">
        <v>1.471505</v>
      </c>
      <c r="CD19" s="0" t="n">
        <v>1.236405</v>
      </c>
      <c r="CE19" s="0" t="n">
        <v>1.051405</v>
      </c>
      <c r="CF19" s="0" t="n">
        <v>1.391405</v>
      </c>
      <c r="CG19" s="188"/>
      <c r="CH19" s="0" t="n">
        <v>1.091735</v>
      </c>
      <c r="CI19" s="188"/>
      <c r="CJ19" s="188"/>
      <c r="CK19" s="188"/>
      <c r="CL19" s="188"/>
      <c r="CM19" s="188"/>
      <c r="CN19" s="188"/>
      <c r="CO19" s="188"/>
      <c r="CP19" s="0" t="n">
        <v>0.865</v>
      </c>
      <c r="CQ19" s="0" t="n">
        <v>0.89</v>
      </c>
      <c r="CR19" s="0" t="n">
        <v>0.91</v>
      </c>
      <c r="CS19" s="0" t="n">
        <v>0.935</v>
      </c>
      <c r="CT19" s="0" t="n">
        <v>0.99895</v>
      </c>
      <c r="CU19" s="0" t="n">
        <v>0.54</v>
      </c>
      <c r="CV19" s="0" t="n">
        <v>0.45</v>
      </c>
      <c r="CW19" s="0" t="n">
        <v>0.875</v>
      </c>
      <c r="CX19" s="0" t="n">
        <v>0.775</v>
      </c>
      <c r="CY19" s="0" t="n">
        <v>0.515</v>
      </c>
      <c r="CZ19" s="0" t="n">
        <v>0.785</v>
      </c>
      <c r="DA19" s="0" t="n">
        <v>0.8175</v>
      </c>
      <c r="DB19" s="0" t="n">
        <v>0.8</v>
      </c>
      <c r="DC19" s="0" t="n">
        <v>0.9</v>
      </c>
      <c r="DD19" s="0" t="n">
        <v>0.83</v>
      </c>
      <c r="DE19" s="0" t="n">
        <v>0.89</v>
      </c>
      <c r="DF19" s="0" t="n">
        <v>0.985</v>
      </c>
      <c r="DG19" s="0" t="n">
        <v>0.97</v>
      </c>
      <c r="DH19" s="0" t="n">
        <v>0.99</v>
      </c>
      <c r="DI19" s="0" t="n">
        <v>0.97</v>
      </c>
      <c r="DN19" s="188" t="n">
        <v>0.000391</v>
      </c>
      <c r="DO19" s="188" t="n">
        <v>0.0002</v>
      </c>
      <c r="DP19" s="188" t="n">
        <v>8E-005</v>
      </c>
      <c r="DQ19" s="188" t="n">
        <v>0.0001</v>
      </c>
      <c r="DR19" s="188" t="n">
        <v>0</v>
      </c>
      <c r="DS19" s="188" t="n">
        <v>0.0036</v>
      </c>
      <c r="DT19" s="188" t="n">
        <v>0.000966667</v>
      </c>
      <c r="DU19" s="188" t="n">
        <v>0.0016</v>
      </c>
      <c r="DV19" s="188" t="n">
        <v>0</v>
      </c>
      <c r="DW19" s="188" t="n">
        <v>0.0015</v>
      </c>
      <c r="DX19" s="188" t="n">
        <v>0.0005</v>
      </c>
      <c r="DY19" s="188" t="n">
        <v>0.0005</v>
      </c>
      <c r="DZ19" s="188" t="n">
        <v>0.0004</v>
      </c>
      <c r="EA19" s="188" t="n">
        <v>0.0004</v>
      </c>
      <c r="EB19" s="188" t="n">
        <v>0.0004</v>
      </c>
      <c r="ED19" s="188" t="n">
        <v>0.00032</v>
      </c>
      <c r="EF19" s="0" t="n">
        <v>1</v>
      </c>
    </row>
    <row r="20" customFormat="false" ht="12.75" hidden="false" customHeight="false" outlineLevel="0" collapsed="false">
      <c r="A20" s="149" t="n">
        <v>36982</v>
      </c>
      <c r="B20" s="0" t="n">
        <v>0.98</v>
      </c>
      <c r="C20" s="0" t="n">
        <v>0.9828</v>
      </c>
      <c r="D20" s="0" t="n">
        <v>0.99</v>
      </c>
      <c r="E20" s="0" t="n">
        <v>0.978</v>
      </c>
      <c r="F20" s="0" t="n">
        <v>0.977</v>
      </c>
      <c r="G20" s="0" t="n">
        <v>0.910944</v>
      </c>
      <c r="H20" s="0" t="n">
        <v>0.9398837</v>
      </c>
      <c r="I20" s="0" t="n">
        <v>0.95580375</v>
      </c>
      <c r="J20" s="0" t="n">
        <v>0.985</v>
      </c>
      <c r="K20" s="0" t="n">
        <v>0.985</v>
      </c>
      <c r="L20" s="176" t="n">
        <v>0.9875</v>
      </c>
      <c r="M20" s="176" t="n">
        <v>0.9875</v>
      </c>
      <c r="N20" s="0" t="n">
        <v>0.98</v>
      </c>
      <c r="O20" s="0" t="n">
        <v>0.949689615</v>
      </c>
      <c r="P20" s="0" t="n">
        <v>0.98</v>
      </c>
      <c r="Q20" s="177" t="n">
        <v>0.9875</v>
      </c>
      <c r="R20" s="0" t="n">
        <v>0.9875</v>
      </c>
      <c r="S20" s="176" t="n">
        <v>0.9875</v>
      </c>
      <c r="T20" s="0" t="n">
        <v>0.98</v>
      </c>
      <c r="U20" s="0" t="n">
        <v>0.98</v>
      </c>
      <c r="V20" s="0" t="n">
        <v>0.98</v>
      </c>
      <c r="W20" s="0" t="n">
        <v>0.98</v>
      </c>
      <c r="X20" s="0" t="n">
        <v>0.949689615</v>
      </c>
      <c r="Y20" s="0" t="n">
        <v>0.949689615</v>
      </c>
      <c r="Z20" s="0" t="n">
        <v>0.949689615</v>
      </c>
      <c r="AA20" s="0" t="n">
        <v>0.949689615</v>
      </c>
      <c r="AB20" s="0" t="n">
        <v>0.98</v>
      </c>
      <c r="AC20" s="0" t="n">
        <v>0.98</v>
      </c>
      <c r="AD20" s="0" t="n">
        <v>0.949689615</v>
      </c>
      <c r="AE20" s="0" t="n">
        <v>0.949689615</v>
      </c>
      <c r="AF20" s="0" t="n">
        <v>0.98</v>
      </c>
      <c r="AG20" s="0" t="n">
        <v>0.99</v>
      </c>
      <c r="AH20" s="0" t="n">
        <v>0.97184885</v>
      </c>
      <c r="AI20" s="0" t="n">
        <v>0.97184885</v>
      </c>
      <c r="AJ20" s="0" t="n">
        <v>0.98</v>
      </c>
      <c r="AK20" s="0" t="n">
        <v>1</v>
      </c>
      <c r="AL20" s="0" t="n">
        <v>0.985</v>
      </c>
      <c r="AM20" s="0" t="n">
        <v>0.985</v>
      </c>
      <c r="AN20" s="177" t="n">
        <v>0.9958</v>
      </c>
      <c r="AO20" s="177" t="n">
        <v>0.99</v>
      </c>
      <c r="AP20" s="177" t="n">
        <v>0.99</v>
      </c>
      <c r="AQ20" s="0" t="n">
        <v>0.985</v>
      </c>
      <c r="AR20" s="0" t="n">
        <v>0.97184885</v>
      </c>
      <c r="AS20" s="0" t="n">
        <v>0.977</v>
      </c>
      <c r="AT20" s="177" t="n">
        <v>0.975</v>
      </c>
      <c r="AU20" s="0" t="n">
        <v>0.97184885</v>
      </c>
      <c r="AV20" s="0" t="n">
        <v>0.985</v>
      </c>
      <c r="AW20" s="0" t="n">
        <v>0.985</v>
      </c>
      <c r="AX20" s="0" t="n">
        <v>0.985</v>
      </c>
      <c r="AY20" s="0" t="n">
        <v>0.97184885</v>
      </c>
      <c r="AZ20" s="0" t="n">
        <v>0.97184885</v>
      </c>
      <c r="BA20" s="0" t="n">
        <v>0.985</v>
      </c>
      <c r="BB20" s="187" t="n">
        <v>1</v>
      </c>
      <c r="BC20" s="0" t="n">
        <v>1</v>
      </c>
      <c r="BD20" s="0" t="n">
        <v>1</v>
      </c>
      <c r="BE20" s="0" t="n">
        <v>1</v>
      </c>
      <c r="BF20" s="0" t="n">
        <v>0.9999</v>
      </c>
      <c r="BG20" s="0" t="n">
        <v>1</v>
      </c>
      <c r="BH20" s="0" t="n">
        <v>1</v>
      </c>
      <c r="BI20" s="0" t="n">
        <v>0.99</v>
      </c>
      <c r="BJ20" s="0" t="n">
        <v>0.999</v>
      </c>
      <c r="BK20" s="0" t="n">
        <v>0.998</v>
      </c>
      <c r="BL20" s="0" t="n">
        <v>0.9985</v>
      </c>
      <c r="BM20" s="0" t="n">
        <v>0.9985</v>
      </c>
      <c r="BN20" s="0" t="n">
        <v>0.972</v>
      </c>
      <c r="BO20" s="0" t="n">
        <v>0.9999</v>
      </c>
      <c r="BP20" s="0" t="n">
        <v>0.9999</v>
      </c>
      <c r="BQ20" s="0" t="n">
        <v>1</v>
      </c>
      <c r="BR20" s="0" t="n">
        <v>1.0677252</v>
      </c>
      <c r="BS20" s="0" t="n">
        <v>1.092</v>
      </c>
      <c r="BT20" s="0" t="n">
        <v>1.08259</v>
      </c>
      <c r="BU20" s="0" t="n">
        <v>1.0063</v>
      </c>
      <c r="BV20" s="0" t="n">
        <v>1</v>
      </c>
      <c r="BW20" s="0" t="n">
        <v>1.8978</v>
      </c>
      <c r="BX20" s="0" t="n">
        <v>2.237818333</v>
      </c>
      <c r="BY20" s="0" t="n">
        <v>1.02225</v>
      </c>
      <c r="BZ20" s="0" t="n">
        <v>1.2885</v>
      </c>
      <c r="CA20" s="0" t="n">
        <v>1.9995</v>
      </c>
      <c r="CB20" s="0" t="n">
        <v>1.472005</v>
      </c>
      <c r="CC20" s="0" t="n">
        <v>1.472005</v>
      </c>
      <c r="CD20" s="0" t="n">
        <v>1.236705</v>
      </c>
      <c r="CE20" s="0" t="n">
        <v>1.051705</v>
      </c>
      <c r="CF20" s="0" t="n">
        <v>1.391805</v>
      </c>
      <c r="CG20" s="188"/>
      <c r="CH20" s="0" t="n">
        <v>1.091965</v>
      </c>
      <c r="CI20" s="188"/>
      <c r="CJ20" s="188"/>
      <c r="CK20" s="188"/>
      <c r="CL20" s="188"/>
      <c r="CM20" s="188"/>
      <c r="CN20" s="188"/>
      <c r="CO20" s="188"/>
      <c r="CP20" s="0" t="n">
        <v>0.895</v>
      </c>
      <c r="CQ20" s="0" t="n">
        <v>0.9</v>
      </c>
      <c r="CR20" s="0" t="n">
        <v>0.91</v>
      </c>
      <c r="CS20" s="0" t="n">
        <v>0.96</v>
      </c>
      <c r="CT20" s="0" t="n">
        <v>0.99895</v>
      </c>
      <c r="CU20" s="0" t="n">
        <v>0.48</v>
      </c>
      <c r="CV20" s="0" t="n">
        <v>0.42</v>
      </c>
      <c r="CW20" s="0" t="n">
        <v>0.935</v>
      </c>
      <c r="CX20" s="0" t="n">
        <v>0.765</v>
      </c>
      <c r="CY20" s="0" t="n">
        <v>0.575</v>
      </c>
      <c r="CZ20" s="0" t="n">
        <v>0.895</v>
      </c>
      <c r="DA20" s="0" t="n">
        <v>0.9275</v>
      </c>
      <c r="DB20" s="0" t="n">
        <v>0.85</v>
      </c>
      <c r="DC20" s="0" t="n">
        <v>0.903</v>
      </c>
      <c r="DD20" s="0" t="n">
        <v>0.92</v>
      </c>
      <c r="DE20" s="0" t="n">
        <v>0.89</v>
      </c>
      <c r="DF20" s="0" t="n">
        <v>0.985</v>
      </c>
      <c r="DG20" s="0" t="n">
        <v>0.99</v>
      </c>
      <c r="DH20" s="0" t="n">
        <v>0.99</v>
      </c>
      <c r="DI20" s="0" t="n">
        <v>0.975</v>
      </c>
      <c r="DN20" s="188" t="n">
        <v>0.0003811</v>
      </c>
      <c r="DO20" s="188" t="n">
        <v>0.0002</v>
      </c>
      <c r="DP20" s="188" t="n">
        <v>7E-005</v>
      </c>
      <c r="DQ20" s="188" t="n">
        <v>0.0001</v>
      </c>
      <c r="DR20" s="188" t="n">
        <v>0</v>
      </c>
      <c r="DS20" s="188" t="n">
        <v>0.0036</v>
      </c>
      <c r="DT20" s="188" t="n">
        <v>0.000565</v>
      </c>
      <c r="DU20" s="188" t="n">
        <v>0.00155</v>
      </c>
      <c r="DV20" s="188" t="n">
        <v>0</v>
      </c>
      <c r="DW20" s="188" t="n">
        <v>0.0015</v>
      </c>
      <c r="DX20" s="188" t="n">
        <v>0.0005</v>
      </c>
      <c r="DY20" s="188" t="n">
        <v>0.0005</v>
      </c>
      <c r="DZ20" s="188" t="n">
        <v>0.0003</v>
      </c>
      <c r="EA20" s="188" t="n">
        <v>0.0003</v>
      </c>
      <c r="EB20" s="188" t="n">
        <v>0.0004</v>
      </c>
      <c r="ED20" s="188" t="n">
        <v>0.00023</v>
      </c>
      <c r="EF20" s="0" t="n">
        <v>1</v>
      </c>
    </row>
    <row r="21" customFormat="false" ht="12.75" hidden="false" customHeight="false" outlineLevel="0" collapsed="false">
      <c r="A21" s="149" t="n">
        <v>37012</v>
      </c>
      <c r="B21" s="0" t="n">
        <v>0.98</v>
      </c>
      <c r="C21" s="0" t="n">
        <v>0.988</v>
      </c>
      <c r="D21" s="0" t="n">
        <v>0.99</v>
      </c>
      <c r="E21" s="0" t="n">
        <v>0.978</v>
      </c>
      <c r="F21" s="0" t="n">
        <v>0.977</v>
      </c>
      <c r="G21" s="0" t="n">
        <v>0.646476</v>
      </c>
      <c r="H21" s="0" t="n">
        <v>0.9401189</v>
      </c>
      <c r="I21" s="0" t="n">
        <v>0.95720625</v>
      </c>
      <c r="J21" s="0" t="n">
        <v>0.8568525</v>
      </c>
      <c r="K21" s="0" t="n">
        <v>0.985</v>
      </c>
      <c r="L21" s="176" t="n">
        <v>1.125</v>
      </c>
      <c r="M21" s="176" t="n">
        <v>1.125</v>
      </c>
      <c r="N21" s="0" t="n">
        <v>0.98</v>
      </c>
      <c r="O21" s="0" t="n">
        <v>0.946782</v>
      </c>
      <c r="P21" s="0" t="n">
        <v>0.98</v>
      </c>
      <c r="Q21" s="177" t="n">
        <v>0.995</v>
      </c>
      <c r="R21" s="0" t="n">
        <v>0.9875</v>
      </c>
      <c r="S21" s="176" t="n">
        <v>1.125</v>
      </c>
      <c r="T21" s="0" t="n">
        <v>0.98</v>
      </c>
      <c r="U21" s="0" t="n">
        <v>0.98</v>
      </c>
      <c r="V21" s="0" t="n">
        <v>0.98</v>
      </c>
      <c r="W21" s="0" t="n">
        <v>0.98</v>
      </c>
      <c r="X21" s="0" t="n">
        <v>0.946782</v>
      </c>
      <c r="Y21" s="0" t="n">
        <v>0.946782</v>
      </c>
      <c r="Z21" s="0" t="n">
        <v>0.946782</v>
      </c>
      <c r="AA21" s="0" t="n">
        <v>0.946782</v>
      </c>
      <c r="AB21" s="0" t="n">
        <v>0.98</v>
      </c>
      <c r="AC21" s="0" t="n">
        <v>0.98</v>
      </c>
      <c r="AD21" s="0" t="n">
        <v>0.946782</v>
      </c>
      <c r="AE21" s="0" t="n">
        <v>0.946782</v>
      </c>
      <c r="AF21" s="0" t="n">
        <v>0.98</v>
      </c>
      <c r="AG21" s="0" t="n">
        <v>0.99</v>
      </c>
      <c r="AH21" s="0" t="n">
        <v>0.97202685</v>
      </c>
      <c r="AI21" s="0" t="n">
        <v>0.97202685</v>
      </c>
      <c r="AJ21" s="0" t="n">
        <v>0.98</v>
      </c>
      <c r="AK21" s="0" t="n">
        <v>1</v>
      </c>
      <c r="AL21" s="0" t="n">
        <v>0.985</v>
      </c>
      <c r="AM21" s="0" t="n">
        <v>0.985</v>
      </c>
      <c r="AN21" s="177" t="n">
        <v>0.9958</v>
      </c>
      <c r="AO21" s="177" t="n">
        <v>0.99</v>
      </c>
      <c r="AP21" s="177" t="n">
        <v>0.99</v>
      </c>
      <c r="AQ21" s="0" t="n">
        <v>0.985</v>
      </c>
      <c r="AR21" s="0" t="n">
        <v>0.97202685</v>
      </c>
      <c r="AS21" s="0" t="n">
        <v>0.977</v>
      </c>
      <c r="AT21" s="177" t="n">
        <v>0.975</v>
      </c>
      <c r="AU21" s="0" t="n">
        <v>0.97202685</v>
      </c>
      <c r="AV21" s="0" t="n">
        <v>0.985</v>
      </c>
      <c r="AW21" s="0" t="n">
        <v>0.985</v>
      </c>
      <c r="AX21" s="0" t="n">
        <v>0.985</v>
      </c>
      <c r="AY21" s="0" t="n">
        <v>0.97202685</v>
      </c>
      <c r="AZ21" s="0" t="n">
        <v>0.97202685</v>
      </c>
      <c r="BA21" s="0" t="n">
        <v>0.985</v>
      </c>
      <c r="BB21" s="187" t="n">
        <v>1</v>
      </c>
      <c r="BC21" s="0" t="n">
        <v>1</v>
      </c>
      <c r="BD21" s="0" t="n">
        <v>1</v>
      </c>
      <c r="BE21" s="0" t="n">
        <v>1</v>
      </c>
      <c r="BF21" s="0" t="n">
        <v>0.9999</v>
      </c>
      <c r="BG21" s="0" t="n">
        <v>1</v>
      </c>
      <c r="BH21" s="0" t="n">
        <v>1</v>
      </c>
      <c r="BI21" s="0" t="n">
        <v>0.99</v>
      </c>
      <c r="BJ21" s="0" t="n">
        <v>0.999</v>
      </c>
      <c r="BK21" s="0" t="n">
        <v>0.998</v>
      </c>
      <c r="BL21" s="0" t="n">
        <v>0.9985</v>
      </c>
      <c r="BM21" s="0" t="n">
        <v>0.9985</v>
      </c>
      <c r="BN21" s="0" t="n">
        <v>0.972</v>
      </c>
      <c r="BO21" s="0" t="n">
        <v>0.9999</v>
      </c>
      <c r="BP21" s="0" t="n">
        <v>0.9999</v>
      </c>
      <c r="BQ21" s="0" t="n">
        <v>1</v>
      </c>
      <c r="BR21" s="0" t="n">
        <v>1.0680964</v>
      </c>
      <c r="BS21" s="0" t="n">
        <v>1.0922</v>
      </c>
      <c r="BT21" s="0" t="n">
        <v>1.08265</v>
      </c>
      <c r="BU21" s="0" t="n">
        <v>1.0064</v>
      </c>
      <c r="BV21" s="0" t="n">
        <v>1</v>
      </c>
      <c r="BW21" s="0" t="n">
        <v>1.9014</v>
      </c>
      <c r="BX21" s="0" t="n">
        <v>2.238378333</v>
      </c>
      <c r="BY21" s="0" t="n">
        <v>1.02375</v>
      </c>
      <c r="BZ21" s="0" t="n">
        <v>1.2885</v>
      </c>
      <c r="CA21" s="0" t="n">
        <v>2.001</v>
      </c>
      <c r="CB21" s="0" t="n">
        <v>1.472505</v>
      </c>
      <c r="CC21" s="0" t="n">
        <v>1.472505</v>
      </c>
      <c r="CD21" s="0" t="n">
        <v>1.237005</v>
      </c>
      <c r="CE21" s="0" t="n">
        <v>1.05198</v>
      </c>
      <c r="CF21" s="0" t="n">
        <v>1.392205</v>
      </c>
      <c r="CG21" s="188"/>
      <c r="CH21" s="0" t="n">
        <v>1.092165</v>
      </c>
      <c r="CI21" s="188"/>
      <c r="CJ21" s="188"/>
      <c r="CK21" s="188"/>
      <c r="CL21" s="188"/>
      <c r="CM21" s="188"/>
      <c r="CN21" s="188"/>
      <c r="CO21" s="188"/>
      <c r="CP21" s="0" t="n">
        <v>0.965</v>
      </c>
      <c r="CQ21" s="0" t="n">
        <v>0.91</v>
      </c>
      <c r="CR21" s="0" t="n">
        <v>0.91</v>
      </c>
      <c r="CS21" s="0" t="n">
        <v>0.97</v>
      </c>
      <c r="CT21" s="0" t="n">
        <v>0.99895</v>
      </c>
      <c r="CU21" s="0" t="n">
        <v>0.34</v>
      </c>
      <c r="CV21" s="0" t="n">
        <v>0.42</v>
      </c>
      <c r="CW21" s="0" t="n">
        <v>0.935</v>
      </c>
      <c r="CX21" s="0" t="n">
        <v>0.665</v>
      </c>
      <c r="CY21" s="0" t="n">
        <v>0.625</v>
      </c>
      <c r="CZ21" s="0" t="n">
        <v>0.9175</v>
      </c>
      <c r="DA21" s="0" t="n">
        <v>0.95</v>
      </c>
      <c r="DB21" s="0" t="n">
        <v>0.88</v>
      </c>
      <c r="DC21" s="0" t="n">
        <v>0.9</v>
      </c>
      <c r="DD21" s="0" t="n">
        <v>0.935</v>
      </c>
      <c r="DE21" s="0" t="n">
        <v>0.89</v>
      </c>
      <c r="DF21" s="0" t="n">
        <v>0.985</v>
      </c>
      <c r="DG21" s="0" t="n">
        <v>0.99</v>
      </c>
      <c r="DH21" s="0" t="n">
        <v>0.99</v>
      </c>
      <c r="DI21" s="0" t="n">
        <v>0.975</v>
      </c>
      <c r="DN21" s="188" t="n">
        <v>0.0003712</v>
      </c>
      <c r="DO21" s="188" t="n">
        <v>0.0002</v>
      </c>
      <c r="DP21" s="188" t="n">
        <v>6E-005</v>
      </c>
      <c r="DQ21" s="188" t="n">
        <v>0.0001</v>
      </c>
      <c r="DR21" s="188" t="n">
        <v>0</v>
      </c>
      <c r="DS21" s="188" t="n">
        <v>0.0036</v>
      </c>
      <c r="DT21" s="188" t="n">
        <v>0.00056</v>
      </c>
      <c r="DU21" s="188" t="n">
        <v>0.0015</v>
      </c>
      <c r="DV21" s="188" t="n">
        <v>0</v>
      </c>
      <c r="DW21" s="188" t="n">
        <v>0.0015</v>
      </c>
      <c r="DX21" s="188" t="n">
        <v>0.0005</v>
      </c>
      <c r="DY21" s="188" t="n">
        <v>0.0005</v>
      </c>
      <c r="DZ21" s="188" t="n">
        <v>0.0003</v>
      </c>
      <c r="EA21" s="188" t="n">
        <v>0.000275</v>
      </c>
      <c r="EB21" s="188" t="n">
        <v>0.0004</v>
      </c>
      <c r="ED21" s="188" t="n">
        <v>0.0002</v>
      </c>
      <c r="EF21" s="0" t="n">
        <v>1</v>
      </c>
    </row>
    <row r="22" customFormat="false" ht="12.75" hidden="false" customHeight="false" outlineLevel="0" collapsed="false">
      <c r="A22" s="149" t="n">
        <v>37043</v>
      </c>
      <c r="B22" s="0" t="n">
        <v>0.98</v>
      </c>
      <c r="C22" s="0" t="n">
        <v>0.988</v>
      </c>
      <c r="D22" s="0" t="n">
        <v>0.99</v>
      </c>
      <c r="E22" s="0" t="n">
        <v>0.978</v>
      </c>
      <c r="F22" s="0" t="n">
        <v>0.977</v>
      </c>
      <c r="G22" s="0" t="n">
        <v>0.6477</v>
      </c>
      <c r="H22" s="0" t="n">
        <v>0.9875</v>
      </c>
      <c r="I22" s="0" t="n">
        <v>0.958562</v>
      </c>
      <c r="J22" s="0" t="n">
        <v>0.7408875</v>
      </c>
      <c r="K22" s="0" t="n">
        <v>0.985</v>
      </c>
      <c r="L22" s="176" t="n">
        <v>1.125</v>
      </c>
      <c r="M22" s="176" t="n">
        <v>1.125</v>
      </c>
      <c r="N22" s="0" t="n">
        <v>0.98</v>
      </c>
      <c r="O22" s="0" t="n">
        <v>0.949660138</v>
      </c>
      <c r="P22" s="0" t="n">
        <v>0.98</v>
      </c>
      <c r="Q22" s="177" t="n">
        <v>0.995</v>
      </c>
      <c r="R22" s="0" t="n">
        <v>0.9875</v>
      </c>
      <c r="S22" s="176" t="n">
        <v>1.125</v>
      </c>
      <c r="T22" s="0" t="n">
        <v>0.98</v>
      </c>
      <c r="U22" s="0" t="n">
        <v>0.98</v>
      </c>
      <c r="V22" s="0" t="n">
        <v>0.98</v>
      </c>
      <c r="W22" s="0" t="n">
        <v>0.98</v>
      </c>
      <c r="X22" s="0" t="n">
        <v>0.949660138</v>
      </c>
      <c r="Y22" s="0" t="n">
        <v>0.949660138</v>
      </c>
      <c r="Z22" s="0" t="n">
        <v>0.949660138</v>
      </c>
      <c r="AA22" s="0" t="n">
        <v>0.949660138</v>
      </c>
      <c r="AB22" s="0" t="n">
        <v>0.98</v>
      </c>
      <c r="AC22" s="0" t="n">
        <v>0.98</v>
      </c>
      <c r="AD22" s="0" t="n">
        <v>0.949660138</v>
      </c>
      <c r="AE22" s="0" t="n">
        <v>0.949660138</v>
      </c>
      <c r="AF22" s="0" t="n">
        <v>0.98</v>
      </c>
      <c r="AG22" s="0" t="n">
        <v>0.99</v>
      </c>
      <c r="AH22" s="0" t="n">
        <v>0.9720847</v>
      </c>
      <c r="AI22" s="0" t="n">
        <v>0.9720847</v>
      </c>
      <c r="AJ22" s="0" t="n">
        <v>0.98</v>
      </c>
      <c r="AK22" s="0" t="n">
        <v>1</v>
      </c>
      <c r="AL22" s="0" t="n">
        <v>0.985</v>
      </c>
      <c r="AM22" s="0" t="n">
        <v>0.985</v>
      </c>
      <c r="AN22" s="177" t="n">
        <v>0.9958</v>
      </c>
      <c r="AO22" s="177" t="n">
        <v>0.99</v>
      </c>
      <c r="AP22" s="177" t="n">
        <v>0.99</v>
      </c>
      <c r="AQ22" s="0" t="n">
        <v>0.985</v>
      </c>
      <c r="AR22" s="0" t="n">
        <v>0.9720847</v>
      </c>
      <c r="AS22" s="0" t="n">
        <v>0.977</v>
      </c>
      <c r="AT22" s="177" t="n">
        <v>0.975</v>
      </c>
      <c r="AU22" s="0" t="n">
        <v>0.9720847</v>
      </c>
      <c r="AV22" s="0" t="n">
        <v>0.985</v>
      </c>
      <c r="AW22" s="0" t="n">
        <v>0.985</v>
      </c>
      <c r="AX22" s="0" t="n">
        <v>0.985</v>
      </c>
      <c r="AY22" s="0" t="n">
        <v>0.9720847</v>
      </c>
      <c r="AZ22" s="0" t="n">
        <v>0.9720847</v>
      </c>
      <c r="BA22" s="0" t="n">
        <v>0.985</v>
      </c>
      <c r="BB22" s="187" t="n">
        <v>1</v>
      </c>
      <c r="BC22" s="0" t="n">
        <v>1</v>
      </c>
      <c r="BD22" s="0" t="n">
        <v>1</v>
      </c>
      <c r="BE22" s="0" t="n">
        <v>1</v>
      </c>
      <c r="BF22" s="0" t="n">
        <v>0.9999</v>
      </c>
      <c r="BG22" s="0" t="n">
        <v>1</v>
      </c>
      <c r="BH22" s="0" t="n">
        <v>1</v>
      </c>
      <c r="BI22" s="0" t="n">
        <v>0.99</v>
      </c>
      <c r="BJ22" s="0" t="n">
        <v>0.999</v>
      </c>
      <c r="BK22" s="0" t="n">
        <v>0.998</v>
      </c>
      <c r="BL22" s="0" t="n">
        <v>0.9985</v>
      </c>
      <c r="BM22" s="0" t="n">
        <v>0.9985</v>
      </c>
      <c r="BN22" s="0" t="n">
        <v>0.972</v>
      </c>
      <c r="BO22" s="0" t="n">
        <v>0.9999</v>
      </c>
      <c r="BP22" s="0" t="n">
        <v>0.9999</v>
      </c>
      <c r="BQ22" s="0" t="n">
        <v>1</v>
      </c>
      <c r="BR22" s="0" t="n">
        <v>1.0684577</v>
      </c>
      <c r="BS22" s="0" t="n">
        <v>1.0924</v>
      </c>
      <c r="BT22" s="0" t="n">
        <v>1.0827</v>
      </c>
      <c r="BU22" s="0" t="n">
        <v>1.0065</v>
      </c>
      <c r="BV22" s="0" t="n">
        <v>1</v>
      </c>
      <c r="BW22" s="0" t="n">
        <v>1.905</v>
      </c>
      <c r="BX22" s="0" t="n">
        <v>2.238933333</v>
      </c>
      <c r="BY22" s="0" t="n">
        <v>1.0252</v>
      </c>
      <c r="BZ22" s="0" t="n">
        <v>1.2885</v>
      </c>
      <c r="CA22" s="0" t="n">
        <v>2.001</v>
      </c>
      <c r="CB22" s="0" t="n">
        <v>1.473005</v>
      </c>
      <c r="CC22" s="0" t="n">
        <v>1.473005</v>
      </c>
      <c r="CD22" s="0" t="n">
        <v>1.237305</v>
      </c>
      <c r="CE22" s="0" t="n">
        <v>1.052255</v>
      </c>
      <c r="CF22" s="0" t="n">
        <v>1.392605</v>
      </c>
      <c r="CG22" s="188"/>
      <c r="CH22" s="0" t="n">
        <v>1.09223</v>
      </c>
      <c r="CI22" s="188"/>
      <c r="CJ22" s="188"/>
      <c r="CK22" s="188"/>
      <c r="CL22" s="188"/>
      <c r="CM22" s="188"/>
      <c r="CN22" s="188"/>
      <c r="CO22" s="188"/>
      <c r="CP22" s="0" t="n">
        <v>0.965</v>
      </c>
      <c r="CQ22" s="0" t="n">
        <v>0.91</v>
      </c>
      <c r="CR22" s="0" t="n">
        <v>0.91</v>
      </c>
      <c r="CS22" s="0" t="n">
        <v>0.98</v>
      </c>
      <c r="CT22" s="0" t="n">
        <v>0.99895</v>
      </c>
      <c r="CU22" s="0" t="n">
        <v>0.34</v>
      </c>
      <c r="CV22" s="0" t="n">
        <v>0.47</v>
      </c>
      <c r="CW22" s="0" t="n">
        <v>0.935</v>
      </c>
      <c r="CX22" s="0" t="n">
        <v>0.575</v>
      </c>
      <c r="CY22" s="0" t="n">
        <v>0.725</v>
      </c>
      <c r="CZ22" s="0" t="n">
        <v>0.8825</v>
      </c>
      <c r="DA22" s="0" t="n">
        <v>0.915</v>
      </c>
      <c r="DB22" s="0" t="n">
        <v>0.88</v>
      </c>
      <c r="DC22" s="0" t="n">
        <v>0.9025</v>
      </c>
      <c r="DD22" s="0" t="n">
        <v>0.915</v>
      </c>
      <c r="DE22" s="0" t="n">
        <v>0.89</v>
      </c>
      <c r="DF22" s="0" t="n">
        <v>0.985</v>
      </c>
      <c r="DG22" s="0" t="n">
        <v>0.99</v>
      </c>
      <c r="DH22" s="0" t="n">
        <v>0.99</v>
      </c>
      <c r="DI22" s="0" t="n">
        <v>0.975</v>
      </c>
      <c r="DN22" s="188" t="n">
        <v>0.0003613</v>
      </c>
      <c r="DO22" s="188" t="n">
        <v>0.0002</v>
      </c>
      <c r="DP22" s="188" t="n">
        <v>5E-005</v>
      </c>
      <c r="DQ22" s="188" t="n">
        <v>0.0001</v>
      </c>
      <c r="DR22" s="188" t="n">
        <v>0</v>
      </c>
      <c r="DS22" s="188" t="n">
        <v>0.0036</v>
      </c>
      <c r="DT22" s="188" t="n">
        <v>0.000555</v>
      </c>
      <c r="DU22" s="188" t="n">
        <v>0.00145</v>
      </c>
      <c r="DV22" s="188" t="n">
        <v>0</v>
      </c>
      <c r="DW22" s="188" t="n">
        <v>0</v>
      </c>
      <c r="DX22" s="188" t="n">
        <v>0.0005</v>
      </c>
      <c r="DY22" s="188" t="n">
        <v>0.0005</v>
      </c>
      <c r="DZ22" s="188" t="n">
        <v>0.0003</v>
      </c>
      <c r="EA22" s="188" t="n">
        <v>0.000275</v>
      </c>
      <c r="EB22" s="188" t="n">
        <v>0.0004</v>
      </c>
      <c r="ED22" s="188" t="n">
        <v>6.5E-005</v>
      </c>
      <c r="EF22" s="0" t="n">
        <v>1</v>
      </c>
    </row>
    <row r="23" customFormat="false" ht="12.75" hidden="false" customHeight="false" outlineLevel="0" collapsed="false">
      <c r="A23" s="149" t="n">
        <v>37073</v>
      </c>
      <c r="B23" s="0" t="n">
        <v>0.98</v>
      </c>
      <c r="C23" s="0" t="n">
        <v>0.988</v>
      </c>
      <c r="D23" s="0" t="n">
        <v>0.99</v>
      </c>
      <c r="E23" s="0" t="n">
        <v>0.978</v>
      </c>
      <c r="F23" s="0" t="n">
        <v>0.977</v>
      </c>
      <c r="G23" s="0" t="n">
        <v>0.782526</v>
      </c>
      <c r="H23" s="0" t="n">
        <v>0.9875</v>
      </c>
      <c r="I23" s="0" t="n">
        <v>0.959871</v>
      </c>
      <c r="J23" s="0" t="n">
        <v>0.7666575</v>
      </c>
      <c r="K23" s="0" t="n">
        <v>0.985</v>
      </c>
      <c r="L23" s="176" t="n">
        <v>1.125</v>
      </c>
      <c r="M23" s="176" t="n">
        <v>1.125</v>
      </c>
      <c r="N23" s="0" t="n">
        <v>0.98</v>
      </c>
      <c r="O23" s="0" t="n">
        <v>0.955170975</v>
      </c>
      <c r="P23" s="0" t="n">
        <v>0.98</v>
      </c>
      <c r="Q23" s="177" t="n">
        <v>0.995</v>
      </c>
      <c r="R23" s="0" t="n">
        <v>0.9875</v>
      </c>
      <c r="S23" s="176" t="n">
        <v>1.125</v>
      </c>
      <c r="T23" s="0" t="n">
        <v>0.98</v>
      </c>
      <c r="U23" s="0" t="n">
        <v>0.98</v>
      </c>
      <c r="V23" s="0" t="n">
        <v>0.98</v>
      </c>
      <c r="W23" s="0" t="n">
        <v>0.98</v>
      </c>
      <c r="X23" s="0" t="n">
        <v>0.955170975</v>
      </c>
      <c r="Y23" s="0" t="n">
        <v>0.955170975</v>
      </c>
      <c r="Z23" s="0" t="n">
        <v>0.955170975</v>
      </c>
      <c r="AA23" s="0" t="n">
        <v>0.955170975</v>
      </c>
      <c r="AB23" s="0" t="n">
        <v>0.98</v>
      </c>
      <c r="AC23" s="0" t="n">
        <v>0.98</v>
      </c>
      <c r="AD23" s="0" t="n">
        <v>0.955170975</v>
      </c>
      <c r="AE23" s="0" t="n">
        <v>0.955170975</v>
      </c>
      <c r="AF23" s="0" t="n">
        <v>0.98</v>
      </c>
      <c r="AG23" s="0" t="n">
        <v>0.99</v>
      </c>
      <c r="AH23" s="0" t="n">
        <v>0.97214255</v>
      </c>
      <c r="AI23" s="0" t="n">
        <v>0.97214255</v>
      </c>
      <c r="AJ23" s="0" t="n">
        <v>0.98</v>
      </c>
      <c r="AK23" s="0" t="n">
        <v>1</v>
      </c>
      <c r="AL23" s="0" t="n">
        <v>0.985</v>
      </c>
      <c r="AM23" s="0" t="n">
        <v>0.985</v>
      </c>
      <c r="AN23" s="177" t="n">
        <v>0.9958</v>
      </c>
      <c r="AO23" s="177" t="n">
        <v>0.99</v>
      </c>
      <c r="AP23" s="177" t="n">
        <v>0.99</v>
      </c>
      <c r="AQ23" s="0" t="n">
        <v>0.985</v>
      </c>
      <c r="AR23" s="0" t="n">
        <v>0.97214255</v>
      </c>
      <c r="AS23" s="0" t="n">
        <v>0.977</v>
      </c>
      <c r="AT23" s="177" t="n">
        <v>0.975</v>
      </c>
      <c r="AU23" s="0" t="n">
        <v>0.97214255</v>
      </c>
      <c r="AV23" s="0" t="n">
        <v>0.985</v>
      </c>
      <c r="AW23" s="0" t="n">
        <v>0.985</v>
      </c>
      <c r="AX23" s="0" t="n">
        <v>0.985</v>
      </c>
      <c r="AY23" s="0" t="n">
        <v>0.97214255</v>
      </c>
      <c r="AZ23" s="0" t="n">
        <v>0.97214255</v>
      </c>
      <c r="BA23" s="0" t="n">
        <v>0.985</v>
      </c>
      <c r="BB23" s="187" t="n">
        <v>1</v>
      </c>
      <c r="BC23" s="0" t="n">
        <v>1</v>
      </c>
      <c r="BD23" s="0" t="n">
        <v>1</v>
      </c>
      <c r="BE23" s="0" t="n">
        <v>1</v>
      </c>
      <c r="BF23" s="0" t="n">
        <v>0.9999</v>
      </c>
      <c r="BG23" s="0" t="n">
        <v>1</v>
      </c>
      <c r="BH23" s="0" t="n">
        <v>1</v>
      </c>
      <c r="BI23" s="0" t="n">
        <v>0.99</v>
      </c>
      <c r="BJ23" s="0" t="n">
        <v>0.999</v>
      </c>
      <c r="BK23" s="0" t="n">
        <v>0.998</v>
      </c>
      <c r="BL23" s="0" t="n">
        <v>0.9985</v>
      </c>
      <c r="BM23" s="0" t="n">
        <v>0.9985</v>
      </c>
      <c r="BN23" s="0" t="n">
        <v>0.972</v>
      </c>
      <c r="BO23" s="0" t="n">
        <v>0.9999</v>
      </c>
      <c r="BP23" s="0" t="n">
        <v>0.9999</v>
      </c>
      <c r="BQ23" s="0" t="n">
        <v>1</v>
      </c>
      <c r="BR23" s="0" t="n">
        <v>1.0688091</v>
      </c>
      <c r="BS23" s="0" t="n">
        <v>1.0926</v>
      </c>
      <c r="BT23" s="0" t="n">
        <v>1.0827</v>
      </c>
      <c r="BU23" s="0" t="n">
        <v>1.0066</v>
      </c>
      <c r="BV23" s="0" t="n">
        <v>1</v>
      </c>
      <c r="BW23" s="0" t="n">
        <v>1.9086</v>
      </c>
      <c r="BX23" s="0" t="n">
        <v>2.239483333</v>
      </c>
      <c r="BY23" s="0" t="n">
        <v>1.0266</v>
      </c>
      <c r="BZ23" s="0" t="n">
        <v>1.2885</v>
      </c>
      <c r="CA23" s="0" t="n">
        <v>2.001</v>
      </c>
      <c r="CB23" s="0" t="n">
        <v>1.473505</v>
      </c>
      <c r="CC23" s="0" t="n">
        <v>1.473505</v>
      </c>
      <c r="CD23" s="0" t="n">
        <v>1.237605</v>
      </c>
      <c r="CE23" s="0" t="n">
        <v>1.05253</v>
      </c>
      <c r="CF23" s="0" t="n">
        <v>1.393005</v>
      </c>
      <c r="CG23" s="188"/>
      <c r="CH23" s="0" t="n">
        <v>1.092295</v>
      </c>
      <c r="CI23" s="188"/>
      <c r="CJ23" s="188"/>
      <c r="CK23" s="188"/>
      <c r="CL23" s="188"/>
      <c r="CM23" s="188"/>
      <c r="CN23" s="188"/>
      <c r="CO23" s="188"/>
      <c r="CP23" s="0" t="n">
        <v>0.975</v>
      </c>
      <c r="CQ23" s="0" t="n">
        <v>0.91</v>
      </c>
      <c r="CR23" s="0" t="n">
        <v>0.91</v>
      </c>
      <c r="CS23" s="0" t="n">
        <v>0.97</v>
      </c>
      <c r="CT23" s="0" t="n">
        <v>0.99895</v>
      </c>
      <c r="CU23" s="0" t="n">
        <v>0.41</v>
      </c>
      <c r="CV23" s="0" t="n">
        <v>0.47</v>
      </c>
      <c r="CW23" s="0" t="n">
        <v>0.935</v>
      </c>
      <c r="CX23" s="0" t="n">
        <v>0.595</v>
      </c>
      <c r="CY23" s="0" t="n">
        <v>0.725</v>
      </c>
      <c r="CZ23" s="0" t="n">
        <v>0.8775</v>
      </c>
      <c r="DA23" s="0" t="n">
        <v>0.91</v>
      </c>
      <c r="DB23" s="0" t="n">
        <v>0.89</v>
      </c>
      <c r="DC23" s="0" t="n">
        <v>0.9075</v>
      </c>
      <c r="DD23" s="0" t="n">
        <v>0.915</v>
      </c>
      <c r="DE23" s="0" t="n">
        <v>0.89</v>
      </c>
      <c r="DF23" s="0" t="n">
        <v>0.985</v>
      </c>
      <c r="DG23" s="0" t="n">
        <v>0.99</v>
      </c>
      <c r="DH23" s="0" t="n">
        <v>0.99</v>
      </c>
      <c r="DI23" s="0" t="n">
        <v>0.975</v>
      </c>
      <c r="DN23" s="188" t="n">
        <v>0.0003514</v>
      </c>
      <c r="DO23" s="188" t="n">
        <v>0.0002</v>
      </c>
      <c r="DP23" s="188" t="n">
        <v>0</v>
      </c>
      <c r="DQ23" s="188" t="n">
        <v>0.0001</v>
      </c>
      <c r="DR23" s="188" t="n">
        <v>0</v>
      </c>
      <c r="DS23" s="188" t="n">
        <v>0.0036</v>
      </c>
      <c r="DT23" s="188" t="n">
        <v>0.00055</v>
      </c>
      <c r="DU23" s="188" t="n">
        <v>0.0014</v>
      </c>
      <c r="DV23" s="188" t="n">
        <v>0</v>
      </c>
      <c r="DW23" s="188" t="n">
        <v>0</v>
      </c>
      <c r="DX23" s="188" t="n">
        <v>0.0005</v>
      </c>
      <c r="DY23" s="188" t="n">
        <v>0.0005</v>
      </c>
      <c r="DZ23" s="188" t="n">
        <v>0.0003</v>
      </c>
      <c r="EA23" s="188" t="n">
        <v>0.000275</v>
      </c>
      <c r="EB23" s="188" t="n">
        <v>0.0004</v>
      </c>
      <c r="ED23" s="188" t="n">
        <v>6.5E-005</v>
      </c>
      <c r="EF23" s="0" t="n">
        <v>1</v>
      </c>
    </row>
    <row r="24" customFormat="false" ht="12.75" hidden="false" customHeight="false" outlineLevel="0" collapsed="false">
      <c r="A24" s="149" t="n">
        <v>37104</v>
      </c>
      <c r="B24" s="0" t="n">
        <v>0.98</v>
      </c>
      <c r="C24" s="0" t="n">
        <v>0.988</v>
      </c>
      <c r="D24" s="0" t="n">
        <v>0.99</v>
      </c>
      <c r="E24" s="0" t="n">
        <v>0.978</v>
      </c>
      <c r="F24" s="0" t="n">
        <v>0.977</v>
      </c>
      <c r="G24" s="0" t="n">
        <v>0.822246</v>
      </c>
      <c r="H24" s="0" t="n">
        <v>0.9875</v>
      </c>
      <c r="I24" s="0" t="n">
        <v>0.95085375</v>
      </c>
      <c r="J24" s="0" t="n">
        <v>0.8826225</v>
      </c>
      <c r="K24" s="0" t="n">
        <v>0.985</v>
      </c>
      <c r="L24" s="176" t="n">
        <v>1.125</v>
      </c>
      <c r="M24" s="176" t="n">
        <v>1.125</v>
      </c>
      <c r="N24" s="0" t="n">
        <v>0.98</v>
      </c>
      <c r="O24" s="0" t="n">
        <v>0.976476638</v>
      </c>
      <c r="P24" s="0" t="n">
        <v>0.98</v>
      </c>
      <c r="Q24" s="177" t="n">
        <v>0.995</v>
      </c>
      <c r="R24" s="0" t="n">
        <v>0.9875</v>
      </c>
      <c r="S24" s="176" t="n">
        <v>1.125</v>
      </c>
      <c r="T24" s="0" t="n">
        <v>0.98</v>
      </c>
      <c r="U24" s="0" t="n">
        <v>0.98</v>
      </c>
      <c r="V24" s="0" t="n">
        <v>0.98</v>
      </c>
      <c r="W24" s="0" t="n">
        <v>0.98</v>
      </c>
      <c r="X24" s="0" t="n">
        <v>0.976476638</v>
      </c>
      <c r="Y24" s="0" t="n">
        <v>0.976476638</v>
      </c>
      <c r="Z24" s="0" t="n">
        <v>0.976476638</v>
      </c>
      <c r="AA24" s="0" t="n">
        <v>0.976476638</v>
      </c>
      <c r="AB24" s="0" t="n">
        <v>0.98</v>
      </c>
      <c r="AC24" s="0" t="n">
        <v>0.98</v>
      </c>
      <c r="AD24" s="0" t="n">
        <v>0.976476638</v>
      </c>
      <c r="AE24" s="0" t="n">
        <v>0.976476638</v>
      </c>
      <c r="AF24" s="0" t="n">
        <v>0.98</v>
      </c>
      <c r="AG24" s="0" t="n">
        <v>0.99</v>
      </c>
      <c r="AH24" s="0" t="n">
        <v>0.9722004</v>
      </c>
      <c r="AI24" s="0" t="n">
        <v>0.9722004</v>
      </c>
      <c r="AJ24" s="0" t="n">
        <v>0.98</v>
      </c>
      <c r="AK24" s="0" t="n">
        <v>1</v>
      </c>
      <c r="AL24" s="0" t="n">
        <v>0.985</v>
      </c>
      <c r="AM24" s="0" t="n">
        <v>0.985</v>
      </c>
      <c r="AN24" s="177" t="n">
        <v>0.9958</v>
      </c>
      <c r="AO24" s="177" t="n">
        <v>0.99</v>
      </c>
      <c r="AP24" s="177" t="n">
        <v>0.99</v>
      </c>
      <c r="AQ24" s="0" t="n">
        <v>0.985</v>
      </c>
      <c r="AR24" s="0" t="n">
        <v>0.9722004</v>
      </c>
      <c r="AS24" s="0" t="n">
        <v>0.977</v>
      </c>
      <c r="AT24" s="177" t="n">
        <v>0.975</v>
      </c>
      <c r="AU24" s="0" t="n">
        <v>0.9722004</v>
      </c>
      <c r="AV24" s="0" t="n">
        <v>0.985</v>
      </c>
      <c r="AW24" s="0" t="n">
        <v>0.985</v>
      </c>
      <c r="AX24" s="0" t="n">
        <v>0.985</v>
      </c>
      <c r="AY24" s="0" t="n">
        <v>0.9722004</v>
      </c>
      <c r="AZ24" s="0" t="n">
        <v>0.9722004</v>
      </c>
      <c r="BA24" s="0" t="n">
        <v>0.985</v>
      </c>
      <c r="BB24" s="187" t="n">
        <v>1</v>
      </c>
      <c r="BC24" s="0" t="n">
        <v>1</v>
      </c>
      <c r="BD24" s="0" t="n">
        <v>1</v>
      </c>
      <c r="BE24" s="0" t="n">
        <v>1</v>
      </c>
      <c r="BF24" s="0" t="n">
        <v>0.9999</v>
      </c>
      <c r="BG24" s="0" t="n">
        <v>1</v>
      </c>
      <c r="BH24" s="0" t="n">
        <v>1</v>
      </c>
      <c r="BI24" s="0" t="n">
        <v>0.99</v>
      </c>
      <c r="BJ24" s="0" t="n">
        <v>0.999</v>
      </c>
      <c r="BK24" s="0" t="n">
        <v>0.998</v>
      </c>
      <c r="BL24" s="0" t="n">
        <v>0.9985</v>
      </c>
      <c r="BM24" s="0" t="n">
        <v>0.9985</v>
      </c>
      <c r="BN24" s="0" t="n">
        <v>0.972</v>
      </c>
      <c r="BO24" s="0" t="n">
        <v>0.9999</v>
      </c>
      <c r="BP24" s="0" t="n">
        <v>0.9999</v>
      </c>
      <c r="BQ24" s="0" t="n">
        <v>1</v>
      </c>
      <c r="BR24" s="0" t="n">
        <v>1.0691506</v>
      </c>
      <c r="BS24" s="0" t="n">
        <v>1.0928</v>
      </c>
      <c r="BT24" s="0" t="n">
        <v>1.0827</v>
      </c>
      <c r="BU24" s="0" t="n">
        <v>1.0067</v>
      </c>
      <c r="BV24" s="0" t="n">
        <v>1</v>
      </c>
      <c r="BW24" s="0" t="n">
        <v>1.9122</v>
      </c>
      <c r="BX24" s="0" t="n">
        <v>2.240028333</v>
      </c>
      <c r="BY24" s="0" t="n">
        <v>1.02795</v>
      </c>
      <c r="BZ24" s="0" t="n">
        <v>1.2885</v>
      </c>
      <c r="CA24" s="0" t="n">
        <v>2.001</v>
      </c>
      <c r="CB24" s="0" t="n">
        <v>1.474005</v>
      </c>
      <c r="CC24" s="0" t="n">
        <v>1.474005</v>
      </c>
      <c r="CD24" s="0" t="n">
        <v>1.237905</v>
      </c>
      <c r="CE24" s="0" t="n">
        <v>1.052805</v>
      </c>
      <c r="CF24" s="0" t="n">
        <v>1.393405</v>
      </c>
      <c r="CG24" s="188"/>
      <c r="CH24" s="0" t="n">
        <v>1.09236</v>
      </c>
      <c r="CI24" s="188"/>
      <c r="CJ24" s="188"/>
      <c r="CK24" s="188"/>
      <c r="CL24" s="188"/>
      <c r="CM24" s="188"/>
      <c r="CN24" s="188"/>
      <c r="CO24" s="188"/>
      <c r="CP24" s="0" t="n">
        <v>0.975</v>
      </c>
      <c r="CQ24" s="0" t="n">
        <v>0.91</v>
      </c>
      <c r="CR24" s="0" t="n">
        <v>0.91</v>
      </c>
      <c r="CS24" s="0" t="n">
        <v>0.97</v>
      </c>
      <c r="CT24" s="0" t="n">
        <v>0.99895</v>
      </c>
      <c r="CU24" s="0" t="n">
        <v>0.43</v>
      </c>
      <c r="CV24" s="0" t="n">
        <v>0.52</v>
      </c>
      <c r="CW24" s="0" t="n">
        <v>0.925</v>
      </c>
      <c r="CX24" s="0" t="n">
        <v>0.685</v>
      </c>
      <c r="CY24" s="0" t="n">
        <v>0.725</v>
      </c>
      <c r="CZ24" s="0" t="n">
        <v>0.89</v>
      </c>
      <c r="DA24" s="0" t="n">
        <v>0.9225</v>
      </c>
      <c r="DB24" s="0" t="n">
        <v>0.915</v>
      </c>
      <c r="DC24" s="0" t="n">
        <v>0.9275</v>
      </c>
      <c r="DD24" s="0" t="n">
        <v>0.915</v>
      </c>
      <c r="DE24" s="0" t="n">
        <v>0.89</v>
      </c>
      <c r="DF24" s="0" t="n">
        <v>0.985</v>
      </c>
      <c r="DG24" s="0" t="n">
        <v>0.99</v>
      </c>
      <c r="DH24" s="0" t="n">
        <v>0.99</v>
      </c>
      <c r="DI24" s="0" t="n">
        <v>0.975</v>
      </c>
      <c r="DN24" s="188" t="n">
        <v>0.0003415</v>
      </c>
      <c r="DO24" s="188" t="n">
        <v>0.0002</v>
      </c>
      <c r="DP24" s="188" t="n">
        <v>0</v>
      </c>
      <c r="DQ24" s="188" t="n">
        <v>0.0001</v>
      </c>
      <c r="DR24" s="188" t="n">
        <v>0</v>
      </c>
      <c r="DS24" s="188" t="n">
        <v>0.0036</v>
      </c>
      <c r="DT24" s="188" t="n">
        <v>0.000545</v>
      </c>
      <c r="DU24" s="188" t="n">
        <v>0.00135</v>
      </c>
      <c r="DV24" s="188" t="n">
        <v>0</v>
      </c>
      <c r="DW24" s="188" t="n">
        <v>0</v>
      </c>
      <c r="DX24" s="188" t="n">
        <v>0.0005</v>
      </c>
      <c r="DY24" s="188" t="n">
        <v>0.0005</v>
      </c>
      <c r="DZ24" s="188" t="n">
        <v>0.0003</v>
      </c>
      <c r="EA24" s="188" t="n">
        <v>0.000275</v>
      </c>
      <c r="EB24" s="188" t="n">
        <v>0.0004</v>
      </c>
      <c r="ED24" s="188" t="n">
        <v>6.5E-005</v>
      </c>
      <c r="EF24" s="0" t="n">
        <v>1</v>
      </c>
    </row>
    <row r="25" customFormat="false" ht="12.75" hidden="false" customHeight="false" outlineLevel="0" collapsed="false">
      <c r="A25" s="149" t="n">
        <v>37135</v>
      </c>
      <c r="B25" s="0" t="n">
        <v>0.98</v>
      </c>
      <c r="C25" s="0" t="n">
        <v>0.988</v>
      </c>
      <c r="D25" s="0" t="n">
        <v>0.99</v>
      </c>
      <c r="E25" s="0" t="n">
        <v>0.978</v>
      </c>
      <c r="F25" s="0" t="n">
        <v>0.977</v>
      </c>
      <c r="G25" s="0" t="n">
        <v>0.881268</v>
      </c>
      <c r="H25" s="0" t="n">
        <v>0.9875</v>
      </c>
      <c r="I25" s="0" t="n">
        <v>0.95205625</v>
      </c>
      <c r="J25" s="0" t="n">
        <v>0.7022325</v>
      </c>
      <c r="K25" s="0" t="n">
        <v>0.985</v>
      </c>
      <c r="L25" s="176" t="n">
        <v>1.125</v>
      </c>
      <c r="M25" s="176" t="n">
        <v>1.125</v>
      </c>
      <c r="N25" s="0" t="n">
        <v>0.98</v>
      </c>
      <c r="O25" s="0" t="n">
        <v>0.9688336</v>
      </c>
      <c r="P25" s="0" t="n">
        <v>0.98</v>
      </c>
      <c r="Q25" s="177" t="n">
        <v>0.995</v>
      </c>
      <c r="R25" s="0" t="n">
        <v>0.9875</v>
      </c>
      <c r="S25" s="176" t="n">
        <v>1.125</v>
      </c>
      <c r="T25" s="0" t="n">
        <v>0.98</v>
      </c>
      <c r="U25" s="0" t="n">
        <v>0.98</v>
      </c>
      <c r="V25" s="0" t="n">
        <v>0.98</v>
      </c>
      <c r="W25" s="0" t="n">
        <v>0.98</v>
      </c>
      <c r="X25" s="0" t="n">
        <v>0.9688336</v>
      </c>
      <c r="Y25" s="0" t="n">
        <v>0.9688336</v>
      </c>
      <c r="Z25" s="0" t="n">
        <v>0.9688336</v>
      </c>
      <c r="AA25" s="0" t="n">
        <v>0.9688336</v>
      </c>
      <c r="AB25" s="0" t="n">
        <v>0.98</v>
      </c>
      <c r="AC25" s="0" t="n">
        <v>0.98</v>
      </c>
      <c r="AD25" s="0" t="n">
        <v>0.9688336</v>
      </c>
      <c r="AE25" s="0" t="n">
        <v>0.9688336</v>
      </c>
      <c r="AF25" s="0" t="n">
        <v>0.98</v>
      </c>
      <c r="AG25" s="0" t="n">
        <v>0.99</v>
      </c>
      <c r="AH25" s="0" t="n">
        <v>0.97225825</v>
      </c>
      <c r="AI25" s="0" t="n">
        <v>0.97225825</v>
      </c>
      <c r="AJ25" s="0" t="n">
        <v>0.98</v>
      </c>
      <c r="AK25" s="0" t="n">
        <v>1</v>
      </c>
      <c r="AL25" s="0" t="n">
        <v>0.985</v>
      </c>
      <c r="AM25" s="0" t="n">
        <v>0.985</v>
      </c>
      <c r="AN25" s="177" t="n">
        <v>0.9958</v>
      </c>
      <c r="AO25" s="177" t="n">
        <v>0.99</v>
      </c>
      <c r="AP25" s="177" t="n">
        <v>0.99</v>
      </c>
      <c r="AQ25" s="0" t="n">
        <v>0.985</v>
      </c>
      <c r="AR25" s="0" t="n">
        <v>0.97225825</v>
      </c>
      <c r="AS25" s="0" t="n">
        <v>0.977</v>
      </c>
      <c r="AT25" s="177" t="n">
        <v>0.975</v>
      </c>
      <c r="AU25" s="0" t="n">
        <v>0.97225825</v>
      </c>
      <c r="AV25" s="0" t="n">
        <v>0.985</v>
      </c>
      <c r="AW25" s="0" t="n">
        <v>0.985</v>
      </c>
      <c r="AX25" s="0" t="n">
        <v>0.985</v>
      </c>
      <c r="AY25" s="0" t="n">
        <v>0.97225825</v>
      </c>
      <c r="AZ25" s="0" t="n">
        <v>0.97225825</v>
      </c>
      <c r="BA25" s="0" t="n">
        <v>0.985</v>
      </c>
      <c r="BB25" s="187" t="n">
        <v>1</v>
      </c>
      <c r="BC25" s="0" t="n">
        <v>1</v>
      </c>
      <c r="BD25" s="0" t="n">
        <v>1</v>
      </c>
      <c r="BE25" s="0" t="n">
        <v>1</v>
      </c>
      <c r="BF25" s="0" t="n">
        <v>0.9999</v>
      </c>
      <c r="BG25" s="0" t="n">
        <v>1</v>
      </c>
      <c r="BH25" s="0" t="n">
        <v>1</v>
      </c>
      <c r="BI25" s="0" t="n">
        <v>0.99</v>
      </c>
      <c r="BJ25" s="0" t="n">
        <v>0.999</v>
      </c>
      <c r="BK25" s="0" t="n">
        <v>0.998</v>
      </c>
      <c r="BL25" s="0" t="n">
        <v>0.9985</v>
      </c>
      <c r="BM25" s="0" t="n">
        <v>0.9985</v>
      </c>
      <c r="BN25" s="0" t="n">
        <v>0.972</v>
      </c>
      <c r="BO25" s="0" t="n">
        <v>0.9999</v>
      </c>
      <c r="BP25" s="0" t="n">
        <v>0.9999</v>
      </c>
      <c r="BQ25" s="0" t="n">
        <v>1</v>
      </c>
      <c r="BR25" s="0" t="n">
        <v>1.0694822</v>
      </c>
      <c r="BS25" s="0" t="n">
        <v>1.093</v>
      </c>
      <c r="BT25" s="0" t="n">
        <v>1.0827</v>
      </c>
      <c r="BU25" s="0" t="n">
        <v>1.0068</v>
      </c>
      <c r="BV25" s="0" t="n">
        <v>1</v>
      </c>
      <c r="BW25" s="0" t="n">
        <v>1.9158</v>
      </c>
      <c r="BX25" s="0" t="n">
        <v>2.240571333</v>
      </c>
      <c r="BY25" s="0" t="n">
        <v>1.02925</v>
      </c>
      <c r="BZ25" s="0" t="n">
        <v>1.2885</v>
      </c>
      <c r="CA25" s="0" t="n">
        <v>2.001</v>
      </c>
      <c r="CB25" s="0" t="n">
        <v>1.474505</v>
      </c>
      <c r="CC25" s="0" t="n">
        <v>1.474505</v>
      </c>
      <c r="CD25" s="0" t="n">
        <v>1.238205</v>
      </c>
      <c r="CE25" s="0" t="n">
        <v>1.05308</v>
      </c>
      <c r="CF25" s="0" t="n">
        <v>1.393805</v>
      </c>
      <c r="CG25" s="188"/>
      <c r="CH25" s="0" t="n">
        <v>1.092425</v>
      </c>
      <c r="CI25" s="188"/>
      <c r="CJ25" s="188"/>
      <c r="CK25" s="188"/>
      <c r="CL25" s="188"/>
      <c r="CM25" s="188"/>
      <c r="CN25" s="188"/>
      <c r="CO25" s="188"/>
      <c r="CP25" s="0" t="n">
        <v>0.975</v>
      </c>
      <c r="CQ25" s="0" t="n">
        <v>0.91</v>
      </c>
      <c r="CR25" s="0" t="n">
        <v>0.91</v>
      </c>
      <c r="CS25" s="0" t="n">
        <v>0.95</v>
      </c>
      <c r="CT25" s="0" t="n">
        <v>0.99895</v>
      </c>
      <c r="CU25" s="0" t="n">
        <v>0.46</v>
      </c>
      <c r="CV25" s="0" t="n">
        <v>0.55</v>
      </c>
      <c r="CW25" s="0" t="n">
        <v>0.925</v>
      </c>
      <c r="CX25" s="0" t="n">
        <v>0.545</v>
      </c>
      <c r="CY25" s="0" t="n">
        <v>0.575</v>
      </c>
      <c r="CZ25" s="0" t="n">
        <v>0.945</v>
      </c>
      <c r="DA25" s="0" t="n">
        <v>0.9775</v>
      </c>
      <c r="DB25" s="0" t="n">
        <v>0.945</v>
      </c>
      <c r="DC25" s="0" t="n">
        <v>0.92</v>
      </c>
      <c r="DD25" s="0" t="n">
        <v>0.915</v>
      </c>
      <c r="DE25" s="0" t="n">
        <v>0.89</v>
      </c>
      <c r="DF25" s="0" t="n">
        <v>0.985</v>
      </c>
      <c r="DG25" s="0" t="n">
        <v>0.99</v>
      </c>
      <c r="DH25" s="0" t="n">
        <v>0.99</v>
      </c>
      <c r="DI25" s="0" t="n">
        <v>0.975</v>
      </c>
      <c r="DN25" s="188" t="n">
        <v>0.0003316</v>
      </c>
      <c r="DO25" s="188" t="n">
        <v>0.0002</v>
      </c>
      <c r="DP25" s="188" t="n">
        <v>0</v>
      </c>
      <c r="DQ25" s="188" t="n">
        <v>0.0001</v>
      </c>
      <c r="DR25" s="188" t="n">
        <v>0</v>
      </c>
      <c r="DS25" s="188" t="n">
        <v>0.0036</v>
      </c>
      <c r="DT25" s="188" t="n">
        <v>0.000543</v>
      </c>
      <c r="DU25" s="188" t="n">
        <v>0.0013</v>
      </c>
      <c r="DV25" s="188" t="n">
        <v>0</v>
      </c>
      <c r="DW25" s="188" t="n">
        <v>0</v>
      </c>
      <c r="DX25" s="188" t="n">
        <v>0.0005</v>
      </c>
      <c r="DY25" s="188" t="n">
        <v>0.0005</v>
      </c>
      <c r="DZ25" s="188" t="n">
        <v>0.0003</v>
      </c>
      <c r="EA25" s="188" t="n">
        <v>0.000275</v>
      </c>
      <c r="EB25" s="188" t="n">
        <v>0.0004</v>
      </c>
      <c r="ED25" s="188" t="n">
        <v>6.5E-005</v>
      </c>
      <c r="EF25" s="0" t="n">
        <v>1</v>
      </c>
    </row>
    <row r="26" customFormat="false" ht="12.75" hidden="false" customHeight="false" outlineLevel="0" collapsed="false">
      <c r="A26" s="149" t="n">
        <v>37165</v>
      </c>
      <c r="B26" s="0" t="n">
        <v>0.98</v>
      </c>
      <c r="C26" s="0" t="n">
        <v>0.98388</v>
      </c>
      <c r="D26" s="0" t="n">
        <v>0.99</v>
      </c>
      <c r="E26" s="0" t="n">
        <v>0.978</v>
      </c>
      <c r="F26" s="0" t="n">
        <v>0.977</v>
      </c>
      <c r="G26" s="0" t="n">
        <v>0.882924</v>
      </c>
      <c r="H26" s="0" t="n">
        <v>0.9875</v>
      </c>
      <c r="I26" s="0" t="n">
        <v>0.9532125</v>
      </c>
      <c r="J26" s="0" t="n">
        <v>0.6893475</v>
      </c>
      <c r="K26" s="0" t="n">
        <v>0.985</v>
      </c>
      <c r="L26" s="176" t="n">
        <v>1.125</v>
      </c>
      <c r="M26" s="176" t="n">
        <v>1.125</v>
      </c>
      <c r="N26" s="0" t="n">
        <v>0.98</v>
      </c>
      <c r="O26" s="0" t="n">
        <v>0.950652888</v>
      </c>
      <c r="P26" s="0" t="n">
        <v>0.98</v>
      </c>
      <c r="Q26" s="177" t="n">
        <v>0.995</v>
      </c>
      <c r="R26" s="0" t="n">
        <v>0.9875</v>
      </c>
      <c r="S26" s="176" t="n">
        <v>1.125</v>
      </c>
      <c r="T26" s="0" t="n">
        <v>0.98</v>
      </c>
      <c r="U26" s="0" t="n">
        <v>0.98</v>
      </c>
      <c r="V26" s="0" t="n">
        <v>0.98</v>
      </c>
      <c r="W26" s="0" t="n">
        <v>0.98</v>
      </c>
      <c r="X26" s="0" t="n">
        <v>0.950652888</v>
      </c>
      <c r="Y26" s="0" t="n">
        <v>0.950652888</v>
      </c>
      <c r="Z26" s="0" t="n">
        <v>0.950652888</v>
      </c>
      <c r="AA26" s="0" t="n">
        <v>0.950652888</v>
      </c>
      <c r="AB26" s="0" t="n">
        <v>0.98</v>
      </c>
      <c r="AC26" s="0" t="n">
        <v>0.98</v>
      </c>
      <c r="AD26" s="0" t="n">
        <v>0.950652888</v>
      </c>
      <c r="AE26" s="0" t="n">
        <v>0.950652888</v>
      </c>
      <c r="AF26" s="0" t="n">
        <v>0.98</v>
      </c>
      <c r="AG26" s="0" t="n">
        <v>0.99</v>
      </c>
      <c r="AH26" s="0" t="n">
        <v>0.9723161</v>
      </c>
      <c r="AI26" s="0" t="n">
        <v>0.9723161</v>
      </c>
      <c r="AJ26" s="0" t="n">
        <v>0.98</v>
      </c>
      <c r="AK26" s="0" t="n">
        <v>1</v>
      </c>
      <c r="AL26" s="0" t="n">
        <v>0.985</v>
      </c>
      <c r="AM26" s="0" t="n">
        <v>0.985</v>
      </c>
      <c r="AN26" s="177" t="n">
        <v>0.9958</v>
      </c>
      <c r="AO26" s="177" t="n">
        <v>0.98</v>
      </c>
      <c r="AP26" s="177" t="n">
        <v>0.99</v>
      </c>
      <c r="AQ26" s="0" t="n">
        <v>0.985</v>
      </c>
      <c r="AR26" s="0" t="n">
        <v>0.9723161</v>
      </c>
      <c r="AS26" s="0" t="n">
        <v>0.977</v>
      </c>
      <c r="AT26" s="177" t="n">
        <v>0.975</v>
      </c>
      <c r="AU26" s="0" t="n">
        <v>0.9723161</v>
      </c>
      <c r="AV26" s="0" t="n">
        <v>0.985</v>
      </c>
      <c r="AW26" s="0" t="n">
        <v>0.985</v>
      </c>
      <c r="AX26" s="0" t="n">
        <v>0.985</v>
      </c>
      <c r="AY26" s="0" t="n">
        <v>0.9723161</v>
      </c>
      <c r="AZ26" s="0" t="n">
        <v>0.9723161</v>
      </c>
      <c r="BA26" s="0" t="n">
        <v>0.985</v>
      </c>
      <c r="BB26" s="187" t="n">
        <v>1</v>
      </c>
      <c r="BC26" s="0" t="n">
        <v>1</v>
      </c>
      <c r="BD26" s="0" t="n">
        <v>1</v>
      </c>
      <c r="BE26" s="0" t="n">
        <v>1</v>
      </c>
      <c r="BF26" s="0" t="n">
        <v>0.9999</v>
      </c>
      <c r="BG26" s="0" t="n">
        <v>1</v>
      </c>
      <c r="BH26" s="0" t="n">
        <v>1</v>
      </c>
      <c r="BI26" s="0" t="n">
        <v>0.99</v>
      </c>
      <c r="BJ26" s="0" t="n">
        <v>0.999</v>
      </c>
      <c r="BK26" s="0" t="n">
        <v>0.998</v>
      </c>
      <c r="BL26" s="0" t="n">
        <v>0.9985</v>
      </c>
      <c r="BM26" s="0" t="n">
        <v>0.9985</v>
      </c>
      <c r="BN26" s="0" t="n">
        <v>0.972</v>
      </c>
      <c r="BO26" s="0" t="n">
        <v>0.9999</v>
      </c>
      <c r="BP26" s="0" t="n">
        <v>0.9999</v>
      </c>
      <c r="BQ26" s="0" t="n">
        <v>1</v>
      </c>
      <c r="BR26" s="0" t="n">
        <v>1.0698039</v>
      </c>
      <c r="BS26" s="0" t="n">
        <v>1.0932</v>
      </c>
      <c r="BT26" s="0" t="n">
        <v>1.0827</v>
      </c>
      <c r="BU26" s="0" t="n">
        <v>1.0069</v>
      </c>
      <c r="BV26" s="0" t="n">
        <v>1</v>
      </c>
      <c r="BW26" s="0" t="n">
        <v>1.9194</v>
      </c>
      <c r="BX26" s="0" t="n">
        <v>2.241106333</v>
      </c>
      <c r="BY26" s="0" t="n">
        <v>1.0305</v>
      </c>
      <c r="BZ26" s="0" t="n">
        <v>1.2885</v>
      </c>
      <c r="CA26" s="0" t="n">
        <v>2.001</v>
      </c>
      <c r="CB26" s="0" t="n">
        <v>1.475005</v>
      </c>
      <c r="CC26" s="0" t="n">
        <v>1.475005</v>
      </c>
      <c r="CD26" s="0" t="n">
        <v>1.238505</v>
      </c>
      <c r="CE26" s="0" t="n">
        <v>1.053355</v>
      </c>
      <c r="CF26" s="0" t="n">
        <v>1.394205</v>
      </c>
      <c r="CG26" s="188"/>
      <c r="CH26" s="0" t="n">
        <v>1.09249</v>
      </c>
      <c r="CI26" s="188"/>
      <c r="CJ26" s="188"/>
      <c r="CK26" s="188"/>
      <c r="CL26" s="188"/>
      <c r="CM26" s="188"/>
      <c r="CN26" s="188"/>
      <c r="CO26" s="188"/>
      <c r="CP26" s="0" t="n">
        <v>0.955</v>
      </c>
      <c r="CQ26" s="0" t="n">
        <v>0.9</v>
      </c>
      <c r="CR26" s="0" t="n">
        <v>0.91</v>
      </c>
      <c r="CS26" s="0" t="n">
        <v>0.94</v>
      </c>
      <c r="CT26" s="0" t="n">
        <v>0.99895</v>
      </c>
      <c r="CU26" s="0" t="n">
        <v>0.46</v>
      </c>
      <c r="CV26" s="0" t="n">
        <v>0.45</v>
      </c>
      <c r="CW26" s="0" t="n">
        <v>0.925</v>
      </c>
      <c r="CX26" s="0" t="n">
        <v>0.535</v>
      </c>
      <c r="CY26" s="0" t="n">
        <v>0.505</v>
      </c>
      <c r="CZ26" s="0" t="n">
        <v>0.805</v>
      </c>
      <c r="DA26" s="0" t="n">
        <v>0.8375</v>
      </c>
      <c r="DB26" s="0" t="n">
        <v>0.875</v>
      </c>
      <c r="DC26" s="0" t="n">
        <v>0.9025</v>
      </c>
      <c r="DD26" s="0" t="n">
        <v>0.82</v>
      </c>
      <c r="DE26" s="0" t="n">
        <v>0.89</v>
      </c>
      <c r="DF26" s="0" t="n">
        <v>0.985</v>
      </c>
      <c r="DG26" s="0" t="n">
        <v>0.98</v>
      </c>
      <c r="DH26" s="0" t="n">
        <v>0.99</v>
      </c>
      <c r="DI26" s="0" t="n">
        <v>0.975</v>
      </c>
      <c r="DN26" s="188" t="n">
        <v>0.0003217</v>
      </c>
      <c r="DO26" s="188" t="n">
        <v>0.0002</v>
      </c>
      <c r="DP26" s="188" t="n">
        <v>0</v>
      </c>
      <c r="DQ26" s="188" t="n">
        <v>0.0001</v>
      </c>
      <c r="DR26" s="188" t="n">
        <v>0</v>
      </c>
      <c r="DS26" s="188" t="n">
        <v>0.0036</v>
      </c>
      <c r="DT26" s="188" t="n">
        <v>0.000535</v>
      </c>
      <c r="DU26" s="188" t="n">
        <v>0.00125</v>
      </c>
      <c r="DV26" s="188" t="n">
        <v>0</v>
      </c>
      <c r="DW26" s="188" t="n">
        <v>0</v>
      </c>
      <c r="DX26" s="188" t="n">
        <v>0.0005</v>
      </c>
      <c r="DY26" s="188" t="n">
        <v>0.0005</v>
      </c>
      <c r="DZ26" s="188" t="n">
        <v>0.0003</v>
      </c>
      <c r="EA26" s="188" t="n">
        <v>0.000275</v>
      </c>
      <c r="EB26" s="188" t="n">
        <v>0.0004</v>
      </c>
      <c r="ED26" s="188" t="n">
        <v>6.5E-005</v>
      </c>
      <c r="EF26" s="0" t="n">
        <v>1</v>
      </c>
    </row>
    <row r="27" customFormat="false" ht="12.75" hidden="false" customHeight="false" outlineLevel="0" collapsed="false">
      <c r="A27" s="149" t="n">
        <v>37196</v>
      </c>
      <c r="B27" s="0" t="n">
        <v>0.98</v>
      </c>
      <c r="C27" s="0" t="n">
        <v>0.98406</v>
      </c>
      <c r="D27" s="0" t="n">
        <v>0.975</v>
      </c>
      <c r="E27" s="0" t="n">
        <f aca="false">E15</f>
        <v>0.994</v>
      </c>
      <c r="F27" s="0" t="n">
        <v>0.977</v>
      </c>
      <c r="G27" s="0" t="n">
        <v>0.92304</v>
      </c>
      <c r="H27" s="0" t="n">
        <v>0.9875</v>
      </c>
      <c r="I27" s="0" t="n">
        <v>0.9336885</v>
      </c>
      <c r="J27" s="0" t="n">
        <v>1</v>
      </c>
      <c r="K27" s="0" t="n">
        <v>0.970485</v>
      </c>
      <c r="L27" s="176" t="n">
        <v>1.125</v>
      </c>
      <c r="M27" s="176" t="n">
        <v>1.125</v>
      </c>
      <c r="N27" s="0" t="n">
        <v>1</v>
      </c>
      <c r="O27" s="0" t="n">
        <v>0.950901075</v>
      </c>
      <c r="P27" s="0" t="n">
        <v>0.98</v>
      </c>
      <c r="Q27" s="177" t="n">
        <v>0.995</v>
      </c>
      <c r="R27" s="0" t="n">
        <v>0.9875</v>
      </c>
      <c r="S27" s="176" t="n">
        <v>1.125</v>
      </c>
      <c r="T27" s="0" t="n">
        <v>1</v>
      </c>
      <c r="U27" s="0" t="n">
        <v>1</v>
      </c>
      <c r="V27" s="0" t="n">
        <v>0.98</v>
      </c>
      <c r="W27" s="0" t="n">
        <v>1</v>
      </c>
      <c r="X27" s="0" t="n">
        <v>1</v>
      </c>
      <c r="Y27" s="0" t="n">
        <v>1</v>
      </c>
      <c r="Z27" s="0" t="n">
        <v>0.950901075</v>
      </c>
      <c r="AA27" s="0" t="n">
        <v>1</v>
      </c>
      <c r="AB27" s="0" t="n">
        <v>0.98</v>
      </c>
      <c r="AC27" s="0" t="n">
        <v>0.98</v>
      </c>
      <c r="AD27" s="0" t="n">
        <v>0.950901075</v>
      </c>
      <c r="AE27" s="0" t="n">
        <v>0.950901075</v>
      </c>
      <c r="AF27" s="0" t="n">
        <v>0.98</v>
      </c>
      <c r="AG27" s="0" t="n">
        <v>0.99</v>
      </c>
      <c r="AH27" s="0" t="n">
        <v>0.97237395</v>
      </c>
      <c r="AI27" s="0" t="n">
        <v>0.97237395</v>
      </c>
      <c r="AJ27" s="0" t="n">
        <v>0.98</v>
      </c>
      <c r="AK27" s="0" t="n">
        <v>1</v>
      </c>
      <c r="AL27" s="0" t="n">
        <v>0.970485</v>
      </c>
      <c r="AM27" s="0" t="n">
        <v>0.97443</v>
      </c>
      <c r="AN27" s="177" t="n">
        <v>0.9958</v>
      </c>
      <c r="AO27" s="177" t="n">
        <v>0.97</v>
      </c>
      <c r="AP27" s="177" t="n">
        <v>0.99</v>
      </c>
      <c r="AQ27" s="0" t="n">
        <v>0.97443</v>
      </c>
      <c r="AR27" s="0" t="n">
        <v>0.97237395</v>
      </c>
      <c r="AS27" s="0" t="n">
        <v>0.977</v>
      </c>
      <c r="AT27" s="177" t="n">
        <v>0.975</v>
      </c>
      <c r="AU27" s="0" t="n">
        <v>0.97237395</v>
      </c>
      <c r="AV27" s="0" t="n">
        <v>0.97443</v>
      </c>
      <c r="AW27" s="0" t="n">
        <v>0.97443</v>
      </c>
      <c r="AX27" s="0" t="n">
        <v>0.97443</v>
      </c>
      <c r="AY27" s="0" t="n">
        <v>0.97237395</v>
      </c>
      <c r="AZ27" s="0" t="n">
        <v>0.97237395</v>
      </c>
      <c r="BA27" s="0" t="n">
        <v>0.97443</v>
      </c>
      <c r="BB27" s="187" t="n">
        <v>1</v>
      </c>
      <c r="BC27" s="0" t="n">
        <v>1</v>
      </c>
      <c r="BD27" s="0" t="n">
        <v>1</v>
      </c>
      <c r="BE27" s="0" t="n">
        <v>1</v>
      </c>
      <c r="BF27" s="0" t="n">
        <v>0.9999</v>
      </c>
      <c r="BG27" s="0" t="n">
        <v>1</v>
      </c>
      <c r="BH27" s="0" t="n">
        <v>1</v>
      </c>
      <c r="BI27" s="0" t="n">
        <v>0.99</v>
      </c>
      <c r="BJ27" s="0" t="n">
        <v>0.999</v>
      </c>
      <c r="BK27" s="0" t="n">
        <v>0.998</v>
      </c>
      <c r="BL27" s="0" t="n">
        <v>0.9985</v>
      </c>
      <c r="BM27" s="0" t="n">
        <v>0.9985</v>
      </c>
      <c r="BN27" s="0" t="n">
        <v>0.972</v>
      </c>
      <c r="BO27" s="0" t="n">
        <v>0.9999</v>
      </c>
      <c r="BP27" s="0" t="n">
        <v>0.9999</v>
      </c>
      <c r="BQ27" s="0" t="n">
        <v>1</v>
      </c>
      <c r="BR27" s="0" t="n">
        <v>1.0701157</v>
      </c>
      <c r="BS27" s="0" t="n">
        <v>1.0934</v>
      </c>
      <c r="BT27" s="0" t="n">
        <v>1.0827</v>
      </c>
      <c r="BU27" s="0" t="n">
        <v>1.007</v>
      </c>
      <c r="BV27" s="0" t="n">
        <v>1</v>
      </c>
      <c r="BW27" s="0" t="n">
        <v>1.923</v>
      </c>
      <c r="BX27" s="0" t="n">
        <v>2.241636333</v>
      </c>
      <c r="BY27" s="0" t="n">
        <v>1.0317</v>
      </c>
      <c r="BZ27" s="0" t="n">
        <v>1.2885</v>
      </c>
      <c r="CA27" s="0" t="n">
        <v>2.001</v>
      </c>
      <c r="CB27" s="0" t="n">
        <v>1.475505</v>
      </c>
      <c r="CC27" s="0" t="n">
        <v>1.475505</v>
      </c>
      <c r="CD27" s="0" t="n">
        <v>1.238805</v>
      </c>
      <c r="CE27" s="0" t="n">
        <v>1.05363</v>
      </c>
      <c r="CF27" s="0" t="n">
        <v>1.394605</v>
      </c>
      <c r="CG27" s="188"/>
      <c r="CH27" s="0" t="n">
        <v>1.092555</v>
      </c>
      <c r="CI27" s="188"/>
      <c r="CJ27" s="188"/>
      <c r="CK27" s="188"/>
      <c r="CL27" s="188"/>
      <c r="CM27" s="188"/>
      <c r="CN27" s="188"/>
      <c r="CO27" s="188"/>
      <c r="CP27" s="0" t="n">
        <v>0.955</v>
      </c>
      <c r="CQ27" s="0" t="n">
        <v>0.9</v>
      </c>
      <c r="CR27" s="0" t="n">
        <v>0.9</v>
      </c>
      <c r="CS27" s="0" t="n">
        <v>0.94</v>
      </c>
      <c r="CT27" s="0" t="n">
        <v>0.999</v>
      </c>
      <c r="CU27" s="0" t="n">
        <v>0.48</v>
      </c>
      <c r="CV27" s="0" t="n">
        <v>0.46</v>
      </c>
      <c r="CW27" s="0" t="n">
        <v>0.905</v>
      </c>
      <c r="CX27" s="0" t="n">
        <v>0.495</v>
      </c>
      <c r="CY27" s="0" t="n">
        <v>0.485</v>
      </c>
      <c r="CZ27" s="0" t="n">
        <v>0.795</v>
      </c>
      <c r="DA27" s="0" t="n">
        <v>0.8275</v>
      </c>
      <c r="DB27" s="0" t="n">
        <v>0.85</v>
      </c>
      <c r="DC27" s="0" t="n">
        <v>0.9025</v>
      </c>
      <c r="DD27" s="0" t="n">
        <v>0.82</v>
      </c>
      <c r="DE27" s="0" t="n">
        <v>0.89</v>
      </c>
      <c r="DF27" s="0" t="n">
        <v>0.985</v>
      </c>
      <c r="DG27" s="0" t="n">
        <v>0.97</v>
      </c>
      <c r="DH27" s="0" t="n">
        <v>0.99</v>
      </c>
      <c r="DI27" s="0" t="n">
        <v>0.975</v>
      </c>
      <c r="DN27" s="188" t="n">
        <v>0.0003118</v>
      </c>
      <c r="DO27" s="188" t="n">
        <v>0.0002</v>
      </c>
      <c r="DP27" s="188" t="n">
        <v>0</v>
      </c>
      <c r="DQ27" s="188" t="n">
        <v>0.0001</v>
      </c>
      <c r="DR27" s="188" t="n">
        <v>0</v>
      </c>
      <c r="DS27" s="188" t="n">
        <v>0.0036</v>
      </c>
      <c r="DT27" s="188" t="n">
        <v>0.00053</v>
      </c>
      <c r="DU27" s="188" t="n">
        <v>0.0012</v>
      </c>
      <c r="DV27" s="188" t="n">
        <v>0</v>
      </c>
      <c r="DW27" s="188" t="n">
        <v>0</v>
      </c>
      <c r="DX27" s="188" t="n">
        <v>0.0005</v>
      </c>
      <c r="DY27" s="188" t="n">
        <v>0.0005</v>
      </c>
      <c r="DZ27" s="188" t="n">
        <v>0.0003</v>
      </c>
      <c r="EA27" s="188" t="n">
        <v>0.000275</v>
      </c>
      <c r="EB27" s="188" t="n">
        <v>0.0004</v>
      </c>
      <c r="ED27" s="188" t="n">
        <v>6.5E-005</v>
      </c>
      <c r="EF27" s="0" t="n">
        <v>1</v>
      </c>
    </row>
    <row r="28" customFormat="false" ht="12.75" hidden="false" customHeight="false" outlineLevel="0" collapsed="false">
      <c r="A28" s="149" t="n">
        <v>37226</v>
      </c>
      <c r="B28" s="0" t="n">
        <v>0.98</v>
      </c>
      <c r="C28" s="0" t="n">
        <v>0.973304</v>
      </c>
      <c r="D28" s="0" t="n">
        <v>0.975</v>
      </c>
      <c r="E28" s="0" t="n">
        <f aca="false">E16</f>
        <v>0.994</v>
      </c>
      <c r="F28" s="0" t="n">
        <v>0.977</v>
      </c>
      <c r="G28" s="0" t="n">
        <v>0.982566</v>
      </c>
      <c r="H28" s="0" t="n">
        <v>0.9875</v>
      </c>
      <c r="I28" s="0" t="n">
        <v>0.90374375</v>
      </c>
      <c r="J28" s="0" t="n">
        <v>1</v>
      </c>
      <c r="K28" s="0" t="n">
        <v>0.970485</v>
      </c>
      <c r="L28" s="176" t="n">
        <v>1.125</v>
      </c>
      <c r="M28" s="176" t="n">
        <v>1.125</v>
      </c>
      <c r="N28" s="0" t="n">
        <v>1</v>
      </c>
      <c r="O28" s="0" t="n">
        <v>0.940610213</v>
      </c>
      <c r="P28" s="0" t="n">
        <v>0.85498245</v>
      </c>
      <c r="Q28" s="177" t="n">
        <v>0.995</v>
      </c>
      <c r="R28" s="0" t="n">
        <v>0.87084295</v>
      </c>
      <c r="S28" s="176" t="n">
        <v>1.125</v>
      </c>
      <c r="T28" s="0" t="n">
        <v>1</v>
      </c>
      <c r="U28" s="0" t="n">
        <v>1</v>
      </c>
      <c r="V28" s="0" t="n">
        <v>0.85498245</v>
      </c>
      <c r="W28" s="0" t="n">
        <v>1</v>
      </c>
      <c r="X28" s="0" t="n">
        <v>1</v>
      </c>
      <c r="Y28" s="0" t="n">
        <v>1</v>
      </c>
      <c r="Z28" s="0" t="n">
        <v>0.940610213</v>
      </c>
      <c r="AA28" s="0" t="n">
        <v>1</v>
      </c>
      <c r="AB28" s="0" t="n">
        <v>0.85498245</v>
      </c>
      <c r="AC28" s="0" t="n">
        <v>0.85498245</v>
      </c>
      <c r="AD28" s="0" t="n">
        <v>0.940610213</v>
      </c>
      <c r="AE28" s="0" t="n">
        <v>0.940610213</v>
      </c>
      <c r="AF28" s="0" t="n">
        <v>0.85498245</v>
      </c>
      <c r="AG28" s="0" t="n">
        <v>0.98</v>
      </c>
      <c r="AH28" s="0" t="n">
        <v>0.9724318</v>
      </c>
      <c r="AI28" s="0" t="n">
        <v>0.9724318</v>
      </c>
      <c r="AJ28" s="0" t="n">
        <v>0.85498245</v>
      </c>
      <c r="AK28" s="0" t="n">
        <v>1</v>
      </c>
      <c r="AL28" s="0" t="n">
        <v>0.970485</v>
      </c>
      <c r="AM28" s="0" t="n">
        <v>0.952776</v>
      </c>
      <c r="AN28" s="177" t="n">
        <v>0.9958</v>
      </c>
      <c r="AO28" s="177" t="n">
        <v>0.97</v>
      </c>
      <c r="AP28" s="177" t="n">
        <v>0.99</v>
      </c>
      <c r="AQ28" s="0" t="n">
        <v>0.952776</v>
      </c>
      <c r="AR28" s="0" t="n">
        <v>0.9724318</v>
      </c>
      <c r="AS28" s="0" t="n">
        <v>0.977</v>
      </c>
      <c r="AT28" s="177" t="n">
        <v>0.975</v>
      </c>
      <c r="AU28" s="0" t="n">
        <v>0.9724318</v>
      </c>
      <c r="AV28" s="0" t="n">
        <v>0.952776</v>
      </c>
      <c r="AW28" s="0" t="n">
        <v>0.952776</v>
      </c>
      <c r="AX28" s="0" t="n">
        <v>0.952776</v>
      </c>
      <c r="AY28" s="0" t="n">
        <v>0.9724318</v>
      </c>
      <c r="AZ28" s="0" t="n">
        <v>0.9724318</v>
      </c>
      <c r="BA28" s="0" t="n">
        <v>0.952776</v>
      </c>
      <c r="BB28" s="187" t="n">
        <v>1</v>
      </c>
      <c r="BC28" s="0" t="n">
        <v>1</v>
      </c>
      <c r="BD28" s="0" t="n">
        <v>1</v>
      </c>
      <c r="BE28" s="0" t="n">
        <v>1</v>
      </c>
      <c r="BF28" s="0" t="n">
        <v>0.9999</v>
      </c>
      <c r="BG28" s="0" t="n">
        <v>1</v>
      </c>
      <c r="BH28" s="0" t="n">
        <v>1</v>
      </c>
      <c r="BI28" s="0" t="n">
        <v>0.99</v>
      </c>
      <c r="BJ28" s="0" t="n">
        <v>0.999</v>
      </c>
      <c r="BK28" s="0" t="n">
        <v>0.998</v>
      </c>
      <c r="BL28" s="0" t="n">
        <v>0.9985</v>
      </c>
      <c r="BM28" s="0" t="n">
        <v>0.9985</v>
      </c>
      <c r="BN28" s="0" t="n">
        <v>0.972</v>
      </c>
      <c r="BO28" s="0" t="n">
        <v>0.9999</v>
      </c>
      <c r="BP28" s="0" t="n">
        <v>0.9999</v>
      </c>
      <c r="BQ28" s="0" t="n">
        <v>1</v>
      </c>
      <c r="BR28" s="0" t="n">
        <v>1.0704176</v>
      </c>
      <c r="BS28" s="0" t="n">
        <v>1.0936</v>
      </c>
      <c r="BT28" s="0" t="n">
        <v>1.0827</v>
      </c>
      <c r="BU28" s="0" t="n">
        <v>1.0071</v>
      </c>
      <c r="BV28" s="0" t="n">
        <v>1</v>
      </c>
      <c r="BW28" s="0" t="n">
        <v>1.9266</v>
      </c>
      <c r="BX28" s="0" t="n">
        <v>2.242161333</v>
      </c>
      <c r="BY28" s="0" t="n">
        <v>1.03285</v>
      </c>
      <c r="BZ28" s="0" t="n">
        <v>1.2885</v>
      </c>
      <c r="CA28" s="0" t="n">
        <v>2.001</v>
      </c>
      <c r="CB28" s="0" t="n">
        <v>1.476005</v>
      </c>
      <c r="CC28" s="0" t="n">
        <v>1.476005</v>
      </c>
      <c r="CD28" s="0" t="n">
        <v>1.239105</v>
      </c>
      <c r="CE28" s="0" t="n">
        <v>1.053905</v>
      </c>
      <c r="CF28" s="0" t="n">
        <v>1.395005</v>
      </c>
      <c r="CG28" s="188"/>
      <c r="CH28" s="0" t="n">
        <v>1.09262</v>
      </c>
      <c r="CI28" s="188"/>
      <c r="CJ28" s="188"/>
      <c r="CK28" s="188"/>
      <c r="CL28" s="188"/>
      <c r="CM28" s="188"/>
      <c r="CN28" s="188"/>
      <c r="CO28" s="188"/>
      <c r="CP28" s="0" t="n">
        <v>0.935</v>
      </c>
      <c r="CQ28" s="0" t="n">
        <v>0.89</v>
      </c>
      <c r="CR28" s="0" t="n">
        <v>0.88</v>
      </c>
      <c r="CS28" s="0" t="n">
        <v>0.92</v>
      </c>
      <c r="CT28" s="0" t="n">
        <v>0.999</v>
      </c>
      <c r="CU28" s="0" t="n">
        <v>0.51</v>
      </c>
      <c r="CV28" s="0" t="n">
        <v>0.48</v>
      </c>
      <c r="CW28" s="0" t="n">
        <v>0.875</v>
      </c>
      <c r="CX28" s="0" t="n">
        <v>0.5</v>
      </c>
      <c r="CY28" s="0" t="n">
        <v>0.485</v>
      </c>
      <c r="CZ28" s="0" t="n">
        <v>0.59</v>
      </c>
      <c r="DA28" s="0" t="n">
        <v>0.6225</v>
      </c>
      <c r="DB28" s="0" t="n">
        <v>0.69</v>
      </c>
      <c r="DC28" s="0" t="n">
        <v>0.8925</v>
      </c>
      <c r="DD28" s="0" t="n">
        <v>0.715</v>
      </c>
      <c r="DE28" s="0" t="n">
        <v>0.89</v>
      </c>
      <c r="DF28" s="0" t="n">
        <v>0.985</v>
      </c>
      <c r="DG28" s="0" t="n">
        <v>0.97</v>
      </c>
      <c r="DH28" s="0" t="n">
        <v>0.99</v>
      </c>
      <c r="DI28" s="0" t="n">
        <v>0.975</v>
      </c>
      <c r="DN28" s="188" t="n">
        <v>0.0003019</v>
      </c>
      <c r="DO28" s="188" t="n">
        <v>0.0002</v>
      </c>
      <c r="DP28" s="188" t="n">
        <v>0</v>
      </c>
      <c r="DQ28" s="188" t="n">
        <v>0.0001</v>
      </c>
      <c r="DR28" s="188" t="n">
        <v>0</v>
      </c>
      <c r="DS28" s="188" t="n">
        <v>0.0036</v>
      </c>
      <c r="DT28" s="188" t="n">
        <v>0.000525</v>
      </c>
      <c r="DU28" s="188" t="n">
        <v>0.00115</v>
      </c>
      <c r="DV28" s="188" t="n">
        <v>0</v>
      </c>
      <c r="DW28" s="188" t="n">
        <v>0</v>
      </c>
      <c r="DX28" s="188" t="n">
        <v>0.0005</v>
      </c>
      <c r="DY28" s="188" t="n">
        <v>0.0005</v>
      </c>
      <c r="DZ28" s="188" t="n">
        <v>0.0003</v>
      </c>
      <c r="EA28" s="188" t="n">
        <v>0.000275</v>
      </c>
      <c r="EB28" s="188" t="n">
        <v>0.0004</v>
      </c>
      <c r="ED28" s="188" t="n">
        <v>6.5E-005</v>
      </c>
      <c r="EF28" s="0" t="n">
        <v>1</v>
      </c>
    </row>
    <row r="29" customFormat="false" ht="12.75" hidden="false" customHeight="false" outlineLevel="0" collapsed="false">
      <c r="A29" s="149" t="n">
        <v>37257</v>
      </c>
      <c r="B29" s="0" t="n">
        <v>0.98</v>
      </c>
      <c r="C29" s="0" t="n">
        <v>0.940668</v>
      </c>
      <c r="D29" s="0" t="n">
        <v>0.975</v>
      </c>
      <c r="E29" s="0" t="n">
        <f aca="false">E17</f>
        <v>0.994</v>
      </c>
      <c r="F29" s="0" t="n">
        <v>0.977</v>
      </c>
      <c r="G29" s="0" t="n">
        <v>0.9875</v>
      </c>
      <c r="H29" s="0" t="n">
        <v>0.9875</v>
      </c>
      <c r="I29" s="0" t="n">
        <v>0.83232975</v>
      </c>
      <c r="J29" s="0" t="n">
        <v>1</v>
      </c>
      <c r="K29" s="0" t="n">
        <v>0.985</v>
      </c>
      <c r="L29" s="176" t="n">
        <v>1.125</v>
      </c>
      <c r="M29" s="176" t="n">
        <v>1.125</v>
      </c>
      <c r="N29" s="0" t="n">
        <v>1</v>
      </c>
      <c r="O29" s="0" t="n">
        <v>0.9276784</v>
      </c>
      <c r="P29" s="0" t="n">
        <v>0.85518945</v>
      </c>
      <c r="Q29" s="177" t="n">
        <v>0.995</v>
      </c>
      <c r="R29" s="0" t="n">
        <v>0.893285525</v>
      </c>
      <c r="S29" s="176" t="n">
        <v>1.125</v>
      </c>
      <c r="T29" s="0" t="n">
        <v>1</v>
      </c>
      <c r="U29" s="0" t="n">
        <v>1</v>
      </c>
      <c r="V29" s="0" t="n">
        <v>0.85518945</v>
      </c>
      <c r="W29" s="0" t="n">
        <v>1</v>
      </c>
      <c r="X29" s="0" t="n">
        <v>1</v>
      </c>
      <c r="Y29" s="0" t="n">
        <v>1</v>
      </c>
      <c r="Z29" s="0" t="n">
        <v>0.9276784</v>
      </c>
      <c r="AA29" s="0" t="n">
        <v>1</v>
      </c>
      <c r="AB29" s="0" t="n">
        <v>0.85518945</v>
      </c>
      <c r="AC29" s="0" t="n">
        <v>0.85518945</v>
      </c>
      <c r="AD29" s="0" t="n">
        <v>0.9276784</v>
      </c>
      <c r="AE29" s="0" t="n">
        <v>0.9276784</v>
      </c>
      <c r="AF29" s="0" t="n">
        <v>0.85518945</v>
      </c>
      <c r="AG29" s="0" t="n">
        <v>0.98</v>
      </c>
      <c r="AH29" s="0" t="n">
        <v>0.97248965</v>
      </c>
      <c r="AI29" s="0" t="n">
        <v>0.97248965</v>
      </c>
      <c r="AJ29" s="0" t="n">
        <v>0.85518945</v>
      </c>
      <c r="AK29" s="0" t="n">
        <v>1</v>
      </c>
      <c r="AL29" s="0" t="n">
        <v>0.985</v>
      </c>
      <c r="AM29" s="0" t="n">
        <v>0.941949</v>
      </c>
      <c r="AN29" s="177" t="n">
        <v>0.9958</v>
      </c>
      <c r="AO29" s="177" t="n">
        <v>0.96</v>
      </c>
      <c r="AP29" s="177" t="n">
        <v>0.99</v>
      </c>
      <c r="AQ29" s="0" t="n">
        <v>0.941949</v>
      </c>
      <c r="AR29" s="0" t="n">
        <v>0.97248965</v>
      </c>
      <c r="AS29" s="0" t="n">
        <v>0.977</v>
      </c>
      <c r="AT29" s="177" t="n">
        <v>0.975</v>
      </c>
      <c r="AU29" s="0" t="n">
        <v>0.97248965</v>
      </c>
      <c r="AV29" s="0" t="n">
        <v>0.941949</v>
      </c>
      <c r="AW29" s="0" t="n">
        <v>0.941949</v>
      </c>
      <c r="AX29" s="0" t="n">
        <v>0.941949</v>
      </c>
      <c r="AY29" s="0" t="n">
        <v>0.97248965</v>
      </c>
      <c r="AZ29" s="0" t="n">
        <v>0.97248965</v>
      </c>
      <c r="BA29" s="0" t="n">
        <v>0.941949</v>
      </c>
      <c r="BB29" s="187" t="n">
        <v>1</v>
      </c>
      <c r="BC29" s="0" t="n">
        <v>1</v>
      </c>
      <c r="BD29" s="0" t="n">
        <v>1</v>
      </c>
      <c r="BE29" s="0" t="n">
        <v>1</v>
      </c>
      <c r="BF29" s="0" t="n">
        <v>0.9999</v>
      </c>
      <c r="BG29" s="0" t="n">
        <v>1</v>
      </c>
      <c r="BH29" s="0" t="n">
        <v>1</v>
      </c>
      <c r="BI29" s="0" t="n">
        <v>0.99</v>
      </c>
      <c r="BJ29" s="0" t="n">
        <v>0.999</v>
      </c>
      <c r="BK29" s="0" t="n">
        <v>0.998</v>
      </c>
      <c r="BL29" s="0" t="n">
        <v>0.9985</v>
      </c>
      <c r="BM29" s="0" t="n">
        <v>0.9985</v>
      </c>
      <c r="BN29" s="0" t="n">
        <v>0.972</v>
      </c>
      <c r="BO29" s="0" t="n">
        <v>0.9999</v>
      </c>
      <c r="BP29" s="0" t="n">
        <v>0.9999</v>
      </c>
      <c r="BQ29" s="0" t="n">
        <v>1</v>
      </c>
      <c r="BR29" s="0" t="n">
        <v>1.0707026</v>
      </c>
      <c r="BS29" s="0" t="n">
        <v>1.0938</v>
      </c>
      <c r="BT29" s="0" t="n">
        <v>1.0827</v>
      </c>
      <c r="BU29" s="0" t="n">
        <v>1.0072</v>
      </c>
      <c r="BV29" s="0" t="n">
        <v>1</v>
      </c>
      <c r="BW29" s="0" t="n">
        <v>1.9302</v>
      </c>
      <c r="BX29" s="0" t="n">
        <v>2.242681333</v>
      </c>
      <c r="BY29" s="0" t="n">
        <v>1.03395</v>
      </c>
      <c r="BZ29" s="0" t="n">
        <v>1.2885</v>
      </c>
      <c r="CA29" s="0" t="n">
        <v>2.001</v>
      </c>
      <c r="CB29" s="0" t="n">
        <v>1.476505</v>
      </c>
      <c r="CC29" s="0" t="n">
        <v>1.476505</v>
      </c>
      <c r="CD29" s="0" t="n">
        <v>1.239405</v>
      </c>
      <c r="CE29" s="0" t="n">
        <v>1.05418</v>
      </c>
      <c r="CF29" s="0" t="n">
        <v>1.395405</v>
      </c>
      <c r="CG29" s="188"/>
      <c r="CH29" s="0" t="n">
        <v>1.092685</v>
      </c>
      <c r="CI29" s="188"/>
      <c r="CJ29" s="188"/>
      <c r="CK29" s="188"/>
      <c r="CL29" s="188"/>
      <c r="CM29" s="188"/>
      <c r="CN29" s="188"/>
      <c r="CO29" s="188"/>
      <c r="CP29" s="0" t="n">
        <v>0.895</v>
      </c>
      <c r="CQ29" s="0" t="n">
        <v>0.86</v>
      </c>
      <c r="CR29" s="0" t="n">
        <v>0.87</v>
      </c>
      <c r="CS29" s="0" t="n">
        <v>0.92</v>
      </c>
      <c r="CT29" s="0" t="n">
        <v>0.999</v>
      </c>
      <c r="CU29" s="0" t="n">
        <v>0.58</v>
      </c>
      <c r="CV29" s="0" t="n">
        <v>0.45</v>
      </c>
      <c r="CW29" s="0" t="n">
        <v>0.805</v>
      </c>
      <c r="CX29" s="0" t="n">
        <v>0.51</v>
      </c>
      <c r="CY29" s="0" t="n">
        <v>0.505</v>
      </c>
      <c r="CZ29" s="0" t="n">
        <v>0.605</v>
      </c>
      <c r="DA29" s="0" t="n">
        <v>0.6375</v>
      </c>
      <c r="DB29" s="0" t="n">
        <v>0.69</v>
      </c>
      <c r="DC29" s="0" t="n">
        <v>0.88</v>
      </c>
      <c r="DD29" s="0" t="n">
        <v>0.64</v>
      </c>
      <c r="DE29" s="0" t="n">
        <v>0.89</v>
      </c>
      <c r="DF29" s="0" t="n">
        <v>0.985</v>
      </c>
      <c r="DG29" s="0" t="n">
        <v>0.96</v>
      </c>
      <c r="DH29" s="0" t="n">
        <v>0.99</v>
      </c>
      <c r="DI29" s="0" t="n">
        <v>0.975</v>
      </c>
      <c r="DN29" s="188" t="n">
        <v>0.000285</v>
      </c>
      <c r="DO29" s="188" t="n">
        <v>0.0002</v>
      </c>
      <c r="DP29" s="188" t="n">
        <v>0</v>
      </c>
      <c r="DQ29" s="188" t="n">
        <v>0.0001</v>
      </c>
      <c r="DR29" s="188" t="n">
        <v>0</v>
      </c>
      <c r="DS29" s="188" t="n">
        <v>0.0036</v>
      </c>
      <c r="DT29" s="188" t="n">
        <v>0.00052</v>
      </c>
      <c r="DU29" s="188" t="n">
        <v>0.0011</v>
      </c>
      <c r="DV29" s="188" t="n">
        <v>0</v>
      </c>
      <c r="DW29" s="188" t="n">
        <v>0</v>
      </c>
      <c r="DX29" s="188" t="n">
        <v>0.0005</v>
      </c>
      <c r="DY29" s="188" t="n">
        <v>0.0005</v>
      </c>
      <c r="DZ29" s="188" t="n">
        <v>0.0003</v>
      </c>
      <c r="EA29" s="188" t="n">
        <v>0.000275</v>
      </c>
      <c r="EB29" s="188" t="n">
        <v>0.0004</v>
      </c>
      <c r="ED29" s="188" t="n">
        <v>6.5E-005</v>
      </c>
      <c r="EF29" s="0" t="n">
        <v>1</v>
      </c>
    </row>
    <row r="30" customFormat="false" ht="12.75" hidden="false" customHeight="false" outlineLevel="0" collapsed="false">
      <c r="A30" s="149" t="n">
        <v>37288</v>
      </c>
      <c r="B30" s="0" t="n">
        <v>0.98</v>
      </c>
      <c r="C30" s="0" t="n">
        <v>0.94084</v>
      </c>
      <c r="D30" s="0" t="n">
        <v>0.975</v>
      </c>
      <c r="E30" s="0" t="n">
        <f aca="false">E18</f>
        <v>0.994</v>
      </c>
      <c r="F30" s="0" t="n">
        <v>0.977</v>
      </c>
      <c r="G30" s="0" t="n">
        <v>0.9875</v>
      </c>
      <c r="H30" s="0" t="n">
        <v>0.9875</v>
      </c>
      <c r="I30" s="0" t="n">
        <v>0.874575</v>
      </c>
      <c r="J30" s="0" t="n">
        <v>1</v>
      </c>
      <c r="K30" s="0" t="n">
        <v>0.985</v>
      </c>
      <c r="L30" s="176" t="n">
        <v>1.125</v>
      </c>
      <c r="M30" s="176" t="n">
        <v>1.125</v>
      </c>
      <c r="N30" s="0" t="n">
        <v>1</v>
      </c>
      <c r="O30" s="0" t="n">
        <v>0.925284263</v>
      </c>
      <c r="P30" s="0" t="n">
        <v>0.88019055</v>
      </c>
      <c r="Q30" s="177" t="n">
        <v>0.995</v>
      </c>
      <c r="R30" s="0" t="n">
        <v>0.937898175</v>
      </c>
      <c r="S30" s="176" t="n">
        <v>1.125</v>
      </c>
      <c r="T30" s="0" t="n">
        <v>1</v>
      </c>
      <c r="U30" s="0" t="n">
        <v>1</v>
      </c>
      <c r="V30" s="0" t="n">
        <v>0.88019055</v>
      </c>
      <c r="W30" s="0" t="n">
        <v>1</v>
      </c>
      <c r="X30" s="0" t="n">
        <v>1</v>
      </c>
      <c r="Y30" s="0" t="n">
        <v>1</v>
      </c>
      <c r="Z30" s="0" t="n">
        <v>0.925284263</v>
      </c>
      <c r="AA30" s="0" t="n">
        <v>1</v>
      </c>
      <c r="AB30" s="0" t="n">
        <v>0.88019055</v>
      </c>
      <c r="AC30" s="0" t="n">
        <v>0.88019055</v>
      </c>
      <c r="AD30" s="0" t="n">
        <v>0.925284263</v>
      </c>
      <c r="AE30" s="0" t="n">
        <v>0.925284263</v>
      </c>
      <c r="AF30" s="0" t="n">
        <v>0.88019055</v>
      </c>
      <c r="AG30" s="0" t="n">
        <v>0.98</v>
      </c>
      <c r="AH30" s="0" t="n">
        <v>0.9725475</v>
      </c>
      <c r="AI30" s="0" t="n">
        <v>0.9725475</v>
      </c>
      <c r="AJ30" s="0" t="n">
        <v>0.88019055</v>
      </c>
      <c r="AK30" s="0" t="n">
        <v>1</v>
      </c>
      <c r="AL30" s="0" t="n">
        <v>0.985</v>
      </c>
      <c r="AM30" s="0" t="n">
        <v>0.963603</v>
      </c>
      <c r="AN30" s="177" t="n">
        <v>0.9958</v>
      </c>
      <c r="AO30" s="177" t="n">
        <v>0.97</v>
      </c>
      <c r="AP30" s="177" t="n">
        <v>0.99</v>
      </c>
      <c r="AQ30" s="0" t="n">
        <v>0.963603</v>
      </c>
      <c r="AR30" s="0" t="n">
        <v>0.9725475</v>
      </c>
      <c r="AS30" s="0" t="n">
        <v>0.977</v>
      </c>
      <c r="AT30" s="177" t="n">
        <v>0.975</v>
      </c>
      <c r="AU30" s="0" t="n">
        <v>0.9725475</v>
      </c>
      <c r="AV30" s="0" t="n">
        <v>0.963603</v>
      </c>
      <c r="AW30" s="0" t="n">
        <v>0.963603</v>
      </c>
      <c r="AX30" s="0" t="n">
        <v>0.963603</v>
      </c>
      <c r="AY30" s="0" t="n">
        <v>0.9725475</v>
      </c>
      <c r="AZ30" s="0" t="n">
        <v>0.9725475</v>
      </c>
      <c r="BA30" s="0" t="n">
        <v>0.963603</v>
      </c>
      <c r="BB30" s="187" t="n">
        <v>1</v>
      </c>
      <c r="BC30" s="0" t="n">
        <v>1</v>
      </c>
      <c r="BD30" s="0" t="n">
        <v>1</v>
      </c>
      <c r="BE30" s="0" t="n">
        <v>1</v>
      </c>
      <c r="BF30" s="0" t="n">
        <v>0.9999</v>
      </c>
      <c r="BG30" s="0" t="n">
        <v>1</v>
      </c>
      <c r="BH30" s="0" t="n">
        <v>1</v>
      </c>
      <c r="BI30" s="0" t="n">
        <v>0.99</v>
      </c>
      <c r="BJ30" s="0" t="n">
        <v>0.999</v>
      </c>
      <c r="BK30" s="0" t="n">
        <v>0.998</v>
      </c>
      <c r="BL30" s="0" t="n">
        <v>0.9985</v>
      </c>
      <c r="BM30" s="0" t="n">
        <v>0.9985</v>
      </c>
      <c r="BN30" s="0" t="n">
        <v>0.972</v>
      </c>
      <c r="BO30" s="0" t="n">
        <v>0.9999</v>
      </c>
      <c r="BP30" s="0" t="n">
        <v>0.9999</v>
      </c>
      <c r="BQ30" s="0" t="n">
        <v>1</v>
      </c>
      <c r="BR30" s="0" t="n">
        <v>1.0709876</v>
      </c>
      <c r="BS30" s="0" t="n">
        <v>1.094</v>
      </c>
      <c r="BT30" s="0" t="n">
        <v>1.0827</v>
      </c>
      <c r="BU30" s="0" t="n">
        <v>1.0073</v>
      </c>
      <c r="BV30" s="0" t="n">
        <v>1</v>
      </c>
      <c r="BW30" s="0" t="n">
        <v>1.9338</v>
      </c>
      <c r="BX30" s="0" t="n">
        <v>2.243196333</v>
      </c>
      <c r="BY30" s="0" t="n">
        <v>1.035</v>
      </c>
      <c r="BZ30" s="0" t="n">
        <v>1.2885</v>
      </c>
      <c r="CA30" s="0" t="n">
        <v>2.001</v>
      </c>
      <c r="CB30" s="0" t="n">
        <v>1.477005</v>
      </c>
      <c r="CC30" s="0" t="n">
        <v>1.477005</v>
      </c>
      <c r="CD30" s="0" t="n">
        <v>1.239705</v>
      </c>
      <c r="CE30" s="0" t="n">
        <v>1.054455</v>
      </c>
      <c r="CF30" s="0" t="n">
        <v>1.395805</v>
      </c>
      <c r="CG30" s="188"/>
      <c r="CH30" s="0" t="n">
        <v>1.09275</v>
      </c>
      <c r="CI30" s="188"/>
      <c r="CJ30" s="188"/>
      <c r="CK30" s="188"/>
      <c r="CL30" s="188"/>
      <c r="CM30" s="188"/>
      <c r="CN30" s="188"/>
      <c r="CO30" s="188"/>
      <c r="CP30" s="0" t="n">
        <v>0.865</v>
      </c>
      <c r="CQ30" s="0" t="n">
        <v>0.86</v>
      </c>
      <c r="CR30" s="0" t="n">
        <v>0.89</v>
      </c>
      <c r="CS30" s="0" t="n">
        <v>0.935</v>
      </c>
      <c r="CT30" s="0" t="n">
        <v>0.99895</v>
      </c>
      <c r="CU30" s="0" t="n">
        <v>0.58</v>
      </c>
      <c r="CV30" s="0" t="n">
        <v>0.45</v>
      </c>
      <c r="CW30" s="0" t="n">
        <v>0.845</v>
      </c>
      <c r="CX30" s="0" t="n">
        <v>0.615</v>
      </c>
      <c r="CY30" s="0" t="n">
        <v>0.505</v>
      </c>
      <c r="CZ30" s="0" t="n">
        <v>0.635</v>
      </c>
      <c r="DA30" s="0" t="n">
        <v>0.6675</v>
      </c>
      <c r="DB30" s="0" t="n">
        <v>0.71</v>
      </c>
      <c r="DC30" s="0" t="n">
        <v>0.8775</v>
      </c>
      <c r="DD30" s="0" t="n">
        <v>0.67</v>
      </c>
      <c r="DE30" s="0" t="n">
        <v>0.89</v>
      </c>
      <c r="DF30" s="0" t="n">
        <v>0.985</v>
      </c>
      <c r="DG30" s="0" t="n">
        <v>0.97</v>
      </c>
      <c r="DH30" s="0" t="n">
        <v>0.99</v>
      </c>
      <c r="DI30" s="0" t="n">
        <v>0.975</v>
      </c>
      <c r="DN30" s="188" t="n">
        <v>0.000285</v>
      </c>
      <c r="DO30" s="188" t="n">
        <v>0.0002</v>
      </c>
      <c r="DP30" s="188" t="n">
        <v>0</v>
      </c>
      <c r="DQ30" s="188" t="n">
        <v>0.0001</v>
      </c>
      <c r="DR30" s="188" t="n">
        <v>0</v>
      </c>
      <c r="DS30" s="188" t="n">
        <v>0.0036</v>
      </c>
      <c r="DT30" s="188" t="n">
        <v>0.000515</v>
      </c>
      <c r="DU30" s="188" t="n">
        <v>0.00105</v>
      </c>
      <c r="DV30" s="188" t="n">
        <v>0</v>
      </c>
      <c r="DW30" s="188" t="n">
        <v>0</v>
      </c>
      <c r="DX30" s="188" t="n">
        <v>0.0005</v>
      </c>
      <c r="DY30" s="188" t="n">
        <v>0.0005</v>
      </c>
      <c r="DZ30" s="188" t="n">
        <v>0.0003</v>
      </c>
      <c r="EA30" s="188" t="n">
        <v>0.000275</v>
      </c>
      <c r="EB30" s="188" t="n">
        <v>0.0004</v>
      </c>
      <c r="ED30" s="188" t="n">
        <v>6.5E-005</v>
      </c>
      <c r="EF30" s="0" t="n">
        <v>1</v>
      </c>
    </row>
    <row r="31" customFormat="false" ht="12.75" hidden="false" customHeight="false" outlineLevel="0" collapsed="false">
      <c r="A31" s="149" t="n">
        <v>37316</v>
      </c>
      <c r="B31" s="0" t="n">
        <v>0.98</v>
      </c>
      <c r="C31" s="0" t="n">
        <v>0.973838</v>
      </c>
      <c r="D31" s="0" t="n">
        <v>0.975</v>
      </c>
      <c r="E31" s="0" t="n">
        <f aca="false">E19</f>
        <v>0.994</v>
      </c>
      <c r="F31" s="0" t="n">
        <v>0.977</v>
      </c>
      <c r="G31" s="0" t="n">
        <v>0.9875</v>
      </c>
      <c r="H31" s="0" t="n">
        <v>0.9875</v>
      </c>
      <c r="I31" s="0" t="n">
        <v>0.9065</v>
      </c>
      <c r="J31" s="0" t="n">
        <v>1</v>
      </c>
      <c r="K31" s="0" t="n">
        <v>0.985</v>
      </c>
      <c r="L31" s="176" t="n">
        <v>1.125</v>
      </c>
      <c r="M31" s="176" t="n">
        <v>1.125</v>
      </c>
      <c r="N31" s="0" t="n">
        <v>1</v>
      </c>
      <c r="O31" s="0" t="n">
        <v>0.949257</v>
      </c>
      <c r="P31" s="0" t="n">
        <v>0.98</v>
      </c>
      <c r="Q31" s="177" t="n">
        <v>0.995</v>
      </c>
      <c r="R31" s="0" t="n">
        <v>0.9875</v>
      </c>
      <c r="S31" s="176" t="n">
        <v>1.125</v>
      </c>
      <c r="T31" s="0" t="n">
        <v>1</v>
      </c>
      <c r="U31" s="0" t="n">
        <v>1</v>
      </c>
      <c r="V31" s="0" t="n">
        <v>0.98</v>
      </c>
      <c r="W31" s="0" t="n">
        <v>1</v>
      </c>
      <c r="X31" s="0" t="n">
        <v>1</v>
      </c>
      <c r="Y31" s="0" t="n">
        <v>1</v>
      </c>
      <c r="Z31" s="0" t="n">
        <v>0.949257</v>
      </c>
      <c r="AA31" s="0" t="n">
        <v>1</v>
      </c>
      <c r="AB31" s="0" t="n">
        <v>0.98</v>
      </c>
      <c r="AC31" s="0" t="n">
        <v>0.98</v>
      </c>
      <c r="AD31" s="0" t="n">
        <v>0.949257</v>
      </c>
      <c r="AE31" s="0" t="n">
        <v>0.949257</v>
      </c>
      <c r="AF31" s="0" t="n">
        <v>0.98</v>
      </c>
      <c r="AG31" s="0" t="n">
        <v>0.99</v>
      </c>
      <c r="AH31" s="0" t="n">
        <v>0.97260535</v>
      </c>
      <c r="AI31" s="0" t="n">
        <v>0.97260535</v>
      </c>
      <c r="AJ31" s="0" t="n">
        <v>0.98</v>
      </c>
      <c r="AK31" s="0" t="n">
        <v>1</v>
      </c>
      <c r="AL31" s="0" t="n">
        <v>0.985</v>
      </c>
      <c r="AM31" s="0" t="n">
        <v>0.985</v>
      </c>
      <c r="AN31" s="177" t="n">
        <v>0.9958</v>
      </c>
      <c r="AO31" s="177" t="n">
        <v>0.97</v>
      </c>
      <c r="AP31" s="177" t="n">
        <v>0.99</v>
      </c>
      <c r="AQ31" s="0" t="n">
        <v>0.985</v>
      </c>
      <c r="AR31" s="0" t="n">
        <v>0.97260535</v>
      </c>
      <c r="AS31" s="0" t="n">
        <v>0.977</v>
      </c>
      <c r="AT31" s="177" t="n">
        <v>0.975</v>
      </c>
      <c r="AU31" s="0" t="n">
        <v>0.97260535</v>
      </c>
      <c r="AV31" s="0" t="n">
        <v>0.985</v>
      </c>
      <c r="AW31" s="0" t="n">
        <v>0.985</v>
      </c>
      <c r="AX31" s="0" t="n">
        <v>0.985</v>
      </c>
      <c r="AY31" s="0" t="n">
        <v>0.97260535</v>
      </c>
      <c r="AZ31" s="0" t="n">
        <v>0.97260535</v>
      </c>
      <c r="BA31" s="0" t="n">
        <v>0.985</v>
      </c>
      <c r="BB31" s="187" t="n">
        <v>1</v>
      </c>
      <c r="BC31" s="0" t="n">
        <v>1</v>
      </c>
      <c r="BD31" s="0" t="n">
        <v>1</v>
      </c>
      <c r="BE31" s="0" t="n">
        <v>1</v>
      </c>
      <c r="BF31" s="0" t="n">
        <v>0.9999</v>
      </c>
      <c r="BG31" s="0" t="n">
        <v>1</v>
      </c>
      <c r="BH31" s="0" t="n">
        <v>1</v>
      </c>
      <c r="BI31" s="0" t="n">
        <v>0.99</v>
      </c>
      <c r="BJ31" s="0" t="n">
        <v>0.999</v>
      </c>
      <c r="BK31" s="0" t="n">
        <v>0.998</v>
      </c>
      <c r="BL31" s="0" t="n">
        <v>0.9985</v>
      </c>
      <c r="BM31" s="0" t="n">
        <v>0.9985</v>
      </c>
      <c r="BN31" s="0" t="n">
        <v>0.972</v>
      </c>
      <c r="BO31" s="0" t="n">
        <v>0.9999</v>
      </c>
      <c r="BP31" s="0" t="n">
        <v>0.9999</v>
      </c>
      <c r="BQ31" s="0" t="n">
        <v>1</v>
      </c>
      <c r="BR31" s="0" t="n">
        <v>1.0712726</v>
      </c>
      <c r="BS31" s="0" t="n">
        <v>1.0942</v>
      </c>
      <c r="BT31" s="0" t="n">
        <v>1.0827</v>
      </c>
      <c r="BU31" s="0" t="n">
        <v>1.0074</v>
      </c>
      <c r="BV31" s="0" t="n">
        <v>1</v>
      </c>
      <c r="BW31" s="0" t="n">
        <v>1.9374</v>
      </c>
      <c r="BX31" s="0" t="n">
        <v>2.243706333</v>
      </c>
      <c r="BY31" s="0" t="n">
        <v>1.036</v>
      </c>
      <c r="BZ31" s="0" t="n">
        <v>1.2885</v>
      </c>
      <c r="CA31" s="0" t="n">
        <v>2.001</v>
      </c>
      <c r="CB31" s="0" t="n">
        <v>1.477505</v>
      </c>
      <c r="CC31" s="0" t="n">
        <v>1.477505</v>
      </c>
      <c r="CD31" s="0" t="n">
        <v>1.240005</v>
      </c>
      <c r="CE31" s="0" t="n">
        <v>1.05473</v>
      </c>
      <c r="CF31" s="0" t="n">
        <v>1.396205</v>
      </c>
      <c r="CG31" s="188"/>
      <c r="CH31" s="0" t="n">
        <v>1.092815</v>
      </c>
      <c r="CI31" s="188"/>
      <c r="CJ31" s="188"/>
      <c r="CK31" s="188"/>
      <c r="CL31" s="188"/>
      <c r="CM31" s="188"/>
      <c r="CN31" s="188"/>
      <c r="CO31" s="188"/>
      <c r="CP31" s="0" t="n">
        <v>0.865</v>
      </c>
      <c r="CQ31" s="0" t="n">
        <v>0.89</v>
      </c>
      <c r="CR31" s="0" t="n">
        <v>0.91</v>
      </c>
      <c r="CS31" s="0" t="n">
        <v>0.935</v>
      </c>
      <c r="CT31" s="0" t="n">
        <v>0.99895</v>
      </c>
      <c r="CU31" s="0" t="n">
        <v>0.54</v>
      </c>
      <c r="CV31" s="0" t="n">
        <v>0.45</v>
      </c>
      <c r="CW31" s="0" t="n">
        <v>0.875</v>
      </c>
      <c r="CX31" s="0" t="n">
        <v>0.785</v>
      </c>
      <c r="CY31" s="0" t="n">
        <v>0.515</v>
      </c>
      <c r="CZ31" s="0" t="n">
        <v>0.785</v>
      </c>
      <c r="DA31" s="0" t="n">
        <v>0.8175</v>
      </c>
      <c r="DB31" s="0" t="n">
        <v>0.8</v>
      </c>
      <c r="DC31" s="0" t="n">
        <v>0.9</v>
      </c>
      <c r="DD31" s="0" t="n">
        <v>0.83</v>
      </c>
      <c r="DE31" s="0" t="n">
        <v>0.89</v>
      </c>
      <c r="DF31" s="0" t="n">
        <v>0.985</v>
      </c>
      <c r="DG31" s="0" t="n">
        <v>0.97</v>
      </c>
      <c r="DH31" s="0" t="n">
        <v>0.99</v>
      </c>
      <c r="DI31" s="0" t="n">
        <v>0.975</v>
      </c>
      <c r="DN31" s="188" t="n">
        <v>0.000285</v>
      </c>
      <c r="DO31" s="188" t="n">
        <v>0.0002</v>
      </c>
      <c r="DP31" s="188" t="n">
        <v>0</v>
      </c>
      <c r="DQ31" s="188" t="n">
        <v>0.0001</v>
      </c>
      <c r="DR31" s="188" t="n">
        <v>0</v>
      </c>
      <c r="DS31" s="188" t="n">
        <v>0.0036</v>
      </c>
      <c r="DT31" s="188" t="n">
        <v>0.00051</v>
      </c>
      <c r="DU31" s="188" t="n">
        <v>0.001</v>
      </c>
      <c r="DV31" s="188" t="n">
        <v>0</v>
      </c>
      <c r="DW31" s="188" t="n">
        <v>0</v>
      </c>
      <c r="DX31" s="188" t="n">
        <v>0.0005</v>
      </c>
      <c r="DY31" s="188" t="n">
        <v>0.0005</v>
      </c>
      <c r="DZ31" s="188" t="n">
        <v>0.0003</v>
      </c>
      <c r="EA31" s="188" t="n">
        <v>0.000275</v>
      </c>
      <c r="EB31" s="188" t="n">
        <v>0.0004</v>
      </c>
      <c r="ED31" s="188" t="n">
        <v>6.5E-005</v>
      </c>
      <c r="EF31" s="0" t="n">
        <v>1</v>
      </c>
    </row>
    <row r="32" customFormat="false" ht="12.75" hidden="false" customHeight="false" outlineLevel="0" collapsed="false">
      <c r="A32" s="149" t="n">
        <v>37347</v>
      </c>
      <c r="B32" s="0" t="n">
        <v>0.98</v>
      </c>
      <c r="C32" s="0" t="n">
        <v>0.98496</v>
      </c>
      <c r="D32" s="0" t="n">
        <v>0.975</v>
      </c>
      <c r="E32" s="0" t="n">
        <f aca="false">E20</f>
        <v>0.978</v>
      </c>
      <c r="F32" s="0" t="n">
        <v>0.977</v>
      </c>
      <c r="G32" s="0" t="n">
        <v>0.93168</v>
      </c>
      <c r="H32" s="0" t="n">
        <v>0.94256876</v>
      </c>
      <c r="I32" s="0" t="n">
        <v>0.96954825</v>
      </c>
      <c r="J32" s="0" t="n">
        <v>1</v>
      </c>
      <c r="K32" s="0" t="n">
        <v>0.985</v>
      </c>
      <c r="L32" s="176" t="n">
        <v>1.125</v>
      </c>
      <c r="M32" s="176" t="n">
        <v>1.125</v>
      </c>
      <c r="N32" s="0" t="n">
        <v>0.99</v>
      </c>
      <c r="O32" s="0" t="n">
        <v>0.952669515</v>
      </c>
      <c r="P32" s="0" t="n">
        <v>0.98</v>
      </c>
      <c r="Q32" s="177" t="n">
        <v>0.995</v>
      </c>
      <c r="R32" s="0" t="n">
        <v>0.9875</v>
      </c>
      <c r="S32" s="176" t="n">
        <v>1.125</v>
      </c>
      <c r="T32" s="0" t="n">
        <v>0.98</v>
      </c>
      <c r="U32" s="0" t="n">
        <v>0.98</v>
      </c>
      <c r="V32" s="0" t="n">
        <v>0.98</v>
      </c>
      <c r="W32" s="0" t="n">
        <v>0.98</v>
      </c>
      <c r="X32" s="0" t="n">
        <v>0.952669515</v>
      </c>
      <c r="Y32" s="0" t="n">
        <v>0.952669515</v>
      </c>
      <c r="Z32" s="0" t="n">
        <v>0.952669515</v>
      </c>
      <c r="AA32" s="0" t="n">
        <v>0.952669515</v>
      </c>
      <c r="AB32" s="0" t="n">
        <v>0.98</v>
      </c>
      <c r="AC32" s="0" t="n">
        <v>0.98</v>
      </c>
      <c r="AD32" s="0" t="n">
        <v>0.952669515</v>
      </c>
      <c r="AE32" s="0" t="n">
        <v>0.952669515</v>
      </c>
      <c r="AF32" s="0" t="n">
        <v>0.98</v>
      </c>
      <c r="AG32" s="0" t="n">
        <v>0.99</v>
      </c>
      <c r="AH32" s="0" t="n">
        <v>0.9726632</v>
      </c>
      <c r="AI32" s="0" t="n">
        <v>0.9726632</v>
      </c>
      <c r="AJ32" s="0" t="n">
        <v>0.98</v>
      </c>
      <c r="AK32" s="0" t="n">
        <v>1</v>
      </c>
      <c r="AL32" s="0" t="n">
        <v>0.985</v>
      </c>
      <c r="AM32" s="0" t="n">
        <v>0.985</v>
      </c>
      <c r="AN32" s="177" t="n">
        <v>0.9958</v>
      </c>
      <c r="AO32" s="177" t="n">
        <v>0.99</v>
      </c>
      <c r="AP32" s="177" t="n">
        <v>0.99</v>
      </c>
      <c r="AQ32" s="0" t="n">
        <v>0.985</v>
      </c>
      <c r="AR32" s="0" t="n">
        <v>0.9726632</v>
      </c>
      <c r="AS32" s="0" t="n">
        <v>0.977</v>
      </c>
      <c r="AT32" s="177" t="n">
        <v>0.9775</v>
      </c>
      <c r="AU32" s="0" t="n">
        <v>0.9726632</v>
      </c>
      <c r="AV32" s="0" t="n">
        <v>0.985</v>
      </c>
      <c r="AW32" s="0" t="n">
        <v>0.985</v>
      </c>
      <c r="AX32" s="0" t="n">
        <v>0.985</v>
      </c>
      <c r="AY32" s="0" t="n">
        <v>0.9726632</v>
      </c>
      <c r="AZ32" s="0" t="n">
        <v>0.9726632</v>
      </c>
      <c r="BA32" s="0" t="n">
        <v>0.985</v>
      </c>
      <c r="BB32" s="187" t="n">
        <v>1</v>
      </c>
      <c r="BC32" s="0" t="n">
        <v>1</v>
      </c>
      <c r="BD32" s="0" t="n">
        <v>1</v>
      </c>
      <c r="BE32" s="0" t="n">
        <v>1</v>
      </c>
      <c r="BF32" s="0" t="n">
        <v>0.9999</v>
      </c>
      <c r="BG32" s="0" t="n">
        <v>1</v>
      </c>
      <c r="BH32" s="0" t="n">
        <v>1</v>
      </c>
      <c r="BI32" s="0" t="n">
        <v>0.99</v>
      </c>
      <c r="BJ32" s="0" t="n">
        <v>0.999</v>
      </c>
      <c r="BK32" s="0" t="n">
        <v>0.998</v>
      </c>
      <c r="BL32" s="0" t="n">
        <v>0.9985</v>
      </c>
      <c r="BM32" s="0" t="n">
        <v>0.9985</v>
      </c>
      <c r="BN32" s="0" t="n">
        <v>0.972</v>
      </c>
      <c r="BO32" s="0" t="n">
        <v>0.9999</v>
      </c>
      <c r="BP32" s="0" t="n">
        <v>0.9999</v>
      </c>
      <c r="BQ32" s="0" t="n">
        <v>1</v>
      </c>
      <c r="BR32" s="0" t="n">
        <v>1.0715576</v>
      </c>
      <c r="BS32" s="0" t="n">
        <v>1.0944</v>
      </c>
      <c r="BT32" s="0" t="n">
        <v>1.0827</v>
      </c>
      <c r="BU32" s="0" t="n">
        <v>1.0075</v>
      </c>
      <c r="BV32" s="0" t="n">
        <v>1</v>
      </c>
      <c r="BW32" s="0" t="n">
        <v>1.941</v>
      </c>
      <c r="BX32" s="0" t="n">
        <v>2.244211333</v>
      </c>
      <c r="BY32" s="0" t="n">
        <v>1.03695</v>
      </c>
      <c r="BZ32" s="0" t="n">
        <v>1.2885</v>
      </c>
      <c r="CA32" s="0" t="n">
        <v>2.001</v>
      </c>
      <c r="CB32" s="0" t="n">
        <v>1.478005</v>
      </c>
      <c r="CC32" s="0" t="n">
        <v>1.478005</v>
      </c>
      <c r="CD32" s="0" t="n">
        <v>1.240305</v>
      </c>
      <c r="CE32" s="0" t="n">
        <v>1.055005</v>
      </c>
      <c r="CF32" s="0" t="n">
        <v>1.396605</v>
      </c>
      <c r="CG32" s="188"/>
      <c r="CH32" s="0" t="n">
        <v>1.09288</v>
      </c>
      <c r="CI32" s="188"/>
      <c r="CJ32" s="188"/>
      <c r="CK32" s="188"/>
      <c r="CL32" s="188"/>
      <c r="CM32" s="188"/>
      <c r="CN32" s="188"/>
      <c r="CO32" s="188"/>
      <c r="CP32" s="0" t="n">
        <v>0.895</v>
      </c>
      <c r="CQ32" s="0" t="n">
        <v>0.9</v>
      </c>
      <c r="CR32" s="0" t="n">
        <v>0.91</v>
      </c>
      <c r="CS32" s="0" t="n">
        <v>0.96</v>
      </c>
      <c r="CT32" s="0" t="n">
        <v>0.99895</v>
      </c>
      <c r="CU32" s="0" t="n">
        <v>0.48</v>
      </c>
      <c r="CV32" s="0" t="n">
        <v>0.42</v>
      </c>
      <c r="CW32" s="0" t="n">
        <v>0.935</v>
      </c>
      <c r="CX32" s="0" t="n">
        <v>0.775</v>
      </c>
      <c r="CY32" s="0" t="n">
        <v>0.575</v>
      </c>
      <c r="CZ32" s="0" t="n">
        <v>0.895</v>
      </c>
      <c r="DA32" s="0" t="n">
        <v>0.9275</v>
      </c>
      <c r="DB32" s="0" t="n">
        <v>0.85</v>
      </c>
      <c r="DC32" s="0" t="n">
        <v>0.903</v>
      </c>
      <c r="DD32" s="0" t="n">
        <v>0.92</v>
      </c>
      <c r="DE32" s="0" t="n">
        <v>0.89</v>
      </c>
      <c r="DF32" s="0" t="n">
        <v>0.985</v>
      </c>
      <c r="DG32" s="0" t="n">
        <v>0.99</v>
      </c>
      <c r="DH32" s="0" t="n">
        <v>0.99</v>
      </c>
      <c r="DI32" s="0" t="n">
        <v>0.9775</v>
      </c>
      <c r="DN32" s="188" t="n">
        <v>0.000285</v>
      </c>
      <c r="DO32" s="188" t="n">
        <v>0.0002</v>
      </c>
      <c r="DP32" s="188" t="n">
        <v>0</v>
      </c>
      <c r="DQ32" s="188" t="n">
        <v>0.0001</v>
      </c>
      <c r="DR32" s="188" t="n">
        <v>0</v>
      </c>
      <c r="DS32" s="188" t="n">
        <v>0.0036</v>
      </c>
      <c r="DT32" s="188" t="n">
        <v>0.000505</v>
      </c>
      <c r="DU32" s="188" t="n">
        <v>0.00095</v>
      </c>
      <c r="DV32" s="188" t="n">
        <v>0</v>
      </c>
      <c r="DW32" s="188" t="n">
        <v>0</v>
      </c>
      <c r="DX32" s="188" t="n">
        <v>0.0005</v>
      </c>
      <c r="DY32" s="188" t="n">
        <v>0.0005</v>
      </c>
      <c r="DZ32" s="188" t="n">
        <v>0.0003</v>
      </c>
      <c r="EA32" s="188" t="n">
        <v>0.000275</v>
      </c>
      <c r="EB32" s="188" t="n">
        <v>0.0004</v>
      </c>
      <c r="ED32" s="188" t="n">
        <v>6.5E-005</v>
      </c>
      <c r="EF32" s="0" t="n">
        <v>1</v>
      </c>
    </row>
    <row r="33" customFormat="false" ht="12.75" hidden="false" customHeight="false" outlineLevel="0" collapsed="false">
      <c r="A33" s="149" t="n">
        <v>37377</v>
      </c>
      <c r="B33" s="0" t="n">
        <v>0.98</v>
      </c>
      <c r="C33" s="0" t="n">
        <v>0.988</v>
      </c>
      <c r="D33" s="0" t="n">
        <v>0.975</v>
      </c>
      <c r="E33" s="0" t="n">
        <f aca="false">E21</f>
        <v>0.978</v>
      </c>
      <c r="F33" s="0" t="n">
        <v>0.977</v>
      </c>
      <c r="G33" s="0" t="n">
        <v>0.661164</v>
      </c>
      <c r="H33" s="0" t="n">
        <v>0.94277876</v>
      </c>
      <c r="I33" s="0" t="n">
        <v>0.97038975</v>
      </c>
      <c r="J33" s="0" t="n">
        <v>1</v>
      </c>
      <c r="K33" s="0" t="n">
        <v>0.985</v>
      </c>
      <c r="L33" s="176" t="n">
        <v>0.9875</v>
      </c>
      <c r="M33" s="176" t="n">
        <v>0.9875</v>
      </c>
      <c r="N33" s="0" t="n">
        <v>0.99</v>
      </c>
      <c r="O33" s="0" t="n">
        <v>0.949752</v>
      </c>
      <c r="P33" s="0" t="n">
        <v>0.98</v>
      </c>
      <c r="Q33" s="177" t="n">
        <v>0.9875</v>
      </c>
      <c r="R33" s="0" t="n">
        <v>0.9875</v>
      </c>
      <c r="S33" s="176" t="n">
        <v>0.9875</v>
      </c>
      <c r="T33" s="0" t="n">
        <v>0.98</v>
      </c>
      <c r="U33" s="0" t="n">
        <v>0.98</v>
      </c>
      <c r="V33" s="0" t="n">
        <v>0.98</v>
      </c>
      <c r="W33" s="0" t="n">
        <v>0.98</v>
      </c>
      <c r="X33" s="0" t="n">
        <v>0.949752</v>
      </c>
      <c r="Y33" s="0" t="n">
        <v>0.949752</v>
      </c>
      <c r="Z33" s="0" t="n">
        <v>0.949752</v>
      </c>
      <c r="AA33" s="0" t="n">
        <v>0.949752</v>
      </c>
      <c r="AB33" s="0" t="n">
        <v>0.98</v>
      </c>
      <c r="AC33" s="0" t="n">
        <v>0.98</v>
      </c>
      <c r="AD33" s="0" t="n">
        <v>0.949752</v>
      </c>
      <c r="AE33" s="0" t="n">
        <v>0.949752</v>
      </c>
      <c r="AF33" s="0" t="n">
        <v>0.98</v>
      </c>
      <c r="AG33" s="0" t="n">
        <v>0.99</v>
      </c>
      <c r="AH33" s="0" t="n">
        <v>0.97272105</v>
      </c>
      <c r="AI33" s="0" t="n">
        <v>0.97272105</v>
      </c>
      <c r="AJ33" s="0" t="n">
        <v>0.98</v>
      </c>
      <c r="AK33" s="0" t="n">
        <v>1</v>
      </c>
      <c r="AL33" s="0" t="n">
        <v>0.985</v>
      </c>
      <c r="AM33" s="0" t="n">
        <v>0.985</v>
      </c>
      <c r="AN33" s="177" t="n">
        <v>0.9958</v>
      </c>
      <c r="AO33" s="177" t="n">
        <v>0.99</v>
      </c>
      <c r="AP33" s="177" t="n">
        <v>0.99</v>
      </c>
      <c r="AQ33" s="0" t="n">
        <v>0.985</v>
      </c>
      <c r="AR33" s="0" t="n">
        <v>0.97272105</v>
      </c>
      <c r="AS33" s="0" t="n">
        <v>0.977</v>
      </c>
      <c r="AT33" s="177" t="n">
        <v>0.9775</v>
      </c>
      <c r="AU33" s="0" t="n">
        <v>0.97272105</v>
      </c>
      <c r="AV33" s="0" t="n">
        <v>0.985</v>
      </c>
      <c r="AW33" s="0" t="n">
        <v>0.985</v>
      </c>
      <c r="AX33" s="0" t="n">
        <v>0.985</v>
      </c>
      <c r="AY33" s="0" t="n">
        <v>0.97272105</v>
      </c>
      <c r="AZ33" s="0" t="n">
        <v>0.97272105</v>
      </c>
      <c r="BA33" s="0" t="n">
        <v>0.985</v>
      </c>
      <c r="BB33" s="187" t="n">
        <v>1</v>
      </c>
      <c r="BC33" s="0" t="n">
        <v>1</v>
      </c>
      <c r="BD33" s="0" t="n">
        <v>1</v>
      </c>
      <c r="BE33" s="0" t="n">
        <v>1</v>
      </c>
      <c r="BF33" s="0" t="n">
        <v>0.9999</v>
      </c>
      <c r="BG33" s="0" t="n">
        <v>1</v>
      </c>
      <c r="BH33" s="0" t="n">
        <v>1</v>
      </c>
      <c r="BI33" s="0" t="n">
        <v>0.99</v>
      </c>
      <c r="BJ33" s="0" t="n">
        <v>0.999</v>
      </c>
      <c r="BK33" s="0" t="n">
        <v>0.998</v>
      </c>
      <c r="BL33" s="0" t="n">
        <v>0.9985</v>
      </c>
      <c r="BM33" s="0" t="n">
        <v>0.9985</v>
      </c>
      <c r="BN33" s="0" t="n">
        <v>0.972</v>
      </c>
      <c r="BO33" s="0" t="n">
        <v>0.9999</v>
      </c>
      <c r="BP33" s="0" t="n">
        <v>0.9999</v>
      </c>
      <c r="BQ33" s="0" t="n">
        <v>1</v>
      </c>
      <c r="BR33" s="0" t="n">
        <v>1.0718426</v>
      </c>
      <c r="BS33" s="0" t="n">
        <v>1.0946</v>
      </c>
      <c r="BT33" s="0" t="n">
        <v>1.0827</v>
      </c>
      <c r="BU33" s="0" t="n">
        <v>1.0076</v>
      </c>
      <c r="BV33" s="0" t="n">
        <v>1</v>
      </c>
      <c r="BW33" s="0" t="n">
        <v>1.9446</v>
      </c>
      <c r="BX33" s="0" t="n">
        <v>2.244711333</v>
      </c>
      <c r="BY33" s="0" t="n">
        <v>1.03785</v>
      </c>
      <c r="BZ33" s="0" t="n">
        <v>1.2885</v>
      </c>
      <c r="CA33" s="0" t="n">
        <v>2.001</v>
      </c>
      <c r="CB33" s="0" t="n">
        <v>1.478505</v>
      </c>
      <c r="CC33" s="0" t="n">
        <v>1.478505</v>
      </c>
      <c r="CD33" s="0" t="n">
        <v>1.240605</v>
      </c>
      <c r="CE33" s="0" t="n">
        <v>1.05528</v>
      </c>
      <c r="CF33" s="0" t="n">
        <v>1.397005</v>
      </c>
      <c r="CG33" s="188"/>
      <c r="CH33" s="0" t="n">
        <v>1.092945</v>
      </c>
      <c r="CI33" s="188"/>
      <c r="CJ33" s="188"/>
      <c r="CK33" s="188"/>
      <c r="CL33" s="188"/>
      <c r="CM33" s="188"/>
      <c r="CN33" s="188"/>
      <c r="CO33" s="188"/>
      <c r="CP33" s="0" t="n">
        <v>0.965</v>
      </c>
      <c r="CQ33" s="0" t="n">
        <v>0.91</v>
      </c>
      <c r="CR33" s="0" t="n">
        <v>0.91</v>
      </c>
      <c r="CS33" s="0" t="n">
        <v>0.97</v>
      </c>
      <c r="CT33" s="0" t="n">
        <v>0.99895</v>
      </c>
      <c r="CU33" s="0" t="n">
        <v>0.34</v>
      </c>
      <c r="CV33" s="0" t="n">
        <v>0.42</v>
      </c>
      <c r="CW33" s="0" t="n">
        <v>0.935</v>
      </c>
      <c r="CX33" s="0" t="n">
        <v>0.675</v>
      </c>
      <c r="CY33" s="0" t="n">
        <v>0.625</v>
      </c>
      <c r="CZ33" s="0" t="n">
        <v>0.9175</v>
      </c>
      <c r="DA33" s="0" t="n">
        <v>0.95</v>
      </c>
      <c r="DB33" s="0" t="n">
        <v>0.88</v>
      </c>
      <c r="DC33" s="0" t="n">
        <v>0.9</v>
      </c>
      <c r="DD33" s="0" t="n">
        <v>0.935</v>
      </c>
      <c r="DE33" s="0" t="n">
        <v>0.89</v>
      </c>
      <c r="DF33" s="0" t="n">
        <v>0.985</v>
      </c>
      <c r="DG33" s="0" t="n">
        <v>0.99</v>
      </c>
      <c r="DH33" s="0" t="n">
        <v>0.99</v>
      </c>
      <c r="DI33" s="0" t="n">
        <v>0.9775</v>
      </c>
      <c r="DN33" s="188" t="n">
        <v>0.000285</v>
      </c>
      <c r="DO33" s="188" t="n">
        <v>0.0002</v>
      </c>
      <c r="DP33" s="188" t="n">
        <v>0</v>
      </c>
      <c r="DQ33" s="188" t="n">
        <v>0.0001</v>
      </c>
      <c r="DR33" s="188" t="n">
        <v>0</v>
      </c>
      <c r="DS33" s="188" t="n">
        <v>0.0036</v>
      </c>
      <c r="DT33" s="188" t="n">
        <v>0.0005</v>
      </c>
      <c r="DU33" s="188" t="n">
        <v>0.0009</v>
      </c>
      <c r="DV33" s="188" t="n">
        <v>0</v>
      </c>
      <c r="DW33" s="188" t="n">
        <v>0</v>
      </c>
      <c r="DX33" s="188" t="n">
        <v>0.0005</v>
      </c>
      <c r="DY33" s="188" t="n">
        <v>0.0005</v>
      </c>
      <c r="DZ33" s="188" t="n">
        <v>0.0003</v>
      </c>
      <c r="EA33" s="188" t="n">
        <v>0.000275</v>
      </c>
      <c r="EB33" s="188" t="n">
        <v>0.0004</v>
      </c>
      <c r="ED33" s="188" t="n">
        <v>6.5E-005</v>
      </c>
      <c r="EF33" s="0" t="n">
        <v>1</v>
      </c>
    </row>
    <row r="34" customFormat="false" ht="12.75" hidden="false" customHeight="false" outlineLevel="0" collapsed="false">
      <c r="A34" s="149" t="n">
        <v>37408</v>
      </c>
      <c r="B34" s="0" t="n">
        <v>0.98</v>
      </c>
      <c r="C34" s="0" t="n">
        <v>0.988</v>
      </c>
      <c r="D34" s="0" t="n">
        <v>0.975</v>
      </c>
      <c r="E34" s="0" t="n">
        <f aca="false">E22</f>
        <v>0.978</v>
      </c>
      <c r="F34" s="0" t="n">
        <v>0.977</v>
      </c>
      <c r="G34" s="0" t="n">
        <v>0.662388</v>
      </c>
      <c r="H34" s="0" t="n">
        <v>0.9875</v>
      </c>
      <c r="I34" s="0" t="n">
        <v>0.9711845</v>
      </c>
      <c r="J34" s="0" t="n">
        <v>1</v>
      </c>
      <c r="K34" s="0" t="n">
        <v>0.985</v>
      </c>
      <c r="L34" s="176" t="n">
        <v>0.9875</v>
      </c>
      <c r="M34" s="176" t="n">
        <v>0.9875</v>
      </c>
      <c r="N34" s="0" t="n">
        <v>0.99</v>
      </c>
      <c r="O34" s="0" t="n">
        <v>0.952638388</v>
      </c>
      <c r="P34" s="0" t="n">
        <v>0.98</v>
      </c>
      <c r="Q34" s="177" t="n">
        <v>0.9875</v>
      </c>
      <c r="R34" s="0" t="n">
        <v>0.9875</v>
      </c>
      <c r="S34" s="176" t="n">
        <v>0.9875</v>
      </c>
      <c r="T34" s="0" t="n">
        <v>0.98</v>
      </c>
      <c r="U34" s="0" t="n">
        <v>0.98</v>
      </c>
      <c r="V34" s="0" t="n">
        <v>0.98</v>
      </c>
      <c r="W34" s="0" t="n">
        <v>0.98</v>
      </c>
      <c r="X34" s="0" t="n">
        <v>0.952638388</v>
      </c>
      <c r="Y34" s="0" t="n">
        <v>0.952638388</v>
      </c>
      <c r="Z34" s="0" t="n">
        <v>0.952638388</v>
      </c>
      <c r="AA34" s="0" t="n">
        <v>0.952638388</v>
      </c>
      <c r="AB34" s="0" t="n">
        <v>0.98</v>
      </c>
      <c r="AC34" s="0" t="n">
        <v>0.98</v>
      </c>
      <c r="AD34" s="0" t="n">
        <v>0.952638388</v>
      </c>
      <c r="AE34" s="0" t="n">
        <v>0.952638388</v>
      </c>
      <c r="AF34" s="0" t="n">
        <v>0.98</v>
      </c>
      <c r="AG34" s="0" t="n">
        <v>0.99</v>
      </c>
      <c r="AH34" s="0" t="n">
        <v>0.9727789</v>
      </c>
      <c r="AI34" s="0" t="n">
        <v>0.9727789</v>
      </c>
      <c r="AJ34" s="0" t="n">
        <v>0.98</v>
      </c>
      <c r="AK34" s="0" t="n">
        <v>1</v>
      </c>
      <c r="AL34" s="0" t="n">
        <v>0.985</v>
      </c>
      <c r="AM34" s="0" t="n">
        <v>0.985</v>
      </c>
      <c r="AN34" s="177" t="n">
        <v>0.9958</v>
      </c>
      <c r="AO34" s="177" t="n">
        <v>0.99</v>
      </c>
      <c r="AP34" s="177" t="n">
        <v>0.99</v>
      </c>
      <c r="AQ34" s="0" t="n">
        <v>0.985</v>
      </c>
      <c r="AR34" s="0" t="n">
        <v>0.9727789</v>
      </c>
      <c r="AS34" s="0" t="n">
        <v>0.977</v>
      </c>
      <c r="AT34" s="177" t="n">
        <v>0.9775</v>
      </c>
      <c r="AU34" s="0" t="n">
        <v>0.9727789</v>
      </c>
      <c r="AV34" s="0" t="n">
        <v>0.985</v>
      </c>
      <c r="AW34" s="0" t="n">
        <v>0.985</v>
      </c>
      <c r="AX34" s="0" t="n">
        <v>0.985</v>
      </c>
      <c r="AY34" s="0" t="n">
        <v>0.9727789</v>
      </c>
      <c r="AZ34" s="0" t="n">
        <v>0.9727789</v>
      </c>
      <c r="BA34" s="0" t="n">
        <v>0.985</v>
      </c>
      <c r="BB34" s="187" t="n">
        <v>1</v>
      </c>
      <c r="BC34" s="0" t="n">
        <v>1</v>
      </c>
      <c r="BD34" s="0" t="n">
        <v>1</v>
      </c>
      <c r="BE34" s="0" t="n">
        <v>1</v>
      </c>
      <c r="BF34" s="0" t="n">
        <v>0.9999</v>
      </c>
      <c r="BG34" s="0" t="n">
        <v>1</v>
      </c>
      <c r="BH34" s="0" t="n">
        <v>1</v>
      </c>
      <c r="BI34" s="0" t="n">
        <v>0.99</v>
      </c>
      <c r="BJ34" s="0" t="n">
        <v>0.999</v>
      </c>
      <c r="BK34" s="0" t="n">
        <v>0.998</v>
      </c>
      <c r="BL34" s="0" t="n">
        <v>0.9985</v>
      </c>
      <c r="BM34" s="0" t="n">
        <v>0.9985</v>
      </c>
      <c r="BN34" s="0" t="n">
        <v>0.972</v>
      </c>
      <c r="BO34" s="0" t="n">
        <v>0.9999</v>
      </c>
      <c r="BP34" s="0" t="n">
        <v>0.9999</v>
      </c>
      <c r="BQ34" s="0" t="n">
        <v>1</v>
      </c>
      <c r="BR34" s="0" t="n">
        <v>1.0721276</v>
      </c>
      <c r="BS34" s="0" t="n">
        <v>1.0948</v>
      </c>
      <c r="BT34" s="0" t="n">
        <v>1.0827</v>
      </c>
      <c r="BU34" s="0" t="n">
        <v>1.0077</v>
      </c>
      <c r="BV34" s="0" t="n">
        <v>1</v>
      </c>
      <c r="BW34" s="0" t="n">
        <v>1.9482</v>
      </c>
      <c r="BX34" s="0" t="n">
        <v>2.245206333</v>
      </c>
      <c r="BY34" s="0" t="n">
        <v>1.0387</v>
      </c>
      <c r="BZ34" s="0" t="n">
        <v>1.2885</v>
      </c>
      <c r="CA34" s="0" t="n">
        <v>2.001</v>
      </c>
      <c r="CB34" s="0" t="n">
        <v>1.479005</v>
      </c>
      <c r="CC34" s="0" t="n">
        <v>1.479005</v>
      </c>
      <c r="CD34" s="0" t="n">
        <v>1.240905</v>
      </c>
      <c r="CE34" s="0" t="n">
        <v>1.055555</v>
      </c>
      <c r="CF34" s="0" t="n">
        <v>1.397405</v>
      </c>
      <c r="CG34" s="188"/>
      <c r="CH34" s="0" t="n">
        <v>1.09301</v>
      </c>
      <c r="CI34" s="188"/>
      <c r="CJ34" s="188"/>
      <c r="CK34" s="188"/>
      <c r="CL34" s="188"/>
      <c r="CM34" s="188"/>
      <c r="CN34" s="188"/>
      <c r="CO34" s="188"/>
      <c r="CP34" s="0" t="n">
        <v>0.965</v>
      </c>
      <c r="CQ34" s="0" t="n">
        <v>0.91</v>
      </c>
      <c r="CR34" s="0" t="n">
        <v>0.91</v>
      </c>
      <c r="CS34" s="0" t="n">
        <v>0.98</v>
      </c>
      <c r="CT34" s="0" t="n">
        <v>0.99895</v>
      </c>
      <c r="CU34" s="0" t="n">
        <v>0.34</v>
      </c>
      <c r="CV34" s="0" t="n">
        <v>0.47</v>
      </c>
      <c r="CW34" s="0" t="n">
        <v>0.935</v>
      </c>
      <c r="CX34" s="0" t="n">
        <v>0.585</v>
      </c>
      <c r="CY34" s="0" t="n">
        <v>0.725</v>
      </c>
      <c r="CZ34" s="0" t="n">
        <v>0.8825</v>
      </c>
      <c r="DA34" s="0" t="n">
        <v>0.915</v>
      </c>
      <c r="DB34" s="0" t="n">
        <v>0.88</v>
      </c>
      <c r="DC34" s="0" t="n">
        <v>0.9025</v>
      </c>
      <c r="DD34" s="0" t="n">
        <v>0.915</v>
      </c>
      <c r="DE34" s="0" t="n">
        <v>0.89</v>
      </c>
      <c r="DF34" s="0" t="n">
        <v>0.985</v>
      </c>
      <c r="DG34" s="0" t="n">
        <v>0.99</v>
      </c>
      <c r="DH34" s="0" t="n">
        <v>0.99</v>
      </c>
      <c r="DI34" s="0" t="n">
        <v>0.9775</v>
      </c>
      <c r="DN34" s="188" t="n">
        <v>0.000285</v>
      </c>
      <c r="DO34" s="188" t="n">
        <v>0.0002</v>
      </c>
      <c r="DP34" s="188" t="n">
        <v>0</v>
      </c>
      <c r="DQ34" s="188" t="n">
        <v>0.0001</v>
      </c>
      <c r="DR34" s="188" t="n">
        <v>0</v>
      </c>
      <c r="DS34" s="188" t="n">
        <v>0.0036</v>
      </c>
      <c r="DT34" s="188" t="n">
        <v>0.000495</v>
      </c>
      <c r="DU34" s="188" t="n">
        <v>0.00085</v>
      </c>
      <c r="DV34" s="188" t="n">
        <v>0</v>
      </c>
      <c r="DW34" s="188" t="n">
        <v>0</v>
      </c>
      <c r="DX34" s="188" t="n">
        <v>0.0005</v>
      </c>
      <c r="DY34" s="188" t="n">
        <v>0.0005</v>
      </c>
      <c r="DZ34" s="188" t="n">
        <v>0.0003</v>
      </c>
      <c r="EA34" s="188" t="n">
        <v>0.000275</v>
      </c>
      <c r="EB34" s="188" t="n">
        <v>0.0004</v>
      </c>
      <c r="ED34" s="188" t="n">
        <v>6.5E-005</v>
      </c>
      <c r="EF34" s="0" t="n">
        <v>1</v>
      </c>
    </row>
    <row r="35" customFormat="false" ht="12.75" hidden="false" customHeight="false" outlineLevel="0" collapsed="false">
      <c r="A35" s="149" t="n">
        <v>37438</v>
      </c>
      <c r="B35" s="0" t="n">
        <v>0.98</v>
      </c>
      <c r="C35" s="0" t="n">
        <v>0.988</v>
      </c>
      <c r="D35" s="0" t="n">
        <v>0.975</v>
      </c>
      <c r="E35" s="0" t="n">
        <f aca="false">E23</f>
        <v>0.978</v>
      </c>
      <c r="F35" s="0" t="n">
        <v>0.977</v>
      </c>
      <c r="G35" s="0" t="n">
        <v>0.800238</v>
      </c>
      <c r="H35" s="0" t="n">
        <v>0.9875</v>
      </c>
      <c r="I35" s="0" t="n">
        <v>0.9719325</v>
      </c>
      <c r="J35" s="0" t="n">
        <v>1</v>
      </c>
      <c r="K35" s="0" t="n">
        <v>0.985</v>
      </c>
      <c r="L35" s="176" t="n">
        <v>0.9875</v>
      </c>
      <c r="M35" s="176" t="n">
        <v>0.9875</v>
      </c>
      <c r="N35" s="0" t="n">
        <v>0.98</v>
      </c>
      <c r="O35" s="0" t="n">
        <v>0.958165725</v>
      </c>
      <c r="P35" s="0" t="n">
        <v>0.98</v>
      </c>
      <c r="Q35" s="177" t="n">
        <v>0.9875</v>
      </c>
      <c r="R35" s="0" t="n">
        <v>0.9875</v>
      </c>
      <c r="S35" s="176" t="n">
        <v>0.9875</v>
      </c>
      <c r="T35" s="0" t="n">
        <v>0.98</v>
      </c>
      <c r="U35" s="0" t="n">
        <v>0.98</v>
      </c>
      <c r="V35" s="0" t="n">
        <v>0.98</v>
      </c>
      <c r="W35" s="0" t="n">
        <v>0.98</v>
      </c>
      <c r="X35" s="0" t="n">
        <v>0.958165725</v>
      </c>
      <c r="Y35" s="0" t="n">
        <v>0.958165725</v>
      </c>
      <c r="Z35" s="0" t="n">
        <v>0.958165725</v>
      </c>
      <c r="AA35" s="0" t="n">
        <v>0.958165725</v>
      </c>
      <c r="AB35" s="0" t="n">
        <v>0.98</v>
      </c>
      <c r="AC35" s="0" t="n">
        <v>0.98</v>
      </c>
      <c r="AD35" s="0" t="n">
        <v>0.958165725</v>
      </c>
      <c r="AE35" s="0" t="n">
        <v>0.958165725</v>
      </c>
      <c r="AF35" s="0" t="n">
        <v>0.98</v>
      </c>
      <c r="AG35" s="0" t="n">
        <v>0.99</v>
      </c>
      <c r="AH35" s="0" t="n">
        <v>0.97283675</v>
      </c>
      <c r="AI35" s="0" t="n">
        <v>0.97283675</v>
      </c>
      <c r="AJ35" s="0" t="n">
        <v>0.98</v>
      </c>
      <c r="AK35" s="0" t="n">
        <v>1</v>
      </c>
      <c r="AL35" s="0" t="n">
        <v>0.985</v>
      </c>
      <c r="AM35" s="0" t="n">
        <v>0.985</v>
      </c>
      <c r="AN35" s="177" t="n">
        <v>0.9958</v>
      </c>
      <c r="AO35" s="177" t="n">
        <v>0.99</v>
      </c>
      <c r="AP35" s="177" t="n">
        <v>0.99</v>
      </c>
      <c r="AQ35" s="0" t="n">
        <v>0.985</v>
      </c>
      <c r="AR35" s="0" t="n">
        <v>0.97283675</v>
      </c>
      <c r="AS35" s="0" t="n">
        <v>0.977</v>
      </c>
      <c r="AT35" s="177" t="n">
        <v>0.9775</v>
      </c>
      <c r="AU35" s="0" t="n">
        <v>0.97283675</v>
      </c>
      <c r="AV35" s="0" t="n">
        <v>0.985</v>
      </c>
      <c r="AW35" s="0" t="n">
        <v>0.985</v>
      </c>
      <c r="AX35" s="0" t="n">
        <v>0.985</v>
      </c>
      <c r="AY35" s="0" t="n">
        <v>0.97283675</v>
      </c>
      <c r="AZ35" s="0" t="n">
        <v>0.97283675</v>
      </c>
      <c r="BA35" s="0" t="n">
        <v>0.985</v>
      </c>
      <c r="BB35" s="187" t="n">
        <v>1</v>
      </c>
      <c r="BC35" s="0" t="n">
        <v>1</v>
      </c>
      <c r="BD35" s="0" t="n">
        <v>1</v>
      </c>
      <c r="BE35" s="0" t="n">
        <v>1</v>
      </c>
      <c r="BF35" s="0" t="n">
        <v>0.9999</v>
      </c>
      <c r="BG35" s="0" t="n">
        <v>1</v>
      </c>
      <c r="BH35" s="0" t="n">
        <v>1</v>
      </c>
      <c r="BI35" s="0" t="n">
        <v>0.99</v>
      </c>
      <c r="BJ35" s="0" t="n">
        <v>0.999</v>
      </c>
      <c r="BK35" s="0" t="n">
        <v>0.998</v>
      </c>
      <c r="BL35" s="0" t="n">
        <v>0.9985</v>
      </c>
      <c r="BM35" s="0" t="n">
        <v>0.9985</v>
      </c>
      <c r="BN35" s="0" t="n">
        <v>0.972</v>
      </c>
      <c r="BO35" s="0" t="n">
        <v>0.9999</v>
      </c>
      <c r="BP35" s="0" t="n">
        <v>0.9999</v>
      </c>
      <c r="BQ35" s="0" t="n">
        <v>1</v>
      </c>
      <c r="BR35" s="0" t="n">
        <v>1.0724126</v>
      </c>
      <c r="BS35" s="0" t="n">
        <v>1.095</v>
      </c>
      <c r="BT35" s="0" t="n">
        <v>1.0827</v>
      </c>
      <c r="BU35" s="0" t="n">
        <v>1.0078</v>
      </c>
      <c r="BV35" s="0" t="n">
        <v>1</v>
      </c>
      <c r="BW35" s="0" t="n">
        <v>1.9518</v>
      </c>
      <c r="BX35" s="0" t="n">
        <v>2.245696333</v>
      </c>
      <c r="BY35" s="0" t="n">
        <v>1.0395</v>
      </c>
      <c r="BZ35" s="0" t="n">
        <v>1.2885</v>
      </c>
      <c r="CA35" s="0" t="n">
        <v>2.001</v>
      </c>
      <c r="CB35" s="0" t="n">
        <v>1.479505</v>
      </c>
      <c r="CC35" s="0" t="n">
        <v>1.479505</v>
      </c>
      <c r="CD35" s="0" t="n">
        <v>1.241205</v>
      </c>
      <c r="CE35" s="0" t="n">
        <v>1.05583</v>
      </c>
      <c r="CF35" s="0" t="n">
        <v>1.397805</v>
      </c>
      <c r="CG35" s="188"/>
      <c r="CH35" s="0" t="n">
        <v>1.093075</v>
      </c>
      <c r="CI35" s="188"/>
      <c r="CJ35" s="188"/>
      <c r="CK35" s="188"/>
      <c r="CL35" s="188"/>
      <c r="CM35" s="188"/>
      <c r="CN35" s="188"/>
      <c r="CO35" s="188"/>
      <c r="CP35" s="0" t="n">
        <v>0.975</v>
      </c>
      <c r="CQ35" s="0" t="n">
        <v>0.91</v>
      </c>
      <c r="CR35" s="0" t="n">
        <v>0.91</v>
      </c>
      <c r="CS35" s="0" t="n">
        <v>0.97</v>
      </c>
      <c r="CT35" s="0" t="n">
        <v>0.99895</v>
      </c>
      <c r="CU35" s="0" t="n">
        <v>0.41</v>
      </c>
      <c r="CV35" s="0" t="n">
        <v>0.47</v>
      </c>
      <c r="CW35" s="0" t="n">
        <v>0.935</v>
      </c>
      <c r="CX35" s="0" t="n">
        <v>0.605</v>
      </c>
      <c r="CY35" s="0" t="n">
        <v>0.725</v>
      </c>
      <c r="CZ35" s="0" t="n">
        <v>0.8775</v>
      </c>
      <c r="DA35" s="0" t="n">
        <v>0.91</v>
      </c>
      <c r="DB35" s="0" t="n">
        <v>0.89</v>
      </c>
      <c r="DC35" s="0" t="n">
        <v>0.9075</v>
      </c>
      <c r="DD35" s="0" t="n">
        <v>0.915</v>
      </c>
      <c r="DE35" s="0" t="n">
        <v>0.89</v>
      </c>
      <c r="DF35" s="0" t="n">
        <v>0.985</v>
      </c>
      <c r="DG35" s="0" t="n">
        <v>0.99</v>
      </c>
      <c r="DH35" s="0" t="n">
        <v>0.99</v>
      </c>
      <c r="DI35" s="0" t="n">
        <v>0.9775</v>
      </c>
      <c r="DN35" s="188" t="n">
        <v>0.000285</v>
      </c>
      <c r="DO35" s="188" t="n">
        <v>0.0002</v>
      </c>
      <c r="DP35" s="188" t="n">
        <v>0</v>
      </c>
      <c r="DQ35" s="188" t="n">
        <v>0.0001</v>
      </c>
      <c r="DR35" s="188" t="n">
        <v>0</v>
      </c>
      <c r="DS35" s="188" t="n">
        <v>0.0036</v>
      </c>
      <c r="DT35" s="188" t="n">
        <v>0.00049</v>
      </c>
      <c r="DU35" s="188" t="n">
        <v>0.0008</v>
      </c>
      <c r="DV35" s="188" t="n">
        <v>0</v>
      </c>
      <c r="DW35" s="188" t="n">
        <v>0</v>
      </c>
      <c r="DX35" s="188" t="n">
        <v>0.0005</v>
      </c>
      <c r="DY35" s="188" t="n">
        <v>0.0005</v>
      </c>
      <c r="DZ35" s="188" t="n">
        <v>0.0003</v>
      </c>
      <c r="EA35" s="188" t="n">
        <v>0.000275</v>
      </c>
      <c r="EB35" s="188" t="n">
        <v>0.0004</v>
      </c>
      <c r="ED35" s="188" t="n">
        <v>6.5E-005</v>
      </c>
      <c r="EF35" s="0" t="n">
        <v>1</v>
      </c>
    </row>
    <row r="36" customFormat="false" ht="12.75" hidden="false" customHeight="false" outlineLevel="0" collapsed="false">
      <c r="A36" s="149" t="n">
        <v>37469</v>
      </c>
      <c r="B36" s="0" t="n">
        <v>0.98</v>
      </c>
      <c r="C36" s="0" t="n">
        <v>0.988</v>
      </c>
      <c r="D36" s="0" t="n">
        <v>0.975</v>
      </c>
      <c r="E36" s="0" t="n">
        <f aca="false">E24</f>
        <v>0.978</v>
      </c>
      <c r="F36" s="0" t="n">
        <v>0.977</v>
      </c>
      <c r="G36" s="0" t="n">
        <v>0.840822</v>
      </c>
      <c r="H36" s="0" t="n">
        <v>0.9875</v>
      </c>
      <c r="I36" s="0" t="n">
        <v>0.96223125</v>
      </c>
      <c r="J36" s="0" t="n">
        <v>1</v>
      </c>
      <c r="K36" s="0" t="n">
        <v>0.985</v>
      </c>
      <c r="L36" s="176" t="n">
        <v>0.9875</v>
      </c>
      <c r="M36" s="176" t="n">
        <v>0.9875</v>
      </c>
      <c r="N36" s="0" t="n">
        <v>0.98</v>
      </c>
      <c r="O36" s="0" t="n">
        <v>0.979537388</v>
      </c>
      <c r="P36" s="0" t="n">
        <v>0.98</v>
      </c>
      <c r="Q36" s="177" t="n">
        <v>0.9875</v>
      </c>
      <c r="R36" s="0" t="n">
        <v>0.9875</v>
      </c>
      <c r="S36" s="176" t="n">
        <v>0.9875</v>
      </c>
      <c r="T36" s="0" t="n">
        <v>0.98</v>
      </c>
      <c r="U36" s="0" t="n">
        <v>0.98</v>
      </c>
      <c r="V36" s="0" t="n">
        <v>0.98</v>
      </c>
      <c r="W36" s="0" t="n">
        <v>0.98</v>
      </c>
      <c r="X36" s="0" t="n">
        <v>0.979537388</v>
      </c>
      <c r="Y36" s="0" t="n">
        <v>0.979537388</v>
      </c>
      <c r="Z36" s="0" t="n">
        <v>0.979537388</v>
      </c>
      <c r="AA36" s="0" t="n">
        <v>0.979537388</v>
      </c>
      <c r="AB36" s="0" t="n">
        <v>0.98</v>
      </c>
      <c r="AC36" s="0" t="n">
        <v>0.98</v>
      </c>
      <c r="AD36" s="0" t="n">
        <v>0.979537388</v>
      </c>
      <c r="AE36" s="0" t="n">
        <v>0.979537388</v>
      </c>
      <c r="AF36" s="0" t="n">
        <v>0.98</v>
      </c>
      <c r="AG36" s="0" t="n">
        <v>0.99</v>
      </c>
      <c r="AH36" s="0" t="n">
        <v>0.9728946</v>
      </c>
      <c r="AI36" s="0" t="n">
        <v>0.9728946</v>
      </c>
      <c r="AJ36" s="0" t="n">
        <v>0.98</v>
      </c>
      <c r="AK36" s="0" t="n">
        <v>1</v>
      </c>
      <c r="AL36" s="0" t="n">
        <v>0.985</v>
      </c>
      <c r="AM36" s="0" t="n">
        <v>0.985</v>
      </c>
      <c r="AN36" s="177" t="n">
        <v>0.9958</v>
      </c>
      <c r="AO36" s="177" t="n">
        <v>0.99</v>
      </c>
      <c r="AP36" s="177" t="n">
        <v>0.99</v>
      </c>
      <c r="AQ36" s="0" t="n">
        <v>0.985</v>
      </c>
      <c r="AR36" s="0" t="n">
        <v>0.9728946</v>
      </c>
      <c r="AS36" s="0" t="n">
        <v>0.977</v>
      </c>
      <c r="AT36" s="177" t="n">
        <v>0.9775</v>
      </c>
      <c r="AU36" s="0" t="n">
        <v>0.9728946</v>
      </c>
      <c r="AV36" s="0" t="n">
        <v>0.985</v>
      </c>
      <c r="AW36" s="0" t="n">
        <v>0.985</v>
      </c>
      <c r="AX36" s="0" t="n">
        <v>0.985</v>
      </c>
      <c r="AY36" s="0" t="n">
        <v>0.9728946</v>
      </c>
      <c r="AZ36" s="0" t="n">
        <v>0.9728946</v>
      </c>
      <c r="BA36" s="0" t="n">
        <v>0.985</v>
      </c>
      <c r="BB36" s="187" t="n">
        <v>1</v>
      </c>
      <c r="BC36" s="0" t="n">
        <v>1</v>
      </c>
      <c r="BD36" s="0" t="n">
        <v>1</v>
      </c>
      <c r="BE36" s="0" t="n">
        <v>1</v>
      </c>
      <c r="BF36" s="0" t="n">
        <v>0.9999</v>
      </c>
      <c r="BG36" s="0" t="n">
        <v>1</v>
      </c>
      <c r="BH36" s="0" t="n">
        <v>1</v>
      </c>
      <c r="BI36" s="0" t="n">
        <v>0.99</v>
      </c>
      <c r="BJ36" s="0" t="n">
        <v>0.999</v>
      </c>
      <c r="BK36" s="0" t="n">
        <v>0.998</v>
      </c>
      <c r="BL36" s="0" t="n">
        <v>0.9985</v>
      </c>
      <c r="BM36" s="0" t="n">
        <v>0.9985</v>
      </c>
      <c r="BN36" s="0" t="n">
        <v>0.972</v>
      </c>
      <c r="BO36" s="0" t="n">
        <v>0.9999</v>
      </c>
      <c r="BP36" s="0" t="n">
        <v>0.9999</v>
      </c>
      <c r="BQ36" s="0" t="n">
        <v>1</v>
      </c>
      <c r="BR36" s="0" t="n">
        <v>1.0726976</v>
      </c>
      <c r="BS36" s="0" t="n">
        <v>1.0952</v>
      </c>
      <c r="BT36" s="0" t="n">
        <v>1.0827</v>
      </c>
      <c r="BU36" s="0" t="n">
        <v>1.0079</v>
      </c>
      <c r="BV36" s="0" t="n">
        <v>1</v>
      </c>
      <c r="BW36" s="0" t="n">
        <v>1.9554</v>
      </c>
      <c r="BX36" s="0" t="n">
        <v>2.246181333</v>
      </c>
      <c r="BY36" s="0" t="n">
        <v>1.04025</v>
      </c>
      <c r="BZ36" s="0" t="n">
        <v>1.2885</v>
      </c>
      <c r="CA36" s="0" t="n">
        <v>2.001</v>
      </c>
      <c r="CB36" s="0" t="n">
        <v>1.480005</v>
      </c>
      <c r="CC36" s="0" t="n">
        <v>1.480005</v>
      </c>
      <c r="CD36" s="0" t="n">
        <v>1.241505</v>
      </c>
      <c r="CE36" s="0" t="n">
        <v>1.056105</v>
      </c>
      <c r="CF36" s="0" t="n">
        <v>1.398205</v>
      </c>
      <c r="CG36" s="188"/>
      <c r="CH36" s="0" t="n">
        <v>1.09314</v>
      </c>
      <c r="CI36" s="188"/>
      <c r="CJ36" s="188"/>
      <c r="CK36" s="188"/>
      <c r="CL36" s="188"/>
      <c r="CM36" s="188"/>
      <c r="CN36" s="188"/>
      <c r="CO36" s="188"/>
      <c r="CP36" s="0" t="n">
        <v>0.975</v>
      </c>
      <c r="CQ36" s="0" t="n">
        <v>0.91</v>
      </c>
      <c r="CR36" s="0" t="n">
        <v>0.91</v>
      </c>
      <c r="CS36" s="0" t="n">
        <v>0.97</v>
      </c>
      <c r="CT36" s="0" t="n">
        <v>0.99895</v>
      </c>
      <c r="CU36" s="0" t="n">
        <v>0.43</v>
      </c>
      <c r="CV36" s="0" t="n">
        <v>0.52</v>
      </c>
      <c r="CW36" s="0" t="n">
        <v>0.925</v>
      </c>
      <c r="CX36" s="0" t="n">
        <v>0.695</v>
      </c>
      <c r="CY36" s="0" t="n">
        <v>0.725</v>
      </c>
      <c r="CZ36" s="0" t="n">
        <v>0.89</v>
      </c>
      <c r="DA36" s="0" t="n">
        <v>0.9225</v>
      </c>
      <c r="DB36" s="0" t="n">
        <v>0.915</v>
      </c>
      <c r="DC36" s="0" t="n">
        <v>0.9275</v>
      </c>
      <c r="DD36" s="0" t="n">
        <v>0.915</v>
      </c>
      <c r="DE36" s="0" t="n">
        <v>0.89</v>
      </c>
      <c r="DF36" s="0" t="n">
        <v>0.985</v>
      </c>
      <c r="DG36" s="0" t="n">
        <v>0.99</v>
      </c>
      <c r="DH36" s="0" t="n">
        <v>0.99</v>
      </c>
      <c r="DI36" s="0" t="n">
        <v>0.9775</v>
      </c>
      <c r="DN36" s="188" t="n">
        <v>0.000285</v>
      </c>
      <c r="DO36" s="188" t="n">
        <v>0.0002</v>
      </c>
      <c r="DP36" s="188" t="n">
        <v>0</v>
      </c>
      <c r="DQ36" s="188" t="n">
        <v>0.0001</v>
      </c>
      <c r="DR36" s="188" t="n">
        <v>0</v>
      </c>
      <c r="DS36" s="188" t="n">
        <v>0.0036</v>
      </c>
      <c r="DT36" s="188" t="n">
        <v>0.000485</v>
      </c>
      <c r="DU36" s="188" t="n">
        <v>0.00075</v>
      </c>
      <c r="DV36" s="188" t="n">
        <v>0</v>
      </c>
      <c r="DW36" s="188" t="n">
        <v>0</v>
      </c>
      <c r="DX36" s="188" t="n">
        <v>0.0005</v>
      </c>
      <c r="DY36" s="188" t="n">
        <v>0.0005</v>
      </c>
      <c r="DZ36" s="188" t="n">
        <v>0.0003</v>
      </c>
      <c r="EA36" s="188" t="n">
        <v>0.000275</v>
      </c>
      <c r="EB36" s="188" t="n">
        <v>0.0004</v>
      </c>
      <c r="ED36" s="188" t="n">
        <v>6.5E-005</v>
      </c>
      <c r="EF36" s="0" t="n">
        <v>1</v>
      </c>
    </row>
    <row r="37" customFormat="false" ht="12.75" hidden="false" customHeight="false" outlineLevel="0" collapsed="false">
      <c r="A37" s="149" t="n">
        <v>37500</v>
      </c>
      <c r="B37" s="0" t="n">
        <v>0.98</v>
      </c>
      <c r="C37" s="0" t="n">
        <v>0.988</v>
      </c>
      <c r="D37" s="0" t="n">
        <v>0.975</v>
      </c>
      <c r="E37" s="0" t="n">
        <f aca="false">E25</f>
        <v>0.978</v>
      </c>
      <c r="F37" s="0" t="n">
        <v>0.977</v>
      </c>
      <c r="G37" s="0" t="n">
        <v>0.90114</v>
      </c>
      <c r="H37" s="0" t="n">
        <v>0.9875</v>
      </c>
      <c r="I37" s="0" t="n">
        <v>0.96287875</v>
      </c>
      <c r="J37" s="0" t="n">
        <v>1</v>
      </c>
      <c r="K37" s="0" t="n">
        <v>0.985</v>
      </c>
      <c r="L37" s="176" t="n">
        <v>0.9875</v>
      </c>
      <c r="M37" s="176" t="n">
        <v>0.9875</v>
      </c>
      <c r="N37" s="0" t="n">
        <v>0.98</v>
      </c>
      <c r="O37" s="0" t="n">
        <v>0.9718696</v>
      </c>
      <c r="P37" s="0" t="n">
        <v>0.98</v>
      </c>
      <c r="Q37" s="177" t="n">
        <v>0.9875</v>
      </c>
      <c r="R37" s="0" t="n">
        <v>0.9875</v>
      </c>
      <c r="S37" s="176" t="n">
        <v>0.9875</v>
      </c>
      <c r="T37" s="0" t="n">
        <v>0.98</v>
      </c>
      <c r="U37" s="0" t="n">
        <v>0.98</v>
      </c>
      <c r="V37" s="0" t="n">
        <v>0.98</v>
      </c>
      <c r="W37" s="0" t="n">
        <v>0.98</v>
      </c>
      <c r="X37" s="0" t="n">
        <v>0.9718696</v>
      </c>
      <c r="Y37" s="0" t="n">
        <v>0.9718696</v>
      </c>
      <c r="Z37" s="0" t="n">
        <v>0.9718696</v>
      </c>
      <c r="AA37" s="0" t="n">
        <v>0.9718696</v>
      </c>
      <c r="AB37" s="0" t="n">
        <v>0.98</v>
      </c>
      <c r="AC37" s="0" t="n">
        <v>0.98</v>
      </c>
      <c r="AD37" s="0" t="n">
        <v>0.9718696</v>
      </c>
      <c r="AE37" s="0" t="n">
        <v>0.9718696</v>
      </c>
      <c r="AF37" s="0" t="n">
        <v>0.98</v>
      </c>
      <c r="AG37" s="0" t="n">
        <v>0.99</v>
      </c>
      <c r="AH37" s="0" t="n">
        <v>0.97295245</v>
      </c>
      <c r="AI37" s="0" t="n">
        <v>0.97295245</v>
      </c>
      <c r="AJ37" s="0" t="n">
        <v>0.98</v>
      </c>
      <c r="AK37" s="0" t="n">
        <v>1</v>
      </c>
      <c r="AL37" s="0" t="n">
        <v>0.985</v>
      </c>
      <c r="AM37" s="0" t="n">
        <v>0.985</v>
      </c>
      <c r="AN37" s="177" t="n">
        <v>0.9958</v>
      </c>
      <c r="AO37" s="177" t="n">
        <v>0.99</v>
      </c>
      <c r="AP37" s="177" t="n">
        <v>0.99</v>
      </c>
      <c r="AQ37" s="0" t="n">
        <v>0.985</v>
      </c>
      <c r="AR37" s="0" t="n">
        <v>0.97295245</v>
      </c>
      <c r="AS37" s="0" t="n">
        <v>0.977</v>
      </c>
      <c r="AT37" s="177" t="n">
        <v>0.9775</v>
      </c>
      <c r="AU37" s="0" t="n">
        <v>0.97295245</v>
      </c>
      <c r="AV37" s="0" t="n">
        <v>0.985</v>
      </c>
      <c r="AW37" s="0" t="n">
        <v>0.985</v>
      </c>
      <c r="AX37" s="0" t="n">
        <v>0.985</v>
      </c>
      <c r="AY37" s="0" t="n">
        <v>0.97295245</v>
      </c>
      <c r="AZ37" s="0" t="n">
        <v>0.97295245</v>
      </c>
      <c r="BA37" s="0" t="n">
        <v>0.985</v>
      </c>
      <c r="BB37" s="187" t="n">
        <v>1</v>
      </c>
      <c r="BC37" s="0" t="n">
        <v>1</v>
      </c>
      <c r="BD37" s="0" t="n">
        <v>1</v>
      </c>
      <c r="BE37" s="0" t="n">
        <v>1</v>
      </c>
      <c r="BF37" s="0" t="n">
        <v>0.9999</v>
      </c>
      <c r="BG37" s="0" t="n">
        <v>1</v>
      </c>
      <c r="BH37" s="0" t="n">
        <v>1</v>
      </c>
      <c r="BI37" s="0" t="n">
        <v>0.99</v>
      </c>
      <c r="BJ37" s="0" t="n">
        <v>0.999</v>
      </c>
      <c r="BK37" s="0" t="n">
        <v>0.998</v>
      </c>
      <c r="BL37" s="0" t="n">
        <v>0.9985</v>
      </c>
      <c r="BM37" s="0" t="n">
        <v>0.9985</v>
      </c>
      <c r="BN37" s="0" t="n">
        <v>0.972</v>
      </c>
      <c r="BO37" s="0" t="n">
        <v>0.9999</v>
      </c>
      <c r="BP37" s="0" t="n">
        <v>0.9999</v>
      </c>
      <c r="BQ37" s="0" t="n">
        <v>1</v>
      </c>
      <c r="BR37" s="0" t="n">
        <v>1.0729826</v>
      </c>
      <c r="BS37" s="0" t="n">
        <v>1.0954</v>
      </c>
      <c r="BT37" s="0" t="n">
        <v>1.0827</v>
      </c>
      <c r="BU37" s="0" t="n">
        <v>1.008</v>
      </c>
      <c r="BV37" s="0" t="n">
        <v>1</v>
      </c>
      <c r="BW37" s="0" t="n">
        <v>1.959</v>
      </c>
      <c r="BX37" s="0" t="n">
        <v>2.246661333</v>
      </c>
      <c r="BY37" s="0" t="n">
        <v>1.04095</v>
      </c>
      <c r="BZ37" s="0" t="n">
        <v>1.2885</v>
      </c>
      <c r="CA37" s="0" t="n">
        <v>2.001</v>
      </c>
      <c r="CB37" s="0" t="n">
        <v>1.480505</v>
      </c>
      <c r="CC37" s="0" t="n">
        <v>1.480505</v>
      </c>
      <c r="CD37" s="0" t="n">
        <v>1.241805</v>
      </c>
      <c r="CE37" s="0" t="n">
        <v>1.05638</v>
      </c>
      <c r="CF37" s="0" t="n">
        <v>1.398605</v>
      </c>
      <c r="CG37" s="188"/>
      <c r="CH37" s="0" t="n">
        <v>1.093205</v>
      </c>
      <c r="CI37" s="188"/>
      <c r="CJ37" s="188"/>
      <c r="CK37" s="188"/>
      <c r="CL37" s="188"/>
      <c r="CM37" s="188"/>
      <c r="CN37" s="188"/>
      <c r="CO37" s="188"/>
      <c r="CP37" s="0" t="n">
        <v>0.975</v>
      </c>
      <c r="CQ37" s="0" t="n">
        <v>0.91</v>
      </c>
      <c r="CR37" s="0" t="n">
        <v>0.91</v>
      </c>
      <c r="CS37" s="0" t="n">
        <v>0.95</v>
      </c>
      <c r="CT37" s="0" t="n">
        <v>0.99895</v>
      </c>
      <c r="CU37" s="0" t="n">
        <v>0.46</v>
      </c>
      <c r="CV37" s="0" t="n">
        <v>0.55</v>
      </c>
      <c r="CW37" s="0" t="n">
        <v>0.925</v>
      </c>
      <c r="CX37" s="0" t="n">
        <v>0.555</v>
      </c>
      <c r="CY37" s="0" t="n">
        <v>0.575</v>
      </c>
      <c r="CZ37" s="0" t="n">
        <v>0.945</v>
      </c>
      <c r="DA37" s="0" t="n">
        <v>0.9775</v>
      </c>
      <c r="DB37" s="0" t="n">
        <v>0.945</v>
      </c>
      <c r="DC37" s="0" t="n">
        <v>0.92</v>
      </c>
      <c r="DD37" s="0" t="n">
        <v>0.915</v>
      </c>
      <c r="DE37" s="0" t="n">
        <v>0.89</v>
      </c>
      <c r="DF37" s="0" t="n">
        <v>0.985</v>
      </c>
      <c r="DG37" s="0" t="n">
        <v>0.99</v>
      </c>
      <c r="DH37" s="0" t="n">
        <v>0.99</v>
      </c>
      <c r="DI37" s="0" t="n">
        <v>0.9775</v>
      </c>
      <c r="DN37" s="188" t="n">
        <v>0.000285</v>
      </c>
      <c r="DO37" s="188" t="n">
        <v>0.0002</v>
      </c>
      <c r="DP37" s="188" t="n">
        <v>0</v>
      </c>
      <c r="DQ37" s="188" t="n">
        <v>0.0001</v>
      </c>
      <c r="DR37" s="188" t="n">
        <v>0</v>
      </c>
      <c r="DS37" s="188" t="n">
        <v>0.0036</v>
      </c>
      <c r="DT37" s="188" t="n">
        <v>0.00048</v>
      </c>
      <c r="DU37" s="188" t="n">
        <v>0.0007</v>
      </c>
      <c r="DV37" s="188" t="n">
        <v>0</v>
      </c>
      <c r="DW37" s="188" t="n">
        <v>0</v>
      </c>
      <c r="DX37" s="188" t="n">
        <v>0.0005</v>
      </c>
      <c r="DY37" s="188" t="n">
        <v>0.0005</v>
      </c>
      <c r="DZ37" s="188" t="n">
        <v>0.0003</v>
      </c>
      <c r="EA37" s="188" t="n">
        <v>0.000275</v>
      </c>
      <c r="EB37" s="188" t="n">
        <v>0.0004</v>
      </c>
      <c r="ED37" s="188" t="n">
        <v>6.5E-005</v>
      </c>
      <c r="EF37" s="0" t="n">
        <v>1</v>
      </c>
    </row>
    <row r="38" customFormat="false" ht="12.75" hidden="false" customHeight="false" outlineLevel="0" collapsed="false">
      <c r="A38" s="149" t="n">
        <v>37530</v>
      </c>
      <c r="B38" s="0" t="n">
        <v>0.98</v>
      </c>
      <c r="C38" s="0" t="n">
        <v>0.98604</v>
      </c>
      <c r="D38" s="0" t="n">
        <v>0.975</v>
      </c>
      <c r="E38" s="0" t="n">
        <f aca="false">E26</f>
        <v>0.978</v>
      </c>
      <c r="F38" s="0" t="n">
        <v>0.977</v>
      </c>
      <c r="G38" s="0" t="n">
        <v>0.902796</v>
      </c>
      <c r="H38" s="0" t="n">
        <v>0.9875</v>
      </c>
      <c r="I38" s="0" t="n">
        <v>0.96352625</v>
      </c>
      <c r="J38" s="0" t="n">
        <v>1</v>
      </c>
      <c r="K38" s="0" t="n">
        <v>0.985</v>
      </c>
      <c r="L38" s="176" t="n">
        <v>0.9875</v>
      </c>
      <c r="M38" s="176" t="n">
        <v>0.9875</v>
      </c>
      <c r="N38" s="0" t="n">
        <v>0.98</v>
      </c>
      <c r="O38" s="0" t="n">
        <v>0.953631138</v>
      </c>
      <c r="P38" s="0" t="n">
        <v>0.98</v>
      </c>
      <c r="Q38" s="177" t="n">
        <v>0.9875</v>
      </c>
      <c r="R38" s="0" t="n">
        <v>0.9875</v>
      </c>
      <c r="S38" s="176" t="n">
        <v>0.9875</v>
      </c>
      <c r="T38" s="0" t="n">
        <v>0.98</v>
      </c>
      <c r="U38" s="0" t="n">
        <v>0.98</v>
      </c>
      <c r="V38" s="0" t="n">
        <v>0.98</v>
      </c>
      <c r="W38" s="0" t="n">
        <v>0.98</v>
      </c>
      <c r="X38" s="0" t="n">
        <v>0.953631138</v>
      </c>
      <c r="Y38" s="0" t="n">
        <v>0.953631138</v>
      </c>
      <c r="Z38" s="0" t="n">
        <v>0.953631138</v>
      </c>
      <c r="AA38" s="0" t="n">
        <v>0.953631138</v>
      </c>
      <c r="AB38" s="0" t="n">
        <v>0.98</v>
      </c>
      <c r="AC38" s="0" t="n">
        <v>0.98</v>
      </c>
      <c r="AD38" s="0" t="n">
        <v>0.953631138</v>
      </c>
      <c r="AE38" s="0" t="n">
        <v>0.953631138</v>
      </c>
      <c r="AF38" s="0" t="n">
        <v>0.98</v>
      </c>
      <c r="AG38" s="0" t="n">
        <v>0.99</v>
      </c>
      <c r="AH38" s="0" t="n">
        <v>0.9730103</v>
      </c>
      <c r="AI38" s="0" t="n">
        <v>0.9730103</v>
      </c>
      <c r="AJ38" s="0" t="n">
        <v>0.98</v>
      </c>
      <c r="AK38" s="0" t="n">
        <v>1</v>
      </c>
      <c r="AL38" s="0" t="n">
        <v>0.985</v>
      </c>
      <c r="AM38" s="0" t="n">
        <v>0.985</v>
      </c>
      <c r="AN38" s="177" t="n">
        <v>0.9958</v>
      </c>
      <c r="AO38" s="177" t="n">
        <v>0.98</v>
      </c>
      <c r="AP38" s="177" t="n">
        <v>0.99</v>
      </c>
      <c r="AQ38" s="0" t="n">
        <v>0.985</v>
      </c>
      <c r="AR38" s="0" t="n">
        <v>0.9730103</v>
      </c>
      <c r="AS38" s="0" t="n">
        <v>0.977</v>
      </c>
      <c r="AT38" s="177" t="n">
        <v>0.9775</v>
      </c>
      <c r="AU38" s="0" t="n">
        <v>0.9730103</v>
      </c>
      <c r="AV38" s="0" t="n">
        <v>0.985</v>
      </c>
      <c r="AW38" s="0" t="n">
        <v>0.985</v>
      </c>
      <c r="AX38" s="0" t="n">
        <v>0.985</v>
      </c>
      <c r="AY38" s="0" t="n">
        <v>0.9730103</v>
      </c>
      <c r="AZ38" s="0" t="n">
        <v>0.9730103</v>
      </c>
      <c r="BA38" s="0" t="n">
        <v>0.985</v>
      </c>
      <c r="BB38" s="187" t="n">
        <v>1</v>
      </c>
      <c r="BC38" s="0" t="n">
        <v>1</v>
      </c>
      <c r="BD38" s="0" t="n">
        <v>1</v>
      </c>
      <c r="BE38" s="0" t="n">
        <v>1</v>
      </c>
      <c r="BF38" s="0" t="n">
        <v>0.9999</v>
      </c>
      <c r="BG38" s="0" t="n">
        <v>1</v>
      </c>
      <c r="BH38" s="0" t="n">
        <v>1</v>
      </c>
      <c r="BI38" s="0" t="n">
        <v>0.99</v>
      </c>
      <c r="BJ38" s="0" t="n">
        <v>0.999</v>
      </c>
      <c r="BK38" s="0" t="n">
        <v>0.998</v>
      </c>
      <c r="BL38" s="0" t="n">
        <v>0.9985</v>
      </c>
      <c r="BM38" s="0" t="n">
        <v>0.9985</v>
      </c>
      <c r="BN38" s="0" t="n">
        <v>0.972</v>
      </c>
      <c r="BO38" s="0" t="n">
        <v>0.9999</v>
      </c>
      <c r="BP38" s="0" t="n">
        <v>0.9999</v>
      </c>
      <c r="BQ38" s="0" t="n">
        <v>1</v>
      </c>
      <c r="BR38" s="0" t="n">
        <v>1.0732676</v>
      </c>
      <c r="BS38" s="0" t="n">
        <v>1.0956</v>
      </c>
      <c r="BT38" s="0" t="n">
        <v>1.0827</v>
      </c>
      <c r="BU38" s="0" t="n">
        <v>1.0081</v>
      </c>
      <c r="BV38" s="0" t="n">
        <v>1</v>
      </c>
      <c r="BW38" s="0" t="n">
        <v>1.9626</v>
      </c>
      <c r="BX38" s="0" t="n">
        <v>2.247136333</v>
      </c>
      <c r="BY38" s="0" t="n">
        <v>1.04165</v>
      </c>
      <c r="BZ38" s="0" t="n">
        <v>1.2885</v>
      </c>
      <c r="CA38" s="0" t="n">
        <v>2.001</v>
      </c>
      <c r="CB38" s="0" t="n">
        <v>1.481005</v>
      </c>
      <c r="CC38" s="0" t="n">
        <v>1.481005</v>
      </c>
      <c r="CD38" s="0" t="n">
        <v>1.242105</v>
      </c>
      <c r="CE38" s="0" t="n">
        <v>1.056655</v>
      </c>
      <c r="CF38" s="0" t="n">
        <v>1.399005</v>
      </c>
      <c r="CG38" s="188"/>
      <c r="CH38" s="0" t="n">
        <v>1.09327</v>
      </c>
      <c r="CI38" s="188"/>
      <c r="CJ38" s="188"/>
      <c r="CK38" s="188"/>
      <c r="CL38" s="188"/>
      <c r="CM38" s="188"/>
      <c r="CN38" s="188"/>
      <c r="CO38" s="188"/>
      <c r="CP38" s="0" t="n">
        <v>0.955</v>
      </c>
      <c r="CQ38" s="0" t="n">
        <v>0.9</v>
      </c>
      <c r="CR38" s="0" t="n">
        <v>0.91</v>
      </c>
      <c r="CS38" s="0" t="n">
        <v>0.94</v>
      </c>
      <c r="CT38" s="0" t="n">
        <v>0.99895</v>
      </c>
      <c r="CU38" s="0" t="n">
        <v>0.46</v>
      </c>
      <c r="CV38" s="0" t="n">
        <v>0.45</v>
      </c>
      <c r="CW38" s="0" t="n">
        <v>0.925</v>
      </c>
      <c r="CX38" s="0" t="n">
        <v>0.545</v>
      </c>
      <c r="CY38" s="0" t="n">
        <v>0.505</v>
      </c>
      <c r="CZ38" s="0" t="n">
        <v>0.805</v>
      </c>
      <c r="DA38" s="0" t="n">
        <v>0.8375</v>
      </c>
      <c r="DB38" s="0" t="n">
        <v>0.875</v>
      </c>
      <c r="DC38" s="0" t="n">
        <v>0.9025</v>
      </c>
      <c r="DD38" s="0" t="n">
        <v>0.82</v>
      </c>
      <c r="DE38" s="0" t="n">
        <v>0.89</v>
      </c>
      <c r="DF38" s="0" t="n">
        <v>0.985</v>
      </c>
      <c r="DG38" s="0" t="n">
        <v>0.98</v>
      </c>
      <c r="DH38" s="0" t="n">
        <v>0.99</v>
      </c>
      <c r="DI38" s="0" t="n">
        <v>0.9775</v>
      </c>
      <c r="DN38" s="188" t="n">
        <v>0.000285</v>
      </c>
      <c r="DO38" s="188" t="n">
        <v>0.0002</v>
      </c>
      <c r="DP38" s="188" t="n">
        <v>0</v>
      </c>
      <c r="DQ38" s="188" t="n">
        <v>0.0001</v>
      </c>
      <c r="DR38" s="188" t="n">
        <v>0</v>
      </c>
      <c r="DS38" s="188" t="n">
        <v>0.0036</v>
      </c>
      <c r="DT38" s="188" t="n">
        <v>0.000475</v>
      </c>
      <c r="DU38" s="188" t="n">
        <v>0.0007</v>
      </c>
      <c r="DV38" s="188" t="n">
        <v>0</v>
      </c>
      <c r="DW38" s="188" t="n">
        <v>0</v>
      </c>
      <c r="DX38" s="188" t="n">
        <v>0.0005</v>
      </c>
      <c r="DY38" s="188" t="n">
        <v>0.0005</v>
      </c>
      <c r="DZ38" s="188" t="n">
        <v>0.0003</v>
      </c>
      <c r="EA38" s="188" t="n">
        <v>0.000275</v>
      </c>
      <c r="EB38" s="188" t="n">
        <v>0.0004</v>
      </c>
      <c r="ED38" s="188" t="n">
        <v>6.5E-005</v>
      </c>
      <c r="EF38" s="0" t="n">
        <v>1</v>
      </c>
    </row>
    <row r="39" customFormat="false" ht="12.75" hidden="false" customHeight="false" outlineLevel="0" collapsed="false">
      <c r="A39" s="149" t="n">
        <v>37561</v>
      </c>
      <c r="B39" s="0" t="n">
        <v>0.98</v>
      </c>
      <c r="C39" s="0" t="n">
        <v>0.98622</v>
      </c>
      <c r="D39" s="0" t="n">
        <v>0.975</v>
      </c>
      <c r="E39" s="0" t="n">
        <f aca="false">E27</f>
        <v>0.994</v>
      </c>
      <c r="F39" s="0" t="n">
        <v>0.977</v>
      </c>
      <c r="G39" s="0" t="n">
        <v>0.943776</v>
      </c>
      <c r="H39" s="0" t="n">
        <v>0.9875</v>
      </c>
      <c r="I39" s="0" t="n">
        <v>0.94332675</v>
      </c>
      <c r="J39" s="0" t="n">
        <v>1</v>
      </c>
      <c r="K39" s="0" t="n">
        <v>0.970485</v>
      </c>
      <c r="L39" s="176" t="n">
        <v>0.9875</v>
      </c>
      <c r="M39" s="176" t="n">
        <v>0.9875</v>
      </c>
      <c r="N39" s="0" t="n">
        <v>0.98</v>
      </c>
      <c r="O39" s="0" t="n">
        <v>0.953879325</v>
      </c>
      <c r="P39" s="0" t="n">
        <v>0.98</v>
      </c>
      <c r="Q39" s="177" t="n">
        <v>0.9875</v>
      </c>
      <c r="R39" s="0" t="n">
        <v>0.9875</v>
      </c>
      <c r="S39" s="176" t="n">
        <v>0.9875</v>
      </c>
      <c r="T39" s="0" t="n">
        <v>0.98</v>
      </c>
      <c r="U39" s="0" t="n">
        <v>0.98</v>
      </c>
      <c r="V39" s="0" t="n">
        <v>0.98</v>
      </c>
      <c r="W39" s="0" t="n">
        <v>0.98</v>
      </c>
      <c r="X39" s="0" t="n">
        <v>0.953879325</v>
      </c>
      <c r="Y39" s="0" t="n">
        <v>0.953879325</v>
      </c>
      <c r="Z39" s="0" t="n">
        <v>0.953879325</v>
      </c>
      <c r="AA39" s="0" t="n">
        <v>0.953879325</v>
      </c>
      <c r="AB39" s="0" t="n">
        <v>0.98</v>
      </c>
      <c r="AC39" s="0" t="n">
        <v>0.98</v>
      </c>
      <c r="AD39" s="0" t="n">
        <v>0.953879325</v>
      </c>
      <c r="AE39" s="0" t="n">
        <v>0.953879325</v>
      </c>
      <c r="AF39" s="0" t="n">
        <v>0.98</v>
      </c>
      <c r="AG39" s="0" t="n">
        <v>0.99</v>
      </c>
      <c r="AH39" s="0" t="n">
        <v>0.97306815</v>
      </c>
      <c r="AI39" s="0" t="n">
        <v>0.97306815</v>
      </c>
      <c r="AJ39" s="0" t="n">
        <v>0.98</v>
      </c>
      <c r="AK39" s="0" t="n">
        <v>1</v>
      </c>
      <c r="AL39" s="0" t="n">
        <v>0.970485</v>
      </c>
      <c r="AM39" s="0" t="n">
        <v>0.97443</v>
      </c>
      <c r="AN39" s="177" t="n">
        <v>0.9958</v>
      </c>
      <c r="AO39" s="177" t="n">
        <v>0.97</v>
      </c>
      <c r="AP39" s="177" t="n">
        <v>0.99</v>
      </c>
      <c r="AQ39" s="0" t="n">
        <v>0.97443</v>
      </c>
      <c r="AR39" s="0" t="n">
        <v>0.97306815</v>
      </c>
      <c r="AS39" s="0" t="n">
        <v>0.977</v>
      </c>
      <c r="AT39" s="177" t="n">
        <v>0.9775</v>
      </c>
      <c r="AU39" s="0" t="n">
        <v>0.97306815</v>
      </c>
      <c r="AV39" s="0" t="n">
        <v>0.97443</v>
      </c>
      <c r="AW39" s="0" t="n">
        <v>0.97443</v>
      </c>
      <c r="AX39" s="0" t="n">
        <v>0.97443</v>
      </c>
      <c r="AY39" s="0" t="n">
        <v>0.97306815</v>
      </c>
      <c r="AZ39" s="0" t="n">
        <v>0.97306815</v>
      </c>
      <c r="BA39" s="0" t="n">
        <v>0.97443</v>
      </c>
      <c r="BB39" s="187" t="n">
        <v>1</v>
      </c>
      <c r="BC39" s="0" t="n">
        <v>1</v>
      </c>
      <c r="BD39" s="0" t="n">
        <v>1</v>
      </c>
      <c r="BE39" s="0" t="n">
        <v>1</v>
      </c>
      <c r="BF39" s="0" t="n">
        <v>0.9999</v>
      </c>
      <c r="BG39" s="0" t="n">
        <v>1</v>
      </c>
      <c r="BH39" s="0" t="n">
        <v>1</v>
      </c>
      <c r="BI39" s="0" t="n">
        <v>0.99</v>
      </c>
      <c r="BJ39" s="0" t="n">
        <v>0.999</v>
      </c>
      <c r="BK39" s="0" t="n">
        <v>0.998</v>
      </c>
      <c r="BL39" s="0" t="n">
        <v>0.9985</v>
      </c>
      <c r="BM39" s="0" t="n">
        <v>0.9985</v>
      </c>
      <c r="BN39" s="0" t="n">
        <v>0.972</v>
      </c>
      <c r="BO39" s="0" t="n">
        <v>0.9999</v>
      </c>
      <c r="BP39" s="0" t="n">
        <v>0.9999</v>
      </c>
      <c r="BQ39" s="0" t="n">
        <v>1</v>
      </c>
      <c r="BR39" s="0" t="n">
        <v>1.0735526</v>
      </c>
      <c r="BS39" s="0" t="n">
        <v>1.0958</v>
      </c>
      <c r="BT39" s="0" t="n">
        <v>1.0827</v>
      </c>
      <c r="BU39" s="0" t="n">
        <v>1.0082</v>
      </c>
      <c r="BV39" s="0" t="n">
        <v>1</v>
      </c>
      <c r="BW39" s="0" t="n">
        <v>1.9662</v>
      </c>
      <c r="BX39" s="0" t="n">
        <v>2.247606333</v>
      </c>
      <c r="BY39" s="0" t="n">
        <v>1.04235</v>
      </c>
      <c r="BZ39" s="0" t="n">
        <v>1.2885</v>
      </c>
      <c r="CA39" s="0" t="n">
        <v>2.001</v>
      </c>
      <c r="CB39" s="0" t="n">
        <v>1.481505</v>
      </c>
      <c r="CC39" s="0" t="n">
        <v>1.481505</v>
      </c>
      <c r="CD39" s="0" t="n">
        <v>1.242405</v>
      </c>
      <c r="CE39" s="0" t="n">
        <v>1.05693</v>
      </c>
      <c r="CF39" s="0" t="n">
        <v>1.399405</v>
      </c>
      <c r="CG39" s="188"/>
      <c r="CH39" s="0" t="n">
        <v>1.093335</v>
      </c>
      <c r="CI39" s="188"/>
      <c r="CJ39" s="188"/>
      <c r="CK39" s="188"/>
      <c r="CL39" s="188"/>
      <c r="CM39" s="188"/>
      <c r="CN39" s="188"/>
      <c r="CO39" s="188"/>
      <c r="CP39" s="0" t="n">
        <v>0.955</v>
      </c>
      <c r="CQ39" s="0" t="n">
        <v>0.9</v>
      </c>
      <c r="CR39" s="0" t="n">
        <v>0.9</v>
      </c>
      <c r="CS39" s="0" t="n">
        <v>0.94</v>
      </c>
      <c r="CT39" s="0" t="n">
        <v>0.999</v>
      </c>
      <c r="CU39" s="0" t="n">
        <v>0.48</v>
      </c>
      <c r="CV39" s="0" t="n">
        <v>0.46</v>
      </c>
      <c r="CW39" s="0" t="n">
        <v>0.905</v>
      </c>
      <c r="CX39" s="0" t="n">
        <v>0.505</v>
      </c>
      <c r="CY39" s="0" t="n">
        <v>0.485</v>
      </c>
      <c r="CZ39" s="0" t="n">
        <v>0.795</v>
      </c>
      <c r="DA39" s="0" t="n">
        <v>0.8275</v>
      </c>
      <c r="DB39" s="0" t="n">
        <v>0.85</v>
      </c>
      <c r="DC39" s="0" t="n">
        <v>0.9025</v>
      </c>
      <c r="DD39" s="0" t="n">
        <v>0.82</v>
      </c>
      <c r="DE39" s="0" t="n">
        <v>0.89</v>
      </c>
      <c r="DF39" s="0" t="n">
        <v>0.985</v>
      </c>
      <c r="DG39" s="0" t="n">
        <v>0.97</v>
      </c>
      <c r="DH39" s="0" t="n">
        <v>0.99</v>
      </c>
      <c r="DI39" s="0" t="n">
        <v>0.9775</v>
      </c>
      <c r="DN39" s="188" t="n">
        <v>0.000285</v>
      </c>
      <c r="DO39" s="188" t="n">
        <v>0.0002</v>
      </c>
      <c r="DP39" s="188" t="n">
        <v>0</v>
      </c>
      <c r="DQ39" s="188" t="n">
        <v>0.0001</v>
      </c>
      <c r="DR39" s="188" t="n">
        <v>0</v>
      </c>
      <c r="DS39" s="188" t="n">
        <v>0.0036</v>
      </c>
      <c r="DT39" s="188" t="n">
        <v>0.00047</v>
      </c>
      <c r="DU39" s="188" t="n">
        <v>0.0007</v>
      </c>
      <c r="DV39" s="188" t="n">
        <v>0</v>
      </c>
      <c r="DW39" s="188" t="n">
        <v>0</v>
      </c>
      <c r="DX39" s="188" t="n">
        <v>0.0005</v>
      </c>
      <c r="DY39" s="188" t="n">
        <v>0.0005</v>
      </c>
      <c r="DZ39" s="188" t="n">
        <v>0.0003</v>
      </c>
      <c r="EA39" s="188" t="n">
        <v>0.000275</v>
      </c>
      <c r="EB39" s="188" t="n">
        <v>0.0004</v>
      </c>
      <c r="ED39" s="188" t="n">
        <v>6.5E-005</v>
      </c>
      <c r="EF39" s="0" t="n">
        <v>1</v>
      </c>
    </row>
    <row r="40" customFormat="false" ht="12.75" hidden="false" customHeight="false" outlineLevel="0" collapsed="false">
      <c r="A40" s="149" t="n">
        <v>37591</v>
      </c>
      <c r="B40" s="0" t="n">
        <v>0.98</v>
      </c>
      <c r="C40" s="0" t="n">
        <v>0.97544</v>
      </c>
      <c r="D40" s="0" t="n">
        <v>0.975</v>
      </c>
      <c r="E40" s="0" t="n">
        <f aca="false">E28</f>
        <v>0.994</v>
      </c>
      <c r="F40" s="0" t="n">
        <v>0.977</v>
      </c>
      <c r="G40" s="0" t="n">
        <v>0.9875</v>
      </c>
      <c r="H40" s="0" t="n">
        <v>0.9875</v>
      </c>
      <c r="I40" s="0" t="n">
        <v>0.91266875</v>
      </c>
      <c r="J40" s="0" t="n">
        <v>0.657135</v>
      </c>
      <c r="K40" s="0" t="n">
        <v>0.970485</v>
      </c>
      <c r="L40" s="176" t="n">
        <v>0.87438295</v>
      </c>
      <c r="M40" s="176" t="n">
        <v>0.922548112</v>
      </c>
      <c r="N40" s="0" t="n">
        <v>0.85746645</v>
      </c>
      <c r="O40" s="0" t="n">
        <v>0.943555463</v>
      </c>
      <c r="P40" s="0" t="n">
        <v>0.85746645</v>
      </c>
      <c r="Q40" s="177" t="n">
        <v>0.87438295</v>
      </c>
      <c r="R40" s="0" t="n">
        <v>0.87438295</v>
      </c>
      <c r="S40" s="176" t="n">
        <v>0.87438295</v>
      </c>
      <c r="T40" s="0" t="n">
        <v>0.85746645</v>
      </c>
      <c r="U40" s="0" t="n">
        <v>0.85746645</v>
      </c>
      <c r="V40" s="0" t="n">
        <v>0.85746645</v>
      </c>
      <c r="W40" s="0" t="n">
        <v>0.85746645</v>
      </c>
      <c r="X40" s="0" t="n">
        <v>0.943555463</v>
      </c>
      <c r="Y40" s="0" t="n">
        <v>0.943555463</v>
      </c>
      <c r="Z40" s="0" t="n">
        <v>0.943555463</v>
      </c>
      <c r="AA40" s="0" t="n">
        <v>0.943555463</v>
      </c>
      <c r="AB40" s="0" t="n">
        <v>0.85746645</v>
      </c>
      <c r="AC40" s="0" t="n">
        <v>0.85746645</v>
      </c>
      <c r="AD40" s="0" t="n">
        <v>0.943555463</v>
      </c>
      <c r="AE40" s="0" t="n">
        <v>0.943555463</v>
      </c>
      <c r="AF40" s="0" t="n">
        <v>0.85746645</v>
      </c>
      <c r="AG40" s="0" t="n">
        <v>0.98</v>
      </c>
      <c r="AH40" s="0" t="n">
        <v>0.973126</v>
      </c>
      <c r="AI40" s="0" t="n">
        <v>0.973126</v>
      </c>
      <c r="AJ40" s="0" t="n">
        <v>0.85746645</v>
      </c>
      <c r="AK40" s="0" t="n">
        <v>1</v>
      </c>
      <c r="AL40" s="0" t="n">
        <v>0.970485</v>
      </c>
      <c r="AM40" s="0" t="n">
        <v>0.952776</v>
      </c>
      <c r="AN40" s="177" t="n">
        <v>0.9958</v>
      </c>
      <c r="AO40" s="177" t="n">
        <v>0.97</v>
      </c>
      <c r="AP40" s="177" t="n">
        <v>0.99</v>
      </c>
      <c r="AQ40" s="0" t="n">
        <v>0.952776</v>
      </c>
      <c r="AR40" s="0" t="n">
        <v>0.973126</v>
      </c>
      <c r="AS40" s="0" t="n">
        <v>0.977</v>
      </c>
      <c r="AT40" s="177" t="n">
        <v>0.9775</v>
      </c>
      <c r="AU40" s="0" t="n">
        <v>0.973126</v>
      </c>
      <c r="AV40" s="0" t="n">
        <v>0.952776</v>
      </c>
      <c r="AW40" s="0" t="n">
        <v>0.952776</v>
      </c>
      <c r="AX40" s="0" t="n">
        <v>0.952776</v>
      </c>
      <c r="AY40" s="0" t="n">
        <v>0.973126</v>
      </c>
      <c r="AZ40" s="0" t="n">
        <v>0.973126</v>
      </c>
      <c r="BA40" s="0" t="n">
        <v>0.952776</v>
      </c>
      <c r="BB40" s="187" t="n">
        <v>1</v>
      </c>
      <c r="BC40" s="0" t="n">
        <v>1</v>
      </c>
      <c r="BD40" s="0" t="n">
        <v>1</v>
      </c>
      <c r="BE40" s="0" t="n">
        <v>1</v>
      </c>
      <c r="BF40" s="0" t="n">
        <v>0.9999</v>
      </c>
      <c r="BG40" s="0" t="n">
        <v>1</v>
      </c>
      <c r="BH40" s="0" t="n">
        <v>1</v>
      </c>
      <c r="BI40" s="0" t="n">
        <v>0.99</v>
      </c>
      <c r="BJ40" s="0" t="n">
        <v>0.999</v>
      </c>
      <c r="BK40" s="0" t="n">
        <v>0.998</v>
      </c>
      <c r="BL40" s="0" t="n">
        <v>0.9985</v>
      </c>
      <c r="BM40" s="0" t="n">
        <v>0.9985</v>
      </c>
      <c r="BN40" s="0" t="n">
        <v>0.972</v>
      </c>
      <c r="BO40" s="0" t="n">
        <v>0.9999</v>
      </c>
      <c r="BP40" s="0" t="n">
        <v>0.9999</v>
      </c>
      <c r="BQ40" s="0" t="n">
        <v>1</v>
      </c>
      <c r="BR40" s="0" t="n">
        <v>1.0738376</v>
      </c>
      <c r="BS40" s="0" t="n">
        <v>1.096</v>
      </c>
      <c r="BT40" s="0" t="n">
        <v>1.0827</v>
      </c>
      <c r="BU40" s="0" t="n">
        <v>1.0083</v>
      </c>
      <c r="BV40" s="0" t="n">
        <v>1</v>
      </c>
      <c r="BW40" s="0" t="n">
        <v>1.9698</v>
      </c>
      <c r="BX40" s="0" t="n">
        <v>2.248076333</v>
      </c>
      <c r="BY40" s="0" t="n">
        <v>1.04305</v>
      </c>
      <c r="BZ40" s="0" t="n">
        <v>1.2885</v>
      </c>
      <c r="CA40" s="0" t="n">
        <v>2.001</v>
      </c>
      <c r="CB40" s="0" t="n">
        <v>1.482005</v>
      </c>
      <c r="CC40" s="0" t="n">
        <v>1.482005</v>
      </c>
      <c r="CD40" s="0" t="n">
        <v>1.242705</v>
      </c>
      <c r="CE40" s="0" t="n">
        <v>1.057205</v>
      </c>
      <c r="CF40" s="0" t="n">
        <v>1.399805</v>
      </c>
      <c r="CG40" s="188"/>
      <c r="CH40" s="0" t="n">
        <v>1.0934</v>
      </c>
      <c r="CI40" s="188"/>
      <c r="CJ40" s="188"/>
      <c r="CK40" s="188"/>
      <c r="CL40" s="188"/>
      <c r="CM40" s="188"/>
      <c r="CN40" s="188"/>
      <c r="CO40" s="188"/>
      <c r="CP40" s="0" t="n">
        <v>0.935</v>
      </c>
      <c r="CQ40" s="0" t="n">
        <v>0.89</v>
      </c>
      <c r="CR40" s="0" t="n">
        <v>0.88</v>
      </c>
      <c r="CS40" s="0" t="n">
        <v>0.92</v>
      </c>
      <c r="CT40" s="0" t="n">
        <v>0.999</v>
      </c>
      <c r="CU40" s="0" t="n">
        <v>0.51</v>
      </c>
      <c r="CV40" s="0" t="n">
        <v>0.48</v>
      </c>
      <c r="CW40" s="0" t="n">
        <v>0.875</v>
      </c>
      <c r="CX40" s="0" t="n">
        <v>0.51</v>
      </c>
      <c r="CY40" s="0" t="n">
        <v>0.485</v>
      </c>
      <c r="CZ40" s="0" t="n">
        <v>0.59</v>
      </c>
      <c r="DA40" s="0" t="n">
        <v>0.6225</v>
      </c>
      <c r="DB40" s="0" t="n">
        <v>0.69</v>
      </c>
      <c r="DC40" s="0" t="n">
        <v>0.8925</v>
      </c>
      <c r="DD40" s="0" t="n">
        <v>0.715</v>
      </c>
      <c r="DE40" s="0" t="n">
        <v>0.89</v>
      </c>
      <c r="DF40" s="0" t="n">
        <v>0.985</v>
      </c>
      <c r="DG40" s="0" t="n">
        <v>0.97</v>
      </c>
      <c r="DH40" s="0" t="n">
        <v>0.99</v>
      </c>
      <c r="DI40" s="0" t="n">
        <v>0.9775</v>
      </c>
      <c r="DN40" s="188" t="n">
        <v>0.000285</v>
      </c>
      <c r="DO40" s="188" t="n">
        <v>0.0002</v>
      </c>
      <c r="DP40" s="188" t="n">
        <v>0</v>
      </c>
      <c r="DQ40" s="188" t="n">
        <v>0.0001</v>
      </c>
      <c r="DR40" s="188" t="n">
        <v>0</v>
      </c>
      <c r="DS40" s="188" t="n">
        <v>0.0036</v>
      </c>
      <c r="DT40" s="188" t="n">
        <v>0.00047</v>
      </c>
      <c r="DU40" s="188" t="n">
        <v>0.0007</v>
      </c>
      <c r="DV40" s="188" t="n">
        <v>0</v>
      </c>
      <c r="DW40" s="188" t="n">
        <v>0</v>
      </c>
      <c r="DX40" s="188" t="n">
        <v>0.0005</v>
      </c>
      <c r="DY40" s="188" t="n">
        <v>0.0005</v>
      </c>
      <c r="DZ40" s="188" t="n">
        <v>0.0003</v>
      </c>
      <c r="EA40" s="188" t="n">
        <v>0.000275</v>
      </c>
      <c r="EB40" s="188" t="n">
        <v>0.0004</v>
      </c>
      <c r="ED40" s="188" t="n">
        <v>6.5E-005</v>
      </c>
      <c r="EF40" s="0" t="n">
        <v>1</v>
      </c>
    </row>
    <row r="41" customFormat="false" ht="12.75" hidden="false" customHeight="false" outlineLevel="0" collapsed="false">
      <c r="A41" s="149" t="n">
        <v>37622</v>
      </c>
      <c r="B41" s="0" t="n">
        <v>0.98</v>
      </c>
      <c r="C41" s="0" t="n">
        <v>0.942732</v>
      </c>
      <c r="D41" s="0" t="n">
        <v>0.975</v>
      </c>
      <c r="E41" s="0" t="n">
        <f aca="false">E29</f>
        <v>0.994</v>
      </c>
      <c r="F41" s="0" t="n">
        <v>0.977</v>
      </c>
      <c r="G41" s="0" t="n">
        <v>0.9875</v>
      </c>
      <c r="H41" s="0" t="n">
        <v>0.9875</v>
      </c>
      <c r="I41" s="0" t="n">
        <v>0.84021875</v>
      </c>
      <c r="J41" s="0" t="n">
        <v>0.67002</v>
      </c>
      <c r="K41" s="0" t="n">
        <v>0.985</v>
      </c>
      <c r="L41" s="176" t="n">
        <v>0.896915525</v>
      </c>
      <c r="M41" s="176" t="n">
        <v>0.945096937</v>
      </c>
      <c r="N41" s="0" t="n">
        <v>0.85767345</v>
      </c>
      <c r="O41" s="0" t="n">
        <v>0.9305824</v>
      </c>
      <c r="P41" s="0" t="n">
        <v>0.85767345</v>
      </c>
      <c r="Q41" s="177" t="n">
        <v>0.896915525</v>
      </c>
      <c r="R41" s="0" t="n">
        <v>0.896915525</v>
      </c>
      <c r="S41" s="176" t="n">
        <v>0.896915525</v>
      </c>
      <c r="T41" s="0" t="n">
        <v>0.85767345</v>
      </c>
      <c r="U41" s="0" t="n">
        <v>0.85767345</v>
      </c>
      <c r="V41" s="0" t="n">
        <v>0.85767345</v>
      </c>
      <c r="W41" s="0" t="n">
        <v>0.85767345</v>
      </c>
      <c r="X41" s="0" t="n">
        <v>0.9305824</v>
      </c>
      <c r="Y41" s="0" t="n">
        <v>0.9305824</v>
      </c>
      <c r="Z41" s="0" t="n">
        <v>0.9305824</v>
      </c>
      <c r="AA41" s="0" t="n">
        <v>0.9305824</v>
      </c>
      <c r="AB41" s="0" t="n">
        <v>0.85767345</v>
      </c>
      <c r="AC41" s="0" t="n">
        <v>0.85767345</v>
      </c>
      <c r="AD41" s="0" t="n">
        <v>0.9305824</v>
      </c>
      <c r="AE41" s="0" t="n">
        <v>0.9305824</v>
      </c>
      <c r="AF41" s="0" t="n">
        <v>0.85767345</v>
      </c>
      <c r="AG41" s="0" t="n">
        <v>0.98</v>
      </c>
      <c r="AH41" s="0" t="n">
        <v>0.97318385</v>
      </c>
      <c r="AI41" s="0" t="n">
        <v>0.97318385</v>
      </c>
      <c r="AJ41" s="0" t="n">
        <v>0.85767345</v>
      </c>
      <c r="AK41" s="0" t="n">
        <v>1</v>
      </c>
      <c r="AL41" s="0" t="n">
        <v>0.985</v>
      </c>
      <c r="AM41" s="0" t="n">
        <v>0.941949</v>
      </c>
      <c r="AN41" s="177" t="n">
        <v>0.9958</v>
      </c>
      <c r="AO41" s="177" t="n">
        <v>0.96</v>
      </c>
      <c r="AP41" s="177" t="n">
        <v>0.99</v>
      </c>
      <c r="AQ41" s="0" t="n">
        <v>0.941949</v>
      </c>
      <c r="AR41" s="0" t="n">
        <v>0.97318385</v>
      </c>
      <c r="AS41" s="0" t="n">
        <v>0.977</v>
      </c>
      <c r="AT41" s="177" t="n">
        <v>0.9775</v>
      </c>
      <c r="AU41" s="0" t="n">
        <v>0.97318385</v>
      </c>
      <c r="AV41" s="0" t="n">
        <v>0.941949</v>
      </c>
      <c r="AW41" s="0" t="n">
        <v>0.941949</v>
      </c>
      <c r="AX41" s="0" t="n">
        <v>0.941949</v>
      </c>
      <c r="AY41" s="0" t="n">
        <v>0.97318385</v>
      </c>
      <c r="AZ41" s="0" t="n">
        <v>0.97318385</v>
      </c>
      <c r="BA41" s="0" t="n">
        <v>0.941949</v>
      </c>
      <c r="BB41" s="187" t="n">
        <v>1</v>
      </c>
      <c r="BC41" s="0" t="n">
        <v>1</v>
      </c>
      <c r="BD41" s="0" t="n">
        <v>1</v>
      </c>
      <c r="BE41" s="0" t="n">
        <v>1</v>
      </c>
      <c r="BF41" s="0" t="n">
        <v>0.9999</v>
      </c>
      <c r="BG41" s="0" t="n">
        <v>1</v>
      </c>
      <c r="BH41" s="0" t="n">
        <v>1</v>
      </c>
      <c r="BI41" s="0" t="n">
        <v>0.99</v>
      </c>
      <c r="BJ41" s="0" t="n">
        <v>0.999</v>
      </c>
      <c r="BK41" s="0" t="n">
        <v>0.998</v>
      </c>
      <c r="BL41" s="0" t="n">
        <v>0.9985</v>
      </c>
      <c r="BM41" s="0" t="n">
        <v>0.9985</v>
      </c>
      <c r="BN41" s="0" t="n">
        <v>0.972</v>
      </c>
      <c r="BO41" s="0" t="n">
        <v>0.9999</v>
      </c>
      <c r="BP41" s="0" t="n">
        <v>0.9999</v>
      </c>
      <c r="BQ41" s="0" t="n">
        <v>1</v>
      </c>
      <c r="BR41" s="0" t="n">
        <v>1.0741226</v>
      </c>
      <c r="BS41" s="0" t="n">
        <v>1.0962</v>
      </c>
      <c r="BT41" s="0" t="n">
        <v>1.0827</v>
      </c>
      <c r="BU41" s="0" t="n">
        <v>1.0084</v>
      </c>
      <c r="BV41" s="0" t="n">
        <v>1</v>
      </c>
      <c r="BW41" s="0" t="n">
        <v>1.9734</v>
      </c>
      <c r="BX41" s="0" t="n">
        <v>2.248546333</v>
      </c>
      <c r="BY41" s="0" t="n">
        <v>1.04375</v>
      </c>
      <c r="BZ41" s="0" t="n">
        <v>1.2885</v>
      </c>
      <c r="CA41" s="0" t="n">
        <v>2.001</v>
      </c>
      <c r="CB41" s="0" t="n">
        <v>1.482505</v>
      </c>
      <c r="CC41" s="0" t="n">
        <v>1.482505</v>
      </c>
      <c r="CD41" s="0" t="n">
        <v>1.243005</v>
      </c>
      <c r="CE41" s="0" t="n">
        <v>1.05748</v>
      </c>
      <c r="CF41" s="0" t="n">
        <v>1.400205</v>
      </c>
      <c r="CG41" s="188"/>
      <c r="CH41" s="0" t="n">
        <v>1.093465</v>
      </c>
      <c r="CI41" s="188"/>
      <c r="CJ41" s="188"/>
      <c r="CK41" s="188"/>
      <c r="CL41" s="188"/>
      <c r="CM41" s="188"/>
      <c r="CN41" s="188"/>
      <c r="CO41" s="188"/>
      <c r="CP41" s="0" t="n">
        <v>0.895</v>
      </c>
      <c r="CQ41" s="0" t="n">
        <v>0.86</v>
      </c>
      <c r="CR41" s="0" t="n">
        <v>0.87</v>
      </c>
      <c r="CS41" s="0" t="n">
        <v>0.92</v>
      </c>
      <c r="CT41" s="0" t="n">
        <v>0.999</v>
      </c>
      <c r="CU41" s="0" t="n">
        <v>0.58</v>
      </c>
      <c r="CV41" s="0" t="n">
        <v>0.45</v>
      </c>
      <c r="CW41" s="0" t="n">
        <v>0.805</v>
      </c>
      <c r="CX41" s="0" t="n">
        <v>0.52</v>
      </c>
      <c r="CY41" s="0" t="n">
        <v>0.505</v>
      </c>
      <c r="CZ41" s="0" t="n">
        <v>0.605</v>
      </c>
      <c r="DA41" s="0" t="n">
        <v>0.6375</v>
      </c>
      <c r="DB41" s="0" t="n">
        <v>0.69</v>
      </c>
      <c r="DC41" s="0" t="n">
        <v>0.88</v>
      </c>
      <c r="DD41" s="0" t="n">
        <v>0.64</v>
      </c>
      <c r="DE41" s="0" t="n">
        <v>0.89</v>
      </c>
      <c r="DF41" s="0" t="n">
        <v>0.985</v>
      </c>
      <c r="DG41" s="0" t="n">
        <v>0.96</v>
      </c>
      <c r="DH41" s="0" t="n">
        <v>0.99</v>
      </c>
      <c r="DI41" s="0" t="n">
        <v>0.9775</v>
      </c>
      <c r="DN41" s="188" t="n">
        <v>0.000285</v>
      </c>
      <c r="DO41" s="188" t="n">
        <v>0.0002</v>
      </c>
      <c r="DP41" s="188" t="n">
        <v>0</v>
      </c>
      <c r="DQ41" s="188" t="n">
        <v>0.0001</v>
      </c>
      <c r="DR41" s="188" t="n">
        <v>0</v>
      </c>
      <c r="DS41" s="188" t="n">
        <v>0.0036</v>
      </c>
      <c r="DT41" s="188" t="n">
        <v>0.00047</v>
      </c>
      <c r="DU41" s="188" t="n">
        <v>0.0007</v>
      </c>
      <c r="DV41" s="188" t="n">
        <v>0</v>
      </c>
      <c r="DW41" s="188" t="n">
        <v>0</v>
      </c>
      <c r="DX41" s="188" t="n">
        <v>0.0005</v>
      </c>
      <c r="DY41" s="188" t="n">
        <v>0.0005</v>
      </c>
      <c r="DZ41" s="188" t="n">
        <v>0.0003</v>
      </c>
      <c r="EA41" s="188" t="n">
        <v>0.000275</v>
      </c>
      <c r="EB41" s="188" t="n">
        <v>0.0004</v>
      </c>
      <c r="ED41" s="188" t="n">
        <v>6.5E-005</v>
      </c>
      <c r="EF41" s="0" t="n">
        <v>1</v>
      </c>
    </row>
    <row r="42" customFormat="false" ht="12.75" hidden="false" customHeight="false" outlineLevel="0" collapsed="false">
      <c r="A42" s="149" t="n">
        <v>37653</v>
      </c>
      <c r="B42" s="0" t="n">
        <v>0.98</v>
      </c>
      <c r="C42" s="0" t="n">
        <v>0.942904</v>
      </c>
      <c r="D42" s="0" t="n">
        <v>0.975</v>
      </c>
      <c r="E42" s="0" t="n">
        <f aca="false">E30</f>
        <v>0.994</v>
      </c>
      <c r="F42" s="0" t="n">
        <v>0.977</v>
      </c>
      <c r="G42" s="0" t="n">
        <v>0.9875</v>
      </c>
      <c r="H42" s="0" t="n">
        <v>0.9875</v>
      </c>
      <c r="I42" s="0" t="n">
        <v>0.88256025</v>
      </c>
      <c r="J42" s="0" t="n">
        <v>0.8053125</v>
      </c>
      <c r="K42" s="0" t="n">
        <v>0.985</v>
      </c>
      <c r="L42" s="176" t="n">
        <v>0.941708175</v>
      </c>
      <c r="M42" s="176" t="n">
        <v>0.9875</v>
      </c>
      <c r="N42" s="0" t="n">
        <v>0.88274655</v>
      </c>
      <c r="O42" s="0" t="n">
        <v>0.928180013</v>
      </c>
      <c r="P42" s="0" t="n">
        <v>0.88274655</v>
      </c>
      <c r="Q42" s="177" t="n">
        <v>0.941708175</v>
      </c>
      <c r="R42" s="0" t="n">
        <v>0.941708175</v>
      </c>
      <c r="S42" s="176" t="n">
        <v>0.941708175</v>
      </c>
      <c r="T42" s="0" t="n">
        <v>0.88274655</v>
      </c>
      <c r="U42" s="0" t="n">
        <v>0.88274655</v>
      </c>
      <c r="V42" s="0" t="n">
        <v>0.88274655</v>
      </c>
      <c r="W42" s="0" t="n">
        <v>0.88274655</v>
      </c>
      <c r="X42" s="0" t="n">
        <v>0.928180013</v>
      </c>
      <c r="Y42" s="0" t="n">
        <v>0.928180013</v>
      </c>
      <c r="Z42" s="0" t="n">
        <v>0.928180013</v>
      </c>
      <c r="AA42" s="0" t="n">
        <v>0.928180013</v>
      </c>
      <c r="AB42" s="0" t="n">
        <v>0.88274655</v>
      </c>
      <c r="AC42" s="0" t="n">
        <v>0.88274655</v>
      </c>
      <c r="AD42" s="0" t="n">
        <v>0.928180013</v>
      </c>
      <c r="AE42" s="0" t="n">
        <v>0.928180013</v>
      </c>
      <c r="AF42" s="0" t="n">
        <v>0.88274655</v>
      </c>
      <c r="AG42" s="0" t="n">
        <v>0.98</v>
      </c>
      <c r="AH42" s="0" t="n">
        <v>0.9732417</v>
      </c>
      <c r="AI42" s="0" t="n">
        <v>0.9732417</v>
      </c>
      <c r="AJ42" s="0" t="n">
        <v>0.88274655</v>
      </c>
      <c r="AK42" s="0" t="n">
        <v>1</v>
      </c>
      <c r="AL42" s="0" t="n">
        <v>0.985</v>
      </c>
      <c r="AM42" s="0" t="n">
        <v>0.963603</v>
      </c>
      <c r="AN42" s="177" t="n">
        <v>0.9958</v>
      </c>
      <c r="AO42" s="177" t="n">
        <v>0.97</v>
      </c>
      <c r="AP42" s="177" t="n">
        <v>0.99</v>
      </c>
      <c r="AQ42" s="0" t="n">
        <v>0.963603</v>
      </c>
      <c r="AR42" s="0" t="n">
        <v>0.9732417</v>
      </c>
      <c r="AS42" s="0" t="n">
        <v>0.977</v>
      </c>
      <c r="AT42" s="177" t="n">
        <v>0.9775</v>
      </c>
      <c r="AU42" s="0" t="n">
        <v>0.9732417</v>
      </c>
      <c r="AV42" s="0" t="n">
        <v>0.963603</v>
      </c>
      <c r="AW42" s="0" t="n">
        <v>0.963603</v>
      </c>
      <c r="AX42" s="0" t="n">
        <v>0.963603</v>
      </c>
      <c r="AY42" s="0" t="n">
        <v>0.9732417</v>
      </c>
      <c r="AZ42" s="0" t="n">
        <v>0.9732417</v>
      </c>
      <c r="BA42" s="0" t="n">
        <v>0.963603</v>
      </c>
      <c r="BB42" s="187" t="n">
        <v>1</v>
      </c>
      <c r="BC42" s="0" t="n">
        <v>1</v>
      </c>
      <c r="BD42" s="0" t="n">
        <v>1</v>
      </c>
      <c r="BE42" s="0" t="n">
        <v>1</v>
      </c>
      <c r="BF42" s="0" t="n">
        <v>0.9999</v>
      </c>
      <c r="BG42" s="0" t="n">
        <v>1</v>
      </c>
      <c r="BH42" s="0" t="n">
        <v>1</v>
      </c>
      <c r="BI42" s="0" t="n">
        <v>0.99</v>
      </c>
      <c r="BJ42" s="0" t="n">
        <v>0.999</v>
      </c>
      <c r="BK42" s="0" t="n">
        <v>0.998</v>
      </c>
      <c r="BL42" s="0" t="n">
        <v>0.9985</v>
      </c>
      <c r="BM42" s="0" t="n">
        <v>0.9985</v>
      </c>
      <c r="BN42" s="0" t="n">
        <v>0.972</v>
      </c>
      <c r="BO42" s="0" t="n">
        <v>0.9999</v>
      </c>
      <c r="BP42" s="0" t="n">
        <v>0.9999</v>
      </c>
      <c r="BQ42" s="0" t="n">
        <v>1</v>
      </c>
      <c r="BR42" s="0" t="n">
        <v>1.0744076</v>
      </c>
      <c r="BS42" s="0" t="n">
        <v>1.0964</v>
      </c>
      <c r="BT42" s="0" t="n">
        <v>1.0827</v>
      </c>
      <c r="BU42" s="0" t="n">
        <v>1.0085</v>
      </c>
      <c r="BV42" s="0" t="n">
        <v>1</v>
      </c>
      <c r="BW42" s="0" t="n">
        <v>1.977</v>
      </c>
      <c r="BX42" s="0" t="n">
        <v>2.249016333</v>
      </c>
      <c r="BY42" s="0" t="n">
        <v>1.04445</v>
      </c>
      <c r="BZ42" s="0" t="n">
        <v>1.2885</v>
      </c>
      <c r="CA42" s="0" t="n">
        <v>2.001</v>
      </c>
      <c r="CB42" s="0" t="n">
        <v>1.483005</v>
      </c>
      <c r="CC42" s="0" t="n">
        <v>1.483005</v>
      </c>
      <c r="CD42" s="0" t="n">
        <v>1.243305</v>
      </c>
      <c r="CE42" s="0" t="n">
        <v>1.057755</v>
      </c>
      <c r="CF42" s="0" t="n">
        <v>1.400605</v>
      </c>
      <c r="CG42" s="188"/>
      <c r="CH42" s="0" t="n">
        <v>1.09353</v>
      </c>
      <c r="CI42" s="188"/>
      <c r="CJ42" s="188"/>
      <c r="CK42" s="188"/>
      <c r="CL42" s="188"/>
      <c r="CM42" s="188"/>
      <c r="CN42" s="188"/>
      <c r="CO42" s="188"/>
      <c r="CP42" s="0" t="n">
        <v>0.865</v>
      </c>
      <c r="CQ42" s="0" t="n">
        <v>0.86</v>
      </c>
      <c r="CR42" s="0" t="n">
        <v>0.89</v>
      </c>
      <c r="CS42" s="0" t="n">
        <v>0.935</v>
      </c>
      <c r="CT42" s="0" t="n">
        <v>0.99895</v>
      </c>
      <c r="CU42" s="0" t="n">
        <v>0.58</v>
      </c>
      <c r="CV42" s="0" t="n">
        <v>0.45</v>
      </c>
      <c r="CW42" s="0" t="n">
        <v>0.845</v>
      </c>
      <c r="CX42" s="0" t="n">
        <v>0.625</v>
      </c>
      <c r="CY42" s="0" t="n">
        <v>0.505</v>
      </c>
      <c r="CZ42" s="0" t="n">
        <v>0.635</v>
      </c>
      <c r="DA42" s="0" t="n">
        <v>0.6675</v>
      </c>
      <c r="DB42" s="0" t="n">
        <v>0.71</v>
      </c>
      <c r="DC42" s="0" t="n">
        <v>0.8775</v>
      </c>
      <c r="DD42" s="0" t="n">
        <v>0.67</v>
      </c>
      <c r="DE42" s="0" t="n">
        <v>0.89</v>
      </c>
      <c r="DF42" s="0" t="n">
        <v>0.985</v>
      </c>
      <c r="DG42" s="0" t="n">
        <v>0.97</v>
      </c>
      <c r="DH42" s="0" t="n">
        <v>0.99</v>
      </c>
      <c r="DI42" s="0" t="n">
        <v>0.9775</v>
      </c>
      <c r="DN42" s="188" t="n">
        <v>0.000285</v>
      </c>
      <c r="DO42" s="188" t="n">
        <v>0.0002</v>
      </c>
      <c r="DP42" s="188" t="n">
        <v>0</v>
      </c>
      <c r="DQ42" s="188" t="n">
        <v>0.0001</v>
      </c>
      <c r="DR42" s="188" t="n">
        <v>0</v>
      </c>
      <c r="DS42" s="188" t="n">
        <v>0.0036</v>
      </c>
      <c r="DT42" s="188" t="n">
        <v>0.00047</v>
      </c>
      <c r="DU42" s="188" t="n">
        <v>0.0007</v>
      </c>
      <c r="DV42" s="188" t="n">
        <v>0</v>
      </c>
      <c r="DW42" s="188" t="n">
        <v>0</v>
      </c>
      <c r="DX42" s="188" t="n">
        <v>0.0005</v>
      </c>
      <c r="DY42" s="188" t="n">
        <v>0.0005</v>
      </c>
      <c r="DZ42" s="188" t="n">
        <v>0.0003</v>
      </c>
      <c r="EA42" s="188" t="n">
        <v>0.000275</v>
      </c>
      <c r="EB42" s="188" t="n">
        <v>0.0004</v>
      </c>
      <c r="ED42" s="188" t="n">
        <v>6.5E-005</v>
      </c>
      <c r="EF42" s="0" t="n">
        <v>1</v>
      </c>
    </row>
    <row r="43" customFormat="false" ht="12.75" hidden="false" customHeight="false" outlineLevel="0" collapsed="false">
      <c r="A43" s="149" t="n">
        <v>37681</v>
      </c>
      <c r="B43" s="0" t="n">
        <v>0.98</v>
      </c>
      <c r="C43" s="0" t="n">
        <v>0.975974</v>
      </c>
      <c r="D43" s="0" t="n">
        <v>0.975</v>
      </c>
      <c r="E43" s="0" t="n">
        <f aca="false">E31</f>
        <v>0.994</v>
      </c>
      <c r="F43" s="0" t="n">
        <v>0.977</v>
      </c>
      <c r="G43" s="0" t="n">
        <v>0.9875</v>
      </c>
      <c r="H43" s="0" t="n">
        <v>0.9875</v>
      </c>
      <c r="I43" s="0" t="n">
        <v>0.91450625</v>
      </c>
      <c r="J43" s="0" t="n">
        <v>0.985</v>
      </c>
      <c r="K43" s="0" t="n">
        <v>0.985</v>
      </c>
      <c r="L43" s="176" t="n">
        <v>0.9875</v>
      </c>
      <c r="M43" s="176" t="n">
        <v>0.9875</v>
      </c>
      <c r="N43" s="0" t="n">
        <v>0.98</v>
      </c>
      <c r="O43" s="0" t="n">
        <v>0.952227</v>
      </c>
      <c r="P43" s="0" t="n">
        <v>0.98</v>
      </c>
      <c r="Q43" s="177" t="n">
        <v>0.9875</v>
      </c>
      <c r="R43" s="0" t="n">
        <v>0.9875</v>
      </c>
      <c r="S43" s="176" t="n">
        <v>0.9875</v>
      </c>
      <c r="T43" s="0" t="n">
        <v>0.98</v>
      </c>
      <c r="U43" s="0" t="n">
        <v>0.98</v>
      </c>
      <c r="V43" s="0" t="n">
        <v>0.98</v>
      </c>
      <c r="W43" s="0" t="n">
        <v>0.98</v>
      </c>
      <c r="X43" s="0" t="n">
        <v>0.952227</v>
      </c>
      <c r="Y43" s="0" t="n">
        <v>0.952227</v>
      </c>
      <c r="Z43" s="0" t="n">
        <v>0.952227</v>
      </c>
      <c r="AA43" s="0" t="n">
        <v>0.952227</v>
      </c>
      <c r="AB43" s="0" t="n">
        <v>0.98</v>
      </c>
      <c r="AC43" s="0" t="n">
        <v>0.98</v>
      </c>
      <c r="AD43" s="0" t="n">
        <v>0.952227</v>
      </c>
      <c r="AE43" s="0" t="n">
        <v>0.952227</v>
      </c>
      <c r="AF43" s="0" t="n">
        <v>0.98</v>
      </c>
      <c r="AG43" s="0" t="n">
        <v>0.99</v>
      </c>
      <c r="AH43" s="0" t="n">
        <v>0.97329955</v>
      </c>
      <c r="AI43" s="0" t="n">
        <v>0.97329955</v>
      </c>
      <c r="AJ43" s="0" t="n">
        <v>0.98</v>
      </c>
      <c r="AK43" s="0" t="n">
        <v>1</v>
      </c>
      <c r="AL43" s="0" t="n">
        <v>0.985</v>
      </c>
      <c r="AM43" s="0" t="n">
        <v>0.985</v>
      </c>
      <c r="AN43" s="177" t="n">
        <v>0.9958</v>
      </c>
      <c r="AO43" s="177" t="n">
        <v>0.97</v>
      </c>
      <c r="AP43" s="177" t="n">
        <v>0.99</v>
      </c>
      <c r="AQ43" s="0" t="n">
        <v>0.985</v>
      </c>
      <c r="AR43" s="0" t="n">
        <v>0.97329955</v>
      </c>
      <c r="AS43" s="0" t="n">
        <v>0.977</v>
      </c>
      <c r="AT43" s="177" t="n">
        <v>0.9775</v>
      </c>
      <c r="AU43" s="0" t="n">
        <v>0.97329955</v>
      </c>
      <c r="AV43" s="0" t="n">
        <v>0.985</v>
      </c>
      <c r="AW43" s="0" t="n">
        <v>0.985</v>
      </c>
      <c r="AX43" s="0" t="n">
        <v>0.985</v>
      </c>
      <c r="AY43" s="0" t="n">
        <v>0.97329955</v>
      </c>
      <c r="AZ43" s="0" t="n">
        <v>0.97329955</v>
      </c>
      <c r="BA43" s="0" t="n">
        <v>0.985</v>
      </c>
      <c r="BB43" s="187" t="n">
        <v>1</v>
      </c>
      <c r="BC43" s="0" t="n">
        <v>1</v>
      </c>
      <c r="BD43" s="0" t="n">
        <v>1</v>
      </c>
      <c r="BE43" s="0" t="n">
        <v>1</v>
      </c>
      <c r="BF43" s="0" t="n">
        <v>0.9999</v>
      </c>
      <c r="BG43" s="0" t="n">
        <v>1</v>
      </c>
      <c r="BH43" s="0" t="n">
        <v>1</v>
      </c>
      <c r="BI43" s="0" t="n">
        <v>0.99</v>
      </c>
      <c r="BJ43" s="0" t="n">
        <v>0.999</v>
      </c>
      <c r="BK43" s="0" t="n">
        <v>0.998</v>
      </c>
      <c r="BL43" s="0" t="n">
        <v>0.9985</v>
      </c>
      <c r="BM43" s="0" t="n">
        <v>0.9985</v>
      </c>
      <c r="BN43" s="0" t="n">
        <v>0.972</v>
      </c>
      <c r="BO43" s="0" t="n">
        <v>0.9999</v>
      </c>
      <c r="BP43" s="0" t="n">
        <v>0.9999</v>
      </c>
      <c r="BQ43" s="0" t="n">
        <v>1</v>
      </c>
      <c r="BR43" s="0" t="n">
        <v>1.0746926</v>
      </c>
      <c r="BS43" s="0" t="n">
        <v>1.0966</v>
      </c>
      <c r="BT43" s="0" t="n">
        <v>1.0827</v>
      </c>
      <c r="BU43" s="0" t="n">
        <v>1.0086</v>
      </c>
      <c r="BV43" s="0" t="n">
        <v>1</v>
      </c>
      <c r="BW43" s="0" t="n">
        <v>1.9806</v>
      </c>
      <c r="BX43" s="0" t="n">
        <v>2.249486333</v>
      </c>
      <c r="BY43" s="0" t="n">
        <v>1.04515</v>
      </c>
      <c r="BZ43" s="0" t="n">
        <v>1.2885</v>
      </c>
      <c r="CA43" s="0" t="n">
        <v>2.001</v>
      </c>
      <c r="CB43" s="0" t="n">
        <v>1.483505</v>
      </c>
      <c r="CC43" s="0" t="n">
        <v>1.483505</v>
      </c>
      <c r="CD43" s="0" t="n">
        <v>1.243605</v>
      </c>
      <c r="CE43" s="0" t="n">
        <v>1.05803</v>
      </c>
      <c r="CF43" s="0" t="n">
        <v>1.401005</v>
      </c>
      <c r="CG43" s="188"/>
      <c r="CH43" s="0" t="n">
        <v>1.093595</v>
      </c>
      <c r="CI43" s="188"/>
      <c r="CJ43" s="188"/>
      <c r="CK43" s="188"/>
      <c r="CL43" s="188"/>
      <c r="CM43" s="188"/>
      <c r="CN43" s="188"/>
      <c r="CO43" s="188"/>
      <c r="CP43" s="0" t="n">
        <v>0.865</v>
      </c>
      <c r="CQ43" s="0" t="n">
        <v>0.89</v>
      </c>
      <c r="CR43" s="0" t="n">
        <v>0.91</v>
      </c>
      <c r="CS43" s="0" t="n">
        <v>0.935</v>
      </c>
      <c r="CT43" s="0" t="n">
        <v>0.99895</v>
      </c>
      <c r="CU43" s="0" t="n">
        <v>0.54</v>
      </c>
      <c r="CV43" s="0" t="n">
        <v>0.45</v>
      </c>
      <c r="CW43" s="0" t="n">
        <v>0.875</v>
      </c>
      <c r="CX43" s="0" t="n">
        <v>0.795</v>
      </c>
      <c r="CY43" s="0" t="n">
        <v>0.515</v>
      </c>
      <c r="CZ43" s="0" t="n">
        <v>0.785</v>
      </c>
      <c r="DA43" s="0" t="n">
        <v>0.8175</v>
      </c>
      <c r="DB43" s="0" t="n">
        <v>0.8</v>
      </c>
      <c r="DC43" s="0" t="n">
        <v>0.9</v>
      </c>
      <c r="DD43" s="0" t="n">
        <v>0.83</v>
      </c>
      <c r="DE43" s="0" t="n">
        <v>0.89</v>
      </c>
      <c r="DF43" s="0" t="n">
        <v>0.985</v>
      </c>
      <c r="DG43" s="0" t="n">
        <v>0.97</v>
      </c>
      <c r="DH43" s="0" t="n">
        <v>0.99</v>
      </c>
      <c r="DI43" s="0" t="n">
        <v>0.9775</v>
      </c>
      <c r="DN43" s="188" t="n">
        <v>0.000285</v>
      </c>
      <c r="DO43" s="188" t="n">
        <v>0.0002</v>
      </c>
      <c r="DP43" s="188" t="n">
        <v>0</v>
      </c>
      <c r="DQ43" s="188" t="n">
        <v>0.0001</v>
      </c>
      <c r="DR43" s="188" t="n">
        <v>0</v>
      </c>
      <c r="DS43" s="188" t="n">
        <v>0.0036</v>
      </c>
      <c r="DT43" s="188" t="n">
        <v>0.00047</v>
      </c>
      <c r="DU43" s="188" t="n">
        <v>0.0007</v>
      </c>
      <c r="DV43" s="188" t="n">
        <v>0</v>
      </c>
      <c r="DW43" s="188" t="n">
        <v>0</v>
      </c>
      <c r="DX43" s="188" t="n">
        <v>0.0005</v>
      </c>
      <c r="DY43" s="188" t="n">
        <v>0.0005</v>
      </c>
      <c r="DZ43" s="188" t="n">
        <v>0.0003</v>
      </c>
      <c r="EA43" s="188" t="n">
        <v>0.000275</v>
      </c>
      <c r="EB43" s="188" t="n">
        <v>0.0004</v>
      </c>
      <c r="ED43" s="188" t="n">
        <v>6.5E-005</v>
      </c>
      <c r="EF43" s="0" t="n">
        <v>1</v>
      </c>
    </row>
    <row r="44" customFormat="false" ht="12.75" hidden="false" customHeight="false" outlineLevel="0" collapsed="false">
      <c r="A44" s="149" t="n">
        <v>37712</v>
      </c>
      <c r="B44" s="0" t="n">
        <v>0.98</v>
      </c>
      <c r="C44" s="0" t="n">
        <v>0.98712</v>
      </c>
      <c r="D44" s="0" t="n">
        <v>0.975</v>
      </c>
      <c r="E44" s="0" t="n">
        <f aca="false">E32</f>
        <v>0.978</v>
      </c>
      <c r="F44" s="0" t="n">
        <v>0.977</v>
      </c>
      <c r="G44" s="0" t="n">
        <v>0.952416</v>
      </c>
      <c r="H44" s="0" t="n">
        <v>0.94498166</v>
      </c>
      <c r="I44" s="0" t="n">
        <v>0.97786975</v>
      </c>
      <c r="J44" s="0" t="n">
        <v>0.985</v>
      </c>
      <c r="K44" s="0" t="n">
        <v>0.985</v>
      </c>
      <c r="L44" s="176" t="n">
        <v>0.9875</v>
      </c>
      <c r="M44" s="176" t="n">
        <v>0.9875</v>
      </c>
      <c r="N44" s="0" t="n">
        <v>0.98</v>
      </c>
      <c r="O44" s="0" t="n">
        <v>0.955649415</v>
      </c>
      <c r="P44" s="0" t="n">
        <v>0.98</v>
      </c>
      <c r="Q44" s="177" t="n">
        <v>0.9875</v>
      </c>
      <c r="R44" s="0" t="n">
        <v>0.9875</v>
      </c>
      <c r="S44" s="176" t="n">
        <v>0.9875</v>
      </c>
      <c r="T44" s="0" t="n">
        <v>0.98</v>
      </c>
      <c r="U44" s="0" t="n">
        <v>0.98</v>
      </c>
      <c r="V44" s="0" t="n">
        <v>0.98</v>
      </c>
      <c r="W44" s="0" t="n">
        <v>0.98</v>
      </c>
      <c r="X44" s="0" t="n">
        <v>0.955649415</v>
      </c>
      <c r="Y44" s="0" t="n">
        <v>0.955649415</v>
      </c>
      <c r="Z44" s="0" t="n">
        <v>0.955649415</v>
      </c>
      <c r="AA44" s="0" t="n">
        <v>0.955649415</v>
      </c>
      <c r="AB44" s="0" t="n">
        <v>0.98</v>
      </c>
      <c r="AC44" s="0" t="n">
        <v>0.98</v>
      </c>
      <c r="AD44" s="0" t="n">
        <v>0.955649415</v>
      </c>
      <c r="AE44" s="0" t="n">
        <v>0.955649415</v>
      </c>
      <c r="AF44" s="0" t="n">
        <v>0.98</v>
      </c>
      <c r="AG44" s="0" t="n">
        <v>0.99</v>
      </c>
      <c r="AH44" s="0" t="n">
        <v>0.9733574</v>
      </c>
      <c r="AI44" s="0" t="n">
        <v>0.9733574</v>
      </c>
      <c r="AJ44" s="0" t="n">
        <v>0.98</v>
      </c>
      <c r="AK44" s="0" t="n">
        <v>1</v>
      </c>
      <c r="AL44" s="0" t="n">
        <v>0.985</v>
      </c>
      <c r="AM44" s="0" t="n">
        <v>0.985</v>
      </c>
      <c r="AN44" s="177" t="n">
        <v>0.9958</v>
      </c>
      <c r="AO44" s="177" t="n">
        <v>0.99</v>
      </c>
      <c r="AP44" s="177" t="n">
        <v>0.99</v>
      </c>
      <c r="AQ44" s="0" t="n">
        <v>0.985</v>
      </c>
      <c r="AR44" s="0" t="n">
        <v>0.9733574</v>
      </c>
      <c r="AS44" s="0" t="n">
        <v>0.977</v>
      </c>
      <c r="AT44" s="177" t="n">
        <v>0.9775</v>
      </c>
      <c r="AU44" s="0" t="n">
        <v>0.9733574</v>
      </c>
      <c r="AV44" s="0" t="n">
        <v>0.985</v>
      </c>
      <c r="AW44" s="0" t="n">
        <v>0.985</v>
      </c>
      <c r="AX44" s="0" t="n">
        <v>0.985</v>
      </c>
      <c r="AY44" s="0" t="n">
        <v>0.9733574</v>
      </c>
      <c r="AZ44" s="0" t="n">
        <v>0.9733574</v>
      </c>
      <c r="BA44" s="0" t="n">
        <v>0.985</v>
      </c>
      <c r="BB44" s="187" t="n">
        <v>1</v>
      </c>
      <c r="BC44" s="0" t="n">
        <v>1</v>
      </c>
      <c r="BD44" s="0" t="n">
        <v>1</v>
      </c>
      <c r="BE44" s="0" t="n">
        <v>1</v>
      </c>
      <c r="BF44" s="0" t="n">
        <v>0.9999</v>
      </c>
      <c r="BG44" s="0" t="n">
        <v>1</v>
      </c>
      <c r="BH44" s="0" t="n">
        <v>1</v>
      </c>
      <c r="BI44" s="0" t="n">
        <v>0.99</v>
      </c>
      <c r="BJ44" s="0" t="n">
        <v>0.999</v>
      </c>
      <c r="BK44" s="0" t="n">
        <v>0.998</v>
      </c>
      <c r="BL44" s="0" t="n">
        <v>0.9985</v>
      </c>
      <c r="BM44" s="0" t="n">
        <v>0.9985</v>
      </c>
      <c r="BN44" s="0" t="n">
        <v>0.972</v>
      </c>
      <c r="BO44" s="0" t="n">
        <v>0.9999</v>
      </c>
      <c r="BP44" s="0" t="n">
        <v>0.9999</v>
      </c>
      <c r="BQ44" s="0" t="n">
        <v>1</v>
      </c>
      <c r="BR44" s="0" t="n">
        <v>1.0749776</v>
      </c>
      <c r="BS44" s="0" t="n">
        <v>1.0968</v>
      </c>
      <c r="BT44" s="0" t="n">
        <v>1.0827</v>
      </c>
      <c r="BU44" s="0" t="n">
        <v>1.0087</v>
      </c>
      <c r="BV44" s="0" t="n">
        <v>1</v>
      </c>
      <c r="BW44" s="0" t="n">
        <v>1.9842</v>
      </c>
      <c r="BX44" s="0" t="n">
        <v>2.249956333</v>
      </c>
      <c r="BY44" s="0" t="n">
        <v>1.04585</v>
      </c>
      <c r="BZ44" s="0" t="n">
        <v>1.2885</v>
      </c>
      <c r="CA44" s="0" t="n">
        <v>2.001</v>
      </c>
      <c r="CB44" s="0" t="n">
        <v>1.484005</v>
      </c>
      <c r="CC44" s="0" t="n">
        <v>1.484005</v>
      </c>
      <c r="CD44" s="0" t="n">
        <v>1.243905</v>
      </c>
      <c r="CE44" s="0" t="n">
        <v>1.058305</v>
      </c>
      <c r="CF44" s="0" t="n">
        <v>1.401405</v>
      </c>
      <c r="CG44" s="188"/>
      <c r="CH44" s="0" t="n">
        <v>1.09366</v>
      </c>
      <c r="CI44" s="188"/>
      <c r="CJ44" s="188"/>
      <c r="CK44" s="188"/>
      <c r="CL44" s="188"/>
      <c r="CM44" s="188"/>
      <c r="CN44" s="188"/>
      <c r="CO44" s="188"/>
      <c r="CP44" s="0" t="n">
        <v>0.895</v>
      </c>
      <c r="CQ44" s="0" t="n">
        <v>0.9</v>
      </c>
      <c r="CR44" s="0" t="n">
        <v>0.91</v>
      </c>
      <c r="CS44" s="0" t="n">
        <v>0.96</v>
      </c>
      <c r="CT44" s="0" t="n">
        <v>0.99895</v>
      </c>
      <c r="CU44" s="0" t="n">
        <v>0.48</v>
      </c>
      <c r="CV44" s="0" t="n">
        <v>0.42</v>
      </c>
      <c r="CW44" s="0" t="n">
        <v>0.935</v>
      </c>
      <c r="CX44" s="0" t="n">
        <v>0.785</v>
      </c>
      <c r="CY44" s="0" t="n">
        <v>0.575</v>
      </c>
      <c r="CZ44" s="0" t="n">
        <v>0.895</v>
      </c>
      <c r="DA44" s="0" t="n">
        <v>0.9275</v>
      </c>
      <c r="DB44" s="0" t="n">
        <v>0.85</v>
      </c>
      <c r="DC44" s="0" t="n">
        <v>0.903</v>
      </c>
      <c r="DD44" s="0" t="n">
        <v>0.92</v>
      </c>
      <c r="DE44" s="0" t="n">
        <v>0.89</v>
      </c>
      <c r="DF44" s="0" t="n">
        <v>0.985</v>
      </c>
      <c r="DG44" s="0" t="n">
        <v>0.99</v>
      </c>
      <c r="DH44" s="0" t="n">
        <v>0.99</v>
      </c>
      <c r="DI44" s="0" t="n">
        <v>0.9775</v>
      </c>
      <c r="DN44" s="188" t="n">
        <v>0.000285</v>
      </c>
      <c r="DO44" s="188" t="n">
        <v>0.0002</v>
      </c>
      <c r="DP44" s="188" t="n">
        <v>0</v>
      </c>
      <c r="DQ44" s="188" t="n">
        <v>0.0001</v>
      </c>
      <c r="DR44" s="188" t="n">
        <v>0</v>
      </c>
      <c r="DS44" s="188" t="n">
        <v>0.0036</v>
      </c>
      <c r="DT44" s="188" t="n">
        <v>0.00047</v>
      </c>
      <c r="DU44" s="188" t="n">
        <v>0.0007</v>
      </c>
      <c r="DV44" s="188" t="n">
        <v>0</v>
      </c>
      <c r="DW44" s="188" t="n">
        <v>0</v>
      </c>
      <c r="DX44" s="188" t="n">
        <v>0.0005</v>
      </c>
      <c r="DY44" s="188" t="n">
        <v>0.0005</v>
      </c>
      <c r="DZ44" s="188" t="n">
        <v>0.0003</v>
      </c>
      <c r="EA44" s="188" t="n">
        <v>0.000275</v>
      </c>
      <c r="EB44" s="188" t="n">
        <v>0.0004</v>
      </c>
      <c r="ED44" s="188" t="n">
        <v>6.5E-005</v>
      </c>
      <c r="EF44" s="0" t="n">
        <v>1</v>
      </c>
    </row>
    <row r="45" customFormat="false" ht="12.75" hidden="false" customHeight="false" outlineLevel="0" collapsed="false">
      <c r="A45" s="149" t="n">
        <v>37742</v>
      </c>
      <c r="B45" s="0" t="n">
        <v>0.98</v>
      </c>
      <c r="C45" s="0" t="n">
        <v>0.988</v>
      </c>
      <c r="D45" s="0" t="n">
        <v>0.975</v>
      </c>
      <c r="E45" s="0" t="n">
        <f aca="false">E33</f>
        <v>0.978</v>
      </c>
      <c r="F45" s="0" t="n">
        <v>0.977</v>
      </c>
      <c r="G45" s="0" t="n">
        <v>0.675852</v>
      </c>
      <c r="H45" s="0" t="n">
        <v>0.94517906</v>
      </c>
      <c r="I45" s="0" t="n">
        <v>0.97852425</v>
      </c>
      <c r="J45" s="0" t="n">
        <v>0.8826225</v>
      </c>
      <c r="K45" s="0" t="n">
        <v>0.985</v>
      </c>
      <c r="L45" s="176" t="n">
        <v>0.9875</v>
      </c>
      <c r="M45" s="176" t="n">
        <v>0.9875</v>
      </c>
      <c r="N45" s="0" t="n">
        <v>0.98</v>
      </c>
      <c r="O45" s="0" t="n">
        <v>0.952722</v>
      </c>
      <c r="P45" s="0" t="n">
        <v>0.98</v>
      </c>
      <c r="Q45" s="177" t="n">
        <v>0.9875</v>
      </c>
      <c r="R45" s="0" t="n">
        <v>0.9875</v>
      </c>
      <c r="S45" s="176" t="n">
        <v>0.9875</v>
      </c>
      <c r="T45" s="0" t="n">
        <v>0.98</v>
      </c>
      <c r="U45" s="0" t="n">
        <v>0.98</v>
      </c>
      <c r="V45" s="0" t="n">
        <v>0.98</v>
      </c>
      <c r="W45" s="0" t="n">
        <v>0.98</v>
      </c>
      <c r="X45" s="0" t="n">
        <v>0.952722</v>
      </c>
      <c r="Y45" s="0" t="n">
        <v>0.952722</v>
      </c>
      <c r="Z45" s="0" t="n">
        <v>0.952722</v>
      </c>
      <c r="AA45" s="0" t="n">
        <v>0.952722</v>
      </c>
      <c r="AB45" s="0" t="n">
        <v>0.98</v>
      </c>
      <c r="AC45" s="0" t="n">
        <v>0.98</v>
      </c>
      <c r="AD45" s="0" t="n">
        <v>0.952722</v>
      </c>
      <c r="AE45" s="0" t="n">
        <v>0.952722</v>
      </c>
      <c r="AF45" s="0" t="n">
        <v>0.98</v>
      </c>
      <c r="AG45" s="0" t="n">
        <v>0.99</v>
      </c>
      <c r="AH45" s="0" t="n">
        <v>0.97341525</v>
      </c>
      <c r="AI45" s="0" t="n">
        <v>0.97341525</v>
      </c>
      <c r="AJ45" s="0" t="n">
        <v>0.98</v>
      </c>
      <c r="AK45" s="0" t="n">
        <v>1</v>
      </c>
      <c r="AL45" s="0" t="n">
        <v>0.985</v>
      </c>
      <c r="AM45" s="0" t="n">
        <v>0.985</v>
      </c>
      <c r="AN45" s="177" t="n">
        <v>0.9958</v>
      </c>
      <c r="AO45" s="177" t="n">
        <v>0.99</v>
      </c>
      <c r="AP45" s="177" t="n">
        <v>0.99</v>
      </c>
      <c r="AQ45" s="0" t="n">
        <v>0.985</v>
      </c>
      <c r="AR45" s="0" t="n">
        <v>0.97341525</v>
      </c>
      <c r="AS45" s="0" t="n">
        <v>0.977</v>
      </c>
      <c r="AT45" s="177" t="n">
        <v>0.9775</v>
      </c>
      <c r="AU45" s="0" t="n">
        <v>0.97341525</v>
      </c>
      <c r="AV45" s="0" t="n">
        <v>0.985</v>
      </c>
      <c r="AW45" s="0" t="n">
        <v>0.985</v>
      </c>
      <c r="AX45" s="0" t="n">
        <v>0.985</v>
      </c>
      <c r="AY45" s="0" t="n">
        <v>0.97341525</v>
      </c>
      <c r="AZ45" s="0" t="n">
        <v>0.97341525</v>
      </c>
      <c r="BA45" s="0" t="n">
        <v>0.985</v>
      </c>
      <c r="BB45" s="187" t="n">
        <v>1</v>
      </c>
      <c r="BC45" s="0" t="n">
        <v>1</v>
      </c>
      <c r="BD45" s="0" t="n">
        <v>1</v>
      </c>
      <c r="BE45" s="0" t="n">
        <v>1</v>
      </c>
      <c r="BF45" s="0" t="n">
        <v>0.9999</v>
      </c>
      <c r="BG45" s="0" t="n">
        <v>1</v>
      </c>
      <c r="BH45" s="0" t="n">
        <v>1</v>
      </c>
      <c r="BI45" s="0" t="n">
        <v>0.99</v>
      </c>
      <c r="BJ45" s="0" t="n">
        <v>0.999</v>
      </c>
      <c r="BK45" s="0" t="n">
        <v>0.998</v>
      </c>
      <c r="BL45" s="0" t="n">
        <v>0.9985</v>
      </c>
      <c r="BM45" s="0" t="n">
        <v>0.9985</v>
      </c>
      <c r="BN45" s="0" t="n">
        <v>0.972</v>
      </c>
      <c r="BO45" s="0" t="n">
        <v>0.9999</v>
      </c>
      <c r="BP45" s="0" t="n">
        <v>0.9999</v>
      </c>
      <c r="BQ45" s="0" t="n">
        <v>1</v>
      </c>
      <c r="BR45" s="0" t="n">
        <v>1.0752626</v>
      </c>
      <c r="BS45" s="0" t="n">
        <v>1.097</v>
      </c>
      <c r="BT45" s="0" t="n">
        <v>1.0827</v>
      </c>
      <c r="BU45" s="0" t="n">
        <v>1.0088</v>
      </c>
      <c r="BV45" s="0" t="n">
        <v>1</v>
      </c>
      <c r="BW45" s="0" t="n">
        <v>1.9878</v>
      </c>
      <c r="BX45" s="0" t="n">
        <v>2.250426333</v>
      </c>
      <c r="BY45" s="0" t="n">
        <v>1.04655</v>
      </c>
      <c r="BZ45" s="0" t="n">
        <v>1.2885</v>
      </c>
      <c r="CA45" s="0" t="n">
        <v>2.001</v>
      </c>
      <c r="CB45" s="0" t="n">
        <v>1.484505</v>
      </c>
      <c r="CC45" s="0" t="n">
        <v>1.484505</v>
      </c>
      <c r="CD45" s="0" t="n">
        <v>1.244205</v>
      </c>
      <c r="CE45" s="0" t="n">
        <v>1.05858</v>
      </c>
      <c r="CF45" s="0" t="n">
        <v>1.401805</v>
      </c>
      <c r="CG45" s="188"/>
      <c r="CH45" s="0" t="n">
        <v>1.093725</v>
      </c>
      <c r="CI45" s="188"/>
      <c r="CJ45" s="188"/>
      <c r="CK45" s="188"/>
      <c r="CL45" s="188"/>
      <c r="CM45" s="188"/>
      <c r="CN45" s="188"/>
      <c r="CO45" s="188"/>
      <c r="CP45" s="0" t="n">
        <v>0.965</v>
      </c>
      <c r="CQ45" s="0" t="n">
        <v>0.91</v>
      </c>
      <c r="CR45" s="0" t="n">
        <v>0.91</v>
      </c>
      <c r="CS45" s="0" t="n">
        <v>0.97</v>
      </c>
      <c r="CT45" s="0" t="n">
        <v>0.99895</v>
      </c>
      <c r="CU45" s="0" t="n">
        <v>0.34</v>
      </c>
      <c r="CV45" s="0" t="n">
        <v>0.42</v>
      </c>
      <c r="CW45" s="0" t="n">
        <v>0.935</v>
      </c>
      <c r="CX45" s="0" t="n">
        <v>0.685</v>
      </c>
      <c r="CY45" s="0" t="n">
        <v>0.625</v>
      </c>
      <c r="CZ45" s="0" t="n">
        <v>0.9175</v>
      </c>
      <c r="DA45" s="0" t="n">
        <v>0.95</v>
      </c>
      <c r="DB45" s="0" t="n">
        <v>0.88</v>
      </c>
      <c r="DC45" s="0" t="n">
        <v>0.9</v>
      </c>
      <c r="DD45" s="0" t="n">
        <v>0.935</v>
      </c>
      <c r="DE45" s="0" t="n">
        <v>0.89</v>
      </c>
      <c r="DF45" s="0" t="n">
        <v>0.985</v>
      </c>
      <c r="DG45" s="0" t="n">
        <v>0.99</v>
      </c>
      <c r="DH45" s="0" t="n">
        <v>0.99</v>
      </c>
      <c r="DI45" s="0" t="n">
        <v>0.9775</v>
      </c>
      <c r="DN45" s="188" t="n">
        <v>0.000285</v>
      </c>
      <c r="DO45" s="188" t="n">
        <v>0.0002</v>
      </c>
      <c r="DP45" s="188" t="n">
        <v>0</v>
      </c>
      <c r="DQ45" s="188" t="n">
        <v>0.0001</v>
      </c>
      <c r="DR45" s="188" t="n">
        <v>0</v>
      </c>
      <c r="DS45" s="188" t="n">
        <v>0.0036</v>
      </c>
      <c r="DT45" s="188" t="n">
        <v>0.00047</v>
      </c>
      <c r="DU45" s="188" t="n">
        <v>0.0007</v>
      </c>
      <c r="DV45" s="188" t="n">
        <v>0</v>
      </c>
      <c r="DW45" s="188" t="n">
        <v>0</v>
      </c>
      <c r="DX45" s="188" t="n">
        <v>0.0005</v>
      </c>
      <c r="DY45" s="188" t="n">
        <v>0.0005</v>
      </c>
      <c r="DZ45" s="188" t="n">
        <v>0.0003</v>
      </c>
      <c r="EA45" s="188" t="n">
        <v>0.000275</v>
      </c>
      <c r="EB45" s="188" t="n">
        <v>0.0004</v>
      </c>
      <c r="ED45" s="188" t="n">
        <v>6.5E-005</v>
      </c>
      <c r="EF45" s="0" t="n">
        <v>1</v>
      </c>
    </row>
    <row r="46" customFormat="false" ht="12.75" hidden="false" customHeight="false" outlineLevel="0" collapsed="false">
      <c r="A46" s="149" t="n">
        <v>37773</v>
      </c>
      <c r="B46" s="0" t="n">
        <v>0.98</v>
      </c>
      <c r="C46" s="0" t="n">
        <v>0.988</v>
      </c>
      <c r="D46" s="0" t="n">
        <v>0.975</v>
      </c>
      <c r="E46" s="0" t="n">
        <f aca="false">E34</f>
        <v>0.978</v>
      </c>
      <c r="F46" s="0" t="n">
        <v>0.977</v>
      </c>
      <c r="G46" s="0" t="n">
        <v>0.677076</v>
      </c>
      <c r="H46" s="0" t="n">
        <v>0.9875</v>
      </c>
      <c r="I46" s="0" t="n">
        <v>0.97917875</v>
      </c>
      <c r="J46" s="0" t="n">
        <v>0.7666575</v>
      </c>
      <c r="K46" s="0" t="n">
        <v>0.985</v>
      </c>
      <c r="L46" s="176" t="n">
        <v>0.9875</v>
      </c>
      <c r="M46" s="176" t="n">
        <v>0.9875</v>
      </c>
      <c r="N46" s="0" t="n">
        <v>0.98</v>
      </c>
      <c r="O46" s="0" t="n">
        <v>0.955616638</v>
      </c>
      <c r="P46" s="0" t="n">
        <v>0.98</v>
      </c>
      <c r="Q46" s="177" t="n">
        <v>0.9875</v>
      </c>
      <c r="R46" s="0" t="n">
        <v>0.9875</v>
      </c>
      <c r="S46" s="176" t="n">
        <v>0.9875</v>
      </c>
      <c r="T46" s="0" t="n">
        <v>0.98</v>
      </c>
      <c r="U46" s="0" t="n">
        <v>0.98</v>
      </c>
      <c r="V46" s="0" t="n">
        <v>0.98</v>
      </c>
      <c r="W46" s="0" t="n">
        <v>0.98</v>
      </c>
      <c r="X46" s="0" t="n">
        <v>0.955616638</v>
      </c>
      <c r="Y46" s="0" t="n">
        <v>0.955616638</v>
      </c>
      <c r="Z46" s="0" t="n">
        <v>0.955616638</v>
      </c>
      <c r="AA46" s="0" t="n">
        <v>0.955616638</v>
      </c>
      <c r="AB46" s="0" t="n">
        <v>0.98</v>
      </c>
      <c r="AC46" s="0" t="n">
        <v>0.98</v>
      </c>
      <c r="AD46" s="0" t="n">
        <v>0.955616638</v>
      </c>
      <c r="AE46" s="0" t="n">
        <v>0.955616638</v>
      </c>
      <c r="AF46" s="0" t="n">
        <v>0.98</v>
      </c>
      <c r="AG46" s="0" t="n">
        <v>0.99</v>
      </c>
      <c r="AH46" s="0" t="n">
        <v>0.9734731</v>
      </c>
      <c r="AI46" s="0" t="n">
        <v>0.9734731</v>
      </c>
      <c r="AJ46" s="0" t="n">
        <v>0.98</v>
      </c>
      <c r="AK46" s="0" t="n">
        <v>1</v>
      </c>
      <c r="AL46" s="0" t="n">
        <v>0.985</v>
      </c>
      <c r="AM46" s="0" t="n">
        <v>0.985</v>
      </c>
      <c r="AN46" s="177" t="n">
        <v>0.9958</v>
      </c>
      <c r="AO46" s="177" t="n">
        <v>0.99</v>
      </c>
      <c r="AP46" s="177" t="n">
        <v>0.99</v>
      </c>
      <c r="AQ46" s="0" t="n">
        <v>0.985</v>
      </c>
      <c r="AR46" s="0" t="n">
        <v>0.9734731</v>
      </c>
      <c r="AS46" s="0" t="n">
        <v>0.977</v>
      </c>
      <c r="AT46" s="177" t="n">
        <v>0.9775</v>
      </c>
      <c r="AU46" s="0" t="n">
        <v>0.9734731</v>
      </c>
      <c r="AV46" s="0" t="n">
        <v>0.985</v>
      </c>
      <c r="AW46" s="0" t="n">
        <v>0.985</v>
      </c>
      <c r="AX46" s="0" t="n">
        <v>0.985</v>
      </c>
      <c r="AY46" s="0" t="n">
        <v>0.9734731</v>
      </c>
      <c r="AZ46" s="0" t="n">
        <v>0.9734731</v>
      </c>
      <c r="BA46" s="0" t="n">
        <v>0.985</v>
      </c>
      <c r="BB46" s="187" t="n">
        <v>1</v>
      </c>
      <c r="BC46" s="0" t="n">
        <v>1</v>
      </c>
      <c r="BD46" s="0" t="n">
        <v>1</v>
      </c>
      <c r="BE46" s="0" t="n">
        <v>1</v>
      </c>
      <c r="BF46" s="0" t="n">
        <v>0.9999</v>
      </c>
      <c r="BG46" s="0" t="n">
        <v>1</v>
      </c>
      <c r="BH46" s="0" t="n">
        <v>1</v>
      </c>
      <c r="BI46" s="0" t="n">
        <v>0.99</v>
      </c>
      <c r="BJ46" s="0" t="n">
        <v>0.999</v>
      </c>
      <c r="BK46" s="0" t="n">
        <v>0.998</v>
      </c>
      <c r="BL46" s="0" t="n">
        <v>0.9985</v>
      </c>
      <c r="BM46" s="0" t="n">
        <v>0.9985</v>
      </c>
      <c r="BN46" s="0" t="n">
        <v>0.972</v>
      </c>
      <c r="BO46" s="0" t="n">
        <v>0.9999</v>
      </c>
      <c r="BP46" s="0" t="n">
        <v>0.9999</v>
      </c>
      <c r="BQ46" s="0" t="n">
        <v>1</v>
      </c>
      <c r="BR46" s="0" t="n">
        <v>1.0755476</v>
      </c>
      <c r="BS46" s="0" t="n">
        <v>1.0972</v>
      </c>
      <c r="BT46" s="0" t="n">
        <v>1.0827</v>
      </c>
      <c r="BU46" s="0" t="n">
        <v>1.0089</v>
      </c>
      <c r="BV46" s="0" t="n">
        <v>1</v>
      </c>
      <c r="BW46" s="0" t="n">
        <v>1.9914</v>
      </c>
      <c r="BX46" s="0" t="n">
        <v>2.250896333</v>
      </c>
      <c r="BY46" s="0" t="n">
        <v>1.04725</v>
      </c>
      <c r="BZ46" s="0" t="n">
        <v>1.2885</v>
      </c>
      <c r="CA46" s="0" t="n">
        <v>2.001</v>
      </c>
      <c r="CB46" s="0" t="n">
        <v>1.485005</v>
      </c>
      <c r="CC46" s="0" t="n">
        <v>1.485005</v>
      </c>
      <c r="CD46" s="0" t="n">
        <v>1.244505</v>
      </c>
      <c r="CE46" s="0" t="n">
        <v>1.058855</v>
      </c>
      <c r="CF46" s="0" t="n">
        <v>1.402205</v>
      </c>
      <c r="CG46" s="188"/>
      <c r="CH46" s="0" t="n">
        <v>1.09379</v>
      </c>
      <c r="CI46" s="188"/>
      <c r="CJ46" s="188"/>
      <c r="CK46" s="188"/>
      <c r="CL46" s="188"/>
      <c r="CM46" s="188"/>
      <c r="CN46" s="188"/>
      <c r="CO46" s="188"/>
      <c r="CP46" s="0" t="n">
        <v>0.965</v>
      </c>
      <c r="CQ46" s="0" t="n">
        <v>0.91</v>
      </c>
      <c r="CR46" s="0" t="n">
        <v>0.91</v>
      </c>
      <c r="CS46" s="0" t="n">
        <v>0.98</v>
      </c>
      <c r="CT46" s="0" t="n">
        <v>0.99895</v>
      </c>
      <c r="CU46" s="0" t="n">
        <v>0.34</v>
      </c>
      <c r="CV46" s="0" t="n">
        <v>0.47</v>
      </c>
      <c r="CW46" s="0" t="n">
        <v>0.935</v>
      </c>
      <c r="CX46" s="0" t="n">
        <v>0.595</v>
      </c>
      <c r="CY46" s="0" t="n">
        <v>0.725</v>
      </c>
      <c r="CZ46" s="0" t="n">
        <v>0.8825</v>
      </c>
      <c r="DA46" s="0" t="n">
        <v>0.915</v>
      </c>
      <c r="DB46" s="0" t="n">
        <v>0.88</v>
      </c>
      <c r="DC46" s="0" t="n">
        <v>0.9025</v>
      </c>
      <c r="DD46" s="0" t="n">
        <v>0.915</v>
      </c>
      <c r="DE46" s="0" t="n">
        <v>0.89</v>
      </c>
      <c r="DF46" s="0" t="n">
        <v>0.985</v>
      </c>
      <c r="DG46" s="0" t="n">
        <v>0.99</v>
      </c>
      <c r="DH46" s="0" t="n">
        <v>0.99</v>
      </c>
      <c r="DI46" s="0" t="n">
        <v>0.9775</v>
      </c>
      <c r="DN46" s="188" t="n">
        <v>0.000285</v>
      </c>
      <c r="DO46" s="188" t="n">
        <v>0.0002</v>
      </c>
      <c r="DP46" s="188" t="n">
        <v>0</v>
      </c>
      <c r="DQ46" s="188" t="n">
        <v>0.0001</v>
      </c>
      <c r="DR46" s="188" t="n">
        <v>0</v>
      </c>
      <c r="DS46" s="188" t="n">
        <v>0.0036</v>
      </c>
      <c r="DT46" s="188" t="n">
        <v>0.00047</v>
      </c>
      <c r="DU46" s="188" t="n">
        <v>0.0007</v>
      </c>
      <c r="DV46" s="188" t="n">
        <v>0</v>
      </c>
      <c r="DW46" s="188" t="n">
        <v>0</v>
      </c>
      <c r="DX46" s="188" t="n">
        <v>0.0005</v>
      </c>
      <c r="DY46" s="188" t="n">
        <v>0.0005</v>
      </c>
      <c r="DZ46" s="188" t="n">
        <v>0.0003</v>
      </c>
      <c r="EA46" s="188" t="n">
        <v>0.000275</v>
      </c>
      <c r="EB46" s="188" t="n">
        <v>0.0004</v>
      </c>
      <c r="ED46" s="188" t="n">
        <v>6.5E-005</v>
      </c>
      <c r="EF46" s="0" t="n">
        <v>1</v>
      </c>
    </row>
    <row r="47" customFormat="false" ht="12.75" hidden="false" customHeight="false" outlineLevel="0" collapsed="false">
      <c r="A47" s="149" t="n">
        <v>37803</v>
      </c>
      <c r="B47" s="0" t="n">
        <v>0.98</v>
      </c>
      <c r="C47" s="0" t="n">
        <v>0.988</v>
      </c>
      <c r="D47" s="0" t="n">
        <v>0.975</v>
      </c>
      <c r="E47" s="0" t="n">
        <f aca="false">E35</f>
        <v>0.978</v>
      </c>
      <c r="F47" s="0" t="n">
        <v>0.977</v>
      </c>
      <c r="G47" s="0" t="n">
        <v>0.81795</v>
      </c>
      <c r="H47" s="0" t="n">
        <v>0.9875</v>
      </c>
      <c r="I47" s="0" t="n">
        <v>0.97983325</v>
      </c>
      <c r="J47" s="0" t="n">
        <v>0.7924275</v>
      </c>
      <c r="K47" s="0" t="n">
        <v>0.985</v>
      </c>
      <c r="L47" s="176" t="n">
        <v>0.9875</v>
      </c>
      <c r="M47" s="176" t="n">
        <v>0.9875</v>
      </c>
      <c r="N47" s="0" t="n">
        <v>0.98</v>
      </c>
      <c r="O47" s="0" t="n">
        <v>0.961160475</v>
      </c>
      <c r="P47" s="0" t="n">
        <v>0.98</v>
      </c>
      <c r="Q47" s="177" t="n">
        <v>0.9875</v>
      </c>
      <c r="R47" s="0" t="n">
        <v>0.9875</v>
      </c>
      <c r="S47" s="176" t="n">
        <v>0.9875</v>
      </c>
      <c r="T47" s="0" t="n">
        <v>0.98</v>
      </c>
      <c r="U47" s="0" t="n">
        <v>0.98</v>
      </c>
      <c r="V47" s="0" t="n">
        <v>0.98</v>
      </c>
      <c r="W47" s="0" t="n">
        <v>0.98</v>
      </c>
      <c r="X47" s="0" t="n">
        <v>0.961160475</v>
      </c>
      <c r="Y47" s="0" t="n">
        <v>0.961160475</v>
      </c>
      <c r="Z47" s="0" t="n">
        <v>0.961160475</v>
      </c>
      <c r="AA47" s="0" t="n">
        <v>0.961160475</v>
      </c>
      <c r="AB47" s="0" t="n">
        <v>0.98</v>
      </c>
      <c r="AC47" s="0" t="n">
        <v>0.98</v>
      </c>
      <c r="AD47" s="0" t="n">
        <v>0.961160475</v>
      </c>
      <c r="AE47" s="0" t="n">
        <v>0.961160475</v>
      </c>
      <c r="AF47" s="0" t="n">
        <v>0.98</v>
      </c>
      <c r="AG47" s="0" t="n">
        <v>0.99</v>
      </c>
      <c r="AH47" s="0" t="n">
        <v>0.97353095</v>
      </c>
      <c r="AI47" s="0" t="n">
        <v>0.97353095</v>
      </c>
      <c r="AJ47" s="0" t="n">
        <v>0.98</v>
      </c>
      <c r="AK47" s="0" t="n">
        <v>1</v>
      </c>
      <c r="AL47" s="0" t="n">
        <v>0.985</v>
      </c>
      <c r="AM47" s="0" t="n">
        <v>0.985</v>
      </c>
      <c r="AN47" s="177" t="n">
        <v>0.9958</v>
      </c>
      <c r="AO47" s="177" t="n">
        <v>0.99</v>
      </c>
      <c r="AP47" s="177" t="n">
        <v>0.99</v>
      </c>
      <c r="AQ47" s="0" t="n">
        <v>0.985</v>
      </c>
      <c r="AR47" s="0" t="n">
        <v>0.97353095</v>
      </c>
      <c r="AS47" s="0" t="n">
        <v>0.977</v>
      </c>
      <c r="AT47" s="177" t="n">
        <v>0.9775</v>
      </c>
      <c r="AU47" s="0" t="n">
        <v>0.97353095</v>
      </c>
      <c r="AV47" s="0" t="n">
        <v>0.985</v>
      </c>
      <c r="AW47" s="0" t="n">
        <v>0.985</v>
      </c>
      <c r="AX47" s="0" t="n">
        <v>0.985</v>
      </c>
      <c r="AY47" s="0" t="n">
        <v>0.97353095</v>
      </c>
      <c r="AZ47" s="0" t="n">
        <v>0.97353095</v>
      </c>
      <c r="BA47" s="0" t="n">
        <v>0.985</v>
      </c>
      <c r="BB47" s="187" t="n">
        <v>1</v>
      </c>
      <c r="BC47" s="0" t="n">
        <v>1</v>
      </c>
      <c r="BD47" s="0" t="n">
        <v>1</v>
      </c>
      <c r="BE47" s="0" t="n">
        <v>1</v>
      </c>
      <c r="BF47" s="0" t="n">
        <v>0.9999</v>
      </c>
      <c r="BG47" s="0" t="n">
        <v>1</v>
      </c>
      <c r="BH47" s="0" t="n">
        <v>1</v>
      </c>
      <c r="BI47" s="0" t="n">
        <v>0.99</v>
      </c>
      <c r="BJ47" s="0" t="n">
        <v>0.999</v>
      </c>
      <c r="BK47" s="0" t="n">
        <v>0.998</v>
      </c>
      <c r="BL47" s="0" t="n">
        <v>0.9985</v>
      </c>
      <c r="BM47" s="0" t="n">
        <v>0.9985</v>
      </c>
      <c r="BN47" s="0" t="n">
        <v>0.972</v>
      </c>
      <c r="BO47" s="0" t="n">
        <v>0.9999</v>
      </c>
      <c r="BP47" s="0" t="n">
        <v>0.9999</v>
      </c>
      <c r="BQ47" s="0" t="n">
        <v>1</v>
      </c>
      <c r="BR47" s="0" t="n">
        <v>1.0758326</v>
      </c>
      <c r="BS47" s="0" t="n">
        <v>1.0974</v>
      </c>
      <c r="BT47" s="0" t="n">
        <v>1.0827</v>
      </c>
      <c r="BU47" s="0" t="n">
        <v>1.009</v>
      </c>
      <c r="BV47" s="0" t="n">
        <v>1</v>
      </c>
      <c r="BW47" s="0" t="n">
        <v>1.995</v>
      </c>
      <c r="BX47" s="0" t="n">
        <v>2.251366333</v>
      </c>
      <c r="BY47" s="0" t="n">
        <v>1.04795</v>
      </c>
      <c r="BZ47" s="0" t="n">
        <v>1.2885</v>
      </c>
      <c r="CA47" s="0" t="n">
        <v>2.001</v>
      </c>
      <c r="CB47" s="0" t="n">
        <v>1.485505</v>
      </c>
      <c r="CC47" s="0" t="n">
        <v>1.485505</v>
      </c>
      <c r="CD47" s="0" t="n">
        <v>1.244805</v>
      </c>
      <c r="CE47" s="0" t="n">
        <v>1.05913</v>
      </c>
      <c r="CF47" s="0" t="n">
        <v>1.402605</v>
      </c>
      <c r="CG47" s="188"/>
      <c r="CH47" s="0" t="n">
        <v>1.093855</v>
      </c>
      <c r="CI47" s="188"/>
      <c r="CJ47" s="188"/>
      <c r="CK47" s="188"/>
      <c r="CL47" s="188"/>
      <c r="CM47" s="188"/>
      <c r="CN47" s="188"/>
      <c r="CO47" s="188"/>
      <c r="CP47" s="0" t="n">
        <v>0.975</v>
      </c>
      <c r="CQ47" s="0" t="n">
        <v>0.91</v>
      </c>
      <c r="CR47" s="0" t="n">
        <v>0.91</v>
      </c>
      <c r="CS47" s="0" t="n">
        <v>0.97</v>
      </c>
      <c r="CT47" s="0" t="n">
        <v>0.99895</v>
      </c>
      <c r="CU47" s="0" t="n">
        <v>0.41</v>
      </c>
      <c r="CV47" s="0" t="n">
        <v>0.47</v>
      </c>
      <c r="CW47" s="0" t="n">
        <v>0.935</v>
      </c>
      <c r="CX47" s="0" t="n">
        <v>0.615</v>
      </c>
      <c r="CY47" s="0" t="n">
        <v>0.725</v>
      </c>
      <c r="CZ47" s="0" t="n">
        <v>0.8775</v>
      </c>
      <c r="DA47" s="0" t="n">
        <v>0.91</v>
      </c>
      <c r="DB47" s="0" t="n">
        <v>0.89</v>
      </c>
      <c r="DC47" s="0" t="n">
        <v>0.9075</v>
      </c>
      <c r="DD47" s="0" t="n">
        <v>0.915</v>
      </c>
      <c r="DE47" s="0" t="n">
        <v>0.89</v>
      </c>
      <c r="DF47" s="0" t="n">
        <v>0.985</v>
      </c>
      <c r="DG47" s="0" t="n">
        <v>0.99</v>
      </c>
      <c r="DH47" s="0" t="n">
        <v>0.99</v>
      </c>
      <c r="DI47" s="0" t="n">
        <v>0.9775</v>
      </c>
      <c r="DN47" s="188" t="n">
        <v>0.000285</v>
      </c>
      <c r="DO47" s="188" t="n">
        <v>0.0002</v>
      </c>
      <c r="DP47" s="188" t="n">
        <v>0</v>
      </c>
      <c r="DQ47" s="188" t="n">
        <v>0.0001</v>
      </c>
      <c r="DR47" s="188" t="n">
        <v>0</v>
      </c>
      <c r="DS47" s="188" t="n">
        <v>0.0036</v>
      </c>
      <c r="DT47" s="188" t="n">
        <v>0.00047</v>
      </c>
      <c r="DU47" s="188" t="n">
        <v>0.0007</v>
      </c>
      <c r="DV47" s="188" t="n">
        <v>0</v>
      </c>
      <c r="DW47" s="188" t="n">
        <v>0</v>
      </c>
      <c r="DX47" s="188" t="n">
        <v>0.0005</v>
      </c>
      <c r="DY47" s="188" t="n">
        <v>0.0005</v>
      </c>
      <c r="DZ47" s="188" t="n">
        <v>0.0003</v>
      </c>
      <c r="EA47" s="188" t="n">
        <v>0.000275</v>
      </c>
      <c r="EB47" s="188" t="n">
        <v>0.0004</v>
      </c>
      <c r="ED47" s="188" t="n">
        <v>6.5E-005</v>
      </c>
      <c r="EF47" s="0" t="n">
        <v>1</v>
      </c>
    </row>
    <row r="48" customFormat="false" ht="12.75" hidden="false" customHeight="false" outlineLevel="0" collapsed="false">
      <c r="A48" s="149" t="n">
        <v>37834</v>
      </c>
      <c r="B48" s="0" t="n">
        <v>0.98</v>
      </c>
      <c r="C48" s="0" t="n">
        <v>0.988</v>
      </c>
      <c r="D48" s="0" t="n">
        <v>0.975</v>
      </c>
      <c r="E48" s="0" t="n">
        <f aca="false">E36</f>
        <v>0.978</v>
      </c>
      <c r="F48" s="0" t="n">
        <v>0.977</v>
      </c>
      <c r="G48" s="0" t="n">
        <v>0.859398</v>
      </c>
      <c r="H48" s="0" t="n">
        <v>0.9875</v>
      </c>
      <c r="I48" s="0" t="n">
        <v>0.97000125</v>
      </c>
      <c r="J48" s="0" t="n">
        <v>0.9083925</v>
      </c>
      <c r="K48" s="0" t="n">
        <v>0.985</v>
      </c>
      <c r="L48" s="176" t="n">
        <v>0.9875</v>
      </c>
      <c r="M48" s="176" t="n">
        <v>0.9875</v>
      </c>
      <c r="N48" s="0" t="n">
        <v>0.98</v>
      </c>
      <c r="O48" s="0" t="n">
        <v>0.982598138</v>
      </c>
      <c r="P48" s="0" t="n">
        <v>0.98</v>
      </c>
      <c r="Q48" s="177" t="n">
        <v>0.9875</v>
      </c>
      <c r="R48" s="0" t="n">
        <v>0.9875</v>
      </c>
      <c r="S48" s="176" t="n">
        <v>0.9875</v>
      </c>
      <c r="T48" s="0" t="n">
        <v>0.98</v>
      </c>
      <c r="U48" s="0" t="n">
        <v>0.98</v>
      </c>
      <c r="V48" s="0" t="n">
        <v>0.98</v>
      </c>
      <c r="W48" s="0" t="n">
        <v>0.98</v>
      </c>
      <c r="X48" s="0" t="n">
        <v>0.982598138</v>
      </c>
      <c r="Y48" s="0" t="n">
        <v>0.982598138</v>
      </c>
      <c r="Z48" s="0" t="n">
        <v>0.982598138</v>
      </c>
      <c r="AA48" s="0" t="n">
        <v>0.982598138</v>
      </c>
      <c r="AB48" s="0" t="n">
        <v>0.98</v>
      </c>
      <c r="AC48" s="0" t="n">
        <v>0.98</v>
      </c>
      <c r="AD48" s="0" t="n">
        <v>0.982598138</v>
      </c>
      <c r="AE48" s="0" t="n">
        <v>0.982598138</v>
      </c>
      <c r="AF48" s="0" t="n">
        <v>0.98</v>
      </c>
      <c r="AG48" s="0" t="n">
        <v>0.99</v>
      </c>
      <c r="AH48" s="0" t="n">
        <v>0.9735888</v>
      </c>
      <c r="AI48" s="0" t="n">
        <v>0.9735888</v>
      </c>
      <c r="AJ48" s="0" t="n">
        <v>0.98</v>
      </c>
      <c r="AK48" s="0" t="n">
        <v>1</v>
      </c>
      <c r="AL48" s="0" t="n">
        <v>0.985</v>
      </c>
      <c r="AM48" s="0" t="n">
        <v>0.985</v>
      </c>
      <c r="AN48" s="177" t="n">
        <v>0.9958</v>
      </c>
      <c r="AO48" s="177" t="n">
        <v>0.99</v>
      </c>
      <c r="AP48" s="177" t="n">
        <v>0.99</v>
      </c>
      <c r="AQ48" s="0" t="n">
        <v>0.985</v>
      </c>
      <c r="AR48" s="0" t="n">
        <v>0.9735888</v>
      </c>
      <c r="AS48" s="0" t="n">
        <v>0.977</v>
      </c>
      <c r="AT48" s="177" t="n">
        <v>0.9775</v>
      </c>
      <c r="AU48" s="0" t="n">
        <v>0.9735888</v>
      </c>
      <c r="AV48" s="0" t="n">
        <v>0.985</v>
      </c>
      <c r="AW48" s="0" t="n">
        <v>0.985</v>
      </c>
      <c r="AX48" s="0" t="n">
        <v>0.985</v>
      </c>
      <c r="AY48" s="0" t="n">
        <v>0.9735888</v>
      </c>
      <c r="AZ48" s="0" t="n">
        <v>0.9735888</v>
      </c>
      <c r="BA48" s="0" t="n">
        <v>0.985</v>
      </c>
      <c r="BB48" s="187" t="n">
        <v>1</v>
      </c>
      <c r="BC48" s="0" t="n">
        <v>1</v>
      </c>
      <c r="BD48" s="0" t="n">
        <v>1</v>
      </c>
      <c r="BE48" s="0" t="n">
        <v>1</v>
      </c>
      <c r="BF48" s="0" t="n">
        <v>0.9999</v>
      </c>
      <c r="BG48" s="0" t="n">
        <v>1</v>
      </c>
      <c r="BH48" s="0" t="n">
        <v>1</v>
      </c>
      <c r="BI48" s="0" t="n">
        <v>0.99</v>
      </c>
      <c r="BJ48" s="0" t="n">
        <v>0.999</v>
      </c>
      <c r="BK48" s="0" t="n">
        <v>0.998</v>
      </c>
      <c r="BL48" s="0" t="n">
        <v>0.9985</v>
      </c>
      <c r="BM48" s="0" t="n">
        <v>0.9985</v>
      </c>
      <c r="BN48" s="0" t="n">
        <v>0.972</v>
      </c>
      <c r="BO48" s="0" t="n">
        <v>0.9999</v>
      </c>
      <c r="BP48" s="0" t="n">
        <v>0.9999</v>
      </c>
      <c r="BQ48" s="0" t="n">
        <v>1</v>
      </c>
      <c r="BR48" s="0" t="n">
        <v>1.0761176</v>
      </c>
      <c r="BS48" s="0" t="n">
        <v>1.0976</v>
      </c>
      <c r="BT48" s="0" t="n">
        <v>1.0827</v>
      </c>
      <c r="BU48" s="0" t="n">
        <v>1.0091</v>
      </c>
      <c r="BV48" s="0" t="n">
        <v>1</v>
      </c>
      <c r="BW48" s="0" t="n">
        <v>1.9986</v>
      </c>
      <c r="BX48" s="0" t="n">
        <v>2.251836333</v>
      </c>
      <c r="BY48" s="0" t="n">
        <v>1.04865</v>
      </c>
      <c r="BZ48" s="0" t="n">
        <v>1.2885</v>
      </c>
      <c r="CA48" s="0" t="n">
        <v>2.001</v>
      </c>
      <c r="CB48" s="0" t="n">
        <v>1.486005</v>
      </c>
      <c r="CC48" s="0" t="n">
        <v>1.486005</v>
      </c>
      <c r="CD48" s="0" t="n">
        <v>1.245105</v>
      </c>
      <c r="CE48" s="0" t="n">
        <v>1.059405</v>
      </c>
      <c r="CF48" s="0" t="n">
        <v>1.403005</v>
      </c>
      <c r="CG48" s="188"/>
      <c r="CH48" s="0" t="n">
        <v>1.09392</v>
      </c>
      <c r="CI48" s="188"/>
      <c r="CJ48" s="188"/>
      <c r="CK48" s="188"/>
      <c r="CL48" s="188"/>
      <c r="CM48" s="188"/>
      <c r="CN48" s="188"/>
      <c r="CO48" s="188"/>
      <c r="CP48" s="0" t="n">
        <v>0.975</v>
      </c>
      <c r="CQ48" s="0" t="n">
        <v>0.91</v>
      </c>
      <c r="CR48" s="0" t="n">
        <v>0.91</v>
      </c>
      <c r="CS48" s="0" t="n">
        <v>0.97</v>
      </c>
      <c r="CT48" s="0" t="n">
        <v>0.99895</v>
      </c>
      <c r="CU48" s="0" t="n">
        <v>0.43</v>
      </c>
      <c r="CV48" s="0" t="n">
        <v>0.52</v>
      </c>
      <c r="CW48" s="0" t="n">
        <v>0.925</v>
      </c>
      <c r="CX48" s="0" t="n">
        <v>0.705</v>
      </c>
      <c r="CY48" s="0" t="n">
        <v>0.725</v>
      </c>
      <c r="CZ48" s="0" t="n">
        <v>0.89</v>
      </c>
      <c r="DA48" s="0" t="n">
        <v>0.9225</v>
      </c>
      <c r="DB48" s="0" t="n">
        <v>0.915</v>
      </c>
      <c r="DC48" s="0" t="n">
        <v>0.9275</v>
      </c>
      <c r="DD48" s="0" t="n">
        <v>0.915</v>
      </c>
      <c r="DE48" s="0" t="n">
        <v>0.89</v>
      </c>
      <c r="DF48" s="0" t="n">
        <v>0.985</v>
      </c>
      <c r="DG48" s="0" t="n">
        <v>0.99</v>
      </c>
      <c r="DH48" s="0" t="n">
        <v>0.99</v>
      </c>
      <c r="DI48" s="0" t="n">
        <v>0.9775</v>
      </c>
      <c r="DN48" s="188" t="n">
        <v>0.000285</v>
      </c>
      <c r="DO48" s="188" t="n">
        <v>0.0002</v>
      </c>
      <c r="DP48" s="188" t="n">
        <v>0</v>
      </c>
      <c r="DQ48" s="188" t="n">
        <v>0.0001</v>
      </c>
      <c r="DR48" s="188" t="n">
        <v>0</v>
      </c>
      <c r="DS48" s="188" t="n">
        <v>0.0036</v>
      </c>
      <c r="DT48" s="188" t="n">
        <v>0.00047</v>
      </c>
      <c r="DU48" s="188" t="n">
        <v>0.0007</v>
      </c>
      <c r="DV48" s="188" t="n">
        <v>0</v>
      </c>
      <c r="DW48" s="188" t="n">
        <v>0</v>
      </c>
      <c r="DX48" s="188" t="n">
        <v>0.0005</v>
      </c>
      <c r="DY48" s="188" t="n">
        <v>0.0005</v>
      </c>
      <c r="DZ48" s="188" t="n">
        <v>0.0003</v>
      </c>
      <c r="EA48" s="188" t="n">
        <v>0.000275</v>
      </c>
      <c r="EB48" s="188" t="n">
        <v>0.0004</v>
      </c>
      <c r="ED48" s="188" t="n">
        <v>6.5E-005</v>
      </c>
      <c r="EF48" s="0" t="n">
        <v>1</v>
      </c>
    </row>
    <row r="49" customFormat="false" ht="12.75" hidden="false" customHeight="false" outlineLevel="0" collapsed="false">
      <c r="A49" s="149" t="n">
        <v>37865</v>
      </c>
      <c r="B49" s="0" t="n">
        <v>0.98</v>
      </c>
      <c r="C49" s="0" t="n">
        <v>0.988</v>
      </c>
      <c r="D49" s="0" t="n">
        <v>0.975</v>
      </c>
      <c r="E49" s="0" t="n">
        <f aca="false">E37</f>
        <v>0.978</v>
      </c>
      <c r="F49" s="0" t="n">
        <v>0.977</v>
      </c>
      <c r="G49" s="0" t="n">
        <v>0.921012</v>
      </c>
      <c r="H49" s="0" t="n">
        <v>0.9875</v>
      </c>
      <c r="I49" s="0" t="n">
        <v>0.97064875</v>
      </c>
      <c r="J49" s="0" t="n">
        <v>0.7280025</v>
      </c>
      <c r="K49" s="0" t="n">
        <v>0.985</v>
      </c>
      <c r="L49" s="176" t="n">
        <v>0.9875</v>
      </c>
      <c r="M49" s="176" t="n">
        <v>0.9875</v>
      </c>
      <c r="N49" s="0" t="n">
        <v>0.98</v>
      </c>
      <c r="O49" s="0" t="n">
        <v>0.9749056</v>
      </c>
      <c r="P49" s="0" t="n">
        <v>0.98</v>
      </c>
      <c r="Q49" s="177" t="n">
        <v>0.9875</v>
      </c>
      <c r="R49" s="0" t="n">
        <v>0.9875</v>
      </c>
      <c r="S49" s="176" t="n">
        <v>0.9875</v>
      </c>
      <c r="T49" s="0" t="n">
        <v>0.98</v>
      </c>
      <c r="U49" s="0" t="n">
        <v>0.98</v>
      </c>
      <c r="V49" s="0" t="n">
        <v>0.98</v>
      </c>
      <c r="W49" s="0" t="n">
        <v>0.98</v>
      </c>
      <c r="X49" s="0" t="n">
        <v>0.9749056</v>
      </c>
      <c r="Y49" s="0" t="n">
        <v>0.9749056</v>
      </c>
      <c r="Z49" s="0" t="n">
        <v>0.9749056</v>
      </c>
      <c r="AA49" s="0" t="n">
        <v>0.9749056</v>
      </c>
      <c r="AB49" s="0" t="n">
        <v>0.98</v>
      </c>
      <c r="AC49" s="0" t="n">
        <v>0.98</v>
      </c>
      <c r="AD49" s="0" t="n">
        <v>0.9749056</v>
      </c>
      <c r="AE49" s="0" t="n">
        <v>0.9749056</v>
      </c>
      <c r="AF49" s="0" t="n">
        <v>0.98</v>
      </c>
      <c r="AG49" s="0" t="n">
        <v>0.99</v>
      </c>
      <c r="AH49" s="0" t="n">
        <v>0.97364665</v>
      </c>
      <c r="AI49" s="0" t="n">
        <v>0.97364665</v>
      </c>
      <c r="AJ49" s="0" t="n">
        <v>0.98</v>
      </c>
      <c r="AK49" s="0" t="n">
        <v>1</v>
      </c>
      <c r="AL49" s="0" t="n">
        <v>0.985</v>
      </c>
      <c r="AM49" s="0" t="n">
        <v>0.985</v>
      </c>
      <c r="AN49" s="177" t="n">
        <v>0.9958</v>
      </c>
      <c r="AO49" s="177" t="n">
        <v>0.99</v>
      </c>
      <c r="AP49" s="177" t="n">
        <v>0.99</v>
      </c>
      <c r="AQ49" s="0" t="n">
        <v>0.985</v>
      </c>
      <c r="AR49" s="0" t="n">
        <v>0.97364665</v>
      </c>
      <c r="AS49" s="0" t="n">
        <v>0.977</v>
      </c>
      <c r="AT49" s="177" t="n">
        <v>0.9775</v>
      </c>
      <c r="AU49" s="0" t="n">
        <v>0.97364665</v>
      </c>
      <c r="AV49" s="0" t="n">
        <v>0.985</v>
      </c>
      <c r="AW49" s="0" t="n">
        <v>0.985</v>
      </c>
      <c r="AX49" s="0" t="n">
        <v>0.985</v>
      </c>
      <c r="AY49" s="0" t="n">
        <v>0.97364665</v>
      </c>
      <c r="AZ49" s="0" t="n">
        <v>0.97364665</v>
      </c>
      <c r="BA49" s="0" t="n">
        <v>0.985</v>
      </c>
      <c r="BB49" s="187" t="n">
        <v>1</v>
      </c>
      <c r="BC49" s="0" t="n">
        <v>1</v>
      </c>
      <c r="BD49" s="0" t="n">
        <v>1</v>
      </c>
      <c r="BE49" s="0" t="n">
        <v>1</v>
      </c>
      <c r="BF49" s="0" t="n">
        <v>0.9999</v>
      </c>
      <c r="BG49" s="0" t="n">
        <v>1</v>
      </c>
      <c r="BH49" s="0" t="n">
        <v>1</v>
      </c>
      <c r="BI49" s="0" t="n">
        <v>0.99</v>
      </c>
      <c r="BJ49" s="0" t="n">
        <v>0.999</v>
      </c>
      <c r="BK49" s="0" t="n">
        <v>0.998</v>
      </c>
      <c r="BL49" s="0" t="n">
        <v>0.9985</v>
      </c>
      <c r="BM49" s="0" t="n">
        <v>0.9985</v>
      </c>
      <c r="BN49" s="0" t="n">
        <v>0.972</v>
      </c>
      <c r="BO49" s="0" t="n">
        <v>0.9999</v>
      </c>
      <c r="BP49" s="0" t="n">
        <v>0.9999</v>
      </c>
      <c r="BQ49" s="0" t="n">
        <v>1</v>
      </c>
      <c r="BR49" s="0" t="n">
        <v>1.0764026</v>
      </c>
      <c r="BS49" s="0" t="n">
        <v>1.0978</v>
      </c>
      <c r="BT49" s="0" t="n">
        <v>1.0827</v>
      </c>
      <c r="BU49" s="0" t="n">
        <v>1.0092</v>
      </c>
      <c r="BV49" s="0" t="n">
        <v>1</v>
      </c>
      <c r="BW49" s="0" t="n">
        <v>2.0022</v>
      </c>
      <c r="BX49" s="0" t="n">
        <v>2.252306333</v>
      </c>
      <c r="BY49" s="0" t="n">
        <v>1.04935</v>
      </c>
      <c r="BZ49" s="0" t="n">
        <v>1.2885</v>
      </c>
      <c r="CA49" s="0" t="n">
        <v>2.001</v>
      </c>
      <c r="CB49" s="0" t="n">
        <v>1.486505</v>
      </c>
      <c r="CC49" s="0" t="n">
        <v>1.486505</v>
      </c>
      <c r="CD49" s="0" t="n">
        <v>1.245405</v>
      </c>
      <c r="CE49" s="0" t="n">
        <v>1.05968</v>
      </c>
      <c r="CF49" s="0" t="n">
        <v>1.403405</v>
      </c>
      <c r="CG49" s="188"/>
      <c r="CH49" s="0" t="n">
        <v>1.093985</v>
      </c>
      <c r="CI49" s="188"/>
      <c r="CJ49" s="188"/>
      <c r="CK49" s="188"/>
      <c r="CL49" s="188"/>
      <c r="CM49" s="188"/>
      <c r="CN49" s="188"/>
      <c r="CO49" s="188"/>
      <c r="CP49" s="0" t="n">
        <v>0.975</v>
      </c>
      <c r="CQ49" s="0" t="n">
        <v>0.91</v>
      </c>
      <c r="CR49" s="0" t="n">
        <v>0.91</v>
      </c>
      <c r="CS49" s="0" t="n">
        <v>0.95</v>
      </c>
      <c r="CT49" s="0" t="n">
        <v>0.99895</v>
      </c>
      <c r="CU49" s="0" t="n">
        <v>0.46</v>
      </c>
      <c r="CV49" s="0" t="n">
        <v>0.55</v>
      </c>
      <c r="CW49" s="0" t="n">
        <v>0.925</v>
      </c>
      <c r="CX49" s="0" t="n">
        <v>0.565</v>
      </c>
      <c r="CY49" s="0" t="n">
        <v>0.575</v>
      </c>
      <c r="CZ49" s="0" t="n">
        <v>0.945</v>
      </c>
      <c r="DA49" s="0" t="n">
        <v>0.9775</v>
      </c>
      <c r="DB49" s="0" t="n">
        <v>0.945</v>
      </c>
      <c r="DC49" s="0" t="n">
        <v>0.92</v>
      </c>
      <c r="DD49" s="0" t="n">
        <v>0.915</v>
      </c>
      <c r="DE49" s="0" t="n">
        <v>0.89</v>
      </c>
      <c r="DF49" s="0" t="n">
        <v>0.985</v>
      </c>
      <c r="DG49" s="0" t="n">
        <v>0.99</v>
      </c>
      <c r="DH49" s="0" t="n">
        <v>0.99</v>
      </c>
      <c r="DI49" s="0" t="n">
        <v>0.9775</v>
      </c>
      <c r="DN49" s="188" t="n">
        <v>0.000285</v>
      </c>
      <c r="DO49" s="188" t="n">
        <v>0.0002</v>
      </c>
      <c r="DP49" s="188" t="n">
        <v>0</v>
      </c>
      <c r="DQ49" s="188" t="n">
        <v>0.0001</v>
      </c>
      <c r="DR49" s="188" t="n">
        <v>0</v>
      </c>
      <c r="DS49" s="188" t="n">
        <v>0.0036</v>
      </c>
      <c r="DT49" s="188" t="n">
        <v>0.00047</v>
      </c>
      <c r="DU49" s="188" t="n">
        <v>0.0007</v>
      </c>
      <c r="DV49" s="188" t="n">
        <v>0</v>
      </c>
      <c r="DW49" s="188" t="n">
        <v>0</v>
      </c>
      <c r="DX49" s="188" t="n">
        <v>0.0005</v>
      </c>
      <c r="DY49" s="188" t="n">
        <v>0.0005</v>
      </c>
      <c r="DZ49" s="188" t="n">
        <v>0.0003</v>
      </c>
      <c r="EA49" s="188" t="n">
        <v>0.000275</v>
      </c>
      <c r="EB49" s="188" t="n">
        <v>0.0004</v>
      </c>
      <c r="ED49" s="188" t="n">
        <v>6.5E-005</v>
      </c>
      <c r="EF49" s="0" t="n">
        <v>1</v>
      </c>
    </row>
    <row r="50" customFormat="false" ht="12.75" hidden="false" customHeight="false" outlineLevel="0" collapsed="false">
      <c r="A50" s="149" t="n">
        <v>37895</v>
      </c>
      <c r="B50" s="0" t="n">
        <v>0.98</v>
      </c>
      <c r="C50" s="0" t="n">
        <v>0.988</v>
      </c>
      <c r="D50" s="0" t="n">
        <v>0.975</v>
      </c>
      <c r="E50" s="0" t="n">
        <f aca="false">E38</f>
        <v>0.978</v>
      </c>
      <c r="F50" s="0" t="n">
        <v>0.977</v>
      </c>
      <c r="G50" s="0" t="n">
        <v>0.922668</v>
      </c>
      <c r="H50" s="0" t="n">
        <v>0.9875</v>
      </c>
      <c r="I50" s="0" t="n">
        <v>0.97129625</v>
      </c>
      <c r="J50" s="0" t="n">
        <v>0.7151175</v>
      </c>
      <c r="K50" s="0" t="n">
        <v>0.985</v>
      </c>
      <c r="L50" s="176" t="n">
        <v>0.9875</v>
      </c>
      <c r="M50" s="176" t="n">
        <v>0.9875</v>
      </c>
      <c r="N50" s="0" t="n">
        <v>0.98</v>
      </c>
      <c r="O50" s="0" t="n">
        <v>0.956609388</v>
      </c>
      <c r="P50" s="0" t="n">
        <v>0.98</v>
      </c>
      <c r="Q50" s="177" t="n">
        <v>0.9875</v>
      </c>
      <c r="R50" s="0" t="n">
        <v>0.9875</v>
      </c>
      <c r="S50" s="176" t="n">
        <v>0.9875</v>
      </c>
      <c r="T50" s="0" t="n">
        <v>0.98</v>
      </c>
      <c r="U50" s="0" t="n">
        <v>0.98</v>
      </c>
      <c r="V50" s="0" t="n">
        <v>0.98</v>
      </c>
      <c r="W50" s="0" t="n">
        <v>0.98</v>
      </c>
      <c r="X50" s="0" t="n">
        <v>0.956609388</v>
      </c>
      <c r="Y50" s="0" t="n">
        <v>0.956609388</v>
      </c>
      <c r="Z50" s="0" t="n">
        <v>0.956609388</v>
      </c>
      <c r="AA50" s="0" t="n">
        <v>0.956609388</v>
      </c>
      <c r="AB50" s="0" t="n">
        <v>0.98</v>
      </c>
      <c r="AC50" s="0" t="n">
        <v>0.98</v>
      </c>
      <c r="AD50" s="0" t="n">
        <v>0.956609388</v>
      </c>
      <c r="AE50" s="0" t="n">
        <v>0.956609388</v>
      </c>
      <c r="AF50" s="0" t="n">
        <v>0.98</v>
      </c>
      <c r="AG50" s="0" t="n">
        <v>0.99</v>
      </c>
      <c r="AH50" s="0" t="n">
        <v>0.9737045</v>
      </c>
      <c r="AI50" s="0" t="n">
        <v>0.9737045</v>
      </c>
      <c r="AJ50" s="0" t="n">
        <v>0.98</v>
      </c>
      <c r="AK50" s="0" t="n">
        <v>1</v>
      </c>
      <c r="AL50" s="0" t="n">
        <v>0.985</v>
      </c>
      <c r="AM50" s="0" t="n">
        <v>0.985</v>
      </c>
      <c r="AN50" s="177" t="n">
        <v>0.9958</v>
      </c>
      <c r="AO50" s="177" t="n">
        <v>0.98</v>
      </c>
      <c r="AP50" s="177" t="n">
        <v>0.99</v>
      </c>
      <c r="AQ50" s="0" t="n">
        <v>0.985</v>
      </c>
      <c r="AR50" s="0" t="n">
        <v>0.9737045</v>
      </c>
      <c r="AS50" s="0" t="n">
        <v>0.977</v>
      </c>
      <c r="AT50" s="177" t="n">
        <v>0.9775</v>
      </c>
      <c r="AU50" s="0" t="n">
        <v>0.9737045</v>
      </c>
      <c r="AV50" s="0" t="n">
        <v>0.985</v>
      </c>
      <c r="AW50" s="0" t="n">
        <v>0.985</v>
      </c>
      <c r="AX50" s="0" t="n">
        <v>0.985</v>
      </c>
      <c r="AY50" s="0" t="n">
        <v>0.9737045</v>
      </c>
      <c r="AZ50" s="0" t="n">
        <v>0.9737045</v>
      </c>
      <c r="BA50" s="0" t="n">
        <v>0.985</v>
      </c>
      <c r="BB50" s="187" t="n">
        <v>1</v>
      </c>
      <c r="BC50" s="0" t="n">
        <v>1</v>
      </c>
      <c r="BD50" s="0" t="n">
        <v>1</v>
      </c>
      <c r="BE50" s="0" t="n">
        <v>1</v>
      </c>
      <c r="BF50" s="0" t="n">
        <v>0.9999</v>
      </c>
      <c r="BG50" s="0" t="n">
        <v>1</v>
      </c>
      <c r="BH50" s="0" t="n">
        <v>1</v>
      </c>
      <c r="BI50" s="0" t="n">
        <v>0.99</v>
      </c>
      <c r="BJ50" s="0" t="n">
        <v>0.999</v>
      </c>
      <c r="BK50" s="0" t="n">
        <v>0.998</v>
      </c>
      <c r="BL50" s="0" t="n">
        <v>0.9985</v>
      </c>
      <c r="BM50" s="0" t="n">
        <v>0.9985</v>
      </c>
      <c r="BN50" s="0" t="n">
        <v>0.972</v>
      </c>
      <c r="BO50" s="0" t="n">
        <v>0.9999</v>
      </c>
      <c r="BP50" s="0" t="n">
        <v>0.9999</v>
      </c>
      <c r="BQ50" s="0" t="n">
        <v>1</v>
      </c>
      <c r="BR50" s="0" t="n">
        <v>1.0766876</v>
      </c>
      <c r="BS50" s="0" t="n">
        <v>1.098</v>
      </c>
      <c r="BT50" s="0" t="n">
        <v>1.0827</v>
      </c>
      <c r="BU50" s="0" t="n">
        <v>1.0093</v>
      </c>
      <c r="BV50" s="0" t="n">
        <v>1</v>
      </c>
      <c r="BW50" s="0" t="n">
        <v>2.0058</v>
      </c>
      <c r="BX50" s="0" t="n">
        <v>2.252776333</v>
      </c>
      <c r="BY50" s="0" t="n">
        <v>1.05005</v>
      </c>
      <c r="BZ50" s="0" t="n">
        <v>1.2885</v>
      </c>
      <c r="CA50" s="0" t="n">
        <v>2.001</v>
      </c>
      <c r="CB50" s="0" t="n">
        <v>1.487005</v>
      </c>
      <c r="CC50" s="0" t="n">
        <v>1.487005</v>
      </c>
      <c r="CD50" s="0" t="n">
        <v>1.245705</v>
      </c>
      <c r="CE50" s="0" t="n">
        <v>1.059955</v>
      </c>
      <c r="CF50" s="0" t="n">
        <v>1.403805</v>
      </c>
      <c r="CG50" s="188"/>
      <c r="CH50" s="0" t="n">
        <v>1.09405</v>
      </c>
      <c r="CI50" s="188"/>
      <c r="CJ50" s="188"/>
      <c r="CK50" s="188"/>
      <c r="CL50" s="188"/>
      <c r="CM50" s="188"/>
      <c r="CN50" s="188"/>
      <c r="CO50" s="188"/>
      <c r="CP50" s="0" t="n">
        <v>0.955</v>
      </c>
      <c r="CQ50" s="0" t="n">
        <v>0.9</v>
      </c>
      <c r="CR50" s="0" t="n">
        <v>0.91</v>
      </c>
      <c r="CS50" s="0" t="n">
        <v>0.94</v>
      </c>
      <c r="CT50" s="0" t="n">
        <v>0.99895</v>
      </c>
      <c r="CU50" s="0" t="n">
        <v>0.46</v>
      </c>
      <c r="CV50" s="0" t="n">
        <v>0.45</v>
      </c>
      <c r="CW50" s="0" t="n">
        <v>0.925</v>
      </c>
      <c r="CX50" s="0" t="n">
        <v>0.555</v>
      </c>
      <c r="CY50" s="0" t="n">
        <v>0.505</v>
      </c>
      <c r="CZ50" s="0" t="n">
        <v>0.805</v>
      </c>
      <c r="DA50" s="0" t="n">
        <v>0.8375</v>
      </c>
      <c r="DB50" s="0" t="n">
        <v>0.875</v>
      </c>
      <c r="DC50" s="0" t="n">
        <v>0.9025</v>
      </c>
      <c r="DD50" s="0" t="n">
        <v>0.82</v>
      </c>
      <c r="DE50" s="0" t="n">
        <v>0.89</v>
      </c>
      <c r="DF50" s="0" t="n">
        <v>0.985</v>
      </c>
      <c r="DG50" s="0" t="n">
        <v>0.98</v>
      </c>
      <c r="DH50" s="0" t="n">
        <v>0.99</v>
      </c>
      <c r="DI50" s="0" t="n">
        <v>0.9775</v>
      </c>
      <c r="DN50" s="188" t="n">
        <v>0.000285</v>
      </c>
      <c r="DO50" s="188" t="n">
        <v>0.0002</v>
      </c>
      <c r="DP50" s="188" t="n">
        <v>0</v>
      </c>
      <c r="DQ50" s="188" t="n">
        <v>0.0001</v>
      </c>
      <c r="DR50" s="188" t="n">
        <v>0</v>
      </c>
      <c r="DS50" s="188" t="n">
        <v>0.0036</v>
      </c>
      <c r="DT50" s="188" t="n">
        <v>0.00047</v>
      </c>
      <c r="DU50" s="188" t="n">
        <v>0.0007</v>
      </c>
      <c r="DV50" s="188" t="n">
        <v>0</v>
      </c>
      <c r="DW50" s="188" t="n">
        <v>0</v>
      </c>
      <c r="DX50" s="188" t="n">
        <v>0.0005</v>
      </c>
      <c r="DY50" s="188" t="n">
        <v>0.0005</v>
      </c>
      <c r="DZ50" s="188" t="n">
        <v>0.0003</v>
      </c>
      <c r="EA50" s="188" t="n">
        <v>0.000275</v>
      </c>
      <c r="EB50" s="188" t="n">
        <v>0.0004</v>
      </c>
      <c r="ED50" s="188" t="n">
        <v>6.5E-005</v>
      </c>
      <c r="EF50" s="0" t="n">
        <v>1</v>
      </c>
    </row>
    <row r="51" customFormat="false" ht="12.75" hidden="false" customHeight="false" outlineLevel="0" collapsed="false">
      <c r="A51" s="149" t="n">
        <v>37926</v>
      </c>
      <c r="B51" s="0" t="n">
        <v>0.98</v>
      </c>
      <c r="C51" s="0" t="n">
        <v>0.988</v>
      </c>
      <c r="D51" s="0" t="n">
        <v>0.965</v>
      </c>
      <c r="E51" s="0" t="n">
        <f aca="false">E39</f>
        <v>0.994</v>
      </c>
      <c r="F51" s="0" t="n">
        <v>0.977</v>
      </c>
      <c r="G51" s="0" t="n">
        <v>0.964512</v>
      </c>
      <c r="H51" s="0" t="n">
        <v>0.9875</v>
      </c>
      <c r="I51" s="0" t="n">
        <v>0.95092875</v>
      </c>
      <c r="J51" s="0" t="n">
        <v>0.6635775</v>
      </c>
      <c r="K51" s="0" t="n">
        <v>0.970485</v>
      </c>
      <c r="L51" s="176" t="n">
        <v>0.9875</v>
      </c>
      <c r="M51" s="176" t="n">
        <v>0.9875</v>
      </c>
      <c r="N51" s="0" t="n">
        <v>0.98</v>
      </c>
      <c r="O51" s="0" t="n">
        <v>0.956857575</v>
      </c>
      <c r="P51" s="0" t="n">
        <v>0.98</v>
      </c>
      <c r="Q51" s="177" t="n">
        <v>0.9875</v>
      </c>
      <c r="R51" s="0" t="n">
        <v>0.9875</v>
      </c>
      <c r="S51" s="176" t="n">
        <v>0.9875</v>
      </c>
      <c r="T51" s="0" t="n">
        <v>0.98</v>
      </c>
      <c r="U51" s="0" t="n">
        <v>0.98</v>
      </c>
      <c r="V51" s="0" t="n">
        <v>0.98</v>
      </c>
      <c r="W51" s="0" t="n">
        <v>0.98</v>
      </c>
      <c r="X51" s="0" t="n">
        <v>0.956857575</v>
      </c>
      <c r="Y51" s="0" t="n">
        <v>0.956857575</v>
      </c>
      <c r="Z51" s="0" t="n">
        <v>0.956857575</v>
      </c>
      <c r="AA51" s="0" t="n">
        <v>0.956857575</v>
      </c>
      <c r="AB51" s="0" t="n">
        <v>0.98</v>
      </c>
      <c r="AC51" s="0" t="n">
        <v>0.98</v>
      </c>
      <c r="AD51" s="0" t="n">
        <v>0.956857575</v>
      </c>
      <c r="AE51" s="0" t="n">
        <v>0.956857575</v>
      </c>
      <c r="AF51" s="0" t="n">
        <v>0.98</v>
      </c>
      <c r="AG51" s="0" t="n">
        <v>0.99</v>
      </c>
      <c r="AH51" s="0" t="n">
        <v>0.97376235</v>
      </c>
      <c r="AI51" s="0" t="n">
        <v>0.97376235</v>
      </c>
      <c r="AJ51" s="0" t="n">
        <v>0.98</v>
      </c>
      <c r="AK51" s="0" t="n">
        <v>1</v>
      </c>
      <c r="AL51" s="0" t="n">
        <v>0.970485</v>
      </c>
      <c r="AM51" s="0" t="n">
        <v>0.97443</v>
      </c>
      <c r="AN51" s="177" t="n">
        <v>0.9958</v>
      </c>
      <c r="AO51" s="177" t="n">
        <v>0.97</v>
      </c>
      <c r="AP51" s="177" t="n">
        <v>0.99</v>
      </c>
      <c r="AQ51" s="0" t="n">
        <v>0.97443</v>
      </c>
      <c r="AR51" s="0" t="n">
        <v>0.97376235</v>
      </c>
      <c r="AS51" s="0" t="n">
        <v>0.977</v>
      </c>
      <c r="AT51" s="177" t="n">
        <v>0.9775</v>
      </c>
      <c r="AU51" s="0" t="n">
        <v>0.97376235</v>
      </c>
      <c r="AV51" s="0" t="n">
        <v>0.97443</v>
      </c>
      <c r="AW51" s="0" t="n">
        <v>0.97443</v>
      </c>
      <c r="AX51" s="0" t="n">
        <v>0.97443</v>
      </c>
      <c r="AY51" s="0" t="n">
        <v>0.97376235</v>
      </c>
      <c r="AZ51" s="0" t="n">
        <v>0.97376235</v>
      </c>
      <c r="BA51" s="0" t="n">
        <v>0.97443</v>
      </c>
      <c r="BB51" s="187" t="n">
        <v>1</v>
      </c>
      <c r="BC51" s="0" t="n">
        <v>1</v>
      </c>
      <c r="BD51" s="0" t="n">
        <v>1</v>
      </c>
      <c r="BE51" s="0" t="n">
        <v>1</v>
      </c>
      <c r="BF51" s="0" t="n">
        <v>0.9999</v>
      </c>
      <c r="BG51" s="0" t="n">
        <v>1</v>
      </c>
      <c r="BH51" s="0" t="n">
        <v>1</v>
      </c>
      <c r="BI51" s="0" t="n">
        <v>0.99</v>
      </c>
      <c r="BJ51" s="0" t="n">
        <v>0.999</v>
      </c>
      <c r="BK51" s="0" t="n">
        <v>0.998</v>
      </c>
      <c r="BL51" s="0" t="n">
        <v>0.9985</v>
      </c>
      <c r="BM51" s="0" t="n">
        <v>0.9985</v>
      </c>
      <c r="BN51" s="0" t="n">
        <v>0.972</v>
      </c>
      <c r="BO51" s="0" t="n">
        <v>0.9999</v>
      </c>
      <c r="BP51" s="0" t="n">
        <v>0.9999</v>
      </c>
      <c r="BQ51" s="0" t="n">
        <v>1</v>
      </c>
      <c r="BR51" s="0" t="n">
        <v>1.0769726</v>
      </c>
      <c r="BS51" s="0" t="n">
        <v>1.0982</v>
      </c>
      <c r="BT51" s="0" t="n">
        <v>1.0827</v>
      </c>
      <c r="BU51" s="0" t="n">
        <v>1.0094</v>
      </c>
      <c r="BV51" s="0" t="n">
        <v>1</v>
      </c>
      <c r="BW51" s="0" t="n">
        <v>2.0094</v>
      </c>
      <c r="BX51" s="0" t="n">
        <v>2.253246333</v>
      </c>
      <c r="BY51" s="0" t="n">
        <v>1.05075</v>
      </c>
      <c r="BZ51" s="0" t="n">
        <v>1.2885</v>
      </c>
      <c r="CA51" s="0" t="n">
        <v>2.001</v>
      </c>
      <c r="CB51" s="0" t="n">
        <v>1.487505</v>
      </c>
      <c r="CC51" s="0" t="n">
        <v>1.487505</v>
      </c>
      <c r="CD51" s="0" t="n">
        <v>1.246005</v>
      </c>
      <c r="CE51" s="0" t="n">
        <v>1.06023</v>
      </c>
      <c r="CF51" s="0" t="n">
        <v>1.404205</v>
      </c>
      <c r="CG51" s="188"/>
      <c r="CH51" s="0" t="n">
        <v>1.094115</v>
      </c>
      <c r="CI51" s="188"/>
      <c r="CJ51" s="188"/>
      <c r="CK51" s="188"/>
      <c r="CL51" s="188"/>
      <c r="CM51" s="188"/>
      <c r="CN51" s="188"/>
      <c r="CO51" s="188"/>
      <c r="CP51" s="0" t="n">
        <v>0.955</v>
      </c>
      <c r="CQ51" s="0" t="n">
        <v>0.9</v>
      </c>
      <c r="CR51" s="0" t="n">
        <v>0.9</v>
      </c>
      <c r="CS51" s="0" t="n">
        <v>0.94</v>
      </c>
      <c r="CT51" s="0" t="n">
        <v>0.999</v>
      </c>
      <c r="CU51" s="0" t="n">
        <v>0.48</v>
      </c>
      <c r="CV51" s="0" t="n">
        <v>0.46</v>
      </c>
      <c r="CW51" s="0" t="n">
        <v>0.905</v>
      </c>
      <c r="CX51" s="0" t="n">
        <v>0.515</v>
      </c>
      <c r="CY51" s="0" t="n">
        <v>0.485</v>
      </c>
      <c r="CZ51" s="0" t="n">
        <v>0.795</v>
      </c>
      <c r="DA51" s="0" t="n">
        <v>0.8275</v>
      </c>
      <c r="DB51" s="0" t="n">
        <v>0.85</v>
      </c>
      <c r="DC51" s="0" t="n">
        <v>0.9025</v>
      </c>
      <c r="DD51" s="0" t="n">
        <v>0.82</v>
      </c>
      <c r="DE51" s="0" t="n">
        <v>0.89</v>
      </c>
      <c r="DF51" s="0" t="n">
        <v>0.985</v>
      </c>
      <c r="DG51" s="0" t="n">
        <v>0.97</v>
      </c>
      <c r="DH51" s="0" t="n">
        <v>0.99</v>
      </c>
      <c r="DI51" s="0" t="n">
        <v>0.9775</v>
      </c>
      <c r="DN51" s="188" t="n">
        <v>0.000285</v>
      </c>
      <c r="DO51" s="188" t="n">
        <v>0.0002</v>
      </c>
      <c r="DP51" s="188" t="n">
        <v>0</v>
      </c>
      <c r="DQ51" s="188" t="n">
        <v>0.0001</v>
      </c>
      <c r="DR51" s="188" t="n">
        <v>0</v>
      </c>
      <c r="DS51" s="188" t="n">
        <v>0.0036</v>
      </c>
      <c r="DT51" s="188" t="n">
        <v>0.00047</v>
      </c>
      <c r="DU51" s="188" t="n">
        <v>0.0007</v>
      </c>
      <c r="DV51" s="188" t="n">
        <v>0</v>
      </c>
      <c r="DW51" s="188" t="n">
        <v>0</v>
      </c>
      <c r="DX51" s="188" t="n">
        <v>0.0005</v>
      </c>
      <c r="DY51" s="188" t="n">
        <v>0.0005</v>
      </c>
      <c r="DZ51" s="188" t="n">
        <v>0.0003</v>
      </c>
      <c r="EA51" s="188" t="n">
        <v>0.000275</v>
      </c>
      <c r="EB51" s="188" t="n">
        <v>0.0004</v>
      </c>
      <c r="ED51" s="188" t="n">
        <v>6.5E-005</v>
      </c>
      <c r="EF51" s="0" t="n">
        <v>1</v>
      </c>
    </row>
    <row r="52" customFormat="false" ht="12.75" hidden="false" customHeight="false" outlineLevel="0" collapsed="false">
      <c r="A52" s="149" t="n">
        <v>37956</v>
      </c>
      <c r="B52" s="0" t="n">
        <v>0.98</v>
      </c>
      <c r="C52" s="0" t="n">
        <v>0.977576</v>
      </c>
      <c r="D52" s="0" t="n">
        <v>0.965</v>
      </c>
      <c r="E52" s="0" t="n">
        <f aca="false">E40</f>
        <v>0.994</v>
      </c>
      <c r="F52" s="0" t="n">
        <v>0.977</v>
      </c>
      <c r="G52" s="0" t="n">
        <v>0.9875</v>
      </c>
      <c r="H52" s="0" t="n">
        <v>0.9875</v>
      </c>
      <c r="I52" s="0" t="n">
        <v>0.92001875</v>
      </c>
      <c r="J52" s="0" t="n">
        <v>0.67002</v>
      </c>
      <c r="K52" s="0" t="n">
        <v>0.970485</v>
      </c>
      <c r="L52" s="176" t="n">
        <v>0.87792295</v>
      </c>
      <c r="M52" s="176" t="n">
        <v>0.926283112</v>
      </c>
      <c r="N52" s="0" t="n">
        <v>0.85995045</v>
      </c>
      <c r="O52" s="0" t="n">
        <v>0.946500713</v>
      </c>
      <c r="P52" s="0" t="n">
        <v>0.85995045</v>
      </c>
      <c r="Q52" s="177" t="n">
        <v>0.87792295</v>
      </c>
      <c r="R52" s="0" t="n">
        <v>0.87792295</v>
      </c>
      <c r="S52" s="176" t="n">
        <v>0.87792295</v>
      </c>
      <c r="T52" s="0" t="n">
        <v>0.85995045</v>
      </c>
      <c r="U52" s="0" t="n">
        <v>0.85995045</v>
      </c>
      <c r="V52" s="0" t="n">
        <v>0.85995045</v>
      </c>
      <c r="W52" s="0" t="n">
        <v>0.85995045</v>
      </c>
      <c r="X52" s="0" t="n">
        <v>0.946500713</v>
      </c>
      <c r="Y52" s="0" t="n">
        <v>0.946500713</v>
      </c>
      <c r="Z52" s="0" t="n">
        <v>0.946500713</v>
      </c>
      <c r="AA52" s="0" t="n">
        <v>0.946500713</v>
      </c>
      <c r="AB52" s="0" t="n">
        <v>0.85995045</v>
      </c>
      <c r="AC52" s="0" t="n">
        <v>0.85995045</v>
      </c>
      <c r="AD52" s="0" t="n">
        <v>0.946500713</v>
      </c>
      <c r="AE52" s="0" t="n">
        <v>0.946500713</v>
      </c>
      <c r="AF52" s="0" t="n">
        <v>0.85995045</v>
      </c>
      <c r="AG52" s="0" t="n">
        <v>0.98</v>
      </c>
      <c r="AH52" s="0" t="n">
        <v>0.9738202</v>
      </c>
      <c r="AI52" s="0" t="n">
        <v>0.9738202</v>
      </c>
      <c r="AJ52" s="0" t="n">
        <v>0.85995045</v>
      </c>
      <c r="AK52" s="0" t="n">
        <v>1</v>
      </c>
      <c r="AL52" s="0" t="n">
        <v>0.970485</v>
      </c>
      <c r="AM52" s="0" t="n">
        <v>0.952776</v>
      </c>
      <c r="AN52" s="177" t="n">
        <v>0.9958</v>
      </c>
      <c r="AO52" s="177" t="n">
        <v>0.97</v>
      </c>
      <c r="AP52" s="177" t="n">
        <v>0.99</v>
      </c>
      <c r="AQ52" s="0" t="n">
        <v>0.952776</v>
      </c>
      <c r="AR52" s="0" t="n">
        <v>0.9738202</v>
      </c>
      <c r="AS52" s="0" t="n">
        <v>0.977</v>
      </c>
      <c r="AT52" s="177" t="n">
        <v>0.9775</v>
      </c>
      <c r="AU52" s="0" t="n">
        <v>0.9738202</v>
      </c>
      <c r="AV52" s="0" t="n">
        <v>0.952776</v>
      </c>
      <c r="AW52" s="0" t="n">
        <v>0.952776</v>
      </c>
      <c r="AX52" s="0" t="n">
        <v>0.952776</v>
      </c>
      <c r="AY52" s="0" t="n">
        <v>0.9738202</v>
      </c>
      <c r="AZ52" s="0" t="n">
        <v>0.9738202</v>
      </c>
      <c r="BA52" s="0" t="n">
        <v>0.952776</v>
      </c>
      <c r="BB52" s="187" t="n">
        <v>1</v>
      </c>
      <c r="BC52" s="0" t="n">
        <v>1</v>
      </c>
      <c r="BD52" s="0" t="n">
        <v>1</v>
      </c>
      <c r="BE52" s="0" t="n">
        <v>1</v>
      </c>
      <c r="BF52" s="0" t="n">
        <v>0.9999</v>
      </c>
      <c r="BG52" s="0" t="n">
        <v>1</v>
      </c>
      <c r="BH52" s="0" t="n">
        <v>1</v>
      </c>
      <c r="BI52" s="0" t="n">
        <v>0.99</v>
      </c>
      <c r="BJ52" s="0" t="n">
        <v>0.999</v>
      </c>
      <c r="BK52" s="0" t="n">
        <v>0.998</v>
      </c>
      <c r="BL52" s="0" t="n">
        <v>0.9985</v>
      </c>
      <c r="BM52" s="0" t="n">
        <v>0.9985</v>
      </c>
      <c r="BN52" s="0" t="n">
        <v>0.972</v>
      </c>
      <c r="BO52" s="0" t="n">
        <v>0.9999</v>
      </c>
      <c r="BP52" s="0" t="n">
        <v>0.9999</v>
      </c>
      <c r="BQ52" s="0" t="n">
        <v>1</v>
      </c>
      <c r="BR52" s="0" t="n">
        <v>1.0772576</v>
      </c>
      <c r="BS52" s="0" t="n">
        <v>1.0984</v>
      </c>
      <c r="BT52" s="0" t="n">
        <v>1.0827</v>
      </c>
      <c r="BU52" s="0" t="n">
        <v>1.0095</v>
      </c>
      <c r="BV52" s="0" t="n">
        <v>1</v>
      </c>
      <c r="BW52" s="0" t="n">
        <v>2.013</v>
      </c>
      <c r="BX52" s="0" t="n">
        <v>2.253716333</v>
      </c>
      <c r="BY52" s="0" t="n">
        <v>1.05145</v>
      </c>
      <c r="BZ52" s="0" t="n">
        <v>1.2885</v>
      </c>
      <c r="CA52" s="0" t="n">
        <v>2.001</v>
      </c>
      <c r="CB52" s="0" t="n">
        <v>1.488005</v>
      </c>
      <c r="CC52" s="0" t="n">
        <v>1.488005</v>
      </c>
      <c r="CD52" s="0" t="n">
        <v>1.246305</v>
      </c>
      <c r="CE52" s="0" t="n">
        <v>1.060505</v>
      </c>
      <c r="CF52" s="0" t="n">
        <v>1.404605</v>
      </c>
      <c r="CG52" s="188"/>
      <c r="CH52" s="0" t="n">
        <v>1.09418</v>
      </c>
      <c r="CI52" s="188"/>
      <c r="CJ52" s="188"/>
      <c r="CK52" s="188"/>
      <c r="CL52" s="188"/>
      <c r="CM52" s="188"/>
      <c r="CN52" s="188"/>
      <c r="CO52" s="188"/>
      <c r="CP52" s="0" t="n">
        <v>0.935</v>
      </c>
      <c r="CQ52" s="0" t="n">
        <v>0.89</v>
      </c>
      <c r="CR52" s="0" t="n">
        <v>0.88</v>
      </c>
      <c r="CS52" s="0" t="n">
        <v>0.92</v>
      </c>
      <c r="CT52" s="0" t="n">
        <v>0.999</v>
      </c>
      <c r="CU52" s="0" t="n">
        <v>0.51</v>
      </c>
      <c r="CV52" s="0" t="n">
        <v>0.48</v>
      </c>
      <c r="CW52" s="0" t="n">
        <v>0.875</v>
      </c>
      <c r="CX52" s="0" t="n">
        <v>0.52</v>
      </c>
      <c r="CY52" s="0" t="n">
        <v>0.485</v>
      </c>
      <c r="CZ52" s="0" t="n">
        <v>0.59</v>
      </c>
      <c r="DA52" s="0" t="n">
        <v>0.6225</v>
      </c>
      <c r="DB52" s="0" t="n">
        <v>0.69</v>
      </c>
      <c r="DC52" s="0" t="n">
        <v>0.8925</v>
      </c>
      <c r="DD52" s="0" t="n">
        <v>0.715</v>
      </c>
      <c r="DE52" s="0" t="n">
        <v>0.89</v>
      </c>
      <c r="DF52" s="0" t="n">
        <v>0.985</v>
      </c>
      <c r="DG52" s="0" t="n">
        <v>0.97</v>
      </c>
      <c r="DH52" s="0" t="n">
        <v>0.99</v>
      </c>
      <c r="DI52" s="0" t="n">
        <v>0.9775</v>
      </c>
      <c r="DN52" s="188" t="n">
        <v>0.000285</v>
      </c>
      <c r="DO52" s="188" t="n">
        <v>0.0002</v>
      </c>
      <c r="DP52" s="188" t="n">
        <v>0</v>
      </c>
      <c r="DQ52" s="188" t="n">
        <v>0.0001</v>
      </c>
      <c r="DR52" s="188" t="n">
        <v>0</v>
      </c>
      <c r="DS52" s="188" t="n">
        <v>0.0036</v>
      </c>
      <c r="DT52" s="188" t="n">
        <v>0.00047</v>
      </c>
      <c r="DU52" s="188" t="n">
        <v>0.0007</v>
      </c>
      <c r="DV52" s="188" t="n">
        <v>0</v>
      </c>
      <c r="DW52" s="188" t="n">
        <v>0</v>
      </c>
      <c r="DX52" s="188" t="n">
        <v>0.0005</v>
      </c>
      <c r="DY52" s="188" t="n">
        <v>0.0005</v>
      </c>
      <c r="DZ52" s="188" t="n">
        <v>0.0003</v>
      </c>
      <c r="EA52" s="188" t="n">
        <v>0.000275</v>
      </c>
      <c r="EB52" s="188" t="n">
        <v>0.0004</v>
      </c>
      <c r="ED52" s="188" t="n">
        <v>6.5E-005</v>
      </c>
      <c r="EF52" s="0" t="n">
        <v>1</v>
      </c>
    </row>
    <row r="53" customFormat="false" ht="12.75" hidden="false" customHeight="false" outlineLevel="0" collapsed="false">
      <c r="A53" s="149" t="n">
        <v>37987</v>
      </c>
      <c r="B53" s="0" t="n">
        <v>0.98</v>
      </c>
      <c r="C53" s="0" t="n">
        <v>0.944796</v>
      </c>
      <c r="D53" s="0" t="n">
        <v>0.965</v>
      </c>
      <c r="E53" s="0" t="n">
        <f aca="false">E41</f>
        <v>0.994</v>
      </c>
      <c r="F53" s="0" t="n">
        <v>0.977</v>
      </c>
      <c r="G53" s="0" t="n">
        <v>0.9875</v>
      </c>
      <c r="H53" s="0" t="n">
        <v>0.9875</v>
      </c>
      <c r="I53" s="0" t="n">
        <v>0.84698075</v>
      </c>
      <c r="J53" s="0" t="n">
        <v>0.682905</v>
      </c>
      <c r="K53" s="0" t="n">
        <v>0.985</v>
      </c>
      <c r="L53" s="176" t="n">
        <v>0.900545525</v>
      </c>
      <c r="M53" s="176" t="n">
        <v>0.948921937</v>
      </c>
      <c r="N53" s="0" t="n">
        <v>0.86015745</v>
      </c>
      <c r="O53" s="0" t="n">
        <v>0.9334864</v>
      </c>
      <c r="P53" s="0" t="n">
        <v>0.86015745</v>
      </c>
      <c r="Q53" s="177" t="n">
        <v>0.900545525</v>
      </c>
      <c r="R53" s="0" t="n">
        <v>0.900545525</v>
      </c>
      <c r="S53" s="176" t="n">
        <v>0.900545525</v>
      </c>
      <c r="T53" s="0" t="n">
        <v>0.86015745</v>
      </c>
      <c r="U53" s="0" t="n">
        <v>0.86015745</v>
      </c>
      <c r="V53" s="0" t="n">
        <v>0.86015745</v>
      </c>
      <c r="W53" s="0" t="n">
        <v>0.86015745</v>
      </c>
      <c r="X53" s="0" t="n">
        <v>0.9334864</v>
      </c>
      <c r="Y53" s="0" t="n">
        <v>0.9334864</v>
      </c>
      <c r="Z53" s="0" t="n">
        <v>0.9334864</v>
      </c>
      <c r="AA53" s="0" t="n">
        <v>0.9334864</v>
      </c>
      <c r="AB53" s="0" t="n">
        <v>0.86015745</v>
      </c>
      <c r="AC53" s="0" t="n">
        <v>0.86015745</v>
      </c>
      <c r="AD53" s="0" t="n">
        <v>0.9334864</v>
      </c>
      <c r="AE53" s="0" t="n">
        <v>0.9334864</v>
      </c>
      <c r="AF53" s="0" t="n">
        <v>0.86015745</v>
      </c>
      <c r="AG53" s="0" t="n">
        <v>0.98</v>
      </c>
      <c r="AH53" s="0" t="n">
        <v>0.97387805</v>
      </c>
      <c r="AI53" s="0" t="n">
        <v>0.97387805</v>
      </c>
      <c r="AJ53" s="0" t="n">
        <v>0.86015745</v>
      </c>
      <c r="AK53" s="0" t="n">
        <v>1</v>
      </c>
      <c r="AL53" s="0" t="n">
        <v>0.985</v>
      </c>
      <c r="AM53" s="0" t="n">
        <v>0.941949</v>
      </c>
      <c r="AN53" s="177" t="n">
        <v>0.9958</v>
      </c>
      <c r="AO53" s="177" t="n">
        <v>0.96</v>
      </c>
      <c r="AP53" s="177" t="n">
        <v>0.99</v>
      </c>
      <c r="AQ53" s="0" t="n">
        <v>0.941949</v>
      </c>
      <c r="AR53" s="0" t="n">
        <v>0.97387805</v>
      </c>
      <c r="AS53" s="0" t="n">
        <v>0.977</v>
      </c>
      <c r="AT53" s="177" t="n">
        <v>0.9775</v>
      </c>
      <c r="AU53" s="0" t="n">
        <v>0.97387805</v>
      </c>
      <c r="AV53" s="0" t="n">
        <v>0.941949</v>
      </c>
      <c r="AW53" s="0" t="n">
        <v>0.941949</v>
      </c>
      <c r="AX53" s="0" t="n">
        <v>0.941949</v>
      </c>
      <c r="AY53" s="0" t="n">
        <v>0.97387805</v>
      </c>
      <c r="AZ53" s="0" t="n">
        <v>0.97387805</v>
      </c>
      <c r="BA53" s="0" t="n">
        <v>0.941949</v>
      </c>
      <c r="BB53" s="187" t="n">
        <v>1</v>
      </c>
      <c r="BC53" s="0" t="n">
        <v>1</v>
      </c>
      <c r="BD53" s="0" t="n">
        <v>1</v>
      </c>
      <c r="BE53" s="0" t="n">
        <v>1</v>
      </c>
      <c r="BF53" s="0" t="n">
        <v>0.9999</v>
      </c>
      <c r="BG53" s="0" t="n">
        <v>1</v>
      </c>
      <c r="BH53" s="0" t="n">
        <v>1</v>
      </c>
      <c r="BI53" s="0" t="n">
        <v>0.99</v>
      </c>
      <c r="BJ53" s="0" t="n">
        <v>0.999</v>
      </c>
      <c r="BK53" s="0" t="n">
        <v>0.998</v>
      </c>
      <c r="BL53" s="0" t="n">
        <v>0.9985</v>
      </c>
      <c r="BM53" s="0" t="n">
        <v>0.9985</v>
      </c>
      <c r="BN53" s="0" t="n">
        <v>0.972</v>
      </c>
      <c r="BO53" s="0" t="n">
        <v>0.9999</v>
      </c>
      <c r="BP53" s="0" t="n">
        <v>0.9999</v>
      </c>
      <c r="BQ53" s="0" t="n">
        <v>1</v>
      </c>
      <c r="BR53" s="0" t="n">
        <v>1.0775426</v>
      </c>
      <c r="BS53" s="0" t="n">
        <v>1.0986</v>
      </c>
      <c r="BT53" s="0" t="n">
        <v>1.0827</v>
      </c>
      <c r="BU53" s="0" t="n">
        <v>1.0096</v>
      </c>
      <c r="BV53" s="0" t="n">
        <v>1</v>
      </c>
      <c r="BW53" s="0" t="n">
        <v>2.0166</v>
      </c>
      <c r="BX53" s="0" t="n">
        <v>2.254186333</v>
      </c>
      <c r="BY53" s="0" t="n">
        <v>1.05215</v>
      </c>
      <c r="BZ53" s="0" t="n">
        <v>1.2885</v>
      </c>
      <c r="CA53" s="0" t="n">
        <v>2.001</v>
      </c>
      <c r="CB53" s="0" t="n">
        <v>1.488505</v>
      </c>
      <c r="CC53" s="0" t="n">
        <v>1.488505</v>
      </c>
      <c r="CD53" s="0" t="n">
        <v>1.246605</v>
      </c>
      <c r="CE53" s="0" t="n">
        <v>1.06078</v>
      </c>
      <c r="CF53" s="0" t="n">
        <v>1.405005</v>
      </c>
      <c r="CG53" s="188"/>
      <c r="CH53" s="0" t="n">
        <v>1.094245</v>
      </c>
      <c r="CI53" s="188"/>
      <c r="CJ53" s="188"/>
      <c r="CK53" s="188"/>
      <c r="CL53" s="188"/>
      <c r="CM53" s="188"/>
      <c r="CN53" s="188"/>
      <c r="CO53" s="188"/>
      <c r="CP53" s="0" t="n">
        <v>0.895</v>
      </c>
      <c r="CQ53" s="0" t="n">
        <v>0.86</v>
      </c>
      <c r="CR53" s="0" t="n">
        <v>0.87</v>
      </c>
      <c r="CS53" s="0" t="n">
        <v>0.92</v>
      </c>
      <c r="CT53" s="0" t="n">
        <v>0.999</v>
      </c>
      <c r="CU53" s="0" t="n">
        <v>0.58</v>
      </c>
      <c r="CV53" s="0" t="n">
        <v>0.45</v>
      </c>
      <c r="CW53" s="0" t="n">
        <v>0.805</v>
      </c>
      <c r="CX53" s="0" t="n">
        <v>0.53</v>
      </c>
      <c r="CY53" s="0" t="n">
        <v>0.505</v>
      </c>
      <c r="CZ53" s="0" t="n">
        <v>0.605</v>
      </c>
      <c r="DA53" s="0" t="n">
        <v>0.6375</v>
      </c>
      <c r="DB53" s="0" t="n">
        <v>0.69</v>
      </c>
      <c r="DC53" s="0" t="n">
        <v>0.88</v>
      </c>
      <c r="DD53" s="0" t="n">
        <v>0.64</v>
      </c>
      <c r="DE53" s="0" t="n">
        <v>0.89</v>
      </c>
      <c r="DF53" s="0" t="n">
        <v>0.985</v>
      </c>
      <c r="DG53" s="0" t="n">
        <v>0.96</v>
      </c>
      <c r="DH53" s="0" t="n">
        <v>0.99</v>
      </c>
      <c r="DI53" s="0" t="n">
        <v>0.9775</v>
      </c>
      <c r="DN53" s="188" t="n">
        <v>0.000285</v>
      </c>
      <c r="DO53" s="188" t="n">
        <v>0.0002</v>
      </c>
      <c r="DP53" s="188" t="n">
        <v>0</v>
      </c>
      <c r="DQ53" s="188" t="n">
        <v>0.0001</v>
      </c>
      <c r="DR53" s="188" t="n">
        <v>0</v>
      </c>
      <c r="DS53" s="188" t="n">
        <v>0.0036</v>
      </c>
      <c r="DT53" s="188" t="n">
        <v>0.00047</v>
      </c>
      <c r="DU53" s="188" t="n">
        <v>0.0007</v>
      </c>
      <c r="DV53" s="188" t="n">
        <v>0</v>
      </c>
      <c r="DW53" s="188" t="n">
        <v>0</v>
      </c>
      <c r="DX53" s="188" t="n">
        <v>0.0005</v>
      </c>
      <c r="DY53" s="188" t="n">
        <v>0.0005</v>
      </c>
      <c r="DZ53" s="188" t="n">
        <v>0.0003</v>
      </c>
      <c r="EA53" s="188" t="n">
        <v>0.000275</v>
      </c>
      <c r="EB53" s="188" t="n">
        <v>0.0004</v>
      </c>
      <c r="ED53" s="188" t="n">
        <v>6.5E-005</v>
      </c>
      <c r="EF53" s="0" t="n">
        <v>1</v>
      </c>
    </row>
    <row r="54" customFormat="false" ht="12.75" hidden="false" customHeight="false" outlineLevel="0" collapsed="false">
      <c r="A54" s="149" t="n">
        <v>38018</v>
      </c>
      <c r="B54" s="0" t="n">
        <v>0.98</v>
      </c>
      <c r="C54" s="0" t="n">
        <v>0.944968</v>
      </c>
      <c r="D54" s="0" t="n">
        <v>0.965</v>
      </c>
      <c r="E54" s="0" t="n">
        <f aca="false">E42</f>
        <v>0.994</v>
      </c>
      <c r="F54" s="0" t="n">
        <v>0.977</v>
      </c>
      <c r="G54" s="0" t="n">
        <v>0.9875</v>
      </c>
      <c r="H54" s="0" t="n">
        <v>0.9875</v>
      </c>
      <c r="I54" s="0" t="n">
        <v>0.88965825</v>
      </c>
      <c r="J54" s="0" t="n">
        <v>0.8181975</v>
      </c>
      <c r="K54" s="0" t="n">
        <v>0.985</v>
      </c>
      <c r="L54" s="176" t="n">
        <v>0.945518175</v>
      </c>
      <c r="M54" s="176" t="n">
        <v>0.9875</v>
      </c>
      <c r="N54" s="0" t="n">
        <v>0.88530255</v>
      </c>
      <c r="O54" s="0" t="n">
        <v>0.931075763</v>
      </c>
      <c r="P54" s="0" t="n">
        <v>0.88530255</v>
      </c>
      <c r="Q54" s="177" t="n">
        <v>0.945518175</v>
      </c>
      <c r="R54" s="0" t="n">
        <v>0.945518175</v>
      </c>
      <c r="S54" s="176" t="n">
        <v>0.945518175</v>
      </c>
      <c r="T54" s="0" t="n">
        <v>0.88530255</v>
      </c>
      <c r="U54" s="0" t="n">
        <v>0.88530255</v>
      </c>
      <c r="V54" s="0" t="n">
        <v>0.88530255</v>
      </c>
      <c r="W54" s="0" t="n">
        <v>0.88530255</v>
      </c>
      <c r="X54" s="0" t="n">
        <v>0.931075763</v>
      </c>
      <c r="Y54" s="0" t="n">
        <v>0.931075763</v>
      </c>
      <c r="Z54" s="0" t="n">
        <v>0.931075763</v>
      </c>
      <c r="AA54" s="0" t="n">
        <v>0.931075763</v>
      </c>
      <c r="AB54" s="0" t="n">
        <v>0.88530255</v>
      </c>
      <c r="AC54" s="0" t="n">
        <v>0.88530255</v>
      </c>
      <c r="AD54" s="0" t="n">
        <v>0.931075763</v>
      </c>
      <c r="AE54" s="0" t="n">
        <v>0.931075763</v>
      </c>
      <c r="AF54" s="0" t="n">
        <v>0.88530255</v>
      </c>
      <c r="AG54" s="0" t="n">
        <v>0.98</v>
      </c>
      <c r="AH54" s="0" t="n">
        <v>0.9739359</v>
      </c>
      <c r="AI54" s="0" t="n">
        <v>0.9739359</v>
      </c>
      <c r="AJ54" s="0" t="n">
        <v>0.88530255</v>
      </c>
      <c r="AK54" s="0" t="n">
        <v>1</v>
      </c>
      <c r="AL54" s="0" t="n">
        <v>0.985</v>
      </c>
      <c r="AM54" s="0" t="n">
        <v>0.963603</v>
      </c>
      <c r="AN54" s="177" t="n">
        <v>0.9958</v>
      </c>
      <c r="AO54" s="177" t="n">
        <v>0.97</v>
      </c>
      <c r="AP54" s="177" t="n">
        <v>0.99</v>
      </c>
      <c r="AQ54" s="0" t="n">
        <v>0.963603</v>
      </c>
      <c r="AR54" s="0" t="n">
        <v>0.9739359</v>
      </c>
      <c r="AS54" s="0" t="n">
        <v>0.977</v>
      </c>
      <c r="AT54" s="177" t="n">
        <v>0.9775</v>
      </c>
      <c r="AU54" s="0" t="n">
        <v>0.9739359</v>
      </c>
      <c r="AV54" s="0" t="n">
        <v>0.963603</v>
      </c>
      <c r="AW54" s="0" t="n">
        <v>0.963603</v>
      </c>
      <c r="AX54" s="0" t="n">
        <v>0.963603</v>
      </c>
      <c r="AY54" s="0" t="n">
        <v>0.9739359</v>
      </c>
      <c r="AZ54" s="0" t="n">
        <v>0.9739359</v>
      </c>
      <c r="BA54" s="0" t="n">
        <v>0.963603</v>
      </c>
      <c r="BB54" s="187" t="n">
        <v>1</v>
      </c>
      <c r="BC54" s="0" t="n">
        <v>1</v>
      </c>
      <c r="BD54" s="0" t="n">
        <v>1</v>
      </c>
      <c r="BE54" s="0" t="n">
        <v>1</v>
      </c>
      <c r="BF54" s="0" t="n">
        <v>0.9999</v>
      </c>
      <c r="BG54" s="0" t="n">
        <v>1</v>
      </c>
      <c r="BH54" s="0" t="n">
        <v>1</v>
      </c>
      <c r="BI54" s="0" t="n">
        <v>0.99</v>
      </c>
      <c r="BJ54" s="0" t="n">
        <v>0.999</v>
      </c>
      <c r="BK54" s="0" t="n">
        <v>0.998</v>
      </c>
      <c r="BL54" s="0" t="n">
        <v>0.9985</v>
      </c>
      <c r="BM54" s="0" t="n">
        <v>0.9985</v>
      </c>
      <c r="BN54" s="0" t="n">
        <v>0.972</v>
      </c>
      <c r="BO54" s="0" t="n">
        <v>0.9999</v>
      </c>
      <c r="BP54" s="0" t="n">
        <v>0.9999</v>
      </c>
      <c r="BQ54" s="0" t="n">
        <v>1</v>
      </c>
      <c r="BR54" s="0" t="n">
        <v>1.0778276</v>
      </c>
      <c r="BS54" s="0" t="n">
        <v>1.0988</v>
      </c>
      <c r="BT54" s="0" t="n">
        <v>1.0827</v>
      </c>
      <c r="BU54" s="0" t="n">
        <v>1.0097</v>
      </c>
      <c r="BV54" s="0" t="n">
        <v>1</v>
      </c>
      <c r="BW54" s="0" t="n">
        <v>2.0202</v>
      </c>
      <c r="BX54" s="0" t="n">
        <v>2.254656333</v>
      </c>
      <c r="BY54" s="0" t="n">
        <v>1.05285</v>
      </c>
      <c r="BZ54" s="0" t="n">
        <v>1.2885</v>
      </c>
      <c r="CA54" s="0" t="n">
        <v>2.001</v>
      </c>
      <c r="CB54" s="0" t="n">
        <v>1.489005</v>
      </c>
      <c r="CC54" s="0" t="n">
        <v>1.489005</v>
      </c>
      <c r="CD54" s="0" t="n">
        <v>1.246905</v>
      </c>
      <c r="CE54" s="0" t="n">
        <v>1.061055</v>
      </c>
      <c r="CF54" s="0" t="n">
        <v>1.405405</v>
      </c>
      <c r="CG54" s="188"/>
      <c r="CH54" s="0" t="n">
        <v>1.09431</v>
      </c>
      <c r="CI54" s="188"/>
      <c r="CJ54" s="188"/>
      <c r="CK54" s="188"/>
      <c r="CL54" s="188"/>
      <c r="CM54" s="188"/>
      <c r="CN54" s="188"/>
      <c r="CO54" s="188"/>
      <c r="CP54" s="0" t="n">
        <v>0.865</v>
      </c>
      <c r="CQ54" s="0" t="n">
        <v>0.86</v>
      </c>
      <c r="CR54" s="0" t="n">
        <v>0.89</v>
      </c>
      <c r="CS54" s="0" t="n">
        <v>0.935</v>
      </c>
      <c r="CT54" s="0" t="n">
        <v>0.99895</v>
      </c>
      <c r="CU54" s="0" t="n">
        <v>0.58</v>
      </c>
      <c r="CV54" s="0" t="n">
        <v>0.45</v>
      </c>
      <c r="CW54" s="0" t="n">
        <v>0.845</v>
      </c>
      <c r="CX54" s="0" t="n">
        <v>0.635</v>
      </c>
      <c r="CY54" s="0" t="n">
        <v>0.505</v>
      </c>
      <c r="CZ54" s="0" t="n">
        <v>0.635</v>
      </c>
      <c r="DA54" s="0" t="n">
        <v>0.6675</v>
      </c>
      <c r="DB54" s="0" t="n">
        <v>0.71</v>
      </c>
      <c r="DC54" s="0" t="n">
        <v>0.8775</v>
      </c>
      <c r="DD54" s="0" t="n">
        <v>0.67</v>
      </c>
      <c r="DE54" s="0" t="n">
        <v>0.89</v>
      </c>
      <c r="DF54" s="0" t="n">
        <v>0.985</v>
      </c>
      <c r="DG54" s="0" t="n">
        <v>0.97</v>
      </c>
      <c r="DH54" s="0" t="n">
        <v>0.99</v>
      </c>
      <c r="DI54" s="0" t="n">
        <v>0.9775</v>
      </c>
      <c r="DN54" s="188" t="n">
        <v>0.000285</v>
      </c>
      <c r="DO54" s="188" t="n">
        <v>0.0002</v>
      </c>
      <c r="DP54" s="188" t="n">
        <v>0</v>
      </c>
      <c r="DQ54" s="188" t="n">
        <v>0.0001</v>
      </c>
      <c r="DR54" s="188" t="n">
        <v>0</v>
      </c>
      <c r="DS54" s="188" t="n">
        <v>0.0036</v>
      </c>
      <c r="DT54" s="188" t="n">
        <v>0.00047</v>
      </c>
      <c r="DU54" s="188" t="n">
        <v>0.0007</v>
      </c>
      <c r="DV54" s="188" t="n">
        <v>0</v>
      </c>
      <c r="DW54" s="188" t="n">
        <v>0</v>
      </c>
      <c r="DX54" s="188" t="n">
        <v>0.0005</v>
      </c>
      <c r="DY54" s="188" t="n">
        <v>0.0005</v>
      </c>
      <c r="DZ54" s="188" t="n">
        <v>0.0003</v>
      </c>
      <c r="EA54" s="188" t="n">
        <v>0.000275</v>
      </c>
      <c r="EB54" s="188" t="n">
        <v>0.0004</v>
      </c>
      <c r="ED54" s="188" t="n">
        <v>6.5E-005</v>
      </c>
      <c r="EF54" s="0" t="n">
        <v>1</v>
      </c>
    </row>
    <row r="55" customFormat="false" ht="12.75" hidden="false" customHeight="false" outlineLevel="0" collapsed="false">
      <c r="A55" s="149" t="n">
        <v>38047</v>
      </c>
      <c r="B55" s="0" t="n">
        <v>0.98</v>
      </c>
      <c r="C55" s="0" t="n">
        <v>0.97811</v>
      </c>
      <c r="D55" s="0" t="n">
        <v>0.965</v>
      </c>
      <c r="E55" s="0" t="n">
        <f aca="false">E43</f>
        <v>0.994</v>
      </c>
      <c r="F55" s="0" t="n">
        <v>0.977</v>
      </c>
      <c r="G55" s="0" t="n">
        <v>0.9875</v>
      </c>
      <c r="H55" s="0" t="n">
        <v>0.9875</v>
      </c>
      <c r="I55" s="0" t="n">
        <v>0.92185625</v>
      </c>
      <c r="J55" s="0" t="n">
        <v>0.985</v>
      </c>
      <c r="K55" s="0" t="n">
        <v>0.985</v>
      </c>
      <c r="L55" s="176" t="n">
        <v>0.9875</v>
      </c>
      <c r="M55" s="176" t="n">
        <v>0.9875</v>
      </c>
      <c r="N55" s="0" t="n">
        <v>0.98</v>
      </c>
      <c r="O55" s="0" t="n">
        <v>0.955197</v>
      </c>
      <c r="P55" s="0" t="n">
        <v>0.98</v>
      </c>
      <c r="Q55" s="177" t="n">
        <v>0.9875</v>
      </c>
      <c r="R55" s="0" t="n">
        <v>0.9875</v>
      </c>
      <c r="S55" s="176" t="n">
        <v>0.9875</v>
      </c>
      <c r="T55" s="0" t="n">
        <v>0.98</v>
      </c>
      <c r="U55" s="0" t="n">
        <v>0.98</v>
      </c>
      <c r="V55" s="0" t="n">
        <v>0.98</v>
      </c>
      <c r="W55" s="0" t="n">
        <v>0.98</v>
      </c>
      <c r="X55" s="0" t="n">
        <v>0.955197</v>
      </c>
      <c r="Y55" s="0" t="n">
        <v>0.955197</v>
      </c>
      <c r="Z55" s="0" t="n">
        <v>0.955197</v>
      </c>
      <c r="AA55" s="0" t="n">
        <v>0.955197</v>
      </c>
      <c r="AB55" s="0" t="n">
        <v>0.98</v>
      </c>
      <c r="AC55" s="0" t="n">
        <v>0.98</v>
      </c>
      <c r="AD55" s="0" t="n">
        <v>0.955197</v>
      </c>
      <c r="AE55" s="0" t="n">
        <v>0.955197</v>
      </c>
      <c r="AF55" s="0" t="n">
        <v>0.98</v>
      </c>
      <c r="AG55" s="0" t="n">
        <v>0.99</v>
      </c>
      <c r="AH55" s="0" t="n">
        <v>0.97399375</v>
      </c>
      <c r="AI55" s="0" t="n">
        <v>0.97399375</v>
      </c>
      <c r="AJ55" s="0" t="n">
        <v>0.98</v>
      </c>
      <c r="AK55" s="0" t="n">
        <v>1</v>
      </c>
      <c r="AL55" s="0" t="n">
        <v>0.985</v>
      </c>
      <c r="AM55" s="0" t="n">
        <v>0.985</v>
      </c>
      <c r="AN55" s="177" t="n">
        <v>0.9958</v>
      </c>
      <c r="AO55" s="177" t="n">
        <v>0.97</v>
      </c>
      <c r="AP55" s="177" t="n">
        <v>0.99</v>
      </c>
      <c r="AQ55" s="0" t="n">
        <v>0.985</v>
      </c>
      <c r="AR55" s="0" t="n">
        <v>0.97399375</v>
      </c>
      <c r="AS55" s="0" t="n">
        <v>0.977</v>
      </c>
      <c r="AT55" s="177" t="n">
        <v>0.9775</v>
      </c>
      <c r="AU55" s="0" t="n">
        <v>0.97399375</v>
      </c>
      <c r="AV55" s="0" t="n">
        <v>0.985</v>
      </c>
      <c r="AW55" s="0" t="n">
        <v>0.985</v>
      </c>
      <c r="AX55" s="0" t="n">
        <v>0.985</v>
      </c>
      <c r="AY55" s="0" t="n">
        <v>0.97399375</v>
      </c>
      <c r="AZ55" s="0" t="n">
        <v>0.97399375</v>
      </c>
      <c r="BA55" s="0" t="n">
        <v>0.985</v>
      </c>
      <c r="BB55" s="187" t="n">
        <v>1</v>
      </c>
      <c r="BC55" s="0" t="n">
        <v>1</v>
      </c>
      <c r="BD55" s="0" t="n">
        <v>1</v>
      </c>
      <c r="BE55" s="0" t="n">
        <v>1</v>
      </c>
      <c r="BF55" s="0" t="n">
        <v>0.9999</v>
      </c>
      <c r="BG55" s="0" t="n">
        <v>1</v>
      </c>
      <c r="BH55" s="0" t="n">
        <v>1</v>
      </c>
      <c r="BI55" s="0" t="n">
        <v>0.99</v>
      </c>
      <c r="BJ55" s="0" t="n">
        <v>0.999</v>
      </c>
      <c r="BK55" s="0" t="n">
        <v>0.998</v>
      </c>
      <c r="BL55" s="0" t="n">
        <v>0.9985</v>
      </c>
      <c r="BM55" s="0" t="n">
        <v>0.9985</v>
      </c>
      <c r="BN55" s="0" t="n">
        <v>0.972</v>
      </c>
      <c r="BO55" s="0" t="n">
        <v>0.9999</v>
      </c>
      <c r="BP55" s="0" t="n">
        <v>0.9999</v>
      </c>
      <c r="BQ55" s="0" t="n">
        <v>1</v>
      </c>
      <c r="BR55" s="0" t="n">
        <v>1.0781126</v>
      </c>
      <c r="BS55" s="0" t="n">
        <v>1.099</v>
      </c>
      <c r="BT55" s="0" t="n">
        <v>1.0827</v>
      </c>
      <c r="BU55" s="0" t="n">
        <v>1.0098</v>
      </c>
      <c r="BV55" s="0" t="n">
        <v>1</v>
      </c>
      <c r="BW55" s="0" t="n">
        <v>2.0238</v>
      </c>
      <c r="BX55" s="0" t="n">
        <v>2.255126333</v>
      </c>
      <c r="BY55" s="0" t="n">
        <v>1.05355</v>
      </c>
      <c r="BZ55" s="0" t="n">
        <v>1.2885</v>
      </c>
      <c r="CA55" s="0" t="n">
        <v>2.001</v>
      </c>
      <c r="CB55" s="0" t="n">
        <v>1.489505</v>
      </c>
      <c r="CC55" s="0" t="n">
        <v>1.489505</v>
      </c>
      <c r="CD55" s="0" t="n">
        <v>1.247205</v>
      </c>
      <c r="CE55" s="0" t="n">
        <v>1.06133</v>
      </c>
      <c r="CF55" s="0" t="n">
        <v>1.405805</v>
      </c>
      <c r="CG55" s="188"/>
      <c r="CH55" s="0" t="n">
        <v>1.094375</v>
      </c>
      <c r="CI55" s="188"/>
      <c r="CJ55" s="188"/>
      <c r="CK55" s="188"/>
      <c r="CL55" s="188"/>
      <c r="CM55" s="188"/>
      <c r="CN55" s="188"/>
      <c r="CO55" s="188"/>
      <c r="CP55" s="0" t="n">
        <v>0.865</v>
      </c>
      <c r="CQ55" s="0" t="n">
        <v>0.89</v>
      </c>
      <c r="CR55" s="0" t="n">
        <v>0.91</v>
      </c>
      <c r="CS55" s="0" t="n">
        <v>0.935</v>
      </c>
      <c r="CT55" s="0" t="n">
        <v>0.99895</v>
      </c>
      <c r="CU55" s="0" t="n">
        <v>0.54</v>
      </c>
      <c r="CV55" s="0" t="n">
        <v>0.45</v>
      </c>
      <c r="CW55" s="0" t="n">
        <v>0.875</v>
      </c>
      <c r="CX55" s="0" t="n">
        <v>0.805</v>
      </c>
      <c r="CY55" s="0" t="n">
        <v>0.515</v>
      </c>
      <c r="CZ55" s="0" t="n">
        <v>0.785</v>
      </c>
      <c r="DA55" s="0" t="n">
        <v>0.8175</v>
      </c>
      <c r="DB55" s="0" t="n">
        <v>0.8</v>
      </c>
      <c r="DC55" s="0" t="n">
        <v>0.9</v>
      </c>
      <c r="DD55" s="0" t="n">
        <v>0.83</v>
      </c>
      <c r="DE55" s="0" t="n">
        <v>0.89</v>
      </c>
      <c r="DF55" s="0" t="n">
        <v>0.985</v>
      </c>
      <c r="DG55" s="0" t="n">
        <v>0.97</v>
      </c>
      <c r="DH55" s="0" t="n">
        <v>0.99</v>
      </c>
      <c r="DI55" s="0" t="n">
        <v>0.9775</v>
      </c>
      <c r="DN55" s="188" t="n">
        <v>0.000285</v>
      </c>
      <c r="DO55" s="188" t="n">
        <v>0.0002</v>
      </c>
      <c r="DP55" s="188" t="n">
        <v>0</v>
      </c>
      <c r="DQ55" s="188" t="n">
        <v>0.0001</v>
      </c>
      <c r="DR55" s="188" t="n">
        <v>0</v>
      </c>
      <c r="DS55" s="188" t="n">
        <v>0.0036</v>
      </c>
      <c r="DT55" s="188" t="n">
        <v>0.00047</v>
      </c>
      <c r="DU55" s="188" t="n">
        <v>0.0007</v>
      </c>
      <c r="DV55" s="188" t="n">
        <v>0</v>
      </c>
      <c r="DW55" s="188" t="n">
        <v>0</v>
      </c>
      <c r="DX55" s="188" t="n">
        <v>0.0005</v>
      </c>
      <c r="DY55" s="188" t="n">
        <v>0.0005</v>
      </c>
      <c r="DZ55" s="188" t="n">
        <v>0.0003</v>
      </c>
      <c r="EA55" s="188" t="n">
        <v>0.000275</v>
      </c>
      <c r="EB55" s="188" t="n">
        <v>0.0004</v>
      </c>
      <c r="ED55" s="188" t="n">
        <v>6.5E-005</v>
      </c>
      <c r="EF55" s="0" t="n">
        <v>1</v>
      </c>
    </row>
    <row r="56" customFormat="false" ht="12.75" hidden="false" customHeight="false" outlineLevel="0" collapsed="false">
      <c r="A56" s="149" t="n">
        <v>38078</v>
      </c>
      <c r="B56" s="0" t="n">
        <v>0.98</v>
      </c>
      <c r="C56" s="0" t="n">
        <v>0.988</v>
      </c>
      <c r="D56" s="0" t="n">
        <v>0.965</v>
      </c>
      <c r="E56" s="0" t="n">
        <f aca="false">E44</f>
        <v>0.978</v>
      </c>
      <c r="F56" s="0" t="n">
        <v>0.977</v>
      </c>
      <c r="G56" s="0" t="n">
        <v>0.973152</v>
      </c>
      <c r="H56" s="0" t="n">
        <v>0.94735046</v>
      </c>
      <c r="I56" s="0" t="n">
        <v>0.98572375</v>
      </c>
      <c r="J56" s="0" t="n">
        <v>0.985</v>
      </c>
      <c r="K56" s="0" t="n">
        <v>0.985</v>
      </c>
      <c r="L56" s="176" t="n">
        <v>0.9875</v>
      </c>
      <c r="M56" s="176" t="n">
        <v>0.9875</v>
      </c>
      <c r="N56" s="0" t="n">
        <v>0.98</v>
      </c>
      <c r="O56" s="0" t="n">
        <v>0.958629315</v>
      </c>
      <c r="P56" s="0" t="n">
        <v>0.98</v>
      </c>
      <c r="Q56" s="177" t="n">
        <v>0.9875</v>
      </c>
      <c r="R56" s="0" t="n">
        <v>0.9875</v>
      </c>
      <c r="S56" s="176" t="n">
        <v>0.9875</v>
      </c>
      <c r="T56" s="0" t="n">
        <v>0.98</v>
      </c>
      <c r="U56" s="0" t="n">
        <v>0.98</v>
      </c>
      <c r="V56" s="0" t="n">
        <v>0.98</v>
      </c>
      <c r="W56" s="0" t="n">
        <v>0.98</v>
      </c>
      <c r="X56" s="0" t="n">
        <v>0.958629315</v>
      </c>
      <c r="Y56" s="0" t="n">
        <v>0.958629315</v>
      </c>
      <c r="Z56" s="0" t="n">
        <v>0.958629315</v>
      </c>
      <c r="AA56" s="0" t="n">
        <v>0.958629315</v>
      </c>
      <c r="AB56" s="0" t="n">
        <v>0.98</v>
      </c>
      <c r="AC56" s="0" t="n">
        <v>0.98</v>
      </c>
      <c r="AD56" s="0" t="n">
        <v>0.958629315</v>
      </c>
      <c r="AE56" s="0" t="n">
        <v>0.958629315</v>
      </c>
      <c r="AF56" s="0" t="n">
        <v>0.98</v>
      </c>
      <c r="AG56" s="0" t="n">
        <v>0.99</v>
      </c>
      <c r="AH56" s="0" t="n">
        <v>0.9740516</v>
      </c>
      <c r="AI56" s="0" t="n">
        <v>0.9740516</v>
      </c>
      <c r="AJ56" s="0" t="n">
        <v>0.98</v>
      </c>
      <c r="AK56" s="0" t="n">
        <v>1</v>
      </c>
      <c r="AL56" s="0" t="n">
        <v>0.985</v>
      </c>
      <c r="AM56" s="0" t="n">
        <v>0.985</v>
      </c>
      <c r="AN56" s="177" t="n">
        <v>0.9958</v>
      </c>
      <c r="AO56" s="177" t="n">
        <v>0.99</v>
      </c>
      <c r="AP56" s="177" t="n">
        <v>0.99</v>
      </c>
      <c r="AQ56" s="0" t="n">
        <v>0.985</v>
      </c>
      <c r="AR56" s="0" t="n">
        <v>0.9740516</v>
      </c>
      <c r="AS56" s="0" t="n">
        <v>0.977</v>
      </c>
      <c r="AT56" s="177" t="n">
        <v>0.9775</v>
      </c>
      <c r="AU56" s="0" t="n">
        <v>0.9740516</v>
      </c>
      <c r="AV56" s="0" t="n">
        <v>0.985</v>
      </c>
      <c r="AW56" s="0" t="n">
        <v>0.985</v>
      </c>
      <c r="AX56" s="0" t="n">
        <v>0.985</v>
      </c>
      <c r="AY56" s="0" t="n">
        <v>0.9740516</v>
      </c>
      <c r="AZ56" s="0" t="n">
        <v>0.9740516</v>
      </c>
      <c r="BA56" s="0" t="n">
        <v>0.985</v>
      </c>
      <c r="BB56" s="187" t="n">
        <v>1</v>
      </c>
      <c r="BC56" s="0" t="n">
        <v>1</v>
      </c>
      <c r="BD56" s="0" t="n">
        <v>1</v>
      </c>
      <c r="BE56" s="0" t="n">
        <v>1</v>
      </c>
      <c r="BF56" s="0" t="n">
        <v>0.9999</v>
      </c>
      <c r="BG56" s="0" t="n">
        <v>1</v>
      </c>
      <c r="BH56" s="0" t="n">
        <v>1</v>
      </c>
      <c r="BI56" s="0" t="n">
        <v>0.99</v>
      </c>
      <c r="BJ56" s="0" t="n">
        <v>0.999</v>
      </c>
      <c r="BK56" s="0" t="n">
        <v>0.998</v>
      </c>
      <c r="BL56" s="0" t="n">
        <v>0.9985</v>
      </c>
      <c r="BM56" s="0" t="n">
        <v>0.9985</v>
      </c>
      <c r="BN56" s="0" t="n">
        <v>0.972</v>
      </c>
      <c r="BO56" s="0" t="n">
        <v>0.9999</v>
      </c>
      <c r="BP56" s="0" t="n">
        <v>0.9999</v>
      </c>
      <c r="BQ56" s="0" t="n">
        <v>1</v>
      </c>
      <c r="BR56" s="0" t="n">
        <v>1.0783976</v>
      </c>
      <c r="BS56" s="0" t="n">
        <v>1.0992</v>
      </c>
      <c r="BT56" s="0" t="n">
        <v>1.0827</v>
      </c>
      <c r="BU56" s="0" t="n">
        <v>1.0099</v>
      </c>
      <c r="BV56" s="0" t="n">
        <v>1</v>
      </c>
      <c r="BW56" s="0" t="n">
        <v>2.0274</v>
      </c>
      <c r="BX56" s="0" t="n">
        <v>2.255596333</v>
      </c>
      <c r="BY56" s="0" t="n">
        <v>1.05425</v>
      </c>
      <c r="BZ56" s="0" t="n">
        <v>1.2885</v>
      </c>
      <c r="CA56" s="0" t="n">
        <v>2.001</v>
      </c>
      <c r="CB56" s="0" t="n">
        <v>1.490005</v>
      </c>
      <c r="CC56" s="0" t="n">
        <v>1.490005</v>
      </c>
      <c r="CD56" s="0" t="n">
        <v>1.247505</v>
      </c>
      <c r="CE56" s="0" t="n">
        <v>1.061605</v>
      </c>
      <c r="CF56" s="0" t="n">
        <v>1.406205</v>
      </c>
      <c r="CG56" s="188"/>
      <c r="CH56" s="0" t="n">
        <v>1.09444</v>
      </c>
      <c r="CI56" s="188"/>
      <c r="CJ56" s="188"/>
      <c r="CK56" s="188"/>
      <c r="CL56" s="188"/>
      <c r="CM56" s="188"/>
      <c r="CN56" s="188"/>
      <c r="CO56" s="188"/>
      <c r="CP56" s="0" t="n">
        <v>0.895</v>
      </c>
      <c r="CQ56" s="0" t="n">
        <v>0.9</v>
      </c>
      <c r="CR56" s="0" t="n">
        <v>0.91</v>
      </c>
      <c r="CS56" s="0" t="n">
        <v>0.96</v>
      </c>
      <c r="CT56" s="0" t="n">
        <v>0.99895</v>
      </c>
      <c r="CU56" s="0" t="n">
        <v>0.48</v>
      </c>
      <c r="CV56" s="0" t="n">
        <v>0.42</v>
      </c>
      <c r="CW56" s="0" t="n">
        <v>0.935</v>
      </c>
      <c r="CX56" s="0" t="n">
        <v>0.795</v>
      </c>
      <c r="CY56" s="0" t="n">
        <v>0.575</v>
      </c>
      <c r="CZ56" s="0" t="n">
        <v>0.895</v>
      </c>
      <c r="DA56" s="0" t="n">
        <v>0.9275</v>
      </c>
      <c r="DB56" s="0" t="n">
        <v>0.85</v>
      </c>
      <c r="DC56" s="0" t="n">
        <v>0.903</v>
      </c>
      <c r="DD56" s="0" t="n">
        <v>0.92</v>
      </c>
      <c r="DE56" s="0" t="n">
        <v>0.89</v>
      </c>
      <c r="DF56" s="0" t="n">
        <v>0.985</v>
      </c>
      <c r="DG56" s="0" t="n">
        <v>0.99</v>
      </c>
      <c r="DH56" s="0" t="n">
        <v>0.99</v>
      </c>
      <c r="DI56" s="0" t="n">
        <v>0.9775</v>
      </c>
      <c r="DN56" s="188" t="n">
        <v>0.000285</v>
      </c>
      <c r="DO56" s="188" t="n">
        <v>0.0002</v>
      </c>
      <c r="DP56" s="188" t="n">
        <v>0</v>
      </c>
      <c r="DQ56" s="188" t="n">
        <v>0.0001</v>
      </c>
      <c r="DR56" s="188" t="n">
        <v>0</v>
      </c>
      <c r="DS56" s="188" t="n">
        <v>0.0036</v>
      </c>
      <c r="DT56" s="188" t="n">
        <v>0.00047</v>
      </c>
      <c r="DU56" s="188" t="n">
        <v>0.0007</v>
      </c>
      <c r="DV56" s="188" t="n">
        <v>0</v>
      </c>
      <c r="DW56" s="188" t="n">
        <v>0</v>
      </c>
      <c r="DX56" s="188" t="n">
        <v>0.0005</v>
      </c>
      <c r="DY56" s="188" t="n">
        <v>0.0005</v>
      </c>
      <c r="DZ56" s="188" t="n">
        <v>0.0003</v>
      </c>
      <c r="EA56" s="188" t="n">
        <v>0.000275</v>
      </c>
      <c r="EB56" s="188" t="n">
        <v>0.0004</v>
      </c>
      <c r="ED56" s="188" t="n">
        <v>6.5E-005</v>
      </c>
      <c r="EF56" s="0" t="n">
        <v>1</v>
      </c>
    </row>
    <row r="57" customFormat="false" ht="12.75" hidden="false" customHeight="false" outlineLevel="0" collapsed="false">
      <c r="A57" s="149" t="n">
        <v>38108</v>
      </c>
      <c r="B57" s="0" t="n">
        <v>0.98</v>
      </c>
      <c r="C57" s="0" t="n">
        <v>0.988</v>
      </c>
      <c r="D57" s="0" t="n">
        <v>0.965</v>
      </c>
      <c r="E57" s="0" t="n">
        <f aca="false">E45</f>
        <v>0.978</v>
      </c>
      <c r="F57" s="0" t="n">
        <v>0.977</v>
      </c>
      <c r="G57" s="0" t="n">
        <v>0.69054</v>
      </c>
      <c r="H57" s="0" t="n">
        <v>0.94754786</v>
      </c>
      <c r="I57" s="0" t="n">
        <v>0.98637825</v>
      </c>
      <c r="J57" s="0" t="n">
        <v>0.8955075</v>
      </c>
      <c r="K57" s="0" t="n">
        <v>0.985</v>
      </c>
      <c r="L57" s="176" t="n">
        <v>0.9875</v>
      </c>
      <c r="M57" s="176" t="n">
        <v>0.9875</v>
      </c>
      <c r="N57" s="0" t="n">
        <v>0.98</v>
      </c>
      <c r="O57" s="0" t="n">
        <v>0.955692</v>
      </c>
      <c r="P57" s="0" t="n">
        <v>0.98</v>
      </c>
      <c r="Q57" s="177" t="n">
        <v>0.9875</v>
      </c>
      <c r="R57" s="0" t="n">
        <v>0.9875</v>
      </c>
      <c r="S57" s="176" t="n">
        <v>0.9875</v>
      </c>
      <c r="T57" s="0" t="n">
        <v>0.98</v>
      </c>
      <c r="U57" s="0" t="n">
        <v>0.98</v>
      </c>
      <c r="V57" s="0" t="n">
        <v>0.98</v>
      </c>
      <c r="W57" s="0" t="n">
        <v>0.98</v>
      </c>
      <c r="X57" s="0" t="n">
        <v>0.955692</v>
      </c>
      <c r="Y57" s="0" t="n">
        <v>0.955692</v>
      </c>
      <c r="Z57" s="0" t="n">
        <v>0.955692</v>
      </c>
      <c r="AA57" s="0" t="n">
        <v>0.955692</v>
      </c>
      <c r="AB57" s="0" t="n">
        <v>0.98</v>
      </c>
      <c r="AC57" s="0" t="n">
        <v>0.98</v>
      </c>
      <c r="AD57" s="0" t="n">
        <v>0.955692</v>
      </c>
      <c r="AE57" s="0" t="n">
        <v>0.955692</v>
      </c>
      <c r="AF57" s="0" t="n">
        <v>0.98</v>
      </c>
      <c r="AG57" s="0" t="n">
        <v>0.99</v>
      </c>
      <c r="AH57" s="0" t="n">
        <v>0.97410945</v>
      </c>
      <c r="AI57" s="0" t="n">
        <v>0.97410945</v>
      </c>
      <c r="AJ57" s="0" t="n">
        <v>0.98</v>
      </c>
      <c r="AK57" s="0" t="n">
        <v>1</v>
      </c>
      <c r="AL57" s="0" t="n">
        <v>0.985</v>
      </c>
      <c r="AM57" s="0" t="n">
        <v>0.985</v>
      </c>
      <c r="AN57" s="177" t="n">
        <v>0.9958</v>
      </c>
      <c r="AO57" s="177" t="n">
        <v>0.99</v>
      </c>
      <c r="AP57" s="177" t="n">
        <v>0.99</v>
      </c>
      <c r="AQ57" s="0" t="n">
        <v>0.985</v>
      </c>
      <c r="AR57" s="0" t="n">
        <v>0.97410945</v>
      </c>
      <c r="AS57" s="0" t="n">
        <v>0.977</v>
      </c>
      <c r="AT57" s="177" t="n">
        <v>0.9775</v>
      </c>
      <c r="AU57" s="0" t="n">
        <v>0.97410945</v>
      </c>
      <c r="AV57" s="0" t="n">
        <v>0.985</v>
      </c>
      <c r="AW57" s="0" t="n">
        <v>0.985</v>
      </c>
      <c r="AX57" s="0" t="n">
        <v>0.985</v>
      </c>
      <c r="AY57" s="0" t="n">
        <v>0.97410945</v>
      </c>
      <c r="AZ57" s="0" t="n">
        <v>0.97410945</v>
      </c>
      <c r="BA57" s="0" t="n">
        <v>0.985</v>
      </c>
      <c r="BB57" s="187" t="n">
        <v>1</v>
      </c>
      <c r="BC57" s="0" t="n">
        <v>1</v>
      </c>
      <c r="BD57" s="0" t="n">
        <v>1</v>
      </c>
      <c r="BE57" s="0" t="n">
        <v>1</v>
      </c>
      <c r="BF57" s="0" t="n">
        <v>0.9999</v>
      </c>
      <c r="BG57" s="0" t="n">
        <v>1</v>
      </c>
      <c r="BH57" s="0" t="n">
        <v>1</v>
      </c>
      <c r="BI57" s="0" t="n">
        <v>0.99</v>
      </c>
      <c r="BJ57" s="0" t="n">
        <v>0.999</v>
      </c>
      <c r="BK57" s="0" t="n">
        <v>0.998</v>
      </c>
      <c r="BL57" s="0" t="n">
        <v>0.9985</v>
      </c>
      <c r="BM57" s="0" t="n">
        <v>0.9985</v>
      </c>
      <c r="BN57" s="0" t="n">
        <v>0.972</v>
      </c>
      <c r="BO57" s="0" t="n">
        <v>0.9999</v>
      </c>
      <c r="BP57" s="0" t="n">
        <v>0.9999</v>
      </c>
      <c r="BQ57" s="0" t="n">
        <v>1</v>
      </c>
      <c r="BR57" s="0" t="n">
        <v>1.0786826</v>
      </c>
      <c r="BS57" s="0" t="n">
        <v>1.0994</v>
      </c>
      <c r="BT57" s="0" t="n">
        <v>1.0827</v>
      </c>
      <c r="BU57" s="0" t="n">
        <v>1.01</v>
      </c>
      <c r="BV57" s="0" t="n">
        <v>1</v>
      </c>
      <c r="BW57" s="0" t="n">
        <v>2.031</v>
      </c>
      <c r="BX57" s="0" t="n">
        <v>2.256066333</v>
      </c>
      <c r="BY57" s="0" t="n">
        <v>1.05495</v>
      </c>
      <c r="BZ57" s="0" t="n">
        <v>1.2885</v>
      </c>
      <c r="CA57" s="0" t="n">
        <v>2.001</v>
      </c>
      <c r="CB57" s="0" t="n">
        <v>1.490505</v>
      </c>
      <c r="CC57" s="0" t="n">
        <v>1.490505</v>
      </c>
      <c r="CD57" s="0" t="n">
        <v>1.247805</v>
      </c>
      <c r="CE57" s="0" t="n">
        <v>1.06188</v>
      </c>
      <c r="CF57" s="0" t="n">
        <v>1.406605</v>
      </c>
      <c r="CG57" s="188"/>
      <c r="CH57" s="0" t="n">
        <v>1.094505</v>
      </c>
      <c r="CI57" s="188"/>
      <c r="CJ57" s="188"/>
      <c r="CK57" s="188"/>
      <c r="CL57" s="188"/>
      <c r="CM57" s="188"/>
      <c r="CN57" s="188"/>
      <c r="CO57" s="188"/>
      <c r="CP57" s="0" t="n">
        <v>0.965</v>
      </c>
      <c r="CQ57" s="0" t="n">
        <v>0.91</v>
      </c>
      <c r="CR57" s="0" t="n">
        <v>0.91</v>
      </c>
      <c r="CS57" s="0" t="n">
        <v>0.97</v>
      </c>
      <c r="CT57" s="0" t="n">
        <v>0.99895</v>
      </c>
      <c r="CU57" s="0" t="n">
        <v>0.34</v>
      </c>
      <c r="CV57" s="0" t="n">
        <v>0.42</v>
      </c>
      <c r="CW57" s="0" t="n">
        <v>0.935</v>
      </c>
      <c r="CX57" s="0" t="n">
        <v>0.695</v>
      </c>
      <c r="CY57" s="0" t="n">
        <v>0.625</v>
      </c>
      <c r="CZ57" s="0" t="n">
        <v>0.9175</v>
      </c>
      <c r="DA57" s="0" t="n">
        <v>0.95</v>
      </c>
      <c r="DB57" s="0" t="n">
        <v>0.88</v>
      </c>
      <c r="DC57" s="0" t="n">
        <v>0.9</v>
      </c>
      <c r="DD57" s="0" t="n">
        <v>0.935</v>
      </c>
      <c r="DE57" s="0" t="n">
        <v>0.89</v>
      </c>
      <c r="DF57" s="0" t="n">
        <v>0.985</v>
      </c>
      <c r="DG57" s="0" t="n">
        <v>0.99</v>
      </c>
      <c r="DH57" s="0" t="n">
        <v>0.99</v>
      </c>
      <c r="DI57" s="0" t="n">
        <v>0.9775</v>
      </c>
      <c r="DN57" s="188" t="n">
        <v>0.000285</v>
      </c>
      <c r="DO57" s="188" t="n">
        <v>0.0002</v>
      </c>
      <c r="DP57" s="188" t="n">
        <v>0</v>
      </c>
      <c r="DQ57" s="188" t="n">
        <v>0.0001</v>
      </c>
      <c r="DR57" s="188" t="n">
        <v>0</v>
      </c>
      <c r="DS57" s="188" t="n">
        <v>0.0036</v>
      </c>
      <c r="DT57" s="188" t="n">
        <v>0.00047</v>
      </c>
      <c r="DU57" s="188" t="n">
        <v>0.0007</v>
      </c>
      <c r="DV57" s="188" t="n">
        <v>0</v>
      </c>
      <c r="DW57" s="188" t="n">
        <v>0</v>
      </c>
      <c r="DX57" s="188" t="n">
        <v>0.0005</v>
      </c>
      <c r="DY57" s="188" t="n">
        <v>0.0005</v>
      </c>
      <c r="DZ57" s="188" t="n">
        <v>0.0003</v>
      </c>
      <c r="EA57" s="188" t="n">
        <v>0.000275</v>
      </c>
      <c r="EB57" s="188" t="n">
        <v>0.0004</v>
      </c>
      <c r="ED57" s="188" t="n">
        <v>6.5E-005</v>
      </c>
      <c r="EF57" s="0" t="n">
        <v>1</v>
      </c>
    </row>
    <row r="58" customFormat="false" ht="12.75" hidden="false" customHeight="false" outlineLevel="0" collapsed="false">
      <c r="A58" s="149" t="n">
        <v>38139</v>
      </c>
      <c r="B58" s="0" t="n">
        <v>0.98</v>
      </c>
      <c r="C58" s="0" t="n">
        <v>0.988</v>
      </c>
      <c r="D58" s="0" t="n">
        <v>0.965</v>
      </c>
      <c r="E58" s="0" t="n">
        <f aca="false">E46</f>
        <v>0.978</v>
      </c>
      <c r="F58" s="0" t="n">
        <v>0.977</v>
      </c>
      <c r="G58" s="0" t="n">
        <v>0.691764</v>
      </c>
      <c r="H58" s="0" t="n">
        <v>0.9875</v>
      </c>
      <c r="I58" s="0" t="n">
        <v>0.98703275</v>
      </c>
      <c r="J58" s="0" t="n">
        <v>0.7795425</v>
      </c>
      <c r="K58" s="0" t="n">
        <v>0.985</v>
      </c>
      <c r="L58" s="176" t="n">
        <v>0.9875</v>
      </c>
      <c r="M58" s="176" t="n">
        <v>0.9875</v>
      </c>
      <c r="N58" s="0" t="n">
        <v>0.98</v>
      </c>
      <c r="O58" s="0" t="n">
        <v>0.958594888</v>
      </c>
      <c r="P58" s="0" t="n">
        <v>0.98</v>
      </c>
      <c r="Q58" s="177" t="n">
        <v>0.9875</v>
      </c>
      <c r="R58" s="0" t="n">
        <v>0.9875</v>
      </c>
      <c r="S58" s="176" t="n">
        <v>0.9875</v>
      </c>
      <c r="T58" s="0" t="n">
        <v>0.98</v>
      </c>
      <c r="U58" s="0" t="n">
        <v>0.98</v>
      </c>
      <c r="V58" s="0" t="n">
        <v>0.98</v>
      </c>
      <c r="W58" s="0" t="n">
        <v>0.98</v>
      </c>
      <c r="X58" s="0" t="n">
        <v>0.958594888</v>
      </c>
      <c r="Y58" s="0" t="n">
        <v>0.958594888</v>
      </c>
      <c r="Z58" s="0" t="n">
        <v>0.958594888</v>
      </c>
      <c r="AA58" s="0" t="n">
        <v>0.958594888</v>
      </c>
      <c r="AB58" s="0" t="n">
        <v>0.98</v>
      </c>
      <c r="AC58" s="0" t="n">
        <v>0.98</v>
      </c>
      <c r="AD58" s="0" t="n">
        <v>0.958594888</v>
      </c>
      <c r="AE58" s="0" t="n">
        <v>0.958594888</v>
      </c>
      <c r="AF58" s="0" t="n">
        <v>0.98</v>
      </c>
      <c r="AG58" s="0" t="n">
        <v>0.99</v>
      </c>
      <c r="AH58" s="0" t="n">
        <v>0.9741673</v>
      </c>
      <c r="AI58" s="0" t="n">
        <v>0.9741673</v>
      </c>
      <c r="AJ58" s="0" t="n">
        <v>0.98</v>
      </c>
      <c r="AK58" s="0" t="n">
        <v>1</v>
      </c>
      <c r="AL58" s="0" t="n">
        <v>0.985</v>
      </c>
      <c r="AM58" s="0" t="n">
        <v>0.985</v>
      </c>
      <c r="AN58" s="177" t="n">
        <v>0.9958</v>
      </c>
      <c r="AO58" s="177" t="n">
        <v>0.99</v>
      </c>
      <c r="AP58" s="177" t="n">
        <v>0.99</v>
      </c>
      <c r="AQ58" s="0" t="n">
        <v>0.985</v>
      </c>
      <c r="AR58" s="0" t="n">
        <v>0.9741673</v>
      </c>
      <c r="AS58" s="0" t="n">
        <v>0.977</v>
      </c>
      <c r="AT58" s="177" t="n">
        <v>0.9775</v>
      </c>
      <c r="AU58" s="0" t="n">
        <v>0.9741673</v>
      </c>
      <c r="AV58" s="0" t="n">
        <v>0.985</v>
      </c>
      <c r="AW58" s="0" t="n">
        <v>0.985</v>
      </c>
      <c r="AX58" s="0" t="n">
        <v>0.985</v>
      </c>
      <c r="AY58" s="0" t="n">
        <v>0.9741673</v>
      </c>
      <c r="AZ58" s="0" t="n">
        <v>0.9741673</v>
      </c>
      <c r="BA58" s="0" t="n">
        <v>0.985</v>
      </c>
      <c r="BB58" s="187" t="n">
        <v>1</v>
      </c>
      <c r="BC58" s="0" t="n">
        <v>1</v>
      </c>
      <c r="BD58" s="0" t="n">
        <v>1</v>
      </c>
      <c r="BE58" s="0" t="n">
        <v>1</v>
      </c>
      <c r="BF58" s="0" t="n">
        <v>0.9999</v>
      </c>
      <c r="BG58" s="0" t="n">
        <v>1</v>
      </c>
      <c r="BH58" s="0" t="n">
        <v>1</v>
      </c>
      <c r="BI58" s="0" t="n">
        <v>0.99</v>
      </c>
      <c r="BJ58" s="0" t="n">
        <v>0.999</v>
      </c>
      <c r="BK58" s="0" t="n">
        <v>0.998</v>
      </c>
      <c r="BL58" s="0" t="n">
        <v>0.9985</v>
      </c>
      <c r="BM58" s="0" t="n">
        <v>0.9985</v>
      </c>
      <c r="BN58" s="0" t="n">
        <v>0.972</v>
      </c>
      <c r="BO58" s="0" t="n">
        <v>0.9999</v>
      </c>
      <c r="BP58" s="0" t="n">
        <v>0.9999</v>
      </c>
      <c r="BQ58" s="0" t="n">
        <v>1</v>
      </c>
      <c r="BR58" s="0" t="n">
        <v>1.0789676</v>
      </c>
      <c r="BS58" s="0" t="n">
        <v>1.0996</v>
      </c>
      <c r="BT58" s="0" t="n">
        <v>1.0827</v>
      </c>
      <c r="BU58" s="0" t="n">
        <v>1.0101</v>
      </c>
      <c r="BV58" s="0" t="n">
        <v>1</v>
      </c>
      <c r="BW58" s="0" t="n">
        <v>2.0346</v>
      </c>
      <c r="BX58" s="0" t="n">
        <v>2.256536333</v>
      </c>
      <c r="BY58" s="0" t="n">
        <v>1.05565</v>
      </c>
      <c r="BZ58" s="0" t="n">
        <v>1.2885</v>
      </c>
      <c r="CA58" s="0" t="n">
        <v>2.001</v>
      </c>
      <c r="CB58" s="0" t="n">
        <v>1.491005</v>
      </c>
      <c r="CC58" s="0" t="n">
        <v>1.491005</v>
      </c>
      <c r="CD58" s="0" t="n">
        <v>1.248105</v>
      </c>
      <c r="CE58" s="0" t="n">
        <v>1.062155</v>
      </c>
      <c r="CF58" s="0" t="n">
        <v>1.407005</v>
      </c>
      <c r="CG58" s="188"/>
      <c r="CH58" s="0" t="n">
        <v>1.09457</v>
      </c>
      <c r="CI58" s="188"/>
      <c r="CJ58" s="188"/>
      <c r="CK58" s="188"/>
      <c r="CL58" s="188"/>
      <c r="CM58" s="188"/>
      <c r="CN58" s="188"/>
      <c r="CO58" s="188"/>
      <c r="CP58" s="0" t="n">
        <v>0.965</v>
      </c>
      <c r="CQ58" s="0" t="n">
        <v>0.91</v>
      </c>
      <c r="CR58" s="0" t="n">
        <v>0.91</v>
      </c>
      <c r="CS58" s="0" t="n">
        <v>0.98</v>
      </c>
      <c r="CT58" s="0" t="n">
        <v>0.99895</v>
      </c>
      <c r="CU58" s="0" t="n">
        <v>0.34</v>
      </c>
      <c r="CV58" s="0" t="n">
        <v>0.47</v>
      </c>
      <c r="CW58" s="0" t="n">
        <v>0.935</v>
      </c>
      <c r="CX58" s="0" t="n">
        <v>0.605</v>
      </c>
      <c r="CY58" s="0" t="n">
        <v>0.725</v>
      </c>
      <c r="CZ58" s="0" t="n">
        <v>0.8825</v>
      </c>
      <c r="DA58" s="0" t="n">
        <v>0.915</v>
      </c>
      <c r="DB58" s="0" t="n">
        <v>0.88</v>
      </c>
      <c r="DC58" s="0" t="n">
        <v>0.9025</v>
      </c>
      <c r="DD58" s="0" t="n">
        <v>0.915</v>
      </c>
      <c r="DE58" s="0" t="n">
        <v>0.89</v>
      </c>
      <c r="DF58" s="0" t="n">
        <v>0.985</v>
      </c>
      <c r="DG58" s="0" t="n">
        <v>0.99</v>
      </c>
      <c r="DH58" s="0" t="n">
        <v>0.99</v>
      </c>
      <c r="DI58" s="0" t="n">
        <v>0.9775</v>
      </c>
      <c r="DN58" s="188" t="n">
        <v>0.000285</v>
      </c>
      <c r="DO58" s="188" t="n">
        <v>0.0002</v>
      </c>
      <c r="DP58" s="188" t="n">
        <v>0</v>
      </c>
      <c r="DQ58" s="188" t="n">
        <v>0.0001</v>
      </c>
      <c r="DR58" s="188" t="n">
        <v>0</v>
      </c>
      <c r="DS58" s="188" t="n">
        <v>0.0036</v>
      </c>
      <c r="DT58" s="188" t="n">
        <v>0.00047</v>
      </c>
      <c r="DU58" s="188" t="n">
        <v>0.0007</v>
      </c>
      <c r="DV58" s="188" t="n">
        <v>0</v>
      </c>
      <c r="DW58" s="188" t="n">
        <v>0</v>
      </c>
      <c r="DX58" s="188" t="n">
        <v>0.0005</v>
      </c>
      <c r="DY58" s="188" t="n">
        <v>0.0005</v>
      </c>
      <c r="DZ58" s="188" t="n">
        <v>0.0003</v>
      </c>
      <c r="EA58" s="188" t="n">
        <v>0.000275</v>
      </c>
      <c r="EB58" s="188" t="n">
        <v>0.0004</v>
      </c>
      <c r="ED58" s="188" t="n">
        <v>6.5E-005</v>
      </c>
      <c r="EF58" s="0" t="n">
        <v>1</v>
      </c>
    </row>
    <row r="59" customFormat="false" ht="12.75" hidden="false" customHeight="false" outlineLevel="0" collapsed="false">
      <c r="A59" s="149" t="n">
        <v>38169</v>
      </c>
      <c r="B59" s="0" t="n">
        <v>0.98</v>
      </c>
      <c r="C59" s="0" t="n">
        <v>0.988</v>
      </c>
      <c r="D59" s="0" t="n">
        <v>0.965</v>
      </c>
      <c r="E59" s="0" t="n">
        <f aca="false">E47</f>
        <v>0.978</v>
      </c>
      <c r="F59" s="0" t="n">
        <v>0.977</v>
      </c>
      <c r="G59" s="0" t="n">
        <v>0.835662</v>
      </c>
      <c r="H59" s="0" t="n">
        <v>0.9875</v>
      </c>
      <c r="I59" s="0" t="n">
        <v>0.9875</v>
      </c>
      <c r="J59" s="0" t="n">
        <v>0.8053125</v>
      </c>
      <c r="K59" s="0" t="n">
        <v>0.985</v>
      </c>
      <c r="L59" s="176" t="n">
        <v>0.9875</v>
      </c>
      <c r="M59" s="176" t="n">
        <v>0.9875</v>
      </c>
      <c r="N59" s="0" t="n">
        <v>0.98</v>
      </c>
      <c r="O59" s="0" t="n">
        <v>0.964155225</v>
      </c>
      <c r="P59" s="0" t="n">
        <v>0.98</v>
      </c>
      <c r="Q59" s="177" t="n">
        <v>0.9875</v>
      </c>
      <c r="R59" s="0" t="n">
        <v>0.9875</v>
      </c>
      <c r="S59" s="176" t="n">
        <v>0.9875</v>
      </c>
      <c r="T59" s="0" t="n">
        <v>0.98</v>
      </c>
      <c r="U59" s="0" t="n">
        <v>0.98</v>
      </c>
      <c r="V59" s="0" t="n">
        <v>0.98</v>
      </c>
      <c r="W59" s="0" t="n">
        <v>0.98</v>
      </c>
      <c r="X59" s="0" t="n">
        <v>0.964155225</v>
      </c>
      <c r="Y59" s="0" t="n">
        <v>0.964155225</v>
      </c>
      <c r="Z59" s="0" t="n">
        <v>0.964155225</v>
      </c>
      <c r="AA59" s="0" t="n">
        <v>0.964155225</v>
      </c>
      <c r="AB59" s="0" t="n">
        <v>0.98</v>
      </c>
      <c r="AC59" s="0" t="n">
        <v>0.98</v>
      </c>
      <c r="AD59" s="0" t="n">
        <v>0.964155225</v>
      </c>
      <c r="AE59" s="0" t="n">
        <v>0.964155225</v>
      </c>
      <c r="AF59" s="0" t="n">
        <v>0.98</v>
      </c>
      <c r="AG59" s="0" t="n">
        <v>0.99</v>
      </c>
      <c r="AH59" s="0" t="n">
        <v>0.97422515</v>
      </c>
      <c r="AI59" s="0" t="n">
        <v>0.97422515</v>
      </c>
      <c r="AJ59" s="0" t="n">
        <v>0.98</v>
      </c>
      <c r="AK59" s="0" t="n">
        <v>1</v>
      </c>
      <c r="AL59" s="0" t="n">
        <v>0.985</v>
      </c>
      <c r="AM59" s="0" t="n">
        <v>0.985</v>
      </c>
      <c r="AN59" s="177" t="n">
        <v>0.9958</v>
      </c>
      <c r="AO59" s="177" t="n">
        <v>0.99</v>
      </c>
      <c r="AP59" s="177" t="n">
        <v>0.99</v>
      </c>
      <c r="AQ59" s="0" t="n">
        <v>0.985</v>
      </c>
      <c r="AR59" s="0" t="n">
        <v>0.97422515</v>
      </c>
      <c r="AS59" s="0" t="n">
        <v>0.977</v>
      </c>
      <c r="AT59" s="177" t="n">
        <v>0.9775</v>
      </c>
      <c r="AU59" s="0" t="n">
        <v>0.97422515</v>
      </c>
      <c r="AV59" s="0" t="n">
        <v>0.985</v>
      </c>
      <c r="AW59" s="0" t="n">
        <v>0.985</v>
      </c>
      <c r="AX59" s="0" t="n">
        <v>0.985</v>
      </c>
      <c r="AY59" s="0" t="n">
        <v>0.97422515</v>
      </c>
      <c r="AZ59" s="0" t="n">
        <v>0.97422515</v>
      </c>
      <c r="BA59" s="0" t="n">
        <v>0.985</v>
      </c>
      <c r="BB59" s="187" t="n">
        <v>1</v>
      </c>
      <c r="BC59" s="0" t="n">
        <v>1</v>
      </c>
      <c r="BD59" s="0" t="n">
        <v>1</v>
      </c>
      <c r="BE59" s="0" t="n">
        <v>1</v>
      </c>
      <c r="BF59" s="0" t="n">
        <v>0.9999</v>
      </c>
      <c r="BG59" s="0" t="n">
        <v>1</v>
      </c>
      <c r="BH59" s="0" t="n">
        <v>1</v>
      </c>
      <c r="BI59" s="0" t="n">
        <v>0.99</v>
      </c>
      <c r="BJ59" s="0" t="n">
        <v>0.999</v>
      </c>
      <c r="BK59" s="0" t="n">
        <v>0.998</v>
      </c>
      <c r="BL59" s="0" t="n">
        <v>0.9985</v>
      </c>
      <c r="BM59" s="0" t="n">
        <v>0.9985</v>
      </c>
      <c r="BN59" s="0" t="n">
        <v>0.972</v>
      </c>
      <c r="BO59" s="0" t="n">
        <v>0.9999</v>
      </c>
      <c r="BP59" s="0" t="n">
        <v>0.9999</v>
      </c>
      <c r="BQ59" s="0" t="n">
        <v>1</v>
      </c>
      <c r="BR59" s="0" t="n">
        <v>1.0792526</v>
      </c>
      <c r="BS59" s="0" t="n">
        <v>1.0998</v>
      </c>
      <c r="BT59" s="0" t="n">
        <v>1.0827</v>
      </c>
      <c r="BU59" s="0" t="n">
        <v>1.0102</v>
      </c>
      <c r="BV59" s="0" t="n">
        <v>1</v>
      </c>
      <c r="BW59" s="0" t="n">
        <v>2.0382</v>
      </c>
      <c r="BX59" s="0" t="n">
        <v>2.257006333</v>
      </c>
      <c r="BY59" s="0" t="n">
        <v>1.05635</v>
      </c>
      <c r="BZ59" s="0" t="n">
        <v>1.2885</v>
      </c>
      <c r="CA59" s="0" t="n">
        <v>2.001</v>
      </c>
      <c r="CB59" s="0" t="n">
        <v>1.491505</v>
      </c>
      <c r="CC59" s="0" t="n">
        <v>1.491505</v>
      </c>
      <c r="CD59" s="0" t="n">
        <v>1.248405</v>
      </c>
      <c r="CE59" s="0" t="n">
        <v>1.06243</v>
      </c>
      <c r="CF59" s="0" t="n">
        <v>1.407405</v>
      </c>
      <c r="CG59" s="188"/>
      <c r="CH59" s="0" t="n">
        <v>1.094635</v>
      </c>
      <c r="CI59" s="188"/>
      <c r="CJ59" s="188"/>
      <c r="CK59" s="188"/>
      <c r="CL59" s="188"/>
      <c r="CM59" s="188"/>
      <c r="CN59" s="188"/>
      <c r="CO59" s="188"/>
      <c r="CP59" s="0" t="n">
        <v>0.975</v>
      </c>
      <c r="CQ59" s="0" t="n">
        <v>0.91</v>
      </c>
      <c r="CR59" s="0" t="n">
        <v>0.91</v>
      </c>
      <c r="CS59" s="0" t="n">
        <v>0.97</v>
      </c>
      <c r="CT59" s="0" t="n">
        <v>0.99895</v>
      </c>
      <c r="CU59" s="0" t="n">
        <v>0.41</v>
      </c>
      <c r="CV59" s="0" t="n">
        <v>0.47</v>
      </c>
      <c r="CW59" s="0" t="n">
        <v>0.935</v>
      </c>
      <c r="CX59" s="0" t="n">
        <v>0.625</v>
      </c>
      <c r="CY59" s="0" t="n">
        <v>0.725</v>
      </c>
      <c r="CZ59" s="0" t="n">
        <v>0.8775</v>
      </c>
      <c r="DA59" s="0" t="n">
        <v>0.91</v>
      </c>
      <c r="DB59" s="0" t="n">
        <v>0.89</v>
      </c>
      <c r="DC59" s="0" t="n">
        <v>0.9075</v>
      </c>
      <c r="DD59" s="0" t="n">
        <v>0.915</v>
      </c>
      <c r="DE59" s="0" t="n">
        <v>0.89</v>
      </c>
      <c r="DF59" s="0" t="n">
        <v>0.985</v>
      </c>
      <c r="DG59" s="0" t="n">
        <v>0.99</v>
      </c>
      <c r="DH59" s="0" t="n">
        <v>0.99</v>
      </c>
      <c r="DI59" s="0" t="n">
        <v>0.9775</v>
      </c>
      <c r="DN59" s="188" t="n">
        <v>0.000285</v>
      </c>
      <c r="DO59" s="188" t="n">
        <v>0.0002</v>
      </c>
      <c r="DP59" s="188" t="n">
        <v>0</v>
      </c>
      <c r="DQ59" s="188" t="n">
        <v>0.0001</v>
      </c>
      <c r="DR59" s="188" t="n">
        <v>0</v>
      </c>
      <c r="DS59" s="188" t="n">
        <v>0.0036</v>
      </c>
      <c r="DT59" s="188" t="n">
        <v>0.00047</v>
      </c>
      <c r="DU59" s="188" t="n">
        <v>0.0007</v>
      </c>
      <c r="DV59" s="188" t="n">
        <v>0</v>
      </c>
      <c r="DW59" s="188" t="n">
        <v>0</v>
      </c>
      <c r="DX59" s="188" t="n">
        <v>0.0005</v>
      </c>
      <c r="DY59" s="188" t="n">
        <v>0.0005</v>
      </c>
      <c r="DZ59" s="188" t="n">
        <v>0.0003</v>
      </c>
      <c r="EA59" s="188" t="n">
        <v>0.000275</v>
      </c>
      <c r="EB59" s="188" t="n">
        <v>0.0004</v>
      </c>
      <c r="ED59" s="188" t="n">
        <v>6.5E-005</v>
      </c>
      <c r="EF59" s="0" t="n">
        <v>1</v>
      </c>
    </row>
    <row r="60" customFormat="false" ht="12.75" hidden="false" customHeight="false" outlineLevel="0" collapsed="false">
      <c r="A60" s="149" t="n">
        <v>38200</v>
      </c>
      <c r="B60" s="0" t="n">
        <v>0.98</v>
      </c>
      <c r="C60" s="0" t="n">
        <v>0.988</v>
      </c>
      <c r="D60" s="0" t="n">
        <v>0.965</v>
      </c>
      <c r="E60" s="0" t="n">
        <f aca="false">E48</f>
        <v>0.978</v>
      </c>
      <c r="F60" s="0" t="n">
        <v>0.977</v>
      </c>
      <c r="G60" s="0" t="n">
        <v>0.877974</v>
      </c>
      <c r="H60" s="0" t="n">
        <v>0.9875</v>
      </c>
      <c r="I60" s="0" t="n">
        <v>0.97777125</v>
      </c>
      <c r="J60" s="0" t="n">
        <v>0.9212775</v>
      </c>
      <c r="K60" s="0" t="n">
        <v>0.985</v>
      </c>
      <c r="L60" s="176" t="n">
        <v>0.9875</v>
      </c>
      <c r="M60" s="176" t="n">
        <v>0.9875</v>
      </c>
      <c r="N60" s="0" t="n">
        <v>0.98</v>
      </c>
      <c r="O60" s="0" t="n">
        <v>0.985658888</v>
      </c>
      <c r="P60" s="0" t="n">
        <v>0.98</v>
      </c>
      <c r="Q60" s="177" t="n">
        <v>0.9875</v>
      </c>
      <c r="R60" s="0" t="n">
        <v>0.9875</v>
      </c>
      <c r="S60" s="176" t="n">
        <v>0.9875</v>
      </c>
      <c r="T60" s="0" t="n">
        <v>0.98</v>
      </c>
      <c r="U60" s="0" t="n">
        <v>0.98</v>
      </c>
      <c r="V60" s="0" t="n">
        <v>0.98</v>
      </c>
      <c r="W60" s="0" t="n">
        <v>0.98</v>
      </c>
      <c r="X60" s="0" t="n">
        <v>0.985658888</v>
      </c>
      <c r="Y60" s="0" t="n">
        <v>0.985658888</v>
      </c>
      <c r="Z60" s="0" t="n">
        <v>0.985658888</v>
      </c>
      <c r="AA60" s="0" t="n">
        <v>0.985658888</v>
      </c>
      <c r="AB60" s="0" t="n">
        <v>0.98</v>
      </c>
      <c r="AC60" s="0" t="n">
        <v>0.98</v>
      </c>
      <c r="AD60" s="0" t="n">
        <v>0.985658888</v>
      </c>
      <c r="AE60" s="0" t="n">
        <v>0.985658888</v>
      </c>
      <c r="AF60" s="0" t="n">
        <v>0.98</v>
      </c>
      <c r="AG60" s="0" t="n">
        <v>0.99</v>
      </c>
      <c r="AH60" s="0" t="n">
        <v>0.974283</v>
      </c>
      <c r="AI60" s="0" t="n">
        <v>0.974283</v>
      </c>
      <c r="AJ60" s="0" t="n">
        <v>0.98</v>
      </c>
      <c r="AK60" s="0" t="n">
        <v>1</v>
      </c>
      <c r="AL60" s="0" t="n">
        <v>0.985</v>
      </c>
      <c r="AM60" s="0" t="n">
        <v>0.985</v>
      </c>
      <c r="AN60" s="177" t="n">
        <v>0.9958</v>
      </c>
      <c r="AO60" s="177" t="n">
        <v>0.99</v>
      </c>
      <c r="AP60" s="177" t="n">
        <v>0.99</v>
      </c>
      <c r="AQ60" s="0" t="n">
        <v>0.985</v>
      </c>
      <c r="AR60" s="0" t="n">
        <v>0.974283</v>
      </c>
      <c r="AS60" s="0" t="n">
        <v>0.977</v>
      </c>
      <c r="AT60" s="177" t="n">
        <v>0.9775</v>
      </c>
      <c r="AU60" s="0" t="n">
        <v>0.974283</v>
      </c>
      <c r="AV60" s="0" t="n">
        <v>0.985</v>
      </c>
      <c r="AW60" s="0" t="n">
        <v>0.985</v>
      </c>
      <c r="AX60" s="0" t="n">
        <v>0.985</v>
      </c>
      <c r="AY60" s="0" t="n">
        <v>0.974283</v>
      </c>
      <c r="AZ60" s="0" t="n">
        <v>0.974283</v>
      </c>
      <c r="BA60" s="0" t="n">
        <v>0.985</v>
      </c>
      <c r="BB60" s="187" t="n">
        <v>1</v>
      </c>
      <c r="BC60" s="0" t="n">
        <v>1</v>
      </c>
      <c r="BD60" s="0" t="n">
        <v>1</v>
      </c>
      <c r="BE60" s="0" t="n">
        <v>1</v>
      </c>
      <c r="BF60" s="0" t="n">
        <v>0.9999</v>
      </c>
      <c r="BG60" s="0" t="n">
        <v>1</v>
      </c>
      <c r="BH60" s="0" t="n">
        <v>1</v>
      </c>
      <c r="BI60" s="0" t="n">
        <v>0.99</v>
      </c>
      <c r="BJ60" s="0" t="n">
        <v>0.999</v>
      </c>
      <c r="BK60" s="0" t="n">
        <v>0.998</v>
      </c>
      <c r="BL60" s="0" t="n">
        <v>0.9985</v>
      </c>
      <c r="BM60" s="0" t="n">
        <v>0.9985</v>
      </c>
      <c r="BN60" s="0" t="n">
        <v>0.972</v>
      </c>
      <c r="BO60" s="0" t="n">
        <v>0.9999</v>
      </c>
      <c r="BP60" s="0" t="n">
        <v>0.9999</v>
      </c>
      <c r="BQ60" s="0" t="n">
        <v>1</v>
      </c>
      <c r="BR60" s="0" t="n">
        <v>1.0795376</v>
      </c>
      <c r="BS60" s="0" t="n">
        <v>1.1</v>
      </c>
      <c r="BT60" s="0" t="n">
        <v>1.0827</v>
      </c>
      <c r="BU60" s="0" t="n">
        <v>1.0103</v>
      </c>
      <c r="BV60" s="0" t="n">
        <v>1</v>
      </c>
      <c r="BW60" s="0" t="n">
        <v>2.0418</v>
      </c>
      <c r="BX60" s="0" t="n">
        <v>2.257476333</v>
      </c>
      <c r="BY60" s="0" t="n">
        <v>1.05705</v>
      </c>
      <c r="BZ60" s="0" t="n">
        <v>1.2885</v>
      </c>
      <c r="CA60" s="0" t="n">
        <v>2.001</v>
      </c>
      <c r="CB60" s="0" t="n">
        <v>1.492005</v>
      </c>
      <c r="CC60" s="0" t="n">
        <v>1.492005</v>
      </c>
      <c r="CD60" s="0" t="n">
        <v>1.248705</v>
      </c>
      <c r="CE60" s="0" t="n">
        <v>1.062705</v>
      </c>
      <c r="CF60" s="0" t="n">
        <v>1.407805</v>
      </c>
      <c r="CG60" s="188"/>
      <c r="CH60" s="0" t="n">
        <v>1.0947</v>
      </c>
      <c r="CI60" s="188"/>
      <c r="CJ60" s="188"/>
      <c r="CK60" s="188"/>
      <c r="CL60" s="188"/>
      <c r="CM60" s="188"/>
      <c r="CN60" s="188"/>
      <c r="CO60" s="188"/>
      <c r="CP60" s="0" t="n">
        <v>0.975</v>
      </c>
      <c r="CQ60" s="0" t="n">
        <v>0.91</v>
      </c>
      <c r="CR60" s="0" t="n">
        <v>0.91</v>
      </c>
      <c r="CS60" s="0" t="n">
        <v>0.97</v>
      </c>
      <c r="CT60" s="0" t="n">
        <v>0.99895</v>
      </c>
      <c r="CU60" s="0" t="n">
        <v>0.43</v>
      </c>
      <c r="CV60" s="0" t="n">
        <v>0.52</v>
      </c>
      <c r="CW60" s="0" t="n">
        <v>0.925</v>
      </c>
      <c r="CX60" s="0" t="n">
        <v>0.715</v>
      </c>
      <c r="CY60" s="0" t="n">
        <v>0.725</v>
      </c>
      <c r="CZ60" s="0" t="n">
        <v>0.89</v>
      </c>
      <c r="DA60" s="0" t="n">
        <v>0.9225</v>
      </c>
      <c r="DB60" s="0" t="n">
        <v>0.915</v>
      </c>
      <c r="DC60" s="0" t="n">
        <v>0.9275</v>
      </c>
      <c r="DD60" s="0" t="n">
        <v>0.915</v>
      </c>
      <c r="DE60" s="0" t="n">
        <v>0.89</v>
      </c>
      <c r="DF60" s="0" t="n">
        <v>0.985</v>
      </c>
      <c r="DG60" s="0" t="n">
        <v>0.99</v>
      </c>
      <c r="DH60" s="0" t="n">
        <v>0.99</v>
      </c>
      <c r="DI60" s="0" t="n">
        <v>0.9775</v>
      </c>
      <c r="DN60" s="188" t="n">
        <v>0.000285</v>
      </c>
      <c r="DO60" s="188" t="n">
        <v>0.0002</v>
      </c>
      <c r="DP60" s="188" t="n">
        <v>0</v>
      </c>
      <c r="DQ60" s="188" t="n">
        <v>0.0001</v>
      </c>
      <c r="DR60" s="188" t="n">
        <v>0</v>
      </c>
      <c r="DS60" s="188" t="n">
        <v>0.0036</v>
      </c>
      <c r="DT60" s="188" t="n">
        <v>0.00047</v>
      </c>
      <c r="DU60" s="188" t="n">
        <v>0.0007</v>
      </c>
      <c r="DV60" s="188" t="n">
        <v>0</v>
      </c>
      <c r="DW60" s="188" t="n">
        <v>0</v>
      </c>
      <c r="DX60" s="188" t="n">
        <v>0.0005</v>
      </c>
      <c r="DY60" s="188" t="n">
        <v>0.0005</v>
      </c>
      <c r="DZ60" s="188" t="n">
        <v>0.0003</v>
      </c>
      <c r="EA60" s="188" t="n">
        <v>0.000275</v>
      </c>
      <c r="EB60" s="188" t="n">
        <v>0.0004</v>
      </c>
      <c r="ED60" s="188" t="n">
        <v>6.5E-005</v>
      </c>
      <c r="EF60" s="0" t="n">
        <v>1</v>
      </c>
    </row>
    <row r="61" customFormat="false" ht="12.75" hidden="false" customHeight="false" outlineLevel="0" collapsed="false">
      <c r="A61" s="149" t="n">
        <v>38231</v>
      </c>
      <c r="B61" s="0" t="n">
        <v>0.98</v>
      </c>
      <c r="C61" s="0" t="n">
        <v>0.988</v>
      </c>
      <c r="D61" s="0" t="n">
        <v>0.965</v>
      </c>
      <c r="E61" s="0" t="n">
        <f aca="false">E49</f>
        <v>0.978</v>
      </c>
      <c r="F61" s="0" t="n">
        <v>0.977</v>
      </c>
      <c r="G61" s="0" t="n">
        <v>0.940884</v>
      </c>
      <c r="H61" s="0" t="n">
        <v>0.9875</v>
      </c>
      <c r="I61" s="0" t="n">
        <v>0.97841875</v>
      </c>
      <c r="J61" s="0" t="n">
        <v>0.7408875</v>
      </c>
      <c r="K61" s="0" t="n">
        <v>0.985</v>
      </c>
      <c r="L61" s="176" t="n">
        <v>0.9875</v>
      </c>
      <c r="M61" s="176" t="n">
        <v>0.9875</v>
      </c>
      <c r="N61" s="0" t="n">
        <v>0.98</v>
      </c>
      <c r="O61" s="0" t="n">
        <v>0.9779416</v>
      </c>
      <c r="P61" s="0" t="n">
        <v>0.98</v>
      </c>
      <c r="Q61" s="177" t="n">
        <v>0.9875</v>
      </c>
      <c r="R61" s="0" t="n">
        <v>0.9875</v>
      </c>
      <c r="S61" s="176" t="n">
        <v>0.9875</v>
      </c>
      <c r="T61" s="0" t="n">
        <v>0.98</v>
      </c>
      <c r="U61" s="0" t="n">
        <v>0.98</v>
      </c>
      <c r="V61" s="0" t="n">
        <v>0.98</v>
      </c>
      <c r="W61" s="0" t="n">
        <v>0.98</v>
      </c>
      <c r="X61" s="0" t="n">
        <v>0.9779416</v>
      </c>
      <c r="Y61" s="0" t="n">
        <v>0.9779416</v>
      </c>
      <c r="Z61" s="0" t="n">
        <v>0.9779416</v>
      </c>
      <c r="AA61" s="0" t="n">
        <v>0.9779416</v>
      </c>
      <c r="AB61" s="0" t="n">
        <v>0.98</v>
      </c>
      <c r="AC61" s="0" t="n">
        <v>0.98</v>
      </c>
      <c r="AD61" s="0" t="n">
        <v>0.9779416</v>
      </c>
      <c r="AE61" s="0" t="n">
        <v>0.9779416</v>
      </c>
      <c r="AF61" s="0" t="n">
        <v>0.98</v>
      </c>
      <c r="AG61" s="0" t="n">
        <v>0.99</v>
      </c>
      <c r="AH61" s="0" t="n">
        <v>0.97434085</v>
      </c>
      <c r="AI61" s="0" t="n">
        <v>0.97434085</v>
      </c>
      <c r="AJ61" s="0" t="n">
        <v>0.98</v>
      </c>
      <c r="AK61" s="0" t="n">
        <v>1</v>
      </c>
      <c r="AL61" s="0" t="n">
        <v>0.985</v>
      </c>
      <c r="AM61" s="0" t="n">
        <v>0.985</v>
      </c>
      <c r="AN61" s="177" t="n">
        <v>0.9958</v>
      </c>
      <c r="AO61" s="177" t="n">
        <v>0.99</v>
      </c>
      <c r="AP61" s="177" t="n">
        <v>0.99</v>
      </c>
      <c r="AQ61" s="0" t="n">
        <v>0.985</v>
      </c>
      <c r="AR61" s="0" t="n">
        <v>0.97434085</v>
      </c>
      <c r="AS61" s="0" t="n">
        <v>0.977</v>
      </c>
      <c r="AT61" s="177" t="n">
        <v>0.9775</v>
      </c>
      <c r="AU61" s="0" t="n">
        <v>0.97434085</v>
      </c>
      <c r="AV61" s="0" t="n">
        <v>0.985</v>
      </c>
      <c r="AW61" s="0" t="n">
        <v>0.985</v>
      </c>
      <c r="AX61" s="0" t="n">
        <v>0.985</v>
      </c>
      <c r="AY61" s="0" t="n">
        <v>0.97434085</v>
      </c>
      <c r="AZ61" s="0" t="n">
        <v>0.97434085</v>
      </c>
      <c r="BA61" s="0" t="n">
        <v>0.985</v>
      </c>
      <c r="BB61" s="187" t="n">
        <v>1</v>
      </c>
      <c r="BC61" s="0" t="n">
        <v>1</v>
      </c>
      <c r="BD61" s="0" t="n">
        <v>1</v>
      </c>
      <c r="BE61" s="0" t="n">
        <v>1</v>
      </c>
      <c r="BF61" s="0" t="n">
        <v>0.9999</v>
      </c>
      <c r="BG61" s="0" t="n">
        <v>1</v>
      </c>
      <c r="BH61" s="0" t="n">
        <v>1</v>
      </c>
      <c r="BI61" s="0" t="n">
        <v>0.99</v>
      </c>
      <c r="BJ61" s="0" t="n">
        <v>0.999</v>
      </c>
      <c r="BK61" s="0" t="n">
        <v>0.998</v>
      </c>
      <c r="BL61" s="0" t="n">
        <v>0.9985</v>
      </c>
      <c r="BM61" s="0" t="n">
        <v>0.9985</v>
      </c>
      <c r="BN61" s="0" t="n">
        <v>0.972</v>
      </c>
      <c r="BO61" s="0" t="n">
        <v>0.9999</v>
      </c>
      <c r="BP61" s="0" t="n">
        <v>0.9999</v>
      </c>
      <c r="BQ61" s="0" t="n">
        <v>1</v>
      </c>
      <c r="BR61" s="0" t="n">
        <v>1.0798226</v>
      </c>
      <c r="BS61" s="0" t="n">
        <v>1.1002</v>
      </c>
      <c r="BT61" s="0" t="n">
        <v>1.0827</v>
      </c>
      <c r="BU61" s="0" t="n">
        <v>1.0104</v>
      </c>
      <c r="BV61" s="0" t="n">
        <v>1</v>
      </c>
      <c r="BW61" s="0" t="n">
        <v>2.0454</v>
      </c>
      <c r="BX61" s="0" t="n">
        <v>2.257946333</v>
      </c>
      <c r="BY61" s="0" t="n">
        <v>1.05775</v>
      </c>
      <c r="BZ61" s="0" t="n">
        <v>1.2885</v>
      </c>
      <c r="CA61" s="0" t="n">
        <v>2.001</v>
      </c>
      <c r="CB61" s="0" t="n">
        <v>1.492505</v>
      </c>
      <c r="CC61" s="0" t="n">
        <v>1.492505</v>
      </c>
      <c r="CD61" s="0" t="n">
        <v>1.249005</v>
      </c>
      <c r="CE61" s="0" t="n">
        <v>1.06298</v>
      </c>
      <c r="CF61" s="0" t="n">
        <v>1.408205</v>
      </c>
      <c r="CG61" s="188"/>
      <c r="CH61" s="0" t="n">
        <v>1.094765</v>
      </c>
      <c r="CI61" s="188"/>
      <c r="CJ61" s="188"/>
      <c r="CK61" s="188"/>
      <c r="CL61" s="188"/>
      <c r="CM61" s="188"/>
      <c r="CN61" s="188"/>
      <c r="CO61" s="188"/>
      <c r="CP61" s="0" t="n">
        <v>0.975</v>
      </c>
      <c r="CQ61" s="0" t="n">
        <v>0.91</v>
      </c>
      <c r="CR61" s="0" t="n">
        <v>0.91</v>
      </c>
      <c r="CS61" s="0" t="n">
        <v>0.95</v>
      </c>
      <c r="CT61" s="0" t="n">
        <v>0.99895</v>
      </c>
      <c r="CU61" s="0" t="n">
        <v>0.46</v>
      </c>
      <c r="CV61" s="0" t="n">
        <v>0.55</v>
      </c>
      <c r="CW61" s="0" t="n">
        <v>0.925</v>
      </c>
      <c r="CX61" s="0" t="n">
        <v>0.575</v>
      </c>
      <c r="CY61" s="0" t="n">
        <v>0.575</v>
      </c>
      <c r="CZ61" s="0" t="n">
        <v>0.945</v>
      </c>
      <c r="DA61" s="0" t="n">
        <v>0.9775</v>
      </c>
      <c r="DB61" s="0" t="n">
        <v>0.945</v>
      </c>
      <c r="DC61" s="0" t="n">
        <v>0.92</v>
      </c>
      <c r="DD61" s="0" t="n">
        <v>0.915</v>
      </c>
      <c r="DE61" s="0" t="n">
        <v>0.89</v>
      </c>
      <c r="DF61" s="0" t="n">
        <v>0.985</v>
      </c>
      <c r="DG61" s="0" t="n">
        <v>0.99</v>
      </c>
      <c r="DH61" s="0" t="n">
        <v>0.99</v>
      </c>
      <c r="DI61" s="0" t="n">
        <v>0.9775</v>
      </c>
      <c r="DN61" s="188" t="n">
        <v>0.000285</v>
      </c>
      <c r="DO61" s="188" t="n">
        <v>0.0002</v>
      </c>
      <c r="DP61" s="188" t="n">
        <v>0</v>
      </c>
      <c r="DQ61" s="188" t="n">
        <v>0.0001</v>
      </c>
      <c r="DR61" s="188" t="n">
        <v>0</v>
      </c>
      <c r="DS61" s="188" t="n">
        <v>0.0036</v>
      </c>
      <c r="DT61" s="188" t="n">
        <v>0.00047</v>
      </c>
      <c r="DU61" s="188" t="n">
        <v>0.0007</v>
      </c>
      <c r="DV61" s="188" t="n">
        <v>0</v>
      </c>
      <c r="DW61" s="188" t="n">
        <v>0</v>
      </c>
      <c r="DX61" s="188" t="n">
        <v>0.0005</v>
      </c>
      <c r="DY61" s="188" t="n">
        <v>0.0005</v>
      </c>
      <c r="DZ61" s="188" t="n">
        <v>0.0003</v>
      </c>
      <c r="EA61" s="188" t="n">
        <v>0.000275</v>
      </c>
      <c r="EB61" s="188" t="n">
        <v>0.0004</v>
      </c>
      <c r="ED61" s="188" t="n">
        <v>6.5E-005</v>
      </c>
      <c r="EF61" s="0" t="n">
        <v>1</v>
      </c>
    </row>
    <row r="62" customFormat="false" ht="12.75" hidden="false" customHeight="false" outlineLevel="0" collapsed="false">
      <c r="A62" s="149" t="n">
        <v>38261</v>
      </c>
      <c r="B62" s="0" t="n">
        <v>0.98</v>
      </c>
      <c r="C62" s="0" t="n">
        <v>0.988</v>
      </c>
      <c r="D62" s="0" t="n">
        <v>0.965</v>
      </c>
      <c r="E62" s="0" t="n">
        <f aca="false">E50</f>
        <v>0.978</v>
      </c>
      <c r="F62" s="0" t="n">
        <v>0.977</v>
      </c>
      <c r="G62" s="0" t="n">
        <v>0.94254</v>
      </c>
      <c r="H62" s="0" t="n">
        <v>0.9875</v>
      </c>
      <c r="I62" s="0" t="n">
        <v>0.97906625</v>
      </c>
      <c r="J62" s="0" t="n">
        <v>0.7280025</v>
      </c>
      <c r="K62" s="0" t="n">
        <v>0.985</v>
      </c>
      <c r="L62" s="176" t="n">
        <v>0.9875</v>
      </c>
      <c r="M62" s="176" t="n">
        <v>0.9875</v>
      </c>
      <c r="N62" s="0" t="n">
        <v>0.98</v>
      </c>
      <c r="O62" s="0" t="n">
        <v>0.959587638</v>
      </c>
      <c r="P62" s="0" t="n">
        <v>0.98</v>
      </c>
      <c r="Q62" s="177" t="n">
        <v>0.9875</v>
      </c>
      <c r="R62" s="0" t="n">
        <v>0.9875</v>
      </c>
      <c r="S62" s="176" t="n">
        <v>0.9875</v>
      </c>
      <c r="T62" s="0" t="n">
        <v>0.98</v>
      </c>
      <c r="U62" s="0" t="n">
        <v>0.98</v>
      </c>
      <c r="V62" s="0" t="n">
        <v>0.98</v>
      </c>
      <c r="W62" s="0" t="n">
        <v>0.98</v>
      </c>
      <c r="X62" s="0" t="n">
        <v>0.959587638</v>
      </c>
      <c r="Y62" s="0" t="n">
        <v>0.959587638</v>
      </c>
      <c r="Z62" s="0" t="n">
        <v>0.959587638</v>
      </c>
      <c r="AA62" s="0" t="n">
        <v>0.959587638</v>
      </c>
      <c r="AB62" s="0" t="n">
        <v>0.98</v>
      </c>
      <c r="AC62" s="0" t="n">
        <v>0.98</v>
      </c>
      <c r="AD62" s="0" t="n">
        <v>0.959587638</v>
      </c>
      <c r="AE62" s="0" t="n">
        <v>0.959587638</v>
      </c>
      <c r="AF62" s="0" t="n">
        <v>0.98</v>
      </c>
      <c r="AG62" s="0" t="n">
        <v>0.99</v>
      </c>
      <c r="AH62" s="0" t="n">
        <v>0.9743987</v>
      </c>
      <c r="AI62" s="0" t="n">
        <v>0.9743987</v>
      </c>
      <c r="AJ62" s="0" t="n">
        <v>0.98</v>
      </c>
      <c r="AK62" s="0" t="n">
        <v>1</v>
      </c>
      <c r="AL62" s="0" t="n">
        <v>0.985</v>
      </c>
      <c r="AM62" s="0" t="n">
        <v>0.985</v>
      </c>
      <c r="AN62" s="177" t="n">
        <v>0.9958</v>
      </c>
      <c r="AO62" s="177" t="n">
        <v>0.98</v>
      </c>
      <c r="AP62" s="177" t="n">
        <v>0.99</v>
      </c>
      <c r="AQ62" s="0" t="n">
        <v>0.985</v>
      </c>
      <c r="AR62" s="0" t="n">
        <v>0.9743987</v>
      </c>
      <c r="AS62" s="0" t="n">
        <v>0.977</v>
      </c>
      <c r="AT62" s="177" t="n">
        <v>0.9775</v>
      </c>
      <c r="AU62" s="0" t="n">
        <v>0.9743987</v>
      </c>
      <c r="AV62" s="0" t="n">
        <v>0.985</v>
      </c>
      <c r="AW62" s="0" t="n">
        <v>0.985</v>
      </c>
      <c r="AX62" s="0" t="n">
        <v>0.985</v>
      </c>
      <c r="AY62" s="0" t="n">
        <v>0.9743987</v>
      </c>
      <c r="AZ62" s="0" t="n">
        <v>0.9743987</v>
      </c>
      <c r="BA62" s="0" t="n">
        <v>0.985</v>
      </c>
      <c r="BB62" s="187" t="n">
        <v>1</v>
      </c>
      <c r="BC62" s="0" t="n">
        <v>1</v>
      </c>
      <c r="BD62" s="0" t="n">
        <v>1</v>
      </c>
      <c r="BE62" s="0" t="n">
        <v>1</v>
      </c>
      <c r="BF62" s="0" t="n">
        <v>0.9999</v>
      </c>
      <c r="BG62" s="0" t="n">
        <v>1</v>
      </c>
      <c r="BH62" s="0" t="n">
        <v>1</v>
      </c>
      <c r="BI62" s="0" t="n">
        <v>0.99</v>
      </c>
      <c r="BJ62" s="0" t="n">
        <v>0.999</v>
      </c>
      <c r="BK62" s="0" t="n">
        <v>0.998</v>
      </c>
      <c r="BL62" s="0" t="n">
        <v>0.9985</v>
      </c>
      <c r="BM62" s="0" t="n">
        <v>0.9985</v>
      </c>
      <c r="BN62" s="0" t="n">
        <v>0.972</v>
      </c>
      <c r="BO62" s="0" t="n">
        <v>0.9999</v>
      </c>
      <c r="BP62" s="0" t="n">
        <v>0.9999</v>
      </c>
      <c r="BQ62" s="0" t="n">
        <v>1</v>
      </c>
      <c r="BR62" s="0" t="n">
        <v>1.0801076</v>
      </c>
      <c r="BS62" s="0" t="n">
        <v>1.1004</v>
      </c>
      <c r="BT62" s="0" t="n">
        <v>1.0827</v>
      </c>
      <c r="BU62" s="0" t="n">
        <v>1.0105</v>
      </c>
      <c r="BV62" s="0" t="n">
        <v>1</v>
      </c>
      <c r="BW62" s="0" t="n">
        <v>2.049</v>
      </c>
      <c r="BX62" s="0" t="n">
        <v>2.258416333</v>
      </c>
      <c r="BY62" s="0" t="n">
        <v>1.05845</v>
      </c>
      <c r="BZ62" s="0" t="n">
        <v>1.2885</v>
      </c>
      <c r="CA62" s="0" t="n">
        <v>2.001</v>
      </c>
      <c r="CB62" s="0" t="n">
        <v>1.493005</v>
      </c>
      <c r="CC62" s="0" t="n">
        <v>1.493005</v>
      </c>
      <c r="CD62" s="0" t="n">
        <v>1.249305</v>
      </c>
      <c r="CE62" s="0" t="n">
        <v>1.063255</v>
      </c>
      <c r="CF62" s="0" t="n">
        <v>1.408605</v>
      </c>
      <c r="CG62" s="188"/>
      <c r="CH62" s="0" t="n">
        <v>1.09483</v>
      </c>
      <c r="CI62" s="188"/>
      <c r="CJ62" s="188"/>
      <c r="CK62" s="188"/>
      <c r="CL62" s="188"/>
      <c r="CM62" s="188"/>
      <c r="CN62" s="188"/>
      <c r="CO62" s="188"/>
      <c r="CP62" s="0" t="n">
        <v>0.955</v>
      </c>
      <c r="CQ62" s="0" t="n">
        <v>0.9</v>
      </c>
      <c r="CR62" s="0" t="n">
        <v>0.91</v>
      </c>
      <c r="CS62" s="0" t="n">
        <v>0.94</v>
      </c>
      <c r="CT62" s="0" t="n">
        <v>0.99895</v>
      </c>
      <c r="CU62" s="0" t="n">
        <v>0.46</v>
      </c>
      <c r="CV62" s="0" t="n">
        <v>0.45</v>
      </c>
      <c r="CW62" s="0" t="n">
        <v>0.925</v>
      </c>
      <c r="CX62" s="0" t="n">
        <v>0.565</v>
      </c>
      <c r="CY62" s="0" t="n">
        <v>0.505</v>
      </c>
      <c r="CZ62" s="0" t="n">
        <v>0.805</v>
      </c>
      <c r="DA62" s="0" t="n">
        <v>0.8375</v>
      </c>
      <c r="DB62" s="0" t="n">
        <v>0.875</v>
      </c>
      <c r="DC62" s="0" t="n">
        <v>0.9025</v>
      </c>
      <c r="DD62" s="0" t="n">
        <v>0.82</v>
      </c>
      <c r="DE62" s="0" t="n">
        <v>0.89</v>
      </c>
      <c r="DF62" s="0" t="n">
        <v>0.985</v>
      </c>
      <c r="DG62" s="0" t="n">
        <v>0.98</v>
      </c>
      <c r="DH62" s="0" t="n">
        <v>0.99</v>
      </c>
      <c r="DI62" s="0" t="n">
        <v>0.9775</v>
      </c>
      <c r="DN62" s="188" t="n">
        <v>0.000285</v>
      </c>
      <c r="DO62" s="188" t="n">
        <v>0.0002</v>
      </c>
      <c r="DP62" s="188" t="n">
        <v>0</v>
      </c>
      <c r="DQ62" s="188" t="n">
        <v>0.0001</v>
      </c>
      <c r="DR62" s="188" t="n">
        <v>0</v>
      </c>
      <c r="DS62" s="188" t="n">
        <v>0.0036</v>
      </c>
      <c r="DT62" s="188" t="n">
        <v>0.00047</v>
      </c>
      <c r="DU62" s="188" t="n">
        <v>0.0007</v>
      </c>
      <c r="DV62" s="188" t="n">
        <v>0</v>
      </c>
      <c r="DW62" s="188" t="n">
        <v>0</v>
      </c>
      <c r="DX62" s="188" t="n">
        <v>0.0005</v>
      </c>
      <c r="DY62" s="188" t="n">
        <v>0.0005</v>
      </c>
      <c r="DZ62" s="188" t="n">
        <v>0.0003</v>
      </c>
      <c r="EA62" s="188" t="n">
        <v>0.000275</v>
      </c>
      <c r="EB62" s="188" t="n">
        <v>0.0004</v>
      </c>
      <c r="ED62" s="188" t="n">
        <v>6.5E-005</v>
      </c>
      <c r="EF62" s="0" t="n">
        <v>1</v>
      </c>
    </row>
    <row r="63" customFormat="false" ht="12.75" hidden="false" customHeight="false" outlineLevel="0" collapsed="false">
      <c r="A63" s="149" t="n">
        <v>38292</v>
      </c>
      <c r="B63" s="0" t="n">
        <v>0.98</v>
      </c>
      <c r="C63" s="0" t="n">
        <v>0.988</v>
      </c>
      <c r="D63" s="0" t="n">
        <v>0.965</v>
      </c>
      <c r="E63" s="0" t="n">
        <f aca="false">E51</f>
        <v>0.994</v>
      </c>
      <c r="F63" s="0" t="n">
        <v>0.977</v>
      </c>
      <c r="G63" s="0" t="n">
        <v>0.985248</v>
      </c>
      <c r="H63" s="0" t="n">
        <v>0.9875</v>
      </c>
      <c r="I63" s="0" t="n">
        <v>0.95853075</v>
      </c>
      <c r="J63" s="0" t="n">
        <v>0.6764625</v>
      </c>
      <c r="K63" s="0" t="n">
        <v>0.970485</v>
      </c>
      <c r="L63" s="176" t="n">
        <v>0.9875</v>
      </c>
      <c r="M63" s="176" t="n">
        <v>0.9875</v>
      </c>
      <c r="N63" s="0" t="n">
        <v>0.98</v>
      </c>
      <c r="O63" s="0" t="n">
        <v>0.959835825</v>
      </c>
      <c r="P63" s="0" t="n">
        <v>0.98</v>
      </c>
      <c r="Q63" s="177" t="n">
        <v>0.9875</v>
      </c>
      <c r="R63" s="0" t="n">
        <v>0.9875</v>
      </c>
      <c r="S63" s="176" t="n">
        <v>0.9875</v>
      </c>
      <c r="T63" s="0" t="n">
        <v>0.98</v>
      </c>
      <c r="U63" s="0" t="n">
        <v>0.98</v>
      </c>
      <c r="V63" s="0" t="n">
        <v>0.98</v>
      </c>
      <c r="W63" s="0" t="n">
        <v>0.98</v>
      </c>
      <c r="X63" s="0" t="n">
        <v>0.959835825</v>
      </c>
      <c r="Y63" s="0" t="n">
        <v>0.959835825</v>
      </c>
      <c r="Z63" s="0" t="n">
        <v>0.959835825</v>
      </c>
      <c r="AA63" s="0" t="n">
        <v>0.959835825</v>
      </c>
      <c r="AB63" s="0" t="n">
        <v>0.98</v>
      </c>
      <c r="AC63" s="0" t="n">
        <v>0.98</v>
      </c>
      <c r="AD63" s="0" t="n">
        <v>0.959835825</v>
      </c>
      <c r="AE63" s="0" t="n">
        <v>0.959835825</v>
      </c>
      <c r="AF63" s="0" t="n">
        <v>0.98</v>
      </c>
      <c r="AG63" s="0" t="n">
        <v>0.99</v>
      </c>
      <c r="AH63" s="0" t="n">
        <v>0.97445655</v>
      </c>
      <c r="AI63" s="0" t="n">
        <v>0.97445655</v>
      </c>
      <c r="AJ63" s="0" t="n">
        <v>0.98</v>
      </c>
      <c r="AK63" s="0" t="n">
        <v>1</v>
      </c>
      <c r="AL63" s="0" t="n">
        <v>0.970485</v>
      </c>
      <c r="AM63" s="0" t="n">
        <v>0.97443</v>
      </c>
      <c r="AN63" s="177" t="n">
        <v>0.9958</v>
      </c>
      <c r="AO63" s="177" t="n">
        <v>0.97</v>
      </c>
      <c r="AP63" s="177" t="n">
        <v>0.99</v>
      </c>
      <c r="AQ63" s="0" t="n">
        <v>0.97443</v>
      </c>
      <c r="AR63" s="0" t="n">
        <v>0.97445655</v>
      </c>
      <c r="AS63" s="0" t="n">
        <v>0.977</v>
      </c>
      <c r="AT63" s="177" t="n">
        <v>0.9775</v>
      </c>
      <c r="AU63" s="0" t="n">
        <v>0.97445655</v>
      </c>
      <c r="AV63" s="0" t="n">
        <v>0.97443</v>
      </c>
      <c r="AW63" s="0" t="n">
        <v>0.97443</v>
      </c>
      <c r="AX63" s="0" t="n">
        <v>0.97443</v>
      </c>
      <c r="AY63" s="0" t="n">
        <v>0.97445655</v>
      </c>
      <c r="AZ63" s="0" t="n">
        <v>0.97445655</v>
      </c>
      <c r="BA63" s="0" t="n">
        <v>0.97443</v>
      </c>
      <c r="BB63" s="187" t="n">
        <v>1</v>
      </c>
      <c r="BC63" s="0" t="n">
        <v>1</v>
      </c>
      <c r="BD63" s="0" t="n">
        <v>1</v>
      </c>
      <c r="BE63" s="0" t="n">
        <v>1</v>
      </c>
      <c r="BF63" s="0" t="n">
        <v>0.9999</v>
      </c>
      <c r="BG63" s="0" t="n">
        <v>1</v>
      </c>
      <c r="BH63" s="0" t="n">
        <v>1</v>
      </c>
      <c r="BI63" s="0" t="n">
        <v>0.99</v>
      </c>
      <c r="BJ63" s="0" t="n">
        <v>0.999</v>
      </c>
      <c r="BK63" s="0" t="n">
        <v>0.998</v>
      </c>
      <c r="BL63" s="0" t="n">
        <v>0.9985</v>
      </c>
      <c r="BM63" s="0" t="n">
        <v>0.9985</v>
      </c>
      <c r="BN63" s="0" t="n">
        <v>0.972</v>
      </c>
      <c r="BO63" s="0" t="n">
        <v>0.9999</v>
      </c>
      <c r="BP63" s="0" t="n">
        <v>0.9999</v>
      </c>
      <c r="BQ63" s="0" t="n">
        <v>1</v>
      </c>
      <c r="BR63" s="0" t="n">
        <v>1.0803926</v>
      </c>
      <c r="BS63" s="0" t="n">
        <v>1.1006</v>
      </c>
      <c r="BT63" s="0" t="n">
        <v>1.0827</v>
      </c>
      <c r="BU63" s="0" t="n">
        <v>1.0106</v>
      </c>
      <c r="BV63" s="0" t="n">
        <v>1</v>
      </c>
      <c r="BW63" s="0" t="n">
        <v>2.0526</v>
      </c>
      <c r="BX63" s="0" t="n">
        <v>2.258886333</v>
      </c>
      <c r="BY63" s="0" t="n">
        <v>1.05915</v>
      </c>
      <c r="BZ63" s="0" t="n">
        <v>1.2885</v>
      </c>
      <c r="CA63" s="0" t="n">
        <v>2.001</v>
      </c>
      <c r="CB63" s="0" t="n">
        <v>1.493505</v>
      </c>
      <c r="CC63" s="0" t="n">
        <v>1.493505</v>
      </c>
      <c r="CD63" s="0" t="n">
        <v>1.249605</v>
      </c>
      <c r="CE63" s="0" t="n">
        <v>1.06353</v>
      </c>
      <c r="CF63" s="0" t="n">
        <v>1.409005</v>
      </c>
      <c r="CG63" s="188"/>
      <c r="CH63" s="0" t="n">
        <v>1.094895</v>
      </c>
      <c r="CI63" s="188"/>
      <c r="CJ63" s="188"/>
      <c r="CK63" s="188"/>
      <c r="CL63" s="188"/>
      <c r="CM63" s="188"/>
      <c r="CN63" s="188"/>
      <c r="CO63" s="188"/>
      <c r="CP63" s="0" t="n">
        <v>0.955</v>
      </c>
      <c r="CQ63" s="0" t="n">
        <v>0.9</v>
      </c>
      <c r="CR63" s="0" t="n">
        <v>0.9</v>
      </c>
      <c r="CS63" s="0" t="n">
        <v>0.94</v>
      </c>
      <c r="CT63" s="0" t="n">
        <v>0.999</v>
      </c>
      <c r="CU63" s="0" t="n">
        <v>0.48</v>
      </c>
      <c r="CV63" s="0" t="n">
        <v>0.46</v>
      </c>
      <c r="CW63" s="0" t="n">
        <v>0.905</v>
      </c>
      <c r="CX63" s="0" t="n">
        <v>0.525</v>
      </c>
      <c r="CY63" s="0" t="n">
        <v>0.485</v>
      </c>
      <c r="CZ63" s="0" t="n">
        <v>0.795</v>
      </c>
      <c r="DA63" s="0" t="n">
        <v>0.8275</v>
      </c>
      <c r="DB63" s="0" t="n">
        <v>0.85</v>
      </c>
      <c r="DC63" s="0" t="n">
        <v>0.9025</v>
      </c>
      <c r="DD63" s="0" t="n">
        <v>0.82</v>
      </c>
      <c r="DE63" s="0" t="n">
        <v>0.89</v>
      </c>
      <c r="DF63" s="0" t="n">
        <v>0.985</v>
      </c>
      <c r="DG63" s="0" t="n">
        <v>0.97</v>
      </c>
      <c r="DH63" s="0" t="n">
        <v>0.99</v>
      </c>
      <c r="DI63" s="0" t="n">
        <v>0.9775</v>
      </c>
      <c r="DN63" s="188" t="n">
        <v>0.000285</v>
      </c>
      <c r="DO63" s="188" t="n">
        <v>0.0002</v>
      </c>
      <c r="DP63" s="188" t="n">
        <v>0</v>
      </c>
      <c r="DQ63" s="188" t="n">
        <v>0.0001</v>
      </c>
      <c r="DR63" s="188" t="n">
        <v>0</v>
      </c>
      <c r="DS63" s="188" t="n">
        <v>0.0036</v>
      </c>
      <c r="DT63" s="188" t="n">
        <v>0.00047</v>
      </c>
      <c r="DU63" s="188" t="n">
        <v>0.0007</v>
      </c>
      <c r="DV63" s="188" t="n">
        <v>0</v>
      </c>
      <c r="DW63" s="188" t="n">
        <v>0</v>
      </c>
      <c r="DX63" s="188" t="n">
        <v>0.0005</v>
      </c>
      <c r="DY63" s="188" t="n">
        <v>0.0005</v>
      </c>
      <c r="DZ63" s="188" t="n">
        <v>0.0003</v>
      </c>
      <c r="EA63" s="188" t="n">
        <v>0.000275</v>
      </c>
      <c r="EB63" s="188" t="n">
        <v>0.0004</v>
      </c>
      <c r="ED63" s="188" t="n">
        <v>6.5E-005</v>
      </c>
      <c r="EF63" s="0" t="n">
        <v>1</v>
      </c>
    </row>
    <row r="64" customFormat="false" ht="12.75" hidden="false" customHeight="false" outlineLevel="0" collapsed="false">
      <c r="A64" s="149" t="n">
        <v>38322</v>
      </c>
      <c r="B64" s="0" t="n">
        <v>0.98</v>
      </c>
      <c r="C64" s="0" t="n">
        <v>0.979712</v>
      </c>
      <c r="D64" s="0" t="n">
        <v>0.965</v>
      </c>
      <c r="E64" s="0" t="n">
        <f aca="false">E52</f>
        <v>0.994</v>
      </c>
      <c r="F64" s="0" t="n">
        <v>0.977</v>
      </c>
      <c r="G64" s="0" t="n">
        <v>0.9875</v>
      </c>
      <c r="H64" s="0" t="n">
        <v>0.9875</v>
      </c>
      <c r="I64" s="0" t="n">
        <v>0.92736875</v>
      </c>
      <c r="J64" s="0" t="n">
        <v>0.682905</v>
      </c>
      <c r="K64" s="0" t="n">
        <v>0.970485</v>
      </c>
      <c r="L64" s="176" t="n">
        <v>0.88146295</v>
      </c>
      <c r="M64" s="176" t="n">
        <v>0.930018112</v>
      </c>
      <c r="N64" s="0" t="n">
        <v>0.86243445</v>
      </c>
      <c r="O64" s="0" t="n">
        <v>0.949445963</v>
      </c>
      <c r="P64" s="0" t="n">
        <v>0.86243445</v>
      </c>
      <c r="Q64" s="177" t="n">
        <v>0.88146295</v>
      </c>
      <c r="R64" s="0" t="n">
        <v>0.88146295</v>
      </c>
      <c r="S64" s="176" t="n">
        <v>0.88146295</v>
      </c>
      <c r="T64" s="0" t="n">
        <v>0.86243445</v>
      </c>
      <c r="U64" s="0" t="n">
        <v>0.86243445</v>
      </c>
      <c r="V64" s="0" t="n">
        <v>0.86243445</v>
      </c>
      <c r="W64" s="0" t="n">
        <v>0.86243445</v>
      </c>
      <c r="X64" s="0" t="n">
        <v>0.949445963</v>
      </c>
      <c r="Y64" s="0" t="n">
        <v>0.949445963</v>
      </c>
      <c r="Z64" s="0" t="n">
        <v>0.949445963</v>
      </c>
      <c r="AA64" s="0" t="n">
        <v>0.949445963</v>
      </c>
      <c r="AB64" s="0" t="n">
        <v>0.86243445</v>
      </c>
      <c r="AC64" s="0" t="n">
        <v>0.86243445</v>
      </c>
      <c r="AD64" s="0" t="n">
        <v>0.949445963</v>
      </c>
      <c r="AE64" s="0" t="n">
        <v>0.949445963</v>
      </c>
      <c r="AF64" s="0" t="n">
        <v>0.86243445</v>
      </c>
      <c r="AG64" s="0" t="n">
        <v>0.98</v>
      </c>
      <c r="AH64" s="0" t="n">
        <v>0.9745144</v>
      </c>
      <c r="AI64" s="0" t="n">
        <v>0.9745144</v>
      </c>
      <c r="AJ64" s="0" t="n">
        <v>0.86243445</v>
      </c>
      <c r="AK64" s="0" t="n">
        <v>1</v>
      </c>
      <c r="AL64" s="0" t="n">
        <v>0.970485</v>
      </c>
      <c r="AM64" s="0" t="n">
        <v>0.952776</v>
      </c>
      <c r="AN64" s="177" t="n">
        <v>0.9958</v>
      </c>
      <c r="AO64" s="177" t="n">
        <v>0.97</v>
      </c>
      <c r="AP64" s="177" t="n">
        <v>0.99</v>
      </c>
      <c r="AQ64" s="0" t="n">
        <v>0.952776</v>
      </c>
      <c r="AR64" s="0" t="n">
        <v>0.9745144</v>
      </c>
      <c r="AS64" s="0" t="n">
        <v>0.977</v>
      </c>
      <c r="AT64" s="177" t="n">
        <v>0.9775</v>
      </c>
      <c r="AU64" s="0" t="n">
        <v>0.9745144</v>
      </c>
      <c r="AV64" s="0" t="n">
        <v>0.952776</v>
      </c>
      <c r="AW64" s="0" t="n">
        <v>0.952776</v>
      </c>
      <c r="AX64" s="0" t="n">
        <v>0.952776</v>
      </c>
      <c r="AY64" s="0" t="n">
        <v>0.9745144</v>
      </c>
      <c r="AZ64" s="0" t="n">
        <v>0.9745144</v>
      </c>
      <c r="BA64" s="0" t="n">
        <v>0.952776</v>
      </c>
      <c r="BB64" s="187" t="n">
        <v>1</v>
      </c>
      <c r="BC64" s="0" t="n">
        <v>1</v>
      </c>
      <c r="BD64" s="0" t="n">
        <v>1</v>
      </c>
      <c r="BE64" s="0" t="n">
        <v>1</v>
      </c>
      <c r="BF64" s="0" t="n">
        <v>0.9999</v>
      </c>
      <c r="BG64" s="0" t="n">
        <v>1</v>
      </c>
      <c r="BH64" s="0" t="n">
        <v>1</v>
      </c>
      <c r="BI64" s="0" t="n">
        <v>0.99</v>
      </c>
      <c r="BJ64" s="0" t="n">
        <v>0.999</v>
      </c>
      <c r="BK64" s="0" t="n">
        <v>0.998</v>
      </c>
      <c r="BL64" s="0" t="n">
        <v>0.9985</v>
      </c>
      <c r="BM64" s="0" t="n">
        <v>0.9985</v>
      </c>
      <c r="BN64" s="0" t="n">
        <v>0.972</v>
      </c>
      <c r="BO64" s="0" t="n">
        <v>0.9999</v>
      </c>
      <c r="BP64" s="0" t="n">
        <v>0.9999</v>
      </c>
      <c r="BQ64" s="0" t="n">
        <v>1</v>
      </c>
      <c r="BR64" s="0" t="n">
        <v>1.0806776</v>
      </c>
      <c r="BS64" s="0" t="n">
        <v>1.1008</v>
      </c>
      <c r="BT64" s="0" t="n">
        <v>1.0827</v>
      </c>
      <c r="BU64" s="0" t="n">
        <v>1.0107</v>
      </c>
      <c r="BV64" s="0" t="n">
        <v>1</v>
      </c>
      <c r="BW64" s="0" t="n">
        <v>2.0562</v>
      </c>
      <c r="BX64" s="0" t="n">
        <v>2.259356333</v>
      </c>
      <c r="BY64" s="0" t="n">
        <v>1.05985</v>
      </c>
      <c r="BZ64" s="0" t="n">
        <v>1.2885</v>
      </c>
      <c r="CA64" s="0" t="n">
        <v>2.001</v>
      </c>
      <c r="CB64" s="0" t="n">
        <v>1.494005</v>
      </c>
      <c r="CC64" s="0" t="n">
        <v>1.494005</v>
      </c>
      <c r="CD64" s="0" t="n">
        <v>1.249905</v>
      </c>
      <c r="CE64" s="0" t="n">
        <v>1.063805</v>
      </c>
      <c r="CF64" s="0" t="n">
        <v>1.409405</v>
      </c>
      <c r="CG64" s="188"/>
      <c r="CH64" s="0" t="n">
        <v>1.09496</v>
      </c>
      <c r="CI64" s="188"/>
      <c r="CJ64" s="188"/>
      <c r="CK64" s="188"/>
      <c r="CL64" s="188"/>
      <c r="CM64" s="188"/>
      <c r="CN64" s="188"/>
      <c r="CO64" s="188"/>
      <c r="CP64" s="0" t="n">
        <v>0.935</v>
      </c>
      <c r="CQ64" s="0" t="n">
        <v>0.89</v>
      </c>
      <c r="CR64" s="0" t="n">
        <v>0.88</v>
      </c>
      <c r="CS64" s="0" t="n">
        <v>0.92</v>
      </c>
      <c r="CT64" s="0" t="n">
        <v>0.999</v>
      </c>
      <c r="CU64" s="0" t="n">
        <v>0.51</v>
      </c>
      <c r="CV64" s="0" t="n">
        <v>0.48</v>
      </c>
      <c r="CW64" s="0" t="n">
        <v>0.875</v>
      </c>
      <c r="CX64" s="0" t="n">
        <v>0.53</v>
      </c>
      <c r="CY64" s="0" t="n">
        <v>0.485</v>
      </c>
      <c r="CZ64" s="0" t="n">
        <v>0.59</v>
      </c>
      <c r="DA64" s="0" t="n">
        <v>0.6225</v>
      </c>
      <c r="DB64" s="0" t="n">
        <v>0.69</v>
      </c>
      <c r="DC64" s="0" t="n">
        <v>0.8925</v>
      </c>
      <c r="DD64" s="0" t="n">
        <v>0.715</v>
      </c>
      <c r="DE64" s="0" t="n">
        <v>0.89</v>
      </c>
      <c r="DF64" s="0" t="n">
        <v>0.985</v>
      </c>
      <c r="DG64" s="0" t="n">
        <v>0.97</v>
      </c>
      <c r="DH64" s="0" t="n">
        <v>0.99</v>
      </c>
      <c r="DI64" s="0" t="n">
        <v>0.9775</v>
      </c>
      <c r="DN64" s="188" t="n">
        <v>0.000285</v>
      </c>
      <c r="DO64" s="188" t="n">
        <v>0.0002</v>
      </c>
      <c r="DP64" s="188" t="n">
        <v>0</v>
      </c>
      <c r="DQ64" s="188" t="n">
        <v>0.0001</v>
      </c>
      <c r="DR64" s="188" t="n">
        <v>0</v>
      </c>
      <c r="DS64" s="188" t="n">
        <v>0.0036</v>
      </c>
      <c r="DT64" s="188" t="n">
        <v>0.00047</v>
      </c>
      <c r="DU64" s="188" t="n">
        <v>0.0007</v>
      </c>
      <c r="DV64" s="188" t="n">
        <v>0</v>
      </c>
      <c r="DW64" s="188" t="n">
        <v>0</v>
      </c>
      <c r="DX64" s="188" t="n">
        <v>0.0005</v>
      </c>
      <c r="DY64" s="188" t="n">
        <v>0.0005</v>
      </c>
      <c r="DZ64" s="188" t="n">
        <v>0.0003</v>
      </c>
      <c r="EA64" s="188" t="n">
        <v>0.000275</v>
      </c>
      <c r="EB64" s="188" t="n">
        <v>0.0004</v>
      </c>
      <c r="ED64" s="188" t="n">
        <v>6.5E-005</v>
      </c>
      <c r="EF64" s="0" t="n">
        <v>1</v>
      </c>
    </row>
    <row r="65" customFormat="false" ht="12.75" hidden="false" customHeight="false" outlineLevel="0" collapsed="false">
      <c r="A65" s="149" t="n">
        <v>38353</v>
      </c>
      <c r="B65" s="0" t="n">
        <v>0.98</v>
      </c>
      <c r="C65" s="0" t="n">
        <v>0.94686</v>
      </c>
      <c r="D65" s="0" t="n">
        <v>0.965</v>
      </c>
      <c r="E65" s="0" t="n">
        <f aca="false">E53</f>
        <v>0.994</v>
      </c>
      <c r="F65" s="0" t="n">
        <v>0.977</v>
      </c>
      <c r="G65" s="0" t="n">
        <v>0.9875</v>
      </c>
      <c r="H65" s="0" t="n">
        <v>0.9875</v>
      </c>
      <c r="I65" s="0" t="n">
        <v>0.85374275</v>
      </c>
      <c r="J65" s="0" t="n">
        <v>0.69579</v>
      </c>
      <c r="K65" s="0" t="n">
        <v>0.985</v>
      </c>
      <c r="L65" s="176" t="n">
        <v>0.904175525</v>
      </c>
      <c r="M65" s="176" t="n">
        <v>0.952746937</v>
      </c>
      <c r="N65" s="0" t="n">
        <v>0.86264145</v>
      </c>
      <c r="O65" s="0" t="n">
        <v>0.9363904</v>
      </c>
      <c r="P65" s="0" t="n">
        <v>0.86264145</v>
      </c>
      <c r="Q65" s="177" t="n">
        <v>0.904175525</v>
      </c>
      <c r="R65" s="0" t="n">
        <v>0.904175525</v>
      </c>
      <c r="S65" s="176" t="n">
        <v>0.904175525</v>
      </c>
      <c r="T65" s="0" t="n">
        <v>0.86264145</v>
      </c>
      <c r="U65" s="0" t="n">
        <v>0.86264145</v>
      </c>
      <c r="V65" s="0" t="n">
        <v>0.86264145</v>
      </c>
      <c r="W65" s="0" t="n">
        <v>0.86264145</v>
      </c>
      <c r="X65" s="0" t="n">
        <v>0.9363904</v>
      </c>
      <c r="Y65" s="0" t="n">
        <v>0.9363904</v>
      </c>
      <c r="Z65" s="0" t="n">
        <v>0.9363904</v>
      </c>
      <c r="AA65" s="0" t="n">
        <v>0.9363904</v>
      </c>
      <c r="AB65" s="0" t="n">
        <v>0.86264145</v>
      </c>
      <c r="AC65" s="0" t="n">
        <v>0.86264145</v>
      </c>
      <c r="AD65" s="0" t="n">
        <v>0.9363904</v>
      </c>
      <c r="AE65" s="0" t="n">
        <v>0.9363904</v>
      </c>
      <c r="AF65" s="0" t="n">
        <v>0.86264145</v>
      </c>
      <c r="AG65" s="0" t="n">
        <v>0.98</v>
      </c>
      <c r="AH65" s="0" t="n">
        <v>0.97457225</v>
      </c>
      <c r="AI65" s="0" t="n">
        <v>0.97457225</v>
      </c>
      <c r="AJ65" s="0" t="n">
        <v>0.86264145</v>
      </c>
      <c r="AK65" s="0" t="n">
        <v>1</v>
      </c>
      <c r="AL65" s="0" t="n">
        <v>0.985</v>
      </c>
      <c r="AM65" s="0" t="n">
        <v>0.941949</v>
      </c>
      <c r="AN65" s="177" t="n">
        <v>0.9958</v>
      </c>
      <c r="AO65" s="177" t="n">
        <v>0.96</v>
      </c>
      <c r="AP65" s="177" t="n">
        <v>0.99</v>
      </c>
      <c r="AQ65" s="0" t="n">
        <v>0.941949</v>
      </c>
      <c r="AR65" s="0" t="n">
        <v>0.97457225</v>
      </c>
      <c r="AS65" s="0" t="n">
        <v>0.977</v>
      </c>
      <c r="AT65" s="177" t="n">
        <v>0.9775</v>
      </c>
      <c r="AU65" s="0" t="n">
        <v>0.97457225</v>
      </c>
      <c r="AV65" s="0" t="n">
        <v>0.941949</v>
      </c>
      <c r="AW65" s="0" t="n">
        <v>0.941949</v>
      </c>
      <c r="AX65" s="0" t="n">
        <v>0.941949</v>
      </c>
      <c r="AY65" s="0" t="n">
        <v>0.97457225</v>
      </c>
      <c r="AZ65" s="0" t="n">
        <v>0.97457225</v>
      </c>
      <c r="BA65" s="0" t="n">
        <v>0.941949</v>
      </c>
      <c r="BB65" s="187" t="n">
        <v>1</v>
      </c>
      <c r="BC65" s="0" t="n">
        <v>1</v>
      </c>
      <c r="BD65" s="0" t="n">
        <v>1</v>
      </c>
      <c r="BE65" s="0" t="n">
        <v>1</v>
      </c>
      <c r="BF65" s="0" t="n">
        <v>0.9999</v>
      </c>
      <c r="BG65" s="0" t="n">
        <v>1</v>
      </c>
      <c r="BH65" s="0" t="n">
        <v>1</v>
      </c>
      <c r="BI65" s="0" t="n">
        <v>0.99</v>
      </c>
      <c r="BJ65" s="0" t="n">
        <v>0.999</v>
      </c>
      <c r="BK65" s="0" t="n">
        <v>0.998</v>
      </c>
      <c r="BL65" s="0" t="n">
        <v>0.9985</v>
      </c>
      <c r="BM65" s="0" t="n">
        <v>0.9985</v>
      </c>
      <c r="BN65" s="0" t="n">
        <v>0.972</v>
      </c>
      <c r="BO65" s="0" t="n">
        <v>0.9999</v>
      </c>
      <c r="BP65" s="0" t="n">
        <v>0.9999</v>
      </c>
      <c r="BQ65" s="0" t="n">
        <v>1</v>
      </c>
      <c r="BR65" s="0" t="n">
        <v>1.0809626</v>
      </c>
      <c r="BS65" s="0" t="n">
        <v>1.101</v>
      </c>
      <c r="BT65" s="0" t="n">
        <v>1.0827</v>
      </c>
      <c r="BU65" s="0" t="n">
        <v>1.0108</v>
      </c>
      <c r="BV65" s="0" t="n">
        <v>1</v>
      </c>
      <c r="BW65" s="0" t="n">
        <v>2.0598</v>
      </c>
      <c r="BX65" s="0" t="n">
        <v>2.259826333</v>
      </c>
      <c r="BY65" s="0" t="n">
        <v>1.06055</v>
      </c>
      <c r="BZ65" s="0" t="n">
        <v>1.2885</v>
      </c>
      <c r="CA65" s="0" t="n">
        <v>2.001</v>
      </c>
      <c r="CB65" s="0" t="n">
        <v>1.494505</v>
      </c>
      <c r="CC65" s="0" t="n">
        <v>1.494505</v>
      </c>
      <c r="CD65" s="0" t="n">
        <v>1.250205</v>
      </c>
      <c r="CE65" s="0" t="n">
        <v>1.06408</v>
      </c>
      <c r="CF65" s="0" t="n">
        <v>1.409805</v>
      </c>
      <c r="CG65" s="188"/>
      <c r="CH65" s="0" t="n">
        <v>1.095025</v>
      </c>
      <c r="CI65" s="188"/>
      <c r="CJ65" s="188"/>
      <c r="CK65" s="188"/>
      <c r="CL65" s="188"/>
      <c r="CM65" s="188"/>
      <c r="CN65" s="188"/>
      <c r="CO65" s="188"/>
      <c r="CP65" s="0" t="n">
        <v>0.895</v>
      </c>
      <c r="CQ65" s="0" t="n">
        <v>0.86</v>
      </c>
      <c r="CR65" s="0" t="n">
        <v>0.87</v>
      </c>
      <c r="CS65" s="0" t="n">
        <v>0.92</v>
      </c>
      <c r="CT65" s="0" t="n">
        <v>0.999</v>
      </c>
      <c r="CU65" s="0" t="n">
        <v>0.58</v>
      </c>
      <c r="CV65" s="0" t="n">
        <v>0.45</v>
      </c>
      <c r="CW65" s="0" t="n">
        <v>0.805</v>
      </c>
      <c r="CX65" s="0" t="n">
        <v>0.54</v>
      </c>
      <c r="CY65" s="0" t="n">
        <v>0.505</v>
      </c>
      <c r="CZ65" s="0" t="n">
        <v>0.605</v>
      </c>
      <c r="DA65" s="0" t="n">
        <v>0.6375</v>
      </c>
      <c r="DB65" s="0" t="n">
        <v>0.69</v>
      </c>
      <c r="DC65" s="0" t="n">
        <v>0.88</v>
      </c>
      <c r="DD65" s="0" t="n">
        <v>0.64</v>
      </c>
      <c r="DE65" s="0" t="n">
        <v>0.89</v>
      </c>
      <c r="DF65" s="0" t="n">
        <v>0.985</v>
      </c>
      <c r="DG65" s="0" t="n">
        <v>0.96</v>
      </c>
      <c r="DH65" s="0" t="n">
        <v>0.99</v>
      </c>
      <c r="DI65" s="0" t="n">
        <v>0.9775</v>
      </c>
      <c r="DN65" s="188" t="n">
        <v>0.000285</v>
      </c>
      <c r="DO65" s="188" t="n">
        <v>0.0002</v>
      </c>
      <c r="DP65" s="188" t="n">
        <v>0</v>
      </c>
      <c r="DQ65" s="188" t="n">
        <v>0.0001</v>
      </c>
      <c r="DR65" s="188" t="n">
        <v>0</v>
      </c>
      <c r="DS65" s="188" t="n">
        <v>0.0036</v>
      </c>
      <c r="DT65" s="188" t="n">
        <v>0.00047</v>
      </c>
      <c r="DU65" s="188" t="n">
        <v>0.0007</v>
      </c>
      <c r="DV65" s="188" t="n">
        <v>0</v>
      </c>
      <c r="DW65" s="188" t="n">
        <v>0</v>
      </c>
      <c r="DX65" s="188" t="n">
        <v>0.0005</v>
      </c>
      <c r="DY65" s="188" t="n">
        <v>0.0005</v>
      </c>
      <c r="DZ65" s="188" t="n">
        <v>0.0003</v>
      </c>
      <c r="EA65" s="188" t="n">
        <v>0.000275</v>
      </c>
      <c r="EB65" s="188" t="n">
        <v>0.0004</v>
      </c>
      <c r="ED65" s="188" t="n">
        <v>6.5E-005</v>
      </c>
      <c r="EF65" s="0" t="n">
        <v>1</v>
      </c>
    </row>
    <row r="66" customFormat="false" ht="12.75" hidden="false" customHeight="false" outlineLevel="0" collapsed="false">
      <c r="A66" s="149" t="n">
        <v>38384</v>
      </c>
      <c r="B66" s="0" t="n">
        <v>0.98</v>
      </c>
      <c r="C66" s="0" t="n">
        <v>0.947032</v>
      </c>
      <c r="D66" s="0" t="n">
        <v>0.965</v>
      </c>
      <c r="E66" s="0" t="n">
        <f aca="false">E54</f>
        <v>0.994</v>
      </c>
      <c r="F66" s="0" t="n">
        <v>0.977</v>
      </c>
      <c r="G66" s="0" t="n">
        <v>0.9875</v>
      </c>
      <c r="H66" s="0" t="n">
        <v>0.9875</v>
      </c>
      <c r="I66" s="0" t="n">
        <v>0.89675625</v>
      </c>
      <c r="J66" s="0" t="n">
        <v>0.8310825</v>
      </c>
      <c r="K66" s="0" t="n">
        <v>0.985</v>
      </c>
      <c r="L66" s="176" t="n">
        <v>0.949328175</v>
      </c>
      <c r="M66" s="176" t="n">
        <v>0.9875</v>
      </c>
      <c r="N66" s="0" t="n">
        <v>0.88785855</v>
      </c>
      <c r="O66" s="0" t="n">
        <v>0.933971513</v>
      </c>
      <c r="P66" s="0" t="n">
        <v>0.88785855</v>
      </c>
      <c r="Q66" s="177" t="n">
        <v>0.949328175</v>
      </c>
      <c r="R66" s="0" t="n">
        <v>0.949328175</v>
      </c>
      <c r="S66" s="176" t="n">
        <v>0.949328175</v>
      </c>
      <c r="T66" s="0" t="n">
        <v>0.88785855</v>
      </c>
      <c r="U66" s="0" t="n">
        <v>0.88785855</v>
      </c>
      <c r="V66" s="0" t="n">
        <v>0.88785855</v>
      </c>
      <c r="W66" s="0" t="n">
        <v>0.88785855</v>
      </c>
      <c r="X66" s="0" t="n">
        <v>0.933971513</v>
      </c>
      <c r="Y66" s="0" t="n">
        <v>0.933971513</v>
      </c>
      <c r="Z66" s="0" t="n">
        <v>0.933971513</v>
      </c>
      <c r="AA66" s="0" t="n">
        <v>0.933971513</v>
      </c>
      <c r="AB66" s="0" t="n">
        <v>0.88785855</v>
      </c>
      <c r="AC66" s="0" t="n">
        <v>0.88785855</v>
      </c>
      <c r="AD66" s="0" t="n">
        <v>0.933971513</v>
      </c>
      <c r="AE66" s="0" t="n">
        <v>0.933971513</v>
      </c>
      <c r="AF66" s="0" t="n">
        <v>0.88785855</v>
      </c>
      <c r="AG66" s="0" t="n">
        <v>0.98</v>
      </c>
      <c r="AH66" s="0" t="n">
        <v>0.9746301</v>
      </c>
      <c r="AI66" s="0" t="n">
        <v>0.9746301</v>
      </c>
      <c r="AJ66" s="0" t="n">
        <v>0.88785855</v>
      </c>
      <c r="AK66" s="0" t="n">
        <v>1</v>
      </c>
      <c r="AL66" s="0" t="n">
        <v>0.985</v>
      </c>
      <c r="AM66" s="0" t="n">
        <v>0.963603</v>
      </c>
      <c r="AN66" s="177" t="n">
        <v>0.9958</v>
      </c>
      <c r="AO66" s="177" t="n">
        <v>0.97</v>
      </c>
      <c r="AP66" s="177" t="n">
        <v>0.99</v>
      </c>
      <c r="AQ66" s="0" t="n">
        <v>0.963603</v>
      </c>
      <c r="AR66" s="0" t="n">
        <v>0.9746301</v>
      </c>
      <c r="AS66" s="0" t="n">
        <v>0.977</v>
      </c>
      <c r="AT66" s="177" t="n">
        <v>0.9775</v>
      </c>
      <c r="AU66" s="0" t="n">
        <v>0.9746301</v>
      </c>
      <c r="AV66" s="0" t="n">
        <v>0.963603</v>
      </c>
      <c r="AW66" s="0" t="n">
        <v>0.963603</v>
      </c>
      <c r="AX66" s="0" t="n">
        <v>0.963603</v>
      </c>
      <c r="AY66" s="0" t="n">
        <v>0.9746301</v>
      </c>
      <c r="AZ66" s="0" t="n">
        <v>0.9746301</v>
      </c>
      <c r="BA66" s="0" t="n">
        <v>0.963603</v>
      </c>
      <c r="BB66" s="187" t="n">
        <v>1</v>
      </c>
      <c r="BC66" s="0" t="n">
        <v>1</v>
      </c>
      <c r="BD66" s="0" t="n">
        <v>1</v>
      </c>
      <c r="BE66" s="0" t="n">
        <v>1</v>
      </c>
      <c r="BF66" s="0" t="n">
        <v>0.9999</v>
      </c>
      <c r="BG66" s="0" t="n">
        <v>1</v>
      </c>
      <c r="BH66" s="0" t="n">
        <v>1</v>
      </c>
      <c r="BI66" s="0" t="n">
        <v>0.99</v>
      </c>
      <c r="BJ66" s="0" t="n">
        <v>0.999</v>
      </c>
      <c r="BK66" s="0" t="n">
        <v>0.998</v>
      </c>
      <c r="BL66" s="0" t="n">
        <v>0.9985</v>
      </c>
      <c r="BM66" s="0" t="n">
        <v>0.9985</v>
      </c>
      <c r="BN66" s="0" t="n">
        <v>0.972</v>
      </c>
      <c r="BO66" s="0" t="n">
        <v>0.9999</v>
      </c>
      <c r="BP66" s="0" t="n">
        <v>0.9999</v>
      </c>
      <c r="BQ66" s="0" t="n">
        <v>1</v>
      </c>
      <c r="BR66" s="0" t="n">
        <v>1.0812476</v>
      </c>
      <c r="BS66" s="0" t="n">
        <v>1.1012</v>
      </c>
      <c r="BT66" s="0" t="n">
        <v>1.0827</v>
      </c>
      <c r="BU66" s="0" t="n">
        <v>1.0109</v>
      </c>
      <c r="BV66" s="0" t="n">
        <v>1</v>
      </c>
      <c r="BW66" s="0" t="n">
        <v>2.0634</v>
      </c>
      <c r="BX66" s="0" t="n">
        <v>2.260296333</v>
      </c>
      <c r="BY66" s="0" t="n">
        <v>1.06125</v>
      </c>
      <c r="BZ66" s="0" t="n">
        <v>1.2885</v>
      </c>
      <c r="CA66" s="0" t="n">
        <v>2.001</v>
      </c>
      <c r="CB66" s="0" t="n">
        <v>1.495005</v>
      </c>
      <c r="CC66" s="0" t="n">
        <v>1.495005</v>
      </c>
      <c r="CD66" s="0" t="n">
        <v>1.250505</v>
      </c>
      <c r="CE66" s="0" t="n">
        <v>1.064355</v>
      </c>
      <c r="CF66" s="0" t="n">
        <v>1.410205</v>
      </c>
      <c r="CG66" s="188"/>
      <c r="CH66" s="0" t="n">
        <v>1.09509</v>
      </c>
      <c r="CI66" s="188"/>
      <c r="CJ66" s="188"/>
      <c r="CK66" s="188"/>
      <c r="CL66" s="188"/>
      <c r="CM66" s="188"/>
      <c r="CN66" s="188"/>
      <c r="CO66" s="188"/>
      <c r="CP66" s="0" t="n">
        <v>0.865</v>
      </c>
      <c r="CQ66" s="0" t="n">
        <v>0.86</v>
      </c>
      <c r="CR66" s="0" t="n">
        <v>0.89</v>
      </c>
      <c r="CS66" s="0" t="n">
        <v>0.935</v>
      </c>
      <c r="CT66" s="0" t="n">
        <v>0.99895</v>
      </c>
      <c r="CU66" s="0" t="n">
        <v>0.58</v>
      </c>
      <c r="CV66" s="0" t="n">
        <v>0.45</v>
      </c>
      <c r="CW66" s="0" t="n">
        <v>0.845</v>
      </c>
      <c r="CX66" s="0" t="n">
        <v>0.645</v>
      </c>
      <c r="CY66" s="0" t="n">
        <v>0.505</v>
      </c>
      <c r="CZ66" s="0" t="n">
        <v>0.635</v>
      </c>
      <c r="DA66" s="0" t="n">
        <v>0.6675</v>
      </c>
      <c r="DB66" s="0" t="n">
        <v>0.71</v>
      </c>
      <c r="DC66" s="0" t="n">
        <v>0.8775</v>
      </c>
      <c r="DD66" s="0" t="n">
        <v>0.67</v>
      </c>
      <c r="DE66" s="0" t="n">
        <v>0.89</v>
      </c>
      <c r="DF66" s="0" t="n">
        <v>0.985</v>
      </c>
      <c r="DG66" s="0" t="n">
        <v>0.97</v>
      </c>
      <c r="DH66" s="0" t="n">
        <v>0.99</v>
      </c>
      <c r="DI66" s="0" t="n">
        <v>0.9775</v>
      </c>
      <c r="DN66" s="188" t="n">
        <v>0.000285</v>
      </c>
      <c r="DO66" s="188" t="n">
        <v>0.0002</v>
      </c>
      <c r="DP66" s="188" t="n">
        <v>0</v>
      </c>
      <c r="DQ66" s="188" t="n">
        <v>0.0001</v>
      </c>
      <c r="DR66" s="188" t="n">
        <v>0</v>
      </c>
      <c r="DS66" s="188" t="n">
        <v>0.0036</v>
      </c>
      <c r="DT66" s="188" t="n">
        <v>0.00047</v>
      </c>
      <c r="DU66" s="188" t="n">
        <v>0.0007</v>
      </c>
      <c r="DV66" s="188" t="n">
        <v>0</v>
      </c>
      <c r="DW66" s="188" t="n">
        <v>0</v>
      </c>
      <c r="DX66" s="188" t="n">
        <v>0.0005</v>
      </c>
      <c r="DY66" s="188" t="n">
        <v>0.0005</v>
      </c>
      <c r="DZ66" s="188" t="n">
        <v>0.0003</v>
      </c>
      <c r="EA66" s="188" t="n">
        <v>0.000275</v>
      </c>
      <c r="EB66" s="188" t="n">
        <v>0.0004</v>
      </c>
      <c r="ED66" s="188" t="n">
        <v>6.5E-005</v>
      </c>
      <c r="EF66" s="0" t="n">
        <v>1</v>
      </c>
    </row>
    <row r="67" customFormat="false" ht="12.75" hidden="false" customHeight="false" outlineLevel="0" collapsed="false">
      <c r="A67" s="149" t="n">
        <v>38412</v>
      </c>
      <c r="B67" s="0" t="n">
        <v>0.98</v>
      </c>
      <c r="C67" s="0" t="n">
        <v>0.980246</v>
      </c>
      <c r="D67" s="0" t="n">
        <v>0.965</v>
      </c>
      <c r="E67" s="0" t="n">
        <f aca="false">E55</f>
        <v>0.994</v>
      </c>
      <c r="F67" s="0" t="n">
        <v>0.977</v>
      </c>
      <c r="G67" s="0" t="n">
        <v>0.9875</v>
      </c>
      <c r="H67" s="0" t="n">
        <v>0.9875</v>
      </c>
      <c r="I67" s="0" t="n">
        <v>0.92920625</v>
      </c>
      <c r="J67" s="0" t="n">
        <v>0.985</v>
      </c>
      <c r="K67" s="0" t="n">
        <v>0.985</v>
      </c>
      <c r="L67" s="176" t="n">
        <v>0.9875</v>
      </c>
      <c r="M67" s="176" t="n">
        <v>0.9875</v>
      </c>
      <c r="N67" s="0" t="n">
        <v>0.98</v>
      </c>
      <c r="O67" s="0" t="n">
        <v>0.958167</v>
      </c>
      <c r="P67" s="0" t="n">
        <v>0.98</v>
      </c>
      <c r="Q67" s="177" t="n">
        <v>0.9875</v>
      </c>
      <c r="R67" s="0" t="n">
        <v>0.9875</v>
      </c>
      <c r="S67" s="176" t="n">
        <v>0.9875</v>
      </c>
      <c r="T67" s="0" t="n">
        <v>0.98</v>
      </c>
      <c r="U67" s="0" t="n">
        <v>0.98</v>
      </c>
      <c r="V67" s="0" t="n">
        <v>0.98</v>
      </c>
      <c r="W67" s="0" t="n">
        <v>0.98</v>
      </c>
      <c r="X67" s="0" t="n">
        <v>0.958167</v>
      </c>
      <c r="Y67" s="0" t="n">
        <v>0.958167</v>
      </c>
      <c r="Z67" s="0" t="n">
        <v>0.958167</v>
      </c>
      <c r="AA67" s="0" t="n">
        <v>0.958167</v>
      </c>
      <c r="AB67" s="0" t="n">
        <v>0.98</v>
      </c>
      <c r="AC67" s="0" t="n">
        <v>0.98</v>
      </c>
      <c r="AD67" s="0" t="n">
        <v>0.958167</v>
      </c>
      <c r="AE67" s="0" t="n">
        <v>0.958167</v>
      </c>
      <c r="AF67" s="0" t="n">
        <v>0.98</v>
      </c>
      <c r="AG67" s="0" t="n">
        <v>0.99</v>
      </c>
      <c r="AH67" s="0" t="n">
        <v>0.97468795</v>
      </c>
      <c r="AI67" s="0" t="n">
        <v>0.97468795</v>
      </c>
      <c r="AJ67" s="0" t="n">
        <v>0.98</v>
      </c>
      <c r="AK67" s="0" t="n">
        <v>1</v>
      </c>
      <c r="AL67" s="0" t="n">
        <v>0.985</v>
      </c>
      <c r="AM67" s="0" t="n">
        <v>0.985</v>
      </c>
      <c r="AN67" s="177" t="n">
        <v>0.9958</v>
      </c>
      <c r="AO67" s="177" t="n">
        <v>0.97</v>
      </c>
      <c r="AP67" s="177" t="n">
        <v>0.99</v>
      </c>
      <c r="AQ67" s="0" t="n">
        <v>0.985</v>
      </c>
      <c r="AR67" s="0" t="n">
        <v>0.97468795</v>
      </c>
      <c r="AS67" s="0" t="n">
        <v>0.977</v>
      </c>
      <c r="AT67" s="177" t="n">
        <v>0.9775</v>
      </c>
      <c r="AU67" s="0" t="n">
        <v>0.97468795</v>
      </c>
      <c r="AV67" s="0" t="n">
        <v>0.985</v>
      </c>
      <c r="AW67" s="0" t="n">
        <v>0.985</v>
      </c>
      <c r="AX67" s="0" t="n">
        <v>0.985</v>
      </c>
      <c r="AY67" s="0" t="n">
        <v>0.97468795</v>
      </c>
      <c r="AZ67" s="0" t="n">
        <v>0.97468795</v>
      </c>
      <c r="BA67" s="0" t="n">
        <v>0.985</v>
      </c>
      <c r="BB67" s="187" t="n">
        <v>1</v>
      </c>
      <c r="BC67" s="0" t="n">
        <v>1</v>
      </c>
      <c r="BD67" s="0" t="n">
        <v>1</v>
      </c>
      <c r="BE67" s="0" t="n">
        <v>1</v>
      </c>
      <c r="BF67" s="0" t="n">
        <v>0.9999</v>
      </c>
      <c r="BG67" s="0" t="n">
        <v>1</v>
      </c>
      <c r="BH67" s="0" t="n">
        <v>1</v>
      </c>
      <c r="BI67" s="0" t="n">
        <v>0.99</v>
      </c>
      <c r="BJ67" s="0" t="n">
        <v>0.999</v>
      </c>
      <c r="BK67" s="0" t="n">
        <v>0.998</v>
      </c>
      <c r="BL67" s="0" t="n">
        <v>0.9985</v>
      </c>
      <c r="BM67" s="0" t="n">
        <v>0.9985</v>
      </c>
      <c r="BN67" s="0" t="n">
        <v>0.972</v>
      </c>
      <c r="BO67" s="0" t="n">
        <v>0.9999</v>
      </c>
      <c r="BP67" s="0" t="n">
        <v>0.9999</v>
      </c>
      <c r="BQ67" s="0" t="n">
        <v>1</v>
      </c>
      <c r="BR67" s="0" t="n">
        <v>1.0815326</v>
      </c>
      <c r="BS67" s="0" t="n">
        <v>1.1014</v>
      </c>
      <c r="BT67" s="0" t="n">
        <v>1.0827</v>
      </c>
      <c r="BU67" s="0" t="n">
        <v>1.011</v>
      </c>
      <c r="BV67" s="0" t="n">
        <v>1</v>
      </c>
      <c r="BW67" s="0" t="n">
        <v>2.067</v>
      </c>
      <c r="BX67" s="0" t="n">
        <v>2.260766333</v>
      </c>
      <c r="BY67" s="0" t="n">
        <v>1.06195</v>
      </c>
      <c r="BZ67" s="0" t="n">
        <v>1.2885</v>
      </c>
      <c r="CA67" s="0" t="n">
        <v>2.001</v>
      </c>
      <c r="CB67" s="0" t="n">
        <v>1.495505</v>
      </c>
      <c r="CC67" s="0" t="n">
        <v>1.495505</v>
      </c>
      <c r="CD67" s="0" t="n">
        <v>1.250805</v>
      </c>
      <c r="CE67" s="0" t="n">
        <v>1.06463</v>
      </c>
      <c r="CF67" s="0" t="n">
        <v>1.410605</v>
      </c>
      <c r="CG67" s="188"/>
      <c r="CH67" s="0" t="n">
        <v>1.095155</v>
      </c>
      <c r="CI67" s="188"/>
      <c r="CJ67" s="188"/>
      <c r="CK67" s="188"/>
      <c r="CL67" s="188"/>
      <c r="CM67" s="188"/>
      <c r="CN67" s="188"/>
      <c r="CO67" s="188"/>
      <c r="CP67" s="0" t="n">
        <v>0.865</v>
      </c>
      <c r="CQ67" s="0" t="n">
        <v>0.89</v>
      </c>
      <c r="CR67" s="0" t="n">
        <v>0.91</v>
      </c>
      <c r="CS67" s="0" t="n">
        <v>0.935</v>
      </c>
      <c r="CT67" s="0" t="n">
        <v>0.99895</v>
      </c>
      <c r="CU67" s="0" t="n">
        <v>0.54</v>
      </c>
      <c r="CV67" s="0" t="n">
        <v>0.45</v>
      </c>
      <c r="CW67" s="0" t="n">
        <v>0.875</v>
      </c>
      <c r="CX67" s="0" t="n">
        <v>0.815</v>
      </c>
      <c r="CY67" s="0" t="n">
        <v>0.515</v>
      </c>
      <c r="CZ67" s="0" t="n">
        <v>0.785</v>
      </c>
      <c r="DA67" s="0" t="n">
        <v>0.8175</v>
      </c>
      <c r="DB67" s="0" t="n">
        <v>0.8</v>
      </c>
      <c r="DC67" s="0" t="n">
        <v>0.9</v>
      </c>
      <c r="DD67" s="0" t="n">
        <v>0.83</v>
      </c>
      <c r="DE67" s="0" t="n">
        <v>0.89</v>
      </c>
      <c r="DF67" s="0" t="n">
        <v>0.985</v>
      </c>
      <c r="DG67" s="0" t="n">
        <v>0.97</v>
      </c>
      <c r="DH67" s="0" t="n">
        <v>0.99</v>
      </c>
      <c r="DI67" s="0" t="n">
        <v>0.9775</v>
      </c>
      <c r="DN67" s="188" t="n">
        <v>0.000285</v>
      </c>
      <c r="DO67" s="188" t="n">
        <v>0.0002</v>
      </c>
      <c r="DP67" s="188" t="n">
        <v>0</v>
      </c>
      <c r="DQ67" s="188" t="n">
        <v>0.0001</v>
      </c>
      <c r="DR67" s="188" t="n">
        <v>0</v>
      </c>
      <c r="DS67" s="188" t="n">
        <v>0.0036</v>
      </c>
      <c r="DT67" s="188" t="n">
        <v>0.00047</v>
      </c>
      <c r="DU67" s="188" t="n">
        <v>0.0007</v>
      </c>
      <c r="DV67" s="188" t="n">
        <v>0</v>
      </c>
      <c r="DW67" s="188" t="n">
        <v>0</v>
      </c>
      <c r="DX67" s="188" t="n">
        <v>0.0005</v>
      </c>
      <c r="DY67" s="188" t="n">
        <v>0.0005</v>
      </c>
      <c r="DZ67" s="188" t="n">
        <v>0.0003</v>
      </c>
      <c r="EA67" s="188" t="n">
        <v>0.000275</v>
      </c>
      <c r="EB67" s="188" t="n">
        <v>0.0004</v>
      </c>
      <c r="ED67" s="188" t="n">
        <v>6.5E-005</v>
      </c>
      <c r="EF67" s="0" t="n">
        <v>1</v>
      </c>
    </row>
    <row r="68" customFormat="false" ht="12.75" hidden="false" customHeight="false" outlineLevel="0" collapsed="false">
      <c r="A68" s="149" t="n">
        <v>38443</v>
      </c>
      <c r="B68" s="0" t="n">
        <v>0.98</v>
      </c>
      <c r="C68" s="0" t="n">
        <v>0.988</v>
      </c>
      <c r="D68" s="0" t="n">
        <v>0.965</v>
      </c>
      <c r="E68" s="0" t="n">
        <f aca="false">E57</f>
        <v>0.978</v>
      </c>
      <c r="F68" s="0" t="n">
        <v>0.977</v>
      </c>
      <c r="G68" s="0" t="n">
        <v>0.9875</v>
      </c>
      <c r="H68" s="0" t="n">
        <v>0.94971926</v>
      </c>
      <c r="I68" s="0" t="n">
        <v>0.9875</v>
      </c>
      <c r="J68" s="0" t="n">
        <v>0.985</v>
      </c>
      <c r="K68" s="0" t="n">
        <v>0.985</v>
      </c>
      <c r="L68" s="176" t="n">
        <v>0.9875</v>
      </c>
      <c r="M68" s="176" t="n">
        <v>0.9875</v>
      </c>
      <c r="N68" s="0" t="n">
        <v>0.98</v>
      </c>
      <c r="O68" s="0" t="n">
        <v>0.961609215</v>
      </c>
      <c r="P68" s="0" t="n">
        <v>0.98</v>
      </c>
      <c r="Q68" s="177" t="n">
        <v>0.9875</v>
      </c>
      <c r="R68" s="0" t="n">
        <v>0.9875</v>
      </c>
      <c r="S68" s="176" t="n">
        <v>0.9875</v>
      </c>
      <c r="T68" s="0" t="n">
        <v>0.98</v>
      </c>
      <c r="U68" s="0" t="n">
        <v>0.98</v>
      </c>
      <c r="V68" s="0" t="n">
        <v>0.98</v>
      </c>
      <c r="W68" s="0" t="n">
        <v>0.98</v>
      </c>
      <c r="X68" s="0" t="n">
        <v>0.961609215</v>
      </c>
      <c r="Y68" s="0" t="n">
        <v>0.961609215</v>
      </c>
      <c r="Z68" s="0" t="n">
        <v>0.961609215</v>
      </c>
      <c r="AA68" s="0" t="n">
        <v>0.961609215</v>
      </c>
      <c r="AB68" s="0" t="n">
        <v>0.98</v>
      </c>
      <c r="AC68" s="0" t="n">
        <v>0.98</v>
      </c>
      <c r="AD68" s="0" t="n">
        <v>0.961609215</v>
      </c>
      <c r="AE68" s="0" t="n">
        <v>0.961609215</v>
      </c>
      <c r="AF68" s="0" t="n">
        <v>0.98</v>
      </c>
      <c r="AG68" s="0" t="n">
        <v>0.99</v>
      </c>
      <c r="AH68" s="0" t="n">
        <v>0.9747458</v>
      </c>
      <c r="AI68" s="0" t="n">
        <v>0.9747458</v>
      </c>
      <c r="AJ68" s="0" t="n">
        <v>0.98</v>
      </c>
      <c r="AK68" s="0" t="n">
        <v>1</v>
      </c>
      <c r="AL68" s="0" t="n">
        <v>0.985</v>
      </c>
      <c r="AM68" s="0" t="n">
        <v>0.985</v>
      </c>
      <c r="AN68" s="177" t="n">
        <v>0.9958</v>
      </c>
      <c r="AO68" s="177" t="n">
        <v>0.99</v>
      </c>
      <c r="AP68" s="177" t="n">
        <v>0.99</v>
      </c>
      <c r="AQ68" s="0" t="n">
        <v>0.985</v>
      </c>
      <c r="AR68" s="0" t="n">
        <v>0.9747458</v>
      </c>
      <c r="AS68" s="0" t="n">
        <v>0.977</v>
      </c>
      <c r="AT68" s="177" t="n">
        <v>0.9775</v>
      </c>
      <c r="AU68" s="0" t="n">
        <v>0.9747458</v>
      </c>
      <c r="AV68" s="0" t="n">
        <v>0.985</v>
      </c>
      <c r="AW68" s="0" t="n">
        <v>0.985</v>
      </c>
      <c r="AX68" s="0" t="n">
        <v>0.985</v>
      </c>
      <c r="AY68" s="0" t="n">
        <v>0.9747458</v>
      </c>
      <c r="AZ68" s="0" t="n">
        <v>0.9747458</v>
      </c>
      <c r="BA68" s="0" t="n">
        <v>0.985</v>
      </c>
      <c r="BB68" s="187" t="n">
        <v>1</v>
      </c>
      <c r="BC68" s="0" t="n">
        <v>1</v>
      </c>
      <c r="BD68" s="0" t="n">
        <v>1</v>
      </c>
      <c r="BE68" s="0" t="n">
        <v>1</v>
      </c>
      <c r="BF68" s="0" t="n">
        <v>0.9999</v>
      </c>
      <c r="BG68" s="0" t="n">
        <v>1</v>
      </c>
      <c r="BH68" s="0" t="n">
        <v>1</v>
      </c>
      <c r="BI68" s="0" t="n">
        <v>0.99</v>
      </c>
      <c r="BJ68" s="0" t="n">
        <v>0.999</v>
      </c>
      <c r="BK68" s="0" t="n">
        <v>0.998</v>
      </c>
      <c r="BL68" s="0" t="n">
        <v>0.9985</v>
      </c>
      <c r="BM68" s="0" t="n">
        <v>0.9985</v>
      </c>
      <c r="BN68" s="0" t="n">
        <v>0.972</v>
      </c>
      <c r="BO68" s="0" t="n">
        <v>0.9999</v>
      </c>
      <c r="BP68" s="0" t="n">
        <v>0.9999</v>
      </c>
      <c r="BQ68" s="0" t="n">
        <v>1</v>
      </c>
      <c r="BR68" s="0" t="n">
        <v>1.0818176</v>
      </c>
      <c r="BS68" s="0" t="n">
        <v>1.1016</v>
      </c>
      <c r="BT68" s="0" t="n">
        <v>1.0827</v>
      </c>
      <c r="BU68" s="0" t="n">
        <v>1.0111</v>
      </c>
      <c r="BV68" s="0" t="n">
        <v>1</v>
      </c>
      <c r="BW68" s="0" t="n">
        <v>2.0706</v>
      </c>
      <c r="BX68" s="0" t="n">
        <v>2.261236333</v>
      </c>
      <c r="BY68" s="0" t="n">
        <v>1.06265</v>
      </c>
      <c r="BZ68" s="0" t="n">
        <v>1.2885</v>
      </c>
      <c r="CA68" s="0" t="n">
        <v>2.001</v>
      </c>
      <c r="CB68" s="0" t="n">
        <v>1.496005</v>
      </c>
      <c r="CC68" s="0" t="n">
        <v>1.496005</v>
      </c>
      <c r="CD68" s="0" t="n">
        <v>1.251105</v>
      </c>
      <c r="CE68" s="0" t="n">
        <v>1.064905</v>
      </c>
      <c r="CF68" s="0" t="n">
        <v>1.411005</v>
      </c>
      <c r="CG68" s="188"/>
      <c r="CH68" s="0" t="n">
        <v>1.09522</v>
      </c>
      <c r="CI68" s="188"/>
      <c r="CJ68" s="188"/>
      <c r="CK68" s="188"/>
      <c r="CL68" s="188"/>
      <c r="CM68" s="188"/>
      <c r="CN68" s="188"/>
      <c r="CO68" s="188"/>
      <c r="CP68" s="0" t="n">
        <v>0.895</v>
      </c>
      <c r="CQ68" s="0" t="n">
        <v>0.9</v>
      </c>
      <c r="CR68" s="0" t="n">
        <v>0.91</v>
      </c>
      <c r="CS68" s="0" t="n">
        <v>0.96</v>
      </c>
      <c r="CT68" s="0" t="n">
        <v>0.99895</v>
      </c>
      <c r="CU68" s="0" t="n">
        <v>0.48</v>
      </c>
      <c r="CV68" s="0" t="n">
        <v>0.42</v>
      </c>
      <c r="CW68" s="0" t="n">
        <v>0.935</v>
      </c>
      <c r="CX68" s="0" t="n">
        <v>0.805</v>
      </c>
      <c r="CY68" s="0" t="n">
        <v>0.575</v>
      </c>
      <c r="CZ68" s="0" t="n">
        <v>0.895</v>
      </c>
      <c r="DA68" s="0" t="n">
        <v>0.9275</v>
      </c>
      <c r="DB68" s="0" t="n">
        <v>0.85</v>
      </c>
      <c r="DC68" s="0" t="n">
        <v>0.903</v>
      </c>
      <c r="DD68" s="0" t="n">
        <v>0.92</v>
      </c>
      <c r="DE68" s="0" t="n">
        <v>0.89</v>
      </c>
      <c r="DF68" s="0" t="n">
        <v>0.985</v>
      </c>
      <c r="DG68" s="0" t="n">
        <v>0.99</v>
      </c>
      <c r="DH68" s="0" t="n">
        <v>0.99</v>
      </c>
      <c r="DI68" s="0" t="n">
        <v>0.9775</v>
      </c>
      <c r="DN68" s="188" t="n">
        <v>0.000285</v>
      </c>
      <c r="DO68" s="188" t="n">
        <v>0.0002</v>
      </c>
      <c r="DP68" s="188" t="n">
        <v>0</v>
      </c>
      <c r="DQ68" s="188" t="n">
        <v>0.0001</v>
      </c>
      <c r="DR68" s="188" t="n">
        <v>0</v>
      </c>
      <c r="DS68" s="188" t="n">
        <v>0.0036</v>
      </c>
      <c r="DT68" s="188" t="n">
        <v>0.00047</v>
      </c>
      <c r="DU68" s="188" t="n">
        <v>0.0007</v>
      </c>
      <c r="DV68" s="188" t="n">
        <v>0</v>
      </c>
      <c r="DW68" s="188" t="n">
        <v>0</v>
      </c>
      <c r="DX68" s="188" t="n">
        <v>0.0005</v>
      </c>
      <c r="DY68" s="188" t="n">
        <v>0.0005</v>
      </c>
      <c r="DZ68" s="188" t="n">
        <v>0.0003</v>
      </c>
      <c r="EA68" s="188" t="n">
        <v>0.000275</v>
      </c>
      <c r="EB68" s="188" t="n">
        <v>0.0004</v>
      </c>
      <c r="ED68" s="188" t="n">
        <v>6.5E-005</v>
      </c>
      <c r="EF68" s="0" t="n">
        <v>1</v>
      </c>
    </row>
    <row r="69" customFormat="false" ht="12.75" hidden="false" customHeight="false" outlineLevel="0" collapsed="false">
      <c r="A69" s="149" t="n">
        <v>38473</v>
      </c>
      <c r="B69" s="0" t="n">
        <v>0.98</v>
      </c>
      <c r="C69" s="0" t="n">
        <v>0.988</v>
      </c>
      <c r="D69" s="0" t="n">
        <v>0.965</v>
      </c>
      <c r="E69" s="0" t="n">
        <f aca="false">E58</f>
        <v>0.978</v>
      </c>
      <c r="F69" s="0" t="n">
        <v>0.977</v>
      </c>
      <c r="G69" s="0" t="n">
        <v>0.705228</v>
      </c>
      <c r="H69" s="0" t="n">
        <v>0.94991666</v>
      </c>
      <c r="I69" s="0" t="n">
        <v>0.9875</v>
      </c>
      <c r="J69" s="0" t="n">
        <v>0.9083925</v>
      </c>
      <c r="K69" s="0" t="n">
        <v>0.985</v>
      </c>
      <c r="L69" s="176" t="n">
        <v>0.9875</v>
      </c>
      <c r="M69" s="176" t="n">
        <v>0.9875</v>
      </c>
      <c r="N69" s="0" t="n">
        <v>0.98</v>
      </c>
      <c r="O69" s="0" t="n">
        <v>0.958662</v>
      </c>
      <c r="P69" s="0" t="n">
        <v>0.98</v>
      </c>
      <c r="Q69" s="177" t="n">
        <v>0.9875</v>
      </c>
      <c r="R69" s="0" t="n">
        <v>0.9875</v>
      </c>
      <c r="S69" s="176" t="n">
        <v>0.9875</v>
      </c>
      <c r="T69" s="0" t="n">
        <v>0.98</v>
      </c>
      <c r="U69" s="0" t="n">
        <v>0.98</v>
      </c>
      <c r="V69" s="0" t="n">
        <v>0.98</v>
      </c>
      <c r="W69" s="0" t="n">
        <v>0.98</v>
      </c>
      <c r="X69" s="0" t="n">
        <v>0.958662</v>
      </c>
      <c r="Y69" s="0" t="n">
        <v>0.958662</v>
      </c>
      <c r="Z69" s="0" t="n">
        <v>0.958662</v>
      </c>
      <c r="AA69" s="0" t="n">
        <v>0.958662</v>
      </c>
      <c r="AB69" s="0" t="n">
        <v>0.98</v>
      </c>
      <c r="AC69" s="0" t="n">
        <v>0.98</v>
      </c>
      <c r="AD69" s="0" t="n">
        <v>0.958662</v>
      </c>
      <c r="AE69" s="0" t="n">
        <v>0.958662</v>
      </c>
      <c r="AF69" s="0" t="n">
        <v>0.98</v>
      </c>
      <c r="AG69" s="0" t="n">
        <v>0.99</v>
      </c>
      <c r="AH69" s="0" t="n">
        <v>0.97480365</v>
      </c>
      <c r="AI69" s="0" t="n">
        <v>0.97480365</v>
      </c>
      <c r="AJ69" s="0" t="n">
        <v>0.98</v>
      </c>
      <c r="AK69" s="0" t="n">
        <v>1</v>
      </c>
      <c r="AL69" s="0" t="n">
        <v>0.985</v>
      </c>
      <c r="AM69" s="0" t="n">
        <v>0.985</v>
      </c>
      <c r="AN69" s="177" t="n">
        <v>0.9958</v>
      </c>
      <c r="AO69" s="177" t="n">
        <v>0.99</v>
      </c>
      <c r="AP69" s="177" t="n">
        <v>0.99</v>
      </c>
      <c r="AQ69" s="0" t="n">
        <v>0.985</v>
      </c>
      <c r="AR69" s="0" t="n">
        <v>0.97480365</v>
      </c>
      <c r="AS69" s="0" t="n">
        <v>0.977</v>
      </c>
      <c r="AT69" s="177" t="n">
        <v>0.9775</v>
      </c>
      <c r="AU69" s="0" t="n">
        <v>0.97480365</v>
      </c>
      <c r="AV69" s="0" t="n">
        <v>0.985</v>
      </c>
      <c r="AW69" s="0" t="n">
        <v>0.985</v>
      </c>
      <c r="AX69" s="0" t="n">
        <v>0.985</v>
      </c>
      <c r="AY69" s="0" t="n">
        <v>0.97480365</v>
      </c>
      <c r="AZ69" s="0" t="n">
        <v>0.97480365</v>
      </c>
      <c r="BA69" s="0" t="n">
        <v>0.985</v>
      </c>
      <c r="BB69" s="187" t="n">
        <v>1</v>
      </c>
      <c r="BC69" s="0" t="n">
        <v>1</v>
      </c>
      <c r="BD69" s="0" t="n">
        <v>1</v>
      </c>
      <c r="BE69" s="0" t="n">
        <v>1</v>
      </c>
      <c r="BF69" s="0" t="n">
        <v>0.9999</v>
      </c>
      <c r="BG69" s="0" t="n">
        <v>1</v>
      </c>
      <c r="BH69" s="0" t="n">
        <v>1</v>
      </c>
      <c r="BI69" s="0" t="n">
        <v>0.99</v>
      </c>
      <c r="BJ69" s="0" t="n">
        <v>0.999</v>
      </c>
      <c r="BK69" s="0" t="n">
        <v>0.998</v>
      </c>
      <c r="BL69" s="0" t="n">
        <v>0.9985</v>
      </c>
      <c r="BM69" s="0" t="n">
        <v>0.9985</v>
      </c>
      <c r="BN69" s="0" t="n">
        <v>0.972</v>
      </c>
      <c r="BO69" s="0" t="n">
        <v>0.9999</v>
      </c>
      <c r="BP69" s="0" t="n">
        <v>0.9999</v>
      </c>
      <c r="BQ69" s="0" t="n">
        <v>1</v>
      </c>
      <c r="BR69" s="0" t="n">
        <v>1.0821026</v>
      </c>
      <c r="BS69" s="0" t="n">
        <v>1.1018</v>
      </c>
      <c r="BT69" s="0" t="n">
        <v>1.0827</v>
      </c>
      <c r="BU69" s="0" t="n">
        <v>1.0112</v>
      </c>
      <c r="BV69" s="0" t="n">
        <v>1</v>
      </c>
      <c r="BW69" s="0" t="n">
        <v>2.0742</v>
      </c>
      <c r="BX69" s="0" t="n">
        <v>2.261706333</v>
      </c>
      <c r="BY69" s="0" t="n">
        <v>1.06335</v>
      </c>
      <c r="BZ69" s="0" t="n">
        <v>1.2885</v>
      </c>
      <c r="CA69" s="0" t="n">
        <v>2.001</v>
      </c>
      <c r="CB69" s="0" t="n">
        <v>1.496505</v>
      </c>
      <c r="CC69" s="0" t="n">
        <v>1.496505</v>
      </c>
      <c r="CD69" s="0" t="n">
        <v>1.251405</v>
      </c>
      <c r="CE69" s="0" t="n">
        <v>1.06518</v>
      </c>
      <c r="CF69" s="0" t="n">
        <v>1.411405</v>
      </c>
      <c r="CG69" s="188"/>
      <c r="CH69" s="0" t="n">
        <v>1.095285</v>
      </c>
      <c r="CI69" s="188"/>
      <c r="CJ69" s="188"/>
      <c r="CK69" s="188"/>
      <c r="CL69" s="188"/>
      <c r="CM69" s="188"/>
      <c r="CN69" s="188"/>
      <c r="CO69" s="188"/>
      <c r="CP69" s="0" t="n">
        <v>0.965</v>
      </c>
      <c r="CQ69" s="0" t="n">
        <v>0.91</v>
      </c>
      <c r="CR69" s="0" t="n">
        <v>0.91</v>
      </c>
      <c r="CS69" s="0" t="n">
        <v>0.97</v>
      </c>
      <c r="CT69" s="0" t="n">
        <v>0.99895</v>
      </c>
      <c r="CU69" s="0" t="n">
        <v>0.34</v>
      </c>
      <c r="CV69" s="0" t="n">
        <v>0.42</v>
      </c>
      <c r="CW69" s="0" t="n">
        <v>0.935</v>
      </c>
      <c r="CX69" s="0" t="n">
        <v>0.705</v>
      </c>
      <c r="CY69" s="0" t="n">
        <v>0.625</v>
      </c>
      <c r="CZ69" s="0" t="n">
        <v>0.9175</v>
      </c>
      <c r="DA69" s="0" t="n">
        <v>0.95</v>
      </c>
      <c r="DB69" s="0" t="n">
        <v>0.88</v>
      </c>
      <c r="DC69" s="0" t="n">
        <v>0.9</v>
      </c>
      <c r="DD69" s="0" t="n">
        <v>0.935</v>
      </c>
      <c r="DE69" s="0" t="n">
        <v>0.89</v>
      </c>
      <c r="DF69" s="0" t="n">
        <v>0.985</v>
      </c>
      <c r="DG69" s="0" t="n">
        <v>0.99</v>
      </c>
      <c r="DH69" s="0" t="n">
        <v>0.99</v>
      </c>
      <c r="DI69" s="0" t="n">
        <v>0.9775</v>
      </c>
      <c r="DN69" s="188" t="n">
        <v>0.000285</v>
      </c>
      <c r="DO69" s="188" t="n">
        <v>0.0002</v>
      </c>
      <c r="DP69" s="188" t="n">
        <v>0</v>
      </c>
      <c r="DQ69" s="188" t="n">
        <v>0.0001</v>
      </c>
      <c r="DR69" s="188" t="n">
        <v>0</v>
      </c>
      <c r="DS69" s="188" t="n">
        <v>0.0036</v>
      </c>
      <c r="DT69" s="188" t="n">
        <v>0.00047</v>
      </c>
      <c r="DU69" s="188" t="n">
        <v>0.0007</v>
      </c>
      <c r="DV69" s="188" t="n">
        <v>0</v>
      </c>
      <c r="DW69" s="188" t="n">
        <v>0</v>
      </c>
      <c r="DX69" s="188" t="n">
        <v>0.0005</v>
      </c>
      <c r="DY69" s="188" t="n">
        <v>0.0005</v>
      </c>
      <c r="DZ69" s="188" t="n">
        <v>0.0003</v>
      </c>
      <c r="EA69" s="188" t="n">
        <v>0.000275</v>
      </c>
      <c r="EB69" s="188" t="n">
        <v>0.0004</v>
      </c>
      <c r="ED69" s="188" t="n">
        <v>6.5E-005</v>
      </c>
      <c r="EF69" s="0" t="n">
        <v>1</v>
      </c>
    </row>
    <row r="70" customFormat="false" ht="12.75" hidden="false" customHeight="false" outlineLevel="0" collapsed="false">
      <c r="A70" s="149" t="n">
        <v>38504</v>
      </c>
      <c r="B70" s="0" t="n">
        <v>0.98</v>
      </c>
      <c r="C70" s="0" t="n">
        <v>0.988</v>
      </c>
      <c r="D70" s="0" t="n">
        <v>0.965</v>
      </c>
      <c r="E70" s="0" t="n">
        <f aca="false">E59</f>
        <v>0.978</v>
      </c>
      <c r="F70" s="0" t="n">
        <v>0.977</v>
      </c>
      <c r="G70" s="0" t="n">
        <v>0.706452</v>
      </c>
      <c r="H70" s="0" t="n">
        <v>0.9875</v>
      </c>
      <c r="I70" s="0" t="n">
        <v>0.9875</v>
      </c>
      <c r="J70" s="0" t="n">
        <v>0.7924275</v>
      </c>
      <c r="K70" s="0" t="n">
        <v>0.985</v>
      </c>
      <c r="L70" s="176" t="n">
        <v>0.9875</v>
      </c>
      <c r="M70" s="176" t="n">
        <v>0.9875</v>
      </c>
      <c r="N70" s="0" t="n">
        <v>0.98</v>
      </c>
      <c r="O70" s="0" t="n">
        <v>0.961573138</v>
      </c>
      <c r="P70" s="0" t="n">
        <v>0.98</v>
      </c>
      <c r="Q70" s="177" t="n">
        <v>0.9875</v>
      </c>
      <c r="R70" s="0" t="n">
        <v>0.9875</v>
      </c>
      <c r="S70" s="176" t="n">
        <v>0.9875</v>
      </c>
      <c r="T70" s="0" t="n">
        <v>0.98</v>
      </c>
      <c r="U70" s="0" t="n">
        <v>0.98</v>
      </c>
      <c r="V70" s="0" t="n">
        <v>0.98</v>
      </c>
      <c r="W70" s="0" t="n">
        <v>0.98</v>
      </c>
      <c r="X70" s="0" t="n">
        <v>0.961573138</v>
      </c>
      <c r="Y70" s="0" t="n">
        <v>0.961573138</v>
      </c>
      <c r="Z70" s="0" t="n">
        <v>0.961573138</v>
      </c>
      <c r="AA70" s="0" t="n">
        <v>0.961573138</v>
      </c>
      <c r="AB70" s="0" t="n">
        <v>0.98</v>
      </c>
      <c r="AC70" s="0" t="n">
        <v>0.98</v>
      </c>
      <c r="AD70" s="0" t="n">
        <v>0.961573138</v>
      </c>
      <c r="AE70" s="0" t="n">
        <v>0.961573138</v>
      </c>
      <c r="AF70" s="0" t="n">
        <v>0.98</v>
      </c>
      <c r="AG70" s="0" t="n">
        <v>0.99</v>
      </c>
      <c r="AH70" s="0" t="n">
        <v>0.9748615</v>
      </c>
      <c r="AI70" s="0" t="n">
        <v>0.9748615</v>
      </c>
      <c r="AJ70" s="0" t="n">
        <v>0.98</v>
      </c>
      <c r="AK70" s="0" t="n">
        <v>1</v>
      </c>
      <c r="AL70" s="0" t="n">
        <v>0.985</v>
      </c>
      <c r="AM70" s="0" t="n">
        <v>0.985</v>
      </c>
      <c r="AN70" s="177" t="n">
        <v>0.9958</v>
      </c>
      <c r="AO70" s="177" t="n">
        <v>0.99</v>
      </c>
      <c r="AP70" s="177" t="n">
        <v>0.99</v>
      </c>
      <c r="AQ70" s="0" t="n">
        <v>0.985</v>
      </c>
      <c r="AR70" s="0" t="n">
        <v>0.9748615</v>
      </c>
      <c r="AS70" s="0" t="n">
        <v>0.977</v>
      </c>
      <c r="AT70" s="177" t="n">
        <v>0.9775</v>
      </c>
      <c r="AU70" s="0" t="n">
        <v>0.9748615</v>
      </c>
      <c r="AV70" s="0" t="n">
        <v>0.985</v>
      </c>
      <c r="AW70" s="0" t="n">
        <v>0.985</v>
      </c>
      <c r="AX70" s="0" t="n">
        <v>0.985</v>
      </c>
      <c r="AY70" s="0" t="n">
        <v>0.9748615</v>
      </c>
      <c r="AZ70" s="0" t="n">
        <v>0.9748615</v>
      </c>
      <c r="BA70" s="0" t="n">
        <v>0.985</v>
      </c>
      <c r="BB70" s="187" t="n">
        <v>1</v>
      </c>
      <c r="BC70" s="0" t="n">
        <v>1</v>
      </c>
      <c r="BD70" s="0" t="n">
        <v>1</v>
      </c>
      <c r="BE70" s="0" t="n">
        <v>1</v>
      </c>
      <c r="BF70" s="0" t="n">
        <v>0.9999</v>
      </c>
      <c r="BG70" s="0" t="n">
        <v>1</v>
      </c>
      <c r="BH70" s="0" t="n">
        <v>1</v>
      </c>
      <c r="BI70" s="0" t="n">
        <v>0.99</v>
      </c>
      <c r="BJ70" s="0" t="n">
        <v>0.999</v>
      </c>
      <c r="BK70" s="0" t="n">
        <v>0.998</v>
      </c>
      <c r="BL70" s="0" t="n">
        <v>0.9985</v>
      </c>
      <c r="BM70" s="0" t="n">
        <v>0.9985</v>
      </c>
      <c r="BN70" s="0" t="n">
        <v>0.972</v>
      </c>
      <c r="BO70" s="0" t="n">
        <v>0.9999</v>
      </c>
      <c r="BP70" s="0" t="n">
        <v>0.9999</v>
      </c>
      <c r="BQ70" s="0" t="n">
        <v>1</v>
      </c>
      <c r="BR70" s="0" t="n">
        <v>1.0823876</v>
      </c>
      <c r="BS70" s="0" t="n">
        <v>1.102</v>
      </c>
      <c r="BT70" s="0" t="n">
        <v>1.0827</v>
      </c>
      <c r="BU70" s="0" t="n">
        <v>1.0113</v>
      </c>
      <c r="BV70" s="0" t="n">
        <v>1</v>
      </c>
      <c r="BW70" s="0" t="n">
        <v>2.0778</v>
      </c>
      <c r="BX70" s="0" t="n">
        <v>2.262176333</v>
      </c>
      <c r="BY70" s="0" t="n">
        <v>1.06405</v>
      </c>
      <c r="BZ70" s="0" t="n">
        <v>1.2885</v>
      </c>
      <c r="CA70" s="0" t="n">
        <v>2.001</v>
      </c>
      <c r="CB70" s="0" t="n">
        <v>1.497005</v>
      </c>
      <c r="CC70" s="0" t="n">
        <v>1.497005</v>
      </c>
      <c r="CD70" s="0" t="n">
        <v>1.251705</v>
      </c>
      <c r="CE70" s="0" t="n">
        <v>1.065455</v>
      </c>
      <c r="CF70" s="0" t="n">
        <v>1.411805</v>
      </c>
      <c r="CG70" s="188"/>
      <c r="CH70" s="0" t="n">
        <v>1.09535</v>
      </c>
      <c r="CI70" s="188"/>
      <c r="CJ70" s="188"/>
      <c r="CK70" s="188"/>
      <c r="CL70" s="188"/>
      <c r="CM70" s="188"/>
      <c r="CN70" s="188"/>
      <c r="CO70" s="188"/>
      <c r="CP70" s="0" t="n">
        <v>0.965</v>
      </c>
      <c r="CQ70" s="0" t="n">
        <v>0.91</v>
      </c>
      <c r="CR70" s="0" t="n">
        <v>0.91</v>
      </c>
      <c r="CS70" s="0" t="n">
        <v>0.98</v>
      </c>
      <c r="CT70" s="0" t="n">
        <v>0.99895</v>
      </c>
      <c r="CU70" s="0" t="n">
        <v>0.34</v>
      </c>
      <c r="CV70" s="0" t="n">
        <v>0.47</v>
      </c>
      <c r="CW70" s="0" t="n">
        <v>0.935</v>
      </c>
      <c r="CX70" s="0" t="n">
        <v>0.615</v>
      </c>
      <c r="CY70" s="0" t="n">
        <v>0.725</v>
      </c>
      <c r="CZ70" s="0" t="n">
        <v>0.8825</v>
      </c>
      <c r="DA70" s="0" t="n">
        <v>0.915</v>
      </c>
      <c r="DB70" s="0" t="n">
        <v>0.88</v>
      </c>
      <c r="DC70" s="0" t="n">
        <v>0.9025</v>
      </c>
      <c r="DD70" s="0" t="n">
        <v>0.915</v>
      </c>
      <c r="DE70" s="0" t="n">
        <v>0.89</v>
      </c>
      <c r="DF70" s="0" t="n">
        <v>0.985</v>
      </c>
      <c r="DG70" s="0" t="n">
        <v>0.99</v>
      </c>
      <c r="DH70" s="0" t="n">
        <v>0.99</v>
      </c>
      <c r="DI70" s="0" t="n">
        <v>0.9775</v>
      </c>
      <c r="DN70" s="188" t="n">
        <v>0.000285</v>
      </c>
      <c r="DO70" s="188" t="n">
        <v>0.0002</v>
      </c>
      <c r="DP70" s="188" t="n">
        <v>0</v>
      </c>
      <c r="DQ70" s="188" t="n">
        <v>0.0001</v>
      </c>
      <c r="DR70" s="188" t="n">
        <v>0</v>
      </c>
      <c r="DS70" s="188" t="n">
        <v>0.0036</v>
      </c>
      <c r="DT70" s="188" t="n">
        <v>0.00047</v>
      </c>
      <c r="DU70" s="188" t="n">
        <v>0.0007</v>
      </c>
      <c r="DV70" s="188" t="n">
        <v>0</v>
      </c>
      <c r="DW70" s="188" t="n">
        <v>0</v>
      </c>
      <c r="DX70" s="188" t="n">
        <v>0.0005</v>
      </c>
      <c r="DY70" s="188" t="n">
        <v>0.0005</v>
      </c>
      <c r="DZ70" s="188" t="n">
        <v>0.0003</v>
      </c>
      <c r="EA70" s="188" t="n">
        <v>0.000275</v>
      </c>
      <c r="EB70" s="188" t="n">
        <v>0.0004</v>
      </c>
      <c r="ED70" s="188" t="n">
        <v>6.5E-005</v>
      </c>
      <c r="EF70" s="0" t="n">
        <v>1</v>
      </c>
    </row>
    <row r="71" customFormat="false" ht="12.75" hidden="false" customHeight="false" outlineLevel="0" collapsed="false">
      <c r="A71" s="149" t="n">
        <v>38534</v>
      </c>
      <c r="B71" s="0" t="n">
        <v>0.98</v>
      </c>
      <c r="C71" s="0" t="n">
        <v>0.988</v>
      </c>
      <c r="D71" s="0" t="n">
        <v>0.965</v>
      </c>
      <c r="E71" s="0" t="n">
        <f aca="false">E60</f>
        <v>0.978</v>
      </c>
      <c r="F71" s="0" t="n">
        <v>0.977</v>
      </c>
      <c r="G71" s="0" t="n">
        <v>0.853374</v>
      </c>
      <c r="H71" s="0" t="n">
        <v>0.9875</v>
      </c>
      <c r="I71" s="0" t="n">
        <v>0.9875</v>
      </c>
      <c r="J71" s="0" t="n">
        <v>0.8181975</v>
      </c>
      <c r="K71" s="0" t="n">
        <v>0.985</v>
      </c>
      <c r="L71" s="176" t="n">
        <v>0.9875</v>
      </c>
      <c r="M71" s="176" t="n">
        <v>0.9875</v>
      </c>
      <c r="N71" s="0" t="n">
        <v>0.98</v>
      </c>
      <c r="O71" s="0" t="n">
        <v>0.967149975</v>
      </c>
      <c r="P71" s="0" t="n">
        <v>0.98</v>
      </c>
      <c r="Q71" s="177" t="n">
        <v>0.9875</v>
      </c>
      <c r="R71" s="0" t="n">
        <v>0.9875</v>
      </c>
      <c r="S71" s="176" t="n">
        <v>0.9875</v>
      </c>
      <c r="T71" s="0" t="n">
        <v>0.98</v>
      </c>
      <c r="U71" s="0" t="n">
        <v>0.98</v>
      </c>
      <c r="V71" s="0" t="n">
        <v>0.98</v>
      </c>
      <c r="W71" s="0" t="n">
        <v>0.98</v>
      </c>
      <c r="X71" s="0" t="n">
        <v>0.967149975</v>
      </c>
      <c r="Y71" s="0" t="n">
        <v>0.967149975</v>
      </c>
      <c r="Z71" s="0" t="n">
        <v>0.967149975</v>
      </c>
      <c r="AA71" s="0" t="n">
        <v>0.967149975</v>
      </c>
      <c r="AB71" s="0" t="n">
        <v>0.98</v>
      </c>
      <c r="AC71" s="0" t="n">
        <v>0.98</v>
      </c>
      <c r="AD71" s="0" t="n">
        <v>0.967149975</v>
      </c>
      <c r="AE71" s="0" t="n">
        <v>0.967149975</v>
      </c>
      <c r="AF71" s="0" t="n">
        <v>0.98</v>
      </c>
      <c r="AG71" s="0" t="n">
        <v>0.99</v>
      </c>
      <c r="AH71" s="0" t="n">
        <v>0.97491935</v>
      </c>
      <c r="AI71" s="0" t="n">
        <v>0.97491935</v>
      </c>
      <c r="AJ71" s="0" t="n">
        <v>0.98</v>
      </c>
      <c r="AK71" s="0" t="n">
        <v>1</v>
      </c>
      <c r="AL71" s="0" t="n">
        <v>0.985</v>
      </c>
      <c r="AM71" s="0" t="n">
        <v>0.985</v>
      </c>
      <c r="AN71" s="177" t="n">
        <v>0.9958</v>
      </c>
      <c r="AO71" s="177" t="n">
        <v>0.99</v>
      </c>
      <c r="AP71" s="177" t="n">
        <v>0.99</v>
      </c>
      <c r="AQ71" s="0" t="n">
        <v>0.985</v>
      </c>
      <c r="AR71" s="0" t="n">
        <v>0.97491935</v>
      </c>
      <c r="AS71" s="0" t="n">
        <v>0.977</v>
      </c>
      <c r="AT71" s="177" t="n">
        <v>0.9775</v>
      </c>
      <c r="AU71" s="0" t="n">
        <v>0.97491935</v>
      </c>
      <c r="AV71" s="0" t="n">
        <v>0.985</v>
      </c>
      <c r="AW71" s="0" t="n">
        <v>0.985</v>
      </c>
      <c r="AX71" s="0" t="n">
        <v>0.985</v>
      </c>
      <c r="AY71" s="0" t="n">
        <v>0.97491935</v>
      </c>
      <c r="AZ71" s="0" t="n">
        <v>0.97491935</v>
      </c>
      <c r="BA71" s="0" t="n">
        <v>0.985</v>
      </c>
      <c r="BB71" s="187" t="n">
        <v>1</v>
      </c>
      <c r="BC71" s="0" t="n">
        <v>1</v>
      </c>
      <c r="BD71" s="0" t="n">
        <v>1</v>
      </c>
      <c r="BE71" s="0" t="n">
        <v>1</v>
      </c>
      <c r="BF71" s="0" t="n">
        <v>0.9999</v>
      </c>
      <c r="BG71" s="0" t="n">
        <v>1</v>
      </c>
      <c r="BH71" s="0" t="n">
        <v>1</v>
      </c>
      <c r="BI71" s="0" t="n">
        <v>0.99</v>
      </c>
      <c r="BJ71" s="0" t="n">
        <v>0.999</v>
      </c>
      <c r="BK71" s="0" t="n">
        <v>0.998</v>
      </c>
      <c r="BL71" s="0" t="n">
        <v>0.9985</v>
      </c>
      <c r="BM71" s="0" t="n">
        <v>0.9985</v>
      </c>
      <c r="BN71" s="0" t="n">
        <v>0.972</v>
      </c>
      <c r="BO71" s="0" t="n">
        <v>0.9999</v>
      </c>
      <c r="BP71" s="0" t="n">
        <v>0.9999</v>
      </c>
      <c r="BQ71" s="0" t="n">
        <v>1</v>
      </c>
      <c r="BR71" s="0" t="n">
        <v>1.0826726</v>
      </c>
      <c r="BS71" s="0" t="n">
        <v>1.1022</v>
      </c>
      <c r="BT71" s="0" t="n">
        <v>1.0827</v>
      </c>
      <c r="BU71" s="0" t="n">
        <v>1.0114</v>
      </c>
      <c r="BV71" s="0" t="n">
        <v>1</v>
      </c>
      <c r="BW71" s="0" t="n">
        <v>2.0814</v>
      </c>
      <c r="BX71" s="0" t="n">
        <v>2.262646333</v>
      </c>
      <c r="BY71" s="0" t="n">
        <v>1.06475</v>
      </c>
      <c r="BZ71" s="0" t="n">
        <v>1.2885</v>
      </c>
      <c r="CA71" s="0" t="n">
        <v>2.001</v>
      </c>
      <c r="CB71" s="0" t="n">
        <v>1.497505</v>
      </c>
      <c r="CC71" s="0" t="n">
        <v>1.497505</v>
      </c>
      <c r="CD71" s="0" t="n">
        <v>1.252005</v>
      </c>
      <c r="CE71" s="0" t="n">
        <v>1.06573</v>
      </c>
      <c r="CF71" s="0" t="n">
        <v>1.412205</v>
      </c>
      <c r="CG71" s="188"/>
      <c r="CH71" s="0" t="n">
        <v>1.095415</v>
      </c>
      <c r="CI71" s="188"/>
      <c r="CJ71" s="188"/>
      <c r="CK71" s="188"/>
      <c r="CL71" s="188"/>
      <c r="CM71" s="188"/>
      <c r="CN71" s="188"/>
      <c r="CO71" s="188"/>
      <c r="CP71" s="0" t="n">
        <v>0.975</v>
      </c>
      <c r="CQ71" s="0" t="n">
        <v>0.91</v>
      </c>
      <c r="CR71" s="0" t="n">
        <v>0.91</v>
      </c>
      <c r="CS71" s="0" t="n">
        <v>0.97</v>
      </c>
      <c r="CT71" s="0" t="n">
        <v>0.99895</v>
      </c>
      <c r="CU71" s="0" t="n">
        <v>0.41</v>
      </c>
      <c r="CV71" s="0" t="n">
        <v>0.47</v>
      </c>
      <c r="CW71" s="0" t="n">
        <v>0.935</v>
      </c>
      <c r="CX71" s="0" t="n">
        <v>0.635</v>
      </c>
      <c r="CY71" s="0" t="n">
        <v>0.725</v>
      </c>
      <c r="CZ71" s="0" t="n">
        <v>0.8775</v>
      </c>
      <c r="DA71" s="0" t="n">
        <v>0.91</v>
      </c>
      <c r="DB71" s="0" t="n">
        <v>0.89</v>
      </c>
      <c r="DC71" s="0" t="n">
        <v>0.9075</v>
      </c>
      <c r="DD71" s="0" t="n">
        <v>0.915</v>
      </c>
      <c r="DE71" s="0" t="n">
        <v>0.89</v>
      </c>
      <c r="DF71" s="0" t="n">
        <v>0.985</v>
      </c>
      <c r="DG71" s="0" t="n">
        <v>0.99</v>
      </c>
      <c r="DH71" s="0" t="n">
        <v>0.99</v>
      </c>
      <c r="DI71" s="0" t="n">
        <v>0.9775</v>
      </c>
      <c r="DN71" s="188" t="n">
        <v>0.000285</v>
      </c>
      <c r="DO71" s="188" t="n">
        <v>0.0002</v>
      </c>
      <c r="DP71" s="188" t="n">
        <v>0</v>
      </c>
      <c r="DQ71" s="188" t="n">
        <v>0.0001</v>
      </c>
      <c r="DR71" s="188" t="n">
        <v>0</v>
      </c>
      <c r="DS71" s="188" t="n">
        <v>0.0036</v>
      </c>
      <c r="DT71" s="188" t="n">
        <v>0.00047</v>
      </c>
      <c r="DU71" s="188" t="n">
        <v>0.0007</v>
      </c>
      <c r="DV71" s="188" t="n">
        <v>0</v>
      </c>
      <c r="DW71" s="188" t="n">
        <v>0</v>
      </c>
      <c r="DX71" s="188" t="n">
        <v>0.0005</v>
      </c>
      <c r="DY71" s="188" t="n">
        <v>0.0005</v>
      </c>
      <c r="DZ71" s="188" t="n">
        <v>0.0003</v>
      </c>
      <c r="EA71" s="188" t="n">
        <v>0.000275</v>
      </c>
      <c r="EB71" s="188" t="n">
        <v>0.0004</v>
      </c>
      <c r="ED71" s="188" t="n">
        <v>6.5E-005</v>
      </c>
      <c r="EF71" s="0" t="n">
        <v>1</v>
      </c>
    </row>
    <row r="72" customFormat="false" ht="12.75" hidden="false" customHeight="false" outlineLevel="0" collapsed="false">
      <c r="A72" s="149" t="n">
        <v>38565</v>
      </c>
      <c r="B72" s="0" t="n">
        <v>0.98</v>
      </c>
      <c r="C72" s="0" t="n">
        <v>0.988</v>
      </c>
      <c r="D72" s="0" t="n">
        <v>0.965</v>
      </c>
      <c r="E72" s="0" t="n">
        <f aca="false">E61</f>
        <v>0.978</v>
      </c>
      <c r="F72" s="0" t="n">
        <v>0.977</v>
      </c>
      <c r="G72" s="0" t="n">
        <v>0.89655</v>
      </c>
      <c r="H72" s="0" t="n">
        <v>0.9875</v>
      </c>
      <c r="I72" s="0" t="n">
        <v>0.98554125</v>
      </c>
      <c r="J72" s="0" t="n">
        <v>0.9341625</v>
      </c>
      <c r="K72" s="0" t="n">
        <v>0.985</v>
      </c>
      <c r="L72" s="176" t="n">
        <v>0.9875</v>
      </c>
      <c r="M72" s="176" t="n">
        <v>0.9875</v>
      </c>
      <c r="N72" s="0" t="n">
        <v>0.98</v>
      </c>
      <c r="O72" s="0" t="n">
        <v>0.9875</v>
      </c>
      <c r="P72" s="0" t="n">
        <v>0.98</v>
      </c>
      <c r="Q72" s="177" t="n">
        <v>0.9875</v>
      </c>
      <c r="R72" s="0" t="n">
        <v>0.9875</v>
      </c>
      <c r="S72" s="176" t="n">
        <v>0.9875</v>
      </c>
      <c r="T72" s="0" t="n">
        <v>0.98</v>
      </c>
      <c r="U72" s="0" t="n">
        <v>0.98</v>
      </c>
      <c r="V72" s="0" t="n">
        <v>0.98</v>
      </c>
      <c r="W72" s="0" t="n">
        <v>0.98</v>
      </c>
      <c r="X72" s="0" t="n">
        <v>0.9875</v>
      </c>
      <c r="Y72" s="0" t="n">
        <v>0.9875</v>
      </c>
      <c r="Z72" s="0" t="n">
        <v>0.9875</v>
      </c>
      <c r="AA72" s="0" t="n">
        <v>0.9875</v>
      </c>
      <c r="AB72" s="0" t="n">
        <v>0.98</v>
      </c>
      <c r="AC72" s="0" t="n">
        <v>0.98</v>
      </c>
      <c r="AD72" s="0" t="n">
        <v>0.9875</v>
      </c>
      <c r="AE72" s="0" t="n">
        <v>0.9875</v>
      </c>
      <c r="AF72" s="0" t="n">
        <v>0.98</v>
      </c>
      <c r="AG72" s="0" t="n">
        <v>0.99</v>
      </c>
      <c r="AH72" s="0" t="n">
        <v>0.9749772</v>
      </c>
      <c r="AI72" s="0" t="n">
        <v>0.9749772</v>
      </c>
      <c r="AJ72" s="0" t="n">
        <v>0.98</v>
      </c>
      <c r="AK72" s="0" t="n">
        <v>1</v>
      </c>
      <c r="AL72" s="0" t="n">
        <v>0.985</v>
      </c>
      <c r="AM72" s="0" t="n">
        <v>0.985</v>
      </c>
      <c r="AN72" s="177" t="n">
        <v>0.9958</v>
      </c>
      <c r="AO72" s="177" t="n">
        <v>0.99</v>
      </c>
      <c r="AP72" s="177" t="n">
        <v>0.99</v>
      </c>
      <c r="AQ72" s="0" t="n">
        <v>0.985</v>
      </c>
      <c r="AR72" s="0" t="n">
        <v>0.9749772</v>
      </c>
      <c r="AS72" s="0" t="n">
        <v>0.977</v>
      </c>
      <c r="AT72" s="177" t="n">
        <v>0.9775</v>
      </c>
      <c r="AU72" s="0" t="n">
        <v>0.9749772</v>
      </c>
      <c r="AV72" s="0" t="n">
        <v>0.985</v>
      </c>
      <c r="AW72" s="0" t="n">
        <v>0.985</v>
      </c>
      <c r="AX72" s="0" t="n">
        <v>0.985</v>
      </c>
      <c r="AY72" s="0" t="n">
        <v>0.9749772</v>
      </c>
      <c r="AZ72" s="0" t="n">
        <v>0.9749772</v>
      </c>
      <c r="BA72" s="0" t="n">
        <v>0.985</v>
      </c>
      <c r="BB72" s="187" t="n">
        <v>1</v>
      </c>
      <c r="BC72" s="0" t="n">
        <v>1</v>
      </c>
      <c r="BD72" s="0" t="n">
        <v>1</v>
      </c>
      <c r="BE72" s="0" t="n">
        <v>1</v>
      </c>
      <c r="BF72" s="0" t="n">
        <v>0.9999</v>
      </c>
      <c r="BG72" s="0" t="n">
        <v>1</v>
      </c>
      <c r="BH72" s="0" t="n">
        <v>1</v>
      </c>
      <c r="BI72" s="0" t="n">
        <v>0.99</v>
      </c>
      <c r="BJ72" s="0" t="n">
        <v>0.999</v>
      </c>
      <c r="BK72" s="0" t="n">
        <v>0.998</v>
      </c>
      <c r="BL72" s="0" t="n">
        <v>0.9985</v>
      </c>
      <c r="BM72" s="0" t="n">
        <v>0.9985</v>
      </c>
      <c r="BN72" s="0" t="n">
        <v>0.972</v>
      </c>
      <c r="BO72" s="0" t="n">
        <v>0.9999</v>
      </c>
      <c r="BP72" s="0" t="n">
        <v>0.9999</v>
      </c>
      <c r="BQ72" s="0" t="n">
        <v>1</v>
      </c>
      <c r="BR72" s="0" t="n">
        <v>1.0829576</v>
      </c>
      <c r="BS72" s="0" t="n">
        <v>1.1024</v>
      </c>
      <c r="BT72" s="0" t="n">
        <v>1.0827</v>
      </c>
      <c r="BU72" s="0" t="n">
        <v>1.0115</v>
      </c>
      <c r="BV72" s="0" t="n">
        <v>1</v>
      </c>
      <c r="BW72" s="0" t="n">
        <v>2.085</v>
      </c>
      <c r="BX72" s="0" t="n">
        <v>2.263116333</v>
      </c>
      <c r="BY72" s="0" t="n">
        <v>1.06545</v>
      </c>
      <c r="BZ72" s="0" t="n">
        <v>1.2885</v>
      </c>
      <c r="CA72" s="0" t="n">
        <v>2.001</v>
      </c>
      <c r="CB72" s="0" t="n">
        <v>1.498005</v>
      </c>
      <c r="CC72" s="0" t="n">
        <v>1.498005</v>
      </c>
      <c r="CD72" s="0" t="n">
        <v>1.252305</v>
      </c>
      <c r="CE72" s="0" t="n">
        <v>1.066005</v>
      </c>
      <c r="CF72" s="0" t="n">
        <v>1.412605</v>
      </c>
      <c r="CG72" s="188"/>
      <c r="CH72" s="0" t="n">
        <v>1.09548</v>
      </c>
      <c r="CI72" s="188"/>
      <c r="CJ72" s="188"/>
      <c r="CK72" s="188"/>
      <c r="CL72" s="188"/>
      <c r="CM72" s="188"/>
      <c r="CN72" s="188"/>
      <c r="CO72" s="188"/>
      <c r="CP72" s="0" t="n">
        <v>0.975</v>
      </c>
      <c r="CQ72" s="0" t="n">
        <v>0.91</v>
      </c>
      <c r="CR72" s="0" t="n">
        <v>0.91</v>
      </c>
      <c r="CS72" s="0" t="n">
        <v>0.97</v>
      </c>
      <c r="CT72" s="0" t="n">
        <v>0.99895</v>
      </c>
      <c r="CU72" s="0" t="n">
        <v>0.43</v>
      </c>
      <c r="CV72" s="0" t="n">
        <v>0.52</v>
      </c>
      <c r="CW72" s="0" t="n">
        <v>0.925</v>
      </c>
      <c r="CX72" s="0" t="n">
        <v>0.725</v>
      </c>
      <c r="CY72" s="0" t="n">
        <v>0.725</v>
      </c>
      <c r="CZ72" s="0" t="n">
        <v>0.89</v>
      </c>
      <c r="DA72" s="0" t="n">
        <v>0.9225</v>
      </c>
      <c r="DB72" s="0" t="n">
        <v>0.915</v>
      </c>
      <c r="DC72" s="0" t="n">
        <v>0.9275</v>
      </c>
      <c r="DD72" s="0" t="n">
        <v>0.915</v>
      </c>
      <c r="DE72" s="0" t="n">
        <v>0.89</v>
      </c>
      <c r="DF72" s="0" t="n">
        <v>0.985</v>
      </c>
      <c r="DG72" s="0" t="n">
        <v>0.99</v>
      </c>
      <c r="DH72" s="0" t="n">
        <v>0.99</v>
      </c>
      <c r="DI72" s="0" t="n">
        <v>0.9775</v>
      </c>
      <c r="DN72" s="188" t="n">
        <v>0.000285</v>
      </c>
      <c r="DO72" s="188" t="n">
        <v>0.0002</v>
      </c>
      <c r="DP72" s="188" t="n">
        <v>0</v>
      </c>
      <c r="DQ72" s="188" t="n">
        <v>0.0001</v>
      </c>
      <c r="DR72" s="188" t="n">
        <v>0</v>
      </c>
      <c r="DS72" s="188" t="n">
        <v>0.0036</v>
      </c>
      <c r="DT72" s="188" t="n">
        <v>0.00047</v>
      </c>
      <c r="DU72" s="188" t="n">
        <v>0.0007</v>
      </c>
      <c r="DV72" s="188" t="n">
        <v>0</v>
      </c>
      <c r="DW72" s="188" t="n">
        <v>0</v>
      </c>
      <c r="DX72" s="188" t="n">
        <v>0.0005</v>
      </c>
      <c r="DY72" s="188" t="n">
        <v>0.0005</v>
      </c>
      <c r="DZ72" s="188" t="n">
        <v>0.0003</v>
      </c>
      <c r="EA72" s="188" t="n">
        <v>0.000275</v>
      </c>
      <c r="EB72" s="188" t="n">
        <v>0.0004</v>
      </c>
      <c r="ED72" s="188" t="n">
        <v>6.5E-005</v>
      </c>
      <c r="EF72" s="0" t="n">
        <v>1</v>
      </c>
    </row>
    <row r="73" customFormat="false" ht="12.75" hidden="false" customHeight="false" outlineLevel="0" collapsed="false">
      <c r="A73" s="149" t="n">
        <v>38596</v>
      </c>
      <c r="B73" s="0" t="n">
        <v>0.98</v>
      </c>
      <c r="C73" s="0" t="n">
        <v>0.988</v>
      </c>
      <c r="D73" s="0" t="n">
        <v>0.965</v>
      </c>
      <c r="E73" s="0" t="n">
        <f aca="false">E62</f>
        <v>0.978</v>
      </c>
      <c r="F73" s="0" t="n">
        <v>0.977</v>
      </c>
      <c r="G73" s="0" t="n">
        <v>0.960756</v>
      </c>
      <c r="H73" s="0" t="n">
        <v>0.9875</v>
      </c>
      <c r="I73" s="0" t="n">
        <v>0.98618875</v>
      </c>
      <c r="J73" s="0" t="n">
        <v>0.7537725</v>
      </c>
      <c r="K73" s="0" t="n">
        <v>0.985</v>
      </c>
      <c r="L73" s="176" t="n">
        <v>0.9875</v>
      </c>
      <c r="M73" s="176" t="n">
        <v>0.9875</v>
      </c>
      <c r="N73" s="0" t="n">
        <v>0.98</v>
      </c>
      <c r="O73" s="0" t="n">
        <v>0.9809776</v>
      </c>
      <c r="P73" s="0" t="n">
        <v>0.98</v>
      </c>
      <c r="Q73" s="177" t="n">
        <v>0.9875</v>
      </c>
      <c r="R73" s="0" t="n">
        <v>0.9875</v>
      </c>
      <c r="S73" s="176" t="n">
        <v>0.9875</v>
      </c>
      <c r="T73" s="0" t="n">
        <v>0.98</v>
      </c>
      <c r="U73" s="0" t="n">
        <v>0.98</v>
      </c>
      <c r="V73" s="0" t="n">
        <v>0.98</v>
      </c>
      <c r="W73" s="0" t="n">
        <v>0.98</v>
      </c>
      <c r="X73" s="0" t="n">
        <v>0.9809776</v>
      </c>
      <c r="Y73" s="0" t="n">
        <v>0.9809776</v>
      </c>
      <c r="Z73" s="0" t="n">
        <v>0.9809776</v>
      </c>
      <c r="AA73" s="0" t="n">
        <v>0.9809776</v>
      </c>
      <c r="AB73" s="0" t="n">
        <v>0.98</v>
      </c>
      <c r="AC73" s="0" t="n">
        <v>0.98</v>
      </c>
      <c r="AD73" s="0" t="n">
        <v>0.9809776</v>
      </c>
      <c r="AE73" s="0" t="n">
        <v>0.9809776</v>
      </c>
      <c r="AF73" s="0" t="n">
        <v>0.98</v>
      </c>
      <c r="AG73" s="0" t="n">
        <v>0.99</v>
      </c>
      <c r="AH73" s="0" t="n">
        <v>0.97503505</v>
      </c>
      <c r="AI73" s="0" t="n">
        <v>0.97503505</v>
      </c>
      <c r="AJ73" s="0" t="n">
        <v>0.98</v>
      </c>
      <c r="AK73" s="0" t="n">
        <v>1</v>
      </c>
      <c r="AL73" s="0" t="n">
        <v>0.985</v>
      </c>
      <c r="AM73" s="0" t="n">
        <v>0.985</v>
      </c>
      <c r="AN73" s="177" t="n">
        <v>0.9958</v>
      </c>
      <c r="AO73" s="177" t="n">
        <v>0.99</v>
      </c>
      <c r="AP73" s="177" t="n">
        <v>0.99</v>
      </c>
      <c r="AQ73" s="0" t="n">
        <v>0.985</v>
      </c>
      <c r="AR73" s="0" t="n">
        <v>0.97503505</v>
      </c>
      <c r="AS73" s="0" t="n">
        <v>0.977</v>
      </c>
      <c r="AT73" s="177" t="n">
        <v>0.9775</v>
      </c>
      <c r="AU73" s="0" t="n">
        <v>0.97503505</v>
      </c>
      <c r="AV73" s="0" t="n">
        <v>0.985</v>
      </c>
      <c r="AW73" s="0" t="n">
        <v>0.985</v>
      </c>
      <c r="AX73" s="0" t="n">
        <v>0.985</v>
      </c>
      <c r="AY73" s="0" t="n">
        <v>0.97503505</v>
      </c>
      <c r="AZ73" s="0" t="n">
        <v>0.97503505</v>
      </c>
      <c r="BA73" s="0" t="n">
        <v>0.985</v>
      </c>
      <c r="BB73" s="187" t="n">
        <v>1</v>
      </c>
      <c r="BC73" s="0" t="n">
        <v>1</v>
      </c>
      <c r="BD73" s="0" t="n">
        <v>1</v>
      </c>
      <c r="BE73" s="0" t="n">
        <v>1</v>
      </c>
      <c r="BF73" s="0" t="n">
        <v>0.9999</v>
      </c>
      <c r="BG73" s="0" t="n">
        <v>1</v>
      </c>
      <c r="BH73" s="0" t="n">
        <v>1</v>
      </c>
      <c r="BI73" s="0" t="n">
        <v>0.99</v>
      </c>
      <c r="BJ73" s="0" t="n">
        <v>0.999</v>
      </c>
      <c r="BK73" s="0" t="n">
        <v>0.998</v>
      </c>
      <c r="BL73" s="0" t="n">
        <v>0.9985</v>
      </c>
      <c r="BM73" s="0" t="n">
        <v>0.9985</v>
      </c>
      <c r="BN73" s="0" t="n">
        <v>0.972</v>
      </c>
      <c r="BO73" s="0" t="n">
        <v>0.9999</v>
      </c>
      <c r="BP73" s="0" t="n">
        <v>0.9999</v>
      </c>
      <c r="BQ73" s="0" t="n">
        <v>1</v>
      </c>
      <c r="BR73" s="0" t="n">
        <v>1.0832426</v>
      </c>
      <c r="BS73" s="0" t="n">
        <v>1.1026</v>
      </c>
      <c r="BT73" s="0" t="n">
        <v>1.0827</v>
      </c>
      <c r="BU73" s="0" t="n">
        <v>1.0116</v>
      </c>
      <c r="BV73" s="0" t="n">
        <v>1</v>
      </c>
      <c r="BW73" s="0" t="n">
        <v>2.0886</v>
      </c>
      <c r="BX73" s="0" t="n">
        <v>2.263586333</v>
      </c>
      <c r="BY73" s="0" t="n">
        <v>1.06615</v>
      </c>
      <c r="BZ73" s="0" t="n">
        <v>1.2885</v>
      </c>
      <c r="CA73" s="0" t="n">
        <v>2.001</v>
      </c>
      <c r="CB73" s="0" t="n">
        <v>1.498505</v>
      </c>
      <c r="CC73" s="0" t="n">
        <v>1.498505</v>
      </c>
      <c r="CD73" s="0" t="n">
        <v>1.252605</v>
      </c>
      <c r="CE73" s="0" t="n">
        <v>1.06628</v>
      </c>
      <c r="CF73" s="0" t="n">
        <v>1.413005</v>
      </c>
      <c r="CG73" s="188"/>
      <c r="CH73" s="0" t="n">
        <v>1.095545</v>
      </c>
      <c r="CI73" s="188"/>
      <c r="CJ73" s="188"/>
      <c r="CK73" s="188"/>
      <c r="CL73" s="188"/>
      <c r="CM73" s="188"/>
      <c r="CN73" s="188"/>
      <c r="CO73" s="188"/>
      <c r="CP73" s="0" t="n">
        <v>0.975</v>
      </c>
      <c r="CQ73" s="0" t="n">
        <v>0.91</v>
      </c>
      <c r="CR73" s="0" t="n">
        <v>0.91</v>
      </c>
      <c r="CS73" s="0" t="n">
        <v>0.95</v>
      </c>
      <c r="CT73" s="0" t="n">
        <v>0.99895</v>
      </c>
      <c r="CU73" s="0" t="n">
        <v>0.46</v>
      </c>
      <c r="CV73" s="0" t="n">
        <v>0.55</v>
      </c>
      <c r="CW73" s="0" t="n">
        <v>0.925</v>
      </c>
      <c r="CX73" s="0" t="n">
        <v>0.585</v>
      </c>
      <c r="CY73" s="0" t="n">
        <v>0.575</v>
      </c>
      <c r="CZ73" s="0" t="n">
        <v>0.945</v>
      </c>
      <c r="DA73" s="0" t="n">
        <v>0.9775</v>
      </c>
      <c r="DB73" s="0" t="n">
        <v>0.945</v>
      </c>
      <c r="DC73" s="0" t="n">
        <v>0.92</v>
      </c>
      <c r="DD73" s="0" t="n">
        <v>0.915</v>
      </c>
      <c r="DE73" s="0" t="n">
        <v>0.89</v>
      </c>
      <c r="DF73" s="0" t="n">
        <v>0.985</v>
      </c>
      <c r="DG73" s="0" t="n">
        <v>0.99</v>
      </c>
      <c r="DH73" s="0" t="n">
        <v>0.99</v>
      </c>
      <c r="DI73" s="0" t="n">
        <v>0.9775</v>
      </c>
      <c r="DN73" s="188" t="n">
        <v>0.000285</v>
      </c>
      <c r="DO73" s="188" t="n">
        <v>0.0002</v>
      </c>
      <c r="DP73" s="188" t="n">
        <v>0</v>
      </c>
      <c r="DQ73" s="188" t="n">
        <v>0.0001</v>
      </c>
      <c r="DR73" s="188" t="n">
        <v>0</v>
      </c>
      <c r="DS73" s="188" t="n">
        <v>0.0036</v>
      </c>
      <c r="DT73" s="188" t="n">
        <v>0.00047</v>
      </c>
      <c r="DU73" s="188" t="n">
        <v>0.0007</v>
      </c>
      <c r="DV73" s="188" t="n">
        <v>0</v>
      </c>
      <c r="DW73" s="188" t="n">
        <v>0</v>
      </c>
      <c r="DX73" s="188" t="n">
        <v>0.0005</v>
      </c>
      <c r="DY73" s="188" t="n">
        <v>0.0005</v>
      </c>
      <c r="DZ73" s="188" t="n">
        <v>0.0003</v>
      </c>
      <c r="EA73" s="188" t="n">
        <v>0.000275</v>
      </c>
      <c r="EB73" s="188" t="n">
        <v>0.0004</v>
      </c>
      <c r="ED73" s="188" t="n">
        <v>6.5E-005</v>
      </c>
      <c r="EF73" s="0" t="n">
        <v>1</v>
      </c>
    </row>
    <row r="74" customFormat="false" ht="12.75" hidden="false" customHeight="false" outlineLevel="0" collapsed="false">
      <c r="A74" s="149" t="n">
        <v>38626</v>
      </c>
      <c r="B74" s="0" t="n">
        <v>0.98</v>
      </c>
      <c r="C74" s="0" t="n">
        <v>0.988</v>
      </c>
      <c r="D74" s="0" t="n">
        <v>0.965</v>
      </c>
      <c r="E74" s="0" t="n">
        <f aca="false">E63</f>
        <v>0.994</v>
      </c>
      <c r="F74" s="0" t="n">
        <v>0.977</v>
      </c>
      <c r="G74" s="0" t="n">
        <v>0.962412</v>
      </c>
      <c r="H74" s="0" t="n">
        <v>0.9875</v>
      </c>
      <c r="I74" s="0" t="n">
        <v>0.98683625</v>
      </c>
      <c r="J74" s="0" t="n">
        <v>0.7408875</v>
      </c>
      <c r="K74" s="0" t="n">
        <v>0.985</v>
      </c>
      <c r="L74" s="176" t="n">
        <v>0.9875</v>
      </c>
      <c r="M74" s="176" t="n">
        <v>0.9875</v>
      </c>
      <c r="N74" s="0" t="n">
        <v>0.98</v>
      </c>
      <c r="O74" s="0" t="n">
        <v>0.962565888</v>
      </c>
      <c r="P74" s="0" t="n">
        <v>0.98</v>
      </c>
      <c r="Q74" s="177" t="n">
        <v>0.9875</v>
      </c>
      <c r="R74" s="0" t="n">
        <v>0.9875</v>
      </c>
      <c r="S74" s="176" t="n">
        <v>0.9875</v>
      </c>
      <c r="T74" s="0" t="n">
        <v>0.98</v>
      </c>
      <c r="U74" s="0" t="n">
        <v>0.98</v>
      </c>
      <c r="V74" s="0" t="n">
        <v>0.98</v>
      </c>
      <c r="W74" s="0" t="n">
        <v>0.98</v>
      </c>
      <c r="X74" s="0" t="n">
        <v>0.962565888</v>
      </c>
      <c r="Y74" s="0" t="n">
        <v>0.962565888</v>
      </c>
      <c r="Z74" s="0" t="n">
        <v>0.962565888</v>
      </c>
      <c r="AA74" s="0" t="n">
        <v>0.962565888</v>
      </c>
      <c r="AB74" s="0" t="n">
        <v>0.98</v>
      </c>
      <c r="AC74" s="0" t="n">
        <v>0.98</v>
      </c>
      <c r="AD74" s="0" t="n">
        <v>0.962565888</v>
      </c>
      <c r="AE74" s="0" t="n">
        <v>0.962565888</v>
      </c>
      <c r="AF74" s="0" t="n">
        <v>0.98</v>
      </c>
      <c r="AG74" s="0" t="n">
        <v>0.99</v>
      </c>
      <c r="AH74" s="0" t="n">
        <v>0.9750929</v>
      </c>
      <c r="AI74" s="0" t="n">
        <v>0.9750929</v>
      </c>
      <c r="AJ74" s="0" t="n">
        <v>0.98</v>
      </c>
      <c r="AK74" s="0" t="n">
        <v>1</v>
      </c>
      <c r="AL74" s="0" t="n">
        <v>0.985</v>
      </c>
      <c r="AM74" s="0" t="n">
        <v>0.985</v>
      </c>
      <c r="AN74" s="177" t="n">
        <v>0.9958</v>
      </c>
      <c r="AO74" s="177" t="n">
        <v>0.98</v>
      </c>
      <c r="AP74" s="177" t="n">
        <v>0.99</v>
      </c>
      <c r="AQ74" s="0" t="n">
        <v>0.985</v>
      </c>
      <c r="AR74" s="0" t="n">
        <v>0.9750929</v>
      </c>
      <c r="AS74" s="0" t="n">
        <v>0.977</v>
      </c>
      <c r="AT74" s="177" t="n">
        <v>0.9775</v>
      </c>
      <c r="AU74" s="0" t="n">
        <v>0.9750929</v>
      </c>
      <c r="AV74" s="0" t="n">
        <v>0.985</v>
      </c>
      <c r="AW74" s="0" t="n">
        <v>0.985</v>
      </c>
      <c r="AX74" s="0" t="n">
        <v>0.985</v>
      </c>
      <c r="AY74" s="0" t="n">
        <v>0.9750929</v>
      </c>
      <c r="AZ74" s="0" t="n">
        <v>0.9750929</v>
      </c>
      <c r="BA74" s="0" t="n">
        <v>0.985</v>
      </c>
      <c r="BB74" s="187" t="n">
        <v>1</v>
      </c>
      <c r="BC74" s="0" t="n">
        <v>1</v>
      </c>
      <c r="BD74" s="0" t="n">
        <v>1</v>
      </c>
      <c r="BE74" s="0" t="n">
        <v>1</v>
      </c>
      <c r="BF74" s="0" t="n">
        <v>0.9999</v>
      </c>
      <c r="BG74" s="0" t="n">
        <v>1</v>
      </c>
      <c r="BH74" s="0" t="n">
        <v>1</v>
      </c>
      <c r="BI74" s="0" t="n">
        <v>0.99</v>
      </c>
      <c r="BJ74" s="0" t="n">
        <v>0.999</v>
      </c>
      <c r="BK74" s="0" t="n">
        <v>0.998</v>
      </c>
      <c r="BL74" s="0" t="n">
        <v>0.9985</v>
      </c>
      <c r="BM74" s="0" t="n">
        <v>0.9985</v>
      </c>
      <c r="BN74" s="0" t="n">
        <v>0.972</v>
      </c>
      <c r="BO74" s="0" t="n">
        <v>0.9999</v>
      </c>
      <c r="BP74" s="0" t="n">
        <v>0.9999</v>
      </c>
      <c r="BQ74" s="0" t="n">
        <v>1</v>
      </c>
      <c r="BR74" s="0" t="n">
        <v>1.0835276</v>
      </c>
      <c r="BS74" s="0" t="n">
        <v>1.1028</v>
      </c>
      <c r="BT74" s="0" t="n">
        <v>1.0827</v>
      </c>
      <c r="BU74" s="0" t="n">
        <v>1.0117</v>
      </c>
      <c r="BV74" s="0" t="n">
        <v>1</v>
      </c>
      <c r="BW74" s="0" t="n">
        <v>2.0922</v>
      </c>
      <c r="BX74" s="0" t="n">
        <v>2.264056333</v>
      </c>
      <c r="BY74" s="0" t="n">
        <v>1.06685</v>
      </c>
      <c r="BZ74" s="0" t="n">
        <v>1.2885</v>
      </c>
      <c r="CA74" s="0" t="n">
        <v>2.001</v>
      </c>
      <c r="CB74" s="0" t="n">
        <v>1.499005</v>
      </c>
      <c r="CC74" s="0" t="n">
        <v>1.499005</v>
      </c>
      <c r="CD74" s="0" t="n">
        <v>1.252905</v>
      </c>
      <c r="CE74" s="0" t="n">
        <v>1.066555</v>
      </c>
      <c r="CF74" s="0" t="n">
        <v>1.413405</v>
      </c>
      <c r="CG74" s="188"/>
      <c r="CH74" s="0" t="n">
        <v>1.09561</v>
      </c>
      <c r="CI74" s="188"/>
      <c r="CJ74" s="188"/>
      <c r="CK74" s="188"/>
      <c r="CL74" s="188"/>
      <c r="CM74" s="188"/>
      <c r="CN74" s="188"/>
      <c r="CO74" s="188"/>
      <c r="CP74" s="0" t="n">
        <v>0.955</v>
      </c>
      <c r="CQ74" s="0" t="n">
        <v>0.9</v>
      </c>
      <c r="CR74" s="0" t="n">
        <v>0.91</v>
      </c>
      <c r="CS74" s="0" t="n">
        <v>0.94</v>
      </c>
      <c r="CT74" s="0" t="n">
        <v>0.99895</v>
      </c>
      <c r="CU74" s="0" t="n">
        <v>0.46</v>
      </c>
      <c r="CV74" s="0" t="n">
        <v>0.45</v>
      </c>
      <c r="CW74" s="0" t="n">
        <v>0.925</v>
      </c>
      <c r="CX74" s="0" t="n">
        <v>0.575</v>
      </c>
      <c r="CY74" s="0" t="n">
        <v>0.505</v>
      </c>
      <c r="CZ74" s="0" t="n">
        <v>0.805</v>
      </c>
      <c r="DA74" s="0" t="n">
        <v>0.8375</v>
      </c>
      <c r="DB74" s="0" t="n">
        <v>0.875</v>
      </c>
      <c r="DC74" s="0" t="n">
        <v>0.9025</v>
      </c>
      <c r="DD74" s="0" t="n">
        <v>0.82</v>
      </c>
      <c r="DE74" s="0" t="n">
        <v>0.89</v>
      </c>
      <c r="DF74" s="0" t="n">
        <v>0.985</v>
      </c>
      <c r="DG74" s="0" t="n">
        <v>0.98</v>
      </c>
      <c r="DH74" s="0" t="n">
        <v>0.99</v>
      </c>
      <c r="DI74" s="0" t="n">
        <v>0.9775</v>
      </c>
      <c r="DN74" s="188" t="n">
        <v>0.000285</v>
      </c>
      <c r="DO74" s="188" t="n">
        <v>0.0002</v>
      </c>
      <c r="DP74" s="188" t="n">
        <v>0</v>
      </c>
      <c r="DQ74" s="188" t="n">
        <v>0.0001</v>
      </c>
      <c r="DR74" s="188" t="n">
        <v>0</v>
      </c>
      <c r="DS74" s="188" t="n">
        <v>0.0036</v>
      </c>
      <c r="DT74" s="188" t="n">
        <v>0.00047</v>
      </c>
      <c r="DU74" s="188" t="n">
        <v>0.0007</v>
      </c>
      <c r="DV74" s="188" t="n">
        <v>0</v>
      </c>
      <c r="DW74" s="188" t="n">
        <v>0</v>
      </c>
      <c r="DX74" s="188" t="n">
        <v>0.0005</v>
      </c>
      <c r="DY74" s="188" t="n">
        <v>0.0005</v>
      </c>
      <c r="DZ74" s="188" t="n">
        <v>0.0003</v>
      </c>
      <c r="EA74" s="188" t="n">
        <v>0.000275</v>
      </c>
      <c r="EB74" s="188" t="n">
        <v>0.0004</v>
      </c>
      <c r="ED74" s="188" t="n">
        <v>6.5E-005</v>
      </c>
      <c r="EF74" s="0" t="n">
        <v>1</v>
      </c>
    </row>
    <row r="75" customFormat="false" ht="12.75" hidden="false" customHeight="false" outlineLevel="0" collapsed="false">
      <c r="A75" s="149" t="n">
        <v>38657</v>
      </c>
      <c r="B75" s="0" t="n">
        <v>0.98</v>
      </c>
      <c r="C75" s="0" t="n">
        <v>0.988</v>
      </c>
      <c r="D75" s="0" t="n">
        <v>0.965</v>
      </c>
      <c r="E75" s="0" t="n">
        <f aca="false">E63</f>
        <v>0.994</v>
      </c>
      <c r="F75" s="0" t="n">
        <v>0.977</v>
      </c>
      <c r="G75" s="0" t="n">
        <v>0.9875</v>
      </c>
      <c r="H75" s="0" t="n">
        <v>0.9875</v>
      </c>
      <c r="I75" s="0" t="n">
        <v>0.96613275</v>
      </c>
      <c r="J75" s="0" t="n">
        <v>0.6893475</v>
      </c>
      <c r="K75" s="0" t="n">
        <v>0.970485</v>
      </c>
      <c r="L75" s="176" t="n">
        <v>0.9875</v>
      </c>
      <c r="M75" s="176" t="n">
        <v>0.9875</v>
      </c>
      <c r="N75" s="0" t="n">
        <v>0.98</v>
      </c>
      <c r="O75" s="0" t="n">
        <v>0.962814075</v>
      </c>
      <c r="P75" s="0" t="n">
        <v>0.98</v>
      </c>
      <c r="Q75" s="177" t="n">
        <v>0.9875</v>
      </c>
      <c r="R75" s="0" t="n">
        <v>0.9875</v>
      </c>
      <c r="S75" s="176" t="n">
        <v>0.9875</v>
      </c>
      <c r="T75" s="0" t="n">
        <v>0.98</v>
      </c>
      <c r="U75" s="0" t="n">
        <v>0.98</v>
      </c>
      <c r="V75" s="0" t="n">
        <v>0.98</v>
      </c>
      <c r="W75" s="0" t="n">
        <v>0.98</v>
      </c>
      <c r="X75" s="0" t="n">
        <v>0.962814075</v>
      </c>
      <c r="Y75" s="0" t="n">
        <v>0.962814075</v>
      </c>
      <c r="Z75" s="0" t="n">
        <v>0.962814075</v>
      </c>
      <c r="AA75" s="0" t="n">
        <v>0.962814075</v>
      </c>
      <c r="AB75" s="0" t="n">
        <v>0.98</v>
      </c>
      <c r="AC75" s="0" t="n">
        <v>0.98</v>
      </c>
      <c r="AD75" s="0" t="n">
        <v>0.962814075</v>
      </c>
      <c r="AE75" s="0" t="n">
        <v>0.962814075</v>
      </c>
      <c r="AF75" s="0" t="n">
        <v>0.98</v>
      </c>
      <c r="AG75" s="0" t="n">
        <v>0.99</v>
      </c>
      <c r="AH75" s="0" t="n">
        <v>0.97515075</v>
      </c>
      <c r="AI75" s="0" t="n">
        <v>0.97515075</v>
      </c>
      <c r="AJ75" s="0" t="n">
        <v>0.98</v>
      </c>
      <c r="AK75" s="0" t="n">
        <v>1</v>
      </c>
      <c r="AL75" s="0" t="n">
        <v>0.970485</v>
      </c>
      <c r="AM75" s="0" t="n">
        <v>0.97443</v>
      </c>
      <c r="AN75" s="177" t="n">
        <v>0.9958</v>
      </c>
      <c r="AO75" s="177" t="n">
        <v>0.97</v>
      </c>
      <c r="AP75" s="177" t="n">
        <v>0.99</v>
      </c>
      <c r="AQ75" s="0" t="n">
        <v>0.97443</v>
      </c>
      <c r="AR75" s="0" t="n">
        <v>0.97515075</v>
      </c>
      <c r="AS75" s="0" t="n">
        <v>0.977</v>
      </c>
      <c r="AT75" s="177" t="n">
        <v>0.9775</v>
      </c>
      <c r="AU75" s="0" t="n">
        <v>0.97515075</v>
      </c>
      <c r="AV75" s="0" t="n">
        <v>0.97443</v>
      </c>
      <c r="AW75" s="0" t="n">
        <v>0.97443</v>
      </c>
      <c r="AX75" s="0" t="n">
        <v>0.97443</v>
      </c>
      <c r="AY75" s="0" t="n">
        <v>0.97515075</v>
      </c>
      <c r="AZ75" s="0" t="n">
        <v>0.97515075</v>
      </c>
      <c r="BA75" s="0" t="n">
        <v>0.97443</v>
      </c>
      <c r="BB75" s="187" t="n">
        <v>1</v>
      </c>
      <c r="BC75" s="0" t="n">
        <v>1</v>
      </c>
      <c r="BD75" s="0" t="n">
        <v>1</v>
      </c>
      <c r="BE75" s="0" t="n">
        <v>1</v>
      </c>
      <c r="BF75" s="0" t="n">
        <v>0.9999</v>
      </c>
      <c r="BG75" s="0" t="n">
        <v>1</v>
      </c>
      <c r="BH75" s="0" t="n">
        <v>1</v>
      </c>
      <c r="BI75" s="0" t="n">
        <v>0.99</v>
      </c>
      <c r="BJ75" s="0" t="n">
        <v>0.999</v>
      </c>
      <c r="BK75" s="0" t="n">
        <v>0.998</v>
      </c>
      <c r="BL75" s="0" t="n">
        <v>0.9985</v>
      </c>
      <c r="BM75" s="0" t="n">
        <v>0.9985</v>
      </c>
      <c r="BN75" s="0" t="n">
        <v>0.972</v>
      </c>
      <c r="BO75" s="0" t="n">
        <v>0.9999</v>
      </c>
      <c r="BP75" s="0" t="n">
        <v>0.9999</v>
      </c>
      <c r="BQ75" s="0" t="n">
        <v>1</v>
      </c>
      <c r="BR75" s="0" t="n">
        <v>1.0838126</v>
      </c>
      <c r="BS75" s="0" t="n">
        <v>1.103</v>
      </c>
      <c r="BT75" s="0" t="n">
        <v>1.0827</v>
      </c>
      <c r="BU75" s="0" t="n">
        <v>1.0118</v>
      </c>
      <c r="BV75" s="0" t="n">
        <v>1</v>
      </c>
      <c r="BW75" s="0" t="n">
        <v>2.0958</v>
      </c>
      <c r="BX75" s="0" t="n">
        <v>2.264526333</v>
      </c>
      <c r="BY75" s="0" t="n">
        <v>1.06755</v>
      </c>
      <c r="BZ75" s="0" t="n">
        <v>1.2885</v>
      </c>
      <c r="CA75" s="0" t="n">
        <v>2.001</v>
      </c>
      <c r="CB75" s="0" t="n">
        <v>1.499505</v>
      </c>
      <c r="CC75" s="0" t="n">
        <v>1.499505</v>
      </c>
      <c r="CD75" s="0" t="n">
        <v>1.253205</v>
      </c>
      <c r="CE75" s="0" t="n">
        <v>1.06683</v>
      </c>
      <c r="CF75" s="0" t="n">
        <v>1.413805</v>
      </c>
      <c r="CG75" s="188"/>
      <c r="CH75" s="0" t="n">
        <v>1.095675</v>
      </c>
      <c r="CI75" s="188"/>
      <c r="CJ75" s="188"/>
      <c r="CK75" s="188"/>
      <c r="CL75" s="188"/>
      <c r="CM75" s="188"/>
      <c r="CN75" s="188"/>
      <c r="CO75" s="188"/>
      <c r="CP75" s="0" t="n">
        <v>0.955</v>
      </c>
      <c r="CQ75" s="0" t="n">
        <v>0.9</v>
      </c>
      <c r="CR75" s="0" t="n">
        <v>0.9</v>
      </c>
      <c r="CS75" s="0" t="n">
        <v>0.94</v>
      </c>
      <c r="CT75" s="0" t="n">
        <v>0.999</v>
      </c>
      <c r="CU75" s="0" t="n">
        <v>0.48</v>
      </c>
      <c r="CV75" s="0" t="n">
        <v>0.46</v>
      </c>
      <c r="CW75" s="0" t="n">
        <v>0.905</v>
      </c>
      <c r="CX75" s="0" t="n">
        <v>0.535</v>
      </c>
      <c r="CY75" s="0" t="n">
        <v>0.485</v>
      </c>
      <c r="CZ75" s="0" t="n">
        <v>0.795</v>
      </c>
      <c r="DA75" s="0" t="n">
        <v>0.8275</v>
      </c>
      <c r="DB75" s="0" t="n">
        <v>0.85</v>
      </c>
      <c r="DC75" s="0" t="n">
        <v>0.9025</v>
      </c>
      <c r="DD75" s="0" t="n">
        <v>0.82</v>
      </c>
      <c r="DE75" s="0" t="n">
        <v>0.89</v>
      </c>
      <c r="DF75" s="0" t="n">
        <v>0.985</v>
      </c>
      <c r="DG75" s="0" t="n">
        <v>0.97</v>
      </c>
      <c r="DH75" s="0" t="n">
        <v>0.99</v>
      </c>
      <c r="DI75" s="0" t="n">
        <v>0.9775</v>
      </c>
      <c r="DN75" s="188" t="n">
        <v>0.000285</v>
      </c>
      <c r="DO75" s="188" t="n">
        <v>0.0002</v>
      </c>
      <c r="DP75" s="188" t="n">
        <v>0</v>
      </c>
      <c r="DQ75" s="188" t="n">
        <v>0.0001</v>
      </c>
      <c r="DR75" s="188" t="n">
        <v>0</v>
      </c>
      <c r="DS75" s="188" t="n">
        <v>0.0036</v>
      </c>
      <c r="DT75" s="188" t="n">
        <v>0.00047</v>
      </c>
      <c r="DU75" s="188" t="n">
        <v>0.0007</v>
      </c>
      <c r="DV75" s="188" t="n">
        <v>0</v>
      </c>
      <c r="DW75" s="188" t="n">
        <v>0</v>
      </c>
      <c r="DX75" s="188" t="n">
        <v>0.0005</v>
      </c>
      <c r="DY75" s="188" t="n">
        <v>0.0005</v>
      </c>
      <c r="DZ75" s="188" t="n">
        <v>0.0003</v>
      </c>
      <c r="EA75" s="188" t="n">
        <v>0.000275</v>
      </c>
      <c r="EB75" s="188" t="n">
        <v>0.0004</v>
      </c>
      <c r="ED75" s="188" t="n">
        <v>6.5E-005</v>
      </c>
      <c r="EF75" s="0" t="n">
        <v>1</v>
      </c>
    </row>
    <row r="76" customFormat="false" ht="12.75" hidden="false" customHeight="false" outlineLevel="0" collapsed="false">
      <c r="A76" s="149" t="n">
        <v>38687</v>
      </c>
      <c r="B76" s="0" t="n">
        <v>0.98</v>
      </c>
      <c r="C76" s="0" t="n">
        <v>0.981848</v>
      </c>
      <c r="D76" s="0" t="n">
        <v>0.965</v>
      </c>
      <c r="E76" s="0" t="n">
        <f aca="false">E64</f>
        <v>0.994</v>
      </c>
      <c r="F76" s="0" t="n">
        <v>0.977</v>
      </c>
      <c r="G76" s="0" t="n">
        <v>0.9875</v>
      </c>
      <c r="H76" s="0" t="n">
        <v>0.9875</v>
      </c>
      <c r="I76" s="0" t="n">
        <v>0.93471875</v>
      </c>
      <c r="J76" s="0" t="n">
        <v>0.69579</v>
      </c>
      <c r="K76" s="0" t="n">
        <v>0.970485</v>
      </c>
      <c r="L76" s="176" t="n">
        <v>0.88500295</v>
      </c>
      <c r="M76" s="176" t="n">
        <v>0.933753112</v>
      </c>
      <c r="N76" s="0" t="n">
        <v>0.86491845</v>
      </c>
      <c r="O76" s="0" t="n">
        <v>0.952391213</v>
      </c>
      <c r="P76" s="0" t="n">
        <v>0.86491845</v>
      </c>
      <c r="Q76" s="177" t="n">
        <v>0.88500295</v>
      </c>
      <c r="R76" s="0" t="n">
        <v>0.88500295</v>
      </c>
      <c r="S76" s="176" t="n">
        <v>0.88500295</v>
      </c>
      <c r="T76" s="0" t="n">
        <v>0.86491845</v>
      </c>
      <c r="U76" s="0" t="n">
        <v>0.86491845</v>
      </c>
      <c r="V76" s="0" t="n">
        <v>0.86491845</v>
      </c>
      <c r="W76" s="0" t="n">
        <v>0.86491845</v>
      </c>
      <c r="X76" s="0" t="n">
        <v>0.952391213</v>
      </c>
      <c r="Y76" s="0" t="n">
        <v>0.952391213</v>
      </c>
      <c r="Z76" s="0" t="n">
        <v>0.952391213</v>
      </c>
      <c r="AA76" s="0" t="n">
        <v>0.952391213</v>
      </c>
      <c r="AB76" s="0" t="n">
        <v>0.86491845</v>
      </c>
      <c r="AC76" s="0" t="n">
        <v>0.86491845</v>
      </c>
      <c r="AD76" s="0" t="n">
        <v>0.952391213</v>
      </c>
      <c r="AE76" s="0" t="n">
        <v>0.952391213</v>
      </c>
      <c r="AF76" s="0" t="n">
        <v>0.86491845</v>
      </c>
      <c r="AG76" s="0" t="n">
        <v>0.98</v>
      </c>
      <c r="AH76" s="0" t="n">
        <v>0.9752086</v>
      </c>
      <c r="AI76" s="0" t="n">
        <v>0.9752086</v>
      </c>
      <c r="AJ76" s="0" t="n">
        <v>0.86491845</v>
      </c>
      <c r="AK76" s="0" t="n">
        <v>1</v>
      </c>
      <c r="AL76" s="0" t="n">
        <v>0.970485</v>
      </c>
      <c r="AM76" s="0" t="n">
        <v>0.952776</v>
      </c>
      <c r="AN76" s="177" t="n">
        <v>0.9958</v>
      </c>
      <c r="AO76" s="177" t="n">
        <v>0.97</v>
      </c>
      <c r="AP76" s="177" t="n">
        <v>0.99</v>
      </c>
      <c r="AQ76" s="0" t="n">
        <v>0.952776</v>
      </c>
      <c r="AR76" s="0" t="n">
        <v>0.9752086</v>
      </c>
      <c r="AS76" s="0" t="n">
        <v>0.977</v>
      </c>
      <c r="AT76" s="177" t="n">
        <v>0.9775</v>
      </c>
      <c r="AU76" s="0" t="n">
        <v>0.9752086</v>
      </c>
      <c r="AV76" s="0" t="n">
        <v>0.952776</v>
      </c>
      <c r="AW76" s="0" t="n">
        <v>0.952776</v>
      </c>
      <c r="AX76" s="0" t="n">
        <v>0.952776</v>
      </c>
      <c r="AY76" s="0" t="n">
        <v>0.9752086</v>
      </c>
      <c r="AZ76" s="0" t="n">
        <v>0.9752086</v>
      </c>
      <c r="BA76" s="0" t="n">
        <v>0.952776</v>
      </c>
      <c r="BB76" s="187" t="n">
        <v>1</v>
      </c>
      <c r="BC76" s="0" t="n">
        <v>1</v>
      </c>
      <c r="BD76" s="0" t="n">
        <v>1</v>
      </c>
      <c r="BE76" s="0" t="n">
        <v>1</v>
      </c>
      <c r="BF76" s="0" t="n">
        <v>0.9999</v>
      </c>
      <c r="BG76" s="0" t="n">
        <v>1</v>
      </c>
      <c r="BH76" s="0" t="n">
        <v>1</v>
      </c>
      <c r="BI76" s="0" t="n">
        <v>0.99</v>
      </c>
      <c r="BJ76" s="0" t="n">
        <v>0.999</v>
      </c>
      <c r="BK76" s="0" t="n">
        <v>0.998</v>
      </c>
      <c r="BL76" s="0" t="n">
        <v>0.9985</v>
      </c>
      <c r="BM76" s="0" t="n">
        <v>0.9985</v>
      </c>
      <c r="BN76" s="0" t="n">
        <v>0.972</v>
      </c>
      <c r="BO76" s="0" t="n">
        <v>0.9999</v>
      </c>
      <c r="BP76" s="0" t="n">
        <v>0.9999</v>
      </c>
      <c r="BQ76" s="0" t="n">
        <v>1</v>
      </c>
      <c r="BR76" s="0" t="n">
        <v>1.0840976</v>
      </c>
      <c r="BS76" s="0" t="n">
        <v>1.1032</v>
      </c>
      <c r="BT76" s="0" t="n">
        <v>1.0827</v>
      </c>
      <c r="BU76" s="0" t="n">
        <v>1.0119</v>
      </c>
      <c r="BV76" s="0" t="n">
        <v>1</v>
      </c>
      <c r="BW76" s="0" t="n">
        <v>2.0994</v>
      </c>
      <c r="BX76" s="0" t="n">
        <v>2.264996333</v>
      </c>
      <c r="BY76" s="0" t="n">
        <v>1.06825</v>
      </c>
      <c r="BZ76" s="0" t="n">
        <v>1.2885</v>
      </c>
      <c r="CA76" s="0" t="n">
        <v>2.001</v>
      </c>
      <c r="CB76" s="0" t="n">
        <v>1.500005</v>
      </c>
      <c r="CC76" s="0" t="n">
        <v>1.500005</v>
      </c>
      <c r="CD76" s="0" t="n">
        <v>1.253505</v>
      </c>
      <c r="CE76" s="0" t="n">
        <v>1.067105</v>
      </c>
      <c r="CF76" s="0" t="n">
        <v>1.414205</v>
      </c>
      <c r="CG76" s="188"/>
      <c r="CH76" s="0" t="n">
        <v>1.09574</v>
      </c>
      <c r="CI76" s="188"/>
      <c r="CJ76" s="188"/>
      <c r="CK76" s="188"/>
      <c r="CL76" s="188"/>
      <c r="CM76" s="188"/>
      <c r="CN76" s="188"/>
      <c r="CO76" s="188"/>
      <c r="CP76" s="0" t="n">
        <v>0.935</v>
      </c>
      <c r="CQ76" s="0" t="n">
        <v>0.89</v>
      </c>
      <c r="CR76" s="0" t="n">
        <v>0.88</v>
      </c>
      <c r="CS76" s="0" t="n">
        <v>0.92</v>
      </c>
      <c r="CT76" s="0" t="n">
        <v>0.999</v>
      </c>
      <c r="CU76" s="0" t="n">
        <v>0.51</v>
      </c>
      <c r="CV76" s="0" t="n">
        <v>0.48</v>
      </c>
      <c r="CW76" s="0" t="n">
        <v>0.875</v>
      </c>
      <c r="CX76" s="0" t="n">
        <v>0.54</v>
      </c>
      <c r="CY76" s="0" t="n">
        <v>0.485</v>
      </c>
      <c r="CZ76" s="0" t="n">
        <v>0.59</v>
      </c>
      <c r="DA76" s="0" t="n">
        <v>0.6225</v>
      </c>
      <c r="DB76" s="0" t="n">
        <v>0.69</v>
      </c>
      <c r="DC76" s="0" t="n">
        <v>0.8925</v>
      </c>
      <c r="DD76" s="0" t="n">
        <v>0.715</v>
      </c>
      <c r="DE76" s="0" t="n">
        <v>0.89</v>
      </c>
      <c r="DF76" s="0" t="n">
        <v>0.985</v>
      </c>
      <c r="DG76" s="0" t="n">
        <v>0.97</v>
      </c>
      <c r="DH76" s="0" t="n">
        <v>0.99</v>
      </c>
      <c r="DI76" s="0" t="n">
        <v>0.9775</v>
      </c>
      <c r="DN76" s="188" t="n">
        <v>0.000285</v>
      </c>
      <c r="DO76" s="188" t="n">
        <v>0.0002</v>
      </c>
      <c r="DP76" s="188" t="n">
        <v>0</v>
      </c>
      <c r="DQ76" s="188" t="n">
        <v>0.0001</v>
      </c>
      <c r="DR76" s="188" t="n">
        <v>0</v>
      </c>
      <c r="DS76" s="188" t="n">
        <v>0.0036</v>
      </c>
      <c r="DT76" s="188" t="n">
        <v>0.00047</v>
      </c>
      <c r="DU76" s="188" t="n">
        <v>0.0007</v>
      </c>
      <c r="DV76" s="188" t="n">
        <v>0</v>
      </c>
      <c r="DW76" s="188" t="n">
        <v>0</v>
      </c>
      <c r="DX76" s="188" t="n">
        <v>0.0005</v>
      </c>
      <c r="DY76" s="188" t="n">
        <v>0.0005</v>
      </c>
      <c r="DZ76" s="188" t="n">
        <v>0.0003</v>
      </c>
      <c r="EA76" s="188" t="n">
        <v>0.000275</v>
      </c>
      <c r="EB76" s="188" t="n">
        <v>0.0004</v>
      </c>
      <c r="ED76" s="188" t="n">
        <v>6.5E-005</v>
      </c>
      <c r="EF76" s="0" t="n">
        <v>1</v>
      </c>
    </row>
    <row r="77" customFormat="false" ht="12.75" hidden="false" customHeight="false" outlineLevel="0" collapsed="false">
      <c r="A77" s="149" t="n">
        <v>38718</v>
      </c>
      <c r="B77" s="0" t="n">
        <v>0.98</v>
      </c>
      <c r="C77" s="0" t="n">
        <v>0.948924</v>
      </c>
      <c r="D77" s="0" t="n">
        <v>0.965</v>
      </c>
      <c r="E77" s="0" t="n">
        <f aca="false">E65</f>
        <v>0.994</v>
      </c>
      <c r="F77" s="0" t="n">
        <v>0.977</v>
      </c>
      <c r="G77" s="0" t="n">
        <v>0.9875</v>
      </c>
      <c r="H77" s="0" t="n">
        <v>0.9875</v>
      </c>
      <c r="I77" s="0" t="n">
        <v>0.86050475</v>
      </c>
      <c r="J77" s="0" t="n">
        <v>0.708675</v>
      </c>
      <c r="K77" s="0" t="n">
        <v>0.985</v>
      </c>
      <c r="L77" s="176" t="n">
        <v>0.907805525</v>
      </c>
      <c r="M77" s="176" t="n">
        <v>0.956571937</v>
      </c>
      <c r="N77" s="0" t="n">
        <v>0.86512545</v>
      </c>
      <c r="O77" s="0" t="n">
        <v>0.9392944</v>
      </c>
      <c r="P77" s="0" t="n">
        <v>0.86512545</v>
      </c>
      <c r="Q77" s="177" t="n">
        <v>0.907805525</v>
      </c>
      <c r="R77" s="0" t="n">
        <v>0.907805525</v>
      </c>
      <c r="S77" s="176" t="n">
        <v>0.907805525</v>
      </c>
      <c r="T77" s="0" t="n">
        <v>0.86512545</v>
      </c>
      <c r="U77" s="0" t="n">
        <v>0.86512545</v>
      </c>
      <c r="V77" s="0" t="n">
        <v>0.86512545</v>
      </c>
      <c r="W77" s="0" t="n">
        <v>0.86512545</v>
      </c>
      <c r="X77" s="0" t="n">
        <v>0.9392944</v>
      </c>
      <c r="Y77" s="0" t="n">
        <v>0.9392944</v>
      </c>
      <c r="Z77" s="0" t="n">
        <v>0.9392944</v>
      </c>
      <c r="AA77" s="0" t="n">
        <v>0.9392944</v>
      </c>
      <c r="AB77" s="0" t="n">
        <v>0.86512545</v>
      </c>
      <c r="AC77" s="0" t="n">
        <v>0.86512545</v>
      </c>
      <c r="AD77" s="0" t="n">
        <v>0.9392944</v>
      </c>
      <c r="AE77" s="0" t="n">
        <v>0.9392944</v>
      </c>
      <c r="AF77" s="0" t="n">
        <v>0.86512545</v>
      </c>
      <c r="AG77" s="0" t="n">
        <v>0.98</v>
      </c>
      <c r="AH77" s="0" t="n">
        <v>0.97526645</v>
      </c>
      <c r="AI77" s="0" t="n">
        <v>0.97526645</v>
      </c>
      <c r="AJ77" s="0" t="n">
        <v>0.86512545</v>
      </c>
      <c r="AK77" s="0" t="n">
        <v>1</v>
      </c>
      <c r="AL77" s="0" t="n">
        <v>0.985</v>
      </c>
      <c r="AM77" s="0" t="n">
        <v>0.941949</v>
      </c>
      <c r="AN77" s="177" t="n">
        <v>0.9958</v>
      </c>
      <c r="AO77" s="177" t="n">
        <v>0.96</v>
      </c>
      <c r="AP77" s="177" t="n">
        <v>0.99</v>
      </c>
      <c r="AQ77" s="0" t="n">
        <v>0.941949</v>
      </c>
      <c r="AR77" s="0" t="n">
        <v>0.97526645</v>
      </c>
      <c r="AS77" s="0" t="n">
        <v>0.977</v>
      </c>
      <c r="AT77" s="177" t="n">
        <v>0.9775</v>
      </c>
      <c r="AU77" s="0" t="n">
        <v>0.97526645</v>
      </c>
      <c r="AV77" s="0" t="n">
        <v>0.941949</v>
      </c>
      <c r="AW77" s="0" t="n">
        <v>0.941949</v>
      </c>
      <c r="AX77" s="0" t="n">
        <v>0.941949</v>
      </c>
      <c r="AY77" s="0" t="n">
        <v>0.97526645</v>
      </c>
      <c r="AZ77" s="0" t="n">
        <v>0.97526645</v>
      </c>
      <c r="BA77" s="0" t="n">
        <v>0.941949</v>
      </c>
      <c r="BB77" s="187" t="n">
        <v>1</v>
      </c>
      <c r="BC77" s="0" t="n">
        <v>1</v>
      </c>
      <c r="BD77" s="0" t="n">
        <v>1</v>
      </c>
      <c r="BE77" s="0" t="n">
        <v>1</v>
      </c>
      <c r="BF77" s="0" t="n">
        <v>0.9999</v>
      </c>
      <c r="BG77" s="0" t="n">
        <v>1</v>
      </c>
      <c r="BH77" s="0" t="n">
        <v>1</v>
      </c>
      <c r="BI77" s="0" t="n">
        <v>0.99</v>
      </c>
      <c r="BJ77" s="0" t="n">
        <v>0.999</v>
      </c>
      <c r="BK77" s="0" t="n">
        <v>0.998</v>
      </c>
      <c r="BL77" s="0" t="n">
        <v>0.9985</v>
      </c>
      <c r="BM77" s="0" t="n">
        <v>0.9985</v>
      </c>
      <c r="BN77" s="0" t="n">
        <v>0.972</v>
      </c>
      <c r="BO77" s="0" t="n">
        <v>0.9999</v>
      </c>
      <c r="BP77" s="0" t="n">
        <v>0.9999</v>
      </c>
      <c r="BQ77" s="0" t="n">
        <v>1</v>
      </c>
      <c r="BR77" s="0" t="n">
        <v>1.0843826</v>
      </c>
      <c r="BS77" s="0" t="n">
        <v>1.1034</v>
      </c>
      <c r="BT77" s="0" t="n">
        <v>1.0827</v>
      </c>
      <c r="BU77" s="0" t="n">
        <v>1.012</v>
      </c>
      <c r="BV77" s="0" t="n">
        <v>1</v>
      </c>
      <c r="BW77" s="0" t="n">
        <v>2.103</v>
      </c>
      <c r="BX77" s="0" t="n">
        <v>2.265466333</v>
      </c>
      <c r="BY77" s="0" t="n">
        <v>1.06895</v>
      </c>
      <c r="BZ77" s="0" t="n">
        <v>1.2885</v>
      </c>
      <c r="CA77" s="0" t="n">
        <v>2.001</v>
      </c>
      <c r="CB77" s="0" t="n">
        <v>1.500505</v>
      </c>
      <c r="CC77" s="0" t="n">
        <v>1.500505</v>
      </c>
      <c r="CD77" s="0" t="n">
        <v>1.253805</v>
      </c>
      <c r="CE77" s="0" t="n">
        <v>1.06738</v>
      </c>
      <c r="CF77" s="0" t="n">
        <v>1.414605</v>
      </c>
      <c r="CG77" s="188"/>
      <c r="CH77" s="0" t="n">
        <v>1.095805</v>
      </c>
      <c r="CI77" s="188"/>
      <c r="CJ77" s="188"/>
      <c r="CK77" s="188"/>
      <c r="CL77" s="188"/>
      <c r="CM77" s="188"/>
      <c r="CN77" s="188"/>
      <c r="CO77" s="188"/>
      <c r="CP77" s="0" t="n">
        <v>0.895</v>
      </c>
      <c r="CQ77" s="0" t="n">
        <v>0.86</v>
      </c>
      <c r="CR77" s="0" t="n">
        <v>0.87</v>
      </c>
      <c r="CS77" s="0" t="n">
        <v>0.92</v>
      </c>
      <c r="CT77" s="0" t="n">
        <v>0.999</v>
      </c>
      <c r="CU77" s="0" t="n">
        <v>0.58</v>
      </c>
      <c r="CV77" s="0" t="n">
        <v>0.45</v>
      </c>
      <c r="CW77" s="0" t="n">
        <v>0.805</v>
      </c>
      <c r="CX77" s="0" t="n">
        <v>0.55</v>
      </c>
      <c r="CY77" s="0" t="n">
        <v>0.505</v>
      </c>
      <c r="CZ77" s="0" t="n">
        <v>0.605</v>
      </c>
      <c r="DA77" s="0" t="n">
        <v>0.6375</v>
      </c>
      <c r="DB77" s="0" t="n">
        <v>0.69</v>
      </c>
      <c r="DC77" s="0" t="n">
        <v>0.88</v>
      </c>
      <c r="DD77" s="0" t="n">
        <v>0.64</v>
      </c>
      <c r="DE77" s="0" t="n">
        <v>0.89</v>
      </c>
      <c r="DF77" s="0" t="n">
        <v>0.985</v>
      </c>
      <c r="DG77" s="0" t="n">
        <v>0.96</v>
      </c>
      <c r="DH77" s="0" t="n">
        <v>0.99</v>
      </c>
      <c r="DI77" s="0" t="n">
        <v>0.9775</v>
      </c>
      <c r="DN77" s="188" t="n">
        <v>0.000285</v>
      </c>
      <c r="DO77" s="188" t="n">
        <v>0.0002</v>
      </c>
      <c r="DP77" s="188" t="n">
        <v>0</v>
      </c>
      <c r="DQ77" s="188" t="n">
        <v>0.0001</v>
      </c>
      <c r="DR77" s="188" t="n">
        <v>0</v>
      </c>
      <c r="DS77" s="188" t="n">
        <v>0.0036</v>
      </c>
      <c r="DT77" s="188" t="n">
        <v>0.00047</v>
      </c>
      <c r="DU77" s="188" t="n">
        <v>0.0007</v>
      </c>
      <c r="DV77" s="188" t="n">
        <v>0</v>
      </c>
      <c r="DW77" s="188" t="n">
        <v>0</v>
      </c>
      <c r="DX77" s="188" t="n">
        <v>0.0005</v>
      </c>
      <c r="DY77" s="188" t="n">
        <v>0.0005</v>
      </c>
      <c r="DZ77" s="188" t="n">
        <v>0.0003</v>
      </c>
      <c r="EA77" s="188" t="n">
        <v>0.000275</v>
      </c>
      <c r="EB77" s="188" t="n">
        <v>0.0004</v>
      </c>
      <c r="ED77" s="188" t="n">
        <v>6.5E-005</v>
      </c>
      <c r="EF77" s="0" t="n">
        <v>1</v>
      </c>
    </row>
    <row r="78" customFormat="false" ht="12.75" hidden="false" customHeight="false" outlineLevel="0" collapsed="false">
      <c r="A78" s="149" t="n">
        <v>38749</v>
      </c>
      <c r="B78" s="0" t="n">
        <v>0.98</v>
      </c>
      <c r="C78" s="0" t="n">
        <v>0.949096</v>
      </c>
      <c r="D78" s="0" t="n">
        <v>0.965</v>
      </c>
      <c r="E78" s="0" t="n">
        <f aca="false">E66</f>
        <v>0.994</v>
      </c>
      <c r="F78" s="0" t="n">
        <v>0.977</v>
      </c>
      <c r="G78" s="0" t="n">
        <v>0.9875</v>
      </c>
      <c r="H78" s="0" t="n">
        <v>0.9875</v>
      </c>
      <c r="I78" s="0" t="n">
        <v>0.90385425</v>
      </c>
      <c r="J78" s="0" t="n">
        <v>0.8439675</v>
      </c>
      <c r="K78" s="0" t="n">
        <v>0.985</v>
      </c>
      <c r="L78" s="176" t="n">
        <v>0.953138175</v>
      </c>
      <c r="M78" s="176" t="n">
        <v>0.9875</v>
      </c>
      <c r="N78" s="0" t="n">
        <v>0.89041455</v>
      </c>
      <c r="O78" s="0" t="n">
        <v>0.936867263</v>
      </c>
      <c r="P78" s="0" t="n">
        <v>0.89041455</v>
      </c>
      <c r="Q78" s="177" t="n">
        <v>0.953138175</v>
      </c>
      <c r="R78" s="0" t="n">
        <v>0.953138175</v>
      </c>
      <c r="S78" s="176" t="n">
        <v>0.953138175</v>
      </c>
      <c r="T78" s="0" t="n">
        <v>0.89041455</v>
      </c>
      <c r="U78" s="0" t="n">
        <v>0.89041455</v>
      </c>
      <c r="V78" s="0" t="n">
        <v>0.89041455</v>
      </c>
      <c r="W78" s="0" t="n">
        <v>0.89041455</v>
      </c>
      <c r="X78" s="0" t="n">
        <v>0.936867263</v>
      </c>
      <c r="Y78" s="0" t="n">
        <v>0.936867263</v>
      </c>
      <c r="Z78" s="0" t="n">
        <v>0.936867263</v>
      </c>
      <c r="AA78" s="0" t="n">
        <v>0.936867263</v>
      </c>
      <c r="AB78" s="0" t="n">
        <v>0.89041455</v>
      </c>
      <c r="AC78" s="0" t="n">
        <v>0.89041455</v>
      </c>
      <c r="AD78" s="0" t="n">
        <v>0.936867263</v>
      </c>
      <c r="AE78" s="0" t="n">
        <v>0.936867263</v>
      </c>
      <c r="AF78" s="0" t="n">
        <v>0.89041455</v>
      </c>
      <c r="AG78" s="0" t="n">
        <v>0.98</v>
      </c>
      <c r="AH78" s="0" t="n">
        <v>0.9753243</v>
      </c>
      <c r="AI78" s="0" t="n">
        <v>0.9753243</v>
      </c>
      <c r="AJ78" s="0" t="n">
        <v>0.89041455</v>
      </c>
      <c r="AK78" s="0" t="n">
        <v>1</v>
      </c>
      <c r="AL78" s="0" t="n">
        <v>0.985</v>
      </c>
      <c r="AM78" s="0" t="n">
        <v>0.963603</v>
      </c>
      <c r="AN78" s="177" t="n">
        <v>0.9958</v>
      </c>
      <c r="AO78" s="177" t="n">
        <v>0.97</v>
      </c>
      <c r="AP78" s="177" t="n">
        <v>0.99</v>
      </c>
      <c r="AQ78" s="0" t="n">
        <v>0.963603</v>
      </c>
      <c r="AR78" s="0" t="n">
        <v>0.9753243</v>
      </c>
      <c r="AS78" s="0" t="n">
        <v>0.977</v>
      </c>
      <c r="AT78" s="177" t="n">
        <v>0.9775</v>
      </c>
      <c r="AU78" s="0" t="n">
        <v>0.9753243</v>
      </c>
      <c r="AV78" s="0" t="n">
        <v>0.963603</v>
      </c>
      <c r="AW78" s="0" t="n">
        <v>0.963603</v>
      </c>
      <c r="AX78" s="0" t="n">
        <v>0.963603</v>
      </c>
      <c r="AY78" s="0" t="n">
        <v>0.9753243</v>
      </c>
      <c r="AZ78" s="0" t="n">
        <v>0.9753243</v>
      </c>
      <c r="BA78" s="0" t="n">
        <v>0.963603</v>
      </c>
      <c r="BB78" s="187" t="n">
        <v>1</v>
      </c>
      <c r="BC78" s="0" t="n">
        <v>1</v>
      </c>
      <c r="BD78" s="0" t="n">
        <v>1</v>
      </c>
      <c r="BE78" s="0" t="n">
        <v>1</v>
      </c>
      <c r="BF78" s="0" t="n">
        <v>0.9999</v>
      </c>
      <c r="BG78" s="0" t="n">
        <v>1</v>
      </c>
      <c r="BH78" s="0" t="n">
        <v>1</v>
      </c>
      <c r="BI78" s="0" t="n">
        <v>0.99</v>
      </c>
      <c r="BJ78" s="0" t="n">
        <v>0.999</v>
      </c>
      <c r="BK78" s="0" t="n">
        <v>0.998</v>
      </c>
      <c r="BL78" s="0" t="n">
        <v>0.9985</v>
      </c>
      <c r="BM78" s="0" t="n">
        <v>0.9985</v>
      </c>
      <c r="BN78" s="0" t="n">
        <v>0.972</v>
      </c>
      <c r="BO78" s="0" t="n">
        <v>0.9999</v>
      </c>
      <c r="BP78" s="0" t="n">
        <v>0.9999</v>
      </c>
      <c r="BQ78" s="0" t="n">
        <v>1</v>
      </c>
      <c r="BR78" s="0" t="n">
        <v>1.0846676</v>
      </c>
      <c r="BS78" s="0" t="n">
        <v>1.1036</v>
      </c>
      <c r="BT78" s="0" t="n">
        <v>1.0827</v>
      </c>
      <c r="BU78" s="0" t="n">
        <v>1.0121</v>
      </c>
      <c r="BV78" s="0" t="n">
        <v>1</v>
      </c>
      <c r="BW78" s="0" t="n">
        <v>2.1066</v>
      </c>
      <c r="BX78" s="0" t="n">
        <v>2.265936333</v>
      </c>
      <c r="BY78" s="0" t="n">
        <v>1.06965</v>
      </c>
      <c r="BZ78" s="0" t="n">
        <v>1.2885</v>
      </c>
      <c r="CA78" s="0" t="n">
        <v>2.001</v>
      </c>
      <c r="CB78" s="0" t="n">
        <v>1.501005</v>
      </c>
      <c r="CC78" s="0" t="n">
        <v>1.501005</v>
      </c>
      <c r="CD78" s="0" t="n">
        <v>1.254105</v>
      </c>
      <c r="CE78" s="0" t="n">
        <v>1.067655</v>
      </c>
      <c r="CF78" s="0" t="n">
        <v>1.415005</v>
      </c>
      <c r="CG78" s="188"/>
      <c r="CH78" s="0" t="n">
        <v>1.09587</v>
      </c>
      <c r="CI78" s="188"/>
      <c r="CJ78" s="188"/>
      <c r="CK78" s="188"/>
      <c r="CL78" s="188"/>
      <c r="CM78" s="188"/>
      <c r="CN78" s="188"/>
      <c r="CO78" s="188"/>
      <c r="CP78" s="0" t="n">
        <v>0.865</v>
      </c>
      <c r="CQ78" s="0" t="n">
        <v>0.86</v>
      </c>
      <c r="CR78" s="0" t="n">
        <v>0.89</v>
      </c>
      <c r="CS78" s="0" t="n">
        <v>0.935</v>
      </c>
      <c r="CT78" s="0" t="n">
        <v>0.99895</v>
      </c>
      <c r="CU78" s="0" t="n">
        <v>0.58</v>
      </c>
      <c r="CV78" s="0" t="n">
        <v>0.45</v>
      </c>
      <c r="CW78" s="0" t="n">
        <v>0.845</v>
      </c>
      <c r="CX78" s="0" t="n">
        <v>0.655</v>
      </c>
      <c r="CY78" s="0" t="n">
        <v>0.505</v>
      </c>
      <c r="CZ78" s="0" t="n">
        <v>0.635</v>
      </c>
      <c r="DA78" s="0" t="n">
        <v>0.6675</v>
      </c>
      <c r="DB78" s="0" t="n">
        <v>0.71</v>
      </c>
      <c r="DC78" s="0" t="n">
        <v>0.8775</v>
      </c>
      <c r="DD78" s="0" t="n">
        <v>0.67</v>
      </c>
      <c r="DE78" s="0" t="n">
        <v>0.89</v>
      </c>
      <c r="DF78" s="0" t="n">
        <v>0.985</v>
      </c>
      <c r="DG78" s="0" t="n">
        <v>0.97</v>
      </c>
      <c r="DH78" s="0" t="n">
        <v>0.99</v>
      </c>
      <c r="DI78" s="0" t="n">
        <v>0.9775</v>
      </c>
      <c r="DN78" s="188" t="n">
        <v>0.000285</v>
      </c>
      <c r="DO78" s="188" t="n">
        <v>0.0002</v>
      </c>
      <c r="DP78" s="188" t="n">
        <v>0</v>
      </c>
      <c r="DQ78" s="188" t="n">
        <v>0.0001</v>
      </c>
      <c r="DR78" s="188" t="n">
        <v>0</v>
      </c>
      <c r="DS78" s="188" t="n">
        <v>0.0036</v>
      </c>
      <c r="DT78" s="188" t="n">
        <v>0.00047</v>
      </c>
      <c r="DU78" s="188" t="n">
        <v>0.0007</v>
      </c>
      <c r="DV78" s="188" t="n">
        <v>0</v>
      </c>
      <c r="DW78" s="188" t="n">
        <v>0</v>
      </c>
      <c r="DX78" s="188" t="n">
        <v>0.0005</v>
      </c>
      <c r="DY78" s="188" t="n">
        <v>0.0005</v>
      </c>
      <c r="DZ78" s="188" t="n">
        <v>0.0003</v>
      </c>
      <c r="EA78" s="188" t="n">
        <v>0.000275</v>
      </c>
      <c r="EB78" s="188" t="n">
        <v>0.0004</v>
      </c>
      <c r="ED78" s="188" t="n">
        <v>6.5E-005</v>
      </c>
      <c r="EF78" s="0" t="n">
        <v>1</v>
      </c>
    </row>
    <row r="79" customFormat="false" ht="12.75" hidden="false" customHeight="false" outlineLevel="0" collapsed="false">
      <c r="A79" s="149" t="n">
        <v>38777</v>
      </c>
      <c r="B79" s="0" t="n">
        <v>0.98</v>
      </c>
      <c r="C79" s="0" t="n">
        <v>0.982382</v>
      </c>
      <c r="D79" s="0" t="n">
        <v>0.965</v>
      </c>
      <c r="E79" s="0" t="n">
        <f aca="false">E67</f>
        <v>0.994</v>
      </c>
      <c r="F79" s="0" t="n">
        <v>0.977</v>
      </c>
      <c r="G79" s="0" t="n">
        <v>0.9875</v>
      </c>
      <c r="H79" s="0" t="n">
        <v>0.9875</v>
      </c>
      <c r="I79" s="0" t="n">
        <v>0.93655625</v>
      </c>
      <c r="J79" s="0" t="n">
        <v>0.985</v>
      </c>
      <c r="K79" s="0" t="n">
        <v>0.985</v>
      </c>
      <c r="L79" s="176" t="n">
        <v>0.9875</v>
      </c>
      <c r="M79" s="176" t="n">
        <v>0.9875</v>
      </c>
      <c r="N79" s="0" t="n">
        <v>0.98</v>
      </c>
      <c r="O79" s="0" t="n">
        <v>0.961137</v>
      </c>
      <c r="P79" s="0" t="n">
        <v>0.98</v>
      </c>
      <c r="Q79" s="177" t="n">
        <v>0.9875</v>
      </c>
      <c r="R79" s="0" t="n">
        <v>0.9875</v>
      </c>
      <c r="S79" s="176" t="n">
        <v>0.9875</v>
      </c>
      <c r="T79" s="0" t="n">
        <v>0.98</v>
      </c>
      <c r="U79" s="0" t="n">
        <v>0.98</v>
      </c>
      <c r="V79" s="0" t="n">
        <v>0.98</v>
      </c>
      <c r="W79" s="0" t="n">
        <v>0.98</v>
      </c>
      <c r="X79" s="0" t="n">
        <v>0.961137</v>
      </c>
      <c r="Y79" s="0" t="n">
        <v>0.961137</v>
      </c>
      <c r="Z79" s="0" t="n">
        <v>0.961137</v>
      </c>
      <c r="AA79" s="0" t="n">
        <v>0.961137</v>
      </c>
      <c r="AB79" s="0" t="n">
        <v>0.98</v>
      </c>
      <c r="AC79" s="0" t="n">
        <v>0.98</v>
      </c>
      <c r="AD79" s="0" t="n">
        <v>0.961137</v>
      </c>
      <c r="AE79" s="0" t="n">
        <v>0.961137</v>
      </c>
      <c r="AF79" s="0" t="n">
        <v>0.98</v>
      </c>
      <c r="AG79" s="0" t="n">
        <v>0.99</v>
      </c>
      <c r="AH79" s="0" t="n">
        <v>0.97538215</v>
      </c>
      <c r="AI79" s="0" t="n">
        <v>0.97538215</v>
      </c>
      <c r="AJ79" s="0" t="n">
        <v>0.98</v>
      </c>
      <c r="AK79" s="0" t="n">
        <v>1</v>
      </c>
      <c r="AL79" s="0" t="n">
        <v>0.985</v>
      </c>
      <c r="AM79" s="0" t="n">
        <v>0.985</v>
      </c>
      <c r="AN79" s="177" t="n">
        <v>0.9958</v>
      </c>
      <c r="AO79" s="177" t="n">
        <v>0.97</v>
      </c>
      <c r="AP79" s="177" t="n">
        <v>0.99</v>
      </c>
      <c r="AQ79" s="0" t="n">
        <v>0.985</v>
      </c>
      <c r="AR79" s="0" t="n">
        <v>0.97538215</v>
      </c>
      <c r="AS79" s="0" t="n">
        <v>0.977</v>
      </c>
      <c r="AT79" s="177" t="n">
        <v>0.9775</v>
      </c>
      <c r="AU79" s="0" t="n">
        <v>0.97538215</v>
      </c>
      <c r="AV79" s="0" t="n">
        <v>0.985</v>
      </c>
      <c r="AW79" s="0" t="n">
        <v>0.985</v>
      </c>
      <c r="AX79" s="0" t="n">
        <v>0.985</v>
      </c>
      <c r="AY79" s="0" t="n">
        <v>0.97538215</v>
      </c>
      <c r="AZ79" s="0" t="n">
        <v>0.97538215</v>
      </c>
      <c r="BA79" s="0" t="n">
        <v>0.985</v>
      </c>
      <c r="BB79" s="187" t="n">
        <v>1</v>
      </c>
      <c r="BC79" s="0" t="n">
        <v>1</v>
      </c>
      <c r="BD79" s="0" t="n">
        <v>1</v>
      </c>
      <c r="BE79" s="0" t="n">
        <v>1</v>
      </c>
      <c r="BF79" s="0" t="n">
        <v>0.9999</v>
      </c>
      <c r="BG79" s="0" t="n">
        <v>1</v>
      </c>
      <c r="BH79" s="0" t="n">
        <v>1</v>
      </c>
      <c r="BI79" s="0" t="n">
        <v>0.99</v>
      </c>
      <c r="BJ79" s="0" t="n">
        <v>0.999</v>
      </c>
      <c r="BK79" s="0" t="n">
        <v>0.998</v>
      </c>
      <c r="BL79" s="0" t="n">
        <v>0.9985</v>
      </c>
      <c r="BM79" s="0" t="n">
        <v>0.9985</v>
      </c>
      <c r="BN79" s="0" t="n">
        <v>0.972</v>
      </c>
      <c r="BO79" s="0" t="n">
        <v>0.9999</v>
      </c>
      <c r="BP79" s="0" t="n">
        <v>0.9999</v>
      </c>
      <c r="BQ79" s="0" t="n">
        <v>1</v>
      </c>
      <c r="BR79" s="0" t="n">
        <v>1.0849526</v>
      </c>
      <c r="BS79" s="0" t="n">
        <v>1.1038</v>
      </c>
      <c r="BT79" s="0" t="n">
        <v>1.0827</v>
      </c>
      <c r="BU79" s="0" t="n">
        <v>1.0122</v>
      </c>
      <c r="BV79" s="0" t="n">
        <v>1</v>
      </c>
      <c r="BW79" s="0" t="n">
        <v>2.1102</v>
      </c>
      <c r="BX79" s="0" t="n">
        <v>2.266406333</v>
      </c>
      <c r="BY79" s="0" t="n">
        <v>1.07035</v>
      </c>
      <c r="BZ79" s="0" t="n">
        <v>1.2885</v>
      </c>
      <c r="CA79" s="0" t="n">
        <v>2.001</v>
      </c>
      <c r="CB79" s="0" t="n">
        <v>1.501505</v>
      </c>
      <c r="CC79" s="0" t="n">
        <v>1.501505</v>
      </c>
      <c r="CD79" s="0" t="n">
        <v>1.254405</v>
      </c>
      <c r="CE79" s="0" t="n">
        <v>1.06793</v>
      </c>
      <c r="CF79" s="0" t="n">
        <v>1.415405</v>
      </c>
      <c r="CG79" s="188"/>
      <c r="CH79" s="0" t="n">
        <v>1.095935</v>
      </c>
      <c r="CI79" s="188"/>
      <c r="CJ79" s="188"/>
      <c r="CK79" s="188"/>
      <c r="CL79" s="188"/>
      <c r="CM79" s="188"/>
      <c r="CN79" s="188"/>
      <c r="CO79" s="188"/>
      <c r="CP79" s="0" t="n">
        <v>0.865</v>
      </c>
      <c r="CQ79" s="0" t="n">
        <v>0.89</v>
      </c>
      <c r="CR79" s="0" t="n">
        <v>0.91</v>
      </c>
      <c r="CS79" s="0" t="n">
        <v>0.935</v>
      </c>
      <c r="CT79" s="0" t="n">
        <v>0.99895</v>
      </c>
      <c r="CU79" s="0" t="n">
        <v>0.54</v>
      </c>
      <c r="CV79" s="0" t="n">
        <v>0.45</v>
      </c>
      <c r="CW79" s="0" t="n">
        <v>0.875</v>
      </c>
      <c r="CX79" s="0" t="n">
        <v>0.825</v>
      </c>
      <c r="CY79" s="0" t="n">
        <v>0.515</v>
      </c>
      <c r="CZ79" s="0" t="n">
        <v>0.785</v>
      </c>
      <c r="DA79" s="0" t="n">
        <v>0.8175</v>
      </c>
      <c r="DB79" s="0" t="n">
        <v>0.8</v>
      </c>
      <c r="DC79" s="0" t="n">
        <v>0.9</v>
      </c>
      <c r="DD79" s="0" t="n">
        <v>0.83</v>
      </c>
      <c r="DE79" s="0" t="n">
        <v>0.89</v>
      </c>
      <c r="DF79" s="0" t="n">
        <v>0.985</v>
      </c>
      <c r="DG79" s="0" t="n">
        <v>0.97</v>
      </c>
      <c r="DH79" s="0" t="n">
        <v>0.99</v>
      </c>
      <c r="DI79" s="0" t="n">
        <v>0.9775</v>
      </c>
      <c r="DN79" s="188" t="n">
        <v>0.000285</v>
      </c>
      <c r="DO79" s="188" t="n">
        <v>0.0002</v>
      </c>
      <c r="DP79" s="188" t="n">
        <v>0</v>
      </c>
      <c r="DQ79" s="188" t="n">
        <v>0.0001</v>
      </c>
      <c r="DR79" s="188" t="n">
        <v>0</v>
      </c>
      <c r="DS79" s="188" t="n">
        <v>0.0036</v>
      </c>
      <c r="DT79" s="188" t="n">
        <v>0.00047</v>
      </c>
      <c r="DU79" s="188" t="n">
        <v>0.0007</v>
      </c>
      <c r="DV79" s="188" t="n">
        <v>0</v>
      </c>
      <c r="DW79" s="188" t="n">
        <v>0</v>
      </c>
      <c r="DX79" s="188" t="n">
        <v>0.0005</v>
      </c>
      <c r="DY79" s="188" t="n">
        <v>0.0005</v>
      </c>
      <c r="DZ79" s="188" t="n">
        <v>0.0003</v>
      </c>
      <c r="EA79" s="188" t="n">
        <v>0.000275</v>
      </c>
      <c r="EB79" s="188" t="n">
        <v>0.0004</v>
      </c>
      <c r="ED79" s="188" t="n">
        <v>6.5E-005</v>
      </c>
      <c r="EF79" s="0" t="n">
        <v>1</v>
      </c>
    </row>
    <row r="80" customFormat="false" ht="12.75" hidden="false" customHeight="false" outlineLevel="0" collapsed="false">
      <c r="A80" s="149" t="n">
        <v>38808</v>
      </c>
      <c r="B80" s="0" t="n">
        <v>0.98</v>
      </c>
      <c r="C80" s="0" t="n">
        <v>0.988</v>
      </c>
      <c r="D80" s="0" t="n">
        <v>0.965</v>
      </c>
      <c r="E80" s="0" t="n">
        <f aca="false">E68</f>
        <v>0.978</v>
      </c>
      <c r="F80" s="0" t="n">
        <v>0.977</v>
      </c>
      <c r="G80" s="0" t="n">
        <v>0.9875</v>
      </c>
      <c r="H80" s="0" t="n">
        <v>0.95208806</v>
      </c>
      <c r="I80" s="0" t="n">
        <v>0.9875</v>
      </c>
      <c r="J80" s="0" t="n">
        <v>0.985</v>
      </c>
      <c r="K80" s="0" t="n">
        <v>0.985</v>
      </c>
      <c r="L80" s="176" t="n">
        <v>0.9875</v>
      </c>
      <c r="M80" s="176" t="n">
        <v>0.9875</v>
      </c>
      <c r="N80" s="0" t="n">
        <v>0.98</v>
      </c>
      <c r="O80" s="0" t="n">
        <v>0.964589115</v>
      </c>
      <c r="P80" s="0" t="n">
        <v>0.98</v>
      </c>
      <c r="Q80" s="177" t="n">
        <v>0.9875</v>
      </c>
      <c r="R80" s="0" t="n">
        <v>0.9875</v>
      </c>
      <c r="S80" s="176" t="n">
        <v>0.9875</v>
      </c>
      <c r="T80" s="0" t="n">
        <v>0.98</v>
      </c>
      <c r="U80" s="0" t="n">
        <v>0.98</v>
      </c>
      <c r="V80" s="0" t="n">
        <v>0.98</v>
      </c>
      <c r="W80" s="0" t="n">
        <v>0.98</v>
      </c>
      <c r="X80" s="0" t="n">
        <v>0.964589115</v>
      </c>
      <c r="Y80" s="0" t="n">
        <v>0.964589115</v>
      </c>
      <c r="Z80" s="0" t="n">
        <v>0.964589115</v>
      </c>
      <c r="AA80" s="0" t="n">
        <v>0.964589115</v>
      </c>
      <c r="AB80" s="0" t="n">
        <v>0.98</v>
      </c>
      <c r="AC80" s="0" t="n">
        <v>0.98</v>
      </c>
      <c r="AD80" s="0" t="n">
        <v>0.964589115</v>
      </c>
      <c r="AE80" s="0" t="n">
        <v>0.964589115</v>
      </c>
      <c r="AF80" s="0" t="n">
        <v>0.98</v>
      </c>
      <c r="AG80" s="0" t="n">
        <v>0.99</v>
      </c>
      <c r="AH80" s="0" t="n">
        <v>0.97544</v>
      </c>
      <c r="AI80" s="0" t="n">
        <v>0.97544</v>
      </c>
      <c r="AJ80" s="0" t="n">
        <v>0.98</v>
      </c>
      <c r="AK80" s="0" t="n">
        <v>1</v>
      </c>
      <c r="AL80" s="0" t="n">
        <v>0.985</v>
      </c>
      <c r="AM80" s="0" t="n">
        <v>0.985</v>
      </c>
      <c r="AS80" s="0" t="n">
        <v>0.977</v>
      </c>
      <c r="AT80" s="177" t="n">
        <v>0.9775</v>
      </c>
      <c r="AU80" s="0" t="n">
        <v>0.97544</v>
      </c>
      <c r="AV80" s="0" t="n">
        <v>0.985</v>
      </c>
      <c r="AW80" s="0" t="n">
        <v>0.985</v>
      </c>
      <c r="AX80" s="0" t="n">
        <v>0.985</v>
      </c>
      <c r="AY80" s="0" t="n">
        <v>0.97544</v>
      </c>
      <c r="AZ80" s="0" t="n">
        <v>0.97544</v>
      </c>
      <c r="BA80" s="0" t="n">
        <v>0.985</v>
      </c>
      <c r="BB80" s="187" t="n">
        <v>1</v>
      </c>
      <c r="BC80" s="0" t="n">
        <v>1</v>
      </c>
      <c r="BD80" s="0" t="n">
        <v>1</v>
      </c>
      <c r="BE80" s="0" t="n">
        <v>1</v>
      </c>
      <c r="BF80" s="0" t="n">
        <v>0.9999</v>
      </c>
      <c r="BG80" s="0" t="n">
        <v>1</v>
      </c>
      <c r="BH80" s="0" t="n">
        <v>1</v>
      </c>
      <c r="BI80" s="0" t="n">
        <v>0.99</v>
      </c>
      <c r="BJ80" s="0" t="n">
        <v>0.999</v>
      </c>
      <c r="BK80" s="0" t="n">
        <v>0.998</v>
      </c>
      <c r="BL80" s="0" t="n">
        <v>0.9985</v>
      </c>
      <c r="BM80" s="0" t="n">
        <v>0.9985</v>
      </c>
      <c r="BN80" s="0" t="n">
        <v>0.972</v>
      </c>
      <c r="BO80" s="0" t="n">
        <v>0.9999</v>
      </c>
      <c r="BP80" s="0" t="n">
        <v>0.9999</v>
      </c>
      <c r="BQ80" s="0" t="n">
        <v>1</v>
      </c>
      <c r="BR80" s="0" t="n">
        <v>1.0852376</v>
      </c>
      <c r="BS80" s="0" t="n">
        <v>1.104</v>
      </c>
      <c r="BT80" s="0" t="n">
        <v>1.0827</v>
      </c>
      <c r="BU80" s="0" t="n">
        <v>1.0123</v>
      </c>
      <c r="BV80" s="0" t="n">
        <v>1</v>
      </c>
      <c r="BW80" s="0" t="n">
        <v>2.1138</v>
      </c>
      <c r="BX80" s="0" t="n">
        <v>2.266876333</v>
      </c>
      <c r="BY80" s="0" t="n">
        <v>1.07105</v>
      </c>
      <c r="BZ80" s="0" t="n">
        <v>1.2885</v>
      </c>
      <c r="CA80" s="0" t="n">
        <v>2.001</v>
      </c>
      <c r="CB80" s="0" t="n">
        <v>1.502005</v>
      </c>
      <c r="CC80" s="0" t="n">
        <v>1.502005</v>
      </c>
      <c r="CD80" s="0" t="n">
        <v>1.254705</v>
      </c>
      <c r="CE80" s="0" t="n">
        <v>1.068205</v>
      </c>
      <c r="CF80" s="0" t="n">
        <v>1.415805</v>
      </c>
      <c r="CG80" s="188"/>
      <c r="CH80" s="0" t="n">
        <v>1.096</v>
      </c>
      <c r="CI80" s="188"/>
      <c r="CJ80" s="188"/>
      <c r="CK80" s="188"/>
      <c r="CL80" s="188"/>
      <c r="CM80" s="188"/>
      <c r="CN80" s="188"/>
      <c r="CO80" s="188"/>
      <c r="CP80" s="0" t="n">
        <v>0.895</v>
      </c>
      <c r="CQ80" s="0" t="n">
        <v>0.9</v>
      </c>
      <c r="CR80" s="0" t="n">
        <v>0.91</v>
      </c>
      <c r="CS80" s="0" t="n">
        <v>0.96</v>
      </c>
      <c r="CT80" s="0" t="n">
        <v>0.99895</v>
      </c>
      <c r="CU80" s="0" t="n">
        <v>0.48</v>
      </c>
      <c r="CV80" s="0" t="n">
        <v>0.42</v>
      </c>
      <c r="CW80" s="0" t="n">
        <v>0.935</v>
      </c>
      <c r="CX80" s="0" t="n">
        <v>0.815</v>
      </c>
      <c r="CY80" s="0" t="n">
        <v>0.575</v>
      </c>
      <c r="CZ80" s="0" t="n">
        <v>0.895</v>
      </c>
      <c r="DA80" s="0" t="n">
        <v>0.9275</v>
      </c>
      <c r="DB80" s="0" t="n">
        <v>0.85</v>
      </c>
      <c r="DC80" s="0" t="n">
        <v>0.903</v>
      </c>
      <c r="DD80" s="0" t="n">
        <v>0.92</v>
      </c>
      <c r="DE80" s="0" t="n">
        <v>0.89</v>
      </c>
      <c r="DI80" s="0" t="n">
        <v>0.9775</v>
      </c>
      <c r="DN80" s="188" t="n">
        <v>0.000285</v>
      </c>
      <c r="DO80" s="188" t="n">
        <v>0.0002</v>
      </c>
      <c r="DP80" s="188" t="n">
        <v>0</v>
      </c>
      <c r="DQ80" s="188" t="n">
        <v>0.0001</v>
      </c>
      <c r="DR80" s="188" t="n">
        <v>0</v>
      </c>
      <c r="DS80" s="188" t="n">
        <v>0.0036</v>
      </c>
      <c r="DT80" s="188" t="n">
        <v>0.00047</v>
      </c>
      <c r="DU80" s="188" t="n">
        <v>0.0007</v>
      </c>
      <c r="DV80" s="188" t="n">
        <v>0</v>
      </c>
      <c r="DW80" s="188" t="n">
        <v>0</v>
      </c>
      <c r="DX80" s="188" t="n">
        <v>0.0005</v>
      </c>
      <c r="DY80" s="188" t="n">
        <v>0.0005</v>
      </c>
      <c r="DZ80" s="188" t="n">
        <v>0.0003</v>
      </c>
      <c r="EA80" s="188" t="n">
        <v>0.000275</v>
      </c>
      <c r="EB80" s="188" t="n">
        <v>0.0004</v>
      </c>
      <c r="ED80" s="188" t="n">
        <v>6.5E-005</v>
      </c>
      <c r="EF80" s="0" t="n">
        <v>1</v>
      </c>
    </row>
    <row r="81" customFormat="false" ht="12.75" hidden="false" customHeight="false" outlineLevel="0" collapsed="false">
      <c r="A81" s="149" t="n">
        <v>38838</v>
      </c>
      <c r="B81" s="0" t="n">
        <v>0.98</v>
      </c>
      <c r="C81" s="0" t="n">
        <v>0.988</v>
      </c>
      <c r="D81" s="0" t="n">
        <v>0.965</v>
      </c>
      <c r="E81" s="0" t="n">
        <f aca="false">E69</f>
        <v>0.978</v>
      </c>
      <c r="F81" s="0" t="n">
        <v>0.977</v>
      </c>
      <c r="G81" s="0" t="n">
        <v>0.719916</v>
      </c>
      <c r="H81" s="0" t="n">
        <v>0.95228546</v>
      </c>
      <c r="I81" s="0" t="n">
        <v>0.9875</v>
      </c>
      <c r="J81" s="0" t="n">
        <v>0.9212775</v>
      </c>
      <c r="K81" s="0" t="n">
        <v>0.985</v>
      </c>
      <c r="L81" s="176" t="n">
        <v>0.9875</v>
      </c>
      <c r="M81" s="176" t="n">
        <v>0.9875</v>
      </c>
      <c r="N81" s="0" t="n">
        <v>0.98</v>
      </c>
      <c r="O81" s="0" t="n">
        <v>0.961632</v>
      </c>
      <c r="P81" s="0" t="n">
        <v>0.98</v>
      </c>
      <c r="Q81" s="177" t="n">
        <v>0.9875</v>
      </c>
      <c r="R81" s="0" t="n">
        <v>0.9875</v>
      </c>
      <c r="S81" s="176" t="n">
        <v>0.9875</v>
      </c>
      <c r="T81" s="0" t="n">
        <v>0.98</v>
      </c>
      <c r="U81" s="0" t="n">
        <v>0.98</v>
      </c>
      <c r="V81" s="0" t="n">
        <v>0.98</v>
      </c>
      <c r="W81" s="0" t="n">
        <v>0.98</v>
      </c>
      <c r="X81" s="0" t="n">
        <v>0.961632</v>
      </c>
      <c r="Y81" s="0" t="n">
        <v>0.961632</v>
      </c>
      <c r="Z81" s="0" t="n">
        <v>0.961632</v>
      </c>
      <c r="AA81" s="0" t="n">
        <v>0.961632</v>
      </c>
      <c r="AB81" s="0" t="n">
        <v>0.98</v>
      </c>
      <c r="AC81" s="0" t="n">
        <v>0.98</v>
      </c>
      <c r="AD81" s="0" t="n">
        <v>0.961632</v>
      </c>
      <c r="AE81" s="0" t="n">
        <v>0.961632</v>
      </c>
      <c r="AF81" s="0" t="n">
        <v>0.98</v>
      </c>
      <c r="AG81" s="0" t="n">
        <v>0.99</v>
      </c>
      <c r="AH81" s="0" t="n">
        <v>0.97549785</v>
      </c>
      <c r="AI81" s="0" t="n">
        <v>0.97549785</v>
      </c>
      <c r="AJ81" s="0" t="n">
        <v>0.98</v>
      </c>
      <c r="AK81" s="0" t="n">
        <v>1</v>
      </c>
      <c r="AL81" s="0" t="n">
        <v>0.985</v>
      </c>
      <c r="AM81" s="0" t="n">
        <v>0.985</v>
      </c>
      <c r="AS81" s="0" t="n">
        <v>0.977</v>
      </c>
      <c r="AT81" s="177" t="n">
        <v>0.9775</v>
      </c>
      <c r="AU81" s="0" t="n">
        <v>0.97549785</v>
      </c>
      <c r="AV81" s="0" t="n">
        <v>0.985</v>
      </c>
      <c r="AW81" s="0" t="n">
        <v>0.985</v>
      </c>
      <c r="AX81" s="0" t="n">
        <v>0.985</v>
      </c>
      <c r="AY81" s="0" t="n">
        <v>0.97549785</v>
      </c>
      <c r="AZ81" s="0" t="n">
        <v>0.97549785</v>
      </c>
      <c r="BA81" s="0" t="n">
        <v>0.985</v>
      </c>
      <c r="BB81" s="187" t="n">
        <v>1</v>
      </c>
      <c r="BC81" s="0" t="n">
        <v>1</v>
      </c>
      <c r="BD81" s="0" t="n">
        <v>1</v>
      </c>
      <c r="BE81" s="0" t="n">
        <v>1</v>
      </c>
      <c r="BF81" s="0" t="n">
        <v>0.9999</v>
      </c>
      <c r="BG81" s="0" t="n">
        <v>1</v>
      </c>
      <c r="BH81" s="0" t="n">
        <v>1</v>
      </c>
      <c r="BI81" s="0" t="n">
        <v>0.99</v>
      </c>
      <c r="BJ81" s="0" t="n">
        <v>0.999</v>
      </c>
      <c r="BK81" s="0" t="n">
        <v>0.998</v>
      </c>
      <c r="BL81" s="0" t="n">
        <v>0.9985</v>
      </c>
      <c r="BM81" s="0" t="n">
        <v>0.9985</v>
      </c>
      <c r="BN81" s="0" t="n">
        <v>0.972</v>
      </c>
      <c r="BO81" s="0" t="n">
        <v>0.9999</v>
      </c>
      <c r="BP81" s="0" t="n">
        <v>0.9999</v>
      </c>
      <c r="BQ81" s="0" t="n">
        <v>1</v>
      </c>
      <c r="BR81" s="0" t="n">
        <v>1.0855226</v>
      </c>
      <c r="BS81" s="0" t="n">
        <v>1.1042</v>
      </c>
      <c r="BT81" s="0" t="n">
        <v>1.0827</v>
      </c>
      <c r="BU81" s="0" t="n">
        <v>1.0124</v>
      </c>
      <c r="BV81" s="0" t="n">
        <v>1</v>
      </c>
      <c r="BW81" s="0" t="n">
        <v>2.1174</v>
      </c>
      <c r="BX81" s="0" t="n">
        <v>2.267346333</v>
      </c>
      <c r="BY81" s="0" t="n">
        <v>1.07175</v>
      </c>
      <c r="BZ81" s="0" t="n">
        <v>1.2885</v>
      </c>
      <c r="CA81" s="0" t="n">
        <v>2.001</v>
      </c>
      <c r="CB81" s="0" t="n">
        <v>1.502505</v>
      </c>
      <c r="CC81" s="0" t="n">
        <v>1.502505</v>
      </c>
      <c r="CD81" s="0" t="n">
        <v>1.255005</v>
      </c>
      <c r="CE81" s="0" t="n">
        <v>1.06848</v>
      </c>
      <c r="CF81" s="0" t="n">
        <v>1.416205</v>
      </c>
      <c r="CG81" s="188"/>
      <c r="CH81" s="0" t="n">
        <v>1.096065</v>
      </c>
      <c r="CI81" s="188"/>
      <c r="CJ81" s="188"/>
      <c r="CK81" s="188"/>
      <c r="CL81" s="188"/>
      <c r="CM81" s="188"/>
      <c r="CN81" s="188"/>
      <c r="CO81" s="188"/>
      <c r="CP81" s="0" t="n">
        <v>0.965</v>
      </c>
      <c r="CQ81" s="0" t="n">
        <v>0.91</v>
      </c>
      <c r="CR81" s="0" t="n">
        <v>0.91</v>
      </c>
      <c r="CS81" s="0" t="n">
        <v>0.97</v>
      </c>
      <c r="CT81" s="0" t="n">
        <v>0.99895</v>
      </c>
      <c r="CU81" s="0" t="n">
        <v>0.34</v>
      </c>
      <c r="CV81" s="0" t="n">
        <v>0.42</v>
      </c>
      <c r="CW81" s="0" t="n">
        <v>0.935</v>
      </c>
      <c r="CX81" s="0" t="n">
        <v>0.715</v>
      </c>
      <c r="CY81" s="0" t="n">
        <v>0.625</v>
      </c>
      <c r="CZ81" s="0" t="n">
        <v>0.9175</v>
      </c>
      <c r="DA81" s="0" t="n">
        <v>0.95</v>
      </c>
      <c r="DB81" s="0" t="n">
        <v>0.88</v>
      </c>
      <c r="DC81" s="0" t="n">
        <v>0.9</v>
      </c>
      <c r="DD81" s="0" t="n">
        <v>0.935</v>
      </c>
      <c r="DE81" s="0" t="n">
        <v>0.89</v>
      </c>
      <c r="DI81" s="0" t="n">
        <v>0.9775</v>
      </c>
      <c r="DN81" s="188" t="n">
        <v>0.000285</v>
      </c>
      <c r="DO81" s="188" t="n">
        <v>0.0002</v>
      </c>
      <c r="DP81" s="188" t="n">
        <v>0</v>
      </c>
      <c r="DQ81" s="188" t="n">
        <v>0.0001</v>
      </c>
      <c r="DR81" s="188" t="n">
        <v>0</v>
      </c>
      <c r="DS81" s="188" t="n">
        <v>0.0036</v>
      </c>
      <c r="DT81" s="188" t="n">
        <v>0.00047</v>
      </c>
      <c r="DU81" s="188" t="n">
        <v>0.0007</v>
      </c>
      <c r="DV81" s="188" t="n">
        <v>0</v>
      </c>
      <c r="DW81" s="188" t="n">
        <v>0</v>
      </c>
      <c r="DX81" s="188" t="n">
        <v>0.0005</v>
      </c>
      <c r="DY81" s="188" t="n">
        <v>0.0005</v>
      </c>
      <c r="DZ81" s="188" t="n">
        <v>0.0003</v>
      </c>
      <c r="EA81" s="188" t="n">
        <v>0.000275</v>
      </c>
      <c r="EB81" s="188" t="n">
        <v>0.0004</v>
      </c>
      <c r="ED81" s="188" t="n">
        <v>6.5E-005</v>
      </c>
      <c r="EF81" s="0" t="n">
        <v>1</v>
      </c>
    </row>
    <row r="82" customFormat="false" ht="12.75" hidden="false" customHeight="false" outlineLevel="0" collapsed="false">
      <c r="A82" s="149" t="n">
        <v>38869</v>
      </c>
      <c r="B82" s="0" t="n">
        <v>0.98</v>
      </c>
      <c r="C82" s="0" t="n">
        <v>0.988</v>
      </c>
      <c r="D82" s="0" t="n">
        <v>0.965</v>
      </c>
      <c r="E82" s="0" t="n">
        <f aca="false">E70</f>
        <v>0.978</v>
      </c>
      <c r="F82" s="0" t="n">
        <v>0.977</v>
      </c>
      <c r="G82" s="0" t="n">
        <v>0.72114</v>
      </c>
      <c r="H82" s="0" t="n">
        <v>0.9875</v>
      </c>
      <c r="I82" s="0" t="n">
        <v>0.9875</v>
      </c>
      <c r="J82" s="0" t="n">
        <v>0.8053125</v>
      </c>
      <c r="K82" s="0" t="n">
        <v>0.985</v>
      </c>
      <c r="L82" s="176" t="n">
        <v>0.9875</v>
      </c>
      <c r="M82" s="176" t="n">
        <v>0.9875</v>
      </c>
      <c r="N82" s="0" t="n">
        <v>0.98</v>
      </c>
      <c r="O82" s="0" t="n">
        <v>0.964551388</v>
      </c>
      <c r="P82" s="0" t="n">
        <v>0.98</v>
      </c>
      <c r="Q82" s="177" t="n">
        <v>0.9875</v>
      </c>
      <c r="R82" s="0" t="n">
        <v>0.9875</v>
      </c>
      <c r="S82" s="176" t="n">
        <v>0.9875</v>
      </c>
      <c r="T82" s="0" t="n">
        <v>0.98</v>
      </c>
      <c r="U82" s="0" t="n">
        <v>0.98</v>
      </c>
      <c r="V82" s="0" t="n">
        <v>0.98</v>
      </c>
      <c r="W82" s="0" t="n">
        <v>0.98</v>
      </c>
      <c r="X82" s="0" t="n">
        <v>0.964551388</v>
      </c>
      <c r="Y82" s="0" t="n">
        <v>0.964551388</v>
      </c>
      <c r="Z82" s="0" t="n">
        <v>0.964551388</v>
      </c>
      <c r="AA82" s="0" t="n">
        <v>0.964551388</v>
      </c>
      <c r="AB82" s="0" t="n">
        <v>0.98</v>
      </c>
      <c r="AC82" s="0" t="n">
        <v>0.98</v>
      </c>
      <c r="AD82" s="0" t="n">
        <v>0.964551388</v>
      </c>
      <c r="AE82" s="0" t="n">
        <v>0.964551388</v>
      </c>
      <c r="AF82" s="0" t="n">
        <v>0.98</v>
      </c>
      <c r="AG82" s="0" t="n">
        <v>0.99</v>
      </c>
      <c r="AH82" s="0" t="n">
        <v>0.9755557</v>
      </c>
      <c r="AI82" s="0" t="n">
        <v>0.9755557</v>
      </c>
      <c r="AJ82" s="0" t="n">
        <v>0.98</v>
      </c>
      <c r="AK82" s="0" t="n">
        <v>1</v>
      </c>
      <c r="AL82" s="0" t="n">
        <v>0.985</v>
      </c>
      <c r="AM82" s="0" t="n">
        <v>0.985</v>
      </c>
      <c r="AS82" s="0" t="n">
        <v>0.977</v>
      </c>
      <c r="AT82" s="177" t="n">
        <v>0.9775</v>
      </c>
      <c r="AU82" s="0" t="n">
        <v>0.9755557</v>
      </c>
      <c r="AV82" s="0" t="n">
        <v>0.985</v>
      </c>
      <c r="AW82" s="0" t="n">
        <v>0.985</v>
      </c>
      <c r="AX82" s="0" t="n">
        <v>0.985</v>
      </c>
      <c r="AY82" s="0" t="n">
        <v>0.9755557</v>
      </c>
      <c r="AZ82" s="0" t="n">
        <v>0.9755557</v>
      </c>
      <c r="BA82" s="0" t="n">
        <v>0.985</v>
      </c>
      <c r="BB82" s="187" t="n">
        <v>1</v>
      </c>
      <c r="BC82" s="0" t="n">
        <v>1</v>
      </c>
      <c r="BD82" s="0" t="n">
        <v>1</v>
      </c>
      <c r="BE82" s="0" t="n">
        <v>1</v>
      </c>
      <c r="BF82" s="0" t="n">
        <v>0.9999</v>
      </c>
      <c r="BG82" s="0" t="n">
        <v>1</v>
      </c>
      <c r="BH82" s="0" t="n">
        <v>1</v>
      </c>
      <c r="BI82" s="0" t="n">
        <v>0.99</v>
      </c>
      <c r="BJ82" s="0" t="n">
        <v>0.999</v>
      </c>
      <c r="BK82" s="0" t="n">
        <v>0.998</v>
      </c>
      <c r="BL82" s="0" t="n">
        <v>0.9985</v>
      </c>
      <c r="BM82" s="0" t="n">
        <v>0.9985</v>
      </c>
      <c r="BN82" s="0" t="n">
        <v>0.972</v>
      </c>
      <c r="BO82" s="0" t="n">
        <v>0.9999</v>
      </c>
      <c r="BP82" s="0" t="n">
        <v>0.9999</v>
      </c>
      <c r="BQ82" s="0" t="n">
        <v>1</v>
      </c>
      <c r="BR82" s="0" t="n">
        <v>1.0858076</v>
      </c>
      <c r="BS82" s="0" t="n">
        <v>1.1044</v>
      </c>
      <c r="BT82" s="0" t="n">
        <v>1.0827</v>
      </c>
      <c r="BU82" s="0" t="n">
        <v>1.0125</v>
      </c>
      <c r="BV82" s="0" t="n">
        <v>1</v>
      </c>
      <c r="BW82" s="0" t="n">
        <v>2.121</v>
      </c>
      <c r="BX82" s="0" t="n">
        <v>2.267816333</v>
      </c>
      <c r="BY82" s="0" t="n">
        <v>1.07245</v>
      </c>
      <c r="BZ82" s="0" t="n">
        <v>1.2885</v>
      </c>
      <c r="CA82" s="0" t="n">
        <v>2.001</v>
      </c>
      <c r="CB82" s="0" t="n">
        <v>1.503005</v>
      </c>
      <c r="CC82" s="0" t="n">
        <v>1.503005</v>
      </c>
      <c r="CD82" s="0" t="n">
        <v>1.255305</v>
      </c>
      <c r="CE82" s="0" t="n">
        <v>1.068755</v>
      </c>
      <c r="CF82" s="0" t="n">
        <v>1.416605</v>
      </c>
      <c r="CG82" s="188"/>
      <c r="CH82" s="0" t="n">
        <v>1.09613</v>
      </c>
      <c r="CI82" s="188"/>
      <c r="CJ82" s="188"/>
      <c r="CK82" s="188"/>
      <c r="CL82" s="188"/>
      <c r="CM82" s="188"/>
      <c r="CN82" s="188"/>
      <c r="CO82" s="188"/>
      <c r="CP82" s="0" t="n">
        <v>0.965</v>
      </c>
      <c r="CQ82" s="0" t="n">
        <v>0.91</v>
      </c>
      <c r="CR82" s="0" t="n">
        <v>0.91</v>
      </c>
      <c r="CS82" s="0" t="n">
        <v>0.98</v>
      </c>
      <c r="CT82" s="0" t="n">
        <v>0.99895</v>
      </c>
      <c r="CU82" s="0" t="n">
        <v>0.34</v>
      </c>
      <c r="CV82" s="0" t="n">
        <v>0.47</v>
      </c>
      <c r="CW82" s="0" t="n">
        <v>0.935</v>
      </c>
      <c r="CX82" s="0" t="n">
        <v>0.625</v>
      </c>
      <c r="CY82" s="0" t="n">
        <v>0.725</v>
      </c>
      <c r="CZ82" s="0" t="n">
        <v>0.8825</v>
      </c>
      <c r="DA82" s="0" t="n">
        <v>0.915</v>
      </c>
      <c r="DB82" s="0" t="n">
        <v>0.88</v>
      </c>
      <c r="DC82" s="0" t="n">
        <v>0.9025</v>
      </c>
      <c r="DD82" s="0" t="n">
        <v>0.915</v>
      </c>
      <c r="DE82" s="0" t="n">
        <v>0.89</v>
      </c>
      <c r="DI82" s="0" t="n">
        <v>0.9775</v>
      </c>
      <c r="DN82" s="188" t="n">
        <v>0.000285</v>
      </c>
      <c r="DO82" s="188" t="n">
        <v>0.0002</v>
      </c>
      <c r="DP82" s="188" t="n">
        <v>0</v>
      </c>
      <c r="DQ82" s="188" t="n">
        <v>0.0001</v>
      </c>
      <c r="DR82" s="188" t="n">
        <v>0</v>
      </c>
      <c r="DS82" s="188" t="n">
        <v>0.0036</v>
      </c>
      <c r="DT82" s="188" t="n">
        <v>0.00047</v>
      </c>
      <c r="DU82" s="188" t="n">
        <v>0.0007</v>
      </c>
      <c r="DV82" s="188" t="n">
        <v>0</v>
      </c>
      <c r="DW82" s="188" t="n">
        <v>0</v>
      </c>
      <c r="DX82" s="188" t="n">
        <v>0.0005</v>
      </c>
      <c r="DY82" s="188" t="n">
        <v>0.0005</v>
      </c>
      <c r="DZ82" s="188" t="n">
        <v>0.0003</v>
      </c>
      <c r="EA82" s="188" t="n">
        <v>0.000275</v>
      </c>
      <c r="EB82" s="188" t="n">
        <v>0.0004</v>
      </c>
      <c r="ED82" s="188" t="n">
        <v>6.5E-005</v>
      </c>
      <c r="EF82" s="0" t="n">
        <v>1</v>
      </c>
    </row>
    <row r="83" customFormat="false" ht="12.75" hidden="false" customHeight="false" outlineLevel="0" collapsed="false">
      <c r="A83" s="149" t="n">
        <v>38899</v>
      </c>
      <c r="B83" s="0" t="n">
        <v>0.98</v>
      </c>
      <c r="C83" s="0" t="n">
        <v>0.988</v>
      </c>
      <c r="D83" s="0" t="n">
        <v>0.965</v>
      </c>
      <c r="E83" s="0" t="n">
        <f aca="false">E71</f>
        <v>0.978</v>
      </c>
      <c r="F83" s="0" t="n">
        <v>0.977</v>
      </c>
      <c r="G83" s="0" t="n">
        <v>0.871086</v>
      </c>
      <c r="H83" s="0" t="n">
        <v>0.9875</v>
      </c>
      <c r="I83" s="0" t="n">
        <v>0.9875</v>
      </c>
      <c r="J83" s="0" t="n">
        <v>0.8310825</v>
      </c>
      <c r="K83" s="0" t="n">
        <v>0.985</v>
      </c>
      <c r="L83" s="176" t="n">
        <v>0.9875</v>
      </c>
      <c r="M83" s="176" t="n">
        <v>0.9875</v>
      </c>
      <c r="N83" s="0" t="n">
        <v>0.98</v>
      </c>
      <c r="O83" s="0" t="n">
        <v>0.970144725</v>
      </c>
      <c r="P83" s="0" t="n">
        <v>0.98</v>
      </c>
      <c r="Q83" s="177" t="n">
        <v>0.9875</v>
      </c>
      <c r="R83" s="0" t="n">
        <v>0.9875</v>
      </c>
      <c r="S83" s="176" t="n">
        <v>0.9875</v>
      </c>
      <c r="T83" s="0" t="n">
        <v>0.98</v>
      </c>
      <c r="U83" s="0" t="n">
        <v>0.98</v>
      </c>
      <c r="V83" s="0" t="n">
        <v>0.98</v>
      </c>
      <c r="W83" s="0" t="n">
        <v>0.98</v>
      </c>
      <c r="X83" s="0" t="n">
        <v>0.970144725</v>
      </c>
      <c r="Y83" s="0" t="n">
        <v>0.970144725</v>
      </c>
      <c r="Z83" s="0" t="n">
        <v>0.970144725</v>
      </c>
      <c r="AA83" s="0" t="n">
        <v>0.970144725</v>
      </c>
      <c r="AB83" s="0" t="n">
        <v>0.98</v>
      </c>
      <c r="AC83" s="0" t="n">
        <v>0.98</v>
      </c>
      <c r="AD83" s="0" t="n">
        <v>0.970144725</v>
      </c>
      <c r="AE83" s="0" t="n">
        <v>0.970144725</v>
      </c>
      <c r="AF83" s="0" t="n">
        <v>0.98</v>
      </c>
      <c r="AG83" s="0" t="n">
        <v>0.99</v>
      </c>
      <c r="AH83" s="0" t="n">
        <v>0.97561355</v>
      </c>
      <c r="AI83" s="0" t="n">
        <v>0.97561355</v>
      </c>
      <c r="AJ83" s="0" t="n">
        <v>0.98</v>
      </c>
      <c r="AK83" s="0" t="n">
        <v>1</v>
      </c>
      <c r="AL83" s="0" t="n">
        <v>0.985</v>
      </c>
      <c r="AM83" s="0" t="n">
        <v>0.985</v>
      </c>
      <c r="AS83" s="0" t="n">
        <v>0.977</v>
      </c>
      <c r="AT83" s="177" t="n">
        <v>0.9775</v>
      </c>
      <c r="AU83" s="0" t="n">
        <v>0.97561355</v>
      </c>
      <c r="AV83" s="0" t="n">
        <v>0.985</v>
      </c>
      <c r="AW83" s="0" t="n">
        <v>0.985</v>
      </c>
      <c r="AX83" s="0" t="n">
        <v>0.985</v>
      </c>
      <c r="AY83" s="0" t="n">
        <v>0.97561355</v>
      </c>
      <c r="AZ83" s="0" t="n">
        <v>0.97561355</v>
      </c>
      <c r="BA83" s="0" t="n">
        <v>0.985</v>
      </c>
      <c r="BB83" s="187" t="n">
        <v>1</v>
      </c>
      <c r="BC83" s="0" t="n">
        <v>1</v>
      </c>
      <c r="BD83" s="0" t="n">
        <v>1</v>
      </c>
      <c r="BE83" s="0" t="n">
        <v>1</v>
      </c>
      <c r="BF83" s="0" t="n">
        <v>0.9999</v>
      </c>
      <c r="BG83" s="0" t="n">
        <v>1</v>
      </c>
      <c r="BH83" s="0" t="n">
        <v>1</v>
      </c>
      <c r="BI83" s="0" t="n">
        <v>0.99</v>
      </c>
      <c r="BJ83" s="0" t="n">
        <v>0.999</v>
      </c>
      <c r="BK83" s="0" t="n">
        <v>0.998</v>
      </c>
      <c r="BL83" s="0" t="n">
        <v>0.9985</v>
      </c>
      <c r="BM83" s="0" t="n">
        <v>0.9985</v>
      </c>
      <c r="BN83" s="0" t="n">
        <v>0.972</v>
      </c>
      <c r="BO83" s="0" t="n">
        <v>0.9999</v>
      </c>
      <c r="BP83" s="0" t="n">
        <v>0.9999</v>
      </c>
      <c r="BQ83" s="0" t="n">
        <v>1</v>
      </c>
      <c r="BR83" s="0" t="n">
        <v>1.0860926</v>
      </c>
      <c r="BS83" s="0" t="n">
        <v>1.1046</v>
      </c>
      <c r="BT83" s="0" t="n">
        <v>1.0827</v>
      </c>
      <c r="BU83" s="0" t="n">
        <v>1.0126</v>
      </c>
      <c r="BV83" s="0" t="n">
        <v>1</v>
      </c>
      <c r="BW83" s="0" t="n">
        <v>2.1246</v>
      </c>
      <c r="BX83" s="0" t="n">
        <v>2.268286333</v>
      </c>
      <c r="BY83" s="0" t="n">
        <v>1.07315</v>
      </c>
      <c r="BZ83" s="0" t="n">
        <v>1.2885</v>
      </c>
      <c r="CA83" s="0" t="n">
        <v>2.001</v>
      </c>
      <c r="CB83" s="0" t="n">
        <v>1.503505</v>
      </c>
      <c r="CC83" s="0" t="n">
        <v>1.503505</v>
      </c>
      <c r="CD83" s="0" t="n">
        <v>1.255605</v>
      </c>
      <c r="CE83" s="0" t="n">
        <v>1.06903</v>
      </c>
      <c r="CF83" s="0" t="n">
        <v>1.417005</v>
      </c>
      <c r="CG83" s="188"/>
      <c r="CH83" s="0" t="n">
        <v>1.096195</v>
      </c>
      <c r="CI83" s="188"/>
      <c r="CJ83" s="188"/>
      <c r="CK83" s="188"/>
      <c r="CL83" s="188"/>
      <c r="CM83" s="188"/>
      <c r="CN83" s="188"/>
      <c r="CO83" s="188"/>
      <c r="CP83" s="0" t="n">
        <v>0.975</v>
      </c>
      <c r="CQ83" s="0" t="n">
        <v>0.91</v>
      </c>
      <c r="CR83" s="0" t="n">
        <v>0.91</v>
      </c>
      <c r="CS83" s="0" t="n">
        <v>0.97</v>
      </c>
      <c r="CT83" s="0" t="n">
        <v>0.99895</v>
      </c>
      <c r="CU83" s="0" t="n">
        <v>0.41</v>
      </c>
      <c r="CV83" s="0" t="n">
        <v>0.47</v>
      </c>
      <c r="CW83" s="0" t="n">
        <v>0.935</v>
      </c>
      <c r="CX83" s="0" t="n">
        <v>0.645</v>
      </c>
      <c r="CY83" s="0" t="n">
        <v>0.725</v>
      </c>
      <c r="CZ83" s="0" t="n">
        <v>0.8775</v>
      </c>
      <c r="DA83" s="0" t="n">
        <v>0.91</v>
      </c>
      <c r="DB83" s="0" t="n">
        <v>0.89</v>
      </c>
      <c r="DC83" s="0" t="n">
        <v>0.9075</v>
      </c>
      <c r="DD83" s="0" t="n">
        <v>0.915</v>
      </c>
      <c r="DE83" s="0" t="n">
        <v>0.89</v>
      </c>
      <c r="DI83" s="0" t="n">
        <v>0.9775</v>
      </c>
      <c r="DN83" s="188" t="n">
        <v>0.000285</v>
      </c>
      <c r="DO83" s="188" t="n">
        <v>0.0002</v>
      </c>
      <c r="DP83" s="188" t="n">
        <v>0</v>
      </c>
      <c r="DQ83" s="188" t="n">
        <v>0.0001</v>
      </c>
      <c r="DR83" s="188" t="n">
        <v>0</v>
      </c>
      <c r="DS83" s="188" t="n">
        <v>0.0036</v>
      </c>
      <c r="DT83" s="188" t="n">
        <v>0.00047</v>
      </c>
      <c r="DU83" s="188" t="n">
        <v>0.0007</v>
      </c>
      <c r="DV83" s="188" t="n">
        <v>0</v>
      </c>
      <c r="DW83" s="188" t="n">
        <v>0</v>
      </c>
      <c r="DX83" s="188" t="n">
        <v>0.0005</v>
      </c>
      <c r="DY83" s="188" t="n">
        <v>0.0005</v>
      </c>
      <c r="DZ83" s="188" t="n">
        <v>0.0003</v>
      </c>
      <c r="EA83" s="188" t="n">
        <v>0.000275</v>
      </c>
      <c r="EB83" s="188" t="n">
        <v>0.0004</v>
      </c>
      <c r="ED83" s="188" t="n">
        <v>6.5E-005</v>
      </c>
      <c r="EF83" s="0" t="n">
        <v>1</v>
      </c>
    </row>
    <row r="84" customFormat="false" ht="12.75" hidden="false" customHeight="false" outlineLevel="0" collapsed="false">
      <c r="A84" s="149" t="n">
        <v>38930</v>
      </c>
      <c r="B84" s="0" t="n">
        <v>0.98</v>
      </c>
      <c r="C84" s="0" t="n">
        <v>0.988</v>
      </c>
      <c r="D84" s="0" t="n">
        <v>0.965</v>
      </c>
      <c r="E84" s="0" t="n">
        <f aca="false">E72</f>
        <v>0.978</v>
      </c>
      <c r="F84" s="0" t="n">
        <v>0.977</v>
      </c>
      <c r="G84" s="0" t="n">
        <v>0.915126</v>
      </c>
      <c r="H84" s="0" t="n">
        <v>0.9875</v>
      </c>
      <c r="I84" s="0" t="n">
        <v>0.9875</v>
      </c>
      <c r="J84" s="0" t="n">
        <v>0.9470475</v>
      </c>
      <c r="K84" s="0" t="n">
        <v>0.985</v>
      </c>
      <c r="L84" s="176" t="n">
        <v>0.9875</v>
      </c>
      <c r="M84" s="176" t="n">
        <v>0.9875</v>
      </c>
      <c r="N84" s="0" t="n">
        <v>0.98</v>
      </c>
      <c r="O84" s="0" t="n">
        <v>0.9875</v>
      </c>
      <c r="P84" s="0" t="n">
        <v>0.98</v>
      </c>
      <c r="Q84" s="177" t="n">
        <v>0.9875</v>
      </c>
      <c r="R84" s="0" t="n">
        <v>0.9875</v>
      </c>
      <c r="S84" s="176" t="n">
        <v>0.9875</v>
      </c>
      <c r="T84" s="0" t="n">
        <v>0.98</v>
      </c>
      <c r="U84" s="0" t="n">
        <v>0.98</v>
      </c>
      <c r="V84" s="0" t="n">
        <v>0.98</v>
      </c>
      <c r="W84" s="0" t="n">
        <v>0.98</v>
      </c>
      <c r="X84" s="0" t="n">
        <v>0.9875</v>
      </c>
      <c r="Y84" s="0" t="n">
        <v>0.9875</v>
      </c>
      <c r="Z84" s="0" t="n">
        <v>0.9875</v>
      </c>
      <c r="AA84" s="0" t="n">
        <v>0.9875</v>
      </c>
      <c r="AB84" s="0" t="n">
        <v>0.98</v>
      </c>
      <c r="AC84" s="0" t="n">
        <v>0.98</v>
      </c>
      <c r="AD84" s="0" t="n">
        <v>0.9875</v>
      </c>
      <c r="AE84" s="0" t="n">
        <v>0.9875</v>
      </c>
      <c r="AF84" s="0" t="n">
        <v>0.98</v>
      </c>
      <c r="AG84" s="0" t="n">
        <v>0.99</v>
      </c>
      <c r="AH84" s="0" t="n">
        <v>0.9756714</v>
      </c>
      <c r="AI84" s="0" t="n">
        <v>0.9756714</v>
      </c>
      <c r="AJ84" s="0" t="n">
        <v>0.98</v>
      </c>
      <c r="AK84" s="0" t="n">
        <v>1</v>
      </c>
      <c r="AL84" s="0" t="n">
        <v>0.985</v>
      </c>
      <c r="AM84" s="0" t="n">
        <v>0.985</v>
      </c>
      <c r="AS84" s="0" t="n">
        <v>0.977</v>
      </c>
      <c r="AT84" s="177" t="n">
        <v>0.9775</v>
      </c>
      <c r="AU84" s="0" t="n">
        <v>0.9756714</v>
      </c>
      <c r="AV84" s="0" t="n">
        <v>0.985</v>
      </c>
      <c r="AW84" s="0" t="n">
        <v>0.985</v>
      </c>
      <c r="AX84" s="0" t="n">
        <v>0.985</v>
      </c>
      <c r="AY84" s="0" t="n">
        <v>0.9756714</v>
      </c>
      <c r="AZ84" s="0" t="n">
        <v>0.9756714</v>
      </c>
      <c r="BA84" s="0" t="n">
        <v>0.985</v>
      </c>
      <c r="BB84" s="187" t="n">
        <v>1</v>
      </c>
      <c r="BC84" s="0" t="n">
        <v>1</v>
      </c>
      <c r="BD84" s="0" t="n">
        <v>1</v>
      </c>
      <c r="BE84" s="0" t="n">
        <v>1</v>
      </c>
      <c r="BF84" s="0" t="n">
        <v>0.9999</v>
      </c>
      <c r="BG84" s="0" t="n">
        <v>1</v>
      </c>
      <c r="BH84" s="0" t="n">
        <v>1</v>
      </c>
      <c r="BI84" s="0" t="n">
        <v>0.99</v>
      </c>
      <c r="BJ84" s="0" t="n">
        <v>0.999</v>
      </c>
      <c r="BK84" s="0" t="n">
        <v>0.998</v>
      </c>
      <c r="BL84" s="0" t="n">
        <v>0.9985</v>
      </c>
      <c r="BM84" s="0" t="n">
        <v>0.9985</v>
      </c>
      <c r="BN84" s="0" t="n">
        <v>0.972</v>
      </c>
      <c r="BO84" s="0" t="n">
        <v>0.9999</v>
      </c>
      <c r="BP84" s="0" t="n">
        <v>0.9999</v>
      </c>
      <c r="BQ84" s="0" t="n">
        <v>1</v>
      </c>
      <c r="BR84" s="0" t="n">
        <v>1.0863776</v>
      </c>
      <c r="BS84" s="0" t="n">
        <v>1.1048</v>
      </c>
      <c r="BT84" s="0" t="n">
        <v>1.0827</v>
      </c>
      <c r="BU84" s="0" t="n">
        <v>1.0127</v>
      </c>
      <c r="BV84" s="0" t="n">
        <v>1</v>
      </c>
      <c r="BW84" s="0" t="n">
        <v>2.1282</v>
      </c>
      <c r="BX84" s="0" t="n">
        <v>2.268756333</v>
      </c>
      <c r="BY84" s="0" t="n">
        <v>1.07385</v>
      </c>
      <c r="BZ84" s="0" t="n">
        <v>1.2885</v>
      </c>
      <c r="CA84" s="0" t="n">
        <v>2.001</v>
      </c>
      <c r="CB84" s="0" t="n">
        <v>1.504005</v>
      </c>
      <c r="CC84" s="0" t="n">
        <v>1.504005</v>
      </c>
      <c r="CD84" s="0" t="n">
        <v>1.255905</v>
      </c>
      <c r="CE84" s="0" t="n">
        <v>1.069305</v>
      </c>
      <c r="CF84" s="0" t="n">
        <v>1.417405</v>
      </c>
      <c r="CG84" s="188"/>
      <c r="CH84" s="0" t="n">
        <v>1.09626</v>
      </c>
      <c r="CI84" s="188"/>
      <c r="CJ84" s="188"/>
      <c r="CK84" s="188"/>
      <c r="CL84" s="188"/>
      <c r="CM84" s="188"/>
      <c r="CN84" s="188"/>
      <c r="CO84" s="188"/>
      <c r="CP84" s="0" t="n">
        <v>0.975</v>
      </c>
      <c r="CQ84" s="0" t="n">
        <v>0.91</v>
      </c>
      <c r="CR84" s="0" t="n">
        <v>0.91</v>
      </c>
      <c r="CS84" s="0" t="n">
        <v>0.97</v>
      </c>
      <c r="CT84" s="0" t="n">
        <v>0.99895</v>
      </c>
      <c r="CU84" s="0" t="n">
        <v>0.43</v>
      </c>
      <c r="CV84" s="0" t="n">
        <v>0.52</v>
      </c>
      <c r="CW84" s="0" t="n">
        <v>0.925</v>
      </c>
      <c r="CX84" s="0" t="n">
        <v>0.735</v>
      </c>
      <c r="CY84" s="0" t="n">
        <v>0.725</v>
      </c>
      <c r="CZ84" s="0" t="n">
        <v>0.89</v>
      </c>
      <c r="DA84" s="0" t="n">
        <v>0.9225</v>
      </c>
      <c r="DB84" s="0" t="n">
        <v>0.915</v>
      </c>
      <c r="DC84" s="0" t="n">
        <v>0.9275</v>
      </c>
      <c r="DD84" s="0" t="n">
        <v>0.915</v>
      </c>
      <c r="DE84" s="0" t="n">
        <v>0.89</v>
      </c>
      <c r="DI84" s="0" t="n">
        <v>0.9775</v>
      </c>
      <c r="DN84" s="188" t="n">
        <v>0.000285</v>
      </c>
      <c r="DO84" s="188" t="n">
        <v>0.0002</v>
      </c>
      <c r="DP84" s="188" t="n">
        <v>0</v>
      </c>
      <c r="DQ84" s="188" t="n">
        <v>0.0001</v>
      </c>
      <c r="DR84" s="188" t="n">
        <v>0</v>
      </c>
      <c r="DS84" s="188" t="n">
        <v>0.0036</v>
      </c>
      <c r="DT84" s="188" t="n">
        <v>0.00047</v>
      </c>
      <c r="DU84" s="188" t="n">
        <v>0.0007</v>
      </c>
      <c r="DV84" s="188" t="n">
        <v>0</v>
      </c>
      <c r="DW84" s="188" t="n">
        <v>0</v>
      </c>
      <c r="DX84" s="188" t="n">
        <v>0.0005</v>
      </c>
      <c r="DY84" s="188" t="n">
        <v>0.0005</v>
      </c>
      <c r="DZ84" s="188" t="n">
        <v>0.0003</v>
      </c>
      <c r="EA84" s="188" t="n">
        <v>0.000275</v>
      </c>
      <c r="EB84" s="188" t="n">
        <v>0.0004</v>
      </c>
      <c r="ED84" s="188" t="n">
        <v>6.5E-005</v>
      </c>
      <c r="EF84" s="0" t="n">
        <v>1</v>
      </c>
    </row>
    <row r="85" customFormat="false" ht="12.75" hidden="false" customHeight="false" outlineLevel="0" collapsed="false">
      <c r="A85" s="149" t="n">
        <v>38961</v>
      </c>
      <c r="B85" s="0" t="n">
        <v>0.98</v>
      </c>
      <c r="C85" s="0" t="n">
        <v>0.988</v>
      </c>
      <c r="D85" s="0" t="n">
        <v>0.965</v>
      </c>
      <c r="E85" s="0" t="n">
        <f aca="false">E73</f>
        <v>0.978</v>
      </c>
      <c r="F85" s="0" t="n">
        <v>0.977</v>
      </c>
      <c r="G85" s="0" t="n">
        <v>0.980628</v>
      </c>
      <c r="H85" s="0" t="n">
        <v>0.9875</v>
      </c>
      <c r="I85" s="0" t="n">
        <v>0.9875</v>
      </c>
      <c r="J85" s="0" t="n">
        <v>0.7666575</v>
      </c>
      <c r="K85" s="0" t="n">
        <v>0.985</v>
      </c>
      <c r="L85" s="176" t="n">
        <v>0.9875</v>
      </c>
      <c r="M85" s="176" t="n">
        <v>0.9875</v>
      </c>
      <c r="N85" s="0" t="n">
        <v>0.98</v>
      </c>
      <c r="O85" s="0" t="n">
        <v>0.9840136</v>
      </c>
      <c r="P85" s="0" t="n">
        <v>0.98</v>
      </c>
      <c r="Q85" s="177" t="n">
        <v>0.9875</v>
      </c>
      <c r="R85" s="0" t="n">
        <v>0.9875</v>
      </c>
      <c r="S85" s="176" t="n">
        <v>0.9875</v>
      </c>
      <c r="T85" s="0" t="n">
        <v>0.98</v>
      </c>
      <c r="U85" s="0" t="n">
        <v>0.98</v>
      </c>
      <c r="V85" s="0" t="n">
        <v>0.98</v>
      </c>
      <c r="W85" s="0" t="n">
        <v>0.98</v>
      </c>
      <c r="X85" s="0" t="n">
        <v>0.9840136</v>
      </c>
      <c r="Y85" s="0" t="n">
        <v>0.9840136</v>
      </c>
      <c r="Z85" s="0" t="n">
        <v>0.9840136</v>
      </c>
      <c r="AA85" s="0" t="n">
        <v>0.9840136</v>
      </c>
      <c r="AB85" s="0" t="n">
        <v>0.98</v>
      </c>
      <c r="AC85" s="0" t="n">
        <v>0.98</v>
      </c>
      <c r="AD85" s="0" t="n">
        <v>0.9840136</v>
      </c>
      <c r="AE85" s="0" t="n">
        <v>0.9840136</v>
      </c>
      <c r="AF85" s="0" t="n">
        <v>0.98</v>
      </c>
      <c r="AG85" s="0" t="n">
        <v>0.99</v>
      </c>
      <c r="AH85" s="0" t="n">
        <v>0.97572925</v>
      </c>
      <c r="AI85" s="0" t="n">
        <v>0.97572925</v>
      </c>
      <c r="AJ85" s="0" t="n">
        <v>0.98</v>
      </c>
      <c r="AK85" s="0" t="n">
        <v>1</v>
      </c>
      <c r="AL85" s="0" t="n">
        <v>0.985</v>
      </c>
      <c r="AM85" s="0" t="n">
        <v>0.985</v>
      </c>
      <c r="AS85" s="0" t="n">
        <v>0.977</v>
      </c>
      <c r="AT85" s="177" t="n">
        <v>0.9775</v>
      </c>
      <c r="AU85" s="0" t="n">
        <v>0.97572925</v>
      </c>
      <c r="AV85" s="0" t="n">
        <v>0.985</v>
      </c>
      <c r="AW85" s="0" t="n">
        <v>0.985</v>
      </c>
      <c r="AX85" s="0" t="n">
        <v>0.985</v>
      </c>
      <c r="AY85" s="0" t="n">
        <v>0.97572925</v>
      </c>
      <c r="AZ85" s="0" t="n">
        <v>0.97572925</v>
      </c>
      <c r="BA85" s="0" t="n">
        <v>0.985</v>
      </c>
      <c r="BB85" s="187" t="n">
        <v>1</v>
      </c>
      <c r="BC85" s="0" t="n">
        <v>1</v>
      </c>
      <c r="BD85" s="0" t="n">
        <v>1</v>
      </c>
      <c r="BE85" s="0" t="n">
        <v>1</v>
      </c>
      <c r="BF85" s="0" t="n">
        <v>0.9999</v>
      </c>
      <c r="BG85" s="0" t="n">
        <v>1</v>
      </c>
      <c r="BH85" s="0" t="n">
        <v>1</v>
      </c>
      <c r="BI85" s="0" t="n">
        <v>0.99</v>
      </c>
      <c r="BJ85" s="0" t="n">
        <v>0.999</v>
      </c>
      <c r="BK85" s="0" t="n">
        <v>0.998</v>
      </c>
      <c r="BL85" s="0" t="n">
        <v>0.9985</v>
      </c>
      <c r="BM85" s="0" t="n">
        <v>0.9985</v>
      </c>
      <c r="BN85" s="0" t="n">
        <v>0.972</v>
      </c>
      <c r="BO85" s="0" t="n">
        <v>0.9999</v>
      </c>
      <c r="BP85" s="0" t="n">
        <v>0.9999</v>
      </c>
      <c r="BQ85" s="0" t="n">
        <v>1</v>
      </c>
      <c r="BR85" s="0" t="n">
        <v>1.0866626</v>
      </c>
      <c r="BS85" s="0" t="n">
        <v>1.105</v>
      </c>
      <c r="BT85" s="0" t="n">
        <v>1.0827</v>
      </c>
      <c r="BU85" s="0" t="n">
        <v>1.0128</v>
      </c>
      <c r="BV85" s="0" t="n">
        <v>1</v>
      </c>
      <c r="BW85" s="0" t="n">
        <v>2.1318</v>
      </c>
      <c r="BX85" s="0" t="n">
        <v>2.269226333</v>
      </c>
      <c r="BY85" s="0" t="n">
        <v>1.07455</v>
      </c>
      <c r="BZ85" s="0" t="n">
        <v>1.2885</v>
      </c>
      <c r="CA85" s="0" t="n">
        <v>2.001</v>
      </c>
      <c r="CB85" s="0" t="n">
        <v>1.504505</v>
      </c>
      <c r="CC85" s="0" t="n">
        <v>1.504505</v>
      </c>
      <c r="CD85" s="0" t="n">
        <v>1.256205</v>
      </c>
      <c r="CE85" s="0" t="n">
        <v>1.06958</v>
      </c>
      <c r="CF85" s="0" t="n">
        <v>1.417805</v>
      </c>
      <c r="CG85" s="188"/>
      <c r="CH85" s="0" t="n">
        <v>1.096325</v>
      </c>
      <c r="CI85" s="188"/>
      <c r="CJ85" s="188"/>
      <c r="CK85" s="188"/>
      <c r="CL85" s="188"/>
      <c r="CM85" s="188"/>
      <c r="CN85" s="188"/>
      <c r="CO85" s="188"/>
      <c r="CP85" s="0" t="n">
        <v>0.975</v>
      </c>
      <c r="CQ85" s="0" t="n">
        <v>0.91</v>
      </c>
      <c r="CR85" s="0" t="n">
        <v>0.91</v>
      </c>
      <c r="CS85" s="0" t="n">
        <v>0.95</v>
      </c>
      <c r="CT85" s="0" t="n">
        <v>0.99895</v>
      </c>
      <c r="CU85" s="0" t="n">
        <v>0.46</v>
      </c>
      <c r="CV85" s="0" t="n">
        <v>0.55</v>
      </c>
      <c r="CW85" s="0" t="n">
        <v>0.925</v>
      </c>
      <c r="CX85" s="0" t="n">
        <v>0.595</v>
      </c>
      <c r="CY85" s="0" t="n">
        <v>0.575</v>
      </c>
      <c r="CZ85" s="0" t="n">
        <v>0.945</v>
      </c>
      <c r="DA85" s="0" t="n">
        <v>0.9775</v>
      </c>
      <c r="DB85" s="0" t="n">
        <v>0.945</v>
      </c>
      <c r="DC85" s="0" t="n">
        <v>0.92</v>
      </c>
      <c r="DD85" s="0" t="n">
        <v>0.915</v>
      </c>
      <c r="DE85" s="0" t="n">
        <v>0.89</v>
      </c>
      <c r="DI85" s="0" t="n">
        <v>0.9775</v>
      </c>
      <c r="DN85" s="188" t="n">
        <v>0.000285</v>
      </c>
      <c r="DO85" s="188" t="n">
        <v>0.0002</v>
      </c>
      <c r="DP85" s="188" t="n">
        <v>0</v>
      </c>
      <c r="DQ85" s="188" t="n">
        <v>0.0001</v>
      </c>
      <c r="DR85" s="188" t="n">
        <v>0</v>
      </c>
      <c r="DS85" s="188" t="n">
        <v>0.0036</v>
      </c>
      <c r="DT85" s="188" t="n">
        <v>0.00047</v>
      </c>
      <c r="DU85" s="188" t="n">
        <v>0.0007</v>
      </c>
      <c r="DV85" s="188" t="n">
        <v>0</v>
      </c>
      <c r="DW85" s="188" t="n">
        <v>0</v>
      </c>
      <c r="DX85" s="188" t="n">
        <v>0.0005</v>
      </c>
      <c r="DY85" s="188" t="n">
        <v>0.0005</v>
      </c>
      <c r="DZ85" s="188" t="n">
        <v>0.0003</v>
      </c>
      <c r="EA85" s="188" t="n">
        <v>0.000275</v>
      </c>
      <c r="EB85" s="188" t="n">
        <v>0.0004</v>
      </c>
      <c r="ED85" s="188" t="n">
        <v>6.5E-005</v>
      </c>
      <c r="EF85" s="0" t="n">
        <v>1</v>
      </c>
    </row>
    <row r="86" customFormat="false" ht="12.75" hidden="false" customHeight="false" outlineLevel="0" collapsed="false">
      <c r="A86" s="149" t="n">
        <v>38991</v>
      </c>
      <c r="B86" s="0" t="n">
        <v>0.98</v>
      </c>
      <c r="C86" s="0" t="n">
        <v>0.988</v>
      </c>
      <c r="D86" s="0" t="n">
        <v>0.96</v>
      </c>
      <c r="E86" s="0" t="n">
        <f aca="false">E74</f>
        <v>0.994</v>
      </c>
      <c r="F86" s="0" t="n">
        <v>0.977</v>
      </c>
      <c r="G86" s="0" t="n">
        <v>0.982284</v>
      </c>
      <c r="H86" s="0" t="n">
        <v>0.9875</v>
      </c>
      <c r="I86" s="0" t="n">
        <v>0.9875</v>
      </c>
      <c r="J86" s="0" t="n">
        <v>0.7537725</v>
      </c>
      <c r="K86" s="0" t="n">
        <v>0.985</v>
      </c>
      <c r="L86" s="176" t="n">
        <v>0.9875</v>
      </c>
      <c r="M86" s="176" t="n">
        <v>0.9875</v>
      </c>
      <c r="N86" s="0" t="n">
        <v>0.98</v>
      </c>
      <c r="O86" s="0" t="n">
        <v>0.965544138</v>
      </c>
      <c r="P86" s="0" t="n">
        <v>0.98</v>
      </c>
      <c r="Q86" s="177" t="n">
        <v>0.9875</v>
      </c>
      <c r="R86" s="0" t="n">
        <v>0.9875</v>
      </c>
      <c r="S86" s="176" t="n">
        <v>0.9875</v>
      </c>
      <c r="T86" s="0" t="n">
        <v>0.98</v>
      </c>
      <c r="U86" s="0" t="n">
        <v>0.98</v>
      </c>
      <c r="V86" s="0" t="n">
        <v>0.98</v>
      </c>
      <c r="W86" s="0" t="n">
        <v>0.98</v>
      </c>
      <c r="X86" s="0" t="n">
        <v>0.965544138</v>
      </c>
      <c r="Y86" s="0" t="n">
        <v>0.965544138</v>
      </c>
      <c r="Z86" s="0" t="n">
        <v>0.965544138</v>
      </c>
      <c r="AA86" s="0" t="n">
        <v>0.965544138</v>
      </c>
      <c r="AB86" s="0" t="n">
        <v>0.98</v>
      </c>
      <c r="AC86" s="0" t="n">
        <v>0.98</v>
      </c>
      <c r="AD86" s="0" t="n">
        <v>0.965544138</v>
      </c>
      <c r="AE86" s="0" t="n">
        <v>0.965544138</v>
      </c>
      <c r="AF86" s="0" t="n">
        <v>0.98</v>
      </c>
      <c r="AG86" s="0" t="n">
        <v>0.99</v>
      </c>
      <c r="AH86" s="0" t="n">
        <v>0.9757871</v>
      </c>
      <c r="AI86" s="0" t="n">
        <v>0.9757871</v>
      </c>
      <c r="AJ86" s="0" t="n">
        <v>0.98</v>
      </c>
      <c r="AK86" s="0" t="n">
        <v>1</v>
      </c>
      <c r="AL86" s="0" t="n">
        <v>0.985</v>
      </c>
      <c r="AM86" s="0" t="n">
        <v>0.985</v>
      </c>
      <c r="AS86" s="0" t="n">
        <v>0.977</v>
      </c>
      <c r="AT86" s="177" t="n">
        <v>0.9775</v>
      </c>
      <c r="AU86" s="0" t="n">
        <v>0.9757871</v>
      </c>
      <c r="AV86" s="0" t="n">
        <v>0.985</v>
      </c>
      <c r="AW86" s="0" t="n">
        <v>0.985</v>
      </c>
      <c r="AX86" s="0" t="n">
        <v>0.985</v>
      </c>
      <c r="AY86" s="0" t="n">
        <v>0.9757871</v>
      </c>
      <c r="AZ86" s="0" t="n">
        <v>0.9757871</v>
      </c>
      <c r="BA86" s="0" t="n">
        <v>0.985</v>
      </c>
      <c r="BB86" s="187" t="n">
        <v>1</v>
      </c>
      <c r="BC86" s="0" t="n">
        <v>1</v>
      </c>
      <c r="BD86" s="0" t="n">
        <v>1</v>
      </c>
      <c r="BE86" s="0" t="n">
        <v>1</v>
      </c>
      <c r="BF86" s="0" t="n">
        <v>0.9999</v>
      </c>
      <c r="BG86" s="0" t="n">
        <v>1</v>
      </c>
      <c r="BH86" s="0" t="n">
        <v>1</v>
      </c>
      <c r="BI86" s="0" t="n">
        <v>0.99</v>
      </c>
      <c r="BJ86" s="0" t="n">
        <v>0.999</v>
      </c>
      <c r="BK86" s="0" t="n">
        <v>0.998</v>
      </c>
      <c r="BL86" s="0" t="n">
        <v>0.9985</v>
      </c>
      <c r="BM86" s="0" t="n">
        <v>0.9985</v>
      </c>
      <c r="BN86" s="0" t="n">
        <v>0.972</v>
      </c>
      <c r="BO86" s="0" t="n">
        <v>0.9999</v>
      </c>
      <c r="BP86" s="0" t="n">
        <v>0.9999</v>
      </c>
      <c r="BQ86" s="0" t="n">
        <v>1</v>
      </c>
      <c r="BR86" s="0" t="n">
        <v>1.0869476</v>
      </c>
      <c r="BS86" s="0" t="n">
        <v>1.1052</v>
      </c>
      <c r="BT86" s="0" t="n">
        <v>1.0827</v>
      </c>
      <c r="BU86" s="0" t="n">
        <v>1.0129</v>
      </c>
      <c r="BV86" s="0" t="n">
        <v>1</v>
      </c>
      <c r="BW86" s="0" t="n">
        <v>2.1354</v>
      </c>
      <c r="BX86" s="0" t="n">
        <v>2.269696333</v>
      </c>
      <c r="BY86" s="0" t="n">
        <v>1.07525</v>
      </c>
      <c r="BZ86" s="0" t="n">
        <v>1.2885</v>
      </c>
      <c r="CA86" s="0" t="n">
        <v>2.001</v>
      </c>
      <c r="CB86" s="0" t="n">
        <v>1.505005</v>
      </c>
      <c r="CC86" s="0" t="n">
        <v>1.505005</v>
      </c>
      <c r="CD86" s="0" t="n">
        <v>1.256505</v>
      </c>
      <c r="CE86" s="0" t="n">
        <v>1.069855</v>
      </c>
      <c r="CF86" s="0" t="n">
        <v>1.418205</v>
      </c>
      <c r="CG86" s="188"/>
      <c r="CH86" s="0" t="n">
        <v>1.09639</v>
      </c>
      <c r="CI86" s="188"/>
      <c r="CJ86" s="188"/>
      <c r="CK86" s="188"/>
      <c r="CL86" s="188"/>
      <c r="CM86" s="188"/>
      <c r="CN86" s="188"/>
      <c r="CO86" s="188"/>
      <c r="CP86" s="0" t="n">
        <v>0.955</v>
      </c>
      <c r="CQ86" s="0" t="n">
        <v>0.9</v>
      </c>
      <c r="CR86" s="0" t="n">
        <v>0.91</v>
      </c>
      <c r="CS86" s="0" t="n">
        <v>0.94</v>
      </c>
      <c r="CT86" s="0" t="n">
        <v>0.99895</v>
      </c>
      <c r="CU86" s="0" t="n">
        <v>0.46</v>
      </c>
      <c r="CV86" s="0" t="n">
        <v>0.45</v>
      </c>
      <c r="CW86" s="0" t="n">
        <v>0.925</v>
      </c>
      <c r="CX86" s="0" t="n">
        <v>0.585</v>
      </c>
      <c r="CY86" s="0" t="n">
        <v>0.505</v>
      </c>
      <c r="CZ86" s="0" t="n">
        <v>0.805</v>
      </c>
      <c r="DA86" s="0" t="n">
        <v>0.8375</v>
      </c>
      <c r="DB86" s="0" t="n">
        <v>0.875</v>
      </c>
      <c r="DC86" s="0" t="n">
        <v>0.9025</v>
      </c>
      <c r="DD86" s="0" t="n">
        <v>0.82</v>
      </c>
      <c r="DE86" s="0" t="n">
        <v>0.89</v>
      </c>
      <c r="DI86" s="0" t="n">
        <v>0.9775</v>
      </c>
      <c r="DN86" s="188" t="n">
        <v>0.000285</v>
      </c>
      <c r="DO86" s="188" t="n">
        <v>0.0002</v>
      </c>
      <c r="DP86" s="188" t="n">
        <v>0</v>
      </c>
      <c r="DQ86" s="188" t="n">
        <v>0.0001</v>
      </c>
      <c r="DR86" s="188" t="n">
        <v>0</v>
      </c>
      <c r="DS86" s="188" t="n">
        <v>0.0036</v>
      </c>
      <c r="DT86" s="188" t="n">
        <v>0.00047</v>
      </c>
      <c r="DU86" s="188" t="n">
        <v>0.0007</v>
      </c>
      <c r="DV86" s="188" t="n">
        <v>0</v>
      </c>
      <c r="DW86" s="188" t="n">
        <v>0</v>
      </c>
      <c r="DX86" s="188" t="n">
        <v>0.0005</v>
      </c>
      <c r="DY86" s="188" t="n">
        <v>0.0005</v>
      </c>
      <c r="DZ86" s="188" t="n">
        <v>0.0003</v>
      </c>
      <c r="EA86" s="188" t="n">
        <v>0.000275</v>
      </c>
      <c r="EB86" s="188" t="n">
        <v>0.0004</v>
      </c>
      <c r="ED86" s="188" t="n">
        <v>6.5E-005</v>
      </c>
      <c r="EF86" s="0" t="n">
        <v>1</v>
      </c>
    </row>
    <row r="87" customFormat="false" ht="12.75" hidden="false" customHeight="false" outlineLevel="0" collapsed="false">
      <c r="A87" s="149" t="n">
        <v>39022</v>
      </c>
      <c r="B87" s="0" t="n">
        <v>0.98</v>
      </c>
      <c r="C87" s="0" t="n">
        <v>0.988</v>
      </c>
      <c r="D87" s="0" t="n">
        <v>0.96</v>
      </c>
      <c r="E87" s="0" t="n">
        <f aca="false">E75</f>
        <v>0.994</v>
      </c>
      <c r="F87" s="0" t="n">
        <v>0.977</v>
      </c>
      <c r="G87" s="0" t="n">
        <v>0.9875</v>
      </c>
      <c r="H87" s="0" t="n">
        <v>0.9875</v>
      </c>
      <c r="I87" s="0" t="n">
        <v>0.97373475</v>
      </c>
      <c r="J87" s="0" t="n">
        <v>0.7022325</v>
      </c>
      <c r="K87" s="0" t="n">
        <v>0.970485</v>
      </c>
      <c r="L87" s="176" t="n">
        <v>0.9875</v>
      </c>
      <c r="M87" s="176" t="n">
        <v>0.9875</v>
      </c>
      <c r="N87" s="0" t="n">
        <v>0.98</v>
      </c>
      <c r="O87" s="0" t="n">
        <v>0.965792325</v>
      </c>
      <c r="P87" s="0" t="n">
        <v>0.98</v>
      </c>
      <c r="Q87" s="177" t="n">
        <v>0.9875</v>
      </c>
      <c r="R87" s="0" t="n">
        <v>0.9875</v>
      </c>
      <c r="S87" s="176" t="n">
        <v>0.9875</v>
      </c>
      <c r="T87" s="0" t="n">
        <v>0.98</v>
      </c>
      <c r="U87" s="0" t="n">
        <v>0.98</v>
      </c>
      <c r="V87" s="0" t="n">
        <v>0.98</v>
      </c>
      <c r="W87" s="0" t="n">
        <v>0.98</v>
      </c>
      <c r="X87" s="0" t="n">
        <v>0.965792325</v>
      </c>
      <c r="Y87" s="0" t="n">
        <v>0.965792325</v>
      </c>
      <c r="Z87" s="0" t="n">
        <v>0.965792325</v>
      </c>
      <c r="AA87" s="0" t="n">
        <v>0.965792325</v>
      </c>
      <c r="AB87" s="0" t="n">
        <v>0.98</v>
      </c>
      <c r="AC87" s="0" t="n">
        <v>0.98</v>
      </c>
      <c r="AD87" s="0" t="n">
        <v>0.965792325</v>
      </c>
      <c r="AE87" s="0" t="n">
        <v>0.965792325</v>
      </c>
      <c r="AF87" s="0" t="n">
        <v>0.98</v>
      </c>
      <c r="AG87" s="0" t="n">
        <v>0.99</v>
      </c>
      <c r="AH87" s="0" t="n">
        <v>0.97584495</v>
      </c>
      <c r="AI87" s="0" t="n">
        <v>0.97584495</v>
      </c>
      <c r="AJ87" s="0" t="n">
        <v>0.98</v>
      </c>
      <c r="AK87" s="0" t="n">
        <v>1</v>
      </c>
      <c r="AL87" s="0" t="n">
        <v>0.970485</v>
      </c>
      <c r="AM87" s="0" t="n">
        <v>0.97443</v>
      </c>
      <c r="AS87" s="0" t="n">
        <v>0.977</v>
      </c>
      <c r="AT87" s="177" t="n">
        <v>0.9775</v>
      </c>
      <c r="AU87" s="0" t="n">
        <v>0.97584495</v>
      </c>
      <c r="AV87" s="0" t="n">
        <v>0.97443</v>
      </c>
      <c r="AW87" s="0" t="n">
        <v>0.97443</v>
      </c>
      <c r="AX87" s="0" t="n">
        <v>0.97443</v>
      </c>
      <c r="AY87" s="0" t="n">
        <v>0.97584495</v>
      </c>
      <c r="AZ87" s="0" t="n">
        <v>0.97584495</v>
      </c>
      <c r="BA87" s="0" t="n">
        <v>0.97443</v>
      </c>
      <c r="BB87" s="187" t="n">
        <v>1</v>
      </c>
      <c r="BC87" s="0" t="n">
        <v>1</v>
      </c>
      <c r="BD87" s="0" t="n">
        <v>1</v>
      </c>
      <c r="BE87" s="0" t="n">
        <v>1</v>
      </c>
      <c r="BF87" s="0" t="n">
        <v>0.9999</v>
      </c>
      <c r="BG87" s="0" t="n">
        <v>1</v>
      </c>
      <c r="BH87" s="0" t="n">
        <v>1</v>
      </c>
      <c r="BI87" s="0" t="n">
        <v>0.99</v>
      </c>
      <c r="BJ87" s="0" t="n">
        <v>0.999</v>
      </c>
      <c r="BK87" s="0" t="n">
        <v>0.998</v>
      </c>
      <c r="BL87" s="0" t="n">
        <v>0.9985</v>
      </c>
      <c r="BM87" s="0" t="n">
        <v>0.9985</v>
      </c>
      <c r="BN87" s="0" t="n">
        <v>0.972</v>
      </c>
      <c r="BO87" s="0" t="n">
        <v>0.9999</v>
      </c>
      <c r="BP87" s="0" t="n">
        <v>0.9999</v>
      </c>
      <c r="BQ87" s="0" t="n">
        <v>1</v>
      </c>
      <c r="BR87" s="0" t="n">
        <v>1.0872326</v>
      </c>
      <c r="BS87" s="0" t="n">
        <v>1.1054</v>
      </c>
      <c r="BT87" s="0" t="n">
        <v>1.0827</v>
      </c>
      <c r="BU87" s="0" t="n">
        <v>1.013</v>
      </c>
      <c r="BV87" s="0" t="n">
        <v>1</v>
      </c>
      <c r="BW87" s="0" t="n">
        <v>2.139</v>
      </c>
      <c r="BX87" s="0" t="n">
        <v>2.270166333</v>
      </c>
      <c r="BY87" s="0" t="n">
        <v>1.07595</v>
      </c>
      <c r="BZ87" s="0" t="n">
        <v>1.2885</v>
      </c>
      <c r="CA87" s="0" t="n">
        <v>2.001</v>
      </c>
      <c r="CB87" s="0" t="n">
        <v>1.505505</v>
      </c>
      <c r="CC87" s="0" t="n">
        <v>1.505505</v>
      </c>
      <c r="CD87" s="0" t="n">
        <v>1.256805</v>
      </c>
      <c r="CE87" s="0" t="n">
        <v>1.07013</v>
      </c>
      <c r="CF87" s="0" t="n">
        <v>1.418605</v>
      </c>
      <c r="CG87" s="188"/>
      <c r="CH87" s="0" t="n">
        <v>1.096455</v>
      </c>
      <c r="CI87" s="188"/>
      <c r="CJ87" s="188"/>
      <c r="CK87" s="188"/>
      <c r="CL87" s="188"/>
      <c r="CM87" s="188"/>
      <c r="CN87" s="188"/>
      <c r="CO87" s="188"/>
      <c r="CP87" s="0" t="n">
        <v>0.955</v>
      </c>
      <c r="CQ87" s="0" t="n">
        <v>0.9</v>
      </c>
      <c r="CR87" s="0" t="n">
        <v>0.9</v>
      </c>
      <c r="CS87" s="0" t="n">
        <v>0.94</v>
      </c>
      <c r="CT87" s="0" t="n">
        <v>0.999</v>
      </c>
      <c r="CU87" s="0" t="n">
        <v>0.48</v>
      </c>
      <c r="CV87" s="0" t="n">
        <v>0.46</v>
      </c>
      <c r="CW87" s="0" t="n">
        <v>0.905</v>
      </c>
      <c r="CX87" s="0" t="n">
        <v>0.545</v>
      </c>
      <c r="CY87" s="0" t="n">
        <v>0.485</v>
      </c>
      <c r="CZ87" s="0" t="n">
        <v>0.795</v>
      </c>
      <c r="DA87" s="0" t="n">
        <v>0.8275</v>
      </c>
      <c r="DB87" s="0" t="n">
        <v>0.85</v>
      </c>
      <c r="DC87" s="0" t="n">
        <v>0.9025</v>
      </c>
      <c r="DD87" s="0" t="n">
        <v>0.82</v>
      </c>
      <c r="DE87" s="0" t="n">
        <v>0.89</v>
      </c>
      <c r="DI87" s="0" t="n">
        <v>0.9775</v>
      </c>
      <c r="DN87" s="188" t="n">
        <v>0.000285</v>
      </c>
      <c r="DO87" s="188" t="n">
        <v>0.0002</v>
      </c>
      <c r="DP87" s="188" t="n">
        <v>0</v>
      </c>
      <c r="DQ87" s="188" t="n">
        <v>0.0001</v>
      </c>
      <c r="DR87" s="188" t="n">
        <v>0</v>
      </c>
      <c r="DS87" s="188" t="n">
        <v>0.0036</v>
      </c>
      <c r="DT87" s="188" t="n">
        <v>0.00047</v>
      </c>
      <c r="DU87" s="188" t="n">
        <v>0.0007</v>
      </c>
      <c r="DV87" s="188" t="n">
        <v>0</v>
      </c>
      <c r="DW87" s="188" t="n">
        <v>0</v>
      </c>
      <c r="DX87" s="188" t="n">
        <v>0.0005</v>
      </c>
      <c r="DY87" s="188" t="n">
        <v>0.0005</v>
      </c>
      <c r="DZ87" s="188" t="n">
        <v>0.0003</v>
      </c>
      <c r="EA87" s="188" t="n">
        <v>0.000275</v>
      </c>
      <c r="EB87" s="188" t="n">
        <v>0.0004</v>
      </c>
      <c r="ED87" s="188" t="n">
        <v>6.5E-005</v>
      </c>
      <c r="EF87" s="0" t="n">
        <v>1</v>
      </c>
    </row>
    <row r="88" customFormat="false" ht="12.75" hidden="false" customHeight="false" outlineLevel="0" collapsed="false">
      <c r="A88" s="149" t="n">
        <v>39052</v>
      </c>
      <c r="B88" s="0" t="n">
        <v>0.98</v>
      </c>
      <c r="C88" s="0" t="n">
        <v>0.983984</v>
      </c>
      <c r="D88" s="0" t="n">
        <v>0.96</v>
      </c>
      <c r="E88" s="0" t="n">
        <f aca="false">E76</f>
        <v>0.994</v>
      </c>
      <c r="F88" s="0" t="n">
        <v>0.977</v>
      </c>
      <c r="G88" s="0" t="n">
        <v>0.9875</v>
      </c>
      <c r="H88" s="0" t="n">
        <v>0.9875</v>
      </c>
      <c r="I88" s="0" t="n">
        <v>0.94206875</v>
      </c>
      <c r="J88" s="0" t="n">
        <v>0.708675</v>
      </c>
      <c r="K88" s="0" t="n">
        <v>0.970485</v>
      </c>
      <c r="L88" s="176" t="n">
        <v>0.88854295</v>
      </c>
      <c r="M88" s="176" t="n">
        <v>0.937488112</v>
      </c>
      <c r="N88" s="0" t="n">
        <v>0.86740245</v>
      </c>
      <c r="O88" s="0" t="n">
        <v>0.955336463</v>
      </c>
      <c r="P88" s="0" t="n">
        <v>0.86740245</v>
      </c>
      <c r="Q88" s="177" t="n">
        <v>0.88854295</v>
      </c>
      <c r="R88" s="0" t="n">
        <v>0.88854295</v>
      </c>
      <c r="S88" s="176" t="n">
        <v>0.88854295</v>
      </c>
      <c r="T88" s="0" t="n">
        <v>0.86740245</v>
      </c>
      <c r="U88" s="0" t="n">
        <v>0.86740245</v>
      </c>
      <c r="V88" s="0" t="n">
        <v>0.86740245</v>
      </c>
      <c r="W88" s="0" t="n">
        <v>0.86740245</v>
      </c>
      <c r="X88" s="0" t="n">
        <v>0.955336463</v>
      </c>
      <c r="Y88" s="0" t="n">
        <v>0.955336463</v>
      </c>
      <c r="Z88" s="0" t="n">
        <v>0.955336463</v>
      </c>
      <c r="AA88" s="0" t="n">
        <v>0.955336463</v>
      </c>
      <c r="AB88" s="0" t="n">
        <v>0.86740245</v>
      </c>
      <c r="AC88" s="0" t="n">
        <v>0.86740245</v>
      </c>
      <c r="AD88" s="0" t="n">
        <v>0.955336463</v>
      </c>
      <c r="AE88" s="0" t="n">
        <v>0.955336463</v>
      </c>
      <c r="AF88" s="0" t="n">
        <v>0.86740245</v>
      </c>
      <c r="AG88" s="0" t="n">
        <v>0.98</v>
      </c>
      <c r="AH88" s="0" t="n">
        <v>0.9759028</v>
      </c>
      <c r="AI88" s="0" t="n">
        <v>0.9759028</v>
      </c>
      <c r="AJ88" s="0" t="n">
        <v>0.86740245</v>
      </c>
      <c r="AK88" s="0" t="n">
        <v>1</v>
      </c>
      <c r="AL88" s="0" t="n">
        <v>0.970485</v>
      </c>
      <c r="AM88" s="0" t="n">
        <v>0.952776</v>
      </c>
      <c r="AS88" s="0" t="n">
        <v>0.977</v>
      </c>
      <c r="AT88" s="177" t="n">
        <v>0.9775</v>
      </c>
      <c r="AU88" s="0" t="n">
        <v>0.9759028</v>
      </c>
      <c r="AV88" s="0" t="n">
        <v>0.952776</v>
      </c>
      <c r="AW88" s="0" t="n">
        <v>0.952776</v>
      </c>
      <c r="AX88" s="0" t="n">
        <v>0.952776</v>
      </c>
      <c r="AY88" s="0" t="n">
        <v>0.9759028</v>
      </c>
      <c r="AZ88" s="0" t="n">
        <v>0.9759028</v>
      </c>
      <c r="BA88" s="0" t="n">
        <v>0.952776</v>
      </c>
      <c r="BB88" s="187" t="n">
        <v>1</v>
      </c>
      <c r="BC88" s="0" t="n">
        <v>1</v>
      </c>
      <c r="BD88" s="0" t="n">
        <v>1</v>
      </c>
      <c r="BE88" s="0" t="n">
        <v>1</v>
      </c>
      <c r="BF88" s="0" t="n">
        <v>0.9999</v>
      </c>
      <c r="BG88" s="0" t="n">
        <v>1</v>
      </c>
      <c r="BH88" s="0" t="n">
        <v>1</v>
      </c>
      <c r="BI88" s="0" t="n">
        <v>0.99</v>
      </c>
      <c r="BJ88" s="0" t="n">
        <v>0.999</v>
      </c>
      <c r="BK88" s="0" t="n">
        <v>0.998</v>
      </c>
      <c r="BL88" s="0" t="n">
        <v>0.9985</v>
      </c>
      <c r="BM88" s="0" t="n">
        <v>0.9985</v>
      </c>
      <c r="BN88" s="0" t="n">
        <v>0.972</v>
      </c>
      <c r="BO88" s="0" t="n">
        <v>0.9999</v>
      </c>
      <c r="BP88" s="0" t="n">
        <v>0.9999</v>
      </c>
      <c r="BQ88" s="0" t="n">
        <v>1</v>
      </c>
      <c r="BR88" s="0" t="n">
        <v>1.0875176</v>
      </c>
      <c r="BS88" s="0" t="n">
        <v>1.1056</v>
      </c>
      <c r="BT88" s="0" t="n">
        <v>1.0827</v>
      </c>
      <c r="BU88" s="0" t="n">
        <v>1.0131</v>
      </c>
      <c r="BV88" s="0" t="n">
        <v>1</v>
      </c>
      <c r="BW88" s="0" t="n">
        <v>2.1426</v>
      </c>
      <c r="BX88" s="0" t="n">
        <v>2.270636333</v>
      </c>
      <c r="BY88" s="0" t="n">
        <v>1.07665</v>
      </c>
      <c r="BZ88" s="0" t="n">
        <v>1.2885</v>
      </c>
      <c r="CA88" s="0" t="n">
        <v>2.001</v>
      </c>
      <c r="CB88" s="0" t="n">
        <v>1.506005</v>
      </c>
      <c r="CC88" s="0" t="n">
        <v>1.506005</v>
      </c>
      <c r="CD88" s="0" t="n">
        <v>1.257105</v>
      </c>
      <c r="CE88" s="0" t="n">
        <v>1.070405</v>
      </c>
      <c r="CF88" s="0" t="n">
        <v>1.419005</v>
      </c>
      <c r="CG88" s="188"/>
      <c r="CH88" s="0" t="n">
        <v>1.09652</v>
      </c>
      <c r="CI88" s="188"/>
      <c r="CJ88" s="188"/>
      <c r="CK88" s="188"/>
      <c r="CL88" s="188"/>
      <c r="CM88" s="188"/>
      <c r="CN88" s="188"/>
      <c r="CO88" s="188"/>
      <c r="CP88" s="0" t="n">
        <v>0.935</v>
      </c>
      <c r="CQ88" s="0" t="n">
        <v>0.89</v>
      </c>
      <c r="CR88" s="0" t="n">
        <v>0.88</v>
      </c>
      <c r="CS88" s="0" t="n">
        <v>0.92</v>
      </c>
      <c r="CT88" s="0" t="n">
        <v>0.999</v>
      </c>
      <c r="CU88" s="0" t="n">
        <v>0.51</v>
      </c>
      <c r="CV88" s="0" t="n">
        <v>0.48</v>
      </c>
      <c r="CW88" s="0" t="n">
        <v>0.875</v>
      </c>
      <c r="CX88" s="0" t="n">
        <v>0.55</v>
      </c>
      <c r="CY88" s="0" t="n">
        <v>0.485</v>
      </c>
      <c r="CZ88" s="0" t="n">
        <v>0.59</v>
      </c>
      <c r="DA88" s="0" t="n">
        <v>0.6225</v>
      </c>
      <c r="DB88" s="0" t="n">
        <v>0.69</v>
      </c>
      <c r="DC88" s="0" t="n">
        <v>0.8925</v>
      </c>
      <c r="DD88" s="0" t="n">
        <v>0.715</v>
      </c>
      <c r="DE88" s="0" t="n">
        <v>0.89</v>
      </c>
      <c r="DI88" s="0" t="n">
        <v>0.9775</v>
      </c>
      <c r="DN88" s="188" t="n">
        <v>0.000285</v>
      </c>
      <c r="DO88" s="188" t="n">
        <v>0.0002</v>
      </c>
      <c r="DP88" s="188" t="n">
        <v>0</v>
      </c>
      <c r="DQ88" s="188" t="n">
        <v>0.0001</v>
      </c>
      <c r="DR88" s="188" t="n">
        <v>0</v>
      </c>
      <c r="DS88" s="188" t="n">
        <v>0.0036</v>
      </c>
      <c r="DT88" s="188" t="n">
        <v>0.00047</v>
      </c>
      <c r="DU88" s="188" t="n">
        <v>0.0007</v>
      </c>
      <c r="DV88" s="188" t="n">
        <v>0</v>
      </c>
      <c r="DW88" s="188" t="n">
        <v>0</v>
      </c>
      <c r="DX88" s="188" t="n">
        <v>0.0005</v>
      </c>
      <c r="DY88" s="188" t="n">
        <v>0.0005</v>
      </c>
      <c r="DZ88" s="188" t="n">
        <v>0.0003</v>
      </c>
      <c r="EA88" s="188" t="n">
        <v>0.000275</v>
      </c>
      <c r="EB88" s="188" t="n">
        <v>0.0004</v>
      </c>
      <c r="ED88" s="188" t="n">
        <v>6.5E-005</v>
      </c>
      <c r="EF88" s="0" t="n">
        <v>1</v>
      </c>
    </row>
    <row r="89" customFormat="false" ht="12.75" hidden="false" customHeight="false" outlineLevel="0" collapsed="false">
      <c r="A89" s="149" t="n">
        <v>39083</v>
      </c>
      <c r="B89" s="0" t="n">
        <v>0.98</v>
      </c>
      <c r="C89" s="0" t="n">
        <v>0.950988</v>
      </c>
      <c r="D89" s="0" t="n">
        <v>0.96</v>
      </c>
      <c r="E89" s="0" t="n">
        <f aca="false">E77</f>
        <v>0.994</v>
      </c>
      <c r="F89" s="0" t="n">
        <v>0.977</v>
      </c>
      <c r="G89" s="0" t="n">
        <v>0.9875</v>
      </c>
      <c r="H89" s="0" t="n">
        <v>0.9875</v>
      </c>
      <c r="I89" s="0" t="n">
        <v>0.86726675</v>
      </c>
      <c r="J89" s="0" t="n">
        <v>0.72156</v>
      </c>
      <c r="K89" s="0" t="n">
        <v>0.985</v>
      </c>
      <c r="L89" s="176" t="n">
        <v>0.911435525</v>
      </c>
      <c r="M89" s="176" t="n">
        <v>0.960396937</v>
      </c>
      <c r="N89" s="0" t="n">
        <v>0.86760945</v>
      </c>
      <c r="O89" s="0" t="n">
        <v>0.9421984</v>
      </c>
      <c r="P89" s="0" t="n">
        <v>0.86760945</v>
      </c>
      <c r="Q89" s="177" t="n">
        <v>0.911435525</v>
      </c>
      <c r="R89" s="0" t="n">
        <v>0.911435525</v>
      </c>
      <c r="S89" s="176" t="n">
        <v>0.911435525</v>
      </c>
      <c r="T89" s="0" t="n">
        <v>0.86760945</v>
      </c>
      <c r="U89" s="0" t="n">
        <v>0.86760945</v>
      </c>
      <c r="V89" s="0" t="n">
        <v>0.86760945</v>
      </c>
      <c r="W89" s="0" t="n">
        <v>0.86760945</v>
      </c>
      <c r="X89" s="0" t="n">
        <v>0.9421984</v>
      </c>
      <c r="Y89" s="0" t="n">
        <v>0.9421984</v>
      </c>
      <c r="Z89" s="0" t="n">
        <v>0.9421984</v>
      </c>
      <c r="AA89" s="0" t="n">
        <v>0.9421984</v>
      </c>
      <c r="AB89" s="0" t="n">
        <v>0.86760945</v>
      </c>
      <c r="AC89" s="0" t="n">
        <v>0.86760945</v>
      </c>
      <c r="AD89" s="0" t="n">
        <v>0.9421984</v>
      </c>
      <c r="AE89" s="0" t="n">
        <v>0.9421984</v>
      </c>
      <c r="AF89" s="0" t="n">
        <v>0.86760945</v>
      </c>
      <c r="AG89" s="0" t="n">
        <v>0.98</v>
      </c>
      <c r="AH89" s="0" t="n">
        <v>0.97596065</v>
      </c>
      <c r="AI89" s="0" t="n">
        <v>0.97596065</v>
      </c>
      <c r="AJ89" s="0" t="n">
        <v>0.86760945</v>
      </c>
      <c r="AK89" s="0" t="n">
        <v>1</v>
      </c>
      <c r="AL89" s="0" t="n">
        <v>0.985</v>
      </c>
      <c r="AM89" s="0" t="n">
        <v>0.941949</v>
      </c>
      <c r="AS89" s="0" t="n">
        <v>0.977</v>
      </c>
      <c r="AT89" s="177" t="n">
        <v>0.9775</v>
      </c>
      <c r="AU89" s="0" t="n">
        <v>0.97596065</v>
      </c>
      <c r="AV89" s="0" t="n">
        <v>0.941949</v>
      </c>
      <c r="AW89" s="0" t="n">
        <v>0.941949</v>
      </c>
      <c r="AX89" s="0" t="n">
        <v>0.941949</v>
      </c>
      <c r="AY89" s="0" t="n">
        <v>0.97596065</v>
      </c>
      <c r="AZ89" s="0" t="n">
        <v>0.97596065</v>
      </c>
      <c r="BA89" s="0" t="n">
        <v>0.941949</v>
      </c>
      <c r="BB89" s="187" t="n">
        <v>1</v>
      </c>
      <c r="BC89" s="0" t="n">
        <v>1</v>
      </c>
      <c r="BD89" s="0" t="n">
        <v>1</v>
      </c>
      <c r="BE89" s="0" t="n">
        <v>1</v>
      </c>
      <c r="BF89" s="0" t="n">
        <v>0.9999</v>
      </c>
      <c r="BG89" s="0" t="n">
        <v>1</v>
      </c>
      <c r="BH89" s="0" t="n">
        <v>1</v>
      </c>
      <c r="BI89" s="0" t="n">
        <v>0.99</v>
      </c>
      <c r="BJ89" s="0" t="n">
        <v>0.999</v>
      </c>
      <c r="BK89" s="0" t="n">
        <v>0.998</v>
      </c>
      <c r="BL89" s="0" t="n">
        <v>0.9985</v>
      </c>
      <c r="BM89" s="0" t="n">
        <v>0.9985</v>
      </c>
      <c r="BN89" s="0" t="n">
        <v>0.972</v>
      </c>
      <c r="BO89" s="0" t="n">
        <v>0.9999</v>
      </c>
      <c r="BP89" s="0" t="n">
        <v>0.9999</v>
      </c>
      <c r="BQ89" s="0" t="n">
        <v>1</v>
      </c>
      <c r="BR89" s="0" t="n">
        <v>1.0878026</v>
      </c>
      <c r="BS89" s="0" t="n">
        <v>1.1058</v>
      </c>
      <c r="BT89" s="0" t="n">
        <v>1.0827</v>
      </c>
      <c r="BU89" s="0" t="n">
        <v>1.0132</v>
      </c>
      <c r="BV89" s="0" t="n">
        <v>1</v>
      </c>
      <c r="BW89" s="0" t="n">
        <v>2.1462</v>
      </c>
      <c r="BX89" s="0" t="n">
        <v>2.271106333</v>
      </c>
      <c r="BY89" s="0" t="n">
        <v>1.07735</v>
      </c>
      <c r="BZ89" s="0" t="n">
        <v>1.2885</v>
      </c>
      <c r="CA89" s="0" t="n">
        <v>2.001</v>
      </c>
      <c r="CB89" s="0" t="n">
        <v>1.506505</v>
      </c>
      <c r="CC89" s="0" t="n">
        <v>1.506505</v>
      </c>
      <c r="CD89" s="0" t="n">
        <v>1.257405</v>
      </c>
      <c r="CE89" s="0" t="n">
        <v>1.07068</v>
      </c>
      <c r="CF89" s="0" t="n">
        <v>1.419405</v>
      </c>
      <c r="CG89" s="188"/>
      <c r="CH89" s="0" t="n">
        <v>1.096585</v>
      </c>
      <c r="CI89" s="188"/>
      <c r="CJ89" s="188"/>
      <c r="CK89" s="188"/>
      <c r="CL89" s="188"/>
      <c r="CM89" s="188"/>
      <c r="CN89" s="188"/>
      <c r="CO89" s="188"/>
      <c r="CP89" s="0" t="n">
        <v>0.895</v>
      </c>
      <c r="CQ89" s="0" t="n">
        <v>0.86</v>
      </c>
      <c r="CR89" s="0" t="n">
        <v>0.87</v>
      </c>
      <c r="CS89" s="0" t="n">
        <v>0.92</v>
      </c>
      <c r="CT89" s="0" t="n">
        <v>0.999</v>
      </c>
      <c r="CU89" s="0" t="n">
        <v>0.58</v>
      </c>
      <c r="CV89" s="0" t="n">
        <v>0.45</v>
      </c>
      <c r="CW89" s="0" t="n">
        <v>0.805</v>
      </c>
      <c r="CX89" s="0" t="n">
        <v>0.56</v>
      </c>
      <c r="CY89" s="0" t="n">
        <v>0.505</v>
      </c>
      <c r="CZ89" s="0" t="n">
        <v>0.605</v>
      </c>
      <c r="DA89" s="0" t="n">
        <v>0.6375</v>
      </c>
      <c r="DB89" s="0" t="n">
        <v>0.69</v>
      </c>
      <c r="DC89" s="0" t="n">
        <v>0.88</v>
      </c>
      <c r="DD89" s="0" t="n">
        <v>0.64</v>
      </c>
      <c r="DE89" s="0" t="n">
        <v>0.89</v>
      </c>
      <c r="DI89" s="0" t="n">
        <v>0.9775</v>
      </c>
      <c r="DN89" s="188" t="n">
        <v>0.000285</v>
      </c>
      <c r="DO89" s="188" t="n">
        <v>0.0002</v>
      </c>
      <c r="DP89" s="188" t="n">
        <v>0</v>
      </c>
      <c r="DQ89" s="188" t="n">
        <v>0.0001</v>
      </c>
      <c r="DR89" s="188" t="n">
        <v>0</v>
      </c>
      <c r="DS89" s="188" t="n">
        <v>0.0036</v>
      </c>
      <c r="DT89" s="188" t="n">
        <v>0.00047</v>
      </c>
      <c r="DU89" s="188" t="n">
        <v>0.0007</v>
      </c>
      <c r="DV89" s="188" t="n">
        <v>0</v>
      </c>
      <c r="DW89" s="188" t="n">
        <v>0</v>
      </c>
      <c r="DX89" s="188" t="n">
        <v>0.0005</v>
      </c>
      <c r="DY89" s="188" t="n">
        <v>0.0005</v>
      </c>
      <c r="DZ89" s="188" t="n">
        <v>0.0003</v>
      </c>
      <c r="EA89" s="188" t="n">
        <v>0.000275</v>
      </c>
      <c r="EB89" s="188" t="n">
        <v>0.0004</v>
      </c>
      <c r="ED89" s="188" t="n">
        <v>6.5E-005</v>
      </c>
      <c r="EF89" s="0" t="n">
        <v>1</v>
      </c>
    </row>
    <row r="90" customFormat="false" ht="12.75" hidden="false" customHeight="false" outlineLevel="0" collapsed="false">
      <c r="A90" s="149" t="n">
        <v>39114</v>
      </c>
      <c r="B90" s="0" t="n">
        <v>0.98</v>
      </c>
      <c r="C90" s="0" t="n">
        <v>0.95116</v>
      </c>
      <c r="D90" s="0" t="n">
        <v>0.96</v>
      </c>
      <c r="E90" s="0" t="n">
        <f aca="false">E78</f>
        <v>0.994</v>
      </c>
      <c r="F90" s="0" t="n">
        <v>0.977</v>
      </c>
      <c r="G90" s="0" t="n">
        <v>0.9875</v>
      </c>
      <c r="H90" s="0" t="n">
        <v>0.9875</v>
      </c>
      <c r="I90" s="0" t="n">
        <v>0.91095225</v>
      </c>
      <c r="J90" s="0" t="n">
        <v>0.8568525</v>
      </c>
      <c r="K90" s="0" t="n">
        <v>0.985</v>
      </c>
      <c r="L90" s="176" t="n">
        <v>0.956948175</v>
      </c>
      <c r="M90" s="176" t="n">
        <v>0.9875</v>
      </c>
      <c r="N90" s="0" t="n">
        <v>0.89297055</v>
      </c>
      <c r="O90" s="0" t="n">
        <v>0.939763013</v>
      </c>
      <c r="P90" s="0" t="n">
        <v>0.89297055</v>
      </c>
      <c r="Q90" s="177" t="n">
        <v>0.956948175</v>
      </c>
      <c r="R90" s="0" t="n">
        <v>0.956948175</v>
      </c>
      <c r="S90" s="176" t="n">
        <v>0.956948175</v>
      </c>
      <c r="T90" s="0" t="n">
        <v>0.89297055</v>
      </c>
      <c r="U90" s="0" t="n">
        <v>0.89297055</v>
      </c>
      <c r="V90" s="0" t="n">
        <v>0.89297055</v>
      </c>
      <c r="W90" s="0" t="n">
        <v>0.89297055</v>
      </c>
      <c r="X90" s="0" t="n">
        <v>0.939763013</v>
      </c>
      <c r="Y90" s="0" t="n">
        <v>0.939763013</v>
      </c>
      <c r="Z90" s="0" t="n">
        <v>0.939763013</v>
      </c>
      <c r="AA90" s="0" t="n">
        <v>0.939763013</v>
      </c>
      <c r="AB90" s="0" t="n">
        <v>0.89297055</v>
      </c>
      <c r="AC90" s="0" t="n">
        <v>0.89297055</v>
      </c>
      <c r="AD90" s="0" t="n">
        <v>0.939763013</v>
      </c>
      <c r="AE90" s="0" t="n">
        <v>0.939763013</v>
      </c>
      <c r="AF90" s="0" t="n">
        <v>0.89297055</v>
      </c>
      <c r="AG90" s="0" t="n">
        <v>0.98</v>
      </c>
      <c r="AH90" s="0" t="n">
        <v>0.9760185</v>
      </c>
      <c r="AI90" s="0" t="n">
        <v>0.9760185</v>
      </c>
      <c r="AJ90" s="0" t="n">
        <v>0.89297055</v>
      </c>
      <c r="AK90" s="0" t="n">
        <v>1</v>
      </c>
      <c r="AL90" s="0" t="n">
        <v>0.985</v>
      </c>
      <c r="AM90" s="0" t="n">
        <v>0.963603</v>
      </c>
      <c r="AS90" s="0" t="n">
        <v>0.977</v>
      </c>
      <c r="AT90" s="177" t="n">
        <v>0.9775</v>
      </c>
      <c r="AU90" s="0" t="n">
        <v>0.9760185</v>
      </c>
      <c r="AV90" s="0" t="n">
        <v>0.963603</v>
      </c>
      <c r="AW90" s="0" t="n">
        <v>0.963603</v>
      </c>
      <c r="AX90" s="0" t="n">
        <v>0.963603</v>
      </c>
      <c r="AY90" s="0" t="n">
        <v>0.9760185</v>
      </c>
      <c r="AZ90" s="0" t="n">
        <v>0.9760185</v>
      </c>
      <c r="BA90" s="0" t="n">
        <v>0.963603</v>
      </c>
      <c r="BB90" s="187" t="n">
        <v>1</v>
      </c>
      <c r="BC90" s="0" t="n">
        <v>1</v>
      </c>
      <c r="BD90" s="0" t="n">
        <v>1</v>
      </c>
      <c r="BE90" s="0" t="n">
        <v>1</v>
      </c>
      <c r="BF90" s="0" t="n">
        <v>0.9999</v>
      </c>
      <c r="BG90" s="0" t="n">
        <v>1</v>
      </c>
      <c r="BH90" s="0" t="n">
        <v>1</v>
      </c>
      <c r="BI90" s="0" t="n">
        <v>0.99</v>
      </c>
      <c r="BJ90" s="0" t="n">
        <v>0.999</v>
      </c>
      <c r="BK90" s="0" t="n">
        <v>0.998</v>
      </c>
      <c r="BL90" s="0" t="n">
        <v>0.9985</v>
      </c>
      <c r="BM90" s="0" t="n">
        <v>0.9985</v>
      </c>
      <c r="BN90" s="0" t="n">
        <v>0.972</v>
      </c>
      <c r="BO90" s="0" t="n">
        <v>0.9999</v>
      </c>
      <c r="BP90" s="0" t="n">
        <v>0.9999</v>
      </c>
      <c r="BQ90" s="0" t="n">
        <v>1</v>
      </c>
      <c r="BR90" s="0" t="n">
        <v>1.0880876</v>
      </c>
      <c r="BS90" s="0" t="n">
        <v>1.106</v>
      </c>
      <c r="BT90" s="0" t="n">
        <v>1.0827</v>
      </c>
      <c r="BU90" s="0" t="n">
        <v>1.0133</v>
      </c>
      <c r="BV90" s="0" t="n">
        <v>1</v>
      </c>
      <c r="BW90" s="0" t="n">
        <v>2.1498</v>
      </c>
      <c r="BX90" s="0" t="n">
        <v>2.271576333</v>
      </c>
      <c r="BY90" s="0" t="n">
        <v>1.07805</v>
      </c>
      <c r="BZ90" s="0" t="n">
        <v>1.2885</v>
      </c>
      <c r="CA90" s="0" t="n">
        <v>2.001</v>
      </c>
      <c r="CB90" s="0" t="n">
        <v>1.507005</v>
      </c>
      <c r="CC90" s="0" t="n">
        <v>1.507005</v>
      </c>
      <c r="CD90" s="0" t="n">
        <v>1.257705</v>
      </c>
      <c r="CE90" s="0" t="n">
        <v>1.070955</v>
      </c>
      <c r="CF90" s="0" t="n">
        <v>1.419805</v>
      </c>
      <c r="CG90" s="188"/>
      <c r="CH90" s="0" t="n">
        <v>1.09665</v>
      </c>
      <c r="CI90" s="188"/>
      <c r="CJ90" s="188"/>
      <c r="CK90" s="188"/>
      <c r="CL90" s="188"/>
      <c r="CM90" s="188"/>
      <c r="CN90" s="188"/>
      <c r="CO90" s="188"/>
      <c r="CP90" s="0" t="n">
        <v>0.865</v>
      </c>
      <c r="CQ90" s="0" t="n">
        <v>0.86</v>
      </c>
      <c r="CR90" s="0" t="n">
        <v>0.89</v>
      </c>
      <c r="CS90" s="0" t="n">
        <v>0.935</v>
      </c>
      <c r="CT90" s="0" t="n">
        <v>0.99895</v>
      </c>
      <c r="CU90" s="0" t="n">
        <v>0.58</v>
      </c>
      <c r="CV90" s="0" t="n">
        <v>0.45</v>
      </c>
      <c r="CW90" s="0" t="n">
        <v>0.845</v>
      </c>
      <c r="CX90" s="0" t="n">
        <v>0.665</v>
      </c>
      <c r="CY90" s="0" t="n">
        <v>0.505</v>
      </c>
      <c r="CZ90" s="0" t="n">
        <v>0.635</v>
      </c>
      <c r="DA90" s="0" t="n">
        <v>0.6675</v>
      </c>
      <c r="DB90" s="0" t="n">
        <v>0.71</v>
      </c>
      <c r="DC90" s="0" t="n">
        <v>0.8775</v>
      </c>
      <c r="DD90" s="0" t="n">
        <v>0.67</v>
      </c>
      <c r="DE90" s="0" t="n">
        <v>0.89</v>
      </c>
      <c r="DI90" s="0" t="n">
        <v>0.9775</v>
      </c>
      <c r="DN90" s="188" t="n">
        <v>0.000285</v>
      </c>
      <c r="DO90" s="188" t="n">
        <v>0.0002</v>
      </c>
      <c r="DP90" s="188" t="n">
        <v>0</v>
      </c>
      <c r="DQ90" s="188" t="n">
        <v>0.0001</v>
      </c>
      <c r="DR90" s="188" t="n">
        <v>0</v>
      </c>
      <c r="DS90" s="188" t="n">
        <v>0.0036</v>
      </c>
      <c r="DT90" s="188" t="n">
        <v>0.00047</v>
      </c>
      <c r="DU90" s="188" t="n">
        <v>0.0007</v>
      </c>
      <c r="DV90" s="188" t="n">
        <v>0</v>
      </c>
      <c r="DW90" s="188" t="n">
        <v>0</v>
      </c>
      <c r="DX90" s="188" t="n">
        <v>0.0005</v>
      </c>
      <c r="DY90" s="188" t="n">
        <v>0.0005</v>
      </c>
      <c r="DZ90" s="188" t="n">
        <v>0.0003</v>
      </c>
      <c r="EA90" s="188" t="n">
        <v>0.000275</v>
      </c>
      <c r="EB90" s="188" t="n">
        <v>0.0004</v>
      </c>
      <c r="ED90" s="188" t="n">
        <v>6.5E-005</v>
      </c>
      <c r="EF90" s="0" t="n">
        <v>1</v>
      </c>
    </row>
    <row r="91" customFormat="false" ht="12.75" hidden="false" customHeight="false" outlineLevel="0" collapsed="false">
      <c r="A91" s="149" t="n">
        <v>39142</v>
      </c>
      <c r="B91" s="0" t="n">
        <v>0.98</v>
      </c>
      <c r="C91" s="0" t="n">
        <v>0.984518</v>
      </c>
      <c r="D91" s="0" t="n">
        <v>0.96</v>
      </c>
      <c r="E91" s="0" t="n">
        <f aca="false">E79</f>
        <v>0.994</v>
      </c>
      <c r="F91" s="0" t="n">
        <v>0.977</v>
      </c>
      <c r="G91" s="0" t="n">
        <v>0.9875</v>
      </c>
      <c r="H91" s="0" t="n">
        <v>0.9875</v>
      </c>
      <c r="I91" s="0" t="n">
        <v>0.94390625</v>
      </c>
      <c r="J91" s="0" t="n">
        <v>0.985</v>
      </c>
      <c r="K91" s="0" t="n">
        <v>0.985</v>
      </c>
      <c r="L91" s="176" t="n">
        <v>0.9875</v>
      </c>
      <c r="M91" s="176" t="n">
        <v>0.9875</v>
      </c>
      <c r="N91" s="0" t="n">
        <v>0.98</v>
      </c>
      <c r="O91" s="0" t="n">
        <v>0.964107</v>
      </c>
      <c r="P91" s="0" t="n">
        <v>0.98</v>
      </c>
      <c r="Q91" s="177" t="n">
        <v>0.9875</v>
      </c>
      <c r="R91" s="0" t="n">
        <v>0.9875</v>
      </c>
      <c r="S91" s="176" t="n">
        <v>0.9875</v>
      </c>
      <c r="T91" s="0" t="n">
        <v>0.98</v>
      </c>
      <c r="U91" s="0" t="n">
        <v>0.98</v>
      </c>
      <c r="V91" s="0" t="n">
        <v>0.98</v>
      </c>
      <c r="W91" s="0" t="n">
        <v>0.98</v>
      </c>
      <c r="X91" s="0" t="n">
        <v>0.964107</v>
      </c>
      <c r="Y91" s="0" t="n">
        <v>0.964107</v>
      </c>
      <c r="Z91" s="0" t="n">
        <v>0.964107</v>
      </c>
      <c r="AA91" s="0" t="n">
        <v>0.964107</v>
      </c>
      <c r="AB91" s="0" t="n">
        <v>0.98</v>
      </c>
      <c r="AC91" s="0" t="n">
        <v>0.98</v>
      </c>
      <c r="AD91" s="0" t="n">
        <v>0.964107</v>
      </c>
      <c r="AE91" s="0" t="n">
        <v>0.964107</v>
      </c>
      <c r="AF91" s="0" t="n">
        <v>0.98</v>
      </c>
      <c r="AG91" s="0" t="n">
        <v>0.99</v>
      </c>
      <c r="AH91" s="0" t="n">
        <v>0.97607635</v>
      </c>
      <c r="AI91" s="0" t="n">
        <v>0.97607635</v>
      </c>
      <c r="AJ91" s="0" t="n">
        <v>0.98</v>
      </c>
      <c r="AK91" s="0" t="n">
        <v>1</v>
      </c>
      <c r="AL91" s="0" t="n">
        <v>0.985</v>
      </c>
      <c r="AM91" s="0" t="n">
        <v>0.985</v>
      </c>
      <c r="AS91" s="0" t="n">
        <v>0.977</v>
      </c>
      <c r="AT91" s="177" t="n">
        <v>0.9775</v>
      </c>
      <c r="AU91" s="0" t="n">
        <v>0.97607635</v>
      </c>
      <c r="AV91" s="0" t="n">
        <v>0.985</v>
      </c>
      <c r="AW91" s="0" t="n">
        <v>0.985</v>
      </c>
      <c r="AX91" s="0" t="n">
        <v>0.985</v>
      </c>
      <c r="AY91" s="0" t="n">
        <v>0.97607635</v>
      </c>
      <c r="AZ91" s="0" t="n">
        <v>0.97607635</v>
      </c>
      <c r="BA91" s="0" t="n">
        <v>0.985</v>
      </c>
      <c r="BB91" s="187" t="n">
        <v>1</v>
      </c>
      <c r="BC91" s="0" t="n">
        <v>1</v>
      </c>
      <c r="BD91" s="0" t="n">
        <v>1</v>
      </c>
      <c r="BE91" s="0" t="n">
        <v>1</v>
      </c>
      <c r="BF91" s="0" t="n">
        <v>0.9999</v>
      </c>
      <c r="BG91" s="0" t="n">
        <v>1</v>
      </c>
      <c r="BH91" s="0" t="n">
        <v>1</v>
      </c>
      <c r="BI91" s="0" t="n">
        <v>0.99</v>
      </c>
      <c r="BJ91" s="0" t="n">
        <v>0.999</v>
      </c>
      <c r="BK91" s="0" t="n">
        <v>0.998</v>
      </c>
      <c r="BL91" s="0" t="n">
        <v>0.9985</v>
      </c>
      <c r="BM91" s="0" t="n">
        <v>0.9985</v>
      </c>
      <c r="BN91" s="0" t="n">
        <v>0.972</v>
      </c>
      <c r="BO91" s="0" t="n">
        <v>0.9999</v>
      </c>
      <c r="BP91" s="0" t="n">
        <v>0.9999</v>
      </c>
      <c r="BQ91" s="0" t="n">
        <v>1</v>
      </c>
      <c r="BR91" s="0" t="n">
        <v>1.0883726</v>
      </c>
      <c r="BS91" s="0" t="n">
        <v>1.1062</v>
      </c>
      <c r="BT91" s="0" t="n">
        <v>1.0827</v>
      </c>
      <c r="BU91" s="0" t="n">
        <v>1.0134</v>
      </c>
      <c r="BV91" s="0" t="n">
        <v>1</v>
      </c>
      <c r="BW91" s="0" t="n">
        <v>2.1534</v>
      </c>
      <c r="BX91" s="0" t="n">
        <v>2.272046333</v>
      </c>
      <c r="BY91" s="0" t="n">
        <v>1.07875</v>
      </c>
      <c r="BZ91" s="0" t="n">
        <v>1.2885</v>
      </c>
      <c r="CA91" s="0" t="n">
        <v>2.001</v>
      </c>
      <c r="CB91" s="0" t="n">
        <v>1.507505</v>
      </c>
      <c r="CC91" s="0" t="n">
        <v>1.507505</v>
      </c>
      <c r="CD91" s="0" t="n">
        <v>1.258005</v>
      </c>
      <c r="CE91" s="0" t="n">
        <v>1.07123</v>
      </c>
      <c r="CF91" s="0" t="n">
        <v>1.420205</v>
      </c>
      <c r="CG91" s="188"/>
      <c r="CH91" s="0" t="n">
        <v>1.096715</v>
      </c>
      <c r="CI91" s="188"/>
      <c r="CJ91" s="188"/>
      <c r="CK91" s="188"/>
      <c r="CL91" s="188"/>
      <c r="CM91" s="188"/>
      <c r="CN91" s="188"/>
      <c r="CO91" s="188"/>
      <c r="CP91" s="0" t="n">
        <v>0.865</v>
      </c>
      <c r="CQ91" s="0" t="n">
        <v>0.89</v>
      </c>
      <c r="CR91" s="0" t="n">
        <v>0.91</v>
      </c>
      <c r="CS91" s="0" t="n">
        <v>0.935</v>
      </c>
      <c r="CT91" s="0" t="n">
        <v>0.99895</v>
      </c>
      <c r="CU91" s="0" t="n">
        <v>0.54</v>
      </c>
      <c r="CV91" s="0" t="n">
        <v>0.45</v>
      </c>
      <c r="CW91" s="0" t="n">
        <v>0.875</v>
      </c>
      <c r="CX91" s="0" t="n">
        <v>0.835</v>
      </c>
      <c r="CY91" s="0" t="n">
        <v>0.515</v>
      </c>
      <c r="CZ91" s="0" t="n">
        <v>0.785</v>
      </c>
      <c r="DA91" s="0" t="n">
        <v>0.8175</v>
      </c>
      <c r="DB91" s="0" t="n">
        <v>0.8</v>
      </c>
      <c r="DC91" s="0" t="n">
        <v>0.9</v>
      </c>
      <c r="DD91" s="0" t="n">
        <v>0.83</v>
      </c>
      <c r="DE91" s="0" t="n">
        <v>0.89</v>
      </c>
      <c r="DI91" s="0" t="n">
        <v>0.9775</v>
      </c>
      <c r="DN91" s="188" t="n">
        <v>0.000285</v>
      </c>
      <c r="DO91" s="188" t="n">
        <v>0.0002</v>
      </c>
      <c r="DP91" s="188" t="n">
        <v>0</v>
      </c>
      <c r="DQ91" s="188" t="n">
        <v>0.0001</v>
      </c>
      <c r="DR91" s="188" t="n">
        <v>0</v>
      </c>
      <c r="DS91" s="188" t="n">
        <v>0.0036</v>
      </c>
      <c r="DT91" s="188" t="n">
        <v>0.00047</v>
      </c>
      <c r="DU91" s="188" t="n">
        <v>0.0007</v>
      </c>
      <c r="DV91" s="188" t="n">
        <v>0</v>
      </c>
      <c r="DW91" s="188" t="n">
        <v>0</v>
      </c>
      <c r="DX91" s="188" t="n">
        <v>0.0005</v>
      </c>
      <c r="DY91" s="188" t="n">
        <v>0.0005</v>
      </c>
      <c r="DZ91" s="188" t="n">
        <v>0.0003</v>
      </c>
      <c r="EA91" s="188" t="n">
        <v>0.000275</v>
      </c>
      <c r="EB91" s="188" t="n">
        <v>0.0004</v>
      </c>
      <c r="ED91" s="188" t="n">
        <v>6.5E-005</v>
      </c>
      <c r="EF91" s="0" t="n">
        <v>1</v>
      </c>
    </row>
    <row r="92" customFormat="false" ht="12.75" hidden="false" customHeight="false" outlineLevel="0" collapsed="false">
      <c r="A92" s="149" t="n">
        <v>39173</v>
      </c>
      <c r="B92" s="0" t="n">
        <v>0.98</v>
      </c>
      <c r="C92" s="0" t="n">
        <v>0.988</v>
      </c>
      <c r="D92" s="0" t="n">
        <v>0.96</v>
      </c>
      <c r="E92" s="0" t="n">
        <f aca="false">E80</f>
        <v>0.978</v>
      </c>
      <c r="F92" s="0" t="n">
        <v>0.977</v>
      </c>
      <c r="G92" s="0" t="n">
        <v>0.9875</v>
      </c>
      <c r="H92" s="0" t="n">
        <v>0.95445686</v>
      </c>
      <c r="I92" s="0" t="n">
        <v>0.9875</v>
      </c>
      <c r="J92" s="0" t="n">
        <v>0.985</v>
      </c>
      <c r="K92" s="0" t="n">
        <v>0.985</v>
      </c>
      <c r="L92" s="176" t="n">
        <v>0.9875</v>
      </c>
      <c r="M92" s="176" t="n">
        <v>0.9875</v>
      </c>
      <c r="N92" s="0" t="n">
        <v>0.98</v>
      </c>
      <c r="O92" s="0" t="n">
        <v>0.967569015</v>
      </c>
      <c r="P92" s="0" t="n">
        <v>0.98</v>
      </c>
      <c r="Q92" s="177" t="n">
        <v>0.9875</v>
      </c>
      <c r="R92" s="0" t="n">
        <v>0.9875</v>
      </c>
      <c r="S92" s="176" t="n">
        <v>0.9875</v>
      </c>
      <c r="T92" s="0" t="n">
        <v>0.98</v>
      </c>
      <c r="U92" s="0" t="n">
        <v>0.98</v>
      </c>
      <c r="V92" s="0" t="n">
        <v>0.98</v>
      </c>
      <c r="W92" s="0" t="n">
        <v>0.98</v>
      </c>
      <c r="X92" s="0" t="n">
        <v>0.967569015</v>
      </c>
      <c r="Y92" s="0" t="n">
        <v>0.967569015</v>
      </c>
      <c r="Z92" s="0" t="n">
        <v>0.967569015</v>
      </c>
      <c r="AA92" s="0" t="n">
        <v>0.967569015</v>
      </c>
      <c r="AB92" s="0" t="n">
        <v>0.98</v>
      </c>
      <c r="AC92" s="0" t="n">
        <v>0.98</v>
      </c>
      <c r="AD92" s="0" t="n">
        <v>0.967569015</v>
      </c>
      <c r="AE92" s="0" t="n">
        <v>0.967569015</v>
      </c>
      <c r="AF92" s="0" t="n">
        <v>0.98</v>
      </c>
      <c r="AG92" s="0" t="n">
        <v>0.99</v>
      </c>
      <c r="AH92" s="0" t="n">
        <v>0.9761342</v>
      </c>
      <c r="AI92" s="0" t="n">
        <v>0.9761342</v>
      </c>
      <c r="AJ92" s="0" t="n">
        <v>0.98</v>
      </c>
      <c r="AK92" s="0" t="n">
        <v>1</v>
      </c>
      <c r="AL92" s="0" t="n">
        <v>0.985</v>
      </c>
      <c r="AM92" s="0" t="n">
        <v>0.985</v>
      </c>
      <c r="AS92" s="0" t="n">
        <v>0.977</v>
      </c>
      <c r="AT92" s="177" t="n">
        <v>0.9775</v>
      </c>
      <c r="AU92" s="0" t="n">
        <v>0.9761342</v>
      </c>
      <c r="AV92" s="0" t="n">
        <v>0.985</v>
      </c>
      <c r="AW92" s="0" t="n">
        <v>0.985</v>
      </c>
      <c r="AX92" s="0" t="n">
        <v>0.985</v>
      </c>
      <c r="AY92" s="0" t="n">
        <v>0.9761342</v>
      </c>
      <c r="AZ92" s="0" t="n">
        <v>0.9761342</v>
      </c>
      <c r="BA92" s="0" t="n">
        <v>0.985</v>
      </c>
      <c r="BB92" s="187" t="n">
        <v>1</v>
      </c>
      <c r="BC92" s="0" t="n">
        <v>1</v>
      </c>
      <c r="BD92" s="0" t="n">
        <v>1</v>
      </c>
      <c r="BE92" s="0" t="n">
        <v>1</v>
      </c>
      <c r="BF92" s="0" t="n">
        <v>0.9999</v>
      </c>
      <c r="BG92" s="0" t="n">
        <v>1</v>
      </c>
      <c r="BH92" s="0" t="n">
        <v>1</v>
      </c>
      <c r="BI92" s="0" t="n">
        <v>0.99</v>
      </c>
      <c r="BJ92" s="0" t="n">
        <v>0.999</v>
      </c>
      <c r="BK92" s="0" t="n">
        <v>0.998</v>
      </c>
      <c r="BL92" s="0" t="n">
        <v>0.9985</v>
      </c>
      <c r="BM92" s="0" t="n">
        <v>0.9985</v>
      </c>
      <c r="BN92" s="0" t="n">
        <v>0.972</v>
      </c>
      <c r="BO92" s="0" t="n">
        <v>0.9999</v>
      </c>
      <c r="BP92" s="0" t="n">
        <v>0.9999</v>
      </c>
      <c r="BQ92" s="0" t="n">
        <v>1</v>
      </c>
      <c r="BR92" s="0" t="n">
        <v>1.0886576</v>
      </c>
      <c r="BS92" s="0" t="n">
        <v>1.1064</v>
      </c>
      <c r="BT92" s="0" t="n">
        <v>1.0827</v>
      </c>
      <c r="BU92" s="0" t="n">
        <v>1.0135</v>
      </c>
      <c r="BV92" s="0" t="n">
        <v>1</v>
      </c>
      <c r="BW92" s="0" t="n">
        <v>2.157</v>
      </c>
      <c r="BX92" s="0" t="n">
        <v>2.272516333</v>
      </c>
      <c r="BY92" s="0" t="n">
        <v>1.07945</v>
      </c>
      <c r="BZ92" s="0" t="n">
        <v>1.2885</v>
      </c>
      <c r="CA92" s="0" t="n">
        <v>2.001</v>
      </c>
      <c r="CB92" s="0" t="n">
        <v>1.508005</v>
      </c>
      <c r="CC92" s="0" t="n">
        <v>1.508005</v>
      </c>
      <c r="CD92" s="0" t="n">
        <v>1.258305</v>
      </c>
      <c r="CE92" s="0" t="n">
        <v>1.071505</v>
      </c>
      <c r="CF92" s="0" t="n">
        <v>1.420605</v>
      </c>
      <c r="CG92" s="188"/>
      <c r="CH92" s="0" t="n">
        <v>1.09678</v>
      </c>
      <c r="CI92" s="188"/>
      <c r="CJ92" s="188"/>
      <c r="CK92" s="188"/>
      <c r="CL92" s="188"/>
      <c r="CM92" s="188"/>
      <c r="CN92" s="188"/>
      <c r="CO92" s="188"/>
      <c r="CP92" s="0" t="n">
        <v>0.895</v>
      </c>
      <c r="CQ92" s="0" t="n">
        <v>0.9</v>
      </c>
      <c r="CR92" s="0" t="n">
        <v>0.91</v>
      </c>
      <c r="CS92" s="0" t="n">
        <v>0.96</v>
      </c>
      <c r="CT92" s="0" t="n">
        <v>0.99895</v>
      </c>
      <c r="CU92" s="0" t="n">
        <v>0.48</v>
      </c>
      <c r="CV92" s="0" t="n">
        <v>0.42</v>
      </c>
      <c r="CW92" s="0" t="n">
        <v>0.935</v>
      </c>
      <c r="CX92" s="0" t="n">
        <v>0.825</v>
      </c>
      <c r="CY92" s="0" t="n">
        <v>0.575</v>
      </c>
      <c r="CZ92" s="0" t="n">
        <v>0.895</v>
      </c>
      <c r="DA92" s="0" t="n">
        <v>0.9275</v>
      </c>
      <c r="DB92" s="0" t="n">
        <v>0.85</v>
      </c>
      <c r="DC92" s="0" t="n">
        <v>0.903</v>
      </c>
      <c r="DD92" s="0" t="n">
        <v>0.92</v>
      </c>
      <c r="DE92" s="0" t="n">
        <v>0.89</v>
      </c>
      <c r="DI92" s="0" t="n">
        <v>0.9775</v>
      </c>
      <c r="DN92" s="188" t="n">
        <v>0.000285</v>
      </c>
      <c r="DO92" s="188" t="n">
        <v>0.0002</v>
      </c>
      <c r="DP92" s="188" t="n">
        <v>0</v>
      </c>
      <c r="DQ92" s="188" t="n">
        <v>0.0001</v>
      </c>
      <c r="DR92" s="188" t="n">
        <v>0</v>
      </c>
      <c r="DS92" s="188" t="n">
        <v>0.0036</v>
      </c>
      <c r="DT92" s="188" t="n">
        <v>0.00047</v>
      </c>
      <c r="DU92" s="188" t="n">
        <v>0.0007</v>
      </c>
      <c r="DV92" s="188" t="n">
        <v>0</v>
      </c>
      <c r="DW92" s="188" t="n">
        <v>0</v>
      </c>
      <c r="DX92" s="188" t="n">
        <v>0.0005</v>
      </c>
      <c r="DY92" s="188" t="n">
        <v>0.0005</v>
      </c>
      <c r="DZ92" s="188" t="n">
        <v>0.0003</v>
      </c>
      <c r="EA92" s="188" t="n">
        <v>0.000275</v>
      </c>
      <c r="EB92" s="188" t="n">
        <v>0.0004</v>
      </c>
      <c r="ED92" s="188" t="n">
        <v>6.5E-005</v>
      </c>
      <c r="EF92" s="0" t="n">
        <v>1</v>
      </c>
    </row>
    <row r="93" customFormat="false" ht="12.75" hidden="false" customHeight="false" outlineLevel="0" collapsed="false">
      <c r="A93" s="149" t="n">
        <v>39203</v>
      </c>
      <c r="B93" s="0" t="n">
        <v>0.98</v>
      </c>
      <c r="C93" s="0" t="n">
        <v>0.988</v>
      </c>
      <c r="D93" s="0" t="n">
        <v>0.96</v>
      </c>
      <c r="E93" s="0" t="n">
        <f aca="false">E81</f>
        <v>0.978</v>
      </c>
      <c r="F93" s="0" t="n">
        <v>0.977</v>
      </c>
      <c r="G93" s="0" t="n">
        <v>0.734604</v>
      </c>
      <c r="H93" s="0" t="n">
        <v>0.95465426</v>
      </c>
      <c r="I93" s="0" t="n">
        <v>0.9875</v>
      </c>
      <c r="J93" s="0" t="n">
        <v>0.9341625</v>
      </c>
      <c r="K93" s="0" t="n">
        <v>0.985</v>
      </c>
      <c r="L93" s="176" t="n">
        <v>0.9875</v>
      </c>
      <c r="M93" s="176" t="n">
        <v>0.9875</v>
      </c>
      <c r="N93" s="0" t="n">
        <v>0.98</v>
      </c>
      <c r="O93" s="0" t="n">
        <v>0.964602</v>
      </c>
      <c r="P93" s="0" t="n">
        <v>0.98</v>
      </c>
      <c r="Q93" s="177" t="n">
        <v>0.9875</v>
      </c>
      <c r="R93" s="0" t="n">
        <v>0.9875</v>
      </c>
      <c r="S93" s="176" t="n">
        <v>0.9875</v>
      </c>
      <c r="T93" s="0" t="n">
        <v>0.98</v>
      </c>
      <c r="U93" s="0" t="n">
        <v>0.98</v>
      </c>
      <c r="V93" s="0" t="n">
        <v>0.98</v>
      </c>
      <c r="W93" s="0" t="n">
        <v>0.98</v>
      </c>
      <c r="X93" s="0" t="n">
        <v>0.964602</v>
      </c>
      <c r="Y93" s="0" t="n">
        <v>0.964602</v>
      </c>
      <c r="Z93" s="0" t="n">
        <v>0.964602</v>
      </c>
      <c r="AA93" s="0" t="n">
        <v>0.964602</v>
      </c>
      <c r="AB93" s="0" t="n">
        <v>0.98</v>
      </c>
      <c r="AC93" s="0" t="n">
        <v>0.98</v>
      </c>
      <c r="AD93" s="0" t="n">
        <v>0.964602</v>
      </c>
      <c r="AE93" s="0" t="n">
        <v>0.964602</v>
      </c>
      <c r="AF93" s="0" t="n">
        <v>0.98</v>
      </c>
      <c r="AG93" s="0" t="n">
        <v>0.99</v>
      </c>
      <c r="AH93" s="0" t="n">
        <v>0.97619205</v>
      </c>
      <c r="AI93" s="0" t="n">
        <v>0.97619205</v>
      </c>
      <c r="AJ93" s="0" t="n">
        <v>0.98</v>
      </c>
      <c r="AK93" s="0" t="n">
        <v>1</v>
      </c>
      <c r="AL93" s="0" t="n">
        <v>0.985</v>
      </c>
      <c r="AM93" s="0" t="n">
        <v>0.985</v>
      </c>
      <c r="AS93" s="0" t="n">
        <v>0.977</v>
      </c>
      <c r="AT93" s="177" t="n">
        <v>0.9775</v>
      </c>
      <c r="AU93" s="0" t="n">
        <v>0.97619205</v>
      </c>
      <c r="AV93" s="0" t="n">
        <v>0.985</v>
      </c>
      <c r="AW93" s="0" t="n">
        <v>0.985</v>
      </c>
      <c r="AX93" s="0" t="n">
        <v>0.985</v>
      </c>
      <c r="AY93" s="0" t="n">
        <v>0.97619205</v>
      </c>
      <c r="AZ93" s="0" t="n">
        <v>0.97619205</v>
      </c>
      <c r="BA93" s="0" t="n">
        <v>0.985</v>
      </c>
      <c r="BB93" s="187" t="n">
        <v>1</v>
      </c>
      <c r="BC93" s="0" t="n">
        <v>1</v>
      </c>
      <c r="BD93" s="0" t="n">
        <v>1</v>
      </c>
      <c r="BE93" s="0" t="n">
        <v>1</v>
      </c>
      <c r="BF93" s="0" t="n">
        <v>0.9999</v>
      </c>
      <c r="BG93" s="0" t="n">
        <v>1</v>
      </c>
      <c r="BH93" s="0" t="n">
        <v>1</v>
      </c>
      <c r="BI93" s="0" t="n">
        <v>0.99</v>
      </c>
      <c r="BJ93" s="0" t="n">
        <v>0.999</v>
      </c>
      <c r="BK93" s="0" t="n">
        <v>0.998</v>
      </c>
      <c r="BL93" s="0" t="n">
        <v>0.9985</v>
      </c>
      <c r="BM93" s="0" t="n">
        <v>0.9985</v>
      </c>
      <c r="BN93" s="0" t="n">
        <v>0.972</v>
      </c>
      <c r="BO93" s="0" t="n">
        <v>0.9999</v>
      </c>
      <c r="BP93" s="0" t="n">
        <v>0.9999</v>
      </c>
      <c r="BQ93" s="0" t="n">
        <v>1</v>
      </c>
      <c r="BR93" s="0" t="n">
        <v>1.0889426</v>
      </c>
      <c r="BS93" s="0" t="n">
        <v>1.1066</v>
      </c>
      <c r="BT93" s="0" t="n">
        <v>1.0827</v>
      </c>
      <c r="BU93" s="0" t="n">
        <v>1.0136</v>
      </c>
      <c r="BV93" s="0" t="n">
        <v>1</v>
      </c>
      <c r="BW93" s="0" t="n">
        <v>2.1606</v>
      </c>
      <c r="BX93" s="0" t="n">
        <v>2.272986333</v>
      </c>
      <c r="BY93" s="0" t="n">
        <v>1.08015</v>
      </c>
      <c r="BZ93" s="0" t="n">
        <v>1.2885</v>
      </c>
      <c r="CA93" s="0" t="n">
        <v>2.001</v>
      </c>
      <c r="CB93" s="0" t="n">
        <v>1.508505</v>
      </c>
      <c r="CC93" s="0" t="n">
        <v>1.508505</v>
      </c>
      <c r="CD93" s="0" t="n">
        <v>1.258605</v>
      </c>
      <c r="CE93" s="0" t="n">
        <v>1.07178</v>
      </c>
      <c r="CF93" s="0" t="n">
        <v>1.421005</v>
      </c>
      <c r="CG93" s="188"/>
      <c r="CH93" s="0" t="n">
        <v>1.096845</v>
      </c>
      <c r="CI93" s="188"/>
      <c r="CJ93" s="188"/>
      <c r="CK93" s="188"/>
      <c r="CL93" s="188"/>
      <c r="CM93" s="188"/>
      <c r="CN93" s="188"/>
      <c r="CO93" s="188"/>
      <c r="CP93" s="0" t="n">
        <v>0.965</v>
      </c>
      <c r="CQ93" s="0" t="n">
        <v>0.91</v>
      </c>
      <c r="CR93" s="0" t="n">
        <v>0.91</v>
      </c>
      <c r="CS93" s="0" t="n">
        <v>0.97</v>
      </c>
      <c r="CT93" s="0" t="n">
        <v>0.99895</v>
      </c>
      <c r="CU93" s="0" t="n">
        <v>0.34</v>
      </c>
      <c r="CV93" s="0" t="n">
        <v>0.42</v>
      </c>
      <c r="CW93" s="0" t="n">
        <v>0.935</v>
      </c>
      <c r="CX93" s="0" t="n">
        <v>0.725</v>
      </c>
      <c r="CY93" s="0" t="n">
        <v>0.625</v>
      </c>
      <c r="CZ93" s="0" t="n">
        <v>0.9175</v>
      </c>
      <c r="DA93" s="0" t="n">
        <v>0.95</v>
      </c>
      <c r="DB93" s="0" t="n">
        <v>0.88</v>
      </c>
      <c r="DC93" s="0" t="n">
        <v>0.9</v>
      </c>
      <c r="DD93" s="0" t="n">
        <v>0.935</v>
      </c>
      <c r="DE93" s="0" t="n">
        <v>0.89</v>
      </c>
      <c r="DI93" s="0" t="n">
        <v>0.9775</v>
      </c>
      <c r="DN93" s="188" t="n">
        <v>0.000285</v>
      </c>
      <c r="DO93" s="188" t="n">
        <v>0.0002</v>
      </c>
      <c r="DP93" s="188" t="n">
        <v>0</v>
      </c>
      <c r="DQ93" s="188" t="n">
        <v>0.0001</v>
      </c>
      <c r="DR93" s="188" t="n">
        <v>0</v>
      </c>
      <c r="DS93" s="188" t="n">
        <v>0.0036</v>
      </c>
      <c r="DT93" s="188" t="n">
        <v>0.00047</v>
      </c>
      <c r="DU93" s="188" t="n">
        <v>0.0007</v>
      </c>
      <c r="DV93" s="188" t="n">
        <v>0</v>
      </c>
      <c r="DW93" s="188" t="n">
        <v>0</v>
      </c>
      <c r="DX93" s="188" t="n">
        <v>0.0005</v>
      </c>
      <c r="DY93" s="188" t="n">
        <v>0.0005</v>
      </c>
      <c r="DZ93" s="188" t="n">
        <v>0.0003</v>
      </c>
      <c r="EA93" s="188" t="n">
        <v>0.000275</v>
      </c>
      <c r="EB93" s="188" t="n">
        <v>0.0004</v>
      </c>
      <c r="ED93" s="188" t="n">
        <v>6.5E-005</v>
      </c>
      <c r="EF93" s="0" t="n">
        <v>1</v>
      </c>
    </row>
    <row r="94" customFormat="false" ht="12.75" hidden="false" customHeight="false" outlineLevel="0" collapsed="false">
      <c r="A94" s="149" t="n">
        <v>39234</v>
      </c>
      <c r="B94" s="0" t="n">
        <v>0.98</v>
      </c>
      <c r="C94" s="0" t="n">
        <v>0.988</v>
      </c>
      <c r="D94" s="0" t="n">
        <v>0.96</v>
      </c>
      <c r="E94" s="0" t="n">
        <f aca="false">E82</f>
        <v>0.978</v>
      </c>
      <c r="F94" s="0" t="n">
        <v>0.977</v>
      </c>
      <c r="G94" s="0" t="n">
        <v>0.735828</v>
      </c>
      <c r="H94" s="0" t="n">
        <v>0.9875</v>
      </c>
      <c r="I94" s="0" t="n">
        <v>0.9875</v>
      </c>
      <c r="J94" s="0" t="n">
        <v>0.8181975</v>
      </c>
      <c r="K94" s="0" t="n">
        <v>0.985</v>
      </c>
      <c r="L94" s="176" t="n">
        <v>0.9875</v>
      </c>
      <c r="M94" s="176" t="n">
        <v>0.9875</v>
      </c>
      <c r="N94" s="0" t="n">
        <v>0.98</v>
      </c>
      <c r="O94" s="0" t="n">
        <v>0.967529638</v>
      </c>
      <c r="P94" s="0" t="n">
        <v>0.98</v>
      </c>
      <c r="Q94" s="177" t="n">
        <v>0.9875</v>
      </c>
      <c r="R94" s="0" t="n">
        <v>0.9875</v>
      </c>
      <c r="S94" s="176" t="n">
        <v>0.9875</v>
      </c>
      <c r="T94" s="0" t="n">
        <v>0.98</v>
      </c>
      <c r="U94" s="0" t="n">
        <v>0.98</v>
      </c>
      <c r="V94" s="0" t="n">
        <v>0.98</v>
      </c>
      <c r="W94" s="0" t="n">
        <v>0.98</v>
      </c>
      <c r="X94" s="0" t="n">
        <v>0.967529638</v>
      </c>
      <c r="Y94" s="0" t="n">
        <v>0.967529638</v>
      </c>
      <c r="Z94" s="0" t="n">
        <v>0.967529638</v>
      </c>
      <c r="AA94" s="0" t="n">
        <v>0.967529638</v>
      </c>
      <c r="AB94" s="0" t="n">
        <v>0.98</v>
      </c>
      <c r="AC94" s="0" t="n">
        <v>0.98</v>
      </c>
      <c r="AD94" s="0" t="n">
        <v>0.967529638</v>
      </c>
      <c r="AE94" s="0" t="n">
        <v>0.967529638</v>
      </c>
      <c r="AF94" s="0" t="n">
        <v>0.98</v>
      </c>
      <c r="AG94" s="0" t="n">
        <v>0.99</v>
      </c>
      <c r="AH94" s="0" t="n">
        <v>0.9762499</v>
      </c>
      <c r="AI94" s="0" t="n">
        <v>0.9762499</v>
      </c>
      <c r="AJ94" s="0" t="n">
        <v>0.98</v>
      </c>
      <c r="AK94" s="0" t="n">
        <v>1</v>
      </c>
      <c r="AL94" s="0" t="n">
        <v>0.985</v>
      </c>
      <c r="AM94" s="0" t="n">
        <v>0.985</v>
      </c>
      <c r="AS94" s="0" t="n">
        <v>0.977</v>
      </c>
      <c r="AT94" s="177" t="n">
        <v>0.9775</v>
      </c>
      <c r="AU94" s="0" t="n">
        <v>0.9762499</v>
      </c>
      <c r="AV94" s="0" t="n">
        <v>0.985</v>
      </c>
      <c r="AW94" s="0" t="n">
        <v>0.985</v>
      </c>
      <c r="AX94" s="0" t="n">
        <v>0.985</v>
      </c>
      <c r="AY94" s="0" t="n">
        <v>0.9762499</v>
      </c>
      <c r="AZ94" s="0" t="n">
        <v>0.9762499</v>
      </c>
      <c r="BA94" s="0" t="n">
        <v>0.985</v>
      </c>
      <c r="BB94" s="187" t="n">
        <v>1</v>
      </c>
      <c r="BC94" s="0" t="n">
        <v>1</v>
      </c>
      <c r="BD94" s="0" t="n">
        <v>1</v>
      </c>
      <c r="BE94" s="0" t="n">
        <v>1</v>
      </c>
      <c r="BF94" s="0" t="n">
        <v>0.9999</v>
      </c>
      <c r="BG94" s="0" t="n">
        <v>1</v>
      </c>
      <c r="BH94" s="0" t="n">
        <v>1</v>
      </c>
      <c r="BI94" s="0" t="n">
        <v>0.99</v>
      </c>
      <c r="BJ94" s="0" t="n">
        <v>0.999</v>
      </c>
      <c r="BK94" s="0" t="n">
        <v>0.998</v>
      </c>
      <c r="BL94" s="0" t="n">
        <v>0.9985</v>
      </c>
      <c r="BM94" s="0" t="n">
        <v>0.9985</v>
      </c>
      <c r="BN94" s="0" t="n">
        <v>0.972</v>
      </c>
      <c r="BO94" s="0" t="n">
        <v>0.9999</v>
      </c>
      <c r="BP94" s="0" t="n">
        <v>0.9999</v>
      </c>
      <c r="BQ94" s="0" t="n">
        <v>1</v>
      </c>
      <c r="BR94" s="0" t="n">
        <v>1.0892276</v>
      </c>
      <c r="BS94" s="0" t="n">
        <v>1.1068</v>
      </c>
      <c r="BT94" s="0" t="n">
        <v>1.0827</v>
      </c>
      <c r="BU94" s="0" t="n">
        <v>1.0137</v>
      </c>
      <c r="BV94" s="0" t="n">
        <v>1</v>
      </c>
      <c r="BW94" s="0" t="n">
        <v>2.1642</v>
      </c>
      <c r="BX94" s="0" t="n">
        <v>2.273456333</v>
      </c>
      <c r="BY94" s="0" t="n">
        <v>1.08085</v>
      </c>
      <c r="BZ94" s="0" t="n">
        <v>1.2885</v>
      </c>
      <c r="CA94" s="0" t="n">
        <v>2.001</v>
      </c>
      <c r="CB94" s="0" t="n">
        <v>1.509005</v>
      </c>
      <c r="CC94" s="0" t="n">
        <v>1.509005</v>
      </c>
      <c r="CD94" s="0" t="n">
        <v>1.258905</v>
      </c>
      <c r="CE94" s="0" t="n">
        <v>1.072055</v>
      </c>
      <c r="CF94" s="0" t="n">
        <v>1.421405</v>
      </c>
      <c r="CG94" s="188"/>
      <c r="CH94" s="0" t="n">
        <v>1.09691</v>
      </c>
      <c r="CI94" s="188"/>
      <c r="CJ94" s="188"/>
      <c r="CK94" s="188"/>
      <c r="CL94" s="188"/>
      <c r="CM94" s="188"/>
      <c r="CN94" s="188"/>
      <c r="CO94" s="188"/>
      <c r="CP94" s="0" t="n">
        <v>0.965</v>
      </c>
      <c r="CQ94" s="0" t="n">
        <v>0.91</v>
      </c>
      <c r="CR94" s="0" t="n">
        <v>0.91</v>
      </c>
      <c r="CS94" s="0" t="n">
        <v>0.98</v>
      </c>
      <c r="CT94" s="0" t="n">
        <v>0.99895</v>
      </c>
      <c r="CU94" s="0" t="n">
        <v>0.34</v>
      </c>
      <c r="CV94" s="0" t="n">
        <v>0.47</v>
      </c>
      <c r="CW94" s="0" t="n">
        <v>0.935</v>
      </c>
      <c r="CX94" s="0" t="n">
        <v>0.635</v>
      </c>
      <c r="CY94" s="0" t="n">
        <v>0.725</v>
      </c>
      <c r="CZ94" s="0" t="n">
        <v>0.8825</v>
      </c>
      <c r="DA94" s="0" t="n">
        <v>0.915</v>
      </c>
      <c r="DB94" s="0" t="n">
        <v>0.88</v>
      </c>
      <c r="DC94" s="0" t="n">
        <v>0.9025</v>
      </c>
      <c r="DD94" s="0" t="n">
        <v>0.915</v>
      </c>
      <c r="DE94" s="0" t="n">
        <v>0.89</v>
      </c>
      <c r="DI94" s="0" t="n">
        <v>0.9775</v>
      </c>
      <c r="DN94" s="188" t="n">
        <v>0.000285</v>
      </c>
      <c r="DO94" s="188" t="n">
        <v>0.0002</v>
      </c>
      <c r="DP94" s="188" t="n">
        <v>0</v>
      </c>
      <c r="DQ94" s="188" t="n">
        <v>0.0001</v>
      </c>
      <c r="DR94" s="188" t="n">
        <v>0</v>
      </c>
      <c r="DS94" s="188" t="n">
        <v>0.0036</v>
      </c>
      <c r="DT94" s="188" t="n">
        <v>0.00047</v>
      </c>
      <c r="DU94" s="188" t="n">
        <v>0.0007</v>
      </c>
      <c r="DV94" s="188" t="n">
        <v>0</v>
      </c>
      <c r="DW94" s="188" t="n">
        <v>0</v>
      </c>
      <c r="DX94" s="188" t="n">
        <v>0.0005</v>
      </c>
      <c r="DY94" s="188" t="n">
        <v>0.0005</v>
      </c>
      <c r="DZ94" s="188" t="n">
        <v>0.0003</v>
      </c>
      <c r="EA94" s="188" t="n">
        <v>0.000275</v>
      </c>
      <c r="EB94" s="188" t="n">
        <v>0.0004</v>
      </c>
      <c r="ED94" s="188" t="n">
        <v>6.5E-005</v>
      </c>
      <c r="EF94" s="0" t="n">
        <v>1</v>
      </c>
    </row>
    <row r="95" customFormat="false" ht="12.75" hidden="false" customHeight="false" outlineLevel="0" collapsed="false">
      <c r="A95" s="149" t="n">
        <v>39264</v>
      </c>
      <c r="B95" s="0" t="n">
        <v>0.98</v>
      </c>
      <c r="C95" s="0" t="n">
        <v>0.988</v>
      </c>
      <c r="D95" s="0" t="n">
        <v>0.96</v>
      </c>
      <c r="E95" s="0" t="n">
        <f aca="false">E83</f>
        <v>0.978</v>
      </c>
      <c r="F95" s="0" t="n">
        <v>0.977</v>
      </c>
      <c r="G95" s="0" t="n">
        <v>0.888798</v>
      </c>
      <c r="H95" s="0" t="n">
        <v>0.9875</v>
      </c>
      <c r="I95" s="0" t="n">
        <v>0.9875</v>
      </c>
      <c r="J95" s="0" t="n">
        <v>0.8439675</v>
      </c>
      <c r="K95" s="0" t="n">
        <v>0.985</v>
      </c>
      <c r="L95" s="176" t="n">
        <v>0.9875</v>
      </c>
      <c r="M95" s="176" t="n">
        <v>0.9875</v>
      </c>
      <c r="N95" s="0" t="n">
        <v>0.98</v>
      </c>
      <c r="O95" s="0" t="n">
        <v>0.973139475</v>
      </c>
      <c r="P95" s="0" t="n">
        <v>0.98</v>
      </c>
      <c r="Q95" s="177" t="n">
        <v>0.9875</v>
      </c>
      <c r="R95" s="0" t="n">
        <v>0.9875</v>
      </c>
      <c r="S95" s="176" t="n">
        <v>0.9875</v>
      </c>
      <c r="T95" s="0" t="n">
        <v>0.98</v>
      </c>
      <c r="U95" s="0" t="n">
        <v>0.98</v>
      </c>
      <c r="V95" s="0" t="n">
        <v>0.98</v>
      </c>
      <c r="W95" s="0" t="n">
        <v>0.98</v>
      </c>
      <c r="X95" s="0" t="n">
        <v>0.973139475</v>
      </c>
      <c r="Y95" s="0" t="n">
        <v>0.973139475</v>
      </c>
      <c r="Z95" s="0" t="n">
        <v>0.973139475</v>
      </c>
      <c r="AA95" s="0" t="n">
        <v>0.973139475</v>
      </c>
      <c r="AB95" s="0" t="n">
        <v>0.98</v>
      </c>
      <c r="AC95" s="0" t="n">
        <v>0.98</v>
      </c>
      <c r="AD95" s="0" t="n">
        <v>0.973139475</v>
      </c>
      <c r="AE95" s="0" t="n">
        <v>0.973139475</v>
      </c>
      <c r="AF95" s="0" t="n">
        <v>0.98</v>
      </c>
      <c r="AG95" s="0" t="n">
        <v>0.99</v>
      </c>
      <c r="AH95" s="0" t="n">
        <v>0.97630775</v>
      </c>
      <c r="AI95" s="0" t="n">
        <v>0.97630775</v>
      </c>
      <c r="AJ95" s="0" t="n">
        <v>0.98</v>
      </c>
      <c r="AK95" s="0" t="n">
        <v>1</v>
      </c>
      <c r="AL95" s="0" t="n">
        <v>0.985</v>
      </c>
      <c r="AM95" s="0" t="n">
        <v>0.985</v>
      </c>
      <c r="AS95" s="0" t="n">
        <v>0.977</v>
      </c>
      <c r="AT95" s="177" t="n">
        <v>0.9775</v>
      </c>
      <c r="AU95" s="0" t="n">
        <v>0.97630775</v>
      </c>
      <c r="AV95" s="0" t="n">
        <v>0.985</v>
      </c>
      <c r="AW95" s="0" t="n">
        <v>0.985</v>
      </c>
      <c r="AX95" s="0" t="n">
        <v>0.985</v>
      </c>
      <c r="AY95" s="0" t="n">
        <v>0.97630775</v>
      </c>
      <c r="AZ95" s="0" t="n">
        <v>0.97630775</v>
      </c>
      <c r="BA95" s="0" t="n">
        <v>0.985</v>
      </c>
      <c r="BB95" s="187" t="n">
        <v>1</v>
      </c>
      <c r="BC95" s="0" t="n">
        <v>1</v>
      </c>
      <c r="BD95" s="0" t="n">
        <v>1</v>
      </c>
      <c r="BE95" s="0" t="n">
        <v>1</v>
      </c>
      <c r="BF95" s="0" t="n">
        <v>0.9999</v>
      </c>
      <c r="BG95" s="0" t="n">
        <v>1</v>
      </c>
      <c r="BH95" s="0" t="n">
        <v>1</v>
      </c>
      <c r="BI95" s="0" t="n">
        <v>0.99</v>
      </c>
      <c r="BJ95" s="0" t="n">
        <v>0.999</v>
      </c>
      <c r="BK95" s="0" t="n">
        <v>0.998</v>
      </c>
      <c r="BL95" s="0" t="n">
        <v>0.9985</v>
      </c>
      <c r="BM95" s="0" t="n">
        <v>0.9985</v>
      </c>
      <c r="BN95" s="0" t="n">
        <v>0.972</v>
      </c>
      <c r="BO95" s="0" t="n">
        <v>0.9999</v>
      </c>
      <c r="BP95" s="0" t="n">
        <v>0.9999</v>
      </c>
      <c r="BQ95" s="0" t="n">
        <v>1</v>
      </c>
      <c r="BR95" s="0" t="n">
        <v>1.0895126</v>
      </c>
      <c r="BS95" s="0" t="n">
        <v>1.107</v>
      </c>
      <c r="BT95" s="0" t="n">
        <v>1.0827</v>
      </c>
      <c r="BU95" s="0" t="n">
        <v>1.0138</v>
      </c>
      <c r="BV95" s="0" t="n">
        <v>1</v>
      </c>
      <c r="BW95" s="0" t="n">
        <v>2.1678</v>
      </c>
      <c r="BX95" s="0" t="n">
        <v>2.273926333</v>
      </c>
      <c r="BY95" s="0" t="n">
        <v>1.08155</v>
      </c>
      <c r="BZ95" s="0" t="n">
        <v>1.2885</v>
      </c>
      <c r="CA95" s="0" t="n">
        <v>2.001</v>
      </c>
      <c r="CB95" s="0" t="n">
        <v>1.509505</v>
      </c>
      <c r="CC95" s="0" t="n">
        <v>1.509505</v>
      </c>
      <c r="CD95" s="0" t="n">
        <v>1.259205</v>
      </c>
      <c r="CE95" s="0" t="n">
        <v>1.07233</v>
      </c>
      <c r="CF95" s="0" t="n">
        <v>1.421805</v>
      </c>
      <c r="CG95" s="188"/>
      <c r="CH95" s="0" t="n">
        <v>1.096975</v>
      </c>
      <c r="CI95" s="188"/>
      <c r="CJ95" s="188"/>
      <c r="CK95" s="188"/>
      <c r="CL95" s="188"/>
      <c r="CM95" s="188"/>
      <c r="CN95" s="188"/>
      <c r="CO95" s="188"/>
      <c r="CP95" s="0" t="n">
        <v>0.975</v>
      </c>
      <c r="CQ95" s="0" t="n">
        <v>0.91</v>
      </c>
      <c r="CR95" s="0" t="n">
        <v>0.91</v>
      </c>
      <c r="CS95" s="0" t="n">
        <v>0.97</v>
      </c>
      <c r="CT95" s="0" t="n">
        <v>0.99895</v>
      </c>
      <c r="CU95" s="0" t="n">
        <v>0.41</v>
      </c>
      <c r="CV95" s="0" t="n">
        <v>0.47</v>
      </c>
      <c r="CW95" s="0" t="n">
        <v>0.935</v>
      </c>
      <c r="CX95" s="0" t="n">
        <v>0.655</v>
      </c>
      <c r="CY95" s="0" t="n">
        <v>0.725</v>
      </c>
      <c r="CZ95" s="0" t="n">
        <v>0.8775</v>
      </c>
      <c r="DA95" s="0" t="n">
        <v>0.91</v>
      </c>
      <c r="DB95" s="0" t="n">
        <v>0.89</v>
      </c>
      <c r="DC95" s="0" t="n">
        <v>0.9075</v>
      </c>
      <c r="DD95" s="0" t="n">
        <v>0.915</v>
      </c>
      <c r="DE95" s="0" t="n">
        <v>0.89</v>
      </c>
      <c r="DI95" s="0" t="n">
        <v>0.9775</v>
      </c>
      <c r="DN95" s="188" t="n">
        <v>0.000285</v>
      </c>
      <c r="DO95" s="188" t="n">
        <v>0.0002</v>
      </c>
      <c r="DP95" s="188" t="n">
        <v>0</v>
      </c>
      <c r="DQ95" s="188" t="n">
        <v>0.0001</v>
      </c>
      <c r="DR95" s="188" t="n">
        <v>0</v>
      </c>
      <c r="DS95" s="188" t="n">
        <v>0.0036</v>
      </c>
      <c r="DT95" s="188" t="n">
        <v>0.00047</v>
      </c>
      <c r="DU95" s="188" t="n">
        <v>0.0007</v>
      </c>
      <c r="DV95" s="188" t="n">
        <v>0</v>
      </c>
      <c r="DW95" s="188" t="n">
        <v>0</v>
      </c>
      <c r="DX95" s="188" t="n">
        <v>0.0005</v>
      </c>
      <c r="DY95" s="188" t="n">
        <v>0.0005</v>
      </c>
      <c r="DZ95" s="188" t="n">
        <v>0.0003</v>
      </c>
      <c r="EA95" s="188" t="n">
        <v>0.000275</v>
      </c>
      <c r="EB95" s="188" t="n">
        <v>0.0004</v>
      </c>
      <c r="ED95" s="188" t="n">
        <v>6.5E-005</v>
      </c>
      <c r="EF95" s="0" t="n">
        <v>1</v>
      </c>
    </row>
    <row r="96" customFormat="false" ht="12.75" hidden="false" customHeight="false" outlineLevel="0" collapsed="false">
      <c r="A96" s="149" t="n">
        <v>39295</v>
      </c>
      <c r="B96" s="0" t="n">
        <v>0.98</v>
      </c>
      <c r="C96" s="0" t="n">
        <v>0.988</v>
      </c>
      <c r="D96" s="0" t="n">
        <v>0.96</v>
      </c>
      <c r="E96" s="0" t="n">
        <f aca="false">E84</f>
        <v>0.978</v>
      </c>
      <c r="F96" s="0" t="n">
        <v>0.977</v>
      </c>
      <c r="G96" s="0" t="n">
        <v>0.933702</v>
      </c>
      <c r="H96" s="0" t="n">
        <v>0.9875</v>
      </c>
      <c r="I96" s="0" t="n">
        <v>0.9875</v>
      </c>
      <c r="J96" s="0" t="n">
        <v>0.9599325</v>
      </c>
      <c r="K96" s="0" t="n">
        <v>0.985</v>
      </c>
      <c r="L96" s="176" t="n">
        <v>0.9875</v>
      </c>
      <c r="M96" s="176" t="n">
        <v>0.9875</v>
      </c>
      <c r="N96" s="0" t="n">
        <v>0.98</v>
      </c>
      <c r="O96" s="0" t="n">
        <v>0.9875</v>
      </c>
      <c r="P96" s="0" t="n">
        <v>0.98</v>
      </c>
      <c r="Q96" s="177" t="n">
        <v>0.9875</v>
      </c>
      <c r="R96" s="0" t="n">
        <v>0.9875</v>
      </c>
      <c r="S96" s="176" t="n">
        <v>0.9875</v>
      </c>
      <c r="T96" s="0" t="n">
        <v>0.98</v>
      </c>
      <c r="U96" s="0" t="n">
        <v>0.98</v>
      </c>
      <c r="V96" s="0" t="n">
        <v>0.98</v>
      </c>
      <c r="W96" s="0" t="n">
        <v>0.98</v>
      </c>
      <c r="X96" s="0" t="n">
        <v>0.9875</v>
      </c>
      <c r="Y96" s="0" t="n">
        <v>0.9875</v>
      </c>
      <c r="Z96" s="0" t="n">
        <v>0.9875</v>
      </c>
      <c r="AA96" s="0" t="n">
        <v>0.9875</v>
      </c>
      <c r="AB96" s="0" t="n">
        <v>0.98</v>
      </c>
      <c r="AC96" s="0" t="n">
        <v>0.98</v>
      </c>
      <c r="AD96" s="0" t="n">
        <v>0.9875</v>
      </c>
      <c r="AE96" s="0" t="n">
        <v>0.9875</v>
      </c>
      <c r="AF96" s="0" t="n">
        <v>0.98</v>
      </c>
      <c r="AG96" s="0" t="n">
        <v>0.99</v>
      </c>
      <c r="AH96" s="0" t="n">
        <v>0.9763656</v>
      </c>
      <c r="AI96" s="0" t="n">
        <v>0.9763656</v>
      </c>
      <c r="AJ96" s="0" t="n">
        <v>0.98</v>
      </c>
      <c r="AK96" s="0" t="n">
        <v>1</v>
      </c>
      <c r="AL96" s="0" t="n">
        <v>0.985</v>
      </c>
      <c r="AM96" s="0" t="n">
        <v>0.985</v>
      </c>
      <c r="AS96" s="0" t="n">
        <v>0.977</v>
      </c>
      <c r="AT96" s="177" t="n">
        <v>0.9775</v>
      </c>
      <c r="AU96" s="0" t="n">
        <v>0.9763656</v>
      </c>
      <c r="AV96" s="0" t="n">
        <v>0.985</v>
      </c>
      <c r="AW96" s="0" t="n">
        <v>0.985</v>
      </c>
      <c r="AX96" s="0" t="n">
        <v>0.985</v>
      </c>
      <c r="AY96" s="0" t="n">
        <v>0.9763656</v>
      </c>
      <c r="AZ96" s="0" t="n">
        <v>0.9763656</v>
      </c>
      <c r="BA96" s="0" t="n">
        <v>0.985</v>
      </c>
      <c r="BB96" s="187" t="n">
        <v>1</v>
      </c>
      <c r="BC96" s="0" t="n">
        <v>1</v>
      </c>
      <c r="BD96" s="0" t="n">
        <v>1</v>
      </c>
      <c r="BE96" s="0" t="n">
        <v>1</v>
      </c>
      <c r="BF96" s="0" t="n">
        <v>0.9999</v>
      </c>
      <c r="BG96" s="0" t="n">
        <v>1</v>
      </c>
      <c r="BH96" s="0" t="n">
        <v>1</v>
      </c>
      <c r="BI96" s="0" t="n">
        <v>0.99</v>
      </c>
      <c r="BJ96" s="0" t="n">
        <v>0.999</v>
      </c>
      <c r="BK96" s="0" t="n">
        <v>0.998</v>
      </c>
      <c r="BL96" s="0" t="n">
        <v>0.9985</v>
      </c>
      <c r="BM96" s="0" t="n">
        <v>0.9985</v>
      </c>
      <c r="BN96" s="0" t="n">
        <v>0.972</v>
      </c>
      <c r="BO96" s="0" t="n">
        <v>0.9999</v>
      </c>
      <c r="BP96" s="0" t="n">
        <v>0.9999</v>
      </c>
      <c r="BQ96" s="0" t="n">
        <v>1</v>
      </c>
      <c r="BR96" s="0" t="n">
        <v>1.0897976</v>
      </c>
      <c r="BS96" s="0" t="n">
        <v>1.1072</v>
      </c>
      <c r="BT96" s="0" t="n">
        <v>1.0827</v>
      </c>
      <c r="BU96" s="0" t="n">
        <v>1.0139</v>
      </c>
      <c r="BV96" s="0" t="n">
        <v>1</v>
      </c>
      <c r="BW96" s="0" t="n">
        <v>2.1714</v>
      </c>
      <c r="BX96" s="0" t="n">
        <v>2.274396333</v>
      </c>
      <c r="BY96" s="0" t="n">
        <v>1.08225</v>
      </c>
      <c r="BZ96" s="0" t="n">
        <v>1.2885</v>
      </c>
      <c r="CA96" s="0" t="n">
        <v>2.001</v>
      </c>
      <c r="CB96" s="0" t="n">
        <v>1.510005</v>
      </c>
      <c r="CC96" s="0" t="n">
        <v>1.510005</v>
      </c>
      <c r="CD96" s="0" t="n">
        <v>1.259505</v>
      </c>
      <c r="CE96" s="0" t="n">
        <v>1.072605</v>
      </c>
      <c r="CF96" s="0" t="n">
        <v>1.422205</v>
      </c>
      <c r="CG96" s="188"/>
      <c r="CH96" s="0" t="n">
        <v>1.09704</v>
      </c>
      <c r="CI96" s="188"/>
      <c r="CJ96" s="188"/>
      <c r="CK96" s="188"/>
      <c r="CL96" s="188"/>
      <c r="CM96" s="188"/>
      <c r="CN96" s="188"/>
      <c r="CO96" s="188"/>
      <c r="CP96" s="0" t="n">
        <v>0.975</v>
      </c>
      <c r="CQ96" s="0" t="n">
        <v>0.91</v>
      </c>
      <c r="CR96" s="0" t="n">
        <v>0.91</v>
      </c>
      <c r="CS96" s="0" t="n">
        <v>0.97</v>
      </c>
      <c r="CT96" s="0" t="n">
        <v>0.99895</v>
      </c>
      <c r="CU96" s="0" t="n">
        <v>0.43</v>
      </c>
      <c r="CV96" s="0" t="n">
        <v>0.52</v>
      </c>
      <c r="CW96" s="0" t="n">
        <v>0.925</v>
      </c>
      <c r="CX96" s="0" t="n">
        <v>0.745</v>
      </c>
      <c r="CY96" s="0" t="n">
        <v>0.725</v>
      </c>
      <c r="CZ96" s="0" t="n">
        <v>0.89</v>
      </c>
      <c r="DA96" s="0" t="n">
        <v>0.9225</v>
      </c>
      <c r="DB96" s="0" t="n">
        <v>0.915</v>
      </c>
      <c r="DC96" s="0" t="n">
        <v>0.9275</v>
      </c>
      <c r="DD96" s="0" t="n">
        <v>0.915</v>
      </c>
      <c r="DE96" s="0" t="n">
        <v>0.89</v>
      </c>
      <c r="DI96" s="0" t="n">
        <v>0.9775</v>
      </c>
      <c r="DN96" s="188" t="n">
        <v>0.000285</v>
      </c>
      <c r="DO96" s="188" t="n">
        <v>0.0002</v>
      </c>
      <c r="DP96" s="188" t="n">
        <v>0</v>
      </c>
      <c r="DQ96" s="188" t="n">
        <v>0.0001</v>
      </c>
      <c r="DR96" s="188" t="n">
        <v>0</v>
      </c>
      <c r="DS96" s="188" t="n">
        <v>0.0036</v>
      </c>
      <c r="DT96" s="188" t="n">
        <v>0.00047</v>
      </c>
      <c r="DU96" s="188" t="n">
        <v>0.0007</v>
      </c>
      <c r="DV96" s="188" t="n">
        <v>0</v>
      </c>
      <c r="DW96" s="188" t="n">
        <v>0</v>
      </c>
      <c r="DX96" s="188" t="n">
        <v>0.0005</v>
      </c>
      <c r="DY96" s="188" t="n">
        <v>0.0005</v>
      </c>
      <c r="DZ96" s="188" t="n">
        <v>0.0003</v>
      </c>
      <c r="EA96" s="188" t="n">
        <v>0.000275</v>
      </c>
      <c r="EB96" s="188" t="n">
        <v>0.0004</v>
      </c>
      <c r="ED96" s="188" t="n">
        <v>6.5E-005</v>
      </c>
      <c r="EF96" s="0" t="n">
        <v>1</v>
      </c>
    </row>
    <row r="97" customFormat="false" ht="12.75" hidden="false" customHeight="false" outlineLevel="0" collapsed="false">
      <c r="A97" s="149" t="n">
        <v>39326</v>
      </c>
      <c r="B97" s="0" t="n">
        <v>0.98</v>
      </c>
      <c r="C97" s="0" t="n">
        <v>0.988</v>
      </c>
      <c r="D97" s="0" t="n">
        <v>0.96</v>
      </c>
      <c r="E97" s="0" t="n">
        <f aca="false">E85</f>
        <v>0.978</v>
      </c>
      <c r="F97" s="0" t="n">
        <v>0.977</v>
      </c>
      <c r="G97" s="0" t="n">
        <v>0.9875</v>
      </c>
      <c r="H97" s="0" t="n">
        <v>0.9875</v>
      </c>
      <c r="I97" s="0" t="n">
        <v>0.9875</v>
      </c>
      <c r="J97" s="0" t="n">
        <v>0.7795425</v>
      </c>
      <c r="K97" s="0" t="n">
        <v>0.985</v>
      </c>
      <c r="L97" s="176" t="n">
        <v>0.9875</v>
      </c>
      <c r="M97" s="176" t="n">
        <v>0.9875</v>
      </c>
      <c r="N97" s="0" t="n">
        <v>0.98</v>
      </c>
      <c r="O97" s="0" t="n">
        <v>0.9870496</v>
      </c>
      <c r="P97" s="0" t="n">
        <v>0.98</v>
      </c>
      <c r="Q97" s="177" t="n">
        <v>0.9875</v>
      </c>
      <c r="R97" s="0" t="n">
        <v>0.9875</v>
      </c>
      <c r="S97" s="176" t="n">
        <v>0.9875</v>
      </c>
      <c r="T97" s="0" t="n">
        <v>0.98</v>
      </c>
      <c r="U97" s="0" t="n">
        <v>0.98</v>
      </c>
      <c r="V97" s="0" t="n">
        <v>0.98</v>
      </c>
      <c r="W97" s="0" t="n">
        <v>0.98</v>
      </c>
      <c r="X97" s="0" t="n">
        <v>0.9870496</v>
      </c>
      <c r="Y97" s="0" t="n">
        <v>0.9870496</v>
      </c>
      <c r="Z97" s="0" t="n">
        <v>0.9870496</v>
      </c>
      <c r="AA97" s="0" t="n">
        <v>0.9870496</v>
      </c>
      <c r="AB97" s="0" t="n">
        <v>0.98</v>
      </c>
      <c r="AC97" s="0" t="n">
        <v>0.98</v>
      </c>
      <c r="AD97" s="0" t="n">
        <v>0.9870496</v>
      </c>
      <c r="AE97" s="0" t="n">
        <v>0.9870496</v>
      </c>
      <c r="AF97" s="0" t="n">
        <v>0.98</v>
      </c>
      <c r="AG97" s="0" t="n">
        <v>0.99</v>
      </c>
      <c r="AH97" s="0" t="n">
        <v>0.97642345</v>
      </c>
      <c r="AI97" s="0" t="n">
        <v>0.97642345</v>
      </c>
      <c r="AJ97" s="0" t="n">
        <v>0.98</v>
      </c>
      <c r="AK97" s="0" t="n">
        <v>1</v>
      </c>
      <c r="AL97" s="0" t="n">
        <v>0.985</v>
      </c>
      <c r="AM97" s="0" t="n">
        <v>0.985</v>
      </c>
      <c r="AS97" s="0" t="n">
        <v>0.977</v>
      </c>
      <c r="AT97" s="177" t="n">
        <v>0.9775</v>
      </c>
      <c r="AU97" s="0" t="n">
        <v>0.97642345</v>
      </c>
      <c r="AV97" s="0" t="n">
        <v>0.985</v>
      </c>
      <c r="AW97" s="0" t="n">
        <v>0.985</v>
      </c>
      <c r="AX97" s="0" t="n">
        <v>0.985</v>
      </c>
      <c r="AY97" s="0" t="n">
        <v>0.97642345</v>
      </c>
      <c r="AZ97" s="0" t="n">
        <v>0.97642345</v>
      </c>
      <c r="BA97" s="0" t="n">
        <v>0.985</v>
      </c>
      <c r="BB97" s="187" t="n">
        <v>1</v>
      </c>
      <c r="BC97" s="0" t="n">
        <v>1</v>
      </c>
      <c r="BD97" s="0" t="n">
        <v>1</v>
      </c>
      <c r="BE97" s="0" t="n">
        <v>1</v>
      </c>
      <c r="BF97" s="0" t="n">
        <v>0.9999</v>
      </c>
      <c r="BG97" s="0" t="n">
        <v>1</v>
      </c>
      <c r="BH97" s="0" t="n">
        <v>1</v>
      </c>
      <c r="BI97" s="0" t="n">
        <v>0.99</v>
      </c>
      <c r="BJ97" s="0" t="n">
        <v>0.999</v>
      </c>
      <c r="BK97" s="0" t="n">
        <v>0.998</v>
      </c>
      <c r="BL97" s="0" t="n">
        <v>0.9985</v>
      </c>
      <c r="BM97" s="0" t="n">
        <v>0.9985</v>
      </c>
      <c r="BN97" s="0" t="n">
        <v>0.972</v>
      </c>
      <c r="BO97" s="0" t="n">
        <v>0.9999</v>
      </c>
      <c r="BP97" s="0" t="n">
        <v>0.9999</v>
      </c>
      <c r="BQ97" s="0" t="n">
        <v>1</v>
      </c>
      <c r="BR97" s="0" t="n">
        <v>1.0900826</v>
      </c>
      <c r="BS97" s="0" t="n">
        <v>1.1074</v>
      </c>
      <c r="BT97" s="0" t="n">
        <v>1.0827</v>
      </c>
      <c r="BU97" s="0" t="n">
        <v>1.014</v>
      </c>
      <c r="BV97" s="0" t="n">
        <v>1</v>
      </c>
      <c r="BW97" s="0" t="n">
        <v>2.175</v>
      </c>
      <c r="BX97" s="0" t="n">
        <v>2.274866333</v>
      </c>
      <c r="BY97" s="0" t="n">
        <v>1.08295</v>
      </c>
      <c r="BZ97" s="0" t="n">
        <v>1.2885</v>
      </c>
      <c r="CA97" s="0" t="n">
        <v>2.001</v>
      </c>
      <c r="CB97" s="0" t="n">
        <v>1.510505</v>
      </c>
      <c r="CC97" s="0" t="n">
        <v>1.510505</v>
      </c>
      <c r="CD97" s="0" t="n">
        <v>1.259805</v>
      </c>
      <c r="CE97" s="0" t="n">
        <v>1.07288</v>
      </c>
      <c r="CF97" s="0" t="n">
        <v>1.422605</v>
      </c>
      <c r="CG97" s="188"/>
      <c r="CH97" s="0" t="n">
        <v>1.097105</v>
      </c>
      <c r="CI97" s="188"/>
      <c r="CJ97" s="188"/>
      <c r="CK97" s="188"/>
      <c r="CL97" s="188"/>
      <c r="CM97" s="188"/>
      <c r="CN97" s="188"/>
      <c r="CO97" s="188"/>
      <c r="CP97" s="0" t="n">
        <v>0.975</v>
      </c>
      <c r="CQ97" s="0" t="n">
        <v>0.91</v>
      </c>
      <c r="CR97" s="0" t="n">
        <v>0.91</v>
      </c>
      <c r="CS97" s="0" t="n">
        <v>0.95</v>
      </c>
      <c r="CT97" s="0" t="n">
        <v>0.99895</v>
      </c>
      <c r="CU97" s="0" t="n">
        <v>0.46</v>
      </c>
      <c r="CV97" s="0" t="n">
        <v>0.55</v>
      </c>
      <c r="CW97" s="0" t="n">
        <v>0.925</v>
      </c>
      <c r="CX97" s="0" t="n">
        <v>0.605</v>
      </c>
      <c r="CY97" s="0" t="n">
        <v>0.575</v>
      </c>
      <c r="CZ97" s="0" t="n">
        <v>0.945</v>
      </c>
      <c r="DA97" s="0" t="n">
        <v>0.9775</v>
      </c>
      <c r="DB97" s="0" t="n">
        <v>0.945</v>
      </c>
      <c r="DC97" s="0" t="n">
        <v>0.92</v>
      </c>
      <c r="DD97" s="0" t="n">
        <v>0.915</v>
      </c>
      <c r="DE97" s="0" t="n">
        <v>0.89</v>
      </c>
      <c r="DI97" s="0" t="n">
        <v>0.9775</v>
      </c>
      <c r="DN97" s="188" t="n">
        <v>0.000285</v>
      </c>
      <c r="DO97" s="188" t="n">
        <v>0.0002</v>
      </c>
      <c r="DP97" s="188" t="n">
        <v>0</v>
      </c>
      <c r="DQ97" s="188" t="n">
        <v>0.0001</v>
      </c>
      <c r="DR97" s="188" t="n">
        <v>0</v>
      </c>
      <c r="DS97" s="188" t="n">
        <v>0.0036</v>
      </c>
      <c r="DT97" s="188" t="n">
        <v>0.00047</v>
      </c>
      <c r="DU97" s="188" t="n">
        <v>0.0007</v>
      </c>
      <c r="DV97" s="188" t="n">
        <v>0</v>
      </c>
      <c r="DW97" s="188" t="n">
        <v>0</v>
      </c>
      <c r="DX97" s="188" t="n">
        <v>0.0005</v>
      </c>
      <c r="DY97" s="188" t="n">
        <v>0.0005</v>
      </c>
      <c r="DZ97" s="188" t="n">
        <v>0.0003</v>
      </c>
      <c r="EA97" s="188" t="n">
        <v>0.000275</v>
      </c>
      <c r="EB97" s="188" t="n">
        <v>0.0004</v>
      </c>
      <c r="ED97" s="188" t="n">
        <v>6.5E-005</v>
      </c>
      <c r="EF97" s="0" t="n">
        <v>1</v>
      </c>
    </row>
    <row r="98" customFormat="false" ht="12.75" hidden="false" customHeight="false" outlineLevel="0" collapsed="false">
      <c r="A98" s="149" t="n">
        <v>39356</v>
      </c>
      <c r="B98" s="0" t="n">
        <v>0.98</v>
      </c>
      <c r="C98" s="0" t="n">
        <v>0.988</v>
      </c>
      <c r="D98" s="0" t="n">
        <v>0.96</v>
      </c>
      <c r="E98" s="0" t="n">
        <f aca="false">E86</f>
        <v>0.994</v>
      </c>
      <c r="F98" s="0" t="n">
        <v>0.977</v>
      </c>
      <c r="G98" s="0" t="n">
        <v>0.9875</v>
      </c>
      <c r="H98" s="0" t="n">
        <v>0.9875</v>
      </c>
      <c r="I98" s="0" t="n">
        <v>0.9875</v>
      </c>
      <c r="J98" s="0" t="n">
        <v>0.7666575</v>
      </c>
      <c r="K98" s="0" t="n">
        <v>0.985</v>
      </c>
      <c r="L98" s="176" t="n">
        <v>0.9875</v>
      </c>
      <c r="M98" s="176" t="n">
        <v>0.9875</v>
      </c>
      <c r="N98" s="0" t="n">
        <v>0.98</v>
      </c>
      <c r="O98" s="0" t="n">
        <v>0.968522388</v>
      </c>
      <c r="P98" s="0" t="n">
        <v>0.98</v>
      </c>
      <c r="Q98" s="177" t="n">
        <v>0.9875</v>
      </c>
      <c r="R98" s="0" t="n">
        <v>0.9875</v>
      </c>
      <c r="S98" s="176" t="n">
        <v>0.9875</v>
      </c>
      <c r="T98" s="0" t="n">
        <v>0.98</v>
      </c>
      <c r="U98" s="0" t="n">
        <v>0.98</v>
      </c>
      <c r="V98" s="0" t="n">
        <v>0.98</v>
      </c>
      <c r="W98" s="0" t="n">
        <v>0.98</v>
      </c>
      <c r="X98" s="0" t="n">
        <v>0.968522388</v>
      </c>
      <c r="Y98" s="0" t="n">
        <v>0.968522388</v>
      </c>
      <c r="Z98" s="0" t="n">
        <v>0.968522388</v>
      </c>
      <c r="AA98" s="0" t="n">
        <v>0.968522388</v>
      </c>
      <c r="AB98" s="0" t="n">
        <v>0.98</v>
      </c>
      <c r="AC98" s="0" t="n">
        <v>0.98</v>
      </c>
      <c r="AD98" s="0" t="n">
        <v>0.968522388</v>
      </c>
      <c r="AE98" s="0" t="n">
        <v>0.968522388</v>
      </c>
      <c r="AF98" s="0" t="n">
        <v>0.98</v>
      </c>
      <c r="AG98" s="0" t="n">
        <v>0.99</v>
      </c>
      <c r="AH98" s="0" t="n">
        <v>0.9764813</v>
      </c>
      <c r="AI98" s="0" t="n">
        <v>0.9764813</v>
      </c>
      <c r="AJ98" s="0" t="n">
        <v>0.98</v>
      </c>
      <c r="AK98" s="0" t="n">
        <v>1</v>
      </c>
      <c r="AL98" s="0" t="n">
        <v>0.985</v>
      </c>
      <c r="AM98" s="0" t="n">
        <v>0.985</v>
      </c>
      <c r="AS98" s="0" t="n">
        <v>0.977</v>
      </c>
      <c r="AT98" s="177" t="n">
        <v>0.9775</v>
      </c>
      <c r="AU98" s="0" t="n">
        <v>0.9764813</v>
      </c>
      <c r="AV98" s="0" t="n">
        <v>0.985</v>
      </c>
      <c r="AW98" s="0" t="n">
        <v>0.985</v>
      </c>
      <c r="AX98" s="0" t="n">
        <v>0.985</v>
      </c>
      <c r="AY98" s="0" t="n">
        <v>0.9764813</v>
      </c>
      <c r="AZ98" s="0" t="n">
        <v>0.9764813</v>
      </c>
      <c r="BA98" s="0" t="n">
        <v>0.985</v>
      </c>
      <c r="BB98" s="187" t="n">
        <v>1</v>
      </c>
      <c r="BC98" s="0" t="n">
        <v>1</v>
      </c>
      <c r="BD98" s="0" t="n">
        <v>1</v>
      </c>
      <c r="BE98" s="0" t="n">
        <v>1</v>
      </c>
      <c r="BF98" s="0" t="n">
        <v>0.9999</v>
      </c>
      <c r="BG98" s="0" t="n">
        <v>1</v>
      </c>
      <c r="BH98" s="0" t="n">
        <v>1</v>
      </c>
      <c r="BI98" s="0" t="n">
        <v>0.99</v>
      </c>
      <c r="BJ98" s="0" t="n">
        <v>0.999</v>
      </c>
      <c r="BK98" s="0" t="n">
        <v>0.998</v>
      </c>
      <c r="BL98" s="0" t="n">
        <v>0.9985</v>
      </c>
      <c r="BM98" s="0" t="n">
        <v>0.9985</v>
      </c>
      <c r="BN98" s="0" t="n">
        <v>0.972</v>
      </c>
      <c r="BO98" s="0" t="n">
        <v>0.9999</v>
      </c>
      <c r="BP98" s="0" t="n">
        <v>0.9999</v>
      </c>
      <c r="BQ98" s="0" t="n">
        <v>1</v>
      </c>
      <c r="BR98" s="0" t="n">
        <v>1.0903676</v>
      </c>
      <c r="BS98" s="0" t="n">
        <v>1.1076</v>
      </c>
      <c r="BT98" s="0" t="n">
        <v>1.0827</v>
      </c>
      <c r="BU98" s="0" t="n">
        <v>1.0141</v>
      </c>
      <c r="BV98" s="0" t="n">
        <v>1</v>
      </c>
      <c r="BW98" s="0" t="n">
        <v>2.1786</v>
      </c>
      <c r="BX98" s="0" t="n">
        <v>2.275336333</v>
      </c>
      <c r="BY98" s="0" t="n">
        <v>1.08365</v>
      </c>
      <c r="BZ98" s="0" t="n">
        <v>1.2885</v>
      </c>
      <c r="CA98" s="0" t="n">
        <v>2.001</v>
      </c>
      <c r="CB98" s="0" t="n">
        <v>1.511005</v>
      </c>
      <c r="CC98" s="0" t="n">
        <v>1.511005</v>
      </c>
      <c r="CD98" s="0" t="n">
        <v>1.260105</v>
      </c>
      <c r="CE98" s="0" t="n">
        <v>1.073155</v>
      </c>
      <c r="CF98" s="0" t="n">
        <v>1.423005</v>
      </c>
      <c r="CG98" s="188"/>
      <c r="CH98" s="0" t="n">
        <v>1.09717</v>
      </c>
      <c r="CI98" s="188"/>
      <c r="CJ98" s="188"/>
      <c r="CK98" s="188"/>
      <c r="CL98" s="188"/>
      <c r="CM98" s="188"/>
      <c r="CN98" s="188"/>
      <c r="CO98" s="188"/>
      <c r="CP98" s="0" t="n">
        <v>0.955</v>
      </c>
      <c r="CQ98" s="0" t="n">
        <v>0.9</v>
      </c>
      <c r="CR98" s="0" t="n">
        <v>0.91</v>
      </c>
      <c r="CS98" s="0" t="n">
        <v>0.94</v>
      </c>
      <c r="CT98" s="0" t="n">
        <v>0.99895</v>
      </c>
      <c r="CU98" s="0" t="n">
        <v>0.46</v>
      </c>
      <c r="CV98" s="0" t="n">
        <v>0.45</v>
      </c>
      <c r="CW98" s="0" t="n">
        <v>0.925</v>
      </c>
      <c r="CX98" s="0" t="n">
        <v>0.595</v>
      </c>
      <c r="CY98" s="0" t="n">
        <v>0.505</v>
      </c>
      <c r="CZ98" s="0" t="n">
        <v>0.805</v>
      </c>
      <c r="DA98" s="0" t="n">
        <v>0.8375</v>
      </c>
      <c r="DB98" s="0" t="n">
        <v>0.875</v>
      </c>
      <c r="DC98" s="0" t="n">
        <v>0.9025</v>
      </c>
      <c r="DD98" s="0" t="n">
        <v>0.82</v>
      </c>
      <c r="DE98" s="0" t="n">
        <v>0.89</v>
      </c>
      <c r="DI98" s="0" t="n">
        <v>0.9775</v>
      </c>
      <c r="DN98" s="188" t="n">
        <v>0.000285</v>
      </c>
      <c r="DO98" s="188" t="n">
        <v>0.0002</v>
      </c>
      <c r="DP98" s="188" t="n">
        <v>0</v>
      </c>
      <c r="DQ98" s="188" t="n">
        <v>0.0001</v>
      </c>
      <c r="DR98" s="188" t="n">
        <v>0</v>
      </c>
      <c r="DS98" s="188" t="n">
        <v>0.0036</v>
      </c>
      <c r="DT98" s="188" t="n">
        <v>0.00047</v>
      </c>
      <c r="DU98" s="188" t="n">
        <v>0.0007</v>
      </c>
      <c r="DV98" s="188" t="n">
        <v>0</v>
      </c>
      <c r="DW98" s="188" t="n">
        <v>0</v>
      </c>
      <c r="DX98" s="188" t="n">
        <v>0.0005</v>
      </c>
      <c r="DY98" s="188" t="n">
        <v>0.0005</v>
      </c>
      <c r="DZ98" s="188" t="n">
        <v>0.0003</v>
      </c>
      <c r="EA98" s="188" t="n">
        <v>0.000275</v>
      </c>
      <c r="EB98" s="188" t="n">
        <v>0.0004</v>
      </c>
      <c r="ED98" s="188" t="n">
        <v>6.5E-005</v>
      </c>
      <c r="EF98" s="0" t="n">
        <v>1</v>
      </c>
    </row>
    <row r="99" customFormat="false" ht="12.75" hidden="false" customHeight="false" outlineLevel="0" collapsed="false">
      <c r="A99" s="149" t="n">
        <v>39387</v>
      </c>
      <c r="B99" s="0" t="n">
        <v>0.98</v>
      </c>
      <c r="C99" s="0" t="n">
        <v>0.988</v>
      </c>
      <c r="D99" s="0" t="n">
        <v>0.96</v>
      </c>
      <c r="E99" s="0" t="n">
        <f aca="false">E87</f>
        <v>0.994</v>
      </c>
      <c r="F99" s="0" t="n">
        <v>0.977</v>
      </c>
      <c r="G99" s="0" t="n">
        <v>0.9875</v>
      </c>
      <c r="H99" s="0" t="n">
        <v>0.9875</v>
      </c>
      <c r="I99" s="0" t="n">
        <v>0.98133675</v>
      </c>
      <c r="J99" s="0" t="n">
        <v>0.7151175</v>
      </c>
      <c r="K99" s="0" t="n">
        <v>0.970485</v>
      </c>
      <c r="L99" s="176" t="n">
        <v>0.9875</v>
      </c>
      <c r="M99" s="176" t="n">
        <v>0.9875</v>
      </c>
      <c r="N99" s="0" t="n">
        <v>0.98</v>
      </c>
      <c r="O99" s="0" t="n">
        <v>0.968770575</v>
      </c>
      <c r="P99" s="0" t="n">
        <v>0.98</v>
      </c>
      <c r="Q99" s="177" t="n">
        <v>0.9875</v>
      </c>
      <c r="R99" s="0" t="n">
        <v>0.9875</v>
      </c>
      <c r="S99" s="176" t="n">
        <v>0.9875</v>
      </c>
      <c r="T99" s="0" t="n">
        <v>0.98</v>
      </c>
      <c r="U99" s="0" t="n">
        <v>0.98</v>
      </c>
      <c r="V99" s="0" t="n">
        <v>0.98</v>
      </c>
      <c r="W99" s="0" t="n">
        <v>0.98</v>
      </c>
      <c r="X99" s="0" t="n">
        <v>0.968770575</v>
      </c>
      <c r="Y99" s="0" t="n">
        <v>0.968770575</v>
      </c>
      <c r="Z99" s="0" t="n">
        <v>0.968770575</v>
      </c>
      <c r="AA99" s="0" t="n">
        <v>0.968770575</v>
      </c>
      <c r="AB99" s="0" t="n">
        <v>0.98</v>
      </c>
      <c r="AC99" s="0" t="n">
        <v>0.98</v>
      </c>
      <c r="AD99" s="0" t="n">
        <v>0.968770575</v>
      </c>
      <c r="AE99" s="0" t="n">
        <v>0.968770575</v>
      </c>
      <c r="AF99" s="0" t="n">
        <v>0.98</v>
      </c>
      <c r="AG99" s="0" t="n">
        <v>0.99</v>
      </c>
      <c r="AH99" s="0" t="n">
        <v>0.97653915</v>
      </c>
      <c r="AI99" s="0" t="n">
        <v>0.97653915</v>
      </c>
      <c r="AJ99" s="0" t="n">
        <v>0.98</v>
      </c>
      <c r="AK99" s="0" t="n">
        <v>1</v>
      </c>
      <c r="AL99" s="0" t="n">
        <v>0.970485</v>
      </c>
      <c r="AM99" s="0" t="n">
        <v>0.97443</v>
      </c>
      <c r="AS99" s="0" t="n">
        <v>0.977</v>
      </c>
      <c r="AT99" s="177" t="n">
        <v>0.9775</v>
      </c>
      <c r="AU99" s="0" t="n">
        <v>0.97653915</v>
      </c>
      <c r="AV99" s="0" t="n">
        <v>0.97443</v>
      </c>
      <c r="AW99" s="0" t="n">
        <v>0.97443</v>
      </c>
      <c r="AX99" s="0" t="n">
        <v>0.97443</v>
      </c>
      <c r="AY99" s="0" t="n">
        <v>0.97653915</v>
      </c>
      <c r="AZ99" s="0" t="n">
        <v>0.97653915</v>
      </c>
      <c r="BA99" s="0" t="n">
        <v>0.97443</v>
      </c>
      <c r="BB99" s="187" t="n">
        <v>1</v>
      </c>
      <c r="BC99" s="0" t="n">
        <v>1</v>
      </c>
      <c r="BD99" s="0" t="n">
        <v>1</v>
      </c>
      <c r="BE99" s="0" t="n">
        <v>1</v>
      </c>
      <c r="BF99" s="0" t="n">
        <v>0.9999</v>
      </c>
      <c r="BG99" s="0" t="n">
        <v>1</v>
      </c>
      <c r="BH99" s="0" t="n">
        <v>1</v>
      </c>
      <c r="BI99" s="0" t="n">
        <v>0.99</v>
      </c>
      <c r="BJ99" s="0" t="n">
        <v>0.999</v>
      </c>
      <c r="BK99" s="0" t="n">
        <v>0.998</v>
      </c>
      <c r="BL99" s="0" t="n">
        <v>0.9985</v>
      </c>
      <c r="BM99" s="0" t="n">
        <v>0.9985</v>
      </c>
      <c r="BN99" s="0" t="n">
        <v>0.972</v>
      </c>
      <c r="BO99" s="0" t="n">
        <v>0.9999</v>
      </c>
      <c r="BP99" s="0" t="n">
        <v>0.9999</v>
      </c>
      <c r="BQ99" s="0" t="n">
        <v>1</v>
      </c>
      <c r="BR99" s="0" t="n">
        <v>1.0906526</v>
      </c>
      <c r="BS99" s="0" t="n">
        <v>1.1078</v>
      </c>
      <c r="BT99" s="0" t="n">
        <v>1.0827</v>
      </c>
      <c r="BU99" s="0" t="n">
        <v>1.0142</v>
      </c>
      <c r="BV99" s="0" t="n">
        <v>1</v>
      </c>
      <c r="BW99" s="0" t="n">
        <v>2.1822</v>
      </c>
      <c r="BX99" s="0" t="n">
        <v>2.275806333</v>
      </c>
      <c r="BY99" s="0" t="n">
        <v>1.08435</v>
      </c>
      <c r="BZ99" s="0" t="n">
        <v>1.2885</v>
      </c>
      <c r="CA99" s="0" t="n">
        <v>2.001</v>
      </c>
      <c r="CB99" s="0" t="n">
        <v>1.511505</v>
      </c>
      <c r="CC99" s="0" t="n">
        <v>1.511505</v>
      </c>
      <c r="CD99" s="0" t="n">
        <v>1.260405</v>
      </c>
      <c r="CE99" s="0" t="n">
        <v>1.07343</v>
      </c>
      <c r="CF99" s="0" t="n">
        <v>1.423405</v>
      </c>
      <c r="CG99" s="188"/>
      <c r="CH99" s="0" t="n">
        <v>1.097235</v>
      </c>
      <c r="CI99" s="188"/>
      <c r="CJ99" s="188"/>
      <c r="CK99" s="188"/>
      <c r="CL99" s="188"/>
      <c r="CM99" s="188"/>
      <c r="CN99" s="188"/>
      <c r="CO99" s="188"/>
      <c r="CP99" s="0" t="n">
        <v>0.955</v>
      </c>
      <c r="CQ99" s="0" t="n">
        <v>0.9</v>
      </c>
      <c r="CR99" s="0" t="n">
        <v>0.9</v>
      </c>
      <c r="CS99" s="0" t="n">
        <v>0.94</v>
      </c>
      <c r="CT99" s="0" t="n">
        <v>0.999</v>
      </c>
      <c r="CU99" s="0" t="n">
        <v>0.48</v>
      </c>
      <c r="CV99" s="0" t="n">
        <v>0.46</v>
      </c>
      <c r="CW99" s="0" t="n">
        <v>0.905</v>
      </c>
      <c r="CX99" s="0" t="n">
        <v>0.555</v>
      </c>
      <c r="CY99" s="0" t="n">
        <v>0.485</v>
      </c>
      <c r="CZ99" s="0" t="n">
        <v>0.795</v>
      </c>
      <c r="DA99" s="0" t="n">
        <v>0.8275</v>
      </c>
      <c r="DB99" s="0" t="n">
        <v>0.85</v>
      </c>
      <c r="DC99" s="0" t="n">
        <v>0.9025</v>
      </c>
      <c r="DD99" s="0" t="n">
        <v>0.82</v>
      </c>
      <c r="DE99" s="0" t="n">
        <v>0.89</v>
      </c>
      <c r="DI99" s="0" t="n">
        <v>0.9775</v>
      </c>
      <c r="DN99" s="188" t="n">
        <v>0.000285</v>
      </c>
      <c r="DO99" s="188" t="n">
        <v>0.0002</v>
      </c>
      <c r="DP99" s="188" t="n">
        <v>0</v>
      </c>
      <c r="DQ99" s="188" t="n">
        <v>0.0001</v>
      </c>
      <c r="DR99" s="188" t="n">
        <v>0</v>
      </c>
      <c r="DS99" s="188" t="n">
        <v>0.0036</v>
      </c>
      <c r="DT99" s="188" t="n">
        <v>0.00047</v>
      </c>
      <c r="DU99" s="188" t="n">
        <v>0.0007</v>
      </c>
      <c r="DV99" s="188" t="n">
        <v>0</v>
      </c>
      <c r="DW99" s="188" t="n">
        <v>0</v>
      </c>
      <c r="DX99" s="188" t="n">
        <v>0.0005</v>
      </c>
      <c r="DY99" s="188" t="n">
        <v>0.0005</v>
      </c>
      <c r="DZ99" s="188" t="n">
        <v>0.0003</v>
      </c>
      <c r="EA99" s="188" t="n">
        <v>0.000275</v>
      </c>
      <c r="EB99" s="188" t="n">
        <v>0.0004</v>
      </c>
      <c r="ED99" s="188" t="n">
        <v>6.5E-005</v>
      </c>
      <c r="EF99" s="0" t="n">
        <v>1</v>
      </c>
    </row>
    <row r="100" customFormat="false" ht="12.75" hidden="false" customHeight="false" outlineLevel="0" collapsed="false">
      <c r="A100" s="149" t="n">
        <v>39417</v>
      </c>
      <c r="B100" s="0" t="n">
        <v>0.98</v>
      </c>
      <c r="C100" s="0" t="n">
        <v>0.98612</v>
      </c>
      <c r="D100" s="0" t="n">
        <v>0.96</v>
      </c>
      <c r="E100" s="0" t="n">
        <f aca="false">E88</f>
        <v>0.994</v>
      </c>
      <c r="F100" s="0" t="n">
        <v>0.977</v>
      </c>
      <c r="G100" s="0" t="n">
        <v>0.9875</v>
      </c>
      <c r="H100" s="0" t="n">
        <v>0.9875</v>
      </c>
      <c r="I100" s="0" t="n">
        <v>0.94941875</v>
      </c>
      <c r="J100" s="0" t="n">
        <v>0.72156</v>
      </c>
      <c r="K100" s="0" t="n">
        <v>0.970485</v>
      </c>
      <c r="L100" s="176" t="n">
        <v>0.89208295</v>
      </c>
      <c r="M100" s="176" t="n">
        <v>0.941223112</v>
      </c>
      <c r="N100" s="0" t="n">
        <v>0.86988645</v>
      </c>
      <c r="O100" s="0" t="n">
        <v>0.958281713</v>
      </c>
      <c r="P100" s="0" t="n">
        <v>0.86988645</v>
      </c>
      <c r="Q100" s="177" t="n">
        <v>0.89208295</v>
      </c>
      <c r="R100" s="0" t="n">
        <v>0.89208295</v>
      </c>
      <c r="S100" s="176" t="n">
        <v>0.89208295</v>
      </c>
      <c r="T100" s="0" t="n">
        <v>0.86988645</v>
      </c>
      <c r="U100" s="0" t="n">
        <v>0.86988645</v>
      </c>
      <c r="V100" s="0" t="n">
        <v>0.86988645</v>
      </c>
      <c r="W100" s="0" t="n">
        <v>0.86988645</v>
      </c>
      <c r="X100" s="0" t="n">
        <v>0.958281713</v>
      </c>
      <c r="Y100" s="0" t="n">
        <v>0.958281713</v>
      </c>
      <c r="Z100" s="0" t="n">
        <v>0.958281713</v>
      </c>
      <c r="AA100" s="0" t="n">
        <v>0.958281713</v>
      </c>
      <c r="AB100" s="0" t="n">
        <v>0.86988645</v>
      </c>
      <c r="AC100" s="0" t="n">
        <v>0.86988645</v>
      </c>
      <c r="AD100" s="0" t="n">
        <v>0.958281713</v>
      </c>
      <c r="AE100" s="0" t="n">
        <v>0.958281713</v>
      </c>
      <c r="AF100" s="0" t="n">
        <v>0.86988645</v>
      </c>
      <c r="AG100" s="0" t="n">
        <v>0.98</v>
      </c>
      <c r="AH100" s="0" t="n">
        <v>0.976597</v>
      </c>
      <c r="AI100" s="0" t="n">
        <v>0.976597</v>
      </c>
      <c r="AJ100" s="0" t="n">
        <v>0.86988645</v>
      </c>
      <c r="AK100" s="0" t="n">
        <v>1</v>
      </c>
      <c r="AL100" s="0" t="n">
        <v>0.970485</v>
      </c>
      <c r="AM100" s="0" t="n">
        <v>0.952776</v>
      </c>
      <c r="AS100" s="0" t="n">
        <v>0.977</v>
      </c>
      <c r="AT100" s="177" t="n">
        <v>0.9775</v>
      </c>
      <c r="AU100" s="0" t="n">
        <v>0.976597</v>
      </c>
      <c r="AV100" s="0" t="n">
        <v>0.952776</v>
      </c>
      <c r="AW100" s="0" t="n">
        <v>0.952776</v>
      </c>
      <c r="AX100" s="0" t="n">
        <v>0.952776</v>
      </c>
      <c r="AY100" s="0" t="n">
        <v>0.976597</v>
      </c>
      <c r="AZ100" s="0" t="n">
        <v>0.976597</v>
      </c>
      <c r="BA100" s="0" t="n">
        <v>0.952776</v>
      </c>
      <c r="BB100" s="187" t="n">
        <v>1</v>
      </c>
      <c r="BC100" s="0" t="n">
        <v>1</v>
      </c>
      <c r="BD100" s="0" t="n">
        <v>1</v>
      </c>
      <c r="BE100" s="0" t="n">
        <v>1</v>
      </c>
      <c r="BF100" s="0" t="n">
        <v>0.9999</v>
      </c>
      <c r="BG100" s="0" t="n">
        <v>1</v>
      </c>
      <c r="BH100" s="0" t="n">
        <v>1</v>
      </c>
      <c r="BI100" s="0" t="n">
        <v>0.99</v>
      </c>
      <c r="BJ100" s="0" t="n">
        <v>0.999</v>
      </c>
      <c r="BK100" s="0" t="n">
        <v>0.998</v>
      </c>
      <c r="BL100" s="0" t="n">
        <v>0.9985</v>
      </c>
      <c r="BM100" s="0" t="n">
        <v>0.9985</v>
      </c>
      <c r="BN100" s="0" t="n">
        <v>0.972</v>
      </c>
      <c r="BO100" s="0" t="n">
        <v>0.9999</v>
      </c>
      <c r="BP100" s="0" t="n">
        <v>0.9999</v>
      </c>
      <c r="BQ100" s="0" t="n">
        <v>1</v>
      </c>
      <c r="BR100" s="0" t="n">
        <v>1.0909376</v>
      </c>
      <c r="BS100" s="0" t="n">
        <v>1.108</v>
      </c>
      <c r="BT100" s="0" t="n">
        <v>1.0827</v>
      </c>
      <c r="BU100" s="0" t="n">
        <v>1.0143</v>
      </c>
      <c r="BV100" s="0" t="n">
        <v>1</v>
      </c>
      <c r="BW100" s="0" t="n">
        <v>2.1858</v>
      </c>
      <c r="BX100" s="0" t="n">
        <v>2.276276333</v>
      </c>
      <c r="BY100" s="0" t="n">
        <v>1.08505</v>
      </c>
      <c r="BZ100" s="0" t="n">
        <v>1.2885</v>
      </c>
      <c r="CA100" s="0" t="n">
        <v>2.001</v>
      </c>
      <c r="CB100" s="0" t="n">
        <v>1.512005</v>
      </c>
      <c r="CC100" s="0" t="n">
        <v>1.512005</v>
      </c>
      <c r="CD100" s="0" t="n">
        <v>1.260705</v>
      </c>
      <c r="CE100" s="0" t="n">
        <v>1.073705</v>
      </c>
      <c r="CF100" s="0" t="n">
        <v>1.423805</v>
      </c>
      <c r="CG100" s="188"/>
      <c r="CH100" s="0" t="n">
        <v>1.0973</v>
      </c>
      <c r="CI100" s="188"/>
      <c r="CJ100" s="188"/>
      <c r="CK100" s="188"/>
      <c r="CL100" s="188"/>
      <c r="CM100" s="188"/>
      <c r="CN100" s="188"/>
      <c r="CO100" s="188"/>
      <c r="CP100" s="0" t="n">
        <v>0.935</v>
      </c>
      <c r="CQ100" s="0" t="n">
        <v>0.89</v>
      </c>
      <c r="CR100" s="0" t="n">
        <v>0.88</v>
      </c>
      <c r="CS100" s="0" t="n">
        <v>0.92</v>
      </c>
      <c r="CT100" s="0" t="n">
        <v>0.999</v>
      </c>
      <c r="CU100" s="0" t="n">
        <v>0.51</v>
      </c>
      <c r="CV100" s="0" t="n">
        <v>0.48</v>
      </c>
      <c r="CW100" s="0" t="n">
        <v>0.875</v>
      </c>
      <c r="CX100" s="0" t="n">
        <v>0.56</v>
      </c>
      <c r="CY100" s="0" t="n">
        <v>0.485</v>
      </c>
      <c r="CZ100" s="0" t="n">
        <v>0.59</v>
      </c>
      <c r="DA100" s="0" t="n">
        <v>0.6225</v>
      </c>
      <c r="DB100" s="0" t="n">
        <v>0.69</v>
      </c>
      <c r="DC100" s="0" t="n">
        <v>0.8925</v>
      </c>
      <c r="DD100" s="0" t="n">
        <v>0.715</v>
      </c>
      <c r="DE100" s="0" t="n">
        <v>0.89</v>
      </c>
      <c r="DI100" s="0" t="n">
        <v>0.9775</v>
      </c>
      <c r="DN100" s="188" t="n">
        <v>0.000285</v>
      </c>
      <c r="DO100" s="188" t="n">
        <v>0.0002</v>
      </c>
      <c r="DP100" s="188" t="n">
        <v>0</v>
      </c>
      <c r="DQ100" s="188" t="n">
        <v>0.0001</v>
      </c>
      <c r="DR100" s="188" t="n">
        <v>0</v>
      </c>
      <c r="DS100" s="188" t="n">
        <v>0.0036</v>
      </c>
      <c r="DT100" s="188" t="n">
        <v>0.00047</v>
      </c>
      <c r="DU100" s="188" t="n">
        <v>0.0007</v>
      </c>
      <c r="DV100" s="188" t="n">
        <v>0</v>
      </c>
      <c r="DW100" s="188" t="n">
        <v>0</v>
      </c>
      <c r="DX100" s="188" t="n">
        <v>0.0005</v>
      </c>
      <c r="DY100" s="188" t="n">
        <v>0.0005</v>
      </c>
      <c r="DZ100" s="188" t="n">
        <v>0.0003</v>
      </c>
      <c r="EA100" s="188" t="n">
        <v>0.000275</v>
      </c>
      <c r="EB100" s="188" t="n">
        <v>0.0004</v>
      </c>
      <c r="ED100" s="188" t="n">
        <v>6.5E-005</v>
      </c>
      <c r="EF100" s="0" t="n">
        <v>1</v>
      </c>
    </row>
    <row r="101" customFormat="false" ht="12.75" hidden="false" customHeight="false" outlineLevel="0" collapsed="false">
      <c r="A101" s="149" t="n">
        <v>39448</v>
      </c>
      <c r="B101" s="0" t="n">
        <v>0.98</v>
      </c>
      <c r="C101" s="0" t="n">
        <v>0.953052</v>
      </c>
      <c r="D101" s="0" t="n">
        <v>0.96</v>
      </c>
      <c r="E101" s="0" t="n">
        <f aca="false">E89</f>
        <v>0.994</v>
      </c>
      <c r="F101" s="0" t="n">
        <v>0.977</v>
      </c>
      <c r="G101" s="0" t="n">
        <v>0.9875</v>
      </c>
      <c r="H101" s="0" t="n">
        <v>0.9875</v>
      </c>
      <c r="I101" s="0" t="n">
        <v>0.87402875</v>
      </c>
      <c r="J101" s="0" t="n">
        <v>0.9999</v>
      </c>
      <c r="K101" s="0" t="n">
        <v>0.985</v>
      </c>
      <c r="L101" s="176" t="n">
        <v>0.915065525</v>
      </c>
      <c r="M101" s="176" t="n">
        <v>0.964221937</v>
      </c>
      <c r="N101" s="0" t="n">
        <v>0.87009345</v>
      </c>
      <c r="O101" s="0" t="n">
        <v>0.9451024</v>
      </c>
      <c r="P101" s="0" t="n">
        <v>0.87009345</v>
      </c>
      <c r="Q101" s="177" t="n">
        <v>0.915065525</v>
      </c>
      <c r="R101" s="0" t="n">
        <v>0.915065525</v>
      </c>
      <c r="S101" s="176" t="n">
        <v>0.915065525</v>
      </c>
      <c r="T101" s="0" t="n">
        <v>0.87009345</v>
      </c>
      <c r="U101" s="0" t="n">
        <v>0.87009345</v>
      </c>
      <c r="V101" s="0" t="n">
        <v>0.87009345</v>
      </c>
      <c r="W101" s="0" t="n">
        <v>0.87009345</v>
      </c>
      <c r="X101" s="0" t="n">
        <v>0.9451024</v>
      </c>
      <c r="Y101" s="0" t="n">
        <v>0.9451024</v>
      </c>
      <c r="Z101" s="0" t="n">
        <v>0.9451024</v>
      </c>
      <c r="AA101" s="0" t="n">
        <v>0.9451024</v>
      </c>
      <c r="AB101" s="0" t="n">
        <v>0.87009345</v>
      </c>
      <c r="AC101" s="0" t="n">
        <v>0.87009345</v>
      </c>
      <c r="AD101" s="0" t="n">
        <v>0.9451024</v>
      </c>
      <c r="AE101" s="0" t="n">
        <v>0.9451024</v>
      </c>
      <c r="AF101" s="0" t="n">
        <v>0.87009345</v>
      </c>
      <c r="AG101" s="0" t="n">
        <v>0.98</v>
      </c>
      <c r="AH101" s="0" t="n">
        <v>0.97665485</v>
      </c>
      <c r="AI101" s="0" t="n">
        <v>0.97665485</v>
      </c>
      <c r="AJ101" s="0" t="n">
        <v>0.87009345</v>
      </c>
      <c r="AK101" s="0" t="n">
        <v>1</v>
      </c>
      <c r="AL101" s="0" t="n">
        <v>0.985</v>
      </c>
      <c r="AM101" s="0" t="n">
        <v>0.941949</v>
      </c>
      <c r="AS101" s="0" t="n">
        <v>0.977</v>
      </c>
      <c r="AT101" s="177" t="n">
        <v>0.9775</v>
      </c>
      <c r="AU101" s="0" t="n">
        <v>0.97665485</v>
      </c>
      <c r="AV101" s="0" t="n">
        <v>0.941949</v>
      </c>
      <c r="AW101" s="0" t="n">
        <v>0.941949</v>
      </c>
      <c r="AX101" s="0" t="n">
        <v>0.941949</v>
      </c>
      <c r="AY101" s="0" t="n">
        <v>0.97665485</v>
      </c>
      <c r="AZ101" s="0" t="n">
        <v>0.97665485</v>
      </c>
      <c r="BA101" s="0" t="n">
        <v>0.941949</v>
      </c>
      <c r="BB101" s="187" t="n">
        <v>1</v>
      </c>
      <c r="BC101" s="0" t="n">
        <v>1</v>
      </c>
      <c r="BD101" s="0" t="n">
        <v>1</v>
      </c>
      <c r="BE101" s="0" t="n">
        <v>1</v>
      </c>
      <c r="BF101" s="0" t="n">
        <v>0.9999</v>
      </c>
      <c r="BG101" s="0" t="n">
        <v>1</v>
      </c>
      <c r="BH101" s="0" t="n">
        <v>1</v>
      </c>
      <c r="BI101" s="0" t="n">
        <v>0.99</v>
      </c>
      <c r="BJ101" s="0" t="n">
        <v>0.999</v>
      </c>
      <c r="BK101" s="0" t="n">
        <v>0.998</v>
      </c>
      <c r="BL101" s="0" t="n">
        <v>0.9985</v>
      </c>
      <c r="BM101" s="0" t="n">
        <v>0.9985</v>
      </c>
      <c r="BN101" s="0" t="n">
        <v>0.972</v>
      </c>
      <c r="BO101" s="0" t="n">
        <v>0.9999</v>
      </c>
      <c r="BP101" s="0" t="n">
        <v>0.9999</v>
      </c>
      <c r="BQ101" s="0" t="n">
        <v>1</v>
      </c>
      <c r="BR101" s="0" t="n">
        <v>1.0912226</v>
      </c>
      <c r="BS101" s="0" t="n">
        <v>1.1082</v>
      </c>
      <c r="BT101" s="0" t="n">
        <v>1.0827</v>
      </c>
      <c r="BU101" s="0" t="n">
        <v>1.0144</v>
      </c>
      <c r="BV101" s="0" t="n">
        <v>1</v>
      </c>
      <c r="BW101" s="0" t="n">
        <v>2.1894</v>
      </c>
      <c r="BX101" s="0" t="n">
        <v>2.276746333</v>
      </c>
      <c r="BY101" s="0" t="n">
        <v>1.08575</v>
      </c>
      <c r="BZ101" s="0" t="n">
        <v>1.2885</v>
      </c>
      <c r="CA101" s="0" t="n">
        <v>2.001</v>
      </c>
      <c r="CB101" s="0" t="n">
        <v>1.512505</v>
      </c>
      <c r="CC101" s="0" t="n">
        <v>1.512505</v>
      </c>
      <c r="CD101" s="0" t="n">
        <v>1.261005</v>
      </c>
      <c r="CE101" s="0" t="n">
        <v>1.07398</v>
      </c>
      <c r="CF101" s="0" t="n">
        <v>1.424205</v>
      </c>
      <c r="CG101" s="188"/>
      <c r="CH101" s="0" t="n">
        <v>1.097365</v>
      </c>
      <c r="CI101" s="188"/>
      <c r="CJ101" s="188"/>
      <c r="CK101" s="188"/>
      <c r="CL101" s="188"/>
      <c r="CM101" s="188"/>
      <c r="CN101" s="188"/>
      <c r="CO101" s="188"/>
      <c r="CP101" s="0" t="n">
        <v>0.895</v>
      </c>
      <c r="CQ101" s="0" t="n">
        <v>0.86</v>
      </c>
      <c r="CR101" s="0" t="n">
        <v>0.87</v>
      </c>
      <c r="CS101" s="0" t="n">
        <v>0.92</v>
      </c>
      <c r="CT101" s="0" t="n">
        <v>0.999</v>
      </c>
      <c r="CU101" s="0" t="n">
        <v>0.58</v>
      </c>
      <c r="CV101" s="0" t="n">
        <v>0.45</v>
      </c>
      <c r="CW101" s="0" t="n">
        <v>0.805</v>
      </c>
      <c r="CX101" s="0" t="n">
        <v>0.57</v>
      </c>
      <c r="CY101" s="0" t="n">
        <v>0.505</v>
      </c>
      <c r="CZ101" s="0" t="n">
        <v>0.605</v>
      </c>
      <c r="DA101" s="0" t="n">
        <v>0.6375</v>
      </c>
      <c r="DB101" s="0" t="n">
        <v>0.69</v>
      </c>
      <c r="DC101" s="0" t="n">
        <v>0.88</v>
      </c>
      <c r="DD101" s="0" t="n">
        <v>0.64</v>
      </c>
      <c r="DE101" s="0" t="n">
        <v>0.89</v>
      </c>
      <c r="DI101" s="0" t="n">
        <v>0.9775</v>
      </c>
      <c r="DN101" s="188" t="n">
        <v>0.000285</v>
      </c>
      <c r="DO101" s="188" t="n">
        <v>0.0002</v>
      </c>
      <c r="DP101" s="188" t="n">
        <v>0</v>
      </c>
      <c r="DQ101" s="188" t="n">
        <v>0.0001</v>
      </c>
      <c r="DR101" s="188" t="n">
        <v>0</v>
      </c>
      <c r="DS101" s="188" t="n">
        <v>0.0036</v>
      </c>
      <c r="DT101" s="188" t="n">
        <v>0.00047</v>
      </c>
      <c r="DU101" s="188" t="n">
        <v>0.0007</v>
      </c>
      <c r="DV101" s="188" t="n">
        <v>0</v>
      </c>
      <c r="DW101" s="188" t="n">
        <v>0</v>
      </c>
      <c r="DX101" s="188" t="n">
        <v>0.0005</v>
      </c>
      <c r="DY101" s="188" t="n">
        <v>0.0005</v>
      </c>
      <c r="DZ101" s="188" t="n">
        <v>0.0003</v>
      </c>
      <c r="EA101" s="188" t="n">
        <v>0.000275</v>
      </c>
      <c r="EB101" s="188" t="n">
        <v>0.0004</v>
      </c>
      <c r="ED101" s="188" t="n">
        <v>6.5E-005</v>
      </c>
      <c r="EF101" s="0" t="n">
        <v>1</v>
      </c>
    </row>
    <row r="102" customFormat="false" ht="12.75" hidden="false" customHeight="false" outlineLevel="0" collapsed="false">
      <c r="A102" s="149" t="n">
        <v>39479</v>
      </c>
      <c r="B102" s="0" t="n">
        <v>0.98</v>
      </c>
      <c r="C102" s="0" t="n">
        <v>0.953224</v>
      </c>
      <c r="D102" s="0" t="n">
        <v>0.96</v>
      </c>
      <c r="E102" s="0" t="n">
        <f aca="false">E90</f>
        <v>0.994</v>
      </c>
      <c r="F102" s="0" t="n">
        <v>0.977</v>
      </c>
      <c r="G102" s="0" t="n">
        <v>0.9875</v>
      </c>
      <c r="H102" s="0" t="n">
        <v>0.9875</v>
      </c>
      <c r="I102" s="0" t="n">
        <v>0.91805025</v>
      </c>
      <c r="J102" s="0" t="n">
        <v>0.9999</v>
      </c>
      <c r="K102" s="0" t="n">
        <v>0.985</v>
      </c>
      <c r="L102" s="176" t="n">
        <v>0.960758175</v>
      </c>
      <c r="M102" s="176" t="n">
        <v>0.9875</v>
      </c>
      <c r="N102" s="0" t="n">
        <v>0.89552655</v>
      </c>
      <c r="O102" s="0" t="n">
        <v>0.942658763</v>
      </c>
      <c r="P102" s="0" t="n">
        <v>0.89552655</v>
      </c>
      <c r="Q102" s="177" t="n">
        <v>0.960758175</v>
      </c>
      <c r="R102" s="0" t="n">
        <v>0.960758175</v>
      </c>
      <c r="S102" s="176" t="n">
        <v>0.960758175</v>
      </c>
      <c r="T102" s="0" t="n">
        <v>0.89552655</v>
      </c>
      <c r="U102" s="0" t="n">
        <v>0.89552655</v>
      </c>
      <c r="V102" s="0" t="n">
        <v>0.89552655</v>
      </c>
      <c r="W102" s="0" t="n">
        <v>0.89552655</v>
      </c>
      <c r="X102" s="0" t="n">
        <v>0.942658763</v>
      </c>
      <c r="Y102" s="0" t="n">
        <v>0.942658763</v>
      </c>
      <c r="Z102" s="0" t="n">
        <v>0.942658763</v>
      </c>
      <c r="AA102" s="0" t="n">
        <v>0.942658763</v>
      </c>
      <c r="AB102" s="0" t="n">
        <v>0.89552655</v>
      </c>
      <c r="AC102" s="0" t="n">
        <v>0.89552655</v>
      </c>
      <c r="AD102" s="0" t="n">
        <v>0.942658763</v>
      </c>
      <c r="AE102" s="0" t="n">
        <v>0.942658763</v>
      </c>
      <c r="AF102" s="0" t="n">
        <v>0.89552655</v>
      </c>
      <c r="AG102" s="0" t="n">
        <v>0.98</v>
      </c>
      <c r="AH102" s="0" t="n">
        <v>0.9767127</v>
      </c>
      <c r="AI102" s="0" t="n">
        <v>0.9767127</v>
      </c>
      <c r="AJ102" s="0" t="n">
        <v>0.89552655</v>
      </c>
      <c r="AK102" s="0" t="n">
        <v>1</v>
      </c>
      <c r="AL102" s="0" t="n">
        <v>0.985</v>
      </c>
      <c r="AM102" s="0" t="n">
        <v>0.963603</v>
      </c>
      <c r="AS102" s="0" t="n">
        <v>0.977</v>
      </c>
      <c r="AT102" s="177" t="n">
        <v>0.9775</v>
      </c>
      <c r="AU102" s="0" t="n">
        <v>0.9767127</v>
      </c>
      <c r="AV102" s="0" t="n">
        <v>0.963603</v>
      </c>
      <c r="AW102" s="0" t="n">
        <v>0.963603</v>
      </c>
      <c r="AX102" s="0" t="n">
        <v>0.963603</v>
      </c>
      <c r="AY102" s="0" t="n">
        <v>0.9767127</v>
      </c>
      <c r="AZ102" s="0" t="n">
        <v>0.9767127</v>
      </c>
      <c r="BA102" s="0" t="n">
        <v>0.963603</v>
      </c>
      <c r="BB102" s="187" t="n">
        <v>1</v>
      </c>
      <c r="BC102" s="0" t="n">
        <v>1</v>
      </c>
      <c r="BD102" s="0" t="n">
        <v>1</v>
      </c>
      <c r="BE102" s="0" t="n">
        <v>1</v>
      </c>
      <c r="BF102" s="0" t="n">
        <v>0.9999</v>
      </c>
      <c r="BG102" s="0" t="n">
        <v>1</v>
      </c>
      <c r="BH102" s="0" t="n">
        <v>1</v>
      </c>
      <c r="BI102" s="0" t="n">
        <v>0.99</v>
      </c>
      <c r="BJ102" s="0" t="n">
        <v>0.999</v>
      </c>
      <c r="BK102" s="0" t="n">
        <v>0.998</v>
      </c>
      <c r="BL102" s="0" t="n">
        <v>0.9985</v>
      </c>
      <c r="BM102" s="0" t="n">
        <v>0.9985</v>
      </c>
      <c r="BN102" s="0" t="n">
        <v>0.972</v>
      </c>
      <c r="BO102" s="0" t="n">
        <v>0.9999</v>
      </c>
      <c r="BP102" s="0" t="n">
        <v>0.9999</v>
      </c>
      <c r="BQ102" s="0" t="n">
        <v>1</v>
      </c>
      <c r="BR102" s="0" t="n">
        <v>1.0915076</v>
      </c>
      <c r="BS102" s="0" t="n">
        <v>1.1084</v>
      </c>
      <c r="BT102" s="0" t="n">
        <v>1.0827</v>
      </c>
      <c r="BU102" s="0" t="n">
        <v>1.0145</v>
      </c>
      <c r="BV102" s="0" t="n">
        <v>1</v>
      </c>
      <c r="BW102" s="0" t="n">
        <v>2.193</v>
      </c>
      <c r="BX102" s="0" t="n">
        <v>2.277216333</v>
      </c>
      <c r="BY102" s="0" t="n">
        <v>1.08645</v>
      </c>
      <c r="BZ102" s="0" t="n">
        <v>1.2885</v>
      </c>
      <c r="CA102" s="0" t="n">
        <v>2.001</v>
      </c>
      <c r="CB102" s="0" t="n">
        <v>1.513005</v>
      </c>
      <c r="CC102" s="0" t="n">
        <v>1.513005</v>
      </c>
      <c r="CD102" s="0" t="n">
        <v>1.261305</v>
      </c>
      <c r="CE102" s="0" t="n">
        <v>1.074255</v>
      </c>
      <c r="CF102" s="0" t="n">
        <v>1.424605</v>
      </c>
      <c r="CG102" s="188"/>
      <c r="CH102" s="0" t="n">
        <v>1.09743</v>
      </c>
      <c r="CI102" s="188"/>
      <c r="CJ102" s="188"/>
      <c r="CK102" s="188"/>
      <c r="CL102" s="188"/>
      <c r="CM102" s="188"/>
      <c r="CN102" s="188"/>
      <c r="CO102" s="188"/>
      <c r="CP102" s="0" t="n">
        <v>0.865</v>
      </c>
      <c r="CQ102" s="0" t="n">
        <v>0.86</v>
      </c>
      <c r="CR102" s="0" t="n">
        <v>0.89</v>
      </c>
      <c r="CS102" s="0" t="n">
        <v>0.935</v>
      </c>
      <c r="CT102" s="0" t="n">
        <v>0.99895</v>
      </c>
      <c r="CU102" s="0" t="n">
        <v>0.58</v>
      </c>
      <c r="CV102" s="0" t="n">
        <v>0.45</v>
      </c>
      <c r="CW102" s="0" t="n">
        <v>0.845</v>
      </c>
      <c r="CX102" s="0" t="n">
        <v>0.675</v>
      </c>
      <c r="CY102" s="0" t="n">
        <v>0.505</v>
      </c>
      <c r="CZ102" s="0" t="n">
        <v>0.635</v>
      </c>
      <c r="DA102" s="0" t="n">
        <v>0.6675</v>
      </c>
      <c r="DB102" s="0" t="n">
        <v>0.71</v>
      </c>
      <c r="DC102" s="0" t="n">
        <v>0.8775</v>
      </c>
      <c r="DD102" s="0" t="n">
        <v>0.67</v>
      </c>
      <c r="DE102" s="0" t="n">
        <v>0.89</v>
      </c>
      <c r="DI102" s="0" t="n">
        <v>0.9775</v>
      </c>
      <c r="DN102" s="188" t="n">
        <v>0.000285</v>
      </c>
      <c r="DO102" s="188" t="n">
        <v>0.0002</v>
      </c>
      <c r="DP102" s="188" t="n">
        <v>0</v>
      </c>
      <c r="DQ102" s="188" t="n">
        <v>0.0001</v>
      </c>
      <c r="DR102" s="188" t="n">
        <v>0</v>
      </c>
      <c r="DS102" s="188" t="n">
        <v>0.0036</v>
      </c>
      <c r="DT102" s="188" t="n">
        <v>0.00047</v>
      </c>
      <c r="DU102" s="188" t="n">
        <v>0.0007</v>
      </c>
      <c r="DV102" s="188" t="n">
        <v>0</v>
      </c>
      <c r="DW102" s="188" t="n">
        <v>0</v>
      </c>
      <c r="DX102" s="188" t="n">
        <v>0.0005</v>
      </c>
      <c r="DY102" s="188" t="n">
        <v>0.0005</v>
      </c>
      <c r="DZ102" s="188" t="n">
        <v>0.0003</v>
      </c>
      <c r="EA102" s="188" t="n">
        <v>0.000275</v>
      </c>
      <c r="EB102" s="188" t="n">
        <v>0.0004</v>
      </c>
      <c r="ED102" s="188" t="n">
        <v>6.5E-005</v>
      </c>
      <c r="EF102" s="0" t="n">
        <v>1</v>
      </c>
    </row>
    <row r="103" customFormat="false" ht="12.75" hidden="false" customHeight="false" outlineLevel="0" collapsed="false">
      <c r="A103" s="149" t="n">
        <v>39508</v>
      </c>
      <c r="B103" s="0" t="n">
        <v>0.98</v>
      </c>
      <c r="C103" s="0" t="n">
        <v>0.986654</v>
      </c>
      <c r="D103" s="0" t="n">
        <v>0.96</v>
      </c>
      <c r="E103" s="0" t="n">
        <f aca="false">E91</f>
        <v>0.994</v>
      </c>
      <c r="F103" s="0" t="n">
        <v>0.977</v>
      </c>
      <c r="G103" s="0" t="n">
        <v>0.9875</v>
      </c>
      <c r="H103" s="0" t="n">
        <v>0.9875</v>
      </c>
      <c r="I103" s="0" t="n">
        <v>0.95125625</v>
      </c>
      <c r="J103" s="0" t="n">
        <v>0.9999</v>
      </c>
      <c r="K103" s="0" t="n">
        <v>0.985</v>
      </c>
      <c r="L103" s="176" t="n">
        <v>0.9875</v>
      </c>
      <c r="M103" s="176" t="n">
        <v>0.9875</v>
      </c>
      <c r="N103" s="0" t="n">
        <v>0.98</v>
      </c>
      <c r="O103" s="0" t="n">
        <v>0.967077</v>
      </c>
      <c r="P103" s="0" t="n">
        <v>0.98</v>
      </c>
      <c r="Q103" s="177" t="n">
        <v>0.9875</v>
      </c>
      <c r="R103" s="0" t="n">
        <v>0.9875</v>
      </c>
      <c r="S103" s="176" t="n">
        <v>0.9875</v>
      </c>
      <c r="T103" s="0" t="n">
        <v>0.98</v>
      </c>
      <c r="U103" s="0" t="n">
        <v>0.98</v>
      </c>
      <c r="V103" s="0" t="n">
        <v>0.98</v>
      </c>
      <c r="W103" s="0" t="n">
        <v>0.98</v>
      </c>
      <c r="X103" s="0" t="n">
        <v>0.967077</v>
      </c>
      <c r="Y103" s="0" t="n">
        <v>0.967077</v>
      </c>
      <c r="Z103" s="0" t="n">
        <v>0.967077</v>
      </c>
      <c r="AA103" s="0" t="n">
        <v>0.967077</v>
      </c>
      <c r="AB103" s="0" t="n">
        <v>0.98</v>
      </c>
      <c r="AC103" s="0" t="n">
        <v>0.98</v>
      </c>
      <c r="AD103" s="0" t="n">
        <v>0.967077</v>
      </c>
      <c r="AE103" s="0" t="n">
        <v>0.967077</v>
      </c>
      <c r="AF103" s="0" t="n">
        <v>0.98</v>
      </c>
      <c r="AG103" s="0" t="n">
        <v>0.99</v>
      </c>
      <c r="AH103" s="0" t="n">
        <v>0.97677055</v>
      </c>
      <c r="AI103" s="0" t="n">
        <v>0.97677055</v>
      </c>
      <c r="AJ103" s="0" t="n">
        <v>0.98</v>
      </c>
      <c r="AK103" s="0" t="n">
        <v>1</v>
      </c>
      <c r="AL103" s="0" t="n">
        <v>0.985</v>
      </c>
      <c r="AM103" s="0" t="n">
        <v>0.985</v>
      </c>
      <c r="AS103" s="0" t="n">
        <v>0.977</v>
      </c>
      <c r="AT103" s="177" t="n">
        <v>0.9775</v>
      </c>
      <c r="AU103" s="0" t="n">
        <v>0.97677055</v>
      </c>
      <c r="AV103" s="0" t="n">
        <v>0.985</v>
      </c>
      <c r="AW103" s="0" t="n">
        <v>0.985</v>
      </c>
      <c r="AX103" s="0" t="n">
        <v>0.985</v>
      </c>
      <c r="AY103" s="0" t="n">
        <v>0.97677055</v>
      </c>
      <c r="AZ103" s="0" t="n">
        <v>0.97677055</v>
      </c>
      <c r="BA103" s="0" t="n">
        <v>0.985</v>
      </c>
      <c r="BB103" s="187" t="n">
        <v>1</v>
      </c>
      <c r="BC103" s="0" t="n">
        <v>1</v>
      </c>
      <c r="BD103" s="0" t="n">
        <v>1</v>
      </c>
      <c r="BE103" s="0" t="n">
        <v>1</v>
      </c>
      <c r="BF103" s="0" t="n">
        <v>0.9999</v>
      </c>
      <c r="BG103" s="0" t="n">
        <v>1</v>
      </c>
      <c r="BH103" s="0" t="n">
        <v>1</v>
      </c>
      <c r="BI103" s="0" t="n">
        <v>0.99</v>
      </c>
      <c r="BJ103" s="0" t="n">
        <v>0.999</v>
      </c>
      <c r="BK103" s="0" t="n">
        <v>0.998</v>
      </c>
      <c r="BL103" s="0" t="n">
        <v>0.9985</v>
      </c>
      <c r="BM103" s="0" t="n">
        <v>0.9985</v>
      </c>
      <c r="BN103" s="0" t="n">
        <v>0.972</v>
      </c>
      <c r="BO103" s="0" t="n">
        <v>0.9999</v>
      </c>
      <c r="BP103" s="0" t="n">
        <v>0.9999</v>
      </c>
      <c r="BQ103" s="0" t="n">
        <v>1</v>
      </c>
      <c r="BR103" s="0" t="n">
        <v>1.0917926</v>
      </c>
      <c r="BS103" s="0" t="n">
        <v>1.1086</v>
      </c>
      <c r="BT103" s="0" t="n">
        <v>1.0827</v>
      </c>
      <c r="BU103" s="0" t="n">
        <v>1.0146</v>
      </c>
      <c r="BV103" s="0" t="n">
        <v>1</v>
      </c>
      <c r="BW103" s="0" t="n">
        <v>2.1966</v>
      </c>
      <c r="BX103" s="0" t="n">
        <v>2.277686333</v>
      </c>
      <c r="BY103" s="0" t="n">
        <v>1.08715</v>
      </c>
      <c r="BZ103" s="0" t="n">
        <v>1.2885</v>
      </c>
      <c r="CA103" s="0" t="n">
        <v>2.001</v>
      </c>
      <c r="CB103" s="0" t="n">
        <v>1.513505</v>
      </c>
      <c r="CC103" s="0" t="n">
        <v>1.513505</v>
      </c>
      <c r="CD103" s="0" t="n">
        <v>1.261605</v>
      </c>
      <c r="CE103" s="0" t="n">
        <v>1.07453</v>
      </c>
      <c r="CF103" s="0" t="n">
        <v>1.425005</v>
      </c>
      <c r="CG103" s="188"/>
      <c r="CH103" s="0" t="n">
        <v>1.097495</v>
      </c>
      <c r="CI103" s="188"/>
      <c r="CJ103" s="188"/>
      <c r="CK103" s="188"/>
      <c r="CL103" s="188"/>
      <c r="CM103" s="188"/>
      <c r="CN103" s="188"/>
      <c r="CO103" s="188"/>
      <c r="CP103" s="0" t="n">
        <v>0.865</v>
      </c>
      <c r="CQ103" s="0" t="n">
        <v>0.89</v>
      </c>
      <c r="CR103" s="0" t="n">
        <v>0.91</v>
      </c>
      <c r="CS103" s="0" t="n">
        <v>0.935</v>
      </c>
      <c r="CT103" s="0" t="n">
        <v>0.99895</v>
      </c>
      <c r="CU103" s="0" t="n">
        <v>0.54</v>
      </c>
      <c r="CV103" s="0" t="n">
        <v>0.45</v>
      </c>
      <c r="CW103" s="0" t="n">
        <v>0.875</v>
      </c>
      <c r="CX103" s="0" t="n">
        <v>0.845</v>
      </c>
      <c r="CY103" s="0" t="n">
        <v>0.515</v>
      </c>
      <c r="CZ103" s="0" t="n">
        <v>0.785</v>
      </c>
      <c r="DA103" s="0" t="n">
        <v>0.8175</v>
      </c>
      <c r="DB103" s="0" t="n">
        <v>0.8</v>
      </c>
      <c r="DC103" s="0" t="n">
        <v>0.9</v>
      </c>
      <c r="DD103" s="0" t="n">
        <v>0.83</v>
      </c>
      <c r="DE103" s="0" t="n">
        <v>0.89</v>
      </c>
      <c r="DI103" s="0" t="n">
        <v>0.9775</v>
      </c>
      <c r="DN103" s="188" t="n">
        <v>0.000285</v>
      </c>
      <c r="DO103" s="188" t="n">
        <v>0.0002</v>
      </c>
      <c r="DP103" s="188" t="n">
        <v>0</v>
      </c>
      <c r="DQ103" s="188" t="n">
        <v>0.0001</v>
      </c>
      <c r="DR103" s="188" t="n">
        <v>0</v>
      </c>
      <c r="DS103" s="188" t="n">
        <v>0.0036</v>
      </c>
      <c r="DT103" s="188" t="n">
        <v>0.00047</v>
      </c>
      <c r="DU103" s="188" t="n">
        <v>0.0007</v>
      </c>
      <c r="DV103" s="188" t="n">
        <v>0</v>
      </c>
      <c r="DW103" s="188" t="n">
        <v>0</v>
      </c>
      <c r="DX103" s="188" t="n">
        <v>0.0005</v>
      </c>
      <c r="DY103" s="188" t="n">
        <v>0.0005</v>
      </c>
      <c r="DZ103" s="188" t="n">
        <v>0.0003</v>
      </c>
      <c r="EA103" s="188" t="n">
        <v>0.000275</v>
      </c>
      <c r="EB103" s="188" t="n">
        <v>0.0004</v>
      </c>
      <c r="ED103" s="188" t="n">
        <v>6.5E-005</v>
      </c>
      <c r="EF103" s="0" t="n">
        <v>1</v>
      </c>
    </row>
    <row r="104" customFormat="false" ht="12.75" hidden="false" customHeight="false" outlineLevel="0" collapsed="false">
      <c r="A104" s="149" t="n">
        <v>39539</v>
      </c>
      <c r="B104" s="0" t="n">
        <v>0.98</v>
      </c>
      <c r="C104" s="0" t="n">
        <v>0.988</v>
      </c>
      <c r="D104" s="0" t="n">
        <v>0.96</v>
      </c>
      <c r="E104" s="0" t="n">
        <f aca="false">E92</f>
        <v>0.978</v>
      </c>
      <c r="F104" s="0" t="n">
        <v>0.977</v>
      </c>
      <c r="G104" s="0" t="n">
        <v>0.9875</v>
      </c>
      <c r="H104" s="0" t="n">
        <v>0.95682566</v>
      </c>
      <c r="I104" s="0" t="n">
        <v>0.9875</v>
      </c>
      <c r="J104" s="0" t="n">
        <v>0.9999</v>
      </c>
      <c r="K104" s="0" t="n">
        <v>0.985</v>
      </c>
      <c r="L104" s="176" t="n">
        <v>0.9875</v>
      </c>
      <c r="M104" s="176" t="n">
        <v>0.9875</v>
      </c>
      <c r="N104" s="0" t="n">
        <v>0.98</v>
      </c>
      <c r="O104" s="0" t="n">
        <v>0.970548915</v>
      </c>
      <c r="P104" s="0" t="n">
        <v>0.98</v>
      </c>
      <c r="Q104" s="177" t="n">
        <v>0.9875</v>
      </c>
      <c r="R104" s="0" t="n">
        <v>0.9875</v>
      </c>
      <c r="S104" s="176" t="n">
        <v>0.9875</v>
      </c>
      <c r="T104" s="0" t="n">
        <v>0.98</v>
      </c>
      <c r="U104" s="0" t="n">
        <v>0.98</v>
      </c>
      <c r="V104" s="0" t="n">
        <v>0.98</v>
      </c>
      <c r="W104" s="0" t="n">
        <v>0.98</v>
      </c>
      <c r="X104" s="0" t="n">
        <v>0.970548915</v>
      </c>
      <c r="Y104" s="0" t="n">
        <v>0.970548915</v>
      </c>
      <c r="Z104" s="0" t="n">
        <v>0.970548915</v>
      </c>
      <c r="AA104" s="0" t="n">
        <v>0.970548915</v>
      </c>
      <c r="AB104" s="0" t="n">
        <v>0.98</v>
      </c>
      <c r="AC104" s="0" t="n">
        <v>0.98</v>
      </c>
      <c r="AD104" s="0" t="n">
        <v>0.970548915</v>
      </c>
      <c r="AE104" s="0" t="n">
        <v>0.970548915</v>
      </c>
      <c r="AF104" s="0" t="n">
        <v>0.98</v>
      </c>
      <c r="AG104" s="0" t="n">
        <v>0.99</v>
      </c>
      <c r="AH104" s="0" t="n">
        <v>0.9768284</v>
      </c>
      <c r="AI104" s="0" t="n">
        <v>0.9768284</v>
      </c>
      <c r="AJ104" s="0" t="n">
        <v>0.98</v>
      </c>
      <c r="AK104" s="0" t="n">
        <v>1</v>
      </c>
      <c r="AL104" s="0" t="n">
        <v>0.985</v>
      </c>
      <c r="AM104" s="0" t="n">
        <v>0.985</v>
      </c>
      <c r="AS104" s="0" t="n">
        <v>0.977</v>
      </c>
      <c r="AT104" s="177" t="n">
        <v>0.9775</v>
      </c>
      <c r="AU104" s="0" t="n">
        <v>0.9768284</v>
      </c>
      <c r="AV104" s="0" t="n">
        <v>0.985</v>
      </c>
      <c r="AW104" s="0" t="n">
        <v>0.985</v>
      </c>
      <c r="AX104" s="0" t="n">
        <v>0.985</v>
      </c>
      <c r="AY104" s="0" t="n">
        <v>0.9768284</v>
      </c>
      <c r="AZ104" s="0" t="n">
        <v>0.9768284</v>
      </c>
      <c r="BA104" s="0" t="n">
        <v>0.985</v>
      </c>
      <c r="BB104" s="187" t="n">
        <v>1</v>
      </c>
      <c r="BC104" s="0" t="n">
        <v>1</v>
      </c>
      <c r="BD104" s="0" t="n">
        <v>1</v>
      </c>
      <c r="BE104" s="0" t="n">
        <v>1</v>
      </c>
      <c r="BF104" s="0" t="n">
        <v>0.9999</v>
      </c>
      <c r="BG104" s="0" t="n">
        <v>1</v>
      </c>
      <c r="BH104" s="0" t="n">
        <v>1</v>
      </c>
      <c r="BI104" s="0" t="n">
        <v>0.99</v>
      </c>
      <c r="BJ104" s="0" t="n">
        <v>0.999</v>
      </c>
      <c r="BK104" s="0" t="n">
        <v>0.998</v>
      </c>
      <c r="BL104" s="0" t="n">
        <v>0.9985</v>
      </c>
      <c r="BM104" s="0" t="n">
        <v>0.9985</v>
      </c>
      <c r="BN104" s="0" t="n">
        <v>0.972</v>
      </c>
      <c r="BO104" s="0" t="n">
        <v>0.9999</v>
      </c>
      <c r="BP104" s="0" t="n">
        <v>0.9999</v>
      </c>
      <c r="BQ104" s="0" t="n">
        <v>1</v>
      </c>
      <c r="BR104" s="0" t="n">
        <v>1.0920776</v>
      </c>
      <c r="BS104" s="0" t="n">
        <v>1.1088</v>
      </c>
      <c r="BT104" s="0" t="n">
        <v>1.0827</v>
      </c>
      <c r="BU104" s="0" t="n">
        <v>1.0147</v>
      </c>
      <c r="BV104" s="0" t="n">
        <v>1</v>
      </c>
      <c r="BW104" s="0" t="n">
        <v>2.2002</v>
      </c>
      <c r="BX104" s="0" t="n">
        <v>2.278156333</v>
      </c>
      <c r="BY104" s="0" t="n">
        <v>1.08785</v>
      </c>
      <c r="BZ104" s="0" t="n">
        <v>1.2885</v>
      </c>
      <c r="CA104" s="0" t="n">
        <v>2.001</v>
      </c>
      <c r="CB104" s="0" t="n">
        <v>1.514005</v>
      </c>
      <c r="CC104" s="0" t="n">
        <v>1.514005</v>
      </c>
      <c r="CD104" s="0" t="n">
        <v>1.261905</v>
      </c>
      <c r="CE104" s="0" t="n">
        <v>1.074805</v>
      </c>
      <c r="CF104" s="0" t="n">
        <v>1.425405</v>
      </c>
      <c r="CG104" s="188"/>
      <c r="CH104" s="0" t="n">
        <v>1.09756</v>
      </c>
      <c r="CI104" s="188"/>
      <c r="CJ104" s="188"/>
      <c r="CK104" s="188"/>
      <c r="CL104" s="188"/>
      <c r="CM104" s="188"/>
      <c r="CN104" s="188"/>
      <c r="CO104" s="188"/>
      <c r="CP104" s="0" t="n">
        <v>0.895</v>
      </c>
      <c r="CQ104" s="0" t="n">
        <v>0.9</v>
      </c>
      <c r="CR104" s="0" t="n">
        <v>0.91</v>
      </c>
      <c r="CS104" s="0" t="n">
        <v>0.96</v>
      </c>
      <c r="CT104" s="0" t="n">
        <v>0.99895</v>
      </c>
      <c r="CU104" s="0" t="n">
        <v>0.48</v>
      </c>
      <c r="CV104" s="0" t="n">
        <v>0.42</v>
      </c>
      <c r="CW104" s="0" t="n">
        <v>0.935</v>
      </c>
      <c r="CX104" s="0" t="n">
        <v>0.835</v>
      </c>
      <c r="CY104" s="0" t="n">
        <v>0.575</v>
      </c>
      <c r="CZ104" s="0" t="n">
        <v>0.895</v>
      </c>
      <c r="DA104" s="0" t="n">
        <v>0.9275</v>
      </c>
      <c r="DB104" s="0" t="n">
        <v>0.85</v>
      </c>
      <c r="DC104" s="0" t="n">
        <v>0.903</v>
      </c>
      <c r="DD104" s="0" t="n">
        <v>0.92</v>
      </c>
      <c r="DE104" s="0" t="n">
        <v>0.89</v>
      </c>
      <c r="DI104" s="0" t="n">
        <v>0.9775</v>
      </c>
      <c r="DN104" s="188" t="n">
        <v>0.000285</v>
      </c>
      <c r="DO104" s="188" t="n">
        <v>0.0002</v>
      </c>
      <c r="DP104" s="188" t="n">
        <v>0</v>
      </c>
      <c r="DQ104" s="188" t="n">
        <v>0.0001</v>
      </c>
      <c r="DR104" s="188" t="n">
        <v>0</v>
      </c>
      <c r="DS104" s="188" t="n">
        <v>0.0036</v>
      </c>
      <c r="DT104" s="188" t="n">
        <v>0.00047</v>
      </c>
      <c r="DU104" s="188" t="n">
        <v>0.0007</v>
      </c>
      <c r="DV104" s="188" t="n">
        <v>0</v>
      </c>
      <c r="DW104" s="188" t="n">
        <v>0</v>
      </c>
      <c r="DX104" s="188" t="n">
        <v>0.0005</v>
      </c>
      <c r="DY104" s="188" t="n">
        <v>0.0005</v>
      </c>
      <c r="DZ104" s="188" t="n">
        <v>0.0003</v>
      </c>
      <c r="EA104" s="188" t="n">
        <v>0.000275</v>
      </c>
      <c r="EB104" s="188" t="n">
        <v>0.0004</v>
      </c>
      <c r="ED104" s="188" t="n">
        <v>6.5E-005</v>
      </c>
      <c r="EF104" s="0" t="n">
        <v>1</v>
      </c>
    </row>
    <row r="105" customFormat="false" ht="12.75" hidden="false" customHeight="false" outlineLevel="0" collapsed="false">
      <c r="A105" s="149" t="n">
        <v>39569</v>
      </c>
      <c r="B105" s="0" t="n">
        <v>0.98</v>
      </c>
      <c r="C105" s="0" t="n">
        <v>0.988</v>
      </c>
      <c r="D105" s="0" t="n">
        <v>0.96</v>
      </c>
      <c r="E105" s="0" t="n">
        <f aca="false">E93</f>
        <v>0.978</v>
      </c>
      <c r="F105" s="0" t="n">
        <v>0.977</v>
      </c>
      <c r="G105" s="0" t="n">
        <v>0.749292</v>
      </c>
      <c r="H105" s="0" t="n">
        <v>0.95702306</v>
      </c>
      <c r="I105" s="0" t="n">
        <v>0.9875</v>
      </c>
      <c r="J105" s="0" t="n">
        <v>0.9999</v>
      </c>
      <c r="K105" s="0" t="n">
        <v>0.985</v>
      </c>
      <c r="L105" s="176" t="n">
        <v>0.9875</v>
      </c>
      <c r="M105" s="176" t="n">
        <v>0.9875</v>
      </c>
      <c r="N105" s="0" t="n">
        <v>0.98</v>
      </c>
      <c r="O105" s="0" t="n">
        <v>0.967572</v>
      </c>
      <c r="P105" s="0" t="n">
        <v>0.98</v>
      </c>
      <c r="Q105" s="177" t="n">
        <v>0.9875</v>
      </c>
      <c r="R105" s="0" t="n">
        <v>0.9875</v>
      </c>
      <c r="S105" s="176" t="n">
        <v>0.9875</v>
      </c>
      <c r="T105" s="0" t="n">
        <v>0.98</v>
      </c>
      <c r="U105" s="0" t="n">
        <v>0.98</v>
      </c>
      <c r="V105" s="0" t="n">
        <v>0.98</v>
      </c>
      <c r="W105" s="0" t="n">
        <v>0.98</v>
      </c>
      <c r="X105" s="0" t="n">
        <v>0.967572</v>
      </c>
      <c r="Y105" s="0" t="n">
        <v>0.967572</v>
      </c>
      <c r="Z105" s="0" t="n">
        <v>0.967572</v>
      </c>
      <c r="AA105" s="0" t="n">
        <v>0.967572</v>
      </c>
      <c r="AB105" s="0" t="n">
        <v>0.98</v>
      </c>
      <c r="AC105" s="0" t="n">
        <v>0.98</v>
      </c>
      <c r="AD105" s="0" t="n">
        <v>0.967572</v>
      </c>
      <c r="AE105" s="0" t="n">
        <v>0.967572</v>
      </c>
      <c r="AF105" s="0" t="n">
        <v>0.98</v>
      </c>
      <c r="AG105" s="0" t="n">
        <v>0.99</v>
      </c>
      <c r="AH105" s="0" t="n">
        <v>0.97688625</v>
      </c>
      <c r="AI105" s="0" t="n">
        <v>0.97688625</v>
      </c>
      <c r="AJ105" s="0" t="n">
        <v>0.98</v>
      </c>
      <c r="AK105" s="0" t="n">
        <v>1</v>
      </c>
      <c r="AL105" s="0" t="n">
        <v>0.985</v>
      </c>
      <c r="AM105" s="0" t="n">
        <v>0.985</v>
      </c>
      <c r="AS105" s="0" t="n">
        <v>0.977</v>
      </c>
      <c r="AT105" s="177" t="n">
        <v>0.9775</v>
      </c>
      <c r="AU105" s="0" t="n">
        <v>0.97688625</v>
      </c>
      <c r="AV105" s="0" t="n">
        <v>0.985</v>
      </c>
      <c r="AW105" s="0" t="n">
        <v>0.985</v>
      </c>
      <c r="AX105" s="0" t="n">
        <v>0.985</v>
      </c>
      <c r="AY105" s="0" t="n">
        <v>0.97688625</v>
      </c>
      <c r="AZ105" s="0" t="n">
        <v>0.97688625</v>
      </c>
      <c r="BA105" s="0" t="n">
        <v>0.985</v>
      </c>
      <c r="BB105" s="187" t="n">
        <v>1</v>
      </c>
      <c r="BC105" s="0" t="n">
        <v>1</v>
      </c>
      <c r="BD105" s="0" t="n">
        <v>1</v>
      </c>
      <c r="BE105" s="0" t="n">
        <v>1</v>
      </c>
      <c r="BF105" s="0" t="n">
        <v>0.9999</v>
      </c>
      <c r="BG105" s="0" t="n">
        <v>1</v>
      </c>
      <c r="BH105" s="0" t="n">
        <v>1</v>
      </c>
      <c r="BI105" s="0" t="n">
        <v>0.99</v>
      </c>
      <c r="BJ105" s="0" t="n">
        <v>0.999</v>
      </c>
      <c r="BK105" s="0" t="n">
        <v>0.998</v>
      </c>
      <c r="BL105" s="0" t="n">
        <v>0.9985</v>
      </c>
      <c r="BM105" s="0" t="n">
        <v>0.9985</v>
      </c>
      <c r="BN105" s="0" t="n">
        <v>0.972</v>
      </c>
      <c r="BO105" s="0" t="n">
        <v>0.9999</v>
      </c>
      <c r="BP105" s="0" t="n">
        <v>0.9999</v>
      </c>
      <c r="BQ105" s="0" t="n">
        <v>1</v>
      </c>
      <c r="BR105" s="0" t="n">
        <v>1.0923626</v>
      </c>
      <c r="BS105" s="0" t="n">
        <v>1.109</v>
      </c>
      <c r="BT105" s="0" t="n">
        <v>1.0827</v>
      </c>
      <c r="BU105" s="0" t="n">
        <v>1.0148</v>
      </c>
      <c r="BV105" s="0" t="n">
        <v>1</v>
      </c>
      <c r="BW105" s="0" t="n">
        <v>2.2038</v>
      </c>
      <c r="BX105" s="0" t="n">
        <v>2.278626333</v>
      </c>
      <c r="BY105" s="0" t="n">
        <v>1.08855</v>
      </c>
      <c r="BZ105" s="0" t="n">
        <v>1.2885</v>
      </c>
      <c r="CA105" s="0" t="n">
        <v>2.001</v>
      </c>
      <c r="CB105" s="0" t="n">
        <v>1.514505</v>
      </c>
      <c r="CC105" s="0" t="n">
        <v>1.514505</v>
      </c>
      <c r="CD105" s="0" t="n">
        <v>1.262205</v>
      </c>
      <c r="CE105" s="0" t="n">
        <v>1.07508</v>
      </c>
      <c r="CF105" s="0" t="n">
        <v>1.425805</v>
      </c>
      <c r="CG105" s="188"/>
      <c r="CH105" s="0" t="n">
        <v>1.097625</v>
      </c>
      <c r="CI105" s="188"/>
      <c r="CJ105" s="188"/>
      <c r="CK105" s="188"/>
      <c r="CL105" s="188"/>
      <c r="CM105" s="188"/>
      <c r="CN105" s="188"/>
      <c r="CO105" s="188"/>
      <c r="CP105" s="0" t="n">
        <v>0.965</v>
      </c>
      <c r="CQ105" s="0" t="n">
        <v>0.91</v>
      </c>
      <c r="CR105" s="0" t="n">
        <v>0.91</v>
      </c>
      <c r="CS105" s="0" t="n">
        <v>0.97</v>
      </c>
      <c r="CT105" s="0" t="n">
        <v>0.99895</v>
      </c>
      <c r="CU105" s="0" t="n">
        <v>0.34</v>
      </c>
      <c r="CV105" s="0" t="n">
        <v>0.42</v>
      </c>
      <c r="CW105" s="0" t="n">
        <v>0.935</v>
      </c>
      <c r="CX105" s="0" t="n">
        <v>0.735</v>
      </c>
      <c r="CY105" s="0" t="n">
        <v>0.625</v>
      </c>
      <c r="CZ105" s="0" t="n">
        <v>0.9175</v>
      </c>
      <c r="DA105" s="0" t="n">
        <v>0.95</v>
      </c>
      <c r="DB105" s="0" t="n">
        <v>0.88</v>
      </c>
      <c r="DC105" s="0" t="n">
        <v>0.9</v>
      </c>
      <c r="DD105" s="0" t="n">
        <v>0.935</v>
      </c>
      <c r="DE105" s="0" t="n">
        <v>0.89</v>
      </c>
      <c r="DI105" s="0" t="n">
        <v>0.9775</v>
      </c>
      <c r="DN105" s="188" t="n">
        <v>0.000285</v>
      </c>
      <c r="DO105" s="188" t="n">
        <v>0.0002</v>
      </c>
      <c r="DP105" s="188" t="n">
        <v>0</v>
      </c>
      <c r="DQ105" s="188" t="n">
        <v>0.0001</v>
      </c>
      <c r="DR105" s="188" t="n">
        <v>0</v>
      </c>
      <c r="DS105" s="188" t="n">
        <v>0.0036</v>
      </c>
      <c r="DT105" s="188" t="n">
        <v>0.00047</v>
      </c>
      <c r="DU105" s="188" t="n">
        <v>0.0007</v>
      </c>
      <c r="DV105" s="188" t="n">
        <v>0</v>
      </c>
      <c r="DW105" s="188" t="n">
        <v>0</v>
      </c>
      <c r="DX105" s="188" t="n">
        <v>0.0005</v>
      </c>
      <c r="DY105" s="188" t="n">
        <v>0.0005</v>
      </c>
      <c r="DZ105" s="188" t="n">
        <v>0.0003</v>
      </c>
      <c r="EA105" s="188" t="n">
        <v>0.000275</v>
      </c>
      <c r="EB105" s="188" t="n">
        <v>0.0004</v>
      </c>
      <c r="ED105" s="188" t="n">
        <v>6.5E-005</v>
      </c>
      <c r="EF105" s="0" t="n">
        <v>1</v>
      </c>
    </row>
    <row r="106" customFormat="false" ht="12.75" hidden="false" customHeight="false" outlineLevel="0" collapsed="false">
      <c r="A106" s="149" t="n">
        <v>39600</v>
      </c>
      <c r="B106" s="0" t="n">
        <v>0.98</v>
      </c>
      <c r="C106" s="0" t="n">
        <v>0.988</v>
      </c>
      <c r="D106" s="0" t="n">
        <v>0.96</v>
      </c>
      <c r="E106" s="0" t="n">
        <f aca="false">E94</f>
        <v>0.978</v>
      </c>
      <c r="F106" s="0" t="n">
        <v>0.977</v>
      </c>
      <c r="G106" s="0" t="n">
        <v>0.750516</v>
      </c>
      <c r="H106" s="0" t="n">
        <v>0.9875</v>
      </c>
      <c r="I106" s="0" t="n">
        <v>0.9875</v>
      </c>
      <c r="J106" s="0" t="n">
        <v>0.9999</v>
      </c>
      <c r="K106" s="0" t="n">
        <v>0.985</v>
      </c>
      <c r="L106" s="176" t="n">
        <v>0.9875</v>
      </c>
      <c r="M106" s="176" t="n">
        <v>0.9875</v>
      </c>
      <c r="N106" s="0" t="n">
        <v>0.98</v>
      </c>
      <c r="O106" s="0" t="n">
        <v>0.970507888</v>
      </c>
      <c r="P106" s="0" t="n">
        <v>0.98</v>
      </c>
      <c r="Q106" s="177" t="n">
        <v>0.9875</v>
      </c>
      <c r="R106" s="0" t="n">
        <v>0.9875</v>
      </c>
      <c r="S106" s="176" t="n">
        <v>0.9875</v>
      </c>
      <c r="T106" s="0" t="n">
        <v>0.98</v>
      </c>
      <c r="U106" s="0" t="n">
        <v>0.98</v>
      </c>
      <c r="V106" s="0" t="n">
        <v>0.98</v>
      </c>
      <c r="W106" s="0" t="n">
        <v>0.98</v>
      </c>
      <c r="X106" s="0" t="n">
        <v>0.970507888</v>
      </c>
      <c r="Y106" s="0" t="n">
        <v>0.970507888</v>
      </c>
      <c r="Z106" s="0" t="n">
        <v>0.970507888</v>
      </c>
      <c r="AA106" s="0" t="n">
        <v>0.970507888</v>
      </c>
      <c r="AB106" s="0" t="n">
        <v>0.98</v>
      </c>
      <c r="AC106" s="0" t="n">
        <v>0.98</v>
      </c>
      <c r="AD106" s="0" t="n">
        <v>0.970507888</v>
      </c>
      <c r="AE106" s="0" t="n">
        <v>0.970507888</v>
      </c>
      <c r="AF106" s="0" t="n">
        <v>0.98</v>
      </c>
      <c r="AG106" s="0" t="n">
        <v>0.99</v>
      </c>
      <c r="AH106" s="0" t="n">
        <v>0.9769441</v>
      </c>
      <c r="AI106" s="0" t="n">
        <v>0.9769441</v>
      </c>
      <c r="AJ106" s="0" t="n">
        <v>0.98</v>
      </c>
      <c r="AK106" s="0" t="n">
        <v>1</v>
      </c>
      <c r="AL106" s="0" t="n">
        <v>0.985</v>
      </c>
      <c r="AM106" s="0" t="n">
        <v>0.985</v>
      </c>
      <c r="AS106" s="0" t="n">
        <v>0.977</v>
      </c>
      <c r="AT106" s="177" t="n">
        <v>0.9775</v>
      </c>
      <c r="AU106" s="0" t="n">
        <v>0.9769441</v>
      </c>
      <c r="AV106" s="0" t="n">
        <v>0.985</v>
      </c>
      <c r="AW106" s="0" t="n">
        <v>0.985</v>
      </c>
      <c r="AX106" s="0" t="n">
        <v>0.985</v>
      </c>
      <c r="AY106" s="0" t="n">
        <v>0.9769441</v>
      </c>
      <c r="AZ106" s="0" t="n">
        <v>0.9769441</v>
      </c>
      <c r="BA106" s="0" t="n">
        <v>0.985</v>
      </c>
      <c r="BB106" s="187" t="n">
        <v>1</v>
      </c>
      <c r="BC106" s="0" t="n">
        <v>1</v>
      </c>
      <c r="BD106" s="0" t="n">
        <v>1</v>
      </c>
      <c r="BE106" s="0" t="n">
        <v>1</v>
      </c>
      <c r="BF106" s="0" t="n">
        <v>0.9999</v>
      </c>
      <c r="BG106" s="0" t="n">
        <v>1</v>
      </c>
      <c r="BH106" s="0" t="n">
        <v>1</v>
      </c>
      <c r="BI106" s="0" t="n">
        <v>0.99</v>
      </c>
      <c r="BJ106" s="0" t="n">
        <v>0.999</v>
      </c>
      <c r="BK106" s="0" t="n">
        <v>0.998</v>
      </c>
      <c r="BL106" s="0" t="n">
        <v>0.9985</v>
      </c>
      <c r="BM106" s="0" t="n">
        <v>0.9985</v>
      </c>
      <c r="BN106" s="0" t="n">
        <v>0.972</v>
      </c>
      <c r="BO106" s="0" t="n">
        <v>0.9999</v>
      </c>
      <c r="BP106" s="0" t="n">
        <v>0.9999</v>
      </c>
      <c r="BQ106" s="0" t="n">
        <v>1</v>
      </c>
      <c r="BR106" s="0" t="n">
        <v>1.0926476</v>
      </c>
      <c r="BS106" s="0" t="n">
        <v>1.1092</v>
      </c>
      <c r="BT106" s="0" t="n">
        <v>1.0827</v>
      </c>
      <c r="BU106" s="0" t="n">
        <v>1.0149</v>
      </c>
      <c r="BV106" s="0" t="n">
        <v>1</v>
      </c>
      <c r="BW106" s="0" t="n">
        <v>2.2074</v>
      </c>
      <c r="BX106" s="0" t="n">
        <v>2.279096333</v>
      </c>
      <c r="BY106" s="0" t="n">
        <v>1.08925</v>
      </c>
      <c r="BZ106" s="0" t="n">
        <v>1.2885</v>
      </c>
      <c r="CA106" s="0" t="n">
        <v>2.001</v>
      </c>
      <c r="CB106" s="0" t="n">
        <v>1.515005</v>
      </c>
      <c r="CC106" s="0" t="n">
        <v>1.515005</v>
      </c>
      <c r="CD106" s="0" t="n">
        <v>1.262505</v>
      </c>
      <c r="CE106" s="0" t="n">
        <v>1.075355</v>
      </c>
      <c r="CF106" s="0" t="n">
        <v>1.426205</v>
      </c>
      <c r="CG106" s="188"/>
      <c r="CH106" s="0" t="n">
        <v>1.09769</v>
      </c>
      <c r="CI106" s="188"/>
      <c r="CJ106" s="188"/>
      <c r="CK106" s="188"/>
      <c r="CL106" s="188"/>
      <c r="CM106" s="188"/>
      <c r="CN106" s="188"/>
      <c r="CO106" s="188"/>
      <c r="CP106" s="0" t="n">
        <v>0.965</v>
      </c>
      <c r="CQ106" s="0" t="n">
        <v>0.91</v>
      </c>
      <c r="CR106" s="0" t="n">
        <v>0.91</v>
      </c>
      <c r="CS106" s="0" t="n">
        <v>0.98</v>
      </c>
      <c r="CT106" s="0" t="n">
        <v>0.99895</v>
      </c>
      <c r="CU106" s="0" t="n">
        <v>0.34</v>
      </c>
      <c r="CV106" s="0" t="n">
        <v>0.47</v>
      </c>
      <c r="CW106" s="0" t="n">
        <v>0.935</v>
      </c>
      <c r="CX106" s="0" t="n">
        <v>0.645</v>
      </c>
      <c r="CY106" s="0" t="n">
        <v>0.725</v>
      </c>
      <c r="CZ106" s="0" t="n">
        <v>0.8825</v>
      </c>
      <c r="DA106" s="0" t="n">
        <v>0.915</v>
      </c>
      <c r="DB106" s="0" t="n">
        <v>0.88</v>
      </c>
      <c r="DC106" s="0" t="n">
        <v>0.9025</v>
      </c>
      <c r="DD106" s="0" t="n">
        <v>0.915</v>
      </c>
      <c r="DE106" s="0" t="n">
        <v>0.89</v>
      </c>
      <c r="DI106" s="0" t="n">
        <v>0.9775</v>
      </c>
      <c r="DN106" s="188" t="n">
        <v>0.000285</v>
      </c>
      <c r="DO106" s="188" t="n">
        <v>0.0002</v>
      </c>
      <c r="DP106" s="188" t="n">
        <v>0</v>
      </c>
      <c r="DQ106" s="188" t="n">
        <v>0.0001</v>
      </c>
      <c r="DR106" s="188" t="n">
        <v>0</v>
      </c>
      <c r="DS106" s="188" t="n">
        <v>0.0036</v>
      </c>
      <c r="DT106" s="188" t="n">
        <v>0.00047</v>
      </c>
      <c r="DU106" s="188" t="n">
        <v>0.0007</v>
      </c>
      <c r="DV106" s="188" t="n">
        <v>0</v>
      </c>
      <c r="DW106" s="188" t="n">
        <v>0</v>
      </c>
      <c r="DX106" s="188" t="n">
        <v>0.0005</v>
      </c>
      <c r="DY106" s="188" t="n">
        <v>0.0005</v>
      </c>
      <c r="DZ106" s="188" t="n">
        <v>0.0003</v>
      </c>
      <c r="EA106" s="188" t="n">
        <v>0.000275</v>
      </c>
      <c r="EB106" s="188" t="n">
        <v>0.0004</v>
      </c>
      <c r="ED106" s="188" t="n">
        <v>6.5E-005</v>
      </c>
      <c r="EF106" s="0" t="n">
        <v>1</v>
      </c>
    </row>
    <row r="107" customFormat="false" ht="12.75" hidden="false" customHeight="false" outlineLevel="0" collapsed="false">
      <c r="A107" s="149" t="n">
        <v>39630</v>
      </c>
      <c r="B107" s="0" t="n">
        <v>0.98</v>
      </c>
      <c r="C107" s="0" t="n">
        <v>0.988</v>
      </c>
      <c r="D107" s="0" t="n">
        <v>0.96</v>
      </c>
      <c r="E107" s="0" t="n">
        <f aca="false">E95</f>
        <v>0.978</v>
      </c>
      <c r="F107" s="0" t="n">
        <v>0.977</v>
      </c>
      <c r="G107" s="0" t="n">
        <v>0.90651</v>
      </c>
      <c r="H107" s="0" t="n">
        <v>0.9875</v>
      </c>
      <c r="I107" s="0" t="n">
        <v>0.9875</v>
      </c>
      <c r="J107" s="0" t="n">
        <v>0.9999</v>
      </c>
      <c r="K107" s="0" t="n">
        <v>0.985</v>
      </c>
      <c r="L107" s="176" t="n">
        <v>0.9875</v>
      </c>
      <c r="M107" s="176" t="n">
        <v>0.9875</v>
      </c>
      <c r="N107" s="0" t="n">
        <v>0.98</v>
      </c>
      <c r="O107" s="0" t="n">
        <v>0.976134225</v>
      </c>
      <c r="P107" s="0" t="n">
        <v>0.98</v>
      </c>
      <c r="Q107" s="177" t="n">
        <v>0.9875</v>
      </c>
      <c r="R107" s="0" t="n">
        <v>0.9875</v>
      </c>
      <c r="S107" s="176" t="n">
        <v>0.9875</v>
      </c>
      <c r="T107" s="0" t="n">
        <v>0.98</v>
      </c>
      <c r="U107" s="0" t="n">
        <v>0.98</v>
      </c>
      <c r="V107" s="0" t="n">
        <v>0.98</v>
      </c>
      <c r="W107" s="0" t="n">
        <v>0.98</v>
      </c>
      <c r="X107" s="0" t="n">
        <v>0.976134225</v>
      </c>
      <c r="Y107" s="0" t="n">
        <v>0.976134225</v>
      </c>
      <c r="Z107" s="0" t="n">
        <v>0.976134225</v>
      </c>
      <c r="AA107" s="0" t="n">
        <v>0.976134225</v>
      </c>
      <c r="AB107" s="0" t="n">
        <v>0.98</v>
      </c>
      <c r="AC107" s="0" t="n">
        <v>0.98</v>
      </c>
      <c r="AD107" s="0" t="n">
        <v>0.976134225</v>
      </c>
      <c r="AE107" s="0" t="n">
        <v>0.976134225</v>
      </c>
      <c r="AF107" s="0" t="n">
        <v>0.98</v>
      </c>
      <c r="AG107" s="0" t="n">
        <v>0.99</v>
      </c>
      <c r="AH107" s="0" t="n">
        <v>0.97700195</v>
      </c>
      <c r="AI107" s="0" t="n">
        <v>0.97700195</v>
      </c>
      <c r="AJ107" s="0" t="n">
        <v>0.98</v>
      </c>
      <c r="AK107" s="0" t="n">
        <v>1</v>
      </c>
      <c r="AL107" s="0" t="n">
        <v>0.985</v>
      </c>
      <c r="AM107" s="0" t="n">
        <v>0.985</v>
      </c>
      <c r="AS107" s="0" t="n">
        <v>0.977</v>
      </c>
      <c r="AT107" s="177" t="n">
        <v>0.9775</v>
      </c>
      <c r="AU107" s="0" t="n">
        <v>0.97700195</v>
      </c>
      <c r="AV107" s="0" t="n">
        <v>0.985</v>
      </c>
      <c r="AW107" s="0" t="n">
        <v>0.985</v>
      </c>
      <c r="AX107" s="0" t="n">
        <v>0.985</v>
      </c>
      <c r="AY107" s="0" t="n">
        <v>0.97700195</v>
      </c>
      <c r="AZ107" s="0" t="n">
        <v>0.97700195</v>
      </c>
      <c r="BA107" s="0" t="n">
        <v>0.985</v>
      </c>
      <c r="BB107" s="187" t="n">
        <v>1</v>
      </c>
      <c r="BC107" s="0" t="n">
        <v>1</v>
      </c>
      <c r="BD107" s="0" t="n">
        <v>1</v>
      </c>
      <c r="BE107" s="0" t="n">
        <v>1</v>
      </c>
      <c r="BF107" s="0" t="n">
        <v>0.9999</v>
      </c>
      <c r="BG107" s="0" t="n">
        <v>1</v>
      </c>
      <c r="BH107" s="0" t="n">
        <v>1</v>
      </c>
      <c r="BI107" s="0" t="n">
        <v>0.99</v>
      </c>
      <c r="BJ107" s="0" t="n">
        <v>0.999</v>
      </c>
      <c r="BK107" s="0" t="n">
        <v>0.998</v>
      </c>
      <c r="BL107" s="0" t="n">
        <v>0.9985</v>
      </c>
      <c r="BM107" s="0" t="n">
        <v>0.9985</v>
      </c>
      <c r="BN107" s="0" t="n">
        <v>0.972</v>
      </c>
      <c r="BO107" s="0" t="n">
        <v>0.9999</v>
      </c>
      <c r="BP107" s="0" t="n">
        <v>0.9999</v>
      </c>
      <c r="BQ107" s="0" t="n">
        <v>1</v>
      </c>
      <c r="BR107" s="0" t="n">
        <v>1.0929326</v>
      </c>
      <c r="BS107" s="0" t="n">
        <v>1.1094</v>
      </c>
      <c r="BT107" s="0" t="n">
        <v>1.0827</v>
      </c>
      <c r="BU107" s="0" t="n">
        <v>1.015</v>
      </c>
      <c r="BV107" s="0" t="n">
        <v>1</v>
      </c>
      <c r="BW107" s="0" t="n">
        <v>2.211</v>
      </c>
      <c r="BX107" s="0" t="n">
        <v>2.279566333</v>
      </c>
      <c r="BY107" s="0" t="n">
        <v>1.08995</v>
      </c>
      <c r="BZ107" s="0" t="n">
        <v>1.2885</v>
      </c>
      <c r="CA107" s="0" t="n">
        <v>2.001</v>
      </c>
      <c r="CB107" s="0" t="n">
        <v>1.515505</v>
      </c>
      <c r="CC107" s="0" t="n">
        <v>1.515505</v>
      </c>
      <c r="CD107" s="0" t="n">
        <v>1.262805</v>
      </c>
      <c r="CE107" s="0" t="n">
        <v>1.07563</v>
      </c>
      <c r="CF107" s="0" t="n">
        <v>1.426605</v>
      </c>
      <c r="CG107" s="188"/>
      <c r="CH107" s="0" t="n">
        <v>1.097755</v>
      </c>
      <c r="CI107" s="188"/>
      <c r="CJ107" s="188"/>
      <c r="CK107" s="188"/>
      <c r="CL107" s="188"/>
      <c r="CM107" s="188"/>
      <c r="CN107" s="188"/>
      <c r="CO107" s="188"/>
      <c r="CP107" s="0" t="n">
        <v>0.975</v>
      </c>
      <c r="CQ107" s="0" t="n">
        <v>0.91</v>
      </c>
      <c r="CR107" s="0" t="n">
        <v>0.91</v>
      </c>
      <c r="CS107" s="0" t="n">
        <v>0.97</v>
      </c>
      <c r="CT107" s="0" t="n">
        <v>0.99895</v>
      </c>
      <c r="CU107" s="0" t="n">
        <v>0.41</v>
      </c>
      <c r="CV107" s="0" t="n">
        <v>0.47</v>
      </c>
      <c r="CW107" s="0" t="n">
        <v>0.935</v>
      </c>
      <c r="CX107" s="0" t="n">
        <v>0.665</v>
      </c>
      <c r="CY107" s="0" t="n">
        <v>0.725</v>
      </c>
      <c r="CZ107" s="0" t="n">
        <v>0.8775</v>
      </c>
      <c r="DA107" s="0" t="n">
        <v>0.91</v>
      </c>
      <c r="DB107" s="0" t="n">
        <v>0.89</v>
      </c>
      <c r="DC107" s="0" t="n">
        <v>0.9075</v>
      </c>
      <c r="DD107" s="0" t="n">
        <v>0.915</v>
      </c>
      <c r="DE107" s="0" t="n">
        <v>0.89</v>
      </c>
      <c r="DI107" s="0" t="n">
        <v>0.9775</v>
      </c>
      <c r="DN107" s="188" t="n">
        <v>0.000285</v>
      </c>
      <c r="DO107" s="188" t="n">
        <v>0.0002</v>
      </c>
      <c r="DP107" s="188" t="n">
        <v>0</v>
      </c>
      <c r="DQ107" s="188" t="n">
        <v>0.0001</v>
      </c>
      <c r="DR107" s="188" t="n">
        <v>0</v>
      </c>
      <c r="DS107" s="188" t="n">
        <v>0.0036</v>
      </c>
      <c r="DT107" s="188" t="n">
        <v>0.00047</v>
      </c>
      <c r="DU107" s="188" t="n">
        <v>0.0007</v>
      </c>
      <c r="DV107" s="188" t="n">
        <v>0</v>
      </c>
      <c r="DW107" s="188" t="n">
        <v>0</v>
      </c>
      <c r="DX107" s="188" t="n">
        <v>0.0005</v>
      </c>
      <c r="DY107" s="188" t="n">
        <v>0.0005</v>
      </c>
      <c r="DZ107" s="188" t="n">
        <v>0.0003</v>
      </c>
      <c r="EA107" s="188" t="n">
        <v>0.000275</v>
      </c>
      <c r="EB107" s="188" t="n">
        <v>0.0004</v>
      </c>
      <c r="ED107" s="188" t="n">
        <v>6.5E-005</v>
      </c>
      <c r="EF107" s="0" t="n">
        <v>1</v>
      </c>
    </row>
    <row r="108" customFormat="false" ht="12.75" hidden="false" customHeight="false" outlineLevel="0" collapsed="false">
      <c r="A108" s="149" t="n">
        <v>39661</v>
      </c>
      <c r="B108" s="0" t="n">
        <v>0.98</v>
      </c>
      <c r="C108" s="0" t="n">
        <v>0.988</v>
      </c>
      <c r="D108" s="0" t="n">
        <v>0.96</v>
      </c>
      <c r="E108" s="0" t="n">
        <f aca="false">E96</f>
        <v>0.978</v>
      </c>
      <c r="F108" s="0" t="n">
        <v>0.977</v>
      </c>
      <c r="G108" s="0" t="n">
        <v>0.952278</v>
      </c>
      <c r="H108" s="0" t="n">
        <v>0.9875</v>
      </c>
      <c r="I108" s="0" t="n">
        <v>0.9875</v>
      </c>
      <c r="J108" s="0" t="n">
        <v>0.9999</v>
      </c>
      <c r="K108" s="0" t="n">
        <v>0.985</v>
      </c>
      <c r="L108" s="176" t="n">
        <v>0.9875</v>
      </c>
      <c r="M108" s="176" t="n">
        <v>0.9875</v>
      </c>
      <c r="N108" s="0" t="n">
        <v>0.98</v>
      </c>
      <c r="O108" s="0" t="n">
        <v>0.9875</v>
      </c>
      <c r="P108" s="0" t="n">
        <v>0.98</v>
      </c>
      <c r="Q108" s="177" t="n">
        <v>0.9875</v>
      </c>
      <c r="R108" s="0" t="n">
        <v>0.9875</v>
      </c>
      <c r="S108" s="176" t="n">
        <v>0.9875</v>
      </c>
      <c r="T108" s="0" t="n">
        <v>0.98</v>
      </c>
      <c r="U108" s="0" t="n">
        <v>0.98</v>
      </c>
      <c r="V108" s="0" t="n">
        <v>0.98</v>
      </c>
      <c r="W108" s="0" t="n">
        <v>0.98</v>
      </c>
      <c r="X108" s="0" t="n">
        <v>0.9875</v>
      </c>
      <c r="Y108" s="0" t="n">
        <v>0.9875</v>
      </c>
      <c r="Z108" s="0" t="n">
        <v>0.9875</v>
      </c>
      <c r="AA108" s="0" t="n">
        <v>0.9875</v>
      </c>
      <c r="AB108" s="0" t="n">
        <v>0.98</v>
      </c>
      <c r="AC108" s="0" t="n">
        <v>0.98</v>
      </c>
      <c r="AD108" s="0" t="n">
        <v>0.9875</v>
      </c>
      <c r="AE108" s="0" t="n">
        <v>0.9875</v>
      </c>
      <c r="AF108" s="0" t="n">
        <v>0.98</v>
      </c>
      <c r="AG108" s="0" t="n">
        <v>0.99</v>
      </c>
      <c r="AH108" s="0" t="n">
        <v>0.9770598</v>
      </c>
      <c r="AI108" s="0" t="n">
        <v>0.9770598</v>
      </c>
      <c r="AJ108" s="0" t="n">
        <v>0.98</v>
      </c>
      <c r="AK108" s="0" t="n">
        <v>1</v>
      </c>
      <c r="AL108" s="0" t="n">
        <v>0.985</v>
      </c>
      <c r="AM108" s="0" t="n">
        <v>0.985</v>
      </c>
      <c r="AS108" s="0" t="n">
        <v>0.977</v>
      </c>
      <c r="AT108" s="177" t="n">
        <v>0.9775</v>
      </c>
      <c r="AU108" s="0" t="n">
        <v>0.9770598</v>
      </c>
      <c r="AV108" s="0" t="n">
        <v>0.985</v>
      </c>
      <c r="AW108" s="0" t="n">
        <v>0.985</v>
      </c>
      <c r="AX108" s="0" t="n">
        <v>0.985</v>
      </c>
      <c r="AY108" s="0" t="n">
        <v>0.9770598</v>
      </c>
      <c r="AZ108" s="0" t="n">
        <v>0.9770598</v>
      </c>
      <c r="BA108" s="0" t="n">
        <v>0.985</v>
      </c>
      <c r="BB108" s="187" t="n">
        <v>1</v>
      </c>
      <c r="BC108" s="0" t="n">
        <v>1</v>
      </c>
      <c r="BD108" s="0" t="n">
        <v>1</v>
      </c>
      <c r="BE108" s="0" t="n">
        <v>1</v>
      </c>
      <c r="BF108" s="0" t="n">
        <v>0.9999</v>
      </c>
      <c r="BG108" s="0" t="n">
        <v>1</v>
      </c>
      <c r="BH108" s="0" t="n">
        <v>1</v>
      </c>
      <c r="BI108" s="0" t="n">
        <v>0.99</v>
      </c>
      <c r="BJ108" s="0" t="n">
        <v>0.999</v>
      </c>
      <c r="BK108" s="0" t="n">
        <v>0.998</v>
      </c>
      <c r="BL108" s="0" t="n">
        <v>0.9985</v>
      </c>
      <c r="BM108" s="0" t="n">
        <v>0.9985</v>
      </c>
      <c r="BN108" s="0" t="n">
        <v>0.972</v>
      </c>
      <c r="BO108" s="0" t="n">
        <v>0.9999</v>
      </c>
      <c r="BP108" s="0" t="n">
        <v>0.9999</v>
      </c>
      <c r="BQ108" s="0" t="n">
        <v>1</v>
      </c>
      <c r="BR108" s="0" t="n">
        <v>1.0932176</v>
      </c>
      <c r="BS108" s="0" t="n">
        <v>1.1096</v>
      </c>
      <c r="BT108" s="0" t="n">
        <v>1.0827</v>
      </c>
      <c r="BU108" s="0" t="n">
        <v>1.0151</v>
      </c>
      <c r="BV108" s="0" t="n">
        <v>1</v>
      </c>
      <c r="BW108" s="0" t="n">
        <v>2.2146</v>
      </c>
      <c r="BX108" s="0" t="n">
        <v>2.280036333</v>
      </c>
      <c r="BY108" s="0" t="n">
        <v>1.09065</v>
      </c>
      <c r="BZ108" s="0" t="n">
        <v>1.2885</v>
      </c>
      <c r="CA108" s="0" t="n">
        <v>2.001</v>
      </c>
      <c r="CB108" s="0" t="n">
        <v>1.516005</v>
      </c>
      <c r="CC108" s="0" t="n">
        <v>1.516005</v>
      </c>
      <c r="CD108" s="0" t="n">
        <v>1.263105</v>
      </c>
      <c r="CE108" s="0" t="n">
        <v>1.075905</v>
      </c>
      <c r="CF108" s="0" t="n">
        <v>1.427005</v>
      </c>
      <c r="CG108" s="188"/>
      <c r="CH108" s="0" t="n">
        <v>1.09782</v>
      </c>
      <c r="CI108" s="188"/>
      <c r="CJ108" s="188"/>
      <c r="CK108" s="188"/>
      <c r="CL108" s="188"/>
      <c r="CM108" s="188"/>
      <c r="CN108" s="188"/>
      <c r="CO108" s="188"/>
      <c r="CP108" s="0" t="n">
        <v>0.975</v>
      </c>
      <c r="CQ108" s="0" t="n">
        <v>0.91</v>
      </c>
      <c r="CR108" s="0" t="n">
        <v>0.91</v>
      </c>
      <c r="CS108" s="0" t="n">
        <v>0.97</v>
      </c>
      <c r="CT108" s="0" t="n">
        <v>0.99895</v>
      </c>
      <c r="CU108" s="0" t="n">
        <v>0.43</v>
      </c>
      <c r="CV108" s="0" t="n">
        <v>0.52</v>
      </c>
      <c r="CW108" s="0" t="n">
        <v>0.925</v>
      </c>
      <c r="CX108" s="0" t="n">
        <v>0.755</v>
      </c>
      <c r="CY108" s="0" t="n">
        <v>0.725</v>
      </c>
      <c r="CZ108" s="0" t="n">
        <v>0.89</v>
      </c>
      <c r="DA108" s="0" t="n">
        <v>0.9225</v>
      </c>
      <c r="DB108" s="0" t="n">
        <v>0.915</v>
      </c>
      <c r="DC108" s="0" t="n">
        <v>0.9275</v>
      </c>
      <c r="DD108" s="0" t="n">
        <v>0.915</v>
      </c>
      <c r="DE108" s="0" t="n">
        <v>0.89</v>
      </c>
      <c r="DI108" s="0" t="n">
        <v>0.9775</v>
      </c>
      <c r="DN108" s="188" t="n">
        <v>0.000285</v>
      </c>
      <c r="DO108" s="188" t="n">
        <v>0.0002</v>
      </c>
      <c r="DP108" s="188" t="n">
        <v>0</v>
      </c>
      <c r="DQ108" s="188" t="n">
        <v>0.0001</v>
      </c>
      <c r="DR108" s="188" t="n">
        <v>0</v>
      </c>
      <c r="DS108" s="188" t="n">
        <v>0.0036</v>
      </c>
      <c r="DT108" s="188" t="n">
        <v>0.00047</v>
      </c>
      <c r="DU108" s="188" t="n">
        <v>0.0007</v>
      </c>
      <c r="DV108" s="188" t="n">
        <v>0</v>
      </c>
      <c r="DW108" s="188" t="n">
        <v>0</v>
      </c>
      <c r="DX108" s="188" t="n">
        <v>0.0005</v>
      </c>
      <c r="DY108" s="188" t="n">
        <v>0.0005</v>
      </c>
      <c r="DZ108" s="188" t="n">
        <v>0.0003</v>
      </c>
      <c r="EA108" s="188" t="n">
        <v>0.000275</v>
      </c>
      <c r="EB108" s="188" t="n">
        <v>0.0004</v>
      </c>
      <c r="ED108" s="188" t="n">
        <v>6.5E-005</v>
      </c>
      <c r="EF108" s="0" t="n">
        <v>1</v>
      </c>
    </row>
    <row r="109" customFormat="false" ht="12.75" hidden="false" customHeight="false" outlineLevel="0" collapsed="false">
      <c r="A109" s="149" t="n">
        <v>39692</v>
      </c>
      <c r="B109" s="0" t="n">
        <v>0.98</v>
      </c>
      <c r="C109" s="0" t="n">
        <v>0.988</v>
      </c>
      <c r="D109" s="0" t="n">
        <v>0.96</v>
      </c>
      <c r="E109" s="0" t="n">
        <f aca="false">E97</f>
        <v>0.978</v>
      </c>
      <c r="F109" s="0" t="n">
        <v>0.977</v>
      </c>
      <c r="G109" s="0" t="n">
        <v>0.9875</v>
      </c>
      <c r="H109" s="0" t="n">
        <v>0.9875</v>
      </c>
      <c r="I109" s="0" t="n">
        <v>0.9875</v>
      </c>
      <c r="J109" s="0" t="n">
        <v>0.9999</v>
      </c>
      <c r="K109" s="0" t="n">
        <v>0.985</v>
      </c>
      <c r="L109" s="176" t="n">
        <v>0.9875</v>
      </c>
      <c r="M109" s="176" t="n">
        <v>0.9875</v>
      </c>
      <c r="N109" s="0" t="n">
        <v>0.98</v>
      </c>
      <c r="O109" s="0" t="n">
        <v>0.9875</v>
      </c>
      <c r="P109" s="0" t="n">
        <v>0.98</v>
      </c>
      <c r="Q109" s="177" t="n">
        <v>0.9875</v>
      </c>
      <c r="R109" s="0" t="n">
        <v>0.9875</v>
      </c>
      <c r="S109" s="176" t="n">
        <v>0.9875</v>
      </c>
      <c r="T109" s="0" t="n">
        <v>0.98</v>
      </c>
      <c r="U109" s="0" t="n">
        <v>0.98</v>
      </c>
      <c r="V109" s="0" t="n">
        <v>0.98</v>
      </c>
      <c r="W109" s="0" t="n">
        <v>0.98</v>
      </c>
      <c r="X109" s="0" t="n">
        <v>0.9875</v>
      </c>
      <c r="Y109" s="0" t="n">
        <v>0.9875</v>
      </c>
      <c r="Z109" s="0" t="n">
        <v>0.9875</v>
      </c>
      <c r="AA109" s="0" t="n">
        <v>0.9875</v>
      </c>
      <c r="AB109" s="0" t="n">
        <v>0.98</v>
      </c>
      <c r="AC109" s="0" t="n">
        <v>0.98</v>
      </c>
      <c r="AD109" s="0" t="n">
        <v>0.9875</v>
      </c>
      <c r="AE109" s="0" t="n">
        <v>0.9875</v>
      </c>
      <c r="AF109" s="0" t="n">
        <v>0.98</v>
      </c>
      <c r="AG109" s="0" t="n">
        <v>0.99</v>
      </c>
      <c r="AH109" s="0" t="n">
        <v>0.97711765</v>
      </c>
      <c r="AI109" s="0" t="n">
        <v>0.97711765</v>
      </c>
      <c r="AJ109" s="0" t="n">
        <v>0.98</v>
      </c>
      <c r="AK109" s="0" t="n">
        <v>1</v>
      </c>
      <c r="AL109" s="0" t="n">
        <v>0.985</v>
      </c>
      <c r="AM109" s="0" t="n">
        <v>0.985</v>
      </c>
      <c r="AS109" s="0" t="n">
        <v>0.977</v>
      </c>
      <c r="AT109" s="177" t="n">
        <v>0.9775</v>
      </c>
      <c r="AU109" s="0" t="n">
        <v>0.97711765</v>
      </c>
      <c r="AV109" s="0" t="n">
        <v>0.985</v>
      </c>
      <c r="AW109" s="0" t="n">
        <v>0.985</v>
      </c>
      <c r="AX109" s="0" t="n">
        <v>0.985</v>
      </c>
      <c r="AY109" s="0" t="n">
        <v>0.97711765</v>
      </c>
      <c r="AZ109" s="0" t="n">
        <v>0.97711765</v>
      </c>
      <c r="BA109" s="0" t="n">
        <v>0.985</v>
      </c>
      <c r="BB109" s="187" t="n">
        <v>1</v>
      </c>
      <c r="BC109" s="0" t="n">
        <v>1</v>
      </c>
      <c r="BD109" s="0" t="n">
        <v>1</v>
      </c>
      <c r="BE109" s="0" t="n">
        <v>1</v>
      </c>
      <c r="BF109" s="0" t="n">
        <v>0.9999</v>
      </c>
      <c r="BG109" s="0" t="n">
        <v>1</v>
      </c>
      <c r="BH109" s="0" t="n">
        <v>1</v>
      </c>
      <c r="BI109" s="0" t="n">
        <v>0.99</v>
      </c>
      <c r="BJ109" s="0" t="n">
        <v>0.999</v>
      </c>
      <c r="BK109" s="0" t="n">
        <v>0.998</v>
      </c>
      <c r="BL109" s="0" t="n">
        <v>0.9985</v>
      </c>
      <c r="BM109" s="0" t="n">
        <v>0.9985</v>
      </c>
      <c r="BN109" s="0" t="n">
        <v>0.972</v>
      </c>
      <c r="BO109" s="0" t="n">
        <v>0.9999</v>
      </c>
      <c r="BP109" s="0" t="n">
        <v>0.9999</v>
      </c>
      <c r="BQ109" s="0" t="n">
        <v>1</v>
      </c>
      <c r="BR109" s="0" t="n">
        <v>1.0935026</v>
      </c>
      <c r="BS109" s="0" t="n">
        <v>1.1098</v>
      </c>
      <c r="BT109" s="0" t="n">
        <v>1.0827</v>
      </c>
      <c r="BU109" s="0" t="n">
        <v>1.0152</v>
      </c>
      <c r="BV109" s="0" t="n">
        <v>1</v>
      </c>
      <c r="BW109" s="0" t="n">
        <v>2.2182</v>
      </c>
      <c r="BX109" s="0" t="n">
        <v>2.280506333</v>
      </c>
      <c r="BY109" s="0" t="n">
        <v>1.09135</v>
      </c>
      <c r="BZ109" s="0" t="n">
        <v>1.2885</v>
      </c>
      <c r="CA109" s="0" t="n">
        <v>2.001</v>
      </c>
      <c r="CB109" s="0" t="n">
        <v>1.516505</v>
      </c>
      <c r="CC109" s="0" t="n">
        <v>1.516505</v>
      </c>
      <c r="CD109" s="0" t="n">
        <v>1.263405</v>
      </c>
      <c r="CE109" s="0" t="n">
        <v>1.07618</v>
      </c>
      <c r="CF109" s="0" t="n">
        <v>1.427405</v>
      </c>
      <c r="CG109" s="188"/>
      <c r="CH109" s="0" t="n">
        <v>1.097885</v>
      </c>
      <c r="CI109" s="188"/>
      <c r="CJ109" s="188"/>
      <c r="CK109" s="188"/>
      <c r="CL109" s="188"/>
      <c r="CM109" s="188"/>
      <c r="CN109" s="188"/>
      <c r="CO109" s="188"/>
      <c r="CP109" s="0" t="n">
        <v>0.975</v>
      </c>
      <c r="CQ109" s="0" t="n">
        <v>0.91</v>
      </c>
      <c r="CR109" s="0" t="n">
        <v>0.91</v>
      </c>
      <c r="CS109" s="0" t="n">
        <v>0.95</v>
      </c>
      <c r="CT109" s="0" t="n">
        <v>0.99895</v>
      </c>
      <c r="CU109" s="0" t="n">
        <v>0.46</v>
      </c>
      <c r="CV109" s="0" t="n">
        <v>0.55</v>
      </c>
      <c r="CW109" s="0" t="n">
        <v>0.925</v>
      </c>
      <c r="CX109" s="0" t="n">
        <v>0.615</v>
      </c>
      <c r="CY109" s="0" t="n">
        <v>0.575</v>
      </c>
      <c r="CZ109" s="0" t="n">
        <v>0.945</v>
      </c>
      <c r="DA109" s="0" t="n">
        <v>0.9775</v>
      </c>
      <c r="DB109" s="0" t="n">
        <v>0.945</v>
      </c>
      <c r="DC109" s="0" t="n">
        <v>0.92</v>
      </c>
      <c r="DD109" s="0" t="n">
        <v>0.915</v>
      </c>
      <c r="DE109" s="0" t="n">
        <v>0.89</v>
      </c>
      <c r="DI109" s="0" t="n">
        <v>0.9775</v>
      </c>
      <c r="DN109" s="188" t="n">
        <v>0.000285</v>
      </c>
      <c r="DO109" s="188" t="n">
        <v>0.0002</v>
      </c>
      <c r="DP109" s="188" t="n">
        <v>0</v>
      </c>
      <c r="DQ109" s="188" t="n">
        <v>0.0001</v>
      </c>
      <c r="DR109" s="188" t="n">
        <v>0</v>
      </c>
      <c r="DS109" s="188" t="n">
        <v>0.0036</v>
      </c>
      <c r="DT109" s="188" t="n">
        <v>0.00047</v>
      </c>
      <c r="DU109" s="188" t="n">
        <v>0.0007</v>
      </c>
      <c r="DV109" s="188" t="n">
        <v>0</v>
      </c>
      <c r="DW109" s="188" t="n">
        <v>0</v>
      </c>
      <c r="DX109" s="188" t="n">
        <v>0.0005</v>
      </c>
      <c r="DY109" s="188" t="n">
        <v>0.0005</v>
      </c>
      <c r="DZ109" s="188" t="n">
        <v>0.0003</v>
      </c>
      <c r="EA109" s="188" t="n">
        <v>0.000275</v>
      </c>
      <c r="EB109" s="188" t="n">
        <v>0.0004</v>
      </c>
      <c r="ED109" s="188" t="n">
        <v>6.5E-005</v>
      </c>
      <c r="EF109" s="0" t="n">
        <v>1</v>
      </c>
    </row>
    <row r="110" customFormat="false" ht="12.75" hidden="false" customHeight="false" outlineLevel="0" collapsed="false">
      <c r="A110" s="149" t="n">
        <v>39722</v>
      </c>
      <c r="B110" s="0" t="n">
        <v>0.98</v>
      </c>
      <c r="C110" s="0" t="n">
        <v>0.988</v>
      </c>
      <c r="D110" s="0" t="n">
        <v>0.96</v>
      </c>
      <c r="E110" s="0" t="n">
        <f aca="false">E98</f>
        <v>0.994</v>
      </c>
      <c r="F110" s="0" t="n">
        <v>0.977</v>
      </c>
      <c r="G110" s="0" t="n">
        <v>0.9875</v>
      </c>
      <c r="H110" s="0" t="n">
        <v>0.9875</v>
      </c>
      <c r="I110" s="0" t="n">
        <v>0.9875</v>
      </c>
      <c r="J110" s="0" t="n">
        <v>0.9999</v>
      </c>
      <c r="K110" s="0" t="n">
        <v>0.985</v>
      </c>
      <c r="L110" s="176" t="n">
        <v>0.9875</v>
      </c>
      <c r="M110" s="176" t="n">
        <v>0.9875</v>
      </c>
      <c r="N110" s="0" t="n">
        <v>0.98</v>
      </c>
      <c r="O110" s="0" t="n">
        <v>0.971500638</v>
      </c>
      <c r="P110" s="0" t="n">
        <v>0.98</v>
      </c>
      <c r="Q110" s="177" t="n">
        <v>0.9875</v>
      </c>
      <c r="R110" s="0" t="n">
        <v>0.9875</v>
      </c>
      <c r="S110" s="176" t="n">
        <v>0.9875</v>
      </c>
      <c r="T110" s="0" t="n">
        <v>0.98</v>
      </c>
      <c r="U110" s="0" t="n">
        <v>0.98</v>
      </c>
      <c r="V110" s="0" t="n">
        <v>0.98</v>
      </c>
      <c r="W110" s="0" t="n">
        <v>0.98</v>
      </c>
      <c r="X110" s="0" t="n">
        <v>0.971500638</v>
      </c>
      <c r="Y110" s="0" t="n">
        <v>0.971500638</v>
      </c>
      <c r="Z110" s="0" t="n">
        <v>0.971500638</v>
      </c>
      <c r="AA110" s="0" t="n">
        <v>0.971500638</v>
      </c>
      <c r="AB110" s="0" t="n">
        <v>0.98</v>
      </c>
      <c r="AC110" s="0" t="n">
        <v>0.98</v>
      </c>
      <c r="AD110" s="0" t="n">
        <v>0.971500638</v>
      </c>
      <c r="AE110" s="0" t="n">
        <v>0.971500638</v>
      </c>
      <c r="AF110" s="0" t="n">
        <v>0.98</v>
      </c>
      <c r="AG110" s="0" t="n">
        <v>0.99</v>
      </c>
      <c r="AH110" s="0" t="n">
        <v>0.9771755</v>
      </c>
      <c r="AI110" s="0" t="n">
        <v>0.9771755</v>
      </c>
      <c r="AJ110" s="0" t="n">
        <v>0.98</v>
      </c>
      <c r="AK110" s="0" t="n">
        <v>1</v>
      </c>
      <c r="AL110" s="0" t="n">
        <v>0.985</v>
      </c>
      <c r="AM110" s="0" t="n">
        <v>0.985</v>
      </c>
      <c r="AS110" s="0" t="n">
        <v>0.977</v>
      </c>
      <c r="AT110" s="177" t="n">
        <v>0.9775</v>
      </c>
      <c r="AU110" s="0" t="n">
        <v>0.9771755</v>
      </c>
      <c r="AV110" s="0" t="n">
        <v>0.985</v>
      </c>
      <c r="AW110" s="0" t="n">
        <v>0.985</v>
      </c>
      <c r="AX110" s="0" t="n">
        <v>0.985</v>
      </c>
      <c r="AY110" s="0" t="n">
        <v>0.9771755</v>
      </c>
      <c r="AZ110" s="0" t="n">
        <v>0.9771755</v>
      </c>
      <c r="BA110" s="0" t="n">
        <v>0.985</v>
      </c>
      <c r="BB110" s="187" t="n">
        <v>1</v>
      </c>
      <c r="BC110" s="0" t="n">
        <v>1</v>
      </c>
      <c r="BD110" s="0" t="n">
        <v>1</v>
      </c>
      <c r="BE110" s="0" t="n">
        <v>1</v>
      </c>
      <c r="BF110" s="0" t="n">
        <v>0.9999</v>
      </c>
      <c r="BG110" s="0" t="n">
        <v>1</v>
      </c>
      <c r="BH110" s="0" t="n">
        <v>1</v>
      </c>
      <c r="BI110" s="0" t="n">
        <v>0.99</v>
      </c>
      <c r="BJ110" s="0" t="n">
        <v>0.999</v>
      </c>
      <c r="BK110" s="0" t="n">
        <v>0.998</v>
      </c>
      <c r="BL110" s="0" t="n">
        <v>0.9985</v>
      </c>
      <c r="BM110" s="0" t="n">
        <v>0.9985</v>
      </c>
      <c r="BN110" s="0" t="n">
        <v>0.972</v>
      </c>
      <c r="BO110" s="0" t="n">
        <v>0.9999</v>
      </c>
      <c r="BP110" s="0" t="n">
        <v>0.9999</v>
      </c>
      <c r="BQ110" s="0" t="n">
        <v>1</v>
      </c>
      <c r="BR110" s="0" t="n">
        <v>1.0937876</v>
      </c>
      <c r="BS110" s="0" t="n">
        <v>1.11</v>
      </c>
      <c r="BT110" s="0" t="n">
        <v>1.0827</v>
      </c>
      <c r="BU110" s="0" t="n">
        <v>1.0153</v>
      </c>
      <c r="BV110" s="0" t="n">
        <v>1</v>
      </c>
      <c r="BW110" s="0" t="n">
        <v>2.2218</v>
      </c>
      <c r="BX110" s="0" t="n">
        <v>2.280976333</v>
      </c>
      <c r="BY110" s="0" t="n">
        <v>1.09205</v>
      </c>
      <c r="BZ110" s="0" t="n">
        <v>1.2885</v>
      </c>
      <c r="CA110" s="0" t="n">
        <v>2.001</v>
      </c>
      <c r="CB110" s="0" t="n">
        <v>1.517005</v>
      </c>
      <c r="CC110" s="0" t="n">
        <v>1.517005</v>
      </c>
      <c r="CD110" s="0" t="n">
        <v>1.263705</v>
      </c>
      <c r="CE110" s="0" t="n">
        <v>1.076455</v>
      </c>
      <c r="CF110" s="0" t="n">
        <v>1.427805</v>
      </c>
      <c r="CG110" s="188"/>
      <c r="CH110" s="0" t="n">
        <v>1.09795</v>
      </c>
      <c r="CI110" s="188"/>
      <c r="CJ110" s="188"/>
      <c r="CK110" s="188"/>
      <c r="CL110" s="188"/>
      <c r="CM110" s="188"/>
      <c r="CN110" s="188"/>
      <c r="CO110" s="188"/>
      <c r="CP110" s="0" t="n">
        <v>0.955</v>
      </c>
      <c r="CQ110" s="0" t="n">
        <v>0.9</v>
      </c>
      <c r="CR110" s="0" t="n">
        <v>0.91</v>
      </c>
      <c r="CS110" s="0" t="n">
        <v>0.94</v>
      </c>
      <c r="CT110" s="0" t="n">
        <v>0.99895</v>
      </c>
      <c r="CU110" s="0" t="n">
        <v>0.46</v>
      </c>
      <c r="CV110" s="0" t="n">
        <v>0.45</v>
      </c>
      <c r="CW110" s="0" t="n">
        <v>0.925</v>
      </c>
      <c r="CX110" s="0" t="n">
        <v>0.605</v>
      </c>
      <c r="CY110" s="0" t="n">
        <v>0.505</v>
      </c>
      <c r="CZ110" s="0" t="n">
        <v>0.805</v>
      </c>
      <c r="DA110" s="0" t="n">
        <v>0.8375</v>
      </c>
      <c r="DB110" s="0" t="n">
        <v>0.875</v>
      </c>
      <c r="DC110" s="0" t="n">
        <v>0.9025</v>
      </c>
      <c r="DD110" s="0" t="n">
        <v>0.82</v>
      </c>
      <c r="DE110" s="0" t="n">
        <v>0.89</v>
      </c>
      <c r="DI110" s="0" t="n">
        <v>0.9775</v>
      </c>
      <c r="DN110" s="188" t="n">
        <v>0.000285</v>
      </c>
      <c r="DO110" s="188" t="n">
        <v>0.0002</v>
      </c>
      <c r="DP110" s="188" t="n">
        <v>0</v>
      </c>
      <c r="DQ110" s="188" t="n">
        <v>0.0001</v>
      </c>
      <c r="DR110" s="188" t="n">
        <v>0</v>
      </c>
      <c r="DS110" s="188" t="n">
        <v>0.0036</v>
      </c>
      <c r="DT110" s="188" t="n">
        <v>0.00047</v>
      </c>
      <c r="DU110" s="188" t="n">
        <v>0.0007</v>
      </c>
      <c r="DV110" s="188" t="n">
        <v>0</v>
      </c>
      <c r="DW110" s="188" t="n">
        <v>0</v>
      </c>
      <c r="DX110" s="188" t="n">
        <v>0.0005</v>
      </c>
      <c r="DY110" s="188" t="n">
        <v>0.0005</v>
      </c>
      <c r="DZ110" s="188" t="n">
        <v>0.0003</v>
      </c>
      <c r="EA110" s="188" t="n">
        <v>0.000275</v>
      </c>
      <c r="EB110" s="188" t="n">
        <v>0.0004</v>
      </c>
      <c r="ED110" s="188" t="n">
        <v>6.5E-005</v>
      </c>
      <c r="EF110" s="0" t="n">
        <v>1</v>
      </c>
    </row>
    <row r="111" customFormat="false" ht="12.75" hidden="false" customHeight="false" outlineLevel="0" collapsed="false">
      <c r="A111" s="149" t="n">
        <v>39753</v>
      </c>
      <c r="B111" s="0" t="n">
        <v>0.98</v>
      </c>
      <c r="C111" s="0" t="n">
        <v>0.988</v>
      </c>
      <c r="D111" s="0" t="n">
        <v>0.96</v>
      </c>
      <c r="E111" s="0" t="n">
        <f aca="false">E99</f>
        <v>0.994</v>
      </c>
      <c r="F111" s="0" t="n">
        <v>0.977</v>
      </c>
      <c r="G111" s="0" t="n">
        <v>0.9875</v>
      </c>
      <c r="H111" s="0" t="n">
        <v>0.9875</v>
      </c>
      <c r="I111" s="0" t="n">
        <v>0.9875</v>
      </c>
      <c r="J111" s="0" t="n">
        <v>0.9805</v>
      </c>
      <c r="K111" s="0" t="n">
        <v>0.970485</v>
      </c>
      <c r="L111" s="176" t="n">
        <v>0.9875</v>
      </c>
      <c r="M111" s="176" t="n">
        <v>0.9875</v>
      </c>
      <c r="N111" s="0" t="n">
        <v>0.98</v>
      </c>
      <c r="O111" s="0" t="n">
        <v>0.971748825</v>
      </c>
      <c r="P111" s="0" t="n">
        <v>0.98</v>
      </c>
      <c r="Q111" s="177" t="n">
        <v>0.9875</v>
      </c>
      <c r="R111" s="0" t="n">
        <v>0.9875</v>
      </c>
      <c r="S111" s="176" t="n">
        <v>0.9875</v>
      </c>
      <c r="T111" s="0" t="n">
        <v>0.98</v>
      </c>
      <c r="U111" s="0" t="n">
        <v>0.98</v>
      </c>
      <c r="V111" s="0" t="n">
        <v>0.98</v>
      </c>
      <c r="W111" s="0" t="n">
        <v>0.98</v>
      </c>
      <c r="X111" s="0" t="n">
        <v>0.971748825</v>
      </c>
      <c r="Y111" s="0" t="n">
        <v>0.971748825</v>
      </c>
      <c r="Z111" s="0" t="n">
        <v>0.971748825</v>
      </c>
      <c r="AA111" s="0" t="n">
        <v>0.971748825</v>
      </c>
      <c r="AB111" s="0" t="n">
        <v>0.98</v>
      </c>
      <c r="AC111" s="0" t="n">
        <v>0.98</v>
      </c>
      <c r="AD111" s="0" t="n">
        <v>0.971748825</v>
      </c>
      <c r="AE111" s="0" t="n">
        <v>0.971748825</v>
      </c>
      <c r="AF111" s="0" t="n">
        <v>0.98</v>
      </c>
      <c r="AG111" s="0" t="n">
        <v>0.99</v>
      </c>
      <c r="AH111" s="0" t="n">
        <v>0.97723335</v>
      </c>
      <c r="AI111" s="0" t="n">
        <v>0.97723335</v>
      </c>
      <c r="AJ111" s="0" t="n">
        <v>0.98</v>
      </c>
      <c r="AK111" s="0" t="n">
        <v>1</v>
      </c>
      <c r="AL111" s="0" t="n">
        <v>0.970485</v>
      </c>
      <c r="AM111" s="0" t="n">
        <v>0.97443</v>
      </c>
      <c r="AS111" s="0" t="n">
        <v>0.977</v>
      </c>
      <c r="AT111" s="177" t="n">
        <v>0.9775</v>
      </c>
      <c r="AU111" s="0" t="n">
        <v>0.97723335</v>
      </c>
      <c r="AV111" s="0" t="n">
        <v>0.97443</v>
      </c>
      <c r="AW111" s="0" t="n">
        <v>0.97443</v>
      </c>
      <c r="AX111" s="0" t="n">
        <v>0.97443</v>
      </c>
      <c r="AY111" s="0" t="n">
        <v>0.97723335</v>
      </c>
      <c r="AZ111" s="0" t="n">
        <v>0.97723335</v>
      </c>
      <c r="BA111" s="0" t="n">
        <v>0.97443</v>
      </c>
      <c r="BB111" s="187" t="n">
        <v>1</v>
      </c>
      <c r="BC111" s="0" t="n">
        <v>1</v>
      </c>
      <c r="BD111" s="0" t="n">
        <v>1</v>
      </c>
      <c r="BE111" s="0" t="n">
        <v>1</v>
      </c>
      <c r="BF111" s="0" t="n">
        <v>0.9999</v>
      </c>
      <c r="BG111" s="0" t="n">
        <v>1</v>
      </c>
      <c r="BH111" s="0" t="n">
        <v>1</v>
      </c>
      <c r="BI111" s="0" t="n">
        <v>0.99</v>
      </c>
      <c r="BJ111" s="0" t="n">
        <v>0.999</v>
      </c>
      <c r="BK111" s="0" t="n">
        <v>0.998</v>
      </c>
      <c r="BL111" s="0" t="n">
        <v>0.9985</v>
      </c>
      <c r="BM111" s="0" t="n">
        <v>0.9985</v>
      </c>
      <c r="BN111" s="0" t="n">
        <v>0.972</v>
      </c>
      <c r="BO111" s="0" t="n">
        <v>0.9999</v>
      </c>
      <c r="BP111" s="0" t="n">
        <v>0.9999</v>
      </c>
      <c r="BQ111" s="0" t="n">
        <v>1</v>
      </c>
      <c r="BR111" s="0" t="n">
        <v>1.0940726</v>
      </c>
      <c r="BS111" s="0" t="n">
        <v>1.1102</v>
      </c>
      <c r="BT111" s="0" t="n">
        <v>1.0827</v>
      </c>
      <c r="BU111" s="0" t="n">
        <v>1.0154</v>
      </c>
      <c r="BV111" s="0" t="n">
        <v>1</v>
      </c>
      <c r="BW111" s="0" t="n">
        <v>2.2254</v>
      </c>
      <c r="BX111" s="0" t="n">
        <v>2.281446333</v>
      </c>
      <c r="BY111" s="0" t="n">
        <v>1.09275</v>
      </c>
      <c r="BZ111" s="0" t="n">
        <v>1.2885</v>
      </c>
      <c r="CA111" s="0" t="n">
        <v>2.001</v>
      </c>
      <c r="CB111" s="0" t="n">
        <v>1.517505</v>
      </c>
      <c r="CC111" s="0" t="n">
        <v>1.517505</v>
      </c>
      <c r="CD111" s="0" t="n">
        <v>1.264005</v>
      </c>
      <c r="CE111" s="0" t="n">
        <v>1.07673</v>
      </c>
      <c r="CF111" s="0" t="n">
        <v>1.428205</v>
      </c>
      <c r="CG111" s="188"/>
      <c r="CH111" s="0" t="n">
        <v>1.098015</v>
      </c>
      <c r="CI111" s="188"/>
      <c r="CJ111" s="188"/>
      <c r="CK111" s="188"/>
      <c r="CL111" s="188"/>
      <c r="CM111" s="188"/>
      <c r="CN111" s="188"/>
      <c r="CO111" s="188"/>
      <c r="CP111" s="0" t="n">
        <v>0.955</v>
      </c>
      <c r="CQ111" s="0" t="n">
        <v>0.9</v>
      </c>
      <c r="CR111" s="0" t="n">
        <v>0.9</v>
      </c>
      <c r="CS111" s="0" t="n">
        <v>0.94</v>
      </c>
      <c r="CT111" s="0" t="n">
        <v>0.999</v>
      </c>
      <c r="CU111" s="0" t="n">
        <v>0.48</v>
      </c>
      <c r="CV111" s="0" t="n">
        <v>0.46</v>
      </c>
      <c r="CW111" s="0" t="n">
        <v>0.905</v>
      </c>
      <c r="CX111" s="0" t="n">
        <v>0.565</v>
      </c>
      <c r="CY111" s="0" t="n">
        <v>0.485</v>
      </c>
      <c r="CZ111" s="0" t="n">
        <v>0.795</v>
      </c>
      <c r="DA111" s="0" t="n">
        <v>0.8275</v>
      </c>
      <c r="DB111" s="0" t="n">
        <v>0.85</v>
      </c>
      <c r="DC111" s="0" t="n">
        <v>0.9025</v>
      </c>
      <c r="DD111" s="0" t="n">
        <v>0.82</v>
      </c>
      <c r="DE111" s="0" t="n">
        <v>0.89</v>
      </c>
      <c r="DI111" s="0" t="n">
        <v>0.9775</v>
      </c>
      <c r="DN111" s="188" t="n">
        <v>0.000285</v>
      </c>
      <c r="DO111" s="188" t="n">
        <v>0.0002</v>
      </c>
      <c r="DP111" s="188" t="n">
        <v>0</v>
      </c>
      <c r="DQ111" s="188" t="n">
        <v>0.0001</v>
      </c>
      <c r="DR111" s="188" t="n">
        <v>0</v>
      </c>
      <c r="DS111" s="188" t="n">
        <v>0.0036</v>
      </c>
      <c r="DT111" s="188" t="n">
        <v>0.00047</v>
      </c>
      <c r="DU111" s="188" t="n">
        <v>0.0007</v>
      </c>
      <c r="DV111" s="188" t="n">
        <v>0</v>
      </c>
      <c r="DW111" s="188" t="n">
        <v>0</v>
      </c>
      <c r="DX111" s="188" t="n">
        <v>0.0005</v>
      </c>
      <c r="DY111" s="188" t="n">
        <v>0.0005</v>
      </c>
      <c r="DZ111" s="188" t="n">
        <v>0.0003</v>
      </c>
      <c r="EA111" s="188" t="n">
        <v>0.000275</v>
      </c>
      <c r="EB111" s="188" t="n">
        <v>0.0004</v>
      </c>
      <c r="ED111" s="188" t="n">
        <v>6.5E-005</v>
      </c>
      <c r="EF111" s="0" t="n">
        <v>1</v>
      </c>
    </row>
    <row r="112" customFormat="false" ht="12.75" hidden="false" customHeight="false" outlineLevel="0" collapsed="false">
      <c r="A112" s="149" t="n">
        <v>39783</v>
      </c>
      <c r="B112" s="0" t="n">
        <v>0.98</v>
      </c>
      <c r="C112" s="0" t="n">
        <v>0.988</v>
      </c>
      <c r="D112" s="0" t="n">
        <v>0.96</v>
      </c>
      <c r="E112" s="0" t="n">
        <f aca="false">E100</f>
        <v>0.994</v>
      </c>
      <c r="F112" s="0" t="n">
        <v>0.977</v>
      </c>
      <c r="G112" s="0" t="n">
        <v>0.9875</v>
      </c>
      <c r="H112" s="0" t="n">
        <v>0.9875</v>
      </c>
      <c r="I112" s="0" t="n">
        <v>0.95676875</v>
      </c>
      <c r="J112" s="0" t="n">
        <v>0.9805</v>
      </c>
      <c r="K112" s="0" t="n">
        <v>0.970485</v>
      </c>
      <c r="L112" s="176" t="n">
        <v>0.89562295</v>
      </c>
      <c r="M112" s="176" t="n">
        <v>0.944958112</v>
      </c>
      <c r="N112" s="0" t="n">
        <v>0.87237045</v>
      </c>
      <c r="O112" s="0" t="n">
        <v>0.961226963</v>
      </c>
      <c r="P112" s="0" t="n">
        <v>0.87237045</v>
      </c>
      <c r="Q112" s="177" t="n">
        <v>0.89562295</v>
      </c>
      <c r="R112" s="0" t="n">
        <v>0.89562295</v>
      </c>
      <c r="S112" s="176" t="n">
        <v>0.89562295</v>
      </c>
      <c r="T112" s="0" t="n">
        <v>0.87237045</v>
      </c>
      <c r="U112" s="0" t="n">
        <v>0.87237045</v>
      </c>
      <c r="V112" s="0" t="n">
        <v>0.87237045</v>
      </c>
      <c r="W112" s="0" t="n">
        <v>0.87237045</v>
      </c>
      <c r="X112" s="0" t="n">
        <v>0.961226963</v>
      </c>
      <c r="Y112" s="0" t="n">
        <v>0.961226963</v>
      </c>
      <c r="Z112" s="0" t="n">
        <v>0.961226963</v>
      </c>
      <c r="AA112" s="0" t="n">
        <v>0.961226963</v>
      </c>
      <c r="AB112" s="0" t="n">
        <v>0.87237045</v>
      </c>
      <c r="AC112" s="0" t="n">
        <v>0.87237045</v>
      </c>
      <c r="AD112" s="0" t="n">
        <v>0.961226963</v>
      </c>
      <c r="AE112" s="0" t="n">
        <v>0.961226963</v>
      </c>
      <c r="AF112" s="0" t="n">
        <v>0.87237045</v>
      </c>
      <c r="AG112" s="0" t="n">
        <v>0.98</v>
      </c>
      <c r="AH112" s="0" t="n">
        <v>0.9772912</v>
      </c>
      <c r="AI112" s="0" t="n">
        <v>0.9772912</v>
      </c>
      <c r="AJ112" s="0" t="n">
        <v>0.87237045</v>
      </c>
      <c r="AK112" s="0" t="n">
        <v>1</v>
      </c>
      <c r="AL112" s="0" t="n">
        <v>0.970485</v>
      </c>
      <c r="AM112" s="0" t="n">
        <v>0.952776</v>
      </c>
      <c r="AS112" s="0" t="n">
        <v>0.977</v>
      </c>
      <c r="AT112" s="177" t="n">
        <v>0.9775</v>
      </c>
      <c r="AU112" s="0" t="n">
        <v>0.9772912</v>
      </c>
      <c r="AV112" s="0" t="n">
        <v>0.952776</v>
      </c>
      <c r="AW112" s="0" t="n">
        <v>0.952776</v>
      </c>
      <c r="AX112" s="0" t="n">
        <v>0.952776</v>
      </c>
      <c r="AY112" s="0" t="n">
        <v>0.9772912</v>
      </c>
      <c r="AZ112" s="0" t="n">
        <v>0.9772912</v>
      </c>
      <c r="BA112" s="0" t="n">
        <v>0.952776</v>
      </c>
      <c r="BB112" s="187" t="n">
        <v>1</v>
      </c>
      <c r="BC112" s="0" t="n">
        <v>1</v>
      </c>
      <c r="BD112" s="0" t="n">
        <v>1</v>
      </c>
      <c r="BE112" s="0" t="n">
        <v>1</v>
      </c>
      <c r="BF112" s="0" t="n">
        <v>0.9999</v>
      </c>
      <c r="BG112" s="0" t="n">
        <v>1</v>
      </c>
      <c r="BH112" s="0" t="n">
        <v>1</v>
      </c>
      <c r="BI112" s="0" t="n">
        <v>0.99</v>
      </c>
      <c r="BJ112" s="0" t="n">
        <v>0.999</v>
      </c>
      <c r="BK112" s="0" t="n">
        <v>0.998</v>
      </c>
      <c r="BL112" s="0" t="n">
        <v>0.9985</v>
      </c>
      <c r="BM112" s="0" t="n">
        <v>0.9985</v>
      </c>
      <c r="BN112" s="0" t="n">
        <v>0.972</v>
      </c>
      <c r="BO112" s="0" t="n">
        <v>0.9999</v>
      </c>
      <c r="BP112" s="0" t="n">
        <v>0.9999</v>
      </c>
      <c r="BQ112" s="0" t="n">
        <v>1</v>
      </c>
      <c r="BR112" s="0" t="n">
        <v>1.0943576</v>
      </c>
      <c r="BS112" s="0" t="n">
        <v>1.1104</v>
      </c>
      <c r="BT112" s="0" t="n">
        <v>1.0827</v>
      </c>
      <c r="BU112" s="0" t="n">
        <v>1.0155</v>
      </c>
      <c r="BV112" s="0" t="n">
        <v>1</v>
      </c>
      <c r="BW112" s="0" t="n">
        <v>2.229</v>
      </c>
      <c r="BX112" s="0" t="n">
        <v>2.281916333</v>
      </c>
      <c r="BY112" s="0" t="n">
        <v>1.09345</v>
      </c>
      <c r="BZ112" s="0" t="n">
        <v>1.2885</v>
      </c>
      <c r="CA112" s="0" t="n">
        <v>2.001</v>
      </c>
      <c r="CB112" s="0" t="n">
        <v>1.518005</v>
      </c>
      <c r="CC112" s="0" t="n">
        <v>1.518005</v>
      </c>
      <c r="CD112" s="0" t="n">
        <v>1.264305</v>
      </c>
      <c r="CE112" s="0" t="n">
        <v>1.077005</v>
      </c>
      <c r="CF112" s="0" t="n">
        <v>1.428605</v>
      </c>
      <c r="CG112" s="188"/>
      <c r="CH112" s="0" t="n">
        <v>1.09808</v>
      </c>
      <c r="CI112" s="188"/>
      <c r="CJ112" s="188"/>
      <c r="CK112" s="188"/>
      <c r="CL112" s="188"/>
      <c r="CM112" s="188"/>
      <c r="CN112" s="188"/>
      <c r="CO112" s="188"/>
      <c r="CP112" s="0" t="n">
        <v>0.935</v>
      </c>
      <c r="CQ112" s="0" t="n">
        <v>0.89</v>
      </c>
      <c r="CR112" s="0" t="n">
        <v>0.88</v>
      </c>
      <c r="CS112" s="0" t="n">
        <v>0.92</v>
      </c>
      <c r="CT112" s="0" t="n">
        <v>0.999</v>
      </c>
      <c r="CU112" s="0" t="n">
        <v>0.51</v>
      </c>
      <c r="CV112" s="0" t="n">
        <v>0.48</v>
      </c>
      <c r="CW112" s="0" t="n">
        <v>0.875</v>
      </c>
      <c r="CX112" s="0" t="n">
        <v>0.57</v>
      </c>
      <c r="CY112" s="0" t="n">
        <v>0.485</v>
      </c>
      <c r="CZ112" s="0" t="n">
        <v>0.59</v>
      </c>
      <c r="DA112" s="0" t="n">
        <v>0.6225</v>
      </c>
      <c r="DB112" s="0" t="n">
        <v>0.69</v>
      </c>
      <c r="DC112" s="0" t="n">
        <v>0.8925</v>
      </c>
      <c r="DD112" s="0" t="n">
        <v>0.715</v>
      </c>
      <c r="DE112" s="0" t="n">
        <v>0.89</v>
      </c>
      <c r="DI112" s="0" t="n">
        <v>0.9775</v>
      </c>
      <c r="DN112" s="188" t="n">
        <v>0.000285</v>
      </c>
      <c r="DO112" s="188" t="n">
        <v>0.0002</v>
      </c>
      <c r="DP112" s="188" t="n">
        <v>0</v>
      </c>
      <c r="DQ112" s="188" t="n">
        <v>0.0001</v>
      </c>
      <c r="DR112" s="188" t="n">
        <v>0</v>
      </c>
      <c r="DS112" s="188" t="n">
        <v>0.0036</v>
      </c>
      <c r="DT112" s="188" t="n">
        <v>0.00047</v>
      </c>
      <c r="DU112" s="188" t="n">
        <v>0.0007</v>
      </c>
      <c r="DV112" s="188" t="n">
        <v>0</v>
      </c>
      <c r="DW112" s="188" t="n">
        <v>0</v>
      </c>
      <c r="DX112" s="188" t="n">
        <v>0.0005</v>
      </c>
      <c r="DY112" s="188" t="n">
        <v>0.0005</v>
      </c>
      <c r="DZ112" s="188" t="n">
        <v>0.0003</v>
      </c>
      <c r="EA112" s="188" t="n">
        <v>0.000275</v>
      </c>
      <c r="EB112" s="188" t="n">
        <v>0.0004</v>
      </c>
      <c r="ED112" s="188" t="n">
        <v>6.5E-005</v>
      </c>
      <c r="EF112" s="0" t="n">
        <v>1</v>
      </c>
    </row>
    <row r="113" customFormat="false" ht="12.75" hidden="false" customHeight="false" outlineLevel="0" collapsed="false">
      <c r="A113" s="149" t="n">
        <v>39814</v>
      </c>
      <c r="B113" s="0" t="n">
        <v>0.98</v>
      </c>
      <c r="C113" s="0" t="n">
        <v>0.955116</v>
      </c>
      <c r="D113" s="0" t="n">
        <v>0.96</v>
      </c>
      <c r="E113" s="0" t="n">
        <f aca="false">E101</f>
        <v>0.994</v>
      </c>
      <c r="F113" s="0" t="n">
        <v>0.977</v>
      </c>
      <c r="G113" s="0" t="n">
        <v>0.9875</v>
      </c>
      <c r="H113" s="0" t="n">
        <v>0.9875</v>
      </c>
      <c r="I113" s="0" t="n">
        <v>0.88079075</v>
      </c>
      <c r="J113" s="0" t="n">
        <v>0.9805</v>
      </c>
      <c r="K113" s="0" t="n">
        <v>0.985</v>
      </c>
      <c r="L113" s="176" t="n">
        <v>0.918695525</v>
      </c>
      <c r="M113" s="176" t="n">
        <v>0.968046937</v>
      </c>
      <c r="N113" s="0" t="n">
        <v>0.87257745</v>
      </c>
      <c r="O113" s="0" t="n">
        <v>0.9480064</v>
      </c>
      <c r="P113" s="0" t="n">
        <v>0.87257745</v>
      </c>
      <c r="Q113" s="177" t="n">
        <v>0.918695525</v>
      </c>
      <c r="R113" s="0" t="n">
        <v>0.918695525</v>
      </c>
      <c r="S113" s="176" t="n">
        <v>0.918695525</v>
      </c>
      <c r="T113" s="0" t="n">
        <v>0.87257745</v>
      </c>
      <c r="U113" s="0" t="n">
        <v>0.87257745</v>
      </c>
      <c r="V113" s="0" t="n">
        <v>0.87257745</v>
      </c>
      <c r="W113" s="0" t="n">
        <v>0.87257745</v>
      </c>
      <c r="X113" s="0" t="n">
        <v>0.9480064</v>
      </c>
      <c r="Y113" s="0" t="n">
        <v>0.9480064</v>
      </c>
      <c r="Z113" s="0" t="n">
        <v>0.9480064</v>
      </c>
      <c r="AA113" s="0" t="n">
        <v>0.9480064</v>
      </c>
      <c r="AB113" s="0" t="n">
        <v>0.87257745</v>
      </c>
      <c r="AC113" s="0" t="n">
        <v>0.87257745</v>
      </c>
      <c r="AD113" s="0" t="n">
        <v>0.9480064</v>
      </c>
      <c r="AE113" s="0" t="n">
        <v>0.9480064</v>
      </c>
      <c r="AF113" s="0" t="n">
        <v>0.87257745</v>
      </c>
      <c r="AG113" s="0" t="n">
        <v>0.98</v>
      </c>
      <c r="AH113" s="0" t="n">
        <v>0.97734905</v>
      </c>
      <c r="AI113" s="0" t="n">
        <v>0.97734905</v>
      </c>
      <c r="AJ113" s="0" t="n">
        <v>0.87257745</v>
      </c>
      <c r="AK113" s="0" t="n">
        <v>1</v>
      </c>
      <c r="AL113" s="0" t="n">
        <v>0.985</v>
      </c>
      <c r="AM113" s="0" t="n">
        <v>0.941949</v>
      </c>
      <c r="AS113" s="0" t="n">
        <v>0.977</v>
      </c>
      <c r="AT113" s="177" t="n">
        <v>0.9775</v>
      </c>
      <c r="AU113" s="0" t="n">
        <v>0.97734905</v>
      </c>
      <c r="AV113" s="0" t="n">
        <v>0.941949</v>
      </c>
      <c r="AW113" s="0" t="n">
        <v>0.941949</v>
      </c>
      <c r="AX113" s="0" t="n">
        <v>0.941949</v>
      </c>
      <c r="AY113" s="0" t="n">
        <v>0.97734905</v>
      </c>
      <c r="AZ113" s="0" t="n">
        <v>0.97734905</v>
      </c>
      <c r="BA113" s="0" t="n">
        <v>0.941949</v>
      </c>
      <c r="BB113" s="187" t="n">
        <v>1</v>
      </c>
      <c r="BC113" s="0" t="n">
        <v>1</v>
      </c>
      <c r="BD113" s="0" t="n">
        <v>1</v>
      </c>
      <c r="BE113" s="0" t="n">
        <v>1</v>
      </c>
      <c r="BF113" s="0" t="n">
        <v>0.9999</v>
      </c>
      <c r="BG113" s="0" t="n">
        <v>1</v>
      </c>
      <c r="BH113" s="0" t="n">
        <v>1</v>
      </c>
      <c r="BI113" s="0" t="n">
        <v>0.99</v>
      </c>
      <c r="BJ113" s="0" t="n">
        <v>0.999</v>
      </c>
      <c r="BK113" s="0" t="n">
        <v>0.998</v>
      </c>
      <c r="BL113" s="0" t="n">
        <v>0.9985</v>
      </c>
      <c r="BM113" s="0" t="n">
        <v>0.9985</v>
      </c>
      <c r="BN113" s="0" t="n">
        <v>0.972</v>
      </c>
      <c r="BO113" s="0" t="n">
        <v>0.9999</v>
      </c>
      <c r="BP113" s="0" t="n">
        <v>0.9999</v>
      </c>
      <c r="BQ113" s="0" t="n">
        <v>1</v>
      </c>
      <c r="BR113" s="0" t="n">
        <v>1.0946426</v>
      </c>
      <c r="BS113" s="0" t="n">
        <v>1.1106</v>
      </c>
      <c r="BT113" s="0" t="n">
        <v>1.0827</v>
      </c>
      <c r="BU113" s="0" t="n">
        <v>1.0156</v>
      </c>
      <c r="BV113" s="0" t="n">
        <v>1</v>
      </c>
      <c r="BW113" s="0" t="n">
        <v>2.2326</v>
      </c>
      <c r="BX113" s="0" t="n">
        <v>2.282386333</v>
      </c>
      <c r="BY113" s="0" t="n">
        <v>1.09415</v>
      </c>
      <c r="BZ113" s="0" t="n">
        <v>1.2885</v>
      </c>
      <c r="CA113" s="0" t="n">
        <v>2.001</v>
      </c>
      <c r="CB113" s="0" t="n">
        <v>1.518505</v>
      </c>
      <c r="CC113" s="0" t="n">
        <v>1.518505</v>
      </c>
      <c r="CD113" s="0" t="n">
        <v>1.264605</v>
      </c>
      <c r="CE113" s="0" t="n">
        <v>1.07728</v>
      </c>
      <c r="CF113" s="0" t="n">
        <v>1.429005</v>
      </c>
      <c r="CG113" s="188"/>
      <c r="CH113" s="0" t="n">
        <v>1.098145</v>
      </c>
      <c r="CI113" s="188"/>
      <c r="CJ113" s="188"/>
      <c r="CK113" s="188"/>
      <c r="CL113" s="188"/>
      <c r="CM113" s="188"/>
      <c r="CN113" s="188"/>
      <c r="CO113" s="188"/>
      <c r="CP113" s="0" t="n">
        <v>0.895</v>
      </c>
      <c r="CQ113" s="0" t="n">
        <v>0.86</v>
      </c>
      <c r="CR113" s="0" t="n">
        <v>0.87</v>
      </c>
      <c r="CS113" s="0" t="n">
        <v>0.92</v>
      </c>
      <c r="CT113" s="0" t="n">
        <v>0.999</v>
      </c>
      <c r="CU113" s="0" t="n">
        <v>0.58</v>
      </c>
      <c r="CV113" s="0" t="n">
        <v>0.45</v>
      </c>
      <c r="CW113" s="0" t="n">
        <v>0.805</v>
      </c>
      <c r="CX113" s="0" t="n">
        <v>0.58</v>
      </c>
      <c r="CY113" s="0" t="n">
        <v>0.505</v>
      </c>
      <c r="CZ113" s="0" t="n">
        <v>0.605</v>
      </c>
      <c r="DA113" s="0" t="n">
        <v>0.6375</v>
      </c>
      <c r="DB113" s="0" t="n">
        <v>0.69</v>
      </c>
      <c r="DC113" s="0" t="n">
        <v>0.88</v>
      </c>
      <c r="DD113" s="0" t="n">
        <v>0.64</v>
      </c>
      <c r="DE113" s="0" t="n">
        <v>0.89</v>
      </c>
      <c r="DI113" s="0" t="n">
        <v>0.9775</v>
      </c>
      <c r="DN113" s="188" t="n">
        <v>0.000285</v>
      </c>
      <c r="DO113" s="188" t="n">
        <v>0.0002</v>
      </c>
      <c r="DP113" s="188" t="n">
        <v>0</v>
      </c>
      <c r="DQ113" s="188" t="n">
        <v>0.0001</v>
      </c>
      <c r="DR113" s="188" t="n">
        <v>0</v>
      </c>
      <c r="DS113" s="188" t="n">
        <v>0.0036</v>
      </c>
      <c r="DT113" s="188" t="n">
        <v>0.00047</v>
      </c>
      <c r="DU113" s="188" t="n">
        <v>0.0007</v>
      </c>
      <c r="DV113" s="188" t="n">
        <v>0</v>
      </c>
      <c r="DW113" s="188" t="n">
        <v>0</v>
      </c>
      <c r="DX113" s="188" t="n">
        <v>0.0005</v>
      </c>
      <c r="DY113" s="188" t="n">
        <v>0.0005</v>
      </c>
      <c r="DZ113" s="188" t="n">
        <v>0.0003</v>
      </c>
      <c r="EA113" s="188" t="n">
        <v>0.000275</v>
      </c>
      <c r="EB113" s="188" t="n">
        <v>0.0004</v>
      </c>
      <c r="ED113" s="188" t="n">
        <v>6.5E-005</v>
      </c>
      <c r="EF113" s="0" t="n">
        <v>1</v>
      </c>
    </row>
    <row r="114" customFormat="false" ht="12.75" hidden="false" customHeight="false" outlineLevel="0" collapsed="false">
      <c r="A114" s="149" t="n">
        <v>39845</v>
      </c>
      <c r="B114" s="0" t="n">
        <v>0.98</v>
      </c>
      <c r="C114" s="0" t="n">
        <v>0.955288</v>
      </c>
      <c r="D114" s="0" t="n">
        <v>0.96</v>
      </c>
      <c r="E114" s="0" t="n">
        <f aca="false">E102</f>
        <v>0.994</v>
      </c>
      <c r="F114" s="0" t="n">
        <v>0.977</v>
      </c>
      <c r="G114" s="0" t="n">
        <v>0.9875</v>
      </c>
      <c r="H114" s="0" t="n">
        <v>0.9875</v>
      </c>
      <c r="I114" s="0" t="n">
        <v>0.92514825</v>
      </c>
      <c r="J114" s="0" t="n">
        <v>0.9805</v>
      </c>
      <c r="K114" s="0" t="n">
        <v>0.985</v>
      </c>
      <c r="L114" s="176" t="n">
        <v>0.964568175</v>
      </c>
      <c r="M114" s="176" t="n">
        <v>0.9875</v>
      </c>
      <c r="N114" s="0" t="n">
        <v>0.89808255</v>
      </c>
      <c r="O114" s="0" t="n">
        <v>0.945554513</v>
      </c>
      <c r="P114" s="0" t="n">
        <v>0.89808255</v>
      </c>
      <c r="Q114" s="177" t="n">
        <v>0.964568175</v>
      </c>
      <c r="R114" s="0" t="n">
        <v>0.964568175</v>
      </c>
      <c r="S114" s="176" t="n">
        <v>0.964568175</v>
      </c>
      <c r="T114" s="0" t="n">
        <v>0.89808255</v>
      </c>
      <c r="U114" s="0" t="n">
        <v>0.89808255</v>
      </c>
      <c r="V114" s="0" t="n">
        <v>0.89808255</v>
      </c>
      <c r="W114" s="0" t="n">
        <v>0.89808255</v>
      </c>
      <c r="X114" s="0" t="n">
        <v>0.945554513</v>
      </c>
      <c r="Y114" s="0" t="n">
        <v>0.945554513</v>
      </c>
      <c r="Z114" s="0" t="n">
        <v>0.945554513</v>
      </c>
      <c r="AA114" s="0" t="n">
        <v>0.945554513</v>
      </c>
      <c r="AB114" s="0" t="n">
        <v>0.89808255</v>
      </c>
      <c r="AC114" s="0" t="n">
        <v>0.89808255</v>
      </c>
      <c r="AD114" s="0" t="n">
        <v>0.945554513</v>
      </c>
      <c r="AE114" s="0" t="n">
        <v>0.945554513</v>
      </c>
      <c r="AF114" s="0" t="n">
        <v>0.89808255</v>
      </c>
      <c r="AG114" s="0" t="n">
        <v>0.98</v>
      </c>
      <c r="AH114" s="0" t="n">
        <v>0.9774069</v>
      </c>
      <c r="AI114" s="0" t="n">
        <v>0.9774069</v>
      </c>
      <c r="AJ114" s="0" t="n">
        <v>0.89808255</v>
      </c>
      <c r="AK114" s="0" t="n">
        <v>1</v>
      </c>
      <c r="AL114" s="0" t="n">
        <v>0.985</v>
      </c>
      <c r="AM114" s="0" t="n">
        <v>0.963603</v>
      </c>
      <c r="AS114" s="0" t="n">
        <v>0.977</v>
      </c>
      <c r="AT114" s="177" t="n">
        <v>0.9775</v>
      </c>
      <c r="AU114" s="0" t="n">
        <v>0.9774069</v>
      </c>
      <c r="AV114" s="0" t="n">
        <v>0.963603</v>
      </c>
      <c r="AW114" s="0" t="n">
        <v>0.963603</v>
      </c>
      <c r="AX114" s="0" t="n">
        <v>0.963603</v>
      </c>
      <c r="AY114" s="0" t="n">
        <v>0.9774069</v>
      </c>
      <c r="AZ114" s="0" t="n">
        <v>0.9774069</v>
      </c>
      <c r="BA114" s="0" t="n">
        <v>0.963603</v>
      </c>
      <c r="BB114" s="187" t="n">
        <v>1</v>
      </c>
      <c r="BC114" s="0" t="n">
        <v>1</v>
      </c>
      <c r="BD114" s="0" t="n">
        <v>1</v>
      </c>
      <c r="BE114" s="0" t="n">
        <v>1</v>
      </c>
      <c r="BF114" s="0" t="n">
        <v>0.9999</v>
      </c>
      <c r="BG114" s="0" t="n">
        <v>1</v>
      </c>
      <c r="BH114" s="0" t="n">
        <v>1</v>
      </c>
      <c r="BI114" s="0" t="n">
        <v>0.99</v>
      </c>
      <c r="BJ114" s="0" t="n">
        <v>0.999</v>
      </c>
      <c r="BK114" s="0" t="n">
        <v>0.998</v>
      </c>
      <c r="BL114" s="0" t="n">
        <v>0.9985</v>
      </c>
      <c r="BM114" s="0" t="n">
        <v>0.9985</v>
      </c>
      <c r="BN114" s="0" t="n">
        <v>0.972</v>
      </c>
      <c r="BO114" s="0" t="n">
        <v>0.9999</v>
      </c>
      <c r="BP114" s="0" t="n">
        <v>0.9999</v>
      </c>
      <c r="BQ114" s="0" t="n">
        <v>1</v>
      </c>
      <c r="BR114" s="0" t="n">
        <v>1.0949276</v>
      </c>
      <c r="BS114" s="0" t="n">
        <v>1.1108</v>
      </c>
      <c r="BT114" s="0" t="n">
        <v>1.0827</v>
      </c>
      <c r="BU114" s="0" t="n">
        <v>1.0157</v>
      </c>
      <c r="BV114" s="0" t="n">
        <v>1</v>
      </c>
      <c r="BW114" s="0" t="n">
        <v>2.2362</v>
      </c>
      <c r="BX114" s="0" t="n">
        <v>2.282856333</v>
      </c>
      <c r="BY114" s="0" t="n">
        <v>1.09485</v>
      </c>
      <c r="BZ114" s="0" t="n">
        <v>1.2885</v>
      </c>
      <c r="CA114" s="0" t="n">
        <v>2.001</v>
      </c>
      <c r="CB114" s="0" t="n">
        <v>1.519005</v>
      </c>
      <c r="CC114" s="0" t="n">
        <v>1.519005</v>
      </c>
      <c r="CD114" s="0" t="n">
        <v>1.264905</v>
      </c>
      <c r="CE114" s="0" t="n">
        <v>1.077555</v>
      </c>
      <c r="CF114" s="0" t="n">
        <v>1.429405</v>
      </c>
      <c r="CG114" s="188"/>
      <c r="CH114" s="0" t="n">
        <v>1.09821</v>
      </c>
      <c r="CI114" s="188"/>
      <c r="CJ114" s="188"/>
      <c r="CK114" s="188"/>
      <c r="CL114" s="188"/>
      <c r="CM114" s="188"/>
      <c r="CN114" s="188"/>
      <c r="CO114" s="188"/>
      <c r="CP114" s="0" t="n">
        <v>0.865</v>
      </c>
      <c r="CQ114" s="0" t="n">
        <v>0.86</v>
      </c>
      <c r="CR114" s="0" t="n">
        <v>0.89</v>
      </c>
      <c r="CS114" s="0" t="n">
        <v>0.935</v>
      </c>
      <c r="CT114" s="0" t="n">
        <v>0.99895</v>
      </c>
      <c r="CU114" s="0" t="n">
        <v>0.58</v>
      </c>
      <c r="CV114" s="0" t="n">
        <v>0.45</v>
      </c>
      <c r="CW114" s="0" t="n">
        <v>0.845</v>
      </c>
      <c r="CX114" s="0" t="n">
        <v>0.685</v>
      </c>
      <c r="CY114" s="0" t="n">
        <v>0.505</v>
      </c>
      <c r="CZ114" s="0" t="n">
        <v>0.635</v>
      </c>
      <c r="DA114" s="0" t="n">
        <v>0.6675</v>
      </c>
      <c r="DB114" s="0" t="n">
        <v>0.71</v>
      </c>
      <c r="DC114" s="0" t="n">
        <v>0.8775</v>
      </c>
      <c r="DD114" s="0" t="n">
        <v>0.67</v>
      </c>
      <c r="DE114" s="0" t="n">
        <v>0.89</v>
      </c>
      <c r="DI114" s="0" t="n">
        <v>0.9775</v>
      </c>
      <c r="DN114" s="188" t="n">
        <v>0.000285</v>
      </c>
      <c r="DO114" s="188" t="n">
        <v>0.0002</v>
      </c>
      <c r="DP114" s="188" t="n">
        <v>0</v>
      </c>
      <c r="DQ114" s="188" t="n">
        <v>0.0001</v>
      </c>
      <c r="DR114" s="188" t="n">
        <v>0</v>
      </c>
      <c r="DS114" s="188" t="n">
        <v>0.0036</v>
      </c>
      <c r="DT114" s="188" t="n">
        <v>0.00047</v>
      </c>
      <c r="DU114" s="188" t="n">
        <v>0.0007</v>
      </c>
      <c r="DV114" s="188" t="n">
        <v>0</v>
      </c>
      <c r="DW114" s="188" t="n">
        <v>0</v>
      </c>
      <c r="DX114" s="188" t="n">
        <v>0.0005</v>
      </c>
      <c r="DY114" s="188" t="n">
        <v>0.0005</v>
      </c>
      <c r="DZ114" s="188" t="n">
        <v>0.0003</v>
      </c>
      <c r="EA114" s="188" t="n">
        <v>0.000275</v>
      </c>
      <c r="EB114" s="188" t="n">
        <v>0.0004</v>
      </c>
      <c r="ED114" s="188" t="n">
        <v>6.5E-005</v>
      </c>
      <c r="EF114" s="0" t="n">
        <v>1</v>
      </c>
    </row>
    <row r="115" customFormat="false" ht="12.75" hidden="false" customHeight="false" outlineLevel="0" collapsed="false">
      <c r="A115" s="149" t="n">
        <v>39873</v>
      </c>
      <c r="B115" s="0" t="n">
        <v>0.98</v>
      </c>
      <c r="C115" s="0" t="n">
        <v>0.988</v>
      </c>
      <c r="D115" s="0" t="n">
        <v>0.96</v>
      </c>
      <c r="E115" s="0" t="n">
        <f aca="false">E103</f>
        <v>0.994</v>
      </c>
      <c r="F115" s="0" t="n">
        <v>0.977</v>
      </c>
      <c r="G115" s="0" t="n">
        <v>0.9875</v>
      </c>
      <c r="H115" s="0" t="n">
        <v>0.9875</v>
      </c>
      <c r="I115" s="0" t="n">
        <v>0.95860625</v>
      </c>
      <c r="J115" s="0" t="n">
        <v>0.9805</v>
      </c>
      <c r="K115" s="0" t="n">
        <v>0.985</v>
      </c>
      <c r="L115" s="176" t="n">
        <v>0.9875</v>
      </c>
      <c r="M115" s="176" t="n">
        <v>0.9875</v>
      </c>
      <c r="N115" s="0" t="n">
        <v>0.98</v>
      </c>
      <c r="O115" s="0" t="n">
        <v>0.970047</v>
      </c>
      <c r="P115" s="0" t="n">
        <v>0.98</v>
      </c>
      <c r="Q115" s="177" t="n">
        <v>0.9875</v>
      </c>
      <c r="R115" s="0" t="n">
        <v>0.9875</v>
      </c>
      <c r="S115" s="176" t="n">
        <v>0.9875</v>
      </c>
      <c r="T115" s="0" t="n">
        <v>0.98</v>
      </c>
      <c r="U115" s="0" t="n">
        <v>0.98</v>
      </c>
      <c r="V115" s="0" t="n">
        <v>0.98</v>
      </c>
      <c r="W115" s="0" t="n">
        <v>0.98</v>
      </c>
      <c r="X115" s="0" t="n">
        <v>0.970047</v>
      </c>
      <c r="Y115" s="0" t="n">
        <v>0.970047</v>
      </c>
      <c r="Z115" s="0" t="n">
        <v>0.970047</v>
      </c>
      <c r="AA115" s="0" t="n">
        <v>0.970047</v>
      </c>
      <c r="AB115" s="0" t="n">
        <v>0.98</v>
      </c>
      <c r="AC115" s="0" t="n">
        <v>0.98</v>
      </c>
      <c r="AD115" s="0" t="n">
        <v>0.970047</v>
      </c>
      <c r="AE115" s="0" t="n">
        <v>0.970047</v>
      </c>
      <c r="AF115" s="0" t="n">
        <v>0.98</v>
      </c>
      <c r="AG115" s="0" t="n">
        <v>0.99</v>
      </c>
      <c r="AH115" s="0" t="n">
        <v>0.97746475</v>
      </c>
      <c r="AI115" s="0" t="n">
        <v>0.97746475</v>
      </c>
      <c r="AJ115" s="0" t="n">
        <v>0.98</v>
      </c>
      <c r="AK115" s="0" t="n">
        <v>1</v>
      </c>
      <c r="AL115" s="0" t="n">
        <v>0.985</v>
      </c>
      <c r="AM115" s="0" t="n">
        <v>0.985</v>
      </c>
      <c r="AS115" s="0" t="n">
        <v>0.977</v>
      </c>
      <c r="AT115" s="177" t="n">
        <v>0.9775</v>
      </c>
      <c r="AU115" s="0" t="n">
        <v>0.97746475</v>
      </c>
      <c r="AV115" s="0" t="n">
        <v>0.985</v>
      </c>
      <c r="AW115" s="0" t="n">
        <v>0.985</v>
      </c>
      <c r="AX115" s="0" t="n">
        <v>0.985</v>
      </c>
      <c r="AY115" s="0" t="n">
        <v>0.97746475</v>
      </c>
      <c r="AZ115" s="0" t="n">
        <v>0.97746475</v>
      </c>
      <c r="BA115" s="0" t="n">
        <v>0.985</v>
      </c>
      <c r="BB115" s="187" t="n">
        <v>1</v>
      </c>
      <c r="BC115" s="0" t="n">
        <v>1</v>
      </c>
      <c r="BD115" s="0" t="n">
        <v>1</v>
      </c>
      <c r="BE115" s="0" t="n">
        <v>1</v>
      </c>
      <c r="BF115" s="0" t="n">
        <v>0.9999</v>
      </c>
      <c r="BG115" s="0" t="n">
        <v>1</v>
      </c>
      <c r="BH115" s="0" t="n">
        <v>1</v>
      </c>
      <c r="BI115" s="0" t="n">
        <v>0.99</v>
      </c>
      <c r="BJ115" s="0" t="n">
        <v>0.999</v>
      </c>
      <c r="BK115" s="0" t="n">
        <v>0.998</v>
      </c>
      <c r="BL115" s="0" t="n">
        <v>0.9985</v>
      </c>
      <c r="BM115" s="0" t="n">
        <v>0.9985</v>
      </c>
      <c r="BN115" s="0" t="n">
        <v>0.972</v>
      </c>
      <c r="BO115" s="0" t="n">
        <v>0.9999</v>
      </c>
      <c r="BP115" s="0" t="n">
        <v>0.9999</v>
      </c>
      <c r="BQ115" s="0" t="n">
        <v>1</v>
      </c>
      <c r="BR115" s="0" t="n">
        <v>1.0952126</v>
      </c>
      <c r="BS115" s="0" t="n">
        <v>1.111</v>
      </c>
      <c r="BT115" s="0" t="n">
        <v>1.0827</v>
      </c>
      <c r="BU115" s="0" t="n">
        <v>1.0158</v>
      </c>
      <c r="BV115" s="0" t="n">
        <v>1</v>
      </c>
      <c r="BW115" s="0" t="n">
        <v>2.2398</v>
      </c>
      <c r="BX115" s="0" t="n">
        <v>2.283326333</v>
      </c>
      <c r="BY115" s="0" t="n">
        <v>1.09555</v>
      </c>
      <c r="BZ115" s="0" t="n">
        <v>1.2885</v>
      </c>
      <c r="CA115" s="0" t="n">
        <v>2.001</v>
      </c>
      <c r="CB115" s="0" t="n">
        <v>1.519505</v>
      </c>
      <c r="CC115" s="0" t="n">
        <v>1.519505</v>
      </c>
      <c r="CD115" s="0" t="n">
        <v>1.265205</v>
      </c>
      <c r="CE115" s="0" t="n">
        <v>1.07783</v>
      </c>
      <c r="CF115" s="0" t="n">
        <v>1.429805</v>
      </c>
      <c r="CG115" s="188"/>
      <c r="CH115" s="0" t="n">
        <v>1.098275</v>
      </c>
      <c r="CI115" s="188"/>
      <c r="CJ115" s="188"/>
      <c r="CK115" s="188"/>
      <c r="CL115" s="188"/>
      <c r="CM115" s="188"/>
      <c r="CN115" s="188"/>
      <c r="CO115" s="188"/>
      <c r="CP115" s="0" t="n">
        <v>0.865</v>
      </c>
      <c r="CQ115" s="0" t="n">
        <v>0.89</v>
      </c>
      <c r="CR115" s="0" t="n">
        <v>0.91</v>
      </c>
      <c r="CS115" s="0" t="n">
        <v>0.935</v>
      </c>
      <c r="CT115" s="0" t="n">
        <v>0.99895</v>
      </c>
      <c r="CU115" s="0" t="n">
        <v>0.54</v>
      </c>
      <c r="CV115" s="0" t="n">
        <v>0.45</v>
      </c>
      <c r="CW115" s="0" t="n">
        <v>0.875</v>
      </c>
      <c r="CX115" s="0" t="n">
        <v>0.855</v>
      </c>
      <c r="CY115" s="0" t="n">
        <v>0.515</v>
      </c>
      <c r="CZ115" s="0" t="n">
        <v>0.785</v>
      </c>
      <c r="DA115" s="0" t="n">
        <v>0.8175</v>
      </c>
      <c r="DB115" s="0" t="n">
        <v>0.8</v>
      </c>
      <c r="DC115" s="0" t="n">
        <v>0.9</v>
      </c>
      <c r="DD115" s="0" t="n">
        <v>0.83</v>
      </c>
      <c r="DE115" s="0" t="n">
        <v>0.89</v>
      </c>
      <c r="DI115" s="0" t="n">
        <v>0.9775</v>
      </c>
      <c r="DN115" s="188" t="n">
        <v>0.000285</v>
      </c>
      <c r="DO115" s="188" t="n">
        <v>0.0002</v>
      </c>
      <c r="DP115" s="188" t="n">
        <v>0</v>
      </c>
      <c r="DQ115" s="188" t="n">
        <v>0.0001</v>
      </c>
      <c r="DR115" s="188" t="n">
        <v>0</v>
      </c>
      <c r="DS115" s="188" t="n">
        <v>0.0036</v>
      </c>
      <c r="DT115" s="188" t="n">
        <v>0.00047</v>
      </c>
      <c r="DU115" s="188" t="n">
        <v>0.0007</v>
      </c>
      <c r="DV115" s="188" t="n">
        <v>0</v>
      </c>
      <c r="DW115" s="188" t="n">
        <v>0</v>
      </c>
      <c r="DX115" s="188" t="n">
        <v>0.0005</v>
      </c>
      <c r="DY115" s="188" t="n">
        <v>0.0005</v>
      </c>
      <c r="DZ115" s="188" t="n">
        <v>0.0003</v>
      </c>
      <c r="EA115" s="188" t="n">
        <v>0.000275</v>
      </c>
      <c r="EB115" s="188" t="n">
        <v>0.0004</v>
      </c>
      <c r="ED115" s="188" t="n">
        <v>6.5E-005</v>
      </c>
      <c r="EF115" s="0" t="n">
        <v>1</v>
      </c>
    </row>
    <row r="116" customFormat="false" ht="12.75" hidden="false" customHeight="false" outlineLevel="0" collapsed="false">
      <c r="A116" s="149" t="n">
        <v>39904</v>
      </c>
      <c r="B116" s="0" t="n">
        <v>0.98</v>
      </c>
      <c r="C116" s="0" t="n">
        <v>0.988</v>
      </c>
      <c r="D116" s="0" t="n">
        <v>0.96</v>
      </c>
      <c r="E116" s="0" t="n">
        <f aca="false">E104</f>
        <v>0.978</v>
      </c>
      <c r="F116" s="0" t="n">
        <v>0.977</v>
      </c>
      <c r="G116" s="0" t="n">
        <v>0.9875</v>
      </c>
      <c r="H116" s="0" t="n">
        <v>0.95919446</v>
      </c>
      <c r="I116" s="0" t="n">
        <v>0.9875</v>
      </c>
      <c r="J116" s="0" t="n">
        <v>0.9805</v>
      </c>
      <c r="K116" s="0" t="n">
        <v>0.985</v>
      </c>
      <c r="L116" s="176" t="n">
        <v>0.9875</v>
      </c>
      <c r="M116" s="176" t="n">
        <v>0.9875</v>
      </c>
      <c r="N116" s="0" t="n">
        <v>0.98</v>
      </c>
      <c r="O116" s="0" t="n">
        <v>0.973528815</v>
      </c>
      <c r="P116" s="0" t="n">
        <v>0.98</v>
      </c>
      <c r="Q116" s="177" t="n">
        <v>0.9875</v>
      </c>
      <c r="R116" s="0" t="n">
        <v>0.9875</v>
      </c>
      <c r="S116" s="176" t="n">
        <v>0.9875</v>
      </c>
      <c r="T116" s="0" t="n">
        <v>0.98</v>
      </c>
      <c r="U116" s="0" t="n">
        <v>0.98</v>
      </c>
      <c r="V116" s="0" t="n">
        <v>0.98</v>
      </c>
      <c r="W116" s="0" t="n">
        <v>0.98</v>
      </c>
      <c r="X116" s="0" t="n">
        <v>0.973528815</v>
      </c>
      <c r="Y116" s="0" t="n">
        <v>0.973528815</v>
      </c>
      <c r="Z116" s="0" t="n">
        <v>0.973528815</v>
      </c>
      <c r="AA116" s="0" t="n">
        <v>0.973528815</v>
      </c>
      <c r="AB116" s="0" t="n">
        <v>0.98</v>
      </c>
      <c r="AC116" s="0" t="n">
        <v>0.98</v>
      </c>
      <c r="AD116" s="0" t="n">
        <v>0.973528815</v>
      </c>
      <c r="AE116" s="0" t="n">
        <v>0.973528815</v>
      </c>
      <c r="AF116" s="0" t="n">
        <v>0.98</v>
      </c>
      <c r="AG116" s="0" t="n">
        <v>0.99</v>
      </c>
      <c r="AH116" s="0" t="n">
        <v>0.9775226</v>
      </c>
      <c r="AI116" s="0" t="n">
        <v>0.9775226</v>
      </c>
      <c r="AJ116" s="0" t="n">
        <v>0.98</v>
      </c>
      <c r="AK116" s="0" t="n">
        <v>1</v>
      </c>
      <c r="AL116" s="0" t="n">
        <v>0.985</v>
      </c>
      <c r="AM116" s="0" t="n">
        <v>0.985</v>
      </c>
      <c r="AS116" s="0" t="n">
        <v>0.977</v>
      </c>
      <c r="AT116" s="177" t="n">
        <v>0.9775</v>
      </c>
      <c r="AU116" s="0" t="n">
        <v>0.9775226</v>
      </c>
      <c r="AV116" s="0" t="n">
        <v>0.985</v>
      </c>
      <c r="AW116" s="0" t="n">
        <v>0.985</v>
      </c>
      <c r="AX116" s="0" t="n">
        <v>0.985</v>
      </c>
      <c r="AY116" s="0" t="n">
        <v>0.9775226</v>
      </c>
      <c r="AZ116" s="0" t="n">
        <v>0.9775226</v>
      </c>
      <c r="BA116" s="0" t="n">
        <v>0.985</v>
      </c>
      <c r="BB116" s="187" t="n">
        <v>1</v>
      </c>
      <c r="BC116" s="0" t="n">
        <v>1</v>
      </c>
      <c r="BD116" s="0" t="n">
        <v>1</v>
      </c>
      <c r="BE116" s="0" t="n">
        <v>1</v>
      </c>
      <c r="BF116" s="0" t="n">
        <v>0.9999</v>
      </c>
      <c r="BG116" s="0" t="n">
        <v>1</v>
      </c>
      <c r="BH116" s="0" t="n">
        <v>1</v>
      </c>
      <c r="BI116" s="0" t="n">
        <v>0.99</v>
      </c>
      <c r="BJ116" s="0" t="n">
        <v>0.999</v>
      </c>
      <c r="BK116" s="0" t="n">
        <v>0.998</v>
      </c>
      <c r="BL116" s="0" t="n">
        <v>0.9985</v>
      </c>
      <c r="BM116" s="0" t="n">
        <v>0.9985</v>
      </c>
      <c r="BN116" s="0" t="n">
        <v>0.972</v>
      </c>
      <c r="BO116" s="0" t="n">
        <v>0.9999</v>
      </c>
      <c r="BP116" s="0" t="n">
        <v>0.9999</v>
      </c>
      <c r="BQ116" s="0" t="n">
        <v>1</v>
      </c>
      <c r="BR116" s="0" t="n">
        <v>1.0954976</v>
      </c>
      <c r="BS116" s="0" t="n">
        <v>1.1112</v>
      </c>
      <c r="BT116" s="0" t="n">
        <v>1.0827</v>
      </c>
      <c r="BU116" s="0" t="n">
        <v>1.0159</v>
      </c>
      <c r="BV116" s="0" t="n">
        <v>1</v>
      </c>
      <c r="BW116" s="0" t="n">
        <v>2.2434</v>
      </c>
      <c r="BX116" s="0" t="n">
        <v>2.283796333</v>
      </c>
      <c r="BY116" s="0" t="n">
        <v>1.09625</v>
      </c>
      <c r="BZ116" s="0" t="n">
        <v>1.2885</v>
      </c>
      <c r="CA116" s="0" t="n">
        <v>2.001</v>
      </c>
      <c r="CB116" s="0" t="n">
        <v>1.520005</v>
      </c>
      <c r="CC116" s="0" t="n">
        <v>1.520005</v>
      </c>
      <c r="CD116" s="0" t="n">
        <v>1.265505</v>
      </c>
      <c r="CE116" s="0" t="n">
        <v>1.078105</v>
      </c>
      <c r="CF116" s="0" t="n">
        <v>1.430205</v>
      </c>
      <c r="CG116" s="188"/>
      <c r="CH116" s="0" t="n">
        <v>1.09834</v>
      </c>
      <c r="CI116" s="188"/>
      <c r="CJ116" s="188"/>
      <c r="CK116" s="188"/>
      <c r="CL116" s="188"/>
      <c r="CM116" s="188"/>
      <c r="CN116" s="188"/>
      <c r="CO116" s="188"/>
      <c r="CP116" s="0" t="n">
        <v>0.895</v>
      </c>
      <c r="CQ116" s="0" t="n">
        <v>0.9</v>
      </c>
      <c r="CR116" s="0" t="n">
        <v>0.91</v>
      </c>
      <c r="CS116" s="0" t="n">
        <v>0.96</v>
      </c>
      <c r="CT116" s="0" t="n">
        <v>0.99895</v>
      </c>
      <c r="CU116" s="0" t="n">
        <v>0.48</v>
      </c>
      <c r="CV116" s="0" t="n">
        <v>0.42</v>
      </c>
      <c r="CW116" s="0" t="n">
        <v>0.935</v>
      </c>
      <c r="CX116" s="0" t="n">
        <v>0.845</v>
      </c>
      <c r="CY116" s="0" t="n">
        <v>0.575</v>
      </c>
      <c r="CZ116" s="0" t="n">
        <v>0.895</v>
      </c>
      <c r="DA116" s="0" t="n">
        <v>0.9275</v>
      </c>
      <c r="DB116" s="0" t="n">
        <v>0.85</v>
      </c>
      <c r="DC116" s="0" t="n">
        <v>0.903</v>
      </c>
      <c r="DD116" s="0" t="n">
        <v>0.92</v>
      </c>
      <c r="DE116" s="0" t="n">
        <v>0.89</v>
      </c>
      <c r="DI116" s="0" t="n">
        <v>0.9775</v>
      </c>
      <c r="DN116" s="188" t="n">
        <v>0.000285</v>
      </c>
      <c r="DO116" s="188" t="n">
        <v>0.0002</v>
      </c>
      <c r="DP116" s="188" t="n">
        <v>0</v>
      </c>
      <c r="DQ116" s="188" t="n">
        <v>0.0001</v>
      </c>
      <c r="DR116" s="188" t="n">
        <v>0</v>
      </c>
      <c r="DS116" s="188" t="n">
        <v>0.0036</v>
      </c>
      <c r="DT116" s="188" t="n">
        <v>0.00047</v>
      </c>
      <c r="DU116" s="188" t="n">
        <v>0.0007</v>
      </c>
      <c r="DV116" s="188" t="n">
        <v>0</v>
      </c>
      <c r="DW116" s="188" t="n">
        <v>0</v>
      </c>
      <c r="DX116" s="188" t="n">
        <v>0.0005</v>
      </c>
      <c r="DY116" s="188" t="n">
        <v>0.0005</v>
      </c>
      <c r="DZ116" s="188" t="n">
        <v>0.0003</v>
      </c>
      <c r="EA116" s="188" t="n">
        <v>0.000275</v>
      </c>
      <c r="EB116" s="188" t="n">
        <v>0.0004</v>
      </c>
      <c r="ED116" s="188" t="n">
        <v>6.5E-005</v>
      </c>
      <c r="EF116" s="0" t="n">
        <v>1</v>
      </c>
    </row>
    <row r="117" customFormat="false" ht="12.75" hidden="false" customHeight="false" outlineLevel="0" collapsed="false">
      <c r="A117" s="149" t="n">
        <v>39934</v>
      </c>
      <c r="B117" s="0" t="n">
        <v>0.98</v>
      </c>
      <c r="C117" s="0" t="n">
        <v>0.988</v>
      </c>
      <c r="D117" s="0" t="n">
        <v>0.96</v>
      </c>
      <c r="E117" s="0" t="n">
        <f aca="false">E105</f>
        <v>0.978</v>
      </c>
      <c r="F117" s="0" t="n">
        <v>0.977</v>
      </c>
      <c r="G117" s="0" t="n">
        <v>0.76398</v>
      </c>
      <c r="H117" s="0" t="n">
        <v>0.95939186</v>
      </c>
      <c r="I117" s="0" t="n">
        <v>0.9875</v>
      </c>
      <c r="J117" s="0" t="n">
        <v>0.9805</v>
      </c>
      <c r="K117" s="0" t="n">
        <v>0.985</v>
      </c>
      <c r="L117" s="176" t="n">
        <v>0.9875</v>
      </c>
      <c r="M117" s="176" t="n">
        <v>0.9875</v>
      </c>
      <c r="N117" s="0" t="n">
        <v>0.98</v>
      </c>
      <c r="O117" s="0" t="n">
        <v>0.970542</v>
      </c>
      <c r="P117" s="0" t="n">
        <v>0.98</v>
      </c>
      <c r="Q117" s="177" t="n">
        <v>0.9875</v>
      </c>
      <c r="R117" s="0" t="n">
        <v>0.9875</v>
      </c>
      <c r="S117" s="176" t="n">
        <v>0.9875</v>
      </c>
      <c r="T117" s="0" t="n">
        <v>0.98</v>
      </c>
      <c r="U117" s="0" t="n">
        <v>0.98</v>
      </c>
      <c r="V117" s="0" t="n">
        <v>0.98</v>
      </c>
      <c r="W117" s="0" t="n">
        <v>0.98</v>
      </c>
      <c r="X117" s="0" t="n">
        <v>0.970542</v>
      </c>
      <c r="Y117" s="0" t="n">
        <v>0.970542</v>
      </c>
      <c r="Z117" s="0" t="n">
        <v>0.970542</v>
      </c>
      <c r="AA117" s="0" t="n">
        <v>0.970542</v>
      </c>
      <c r="AB117" s="0" t="n">
        <v>0.98</v>
      </c>
      <c r="AC117" s="0" t="n">
        <v>0.98</v>
      </c>
      <c r="AD117" s="0" t="n">
        <v>0.970542</v>
      </c>
      <c r="AE117" s="0" t="n">
        <v>0.970542</v>
      </c>
      <c r="AF117" s="0" t="n">
        <v>0.98</v>
      </c>
      <c r="AG117" s="0" t="n">
        <v>0.99</v>
      </c>
      <c r="AH117" s="0" t="n">
        <v>0.97758045</v>
      </c>
      <c r="AI117" s="0" t="n">
        <v>0.97758045</v>
      </c>
      <c r="AJ117" s="0" t="n">
        <v>0.98</v>
      </c>
      <c r="AK117" s="0" t="n">
        <v>1</v>
      </c>
      <c r="AL117" s="0" t="n">
        <v>0.985</v>
      </c>
      <c r="AM117" s="0" t="n">
        <v>0.985</v>
      </c>
      <c r="AS117" s="0" t="n">
        <v>0.977</v>
      </c>
      <c r="AT117" s="177" t="n">
        <v>0.9775</v>
      </c>
      <c r="AU117" s="0" t="n">
        <v>0.97758045</v>
      </c>
      <c r="AV117" s="0" t="n">
        <v>0.985</v>
      </c>
      <c r="AW117" s="0" t="n">
        <v>0.985</v>
      </c>
      <c r="AX117" s="0" t="n">
        <v>0.985</v>
      </c>
      <c r="AY117" s="0" t="n">
        <v>0.97758045</v>
      </c>
      <c r="AZ117" s="0" t="n">
        <v>0.97758045</v>
      </c>
      <c r="BA117" s="0" t="n">
        <v>0.985</v>
      </c>
      <c r="BB117" s="187" t="n">
        <v>1</v>
      </c>
      <c r="BC117" s="0" t="n">
        <v>1</v>
      </c>
      <c r="BD117" s="0" t="n">
        <v>1</v>
      </c>
      <c r="BE117" s="0" t="n">
        <v>1</v>
      </c>
      <c r="BF117" s="0" t="n">
        <v>0.9999</v>
      </c>
      <c r="BG117" s="0" t="n">
        <v>1</v>
      </c>
      <c r="BH117" s="0" t="n">
        <v>1</v>
      </c>
      <c r="BI117" s="0" t="n">
        <v>0.99</v>
      </c>
      <c r="BJ117" s="0" t="n">
        <v>0.999</v>
      </c>
      <c r="BK117" s="0" t="n">
        <v>0.998</v>
      </c>
      <c r="BL117" s="0" t="n">
        <v>0.9985</v>
      </c>
      <c r="BM117" s="0" t="n">
        <v>0.9985</v>
      </c>
      <c r="BN117" s="0" t="n">
        <v>0.972</v>
      </c>
      <c r="BO117" s="0" t="n">
        <v>0.9999</v>
      </c>
      <c r="BP117" s="0" t="n">
        <v>0.9999</v>
      </c>
      <c r="BQ117" s="0" t="n">
        <v>1</v>
      </c>
      <c r="BR117" s="0" t="n">
        <v>1.0957826</v>
      </c>
      <c r="BS117" s="0" t="n">
        <v>1.1114</v>
      </c>
      <c r="BT117" s="0" t="n">
        <v>1.0827</v>
      </c>
      <c r="BU117" s="0" t="n">
        <v>1.016</v>
      </c>
      <c r="BV117" s="0" t="n">
        <v>1</v>
      </c>
      <c r="BW117" s="0" t="n">
        <v>2.247</v>
      </c>
      <c r="BX117" s="0" t="n">
        <v>2.284266333</v>
      </c>
      <c r="BY117" s="0" t="n">
        <v>1.09695</v>
      </c>
      <c r="BZ117" s="0" t="n">
        <v>1.2885</v>
      </c>
      <c r="CA117" s="0" t="n">
        <v>2.001</v>
      </c>
      <c r="CB117" s="0" t="n">
        <v>1.520505</v>
      </c>
      <c r="CC117" s="0" t="n">
        <v>1.520505</v>
      </c>
      <c r="CD117" s="0" t="n">
        <v>1.265805</v>
      </c>
      <c r="CE117" s="0" t="n">
        <v>1.07838</v>
      </c>
      <c r="CF117" s="0" t="n">
        <v>1.430605</v>
      </c>
      <c r="CG117" s="188"/>
      <c r="CH117" s="0" t="n">
        <v>1.098405</v>
      </c>
      <c r="CI117" s="188"/>
      <c r="CJ117" s="188"/>
      <c r="CK117" s="188"/>
      <c r="CL117" s="188"/>
      <c r="CM117" s="188"/>
      <c r="CN117" s="188"/>
      <c r="CO117" s="188"/>
      <c r="CP117" s="0" t="n">
        <v>0.965</v>
      </c>
      <c r="CQ117" s="0" t="n">
        <v>0.91</v>
      </c>
      <c r="CR117" s="0" t="n">
        <v>0.91</v>
      </c>
      <c r="CS117" s="0" t="n">
        <v>0.97</v>
      </c>
      <c r="CT117" s="0" t="n">
        <v>0.99895</v>
      </c>
      <c r="CU117" s="0" t="n">
        <v>0.34</v>
      </c>
      <c r="CV117" s="0" t="n">
        <v>0.42</v>
      </c>
      <c r="CW117" s="0" t="n">
        <v>0.935</v>
      </c>
      <c r="CX117" s="0" t="n">
        <v>0.745</v>
      </c>
      <c r="CY117" s="0" t="n">
        <v>0.625</v>
      </c>
      <c r="CZ117" s="0" t="n">
        <v>0.9175</v>
      </c>
      <c r="DA117" s="0" t="n">
        <v>0.95</v>
      </c>
      <c r="DB117" s="0" t="n">
        <v>0.88</v>
      </c>
      <c r="DC117" s="0" t="n">
        <v>0.9</v>
      </c>
      <c r="DD117" s="0" t="n">
        <v>0.935</v>
      </c>
      <c r="DE117" s="0" t="n">
        <v>0.89</v>
      </c>
      <c r="DI117" s="0" t="n">
        <v>0.9775</v>
      </c>
      <c r="DN117" s="188" t="n">
        <v>0.000285</v>
      </c>
      <c r="DO117" s="188" t="n">
        <v>0.0002</v>
      </c>
      <c r="DP117" s="188" t="n">
        <v>0</v>
      </c>
      <c r="DQ117" s="188" t="n">
        <v>0.0001</v>
      </c>
      <c r="DR117" s="188" t="n">
        <v>0</v>
      </c>
      <c r="DS117" s="188" t="n">
        <v>0.0036</v>
      </c>
      <c r="DT117" s="188" t="n">
        <v>0.00047</v>
      </c>
      <c r="DU117" s="188" t="n">
        <v>0.0007</v>
      </c>
      <c r="DV117" s="188" t="n">
        <v>0</v>
      </c>
      <c r="DW117" s="188" t="n">
        <v>0</v>
      </c>
      <c r="DX117" s="188" t="n">
        <v>0.0005</v>
      </c>
      <c r="DY117" s="188" t="n">
        <v>0.0005</v>
      </c>
      <c r="DZ117" s="188" t="n">
        <v>0.0003</v>
      </c>
      <c r="EA117" s="188" t="n">
        <v>0.000275</v>
      </c>
      <c r="EB117" s="188" t="n">
        <v>0.0004</v>
      </c>
      <c r="ED117" s="188" t="n">
        <v>6.5E-005</v>
      </c>
      <c r="EF117" s="0" t="n">
        <v>1</v>
      </c>
    </row>
    <row r="118" customFormat="false" ht="12.75" hidden="false" customHeight="false" outlineLevel="0" collapsed="false">
      <c r="A118" s="149" t="n">
        <v>39965</v>
      </c>
      <c r="B118" s="0" t="n">
        <v>0.98</v>
      </c>
      <c r="C118" s="0" t="n">
        <v>0.988</v>
      </c>
      <c r="D118" s="0" t="n">
        <v>0.96</v>
      </c>
      <c r="E118" s="0" t="n">
        <f aca="false">E106</f>
        <v>0.978</v>
      </c>
      <c r="F118" s="0" t="n">
        <v>0.977</v>
      </c>
      <c r="G118" s="0" t="n">
        <v>0.765204</v>
      </c>
      <c r="H118" s="0" t="n">
        <v>0.9875</v>
      </c>
      <c r="I118" s="0" t="n">
        <v>0.9875</v>
      </c>
      <c r="J118" s="0" t="n">
        <v>0.9805</v>
      </c>
      <c r="K118" s="0" t="n">
        <v>0.985</v>
      </c>
      <c r="L118" s="176" t="n">
        <v>0.9875</v>
      </c>
      <c r="M118" s="176" t="n">
        <v>0.9875</v>
      </c>
      <c r="N118" s="0" t="n">
        <v>0.98</v>
      </c>
      <c r="O118" s="0" t="n">
        <v>0.973486138</v>
      </c>
      <c r="P118" s="0" t="n">
        <v>0.98</v>
      </c>
      <c r="Q118" s="177" t="n">
        <v>0.9875</v>
      </c>
      <c r="R118" s="0" t="n">
        <v>0.9875</v>
      </c>
      <c r="S118" s="176" t="n">
        <v>0.9875</v>
      </c>
      <c r="T118" s="0" t="n">
        <v>0.98</v>
      </c>
      <c r="U118" s="0" t="n">
        <v>0.98</v>
      </c>
      <c r="V118" s="0" t="n">
        <v>0.98</v>
      </c>
      <c r="W118" s="0" t="n">
        <v>0.98</v>
      </c>
      <c r="X118" s="0" t="n">
        <v>0.973486138</v>
      </c>
      <c r="Y118" s="0" t="n">
        <v>0.973486138</v>
      </c>
      <c r="Z118" s="0" t="n">
        <v>0.973486138</v>
      </c>
      <c r="AA118" s="0" t="n">
        <v>0.973486138</v>
      </c>
      <c r="AB118" s="0" t="n">
        <v>0.98</v>
      </c>
      <c r="AC118" s="0" t="n">
        <v>0.98</v>
      </c>
      <c r="AD118" s="0" t="n">
        <v>0.973486138</v>
      </c>
      <c r="AE118" s="0" t="n">
        <v>0.973486138</v>
      </c>
      <c r="AF118" s="0" t="n">
        <v>0.98</v>
      </c>
      <c r="AG118" s="0" t="n">
        <v>0.99</v>
      </c>
      <c r="AH118" s="0" t="n">
        <v>0.9776383</v>
      </c>
      <c r="AI118" s="0" t="n">
        <v>0.9776383</v>
      </c>
      <c r="AJ118" s="0" t="n">
        <v>0.98</v>
      </c>
      <c r="AK118" s="0" t="n">
        <v>1</v>
      </c>
      <c r="AL118" s="0" t="n">
        <v>0.985</v>
      </c>
      <c r="AM118" s="0" t="n">
        <v>0.985</v>
      </c>
      <c r="AS118" s="0" t="n">
        <v>0.977</v>
      </c>
      <c r="AT118" s="177" t="n">
        <v>0.9775</v>
      </c>
      <c r="AU118" s="0" t="n">
        <v>0.9776383</v>
      </c>
      <c r="AV118" s="0" t="n">
        <v>0.985</v>
      </c>
      <c r="AW118" s="0" t="n">
        <v>0.985</v>
      </c>
      <c r="AX118" s="0" t="n">
        <v>0.985</v>
      </c>
      <c r="AY118" s="0" t="n">
        <v>0.9776383</v>
      </c>
      <c r="AZ118" s="0" t="n">
        <v>0.9776383</v>
      </c>
      <c r="BA118" s="0" t="n">
        <v>0.985</v>
      </c>
      <c r="BB118" s="187" t="n">
        <v>1</v>
      </c>
      <c r="BC118" s="0" t="n">
        <v>1</v>
      </c>
      <c r="BD118" s="0" t="n">
        <v>1</v>
      </c>
      <c r="BE118" s="0" t="n">
        <v>1</v>
      </c>
      <c r="BF118" s="0" t="n">
        <v>0.9999</v>
      </c>
      <c r="BG118" s="0" t="n">
        <v>1</v>
      </c>
      <c r="BH118" s="0" t="n">
        <v>1</v>
      </c>
      <c r="BI118" s="0" t="n">
        <v>0.99</v>
      </c>
      <c r="BJ118" s="0" t="n">
        <v>0.999</v>
      </c>
      <c r="BK118" s="0" t="n">
        <v>0.998</v>
      </c>
      <c r="BL118" s="0" t="n">
        <v>0.9985</v>
      </c>
      <c r="BM118" s="0" t="n">
        <v>0.9985</v>
      </c>
      <c r="BN118" s="0" t="n">
        <v>0.972</v>
      </c>
      <c r="BO118" s="0" t="n">
        <v>0.9999</v>
      </c>
      <c r="BP118" s="0" t="n">
        <v>0.9999</v>
      </c>
      <c r="BQ118" s="0" t="n">
        <v>1</v>
      </c>
      <c r="BR118" s="0" t="n">
        <v>1.0960676</v>
      </c>
      <c r="BS118" s="0" t="n">
        <v>1.1116</v>
      </c>
      <c r="BT118" s="0" t="n">
        <v>1.0827</v>
      </c>
      <c r="BU118" s="0" t="n">
        <v>1.0161</v>
      </c>
      <c r="BV118" s="0" t="n">
        <v>1</v>
      </c>
      <c r="BW118" s="0" t="n">
        <v>2.2506</v>
      </c>
      <c r="BX118" s="0" t="n">
        <v>2.284736333</v>
      </c>
      <c r="BY118" s="0" t="n">
        <v>1.09765</v>
      </c>
      <c r="BZ118" s="0" t="n">
        <v>1.2885</v>
      </c>
      <c r="CA118" s="0" t="n">
        <v>2.001</v>
      </c>
      <c r="CB118" s="0" t="n">
        <v>1.521005</v>
      </c>
      <c r="CC118" s="0" t="n">
        <v>1.521005</v>
      </c>
      <c r="CD118" s="0" t="n">
        <v>1.266105</v>
      </c>
      <c r="CE118" s="0" t="n">
        <v>1.078655</v>
      </c>
      <c r="CF118" s="0" t="n">
        <v>1.431005</v>
      </c>
      <c r="CG118" s="188"/>
      <c r="CH118" s="0" t="n">
        <v>1.09847</v>
      </c>
      <c r="CI118" s="188"/>
      <c r="CJ118" s="188"/>
      <c r="CK118" s="188"/>
      <c r="CL118" s="188"/>
      <c r="CM118" s="188"/>
      <c r="CN118" s="188"/>
      <c r="CO118" s="188"/>
      <c r="CP118" s="0" t="n">
        <v>0.965</v>
      </c>
      <c r="CQ118" s="0" t="n">
        <v>0.91</v>
      </c>
      <c r="CR118" s="0" t="n">
        <v>0.91</v>
      </c>
      <c r="CS118" s="0" t="n">
        <v>0.98</v>
      </c>
      <c r="CT118" s="0" t="n">
        <v>0.99895</v>
      </c>
      <c r="CU118" s="0" t="n">
        <v>0.34</v>
      </c>
      <c r="CV118" s="0" t="n">
        <v>0.47</v>
      </c>
      <c r="CW118" s="0" t="n">
        <v>0.935</v>
      </c>
      <c r="CX118" s="0" t="n">
        <v>0.655</v>
      </c>
      <c r="CY118" s="0" t="n">
        <v>0.725</v>
      </c>
      <c r="CZ118" s="0" t="n">
        <v>0.8825</v>
      </c>
      <c r="DA118" s="0" t="n">
        <v>0.915</v>
      </c>
      <c r="DB118" s="0" t="n">
        <v>0.88</v>
      </c>
      <c r="DC118" s="0" t="n">
        <v>0.9025</v>
      </c>
      <c r="DD118" s="0" t="n">
        <v>0.915</v>
      </c>
      <c r="DE118" s="0" t="n">
        <v>0.89</v>
      </c>
      <c r="DI118" s="0" t="n">
        <v>0.9775</v>
      </c>
      <c r="DN118" s="188" t="n">
        <v>0.000285</v>
      </c>
      <c r="DO118" s="188" t="n">
        <v>0.0002</v>
      </c>
      <c r="DP118" s="188" t="n">
        <v>0</v>
      </c>
      <c r="DQ118" s="188" t="n">
        <v>0.0001</v>
      </c>
      <c r="DR118" s="188" t="n">
        <v>0</v>
      </c>
      <c r="DS118" s="188" t="n">
        <v>0.0036</v>
      </c>
      <c r="DT118" s="188" t="n">
        <v>0.00047</v>
      </c>
      <c r="DU118" s="188" t="n">
        <v>0.0007</v>
      </c>
      <c r="DV118" s="188" t="n">
        <v>0</v>
      </c>
      <c r="DW118" s="188" t="n">
        <v>0</v>
      </c>
      <c r="DX118" s="188" t="n">
        <v>0.0005</v>
      </c>
      <c r="DY118" s="188" t="n">
        <v>0.0005</v>
      </c>
      <c r="DZ118" s="188" t="n">
        <v>0.0003</v>
      </c>
      <c r="EA118" s="188" t="n">
        <v>0.000275</v>
      </c>
      <c r="EB118" s="188" t="n">
        <v>0.0004</v>
      </c>
      <c r="ED118" s="188" t="n">
        <v>6.5E-005</v>
      </c>
      <c r="EF118" s="0" t="n">
        <v>1</v>
      </c>
    </row>
    <row r="119" customFormat="false" ht="12.75" hidden="false" customHeight="false" outlineLevel="0" collapsed="false">
      <c r="A119" s="149" t="n">
        <v>39995</v>
      </c>
      <c r="B119" s="0" t="n">
        <v>0.98</v>
      </c>
      <c r="C119" s="0" t="n">
        <v>0.988</v>
      </c>
      <c r="D119" s="0" t="n">
        <v>0.96</v>
      </c>
      <c r="E119" s="0" t="n">
        <f aca="false">E107</f>
        <v>0.978</v>
      </c>
      <c r="F119" s="0" t="n">
        <v>0.977</v>
      </c>
      <c r="G119" s="0" t="n">
        <v>0.924222</v>
      </c>
      <c r="H119" s="0" t="n">
        <v>0.9875</v>
      </c>
      <c r="I119" s="0" t="n">
        <v>0.9875</v>
      </c>
      <c r="J119" s="0" t="n">
        <v>0.9805</v>
      </c>
      <c r="K119" s="0" t="n">
        <v>0.985</v>
      </c>
      <c r="L119" s="176" t="n">
        <v>0.9875</v>
      </c>
      <c r="M119" s="176" t="n">
        <v>0.9875</v>
      </c>
      <c r="N119" s="0" t="n">
        <v>0.98</v>
      </c>
      <c r="O119" s="0" t="n">
        <v>0.979128975</v>
      </c>
      <c r="P119" s="0" t="n">
        <v>0.98</v>
      </c>
      <c r="Q119" s="177" t="n">
        <v>0.9875</v>
      </c>
      <c r="R119" s="0" t="n">
        <v>0.9875</v>
      </c>
      <c r="S119" s="176" t="n">
        <v>0.9875</v>
      </c>
      <c r="T119" s="0" t="n">
        <v>0.98</v>
      </c>
      <c r="U119" s="0" t="n">
        <v>0.98</v>
      </c>
      <c r="V119" s="0" t="n">
        <v>0.98</v>
      </c>
      <c r="W119" s="0" t="n">
        <v>0.98</v>
      </c>
      <c r="X119" s="0" t="n">
        <v>0.979128975</v>
      </c>
      <c r="Y119" s="0" t="n">
        <v>0.979128975</v>
      </c>
      <c r="Z119" s="0" t="n">
        <v>0.979128975</v>
      </c>
      <c r="AA119" s="0" t="n">
        <v>0.979128975</v>
      </c>
      <c r="AB119" s="0" t="n">
        <v>0.98</v>
      </c>
      <c r="AC119" s="0" t="n">
        <v>0.98</v>
      </c>
      <c r="AD119" s="0" t="n">
        <v>0.979128975</v>
      </c>
      <c r="AE119" s="0" t="n">
        <v>0.979128975</v>
      </c>
      <c r="AF119" s="0" t="n">
        <v>0.98</v>
      </c>
      <c r="AG119" s="0" t="n">
        <v>0.99</v>
      </c>
      <c r="AH119" s="0" t="n">
        <v>0.97769615</v>
      </c>
      <c r="AI119" s="0" t="n">
        <v>0.97769615</v>
      </c>
      <c r="AJ119" s="0" t="n">
        <v>0.98</v>
      </c>
      <c r="AK119" s="0" t="n">
        <v>1</v>
      </c>
      <c r="AL119" s="0" t="n">
        <v>0.985</v>
      </c>
      <c r="AM119" s="0" t="n">
        <v>0.985</v>
      </c>
      <c r="AS119" s="0" t="n">
        <v>0.977</v>
      </c>
      <c r="AT119" s="177" t="n">
        <v>0.9775</v>
      </c>
      <c r="AU119" s="0" t="n">
        <v>0.97769615</v>
      </c>
      <c r="AV119" s="0" t="n">
        <v>0.985</v>
      </c>
      <c r="AW119" s="0" t="n">
        <v>0.985</v>
      </c>
      <c r="AX119" s="0" t="n">
        <v>0.985</v>
      </c>
      <c r="AY119" s="0" t="n">
        <v>0.97769615</v>
      </c>
      <c r="AZ119" s="0" t="n">
        <v>0.97769615</v>
      </c>
      <c r="BA119" s="0" t="n">
        <v>0.985</v>
      </c>
      <c r="BB119" s="187" t="n">
        <v>1</v>
      </c>
      <c r="BC119" s="0" t="n">
        <v>1</v>
      </c>
      <c r="BD119" s="0" t="n">
        <v>1</v>
      </c>
      <c r="BE119" s="0" t="n">
        <v>1</v>
      </c>
      <c r="BF119" s="0" t="n">
        <v>0.9999</v>
      </c>
      <c r="BG119" s="0" t="n">
        <v>1</v>
      </c>
      <c r="BH119" s="0" t="n">
        <v>1</v>
      </c>
      <c r="BI119" s="0" t="n">
        <v>0.99</v>
      </c>
      <c r="BJ119" s="0" t="n">
        <v>0.999</v>
      </c>
      <c r="BK119" s="0" t="n">
        <v>0.998</v>
      </c>
      <c r="BL119" s="0" t="n">
        <v>0.9985</v>
      </c>
      <c r="BM119" s="0" t="n">
        <v>0.9985</v>
      </c>
      <c r="BN119" s="0" t="n">
        <v>0.972</v>
      </c>
      <c r="BO119" s="0" t="n">
        <v>0.9999</v>
      </c>
      <c r="BP119" s="0" t="n">
        <v>0.9999</v>
      </c>
      <c r="BQ119" s="0" t="n">
        <v>1</v>
      </c>
      <c r="BR119" s="0" t="n">
        <v>1.0963526</v>
      </c>
      <c r="BS119" s="0" t="n">
        <v>1.1118</v>
      </c>
      <c r="BT119" s="0" t="n">
        <v>1.0827</v>
      </c>
      <c r="BU119" s="0" t="n">
        <v>1.0162</v>
      </c>
      <c r="BV119" s="0" t="n">
        <v>1</v>
      </c>
      <c r="BW119" s="0" t="n">
        <v>2.2542</v>
      </c>
      <c r="BX119" s="0" t="n">
        <v>2.285206333</v>
      </c>
      <c r="BY119" s="0" t="n">
        <v>1.09835</v>
      </c>
      <c r="BZ119" s="0" t="n">
        <v>1.2885</v>
      </c>
      <c r="CA119" s="0" t="n">
        <v>2.001</v>
      </c>
      <c r="CB119" s="0" t="n">
        <v>1.521505</v>
      </c>
      <c r="CC119" s="0" t="n">
        <v>1.521505</v>
      </c>
      <c r="CD119" s="0" t="n">
        <v>1.266405</v>
      </c>
      <c r="CE119" s="0" t="n">
        <v>1.07893</v>
      </c>
      <c r="CF119" s="0" t="n">
        <v>1.431405</v>
      </c>
      <c r="CG119" s="188"/>
      <c r="CH119" s="0" t="n">
        <v>1.098535</v>
      </c>
      <c r="CI119" s="188"/>
      <c r="CJ119" s="188"/>
      <c r="CK119" s="188"/>
      <c r="CL119" s="188"/>
      <c r="CM119" s="188"/>
      <c r="CN119" s="188"/>
      <c r="CO119" s="188"/>
      <c r="CP119" s="0" t="n">
        <v>0.975</v>
      </c>
      <c r="CQ119" s="0" t="n">
        <v>0.91</v>
      </c>
      <c r="CR119" s="0" t="n">
        <v>0.91</v>
      </c>
      <c r="CS119" s="0" t="n">
        <v>0.97</v>
      </c>
      <c r="CT119" s="0" t="n">
        <v>0.99895</v>
      </c>
      <c r="CU119" s="0" t="n">
        <v>0.41</v>
      </c>
      <c r="CV119" s="0" t="n">
        <v>0.47</v>
      </c>
      <c r="CW119" s="0" t="n">
        <v>0.935</v>
      </c>
      <c r="CX119" s="0" t="n">
        <v>0.675</v>
      </c>
      <c r="CY119" s="0" t="n">
        <v>0.725</v>
      </c>
      <c r="CZ119" s="0" t="n">
        <v>0.8775</v>
      </c>
      <c r="DA119" s="0" t="n">
        <v>0.91</v>
      </c>
      <c r="DB119" s="0" t="n">
        <v>0.89</v>
      </c>
      <c r="DC119" s="0" t="n">
        <v>0.9075</v>
      </c>
      <c r="DD119" s="0" t="n">
        <v>0.915</v>
      </c>
      <c r="DE119" s="0" t="n">
        <v>0.89</v>
      </c>
      <c r="DI119" s="0" t="n">
        <v>0.9775</v>
      </c>
      <c r="DN119" s="188" t="n">
        <v>0.000285</v>
      </c>
      <c r="DO119" s="188" t="n">
        <v>0.0002</v>
      </c>
      <c r="DP119" s="188" t="n">
        <v>0</v>
      </c>
      <c r="DQ119" s="188" t="n">
        <v>0.0001</v>
      </c>
      <c r="DR119" s="188" t="n">
        <v>0</v>
      </c>
      <c r="DS119" s="188" t="n">
        <v>0.0036</v>
      </c>
      <c r="DT119" s="188" t="n">
        <v>0.00047</v>
      </c>
      <c r="DU119" s="188" t="n">
        <v>0.0007</v>
      </c>
      <c r="DV119" s="188" t="n">
        <v>0</v>
      </c>
      <c r="DW119" s="188" t="n">
        <v>0</v>
      </c>
      <c r="DX119" s="188" t="n">
        <v>0.0005</v>
      </c>
      <c r="DY119" s="188" t="n">
        <v>0.0005</v>
      </c>
      <c r="DZ119" s="188" t="n">
        <v>0.0003</v>
      </c>
      <c r="EA119" s="188" t="n">
        <v>0.000275</v>
      </c>
      <c r="EB119" s="188" t="n">
        <v>0.0004</v>
      </c>
      <c r="ED119" s="188" t="n">
        <v>6.5E-005</v>
      </c>
      <c r="EF119" s="0" t="n">
        <v>1</v>
      </c>
    </row>
    <row r="120" customFormat="false" ht="12.75" hidden="false" customHeight="false" outlineLevel="0" collapsed="false">
      <c r="A120" s="149" t="n">
        <v>40026</v>
      </c>
      <c r="B120" s="0" t="n">
        <v>0.98</v>
      </c>
      <c r="C120" s="0" t="n">
        <v>0.988</v>
      </c>
      <c r="D120" s="0" t="n">
        <v>0.96</v>
      </c>
      <c r="E120" s="0" t="n">
        <f aca="false">E108</f>
        <v>0.978</v>
      </c>
      <c r="F120" s="0" t="n">
        <v>0.977</v>
      </c>
      <c r="G120" s="0" t="n">
        <v>0.970854</v>
      </c>
      <c r="H120" s="0" t="n">
        <v>0.9875</v>
      </c>
      <c r="I120" s="0" t="n">
        <v>0.9875</v>
      </c>
      <c r="J120" s="0" t="n">
        <v>0.9805</v>
      </c>
      <c r="K120" s="0" t="n">
        <v>0.985</v>
      </c>
      <c r="L120" s="176" t="n">
        <v>0.9875</v>
      </c>
      <c r="M120" s="176" t="n">
        <v>0.9875</v>
      </c>
      <c r="N120" s="0" t="n">
        <v>0.98</v>
      </c>
      <c r="O120" s="0" t="n">
        <v>0.9875</v>
      </c>
      <c r="P120" s="0" t="n">
        <v>0.98</v>
      </c>
      <c r="Q120" s="177" t="n">
        <v>0.9875</v>
      </c>
      <c r="R120" s="0" t="n">
        <v>0.9875</v>
      </c>
      <c r="S120" s="176" t="n">
        <v>0.9875</v>
      </c>
      <c r="T120" s="0" t="n">
        <v>0.98</v>
      </c>
      <c r="U120" s="0" t="n">
        <v>0.98</v>
      </c>
      <c r="V120" s="0" t="n">
        <v>0.98</v>
      </c>
      <c r="W120" s="0" t="n">
        <v>0.98</v>
      </c>
      <c r="X120" s="0" t="n">
        <v>0.9875</v>
      </c>
      <c r="Y120" s="0" t="n">
        <v>0.9875</v>
      </c>
      <c r="Z120" s="0" t="n">
        <v>0.9875</v>
      </c>
      <c r="AA120" s="0" t="n">
        <v>0.9875</v>
      </c>
      <c r="AB120" s="0" t="n">
        <v>0.98</v>
      </c>
      <c r="AC120" s="0" t="n">
        <v>0.98</v>
      </c>
      <c r="AD120" s="0" t="n">
        <v>0.9875</v>
      </c>
      <c r="AE120" s="0" t="n">
        <v>0.9875</v>
      </c>
      <c r="AF120" s="0" t="n">
        <v>0.98</v>
      </c>
      <c r="AG120" s="0" t="n">
        <v>0.99</v>
      </c>
      <c r="AH120" s="0" t="n">
        <v>0.977754</v>
      </c>
      <c r="AI120" s="0" t="n">
        <v>0.977754</v>
      </c>
      <c r="AJ120" s="0" t="n">
        <v>0.98</v>
      </c>
      <c r="AK120" s="0" t="n">
        <v>1</v>
      </c>
      <c r="AL120" s="0" t="n">
        <v>0.985</v>
      </c>
      <c r="AM120" s="0" t="n">
        <v>0.985</v>
      </c>
      <c r="AS120" s="0" t="n">
        <v>0.977</v>
      </c>
      <c r="AT120" s="177" t="n">
        <v>0.9775</v>
      </c>
      <c r="AU120" s="0" t="n">
        <v>0.977754</v>
      </c>
      <c r="AV120" s="0" t="n">
        <v>0.985</v>
      </c>
      <c r="AW120" s="0" t="n">
        <v>0.985</v>
      </c>
      <c r="AX120" s="0" t="n">
        <v>0.985</v>
      </c>
      <c r="AY120" s="0" t="n">
        <v>0.977754</v>
      </c>
      <c r="AZ120" s="0" t="n">
        <v>0.977754</v>
      </c>
      <c r="BA120" s="0" t="n">
        <v>0.985</v>
      </c>
      <c r="BB120" s="187" t="n">
        <v>1</v>
      </c>
      <c r="BC120" s="0" t="n">
        <v>1</v>
      </c>
      <c r="BD120" s="0" t="n">
        <v>1</v>
      </c>
      <c r="BE120" s="0" t="n">
        <v>1</v>
      </c>
      <c r="BF120" s="0" t="n">
        <v>0.9999</v>
      </c>
      <c r="BG120" s="0" t="n">
        <v>1</v>
      </c>
      <c r="BH120" s="0" t="n">
        <v>1</v>
      </c>
      <c r="BI120" s="0" t="n">
        <v>0.99</v>
      </c>
      <c r="BJ120" s="0" t="n">
        <v>0.999</v>
      </c>
      <c r="BK120" s="0" t="n">
        <v>0.998</v>
      </c>
      <c r="BL120" s="0" t="n">
        <v>0.9985</v>
      </c>
      <c r="BM120" s="0" t="n">
        <v>0.9985</v>
      </c>
      <c r="BN120" s="0" t="n">
        <v>0.972</v>
      </c>
      <c r="BO120" s="0" t="n">
        <v>0.9999</v>
      </c>
      <c r="BP120" s="0" t="n">
        <v>0.9999</v>
      </c>
      <c r="BQ120" s="0" t="n">
        <v>1</v>
      </c>
      <c r="BR120" s="0" t="n">
        <v>1.0966376</v>
      </c>
      <c r="BS120" s="0" t="n">
        <v>1.112</v>
      </c>
      <c r="BT120" s="0" t="n">
        <v>1.0827</v>
      </c>
      <c r="BU120" s="0" t="n">
        <v>1.0163</v>
      </c>
      <c r="BV120" s="0" t="n">
        <v>1</v>
      </c>
      <c r="BW120" s="0" t="n">
        <v>2.2578</v>
      </c>
      <c r="BX120" s="0" t="n">
        <v>2.285676333</v>
      </c>
      <c r="BY120" s="0" t="n">
        <v>1.09905</v>
      </c>
      <c r="BZ120" s="0" t="n">
        <v>1.2885</v>
      </c>
      <c r="CA120" s="0" t="n">
        <v>2.001</v>
      </c>
      <c r="CB120" s="0" t="n">
        <v>1.522005</v>
      </c>
      <c r="CC120" s="0" t="n">
        <v>1.522005</v>
      </c>
      <c r="CD120" s="0" t="n">
        <v>1.266705</v>
      </c>
      <c r="CE120" s="0" t="n">
        <v>1.079205</v>
      </c>
      <c r="CF120" s="0" t="n">
        <v>1.431805</v>
      </c>
      <c r="CG120" s="188"/>
      <c r="CH120" s="0" t="n">
        <v>1.0986</v>
      </c>
      <c r="CI120" s="188"/>
      <c r="CJ120" s="188"/>
      <c r="CK120" s="188"/>
      <c r="CL120" s="188"/>
      <c r="CM120" s="188"/>
      <c r="CN120" s="188"/>
      <c r="CO120" s="188"/>
      <c r="CP120" s="0" t="n">
        <v>0.975</v>
      </c>
      <c r="CQ120" s="0" t="n">
        <v>0.91</v>
      </c>
      <c r="CR120" s="0" t="n">
        <v>0.91</v>
      </c>
      <c r="CS120" s="0" t="n">
        <v>0.97</v>
      </c>
      <c r="CT120" s="0" t="n">
        <v>0.99895</v>
      </c>
      <c r="CU120" s="0" t="n">
        <v>0.43</v>
      </c>
      <c r="CV120" s="0" t="n">
        <v>0.52</v>
      </c>
      <c r="CW120" s="0" t="n">
        <v>0.925</v>
      </c>
      <c r="CX120" s="0" t="n">
        <v>0.765</v>
      </c>
      <c r="CY120" s="0" t="n">
        <v>0.725</v>
      </c>
      <c r="CZ120" s="0" t="n">
        <v>0.89</v>
      </c>
      <c r="DA120" s="0" t="n">
        <v>0.9225</v>
      </c>
      <c r="DB120" s="0" t="n">
        <v>0.915</v>
      </c>
      <c r="DC120" s="0" t="n">
        <v>0.9275</v>
      </c>
      <c r="DD120" s="0" t="n">
        <v>0.915</v>
      </c>
      <c r="DE120" s="0" t="n">
        <v>0.89</v>
      </c>
      <c r="DI120" s="0" t="n">
        <v>0.9775</v>
      </c>
      <c r="DN120" s="188" t="n">
        <v>0.000285</v>
      </c>
      <c r="DO120" s="188" t="n">
        <v>0.0002</v>
      </c>
      <c r="DP120" s="188" t="n">
        <v>0</v>
      </c>
      <c r="DQ120" s="188" t="n">
        <v>0.0001</v>
      </c>
      <c r="DR120" s="188" t="n">
        <v>0</v>
      </c>
      <c r="DS120" s="188" t="n">
        <v>0.0036</v>
      </c>
      <c r="DT120" s="188" t="n">
        <v>0.00047</v>
      </c>
      <c r="DU120" s="188" t="n">
        <v>0.0007</v>
      </c>
      <c r="DV120" s="188" t="n">
        <v>0</v>
      </c>
      <c r="DW120" s="188" t="n">
        <v>0</v>
      </c>
      <c r="DX120" s="188" t="n">
        <v>0.0005</v>
      </c>
      <c r="DY120" s="188" t="n">
        <v>0.0005</v>
      </c>
      <c r="DZ120" s="188" t="n">
        <v>0.0003</v>
      </c>
      <c r="EA120" s="188" t="n">
        <v>0.000275</v>
      </c>
      <c r="EB120" s="188" t="n">
        <v>0.0004</v>
      </c>
      <c r="ED120" s="188" t="n">
        <v>6.5E-005</v>
      </c>
      <c r="EF120" s="0" t="n">
        <v>1</v>
      </c>
    </row>
    <row r="121" customFormat="false" ht="12.75" hidden="false" customHeight="false" outlineLevel="0" collapsed="false">
      <c r="A121" s="149" t="n">
        <v>40057</v>
      </c>
      <c r="B121" s="0" t="n">
        <v>0.98</v>
      </c>
      <c r="C121" s="0" t="n">
        <v>0.988</v>
      </c>
      <c r="D121" s="0" t="n">
        <v>0.96</v>
      </c>
      <c r="E121" s="0" t="n">
        <f aca="false">E109</f>
        <v>0.978</v>
      </c>
      <c r="F121" s="0" t="n">
        <v>0.977</v>
      </c>
      <c r="G121" s="0" t="n">
        <v>0.9875</v>
      </c>
      <c r="H121" s="0" t="n">
        <v>0.9875</v>
      </c>
      <c r="I121" s="0" t="n">
        <v>0.9875</v>
      </c>
      <c r="J121" s="0" t="n">
        <v>0.9805</v>
      </c>
      <c r="K121" s="0" t="n">
        <v>0.985</v>
      </c>
      <c r="L121" s="176" t="n">
        <v>0.9875</v>
      </c>
      <c r="M121" s="176" t="n">
        <v>0.9875</v>
      </c>
      <c r="N121" s="0" t="n">
        <v>0.98</v>
      </c>
      <c r="O121" s="0" t="n">
        <v>0.9875</v>
      </c>
      <c r="P121" s="0" t="n">
        <v>0.98</v>
      </c>
      <c r="Q121" s="177" t="n">
        <v>0.9875</v>
      </c>
      <c r="R121" s="0" t="n">
        <v>0.9875</v>
      </c>
      <c r="S121" s="176" t="n">
        <v>0.9875</v>
      </c>
      <c r="T121" s="0" t="n">
        <v>0.98</v>
      </c>
      <c r="U121" s="0" t="n">
        <v>0.98</v>
      </c>
      <c r="V121" s="0" t="n">
        <v>0.98</v>
      </c>
      <c r="W121" s="0" t="n">
        <v>0.98</v>
      </c>
      <c r="X121" s="0" t="n">
        <v>0.9875</v>
      </c>
      <c r="Y121" s="0" t="n">
        <v>0.9875</v>
      </c>
      <c r="Z121" s="0" t="n">
        <v>0.9875</v>
      </c>
      <c r="AA121" s="0" t="n">
        <v>0.9875</v>
      </c>
      <c r="AB121" s="0" t="n">
        <v>0.98</v>
      </c>
      <c r="AC121" s="0" t="n">
        <v>0.98</v>
      </c>
      <c r="AD121" s="0" t="n">
        <v>0.9875</v>
      </c>
      <c r="AE121" s="0" t="n">
        <v>0.9875</v>
      </c>
      <c r="AF121" s="0" t="n">
        <v>0.98</v>
      </c>
      <c r="AG121" s="0" t="n">
        <v>0.99</v>
      </c>
      <c r="AH121" s="0" t="n">
        <v>0.97781185</v>
      </c>
      <c r="AI121" s="0" t="n">
        <v>0.97781185</v>
      </c>
      <c r="AJ121" s="0" t="n">
        <v>0.98</v>
      </c>
      <c r="AK121" s="0" t="n">
        <v>1</v>
      </c>
      <c r="AL121" s="0" t="n">
        <v>0.985</v>
      </c>
      <c r="AM121" s="0" t="n">
        <v>0.985</v>
      </c>
      <c r="AS121" s="0" t="n">
        <v>0.977</v>
      </c>
      <c r="AT121" s="177" t="n">
        <v>0.9775</v>
      </c>
      <c r="AU121" s="0" t="n">
        <v>0.97781185</v>
      </c>
      <c r="AV121" s="0" t="n">
        <v>0.985</v>
      </c>
      <c r="AW121" s="0" t="n">
        <v>0.985</v>
      </c>
      <c r="AX121" s="0" t="n">
        <v>0.985</v>
      </c>
      <c r="AY121" s="0" t="n">
        <v>0.97781185</v>
      </c>
      <c r="AZ121" s="0" t="n">
        <v>0.97781185</v>
      </c>
      <c r="BA121" s="0" t="n">
        <v>0.985</v>
      </c>
      <c r="BB121" s="187" t="n">
        <v>1</v>
      </c>
      <c r="BC121" s="0" t="n">
        <v>1</v>
      </c>
      <c r="BD121" s="0" t="n">
        <v>1</v>
      </c>
      <c r="BE121" s="0" t="n">
        <v>1</v>
      </c>
      <c r="BF121" s="0" t="n">
        <v>0.9999</v>
      </c>
      <c r="BG121" s="0" t="n">
        <v>1</v>
      </c>
      <c r="BH121" s="0" t="n">
        <v>1</v>
      </c>
      <c r="BI121" s="0" t="n">
        <v>0.99</v>
      </c>
      <c r="BJ121" s="0" t="n">
        <v>0.999</v>
      </c>
      <c r="BK121" s="0" t="n">
        <v>0.998</v>
      </c>
      <c r="BL121" s="0" t="n">
        <v>0.9985</v>
      </c>
      <c r="BM121" s="0" t="n">
        <v>0.9985</v>
      </c>
      <c r="BN121" s="0" t="n">
        <v>0.972</v>
      </c>
      <c r="BO121" s="0" t="n">
        <v>0.9999</v>
      </c>
      <c r="BP121" s="0" t="n">
        <v>0.9999</v>
      </c>
      <c r="BQ121" s="0" t="n">
        <v>1</v>
      </c>
      <c r="BR121" s="0" t="n">
        <v>1.0969226</v>
      </c>
      <c r="BS121" s="0" t="n">
        <v>1.1122</v>
      </c>
      <c r="BT121" s="0" t="n">
        <v>1.0827</v>
      </c>
      <c r="BU121" s="0" t="n">
        <v>1.0164</v>
      </c>
      <c r="BV121" s="0" t="n">
        <v>1</v>
      </c>
      <c r="BW121" s="0" t="n">
        <v>2.2614</v>
      </c>
      <c r="BX121" s="0" t="n">
        <v>2.286146333</v>
      </c>
      <c r="BY121" s="0" t="n">
        <v>1.09975</v>
      </c>
      <c r="BZ121" s="0" t="n">
        <v>1.2885</v>
      </c>
      <c r="CA121" s="0" t="n">
        <v>2.001</v>
      </c>
      <c r="CB121" s="0" t="n">
        <v>1.522505</v>
      </c>
      <c r="CC121" s="0" t="n">
        <v>1.522505</v>
      </c>
      <c r="CD121" s="0" t="n">
        <v>1.267005</v>
      </c>
      <c r="CE121" s="0" t="n">
        <v>1.07948</v>
      </c>
      <c r="CF121" s="0" t="n">
        <v>1.432205</v>
      </c>
      <c r="CG121" s="188"/>
      <c r="CH121" s="0" t="n">
        <v>1.098665</v>
      </c>
      <c r="CI121" s="188"/>
      <c r="CJ121" s="188"/>
      <c r="CK121" s="188"/>
      <c r="CL121" s="188"/>
      <c r="CM121" s="188"/>
      <c r="CN121" s="188"/>
      <c r="CO121" s="188"/>
      <c r="CP121" s="0" t="n">
        <v>0.975</v>
      </c>
      <c r="CQ121" s="0" t="n">
        <v>0.91</v>
      </c>
      <c r="CR121" s="0" t="n">
        <v>0.91</v>
      </c>
      <c r="CS121" s="0" t="n">
        <v>0.95</v>
      </c>
      <c r="CT121" s="0" t="n">
        <v>0.99895</v>
      </c>
      <c r="CU121" s="0" t="n">
        <v>0.46</v>
      </c>
      <c r="CV121" s="0" t="n">
        <v>0.55</v>
      </c>
      <c r="CW121" s="0" t="n">
        <v>0.925</v>
      </c>
      <c r="CX121" s="0" t="n">
        <v>0.625</v>
      </c>
      <c r="CY121" s="0" t="n">
        <v>0.575</v>
      </c>
      <c r="CZ121" s="0" t="n">
        <v>0.945</v>
      </c>
      <c r="DA121" s="0" t="n">
        <v>0.9775</v>
      </c>
      <c r="DB121" s="0" t="n">
        <v>0.945</v>
      </c>
      <c r="DC121" s="0" t="n">
        <v>0.92</v>
      </c>
      <c r="DD121" s="0" t="n">
        <v>0.915</v>
      </c>
      <c r="DE121" s="0" t="n">
        <v>0.89</v>
      </c>
      <c r="DI121" s="0" t="n">
        <v>0.9775</v>
      </c>
      <c r="DN121" s="188" t="n">
        <v>0.000285</v>
      </c>
      <c r="DO121" s="188" t="n">
        <v>0.0002</v>
      </c>
      <c r="DP121" s="188" t="n">
        <v>0</v>
      </c>
      <c r="DQ121" s="188" t="n">
        <v>0.0001</v>
      </c>
      <c r="DR121" s="188" t="n">
        <v>0</v>
      </c>
      <c r="DS121" s="188" t="n">
        <v>0.0036</v>
      </c>
      <c r="DT121" s="188" t="n">
        <v>0.00047</v>
      </c>
      <c r="DU121" s="188" t="n">
        <v>0.0007</v>
      </c>
      <c r="DV121" s="188" t="n">
        <v>0</v>
      </c>
      <c r="DW121" s="188" t="n">
        <v>0</v>
      </c>
      <c r="DX121" s="188" t="n">
        <v>0.0005</v>
      </c>
      <c r="DY121" s="188" t="n">
        <v>0.0005</v>
      </c>
      <c r="DZ121" s="188" t="n">
        <v>0.0003</v>
      </c>
      <c r="EA121" s="188" t="n">
        <v>0.000275</v>
      </c>
      <c r="EB121" s="188" t="n">
        <v>0.0004</v>
      </c>
      <c r="ED121" s="188" t="n">
        <v>6.5E-005</v>
      </c>
      <c r="EF121" s="0" t="n">
        <v>1</v>
      </c>
    </row>
    <row r="122" customFormat="false" ht="12.75" hidden="false" customHeight="false" outlineLevel="0" collapsed="false">
      <c r="A122" s="149" t="n">
        <v>40087</v>
      </c>
      <c r="B122" s="0" t="n">
        <v>0.98</v>
      </c>
      <c r="C122" s="0" t="n">
        <v>0.988</v>
      </c>
      <c r="D122" s="0" t="n">
        <v>0.96</v>
      </c>
      <c r="E122" s="0" t="n">
        <f aca="false">E110</f>
        <v>0.994</v>
      </c>
      <c r="F122" s="0" t="n">
        <v>0.977</v>
      </c>
      <c r="G122" s="0" t="n">
        <v>0.9875</v>
      </c>
      <c r="H122" s="0" t="n">
        <v>0.9875</v>
      </c>
      <c r="I122" s="0" t="n">
        <v>0.9875</v>
      </c>
      <c r="J122" s="0" t="n">
        <v>0.9805</v>
      </c>
      <c r="K122" s="0" t="n">
        <v>0.985</v>
      </c>
      <c r="L122" s="176" t="n">
        <v>0.9875</v>
      </c>
      <c r="M122" s="176" t="n">
        <v>0.9875</v>
      </c>
      <c r="N122" s="0" t="n">
        <v>0.98</v>
      </c>
      <c r="O122" s="0" t="n">
        <v>0.974478888</v>
      </c>
      <c r="P122" s="0" t="n">
        <v>0.98</v>
      </c>
      <c r="Q122" s="177" t="n">
        <v>0.9875</v>
      </c>
      <c r="R122" s="0" t="n">
        <v>0.9875</v>
      </c>
      <c r="S122" s="176" t="n">
        <v>0.9875</v>
      </c>
      <c r="T122" s="0" t="n">
        <v>0.98</v>
      </c>
      <c r="U122" s="0" t="n">
        <v>0.98</v>
      </c>
      <c r="V122" s="0" t="n">
        <v>0.98</v>
      </c>
      <c r="W122" s="0" t="n">
        <v>0.98</v>
      </c>
      <c r="X122" s="0" t="n">
        <v>0.974478888</v>
      </c>
      <c r="Y122" s="0" t="n">
        <v>0.974478888</v>
      </c>
      <c r="Z122" s="0" t="n">
        <v>0.974478888</v>
      </c>
      <c r="AA122" s="0" t="n">
        <v>0.974478888</v>
      </c>
      <c r="AB122" s="0" t="n">
        <v>0.98</v>
      </c>
      <c r="AC122" s="0" t="n">
        <v>0.98</v>
      </c>
      <c r="AD122" s="0" t="n">
        <v>0.974478888</v>
      </c>
      <c r="AE122" s="0" t="n">
        <v>0.974478888</v>
      </c>
      <c r="AF122" s="0" t="n">
        <v>0.98</v>
      </c>
      <c r="AG122" s="0" t="n">
        <v>0.99</v>
      </c>
      <c r="AH122" s="0" t="n">
        <v>0.9778697</v>
      </c>
      <c r="AI122" s="0" t="n">
        <v>0.9778697</v>
      </c>
      <c r="AJ122" s="0" t="n">
        <v>0.98</v>
      </c>
      <c r="AK122" s="0" t="n">
        <v>1</v>
      </c>
      <c r="AL122" s="0" t="n">
        <v>0.985</v>
      </c>
      <c r="AM122" s="0" t="n">
        <v>0.985</v>
      </c>
      <c r="AS122" s="0" t="n">
        <v>0.977</v>
      </c>
      <c r="AT122" s="177" t="n">
        <v>0.9775</v>
      </c>
      <c r="AU122" s="0" t="n">
        <v>0.9778697</v>
      </c>
      <c r="AV122" s="0" t="n">
        <v>0.985</v>
      </c>
      <c r="AW122" s="0" t="n">
        <v>0.985</v>
      </c>
      <c r="AX122" s="0" t="n">
        <v>0.985</v>
      </c>
      <c r="AY122" s="0" t="n">
        <v>0.9778697</v>
      </c>
      <c r="AZ122" s="0" t="n">
        <v>0.9778697</v>
      </c>
      <c r="BA122" s="0" t="n">
        <v>0.985</v>
      </c>
      <c r="BB122" s="187" t="n">
        <v>1</v>
      </c>
      <c r="BC122" s="0" t="n">
        <v>1</v>
      </c>
      <c r="BD122" s="0" t="n">
        <v>1</v>
      </c>
      <c r="BE122" s="0" t="n">
        <v>1</v>
      </c>
      <c r="BF122" s="0" t="n">
        <v>0.9999</v>
      </c>
      <c r="BG122" s="0" t="n">
        <v>1</v>
      </c>
      <c r="BH122" s="0" t="n">
        <v>1</v>
      </c>
      <c r="BI122" s="0" t="n">
        <v>0.99</v>
      </c>
      <c r="BJ122" s="0" t="n">
        <v>0.999</v>
      </c>
      <c r="BK122" s="0" t="n">
        <v>0.998</v>
      </c>
      <c r="BL122" s="0" t="n">
        <v>0.9985</v>
      </c>
      <c r="BM122" s="0" t="n">
        <v>0.9985</v>
      </c>
      <c r="BN122" s="0" t="n">
        <v>0.972</v>
      </c>
      <c r="BO122" s="0" t="n">
        <v>0.9999</v>
      </c>
      <c r="BP122" s="0" t="n">
        <v>0.9999</v>
      </c>
      <c r="BQ122" s="0" t="n">
        <v>1</v>
      </c>
      <c r="BR122" s="0" t="n">
        <v>1.0972076</v>
      </c>
      <c r="BS122" s="0" t="n">
        <v>1.1124</v>
      </c>
      <c r="BT122" s="0" t="n">
        <v>1.0827</v>
      </c>
      <c r="BU122" s="0" t="n">
        <v>1.0165</v>
      </c>
      <c r="BV122" s="0" t="n">
        <v>1</v>
      </c>
      <c r="BW122" s="0" t="n">
        <v>2.265</v>
      </c>
      <c r="BX122" s="0" t="n">
        <v>2.286616333</v>
      </c>
      <c r="BY122" s="0" t="n">
        <v>1.10045</v>
      </c>
      <c r="BZ122" s="0" t="n">
        <v>1.2885</v>
      </c>
      <c r="CA122" s="0" t="n">
        <v>2.001</v>
      </c>
      <c r="CB122" s="0" t="n">
        <v>1.523005</v>
      </c>
      <c r="CC122" s="0" t="n">
        <v>1.523005</v>
      </c>
      <c r="CD122" s="0" t="n">
        <v>1.267305</v>
      </c>
      <c r="CE122" s="0" t="n">
        <v>1.079755</v>
      </c>
      <c r="CF122" s="0" t="n">
        <v>1.432605</v>
      </c>
      <c r="CG122" s="188"/>
      <c r="CH122" s="0" t="n">
        <v>1.09873</v>
      </c>
      <c r="CI122" s="188"/>
      <c r="CJ122" s="188"/>
      <c r="CK122" s="188"/>
      <c r="CL122" s="188"/>
      <c r="CM122" s="188"/>
      <c r="CN122" s="188"/>
      <c r="CO122" s="188"/>
      <c r="CP122" s="0" t="n">
        <v>0.955</v>
      </c>
      <c r="CQ122" s="0" t="n">
        <v>0.9</v>
      </c>
      <c r="CR122" s="0" t="n">
        <v>0.91</v>
      </c>
      <c r="CS122" s="0" t="n">
        <v>0.94</v>
      </c>
      <c r="CT122" s="0" t="n">
        <v>0.99895</v>
      </c>
      <c r="CU122" s="0" t="n">
        <v>0.46</v>
      </c>
      <c r="CV122" s="0" t="n">
        <v>0.45</v>
      </c>
      <c r="CW122" s="0" t="n">
        <v>0.925</v>
      </c>
      <c r="CX122" s="0" t="n">
        <v>0.615</v>
      </c>
      <c r="CY122" s="0" t="n">
        <v>0.505</v>
      </c>
      <c r="CZ122" s="0" t="n">
        <v>0.805</v>
      </c>
      <c r="DA122" s="0" t="n">
        <v>0.8375</v>
      </c>
      <c r="DB122" s="0" t="n">
        <v>0.875</v>
      </c>
      <c r="DC122" s="0" t="n">
        <v>0.9025</v>
      </c>
      <c r="DD122" s="0" t="n">
        <v>0.82</v>
      </c>
      <c r="DE122" s="0" t="n">
        <v>0.89</v>
      </c>
      <c r="DI122" s="0" t="n">
        <v>0.9775</v>
      </c>
      <c r="DN122" s="188" t="n">
        <v>0.000285</v>
      </c>
      <c r="DO122" s="188" t="n">
        <v>0.0002</v>
      </c>
      <c r="DP122" s="188" t="n">
        <v>0</v>
      </c>
      <c r="DQ122" s="188" t="n">
        <v>0.0001</v>
      </c>
      <c r="DR122" s="188" t="n">
        <v>0</v>
      </c>
      <c r="DS122" s="188" t="n">
        <v>0.0036</v>
      </c>
      <c r="DT122" s="188" t="n">
        <v>0.00047</v>
      </c>
      <c r="DU122" s="188" t="n">
        <v>0.0007</v>
      </c>
      <c r="DV122" s="188" t="n">
        <v>0</v>
      </c>
      <c r="DW122" s="188" t="n">
        <v>0</v>
      </c>
      <c r="DX122" s="188" t="n">
        <v>0.0005</v>
      </c>
      <c r="DY122" s="188" t="n">
        <v>0.0005</v>
      </c>
      <c r="DZ122" s="188" t="n">
        <v>0.0003</v>
      </c>
      <c r="EA122" s="188" t="n">
        <v>0.000275</v>
      </c>
      <c r="EB122" s="188" t="n">
        <v>0.0004</v>
      </c>
      <c r="ED122" s="188" t="n">
        <v>6.5E-005</v>
      </c>
      <c r="EF122" s="0" t="n">
        <v>1</v>
      </c>
    </row>
    <row r="123" customFormat="false" ht="12.75" hidden="false" customHeight="false" outlineLevel="0" collapsed="false">
      <c r="A123" s="149" t="n">
        <v>40118</v>
      </c>
      <c r="B123" s="0" t="n">
        <v>0.98</v>
      </c>
      <c r="C123" s="0" t="n">
        <v>0.988</v>
      </c>
      <c r="D123" s="0" t="n">
        <v>0.96</v>
      </c>
      <c r="E123" s="0" t="n">
        <f aca="false">E111</f>
        <v>0.994</v>
      </c>
      <c r="F123" s="0" t="n">
        <v>0.977</v>
      </c>
      <c r="G123" s="0" t="n">
        <v>0.9875</v>
      </c>
      <c r="H123" s="0" t="n">
        <v>0.9875</v>
      </c>
      <c r="I123" s="0" t="n">
        <v>0.9875</v>
      </c>
      <c r="J123" s="0" t="n">
        <v>0.9805</v>
      </c>
      <c r="K123" s="0" t="n">
        <v>0.970485</v>
      </c>
      <c r="L123" s="176" t="n">
        <v>0.9875</v>
      </c>
      <c r="M123" s="176" t="n">
        <v>0.9875</v>
      </c>
      <c r="N123" s="0" t="n">
        <v>0.98</v>
      </c>
      <c r="O123" s="0" t="n">
        <v>0.974727075</v>
      </c>
      <c r="P123" s="0" t="n">
        <v>0.98</v>
      </c>
      <c r="Q123" s="177" t="n">
        <v>0.9875</v>
      </c>
      <c r="R123" s="0" t="n">
        <v>0.9875</v>
      </c>
      <c r="S123" s="176" t="n">
        <v>0.9875</v>
      </c>
      <c r="T123" s="0" t="n">
        <v>0.98</v>
      </c>
      <c r="U123" s="0" t="n">
        <v>0.98</v>
      </c>
      <c r="V123" s="0" t="n">
        <v>0.98</v>
      </c>
      <c r="W123" s="0" t="n">
        <v>0.98</v>
      </c>
      <c r="X123" s="0" t="n">
        <v>0.974727075</v>
      </c>
      <c r="Y123" s="0" t="n">
        <v>0.974727075</v>
      </c>
      <c r="Z123" s="0" t="n">
        <v>0.974727075</v>
      </c>
      <c r="AA123" s="0" t="n">
        <v>0.974727075</v>
      </c>
      <c r="AB123" s="0" t="n">
        <v>0.98</v>
      </c>
      <c r="AC123" s="0" t="n">
        <v>0.98</v>
      </c>
      <c r="AD123" s="0" t="n">
        <v>0.974727075</v>
      </c>
      <c r="AE123" s="0" t="n">
        <v>0.974727075</v>
      </c>
      <c r="AF123" s="0" t="n">
        <v>0.98</v>
      </c>
      <c r="AG123" s="0" t="n">
        <v>0.99</v>
      </c>
      <c r="AH123" s="0" t="n">
        <v>0.97792755</v>
      </c>
      <c r="AI123" s="0" t="n">
        <v>0.97792755</v>
      </c>
      <c r="AJ123" s="0" t="n">
        <v>0.98</v>
      </c>
      <c r="AK123" s="0" t="n">
        <v>1</v>
      </c>
      <c r="AL123" s="0" t="n">
        <v>0.970485</v>
      </c>
      <c r="AM123" s="0" t="n">
        <v>0.97443</v>
      </c>
      <c r="AS123" s="0" t="n">
        <v>0.977</v>
      </c>
      <c r="AT123" s="177" t="n">
        <v>0.9775</v>
      </c>
      <c r="AU123" s="0" t="n">
        <v>0.97792755</v>
      </c>
      <c r="AV123" s="0" t="n">
        <v>0.97443</v>
      </c>
      <c r="AW123" s="0" t="n">
        <v>0.97443</v>
      </c>
      <c r="AX123" s="0" t="n">
        <v>0.97443</v>
      </c>
      <c r="AY123" s="0" t="n">
        <v>0.97792755</v>
      </c>
      <c r="AZ123" s="0" t="n">
        <v>0.97792755</v>
      </c>
      <c r="BA123" s="0" t="n">
        <v>0.97443</v>
      </c>
      <c r="BB123" s="187" t="n">
        <v>1</v>
      </c>
      <c r="BC123" s="0" t="n">
        <v>1</v>
      </c>
      <c r="BD123" s="0" t="n">
        <v>1</v>
      </c>
      <c r="BE123" s="0" t="n">
        <v>1</v>
      </c>
      <c r="BF123" s="0" t="n">
        <v>0.9999</v>
      </c>
      <c r="BG123" s="0" t="n">
        <v>1</v>
      </c>
      <c r="BH123" s="0" t="n">
        <v>1</v>
      </c>
      <c r="BI123" s="0" t="n">
        <v>0.99</v>
      </c>
      <c r="BJ123" s="0" t="n">
        <v>0.999</v>
      </c>
      <c r="BK123" s="0" t="n">
        <v>0.998</v>
      </c>
      <c r="BL123" s="0" t="n">
        <v>0.9985</v>
      </c>
      <c r="BM123" s="0" t="n">
        <v>0.9985</v>
      </c>
      <c r="BN123" s="0" t="n">
        <v>0.972</v>
      </c>
      <c r="BO123" s="0" t="n">
        <v>0.9999</v>
      </c>
      <c r="BP123" s="0" t="n">
        <v>0.9999</v>
      </c>
      <c r="BQ123" s="0" t="n">
        <v>1</v>
      </c>
      <c r="BR123" s="0" t="n">
        <v>1.0974926</v>
      </c>
      <c r="BS123" s="0" t="n">
        <v>1.1126</v>
      </c>
      <c r="BT123" s="0" t="n">
        <v>1.0827</v>
      </c>
      <c r="BU123" s="0" t="n">
        <v>1.0166</v>
      </c>
      <c r="BV123" s="0" t="n">
        <v>1</v>
      </c>
      <c r="BW123" s="0" t="n">
        <v>2.2686</v>
      </c>
      <c r="BX123" s="0" t="n">
        <v>2.287086333</v>
      </c>
      <c r="BY123" s="0" t="n">
        <v>1.10115</v>
      </c>
      <c r="BZ123" s="0" t="n">
        <v>1.2885</v>
      </c>
      <c r="CA123" s="0" t="n">
        <v>2.001</v>
      </c>
      <c r="CB123" s="0" t="n">
        <v>1.523505</v>
      </c>
      <c r="CC123" s="0" t="n">
        <v>1.523505</v>
      </c>
      <c r="CD123" s="0" t="n">
        <v>1.267605</v>
      </c>
      <c r="CE123" s="0" t="n">
        <v>1.08003</v>
      </c>
      <c r="CF123" s="0" t="n">
        <v>1.433005</v>
      </c>
      <c r="CG123" s="188"/>
      <c r="CH123" s="0" t="n">
        <v>1.098795</v>
      </c>
      <c r="CI123" s="188"/>
      <c r="CJ123" s="188"/>
      <c r="CK123" s="188"/>
      <c r="CL123" s="188"/>
      <c r="CM123" s="188"/>
      <c r="CN123" s="188"/>
      <c r="CO123" s="188"/>
      <c r="CP123" s="0" t="n">
        <v>0.955</v>
      </c>
      <c r="CQ123" s="0" t="n">
        <v>0.9</v>
      </c>
      <c r="CR123" s="0" t="n">
        <v>0.9</v>
      </c>
      <c r="CS123" s="0" t="n">
        <v>0.94</v>
      </c>
      <c r="CT123" s="0" t="n">
        <v>0.999</v>
      </c>
      <c r="CU123" s="0" t="n">
        <v>0.48</v>
      </c>
      <c r="CV123" s="0" t="n">
        <v>0.46</v>
      </c>
      <c r="CW123" s="0" t="n">
        <v>0.905</v>
      </c>
      <c r="CX123" s="0" t="n">
        <v>0.575</v>
      </c>
      <c r="CY123" s="0" t="n">
        <v>0.485</v>
      </c>
      <c r="CZ123" s="0" t="n">
        <v>0.795</v>
      </c>
      <c r="DA123" s="0" t="n">
        <v>0.8275</v>
      </c>
      <c r="DB123" s="0" t="n">
        <v>0.85</v>
      </c>
      <c r="DC123" s="0" t="n">
        <v>0.9025</v>
      </c>
      <c r="DD123" s="0" t="n">
        <v>0.82</v>
      </c>
      <c r="DE123" s="0" t="n">
        <v>0.89</v>
      </c>
      <c r="DI123" s="0" t="n">
        <v>0.9775</v>
      </c>
      <c r="DN123" s="188" t="n">
        <v>0.000285</v>
      </c>
      <c r="DO123" s="188" t="n">
        <v>0.0002</v>
      </c>
      <c r="DP123" s="188" t="n">
        <v>0</v>
      </c>
      <c r="DQ123" s="188" t="n">
        <v>0.0001</v>
      </c>
      <c r="DR123" s="188" t="n">
        <v>0</v>
      </c>
      <c r="DS123" s="188" t="n">
        <v>0.0036</v>
      </c>
      <c r="DT123" s="188" t="n">
        <v>0.00047</v>
      </c>
      <c r="DU123" s="188" t="n">
        <v>0.0007</v>
      </c>
      <c r="DV123" s="188" t="n">
        <v>0</v>
      </c>
      <c r="DW123" s="188" t="n">
        <v>0</v>
      </c>
      <c r="DX123" s="188" t="n">
        <v>0.0005</v>
      </c>
      <c r="DY123" s="188" t="n">
        <v>0.0005</v>
      </c>
      <c r="DZ123" s="188" t="n">
        <v>0.0003</v>
      </c>
      <c r="EA123" s="188" t="n">
        <v>0.000275</v>
      </c>
      <c r="EB123" s="188" t="n">
        <v>0.0004</v>
      </c>
      <c r="ED123" s="188" t="n">
        <v>6.5E-005</v>
      </c>
      <c r="EF123" s="0" t="n">
        <v>1</v>
      </c>
    </row>
    <row r="124" customFormat="false" ht="12.75" hidden="false" customHeight="false" outlineLevel="0" collapsed="false">
      <c r="A124" s="149" t="n">
        <v>40148</v>
      </c>
      <c r="B124" s="0" t="n">
        <v>0.98</v>
      </c>
      <c r="C124" s="0" t="n">
        <v>0.988</v>
      </c>
      <c r="D124" s="0" t="n">
        <v>0.96</v>
      </c>
      <c r="E124" s="0" t="n">
        <f aca="false">E112</f>
        <v>0.994</v>
      </c>
      <c r="F124" s="0" t="n">
        <v>0.977</v>
      </c>
      <c r="G124" s="0" t="n">
        <v>0.9875</v>
      </c>
      <c r="H124" s="0" t="n">
        <v>0.9875</v>
      </c>
      <c r="I124" s="0" t="n">
        <v>0.96411875</v>
      </c>
      <c r="J124" s="0" t="n">
        <v>0.9805</v>
      </c>
      <c r="K124" s="0" t="n">
        <v>0.970485</v>
      </c>
      <c r="L124" s="176" t="n">
        <v>0.89916295</v>
      </c>
      <c r="M124" s="176" t="n">
        <v>0.948693112</v>
      </c>
      <c r="N124" s="0" t="n">
        <v>0.87485445</v>
      </c>
      <c r="O124" s="0" t="n">
        <v>0.964172213</v>
      </c>
      <c r="P124" s="0" t="n">
        <v>0.87485445</v>
      </c>
      <c r="Q124" s="177" t="n">
        <v>0.89916295</v>
      </c>
      <c r="R124" s="0" t="n">
        <v>0.89916295</v>
      </c>
      <c r="S124" s="176" t="n">
        <v>0.89916295</v>
      </c>
      <c r="T124" s="0" t="n">
        <v>0.87485445</v>
      </c>
      <c r="U124" s="0" t="n">
        <v>0.87485445</v>
      </c>
      <c r="V124" s="0" t="n">
        <v>0.87485445</v>
      </c>
      <c r="W124" s="0" t="n">
        <v>0.87485445</v>
      </c>
      <c r="X124" s="0" t="n">
        <v>0.964172213</v>
      </c>
      <c r="Y124" s="0" t="n">
        <v>0.964172213</v>
      </c>
      <c r="Z124" s="0" t="n">
        <v>0.964172213</v>
      </c>
      <c r="AA124" s="0" t="n">
        <v>0.964172213</v>
      </c>
      <c r="AB124" s="0" t="n">
        <v>0.87485445</v>
      </c>
      <c r="AC124" s="0" t="n">
        <v>0.87485445</v>
      </c>
      <c r="AD124" s="0" t="n">
        <v>0.964172213</v>
      </c>
      <c r="AE124" s="0" t="n">
        <v>0.964172213</v>
      </c>
      <c r="AF124" s="0" t="n">
        <v>0.87485445</v>
      </c>
      <c r="AG124" s="0" t="n">
        <v>0.98</v>
      </c>
      <c r="AH124" s="0" t="n">
        <v>0.9779854</v>
      </c>
      <c r="AI124" s="0" t="n">
        <v>0.9779854</v>
      </c>
      <c r="AJ124" s="0" t="n">
        <v>0.87485445</v>
      </c>
      <c r="AK124" s="0" t="n">
        <v>1</v>
      </c>
      <c r="AL124" s="0" t="n">
        <v>0.970485</v>
      </c>
      <c r="AM124" s="0" t="n">
        <v>0.952776</v>
      </c>
      <c r="AS124" s="0" t="n">
        <v>0.977</v>
      </c>
      <c r="AT124" s="177" t="n">
        <v>0.9775</v>
      </c>
      <c r="AU124" s="0" t="n">
        <v>0.9779854</v>
      </c>
      <c r="AV124" s="0" t="n">
        <v>0.952776</v>
      </c>
      <c r="AW124" s="0" t="n">
        <v>0.952776</v>
      </c>
      <c r="AX124" s="0" t="n">
        <v>0.952776</v>
      </c>
      <c r="AY124" s="0" t="n">
        <v>0.9779854</v>
      </c>
      <c r="AZ124" s="0" t="n">
        <v>0.9779854</v>
      </c>
      <c r="BA124" s="0" t="n">
        <v>0.952776</v>
      </c>
      <c r="BB124" s="187" t="n">
        <v>1</v>
      </c>
      <c r="BC124" s="0" t="n">
        <v>1</v>
      </c>
      <c r="BD124" s="0" t="n">
        <v>1</v>
      </c>
      <c r="BE124" s="0" t="n">
        <v>1</v>
      </c>
      <c r="BF124" s="0" t="n">
        <v>0.9999</v>
      </c>
      <c r="BG124" s="0" t="n">
        <v>1</v>
      </c>
      <c r="BH124" s="0" t="n">
        <v>1</v>
      </c>
      <c r="BI124" s="0" t="n">
        <v>0.99</v>
      </c>
      <c r="BJ124" s="0" t="n">
        <v>0.999</v>
      </c>
      <c r="BK124" s="0" t="n">
        <v>0.998</v>
      </c>
      <c r="BL124" s="0" t="n">
        <v>0.9985</v>
      </c>
      <c r="BM124" s="0" t="n">
        <v>0.9985</v>
      </c>
      <c r="BN124" s="0" t="n">
        <v>0.972</v>
      </c>
      <c r="BO124" s="0" t="n">
        <v>0.9999</v>
      </c>
      <c r="BP124" s="0" t="n">
        <v>0.9999</v>
      </c>
      <c r="BQ124" s="0" t="n">
        <v>1</v>
      </c>
      <c r="BR124" s="0" t="n">
        <v>1.0977776</v>
      </c>
      <c r="BS124" s="0" t="n">
        <v>1.1128</v>
      </c>
      <c r="BT124" s="0" t="n">
        <v>1.0827</v>
      </c>
      <c r="BU124" s="0" t="n">
        <v>1.0167</v>
      </c>
      <c r="BV124" s="0" t="n">
        <v>1</v>
      </c>
      <c r="BW124" s="0" t="n">
        <v>2.2722</v>
      </c>
      <c r="BX124" s="0" t="n">
        <v>2.287556333</v>
      </c>
      <c r="BY124" s="0" t="n">
        <v>1.10185</v>
      </c>
      <c r="BZ124" s="0" t="n">
        <v>1.2885</v>
      </c>
      <c r="CA124" s="0" t="n">
        <v>2.001</v>
      </c>
      <c r="CB124" s="0" t="n">
        <v>1.524005</v>
      </c>
      <c r="CC124" s="0" t="n">
        <v>1.524005</v>
      </c>
      <c r="CD124" s="0" t="n">
        <v>1.267905</v>
      </c>
      <c r="CE124" s="0" t="n">
        <v>1.080305</v>
      </c>
      <c r="CF124" s="0" t="n">
        <v>1.433405</v>
      </c>
      <c r="CG124" s="188"/>
      <c r="CH124" s="0" t="n">
        <v>1.09886</v>
      </c>
      <c r="CI124" s="188"/>
      <c r="CJ124" s="188"/>
      <c r="CK124" s="188"/>
      <c r="CL124" s="188"/>
      <c r="CM124" s="188"/>
      <c r="CN124" s="188"/>
      <c r="CO124" s="188"/>
      <c r="CP124" s="0" t="n">
        <v>0.935</v>
      </c>
      <c r="CQ124" s="0" t="n">
        <v>0.89</v>
      </c>
      <c r="CR124" s="0" t="n">
        <v>0.88</v>
      </c>
      <c r="CS124" s="0" t="n">
        <v>0.92</v>
      </c>
      <c r="CT124" s="0" t="n">
        <v>0.999</v>
      </c>
      <c r="CU124" s="0" t="n">
        <v>0.51</v>
      </c>
      <c r="CV124" s="0" t="n">
        <v>0.48</v>
      </c>
      <c r="CW124" s="0" t="n">
        <v>0.875</v>
      </c>
      <c r="CX124" s="0" t="n">
        <v>0.58</v>
      </c>
      <c r="CY124" s="0" t="n">
        <v>0.485</v>
      </c>
      <c r="CZ124" s="0" t="n">
        <v>0.59</v>
      </c>
      <c r="DA124" s="0" t="n">
        <v>0.6225</v>
      </c>
      <c r="DB124" s="0" t="n">
        <v>0.69</v>
      </c>
      <c r="DC124" s="0" t="n">
        <v>0.8925</v>
      </c>
      <c r="DD124" s="0" t="n">
        <v>0.715</v>
      </c>
      <c r="DE124" s="0" t="n">
        <v>0.89</v>
      </c>
      <c r="DI124" s="0" t="n">
        <v>0.9775</v>
      </c>
      <c r="DN124" s="188" t="n">
        <v>0.000285</v>
      </c>
      <c r="DO124" s="188" t="n">
        <v>0.0002</v>
      </c>
      <c r="DP124" s="188" t="n">
        <v>0</v>
      </c>
      <c r="DQ124" s="188" t="n">
        <v>0.0001</v>
      </c>
      <c r="DR124" s="188" t="n">
        <v>0</v>
      </c>
      <c r="DS124" s="188" t="n">
        <v>0.0036</v>
      </c>
      <c r="DT124" s="188" t="n">
        <v>0.00047</v>
      </c>
      <c r="DU124" s="188" t="n">
        <v>0.0007</v>
      </c>
      <c r="DV124" s="188" t="n">
        <v>0</v>
      </c>
      <c r="DW124" s="188" t="n">
        <v>0</v>
      </c>
      <c r="DX124" s="188" t="n">
        <v>0.0005</v>
      </c>
      <c r="DY124" s="188" t="n">
        <v>0.0005</v>
      </c>
      <c r="DZ124" s="188" t="n">
        <v>0.0003</v>
      </c>
      <c r="EA124" s="188" t="n">
        <v>0.000275</v>
      </c>
      <c r="EB124" s="188" t="n">
        <v>0.0004</v>
      </c>
      <c r="ED124" s="188" t="n">
        <v>6.5E-005</v>
      </c>
      <c r="EF124" s="0" t="n">
        <v>1</v>
      </c>
    </row>
    <row r="125" customFormat="false" ht="12.75" hidden="false" customHeight="false" outlineLevel="0" collapsed="false">
      <c r="A125" s="149" t="n">
        <v>40179</v>
      </c>
      <c r="B125" s="0" t="n">
        <v>0.98</v>
      </c>
      <c r="C125" s="0" t="n">
        <v>0.95718</v>
      </c>
      <c r="D125" s="0" t="n">
        <v>0.96</v>
      </c>
      <c r="E125" s="0" t="n">
        <f aca="false">E113</f>
        <v>0.994</v>
      </c>
      <c r="F125" s="0" t="n">
        <v>0.977</v>
      </c>
      <c r="G125" s="0" t="n">
        <v>0.9875</v>
      </c>
      <c r="H125" s="0" t="n">
        <v>0.9875</v>
      </c>
      <c r="I125" s="0" t="n">
        <v>0.88755275</v>
      </c>
      <c r="J125" s="0" t="n">
        <v>0.9805</v>
      </c>
      <c r="K125" s="0" t="n">
        <v>0.985</v>
      </c>
      <c r="L125" s="176" t="n">
        <v>0.922325525</v>
      </c>
      <c r="M125" s="176" t="n">
        <v>0.971871937</v>
      </c>
      <c r="N125" s="0" t="n">
        <v>0.87506145</v>
      </c>
      <c r="O125" s="0" t="n">
        <v>0.9509104</v>
      </c>
      <c r="P125" s="0" t="n">
        <v>0.87506145</v>
      </c>
      <c r="Q125" s="177" t="n">
        <v>0.922325525</v>
      </c>
      <c r="R125" s="0" t="n">
        <v>0.922325525</v>
      </c>
      <c r="S125" s="176" t="n">
        <v>0.922325525</v>
      </c>
      <c r="T125" s="0" t="n">
        <v>0.87506145</v>
      </c>
      <c r="U125" s="0" t="n">
        <v>0.87506145</v>
      </c>
      <c r="V125" s="0" t="n">
        <v>0.87506145</v>
      </c>
      <c r="W125" s="0" t="n">
        <v>0.87506145</v>
      </c>
      <c r="X125" s="0" t="n">
        <v>0.9509104</v>
      </c>
      <c r="Y125" s="0" t="n">
        <v>0.9509104</v>
      </c>
      <c r="Z125" s="0" t="n">
        <v>0.9509104</v>
      </c>
      <c r="AA125" s="0" t="n">
        <v>0.9509104</v>
      </c>
      <c r="AB125" s="0" t="n">
        <v>0.87506145</v>
      </c>
      <c r="AC125" s="0" t="n">
        <v>0.87506145</v>
      </c>
      <c r="AD125" s="0" t="n">
        <v>0.9509104</v>
      </c>
      <c r="AE125" s="0" t="n">
        <v>0.9509104</v>
      </c>
      <c r="AF125" s="0" t="n">
        <v>0.87506145</v>
      </c>
      <c r="AG125" s="0" t="n">
        <v>0.98</v>
      </c>
      <c r="AH125" s="0" t="n">
        <v>0.97804325</v>
      </c>
      <c r="AI125" s="0" t="n">
        <v>0.97804325</v>
      </c>
      <c r="AJ125" s="0" t="n">
        <v>0.87506145</v>
      </c>
      <c r="AK125" s="0" t="n">
        <v>1</v>
      </c>
      <c r="AL125" s="0" t="n">
        <v>0.985</v>
      </c>
      <c r="AM125" s="0" t="n">
        <v>0.941949</v>
      </c>
      <c r="AS125" s="0" t="n">
        <v>0.977</v>
      </c>
      <c r="AT125" s="177" t="n">
        <v>0.9775</v>
      </c>
      <c r="AU125" s="0" t="n">
        <v>0.97804325</v>
      </c>
      <c r="AV125" s="0" t="n">
        <v>0.941949</v>
      </c>
      <c r="AW125" s="0" t="n">
        <v>0.941949</v>
      </c>
      <c r="AX125" s="0" t="n">
        <v>0.941949</v>
      </c>
      <c r="AY125" s="0" t="n">
        <v>0.97804325</v>
      </c>
      <c r="AZ125" s="0" t="n">
        <v>0.97804325</v>
      </c>
      <c r="BA125" s="0" t="n">
        <v>0.941949</v>
      </c>
      <c r="BB125" s="187" t="n">
        <v>1</v>
      </c>
      <c r="BC125" s="0" t="n">
        <v>1</v>
      </c>
      <c r="BD125" s="0" t="n">
        <v>1</v>
      </c>
      <c r="BE125" s="0" t="n">
        <v>1</v>
      </c>
      <c r="BF125" s="0" t="n">
        <v>0.9999</v>
      </c>
      <c r="BG125" s="0" t="n">
        <v>1</v>
      </c>
      <c r="BH125" s="0" t="n">
        <v>1</v>
      </c>
      <c r="BI125" s="0" t="n">
        <v>0.99</v>
      </c>
      <c r="BJ125" s="0" t="n">
        <v>0.999</v>
      </c>
      <c r="BK125" s="0" t="n">
        <v>0.998</v>
      </c>
      <c r="BL125" s="0" t="n">
        <v>0.9985</v>
      </c>
      <c r="BM125" s="0" t="n">
        <v>0.9985</v>
      </c>
      <c r="BN125" s="0" t="n">
        <v>0.972</v>
      </c>
      <c r="BO125" s="0" t="n">
        <v>0.9999</v>
      </c>
      <c r="BP125" s="0" t="n">
        <v>0.9999</v>
      </c>
      <c r="BQ125" s="0" t="n">
        <v>1</v>
      </c>
      <c r="BR125" s="0" t="n">
        <v>1.0980626</v>
      </c>
      <c r="BS125" s="0" t="n">
        <v>1.113</v>
      </c>
      <c r="BT125" s="0" t="n">
        <v>1.0827</v>
      </c>
      <c r="BU125" s="0" t="n">
        <v>1.0168</v>
      </c>
      <c r="BV125" s="0" t="n">
        <v>1</v>
      </c>
      <c r="BW125" s="0" t="n">
        <v>2.2758</v>
      </c>
      <c r="BX125" s="0" t="n">
        <v>2.288026333</v>
      </c>
      <c r="BY125" s="0" t="n">
        <v>1.10255</v>
      </c>
      <c r="BZ125" s="0" t="n">
        <v>1.2885</v>
      </c>
      <c r="CA125" s="0" t="n">
        <v>2.001</v>
      </c>
      <c r="CB125" s="0" t="n">
        <v>1.524505</v>
      </c>
      <c r="CC125" s="0" t="n">
        <v>1.524505</v>
      </c>
      <c r="CD125" s="0" t="n">
        <v>1.268205</v>
      </c>
      <c r="CE125" s="0" t="n">
        <v>1.08058</v>
      </c>
      <c r="CF125" s="0" t="n">
        <v>1.433805</v>
      </c>
      <c r="CG125" s="188"/>
      <c r="CH125" s="0" t="n">
        <v>1.098925</v>
      </c>
      <c r="CI125" s="188"/>
      <c r="CJ125" s="188"/>
      <c r="CK125" s="188"/>
      <c r="CL125" s="188"/>
      <c r="CM125" s="188"/>
      <c r="CN125" s="188"/>
      <c r="CO125" s="188"/>
      <c r="CP125" s="0" t="n">
        <v>0.895</v>
      </c>
      <c r="CQ125" s="0" t="n">
        <v>0.86</v>
      </c>
      <c r="CR125" s="0" t="n">
        <v>0.87</v>
      </c>
      <c r="CS125" s="0" t="n">
        <v>0.92</v>
      </c>
      <c r="CT125" s="0" t="n">
        <v>0.999</v>
      </c>
      <c r="CU125" s="0" t="n">
        <v>0.58</v>
      </c>
      <c r="CV125" s="0" t="n">
        <v>0.45</v>
      </c>
      <c r="CW125" s="0" t="n">
        <v>0.805</v>
      </c>
      <c r="CX125" s="0" t="n">
        <v>0.59</v>
      </c>
      <c r="CY125" s="0" t="n">
        <v>0.505</v>
      </c>
      <c r="CZ125" s="0" t="n">
        <v>0.605</v>
      </c>
      <c r="DA125" s="0" t="n">
        <v>0.6375</v>
      </c>
      <c r="DB125" s="0" t="n">
        <v>0.69</v>
      </c>
      <c r="DC125" s="0" t="n">
        <v>0.88</v>
      </c>
      <c r="DD125" s="0" t="n">
        <v>0.64</v>
      </c>
      <c r="DE125" s="0" t="n">
        <v>0.89</v>
      </c>
      <c r="DI125" s="0" t="n">
        <v>0.9775</v>
      </c>
      <c r="DN125" s="188" t="n">
        <v>0.000285</v>
      </c>
      <c r="DO125" s="188" t="n">
        <v>0.0002</v>
      </c>
      <c r="DP125" s="188" t="n">
        <v>0</v>
      </c>
      <c r="DQ125" s="188" t="n">
        <v>0.0001</v>
      </c>
      <c r="DR125" s="188" t="n">
        <v>0</v>
      </c>
      <c r="DS125" s="188" t="n">
        <v>0.0036</v>
      </c>
      <c r="DT125" s="188" t="n">
        <v>0.00047</v>
      </c>
      <c r="DU125" s="188" t="n">
        <v>0.0007</v>
      </c>
      <c r="DV125" s="188" t="n">
        <v>0</v>
      </c>
      <c r="DW125" s="188" t="n">
        <v>0</v>
      </c>
      <c r="DX125" s="188" t="n">
        <v>0.0005</v>
      </c>
      <c r="DY125" s="188" t="n">
        <v>0.0005</v>
      </c>
      <c r="DZ125" s="188" t="n">
        <v>0.0003</v>
      </c>
      <c r="EA125" s="188" t="n">
        <v>0.000275</v>
      </c>
      <c r="EB125" s="188" t="n">
        <v>0.0004</v>
      </c>
      <c r="ED125" s="188" t="n">
        <v>6.5E-005</v>
      </c>
      <c r="EF125" s="0" t="n">
        <v>1</v>
      </c>
    </row>
    <row r="126" customFormat="false" ht="12.75" hidden="false" customHeight="false" outlineLevel="0" collapsed="false">
      <c r="A126" s="149" t="n">
        <v>40210</v>
      </c>
      <c r="B126" s="0" t="n">
        <v>0.98</v>
      </c>
      <c r="C126" s="0" t="n">
        <v>0.957352</v>
      </c>
      <c r="D126" s="0" t="n">
        <v>0.96</v>
      </c>
      <c r="E126" s="0" t="n">
        <f aca="false">E114</f>
        <v>0.994</v>
      </c>
      <c r="F126" s="0" t="n">
        <v>0.977</v>
      </c>
      <c r="G126" s="0" t="n">
        <v>0.9875</v>
      </c>
      <c r="H126" s="0" t="n">
        <v>0.9875</v>
      </c>
      <c r="I126" s="0" t="n">
        <v>0.93224625</v>
      </c>
      <c r="J126" s="0" t="n">
        <v>0.9805</v>
      </c>
      <c r="K126" s="0" t="n">
        <v>0.985</v>
      </c>
      <c r="L126" s="176" t="n">
        <v>0.968378175</v>
      </c>
      <c r="M126" s="176" t="n">
        <v>0.9875</v>
      </c>
      <c r="N126" s="0" t="n">
        <v>0.90063855</v>
      </c>
      <c r="O126" s="0" t="n">
        <v>0.948450263</v>
      </c>
      <c r="P126" s="0" t="n">
        <v>0.90063855</v>
      </c>
      <c r="Q126" s="177" t="n">
        <v>0.968378175</v>
      </c>
      <c r="R126" s="0" t="n">
        <v>0.968378175</v>
      </c>
      <c r="S126" s="176" t="n">
        <v>0.968378175</v>
      </c>
      <c r="T126" s="0" t="n">
        <v>0.90063855</v>
      </c>
      <c r="U126" s="0" t="n">
        <v>0.90063855</v>
      </c>
      <c r="V126" s="0" t="n">
        <v>0.90063855</v>
      </c>
      <c r="W126" s="0" t="n">
        <v>0.90063855</v>
      </c>
      <c r="X126" s="0" t="n">
        <v>0.948450263</v>
      </c>
      <c r="Y126" s="0" t="n">
        <v>0.948450263</v>
      </c>
      <c r="Z126" s="0" t="n">
        <v>0.948450263</v>
      </c>
      <c r="AA126" s="0" t="n">
        <v>0.948450263</v>
      </c>
      <c r="AB126" s="0" t="n">
        <v>0.90063855</v>
      </c>
      <c r="AC126" s="0" t="n">
        <v>0.90063855</v>
      </c>
      <c r="AD126" s="0" t="n">
        <v>0.948450263</v>
      </c>
      <c r="AE126" s="0" t="n">
        <v>0.948450263</v>
      </c>
      <c r="AF126" s="0" t="n">
        <v>0.90063855</v>
      </c>
      <c r="AG126" s="0" t="n">
        <v>0.98</v>
      </c>
      <c r="AH126" s="0" t="n">
        <v>0.9781011</v>
      </c>
      <c r="AI126" s="0" t="n">
        <v>0.9781011</v>
      </c>
      <c r="AJ126" s="0" t="n">
        <v>0.90063855</v>
      </c>
      <c r="AK126" s="0" t="n">
        <v>1</v>
      </c>
      <c r="AL126" s="0" t="n">
        <v>0.985</v>
      </c>
      <c r="AM126" s="0" t="n">
        <v>0.963603</v>
      </c>
      <c r="AS126" s="0" t="n">
        <v>0.977</v>
      </c>
      <c r="AT126" s="177" t="n">
        <v>0.9775</v>
      </c>
      <c r="AU126" s="0" t="n">
        <v>0.9781011</v>
      </c>
      <c r="AV126" s="0" t="n">
        <v>0.963603</v>
      </c>
      <c r="AW126" s="0" t="n">
        <v>0.963603</v>
      </c>
      <c r="AX126" s="0" t="n">
        <v>0.963603</v>
      </c>
      <c r="AY126" s="0" t="n">
        <v>0.9781011</v>
      </c>
      <c r="AZ126" s="0" t="n">
        <v>0.9781011</v>
      </c>
      <c r="BA126" s="0" t="n">
        <v>0.963603</v>
      </c>
      <c r="BB126" s="187" t="n">
        <v>1</v>
      </c>
      <c r="BC126" s="0" t="n">
        <v>1</v>
      </c>
      <c r="BD126" s="0" t="n">
        <v>1</v>
      </c>
      <c r="BE126" s="0" t="n">
        <v>1</v>
      </c>
      <c r="BF126" s="0" t="n">
        <v>0.9999</v>
      </c>
      <c r="BG126" s="0" t="n">
        <v>1</v>
      </c>
      <c r="BH126" s="0" t="n">
        <v>1</v>
      </c>
      <c r="BI126" s="0" t="n">
        <v>0.99</v>
      </c>
      <c r="BJ126" s="0" t="n">
        <v>0.999</v>
      </c>
      <c r="BK126" s="0" t="n">
        <v>0.998</v>
      </c>
      <c r="BL126" s="0" t="n">
        <v>0.9985</v>
      </c>
      <c r="BM126" s="0" t="n">
        <v>0.9985</v>
      </c>
      <c r="BN126" s="0" t="n">
        <v>0.972</v>
      </c>
      <c r="BO126" s="0" t="n">
        <v>0.9999</v>
      </c>
      <c r="BP126" s="0" t="n">
        <v>0.9999</v>
      </c>
      <c r="BQ126" s="0" t="n">
        <v>1</v>
      </c>
      <c r="BR126" s="0" t="n">
        <v>1.0983476</v>
      </c>
      <c r="BS126" s="0" t="n">
        <v>1.1132</v>
      </c>
      <c r="BT126" s="0" t="n">
        <v>1.0827</v>
      </c>
      <c r="BU126" s="0" t="n">
        <v>1.0169</v>
      </c>
      <c r="BV126" s="0" t="n">
        <v>1</v>
      </c>
      <c r="BW126" s="0" t="n">
        <v>2.2794</v>
      </c>
      <c r="BX126" s="0" t="n">
        <v>2.288496333</v>
      </c>
      <c r="BY126" s="0" t="n">
        <v>1.10325</v>
      </c>
      <c r="BZ126" s="0" t="n">
        <v>1.2885</v>
      </c>
      <c r="CA126" s="0" t="n">
        <v>2.001</v>
      </c>
      <c r="CB126" s="0" t="n">
        <v>1.525005</v>
      </c>
      <c r="CC126" s="0" t="n">
        <v>1.525005</v>
      </c>
      <c r="CD126" s="0" t="n">
        <v>1.268505</v>
      </c>
      <c r="CE126" s="0" t="n">
        <v>1.080855</v>
      </c>
      <c r="CF126" s="0" t="n">
        <v>1.434205</v>
      </c>
      <c r="CG126" s="188"/>
      <c r="CH126" s="0" t="n">
        <v>1.09899</v>
      </c>
      <c r="CI126" s="188"/>
      <c r="CJ126" s="188"/>
      <c r="CK126" s="188"/>
      <c r="CL126" s="188"/>
      <c r="CM126" s="188"/>
      <c r="CN126" s="188"/>
      <c r="CO126" s="188"/>
      <c r="CP126" s="0" t="n">
        <v>0.865</v>
      </c>
      <c r="CQ126" s="0" t="n">
        <v>0.86</v>
      </c>
      <c r="CR126" s="0" t="n">
        <v>0.89</v>
      </c>
      <c r="CS126" s="0" t="n">
        <v>0.935</v>
      </c>
      <c r="CT126" s="0" t="n">
        <v>0.99895</v>
      </c>
      <c r="CU126" s="0" t="n">
        <v>0.58</v>
      </c>
      <c r="CV126" s="0" t="n">
        <v>0.45</v>
      </c>
      <c r="CW126" s="0" t="n">
        <v>0.845</v>
      </c>
      <c r="CX126" s="0" t="n">
        <v>0.695</v>
      </c>
      <c r="CY126" s="0" t="n">
        <v>0.505</v>
      </c>
      <c r="CZ126" s="0" t="n">
        <v>0.635</v>
      </c>
      <c r="DA126" s="0" t="n">
        <v>0.6675</v>
      </c>
      <c r="DB126" s="0" t="n">
        <v>0.71</v>
      </c>
      <c r="DC126" s="0" t="n">
        <v>0.8775</v>
      </c>
      <c r="DD126" s="0" t="n">
        <v>0.67</v>
      </c>
      <c r="DE126" s="0" t="n">
        <v>0.89</v>
      </c>
      <c r="DI126" s="0" t="n">
        <v>0.9775</v>
      </c>
      <c r="DN126" s="188" t="n">
        <v>0.000285</v>
      </c>
      <c r="DO126" s="188" t="n">
        <v>0.0002</v>
      </c>
      <c r="DP126" s="188" t="n">
        <v>0</v>
      </c>
      <c r="DQ126" s="188" t="n">
        <v>0.0001</v>
      </c>
      <c r="DR126" s="188" t="n">
        <v>0</v>
      </c>
      <c r="DS126" s="188" t="n">
        <v>0.0036</v>
      </c>
      <c r="DT126" s="188" t="n">
        <v>0.00047</v>
      </c>
      <c r="DU126" s="188" t="n">
        <v>0.0007</v>
      </c>
      <c r="DV126" s="188" t="n">
        <v>0</v>
      </c>
      <c r="DW126" s="188" t="n">
        <v>0</v>
      </c>
      <c r="DX126" s="188" t="n">
        <v>0.0005</v>
      </c>
      <c r="DY126" s="188" t="n">
        <v>0.0005</v>
      </c>
      <c r="DZ126" s="188" t="n">
        <v>0.0003</v>
      </c>
      <c r="EA126" s="188" t="n">
        <v>0.000275</v>
      </c>
      <c r="EB126" s="188" t="n">
        <v>0.0004</v>
      </c>
      <c r="ED126" s="188" t="n">
        <v>6.5E-005</v>
      </c>
      <c r="EF126" s="0" t="n">
        <v>1</v>
      </c>
    </row>
    <row r="127" customFormat="false" ht="12.75" hidden="false" customHeight="false" outlineLevel="0" collapsed="false">
      <c r="A127" s="149" t="n">
        <v>40238</v>
      </c>
      <c r="B127" s="0" t="n">
        <v>0.98</v>
      </c>
      <c r="C127" s="0" t="n">
        <v>0.988</v>
      </c>
      <c r="D127" s="0" t="n">
        <v>0.96</v>
      </c>
      <c r="E127" s="0" t="n">
        <f aca="false">E115</f>
        <v>0.994</v>
      </c>
      <c r="F127" s="0" t="n">
        <v>0.977</v>
      </c>
      <c r="G127" s="0" t="n">
        <v>0.9875</v>
      </c>
      <c r="H127" s="0" t="n">
        <v>0.9875</v>
      </c>
      <c r="I127" s="0" t="n">
        <v>0.96595625</v>
      </c>
      <c r="J127" s="0" t="n">
        <v>0.9805</v>
      </c>
      <c r="K127" s="0" t="n">
        <v>0.985</v>
      </c>
      <c r="L127" s="176" t="n">
        <v>0.9875</v>
      </c>
      <c r="M127" s="176" t="n">
        <v>0.9875</v>
      </c>
      <c r="N127" s="0" t="n">
        <v>0.98</v>
      </c>
      <c r="O127" s="0" t="n">
        <v>0.973017</v>
      </c>
      <c r="P127" s="0" t="n">
        <v>0.98</v>
      </c>
      <c r="Q127" s="177" t="n">
        <v>0.9875</v>
      </c>
      <c r="R127" s="0" t="n">
        <v>0.9875</v>
      </c>
      <c r="S127" s="176" t="n">
        <v>0.9875</v>
      </c>
      <c r="T127" s="0" t="n">
        <v>0.98</v>
      </c>
      <c r="U127" s="0" t="n">
        <v>0.98</v>
      </c>
      <c r="V127" s="0" t="n">
        <v>0.98</v>
      </c>
      <c r="W127" s="0" t="n">
        <v>0.98</v>
      </c>
      <c r="X127" s="0" t="n">
        <v>0.973017</v>
      </c>
      <c r="Y127" s="0" t="n">
        <v>0.973017</v>
      </c>
      <c r="Z127" s="0" t="n">
        <v>0.973017</v>
      </c>
      <c r="AA127" s="0" t="n">
        <v>0.973017</v>
      </c>
      <c r="AB127" s="0" t="n">
        <v>0.98</v>
      </c>
      <c r="AC127" s="0" t="n">
        <v>0.98</v>
      </c>
      <c r="AD127" s="0" t="n">
        <v>0.973017</v>
      </c>
      <c r="AE127" s="0" t="n">
        <v>0.973017</v>
      </c>
      <c r="AF127" s="0" t="n">
        <v>0.98</v>
      </c>
      <c r="AG127" s="0" t="n">
        <v>0.99</v>
      </c>
      <c r="AH127" s="0" t="n">
        <v>0.97815895</v>
      </c>
      <c r="AI127" s="0" t="n">
        <v>0.97815895</v>
      </c>
      <c r="AJ127" s="0" t="n">
        <v>0.98</v>
      </c>
      <c r="AK127" s="0" t="n">
        <v>1</v>
      </c>
      <c r="AL127" s="0" t="n">
        <v>0.985</v>
      </c>
      <c r="AM127" s="0" t="n">
        <v>0.985</v>
      </c>
      <c r="AS127" s="0" t="n">
        <v>0.977</v>
      </c>
      <c r="AT127" s="177" t="n">
        <v>0.9775</v>
      </c>
      <c r="AU127" s="0" t="n">
        <v>0.97815895</v>
      </c>
      <c r="AV127" s="0" t="n">
        <v>0.985</v>
      </c>
      <c r="AW127" s="0" t="n">
        <v>0.985</v>
      </c>
      <c r="AX127" s="0" t="n">
        <v>0.985</v>
      </c>
      <c r="AY127" s="0" t="n">
        <v>0.97815895</v>
      </c>
      <c r="AZ127" s="0" t="n">
        <v>0.97815895</v>
      </c>
      <c r="BA127" s="0" t="n">
        <v>0.985</v>
      </c>
      <c r="BB127" s="187" t="n">
        <v>1</v>
      </c>
      <c r="BC127" s="0" t="n">
        <v>1</v>
      </c>
      <c r="BD127" s="0" t="n">
        <v>1</v>
      </c>
      <c r="BE127" s="0" t="n">
        <v>1</v>
      </c>
      <c r="BF127" s="0" t="n">
        <v>0.9999</v>
      </c>
      <c r="BG127" s="0" t="n">
        <v>1</v>
      </c>
      <c r="BH127" s="0" t="n">
        <v>1</v>
      </c>
      <c r="BI127" s="0" t="n">
        <v>0.99</v>
      </c>
      <c r="BJ127" s="0" t="n">
        <v>0.999</v>
      </c>
      <c r="BK127" s="0" t="n">
        <v>0.998</v>
      </c>
      <c r="BL127" s="0" t="n">
        <v>0.9985</v>
      </c>
      <c r="BM127" s="0" t="n">
        <v>0.9985</v>
      </c>
      <c r="BN127" s="0" t="n">
        <v>0.972</v>
      </c>
      <c r="BO127" s="0" t="n">
        <v>0.9999</v>
      </c>
      <c r="BP127" s="0" t="n">
        <v>0.9999</v>
      </c>
      <c r="BQ127" s="0" t="n">
        <v>1</v>
      </c>
      <c r="BR127" s="0" t="n">
        <v>1.0986326</v>
      </c>
      <c r="BS127" s="0" t="n">
        <v>1.1134</v>
      </c>
      <c r="BT127" s="0" t="n">
        <v>1.0827</v>
      </c>
      <c r="BU127" s="0" t="n">
        <v>1.017</v>
      </c>
      <c r="BV127" s="0" t="n">
        <v>1</v>
      </c>
      <c r="BW127" s="0" t="n">
        <v>2.283</v>
      </c>
      <c r="BX127" s="0" t="n">
        <v>2.288966333</v>
      </c>
      <c r="BY127" s="0" t="n">
        <v>1.10395</v>
      </c>
      <c r="BZ127" s="0" t="n">
        <v>1.2885</v>
      </c>
      <c r="CA127" s="0" t="n">
        <v>2.001</v>
      </c>
      <c r="CB127" s="0" t="n">
        <v>1.525505</v>
      </c>
      <c r="CC127" s="0" t="n">
        <v>1.525505</v>
      </c>
      <c r="CD127" s="0" t="n">
        <v>1.268805</v>
      </c>
      <c r="CE127" s="0" t="n">
        <v>1.08113</v>
      </c>
      <c r="CF127" s="0" t="n">
        <v>1.434605</v>
      </c>
      <c r="CG127" s="188"/>
      <c r="CH127" s="0" t="n">
        <v>1.099055</v>
      </c>
      <c r="CI127" s="188"/>
      <c r="CJ127" s="188"/>
      <c r="CK127" s="188"/>
      <c r="CL127" s="188"/>
      <c r="CM127" s="188"/>
      <c r="CN127" s="188"/>
      <c r="CO127" s="188"/>
      <c r="CP127" s="0" t="n">
        <v>0.865</v>
      </c>
      <c r="CQ127" s="0" t="n">
        <v>0.89</v>
      </c>
      <c r="CR127" s="0" t="n">
        <v>0.91</v>
      </c>
      <c r="CS127" s="0" t="n">
        <v>0.935</v>
      </c>
      <c r="CT127" s="0" t="n">
        <v>0.99895</v>
      </c>
      <c r="CU127" s="0" t="n">
        <v>0.54</v>
      </c>
      <c r="CV127" s="0" t="n">
        <v>0.45</v>
      </c>
      <c r="CW127" s="0" t="n">
        <v>0.875</v>
      </c>
      <c r="CX127" s="0" t="n">
        <v>0.865</v>
      </c>
      <c r="CY127" s="0" t="n">
        <v>0.515</v>
      </c>
      <c r="CZ127" s="0" t="n">
        <v>0.785</v>
      </c>
      <c r="DA127" s="0" t="n">
        <v>0.8175</v>
      </c>
      <c r="DB127" s="0" t="n">
        <v>0.8</v>
      </c>
      <c r="DC127" s="0" t="n">
        <v>0.9</v>
      </c>
      <c r="DD127" s="0" t="n">
        <v>0.83</v>
      </c>
      <c r="DE127" s="0" t="n">
        <v>0.89</v>
      </c>
      <c r="DI127" s="0" t="n">
        <v>0.9775</v>
      </c>
      <c r="DN127" s="188" t="n">
        <v>0.000285</v>
      </c>
      <c r="DO127" s="188" t="n">
        <v>0.0002</v>
      </c>
      <c r="DP127" s="188" t="n">
        <v>0</v>
      </c>
      <c r="DQ127" s="188" t="n">
        <v>0.0001</v>
      </c>
      <c r="DR127" s="188" t="n">
        <v>0</v>
      </c>
      <c r="DS127" s="188" t="n">
        <v>0.0036</v>
      </c>
      <c r="DT127" s="188" t="n">
        <v>0.00047</v>
      </c>
      <c r="DU127" s="188" t="n">
        <v>0.0007</v>
      </c>
      <c r="DV127" s="188" t="n">
        <v>0</v>
      </c>
      <c r="DW127" s="188" t="n">
        <v>0</v>
      </c>
      <c r="DX127" s="188" t="n">
        <v>0.0005</v>
      </c>
      <c r="DY127" s="188" t="n">
        <v>0.0005</v>
      </c>
      <c r="DZ127" s="188" t="n">
        <v>0.0003</v>
      </c>
      <c r="EA127" s="188" t="n">
        <v>0.000275</v>
      </c>
      <c r="EB127" s="188" t="n">
        <v>0.0004</v>
      </c>
      <c r="ED127" s="188" t="n">
        <v>6.5E-005</v>
      </c>
      <c r="EF127" s="0" t="n">
        <v>1</v>
      </c>
    </row>
    <row r="128" customFormat="false" ht="12.75" hidden="false" customHeight="false" outlineLevel="0" collapsed="false">
      <c r="A128" s="149" t="n">
        <v>40269</v>
      </c>
      <c r="B128" s="0" t="n">
        <v>0.98</v>
      </c>
      <c r="C128" s="0" t="n">
        <v>0.988</v>
      </c>
      <c r="D128" s="0" t="n">
        <v>0.96</v>
      </c>
      <c r="E128" s="0" t="n">
        <v>0.985</v>
      </c>
      <c r="F128" s="0" t="n">
        <v>0.977</v>
      </c>
      <c r="G128" s="0" t="n">
        <v>0.9875</v>
      </c>
      <c r="H128" s="0" t="n">
        <v>0.96156326</v>
      </c>
      <c r="I128" s="0" t="n">
        <v>0.9875</v>
      </c>
      <c r="J128" s="0" t="n">
        <v>0.9805</v>
      </c>
      <c r="K128" s="0" t="n">
        <v>0.985</v>
      </c>
      <c r="L128" s="176" t="n">
        <v>0.9875</v>
      </c>
      <c r="M128" s="176" t="n">
        <v>0.9875</v>
      </c>
      <c r="N128" s="0" t="n">
        <v>0.98</v>
      </c>
      <c r="O128" s="0" t="n">
        <v>0.976508715</v>
      </c>
      <c r="P128" s="0" t="n">
        <v>0.98</v>
      </c>
      <c r="Q128" s="177" t="n">
        <v>0.9875</v>
      </c>
      <c r="R128" s="0" t="n">
        <v>0.9875</v>
      </c>
      <c r="S128" s="176" t="n">
        <v>0.9875</v>
      </c>
      <c r="T128" s="0" t="n">
        <v>0.98</v>
      </c>
      <c r="U128" s="0" t="n">
        <v>0.98</v>
      </c>
      <c r="V128" s="0" t="n">
        <v>0.98</v>
      </c>
      <c r="W128" s="0" t="n">
        <v>0.98</v>
      </c>
      <c r="X128" s="0" t="n">
        <v>0.976508715</v>
      </c>
      <c r="Y128" s="0" t="n">
        <v>0.976508715</v>
      </c>
      <c r="Z128" s="0" t="n">
        <v>0.976508715</v>
      </c>
      <c r="AA128" s="0" t="n">
        <v>0.976508715</v>
      </c>
      <c r="AB128" s="0" t="n">
        <v>0.98</v>
      </c>
      <c r="AC128" s="0" t="n">
        <v>0.98</v>
      </c>
      <c r="AD128" s="0" t="n">
        <v>0.976508715</v>
      </c>
      <c r="AE128" s="0" t="n">
        <v>0.976508715</v>
      </c>
      <c r="AF128" s="0" t="n">
        <v>0.98</v>
      </c>
      <c r="AG128" s="0" t="n">
        <v>0.99</v>
      </c>
      <c r="AH128" s="0" t="n">
        <v>0.9782168</v>
      </c>
      <c r="AI128" s="0" t="n">
        <v>0.9782168</v>
      </c>
      <c r="AJ128" s="0" t="n">
        <v>0.98</v>
      </c>
      <c r="AK128" s="0" t="n">
        <v>1</v>
      </c>
      <c r="AL128" s="0" t="n">
        <v>0.985</v>
      </c>
      <c r="AM128" s="0" t="n">
        <v>0.985</v>
      </c>
      <c r="AS128" s="0" t="n">
        <v>0.977</v>
      </c>
      <c r="AT128" s="177" t="n">
        <v>0.9775</v>
      </c>
      <c r="AU128" s="0" t="n">
        <v>0.9782168</v>
      </c>
      <c r="AV128" s="0" t="n">
        <v>0.985</v>
      </c>
      <c r="AW128" s="0" t="n">
        <v>0.985</v>
      </c>
      <c r="AX128" s="0" t="n">
        <v>0.985</v>
      </c>
      <c r="AY128" s="0" t="n">
        <v>0.9782168</v>
      </c>
      <c r="AZ128" s="0" t="n">
        <v>0.9782168</v>
      </c>
      <c r="BA128" s="0" t="n">
        <v>0.985</v>
      </c>
      <c r="BB128" s="187" t="n">
        <v>1</v>
      </c>
      <c r="BC128" s="0" t="n">
        <v>1</v>
      </c>
      <c r="BD128" s="0" t="n">
        <v>1</v>
      </c>
      <c r="BE128" s="0" t="n">
        <v>1</v>
      </c>
      <c r="BF128" s="0" t="n">
        <v>0.9999</v>
      </c>
      <c r="BG128" s="0" t="n">
        <v>1</v>
      </c>
      <c r="BH128" s="0" t="n">
        <v>1</v>
      </c>
      <c r="BI128" s="0" t="n">
        <v>0.99</v>
      </c>
      <c r="BJ128" s="0" t="n">
        <v>0.999</v>
      </c>
      <c r="BK128" s="0" t="n">
        <v>0.998</v>
      </c>
      <c r="BL128" s="0" t="n">
        <v>0.9985</v>
      </c>
      <c r="BM128" s="0" t="n">
        <v>0.9985</v>
      </c>
      <c r="BN128" s="0" t="n">
        <v>0.972</v>
      </c>
      <c r="BO128" s="0" t="n">
        <v>0.9999</v>
      </c>
      <c r="BP128" s="0" t="n">
        <v>0.9999</v>
      </c>
      <c r="BQ128" s="0" t="n">
        <v>1</v>
      </c>
      <c r="BR128" s="0" t="n">
        <v>1.0989176</v>
      </c>
      <c r="BS128" s="0" t="n">
        <v>1.1136</v>
      </c>
      <c r="BT128" s="0" t="n">
        <v>1.0827</v>
      </c>
      <c r="BU128" s="0" t="n">
        <v>1.0171</v>
      </c>
      <c r="BV128" s="0" t="n">
        <v>1</v>
      </c>
      <c r="BW128" s="0" t="n">
        <v>2.2866</v>
      </c>
      <c r="BX128" s="0" t="n">
        <v>2.289436333</v>
      </c>
      <c r="BY128" s="0" t="n">
        <v>1.10465</v>
      </c>
      <c r="BZ128" s="0" t="n">
        <v>1.2885</v>
      </c>
      <c r="CA128" s="0" t="n">
        <v>2.001</v>
      </c>
      <c r="CB128" s="0" t="n">
        <v>1.526005</v>
      </c>
      <c r="CC128" s="0" t="n">
        <v>1.526005</v>
      </c>
      <c r="CD128" s="0" t="n">
        <v>1.269105</v>
      </c>
      <c r="CE128" s="0" t="n">
        <v>1.081405</v>
      </c>
      <c r="CF128" s="0" t="n">
        <v>1.435005</v>
      </c>
      <c r="CG128" s="188"/>
      <c r="CH128" s="0" t="n">
        <v>1.09912</v>
      </c>
      <c r="CI128" s="188"/>
      <c r="CJ128" s="188"/>
      <c r="CK128" s="188"/>
      <c r="CL128" s="188"/>
      <c r="CM128" s="188"/>
      <c r="CN128" s="188"/>
      <c r="CO128" s="188"/>
      <c r="CP128" s="0" t="n">
        <v>0.895</v>
      </c>
      <c r="CQ128" s="0" t="n">
        <v>0.9</v>
      </c>
      <c r="CR128" s="0" t="n">
        <v>0.91</v>
      </c>
      <c r="CS128" s="0" t="n">
        <v>0.96</v>
      </c>
      <c r="CT128" s="0" t="n">
        <v>0.99895</v>
      </c>
      <c r="CU128" s="0" t="n">
        <v>0.48</v>
      </c>
      <c r="CV128" s="0" t="n">
        <v>0.42</v>
      </c>
      <c r="CW128" s="0" t="n">
        <v>0.935</v>
      </c>
      <c r="CX128" s="0" t="n">
        <v>0.855</v>
      </c>
      <c r="CY128" s="0" t="n">
        <v>0.575</v>
      </c>
      <c r="CZ128" s="0" t="n">
        <v>0.895</v>
      </c>
      <c r="DA128" s="0" t="n">
        <v>0.9275</v>
      </c>
      <c r="DB128" s="0" t="n">
        <v>0.85</v>
      </c>
      <c r="DC128" s="0" t="n">
        <v>0.903</v>
      </c>
      <c r="DD128" s="0" t="n">
        <v>0.92</v>
      </c>
      <c r="DE128" s="0" t="n">
        <v>0.89</v>
      </c>
      <c r="DI128" s="0" t="n">
        <v>0.9775</v>
      </c>
      <c r="DN128" s="188" t="n">
        <v>0.000285</v>
      </c>
      <c r="DO128" s="188" t="n">
        <v>0.0002</v>
      </c>
      <c r="DP128" s="188" t="n">
        <v>0</v>
      </c>
      <c r="DQ128" s="188" t="n">
        <v>0.0001</v>
      </c>
      <c r="DR128" s="188" t="n">
        <v>0</v>
      </c>
      <c r="DS128" s="188" t="n">
        <v>0.0036</v>
      </c>
      <c r="DT128" s="188" t="n">
        <v>0.00047</v>
      </c>
      <c r="DU128" s="188" t="n">
        <v>0.0007</v>
      </c>
      <c r="DV128" s="188" t="n">
        <v>0</v>
      </c>
      <c r="DW128" s="188" t="n">
        <v>0</v>
      </c>
      <c r="DX128" s="188" t="n">
        <v>0.0005</v>
      </c>
      <c r="DY128" s="188" t="n">
        <v>0.0005</v>
      </c>
      <c r="DZ128" s="188" t="n">
        <v>0.0003</v>
      </c>
      <c r="EA128" s="188" t="n">
        <v>0.000275</v>
      </c>
      <c r="EB128" s="188" t="n">
        <v>0.0004</v>
      </c>
      <c r="ED128" s="188" t="n">
        <v>6.5E-005</v>
      </c>
      <c r="EF128" s="0" t="n">
        <v>1</v>
      </c>
    </row>
    <row r="129" customFormat="false" ht="12.75" hidden="false" customHeight="false" outlineLevel="0" collapsed="false">
      <c r="A129" s="149" t="n">
        <v>40299</v>
      </c>
      <c r="B129" s="0" t="n">
        <v>0.98</v>
      </c>
      <c r="C129" s="0" t="n">
        <v>0.988</v>
      </c>
      <c r="D129" s="0" t="n">
        <v>0.96</v>
      </c>
      <c r="E129" s="0" t="n">
        <v>0.985</v>
      </c>
      <c r="F129" s="0" t="n">
        <v>0.977</v>
      </c>
      <c r="G129" s="0" t="n">
        <v>0.778668</v>
      </c>
      <c r="H129" s="0" t="n">
        <v>0.96176066</v>
      </c>
      <c r="I129" s="0" t="n">
        <v>0.9875</v>
      </c>
      <c r="J129" s="0" t="n">
        <v>0.9805</v>
      </c>
      <c r="K129" s="0" t="n">
        <v>0.985</v>
      </c>
      <c r="L129" s="176" t="n">
        <v>0.9875</v>
      </c>
      <c r="M129" s="176" t="n">
        <v>0.9875</v>
      </c>
      <c r="N129" s="0" t="n">
        <v>0.98</v>
      </c>
      <c r="O129" s="0" t="n">
        <v>0.973512</v>
      </c>
      <c r="P129" s="0" t="n">
        <v>0.98</v>
      </c>
      <c r="Q129" s="177" t="n">
        <v>0.9875</v>
      </c>
      <c r="R129" s="0" t="n">
        <v>0.9875</v>
      </c>
      <c r="S129" s="176" t="n">
        <v>0.9875</v>
      </c>
      <c r="T129" s="0" t="n">
        <v>0.98</v>
      </c>
      <c r="U129" s="0" t="n">
        <v>0.98</v>
      </c>
      <c r="V129" s="0" t="n">
        <v>0.98</v>
      </c>
      <c r="W129" s="0" t="n">
        <v>0.98</v>
      </c>
      <c r="X129" s="0" t="n">
        <v>0.973512</v>
      </c>
      <c r="Y129" s="0" t="n">
        <v>0.973512</v>
      </c>
      <c r="Z129" s="0" t="n">
        <v>0.973512</v>
      </c>
      <c r="AA129" s="0" t="n">
        <v>0.973512</v>
      </c>
      <c r="AB129" s="0" t="n">
        <v>0.98</v>
      </c>
      <c r="AC129" s="0" t="n">
        <v>0.98</v>
      </c>
      <c r="AD129" s="0" t="n">
        <v>0.973512</v>
      </c>
      <c r="AE129" s="0" t="n">
        <v>0.973512</v>
      </c>
      <c r="AF129" s="0" t="n">
        <v>0.98</v>
      </c>
      <c r="AG129" s="0" t="n">
        <v>0.99</v>
      </c>
      <c r="AH129" s="0" t="n">
        <v>0.97827465</v>
      </c>
      <c r="AI129" s="0" t="n">
        <v>0.97827465</v>
      </c>
      <c r="AJ129" s="0" t="n">
        <v>0.98</v>
      </c>
      <c r="AK129" s="0" t="n">
        <v>1</v>
      </c>
      <c r="AL129" s="0" t="n">
        <v>0.985</v>
      </c>
      <c r="AM129" s="0" t="n">
        <v>0.985</v>
      </c>
      <c r="AS129" s="0" t="n">
        <v>0.977</v>
      </c>
      <c r="AT129" s="177" t="n">
        <v>0.9775</v>
      </c>
      <c r="AU129" s="0" t="n">
        <v>0.97827465</v>
      </c>
      <c r="AV129" s="0" t="n">
        <v>0.985</v>
      </c>
      <c r="AW129" s="0" t="n">
        <v>0.985</v>
      </c>
      <c r="AX129" s="0" t="n">
        <v>0.985</v>
      </c>
      <c r="AY129" s="0" t="n">
        <v>0.97827465</v>
      </c>
      <c r="AZ129" s="0" t="n">
        <v>0.97827465</v>
      </c>
      <c r="BA129" s="0" t="n">
        <v>0.985</v>
      </c>
      <c r="BB129" s="187" t="n">
        <v>1</v>
      </c>
      <c r="BC129" s="0" t="n">
        <v>1</v>
      </c>
      <c r="BD129" s="0" t="n">
        <v>1</v>
      </c>
      <c r="BE129" s="0" t="n">
        <v>1</v>
      </c>
      <c r="BF129" s="0" t="n">
        <v>0.9999</v>
      </c>
      <c r="BG129" s="0" t="n">
        <v>1</v>
      </c>
      <c r="BH129" s="0" t="n">
        <v>1</v>
      </c>
      <c r="BI129" s="0" t="n">
        <v>0.99</v>
      </c>
      <c r="BJ129" s="0" t="n">
        <v>0.999</v>
      </c>
      <c r="BK129" s="0" t="n">
        <v>0.998</v>
      </c>
      <c r="BL129" s="0" t="n">
        <v>0.9985</v>
      </c>
      <c r="BM129" s="0" t="n">
        <v>0.9985</v>
      </c>
      <c r="BN129" s="0" t="n">
        <v>0.972</v>
      </c>
      <c r="BO129" s="0" t="n">
        <v>0.9999</v>
      </c>
      <c r="BP129" s="0" t="n">
        <v>0.9999</v>
      </c>
      <c r="BQ129" s="0" t="n">
        <v>1</v>
      </c>
      <c r="BR129" s="0" t="n">
        <v>1.0992026</v>
      </c>
      <c r="BS129" s="0" t="n">
        <v>1.1138</v>
      </c>
      <c r="BT129" s="0" t="n">
        <v>1.0827</v>
      </c>
      <c r="BU129" s="0" t="n">
        <v>1.0172</v>
      </c>
      <c r="BV129" s="0" t="n">
        <v>1</v>
      </c>
      <c r="BW129" s="0" t="n">
        <v>2.2902</v>
      </c>
      <c r="BX129" s="0" t="n">
        <v>2.289906333</v>
      </c>
      <c r="BY129" s="0" t="n">
        <v>1.10535</v>
      </c>
      <c r="BZ129" s="0" t="n">
        <v>1.2885</v>
      </c>
      <c r="CA129" s="0" t="n">
        <v>2.001</v>
      </c>
      <c r="CB129" s="0" t="n">
        <v>1.526505</v>
      </c>
      <c r="CC129" s="0" t="n">
        <v>1.526505</v>
      </c>
      <c r="CD129" s="0" t="n">
        <v>1.269405</v>
      </c>
      <c r="CE129" s="0" t="n">
        <v>1.08168</v>
      </c>
      <c r="CF129" s="0" t="n">
        <v>1.435405</v>
      </c>
      <c r="CG129" s="188"/>
      <c r="CH129" s="0" t="n">
        <v>1.099185</v>
      </c>
      <c r="CI129" s="188"/>
      <c r="CJ129" s="188"/>
      <c r="CK129" s="188"/>
      <c r="CL129" s="188"/>
      <c r="CM129" s="188"/>
      <c r="CN129" s="188"/>
      <c r="CO129" s="188"/>
      <c r="CP129" s="0" t="n">
        <v>0.965</v>
      </c>
      <c r="CQ129" s="0" t="n">
        <v>0.91</v>
      </c>
      <c r="CR129" s="0" t="n">
        <v>0.91</v>
      </c>
      <c r="CS129" s="0" t="n">
        <v>0.97</v>
      </c>
      <c r="CT129" s="0" t="n">
        <v>0.99895</v>
      </c>
      <c r="CU129" s="0" t="n">
        <v>0.34</v>
      </c>
      <c r="CV129" s="0" t="n">
        <v>0.42</v>
      </c>
      <c r="CW129" s="0" t="n">
        <v>0.935</v>
      </c>
      <c r="CX129" s="0" t="n">
        <v>0.755</v>
      </c>
      <c r="CY129" s="0" t="n">
        <v>0.625</v>
      </c>
      <c r="CZ129" s="0" t="n">
        <v>0.9175</v>
      </c>
      <c r="DA129" s="0" t="n">
        <v>0.95</v>
      </c>
      <c r="DB129" s="0" t="n">
        <v>0.88</v>
      </c>
      <c r="DC129" s="0" t="n">
        <v>0.9</v>
      </c>
      <c r="DD129" s="0" t="n">
        <v>0.935</v>
      </c>
      <c r="DE129" s="0" t="n">
        <v>0.89</v>
      </c>
      <c r="DI129" s="0" t="n">
        <v>0.9775</v>
      </c>
      <c r="DN129" s="188" t="n">
        <v>0.000285</v>
      </c>
      <c r="DO129" s="188" t="n">
        <v>0.0002</v>
      </c>
      <c r="DP129" s="188" t="n">
        <v>0</v>
      </c>
      <c r="DQ129" s="188" t="n">
        <v>0.0001</v>
      </c>
      <c r="DR129" s="188" t="n">
        <v>0</v>
      </c>
      <c r="DS129" s="188" t="n">
        <v>0.0036</v>
      </c>
      <c r="DT129" s="188" t="n">
        <v>0.00047</v>
      </c>
      <c r="DU129" s="188" t="n">
        <v>0.0007</v>
      </c>
      <c r="DV129" s="188" t="n">
        <v>0</v>
      </c>
      <c r="DW129" s="188" t="n">
        <v>0</v>
      </c>
      <c r="DX129" s="188" t="n">
        <v>0.0005</v>
      </c>
      <c r="DY129" s="188" t="n">
        <v>0.0005</v>
      </c>
      <c r="DZ129" s="188" t="n">
        <v>0.0003</v>
      </c>
      <c r="EA129" s="188" t="n">
        <v>0.000275</v>
      </c>
      <c r="EB129" s="188" t="n">
        <v>0.0004</v>
      </c>
      <c r="ED129" s="188" t="n">
        <v>6.5E-005</v>
      </c>
      <c r="EF129" s="0" t="n">
        <v>1</v>
      </c>
    </row>
    <row r="130" customFormat="false" ht="12.75" hidden="false" customHeight="false" outlineLevel="0" collapsed="false">
      <c r="A130" s="149" t="n">
        <v>40330</v>
      </c>
      <c r="B130" s="0" t="n">
        <v>0.98</v>
      </c>
      <c r="C130" s="0" t="n">
        <v>0.988</v>
      </c>
      <c r="D130" s="0" t="n">
        <v>0.96</v>
      </c>
      <c r="E130" s="0" t="n">
        <v>0.985</v>
      </c>
      <c r="F130" s="0" t="n">
        <v>0.977</v>
      </c>
      <c r="G130" s="0" t="n">
        <v>0.779892</v>
      </c>
      <c r="H130" s="0" t="n">
        <v>0.9875</v>
      </c>
      <c r="I130" s="0" t="n">
        <v>0.9875</v>
      </c>
      <c r="J130" s="0" t="n">
        <v>0.9805</v>
      </c>
      <c r="K130" s="0" t="n">
        <v>0.985</v>
      </c>
      <c r="L130" s="176" t="n">
        <v>0.9875</v>
      </c>
      <c r="M130" s="176" t="n">
        <v>0.9875</v>
      </c>
      <c r="N130" s="0" t="n">
        <v>0.98</v>
      </c>
      <c r="O130" s="0" t="n">
        <v>0.976464388</v>
      </c>
      <c r="P130" s="0" t="n">
        <v>0.98</v>
      </c>
      <c r="Q130" s="177" t="n">
        <v>0.9875</v>
      </c>
      <c r="R130" s="0" t="n">
        <v>0.9875</v>
      </c>
      <c r="S130" s="176" t="n">
        <v>0.9875</v>
      </c>
      <c r="T130" s="0" t="n">
        <v>0.98</v>
      </c>
      <c r="U130" s="0" t="n">
        <v>0.98</v>
      </c>
      <c r="V130" s="0" t="n">
        <v>0.98</v>
      </c>
      <c r="W130" s="0" t="n">
        <v>0.98</v>
      </c>
      <c r="X130" s="0" t="n">
        <v>0.976464388</v>
      </c>
      <c r="Y130" s="0" t="n">
        <v>0.976464388</v>
      </c>
      <c r="Z130" s="0" t="n">
        <v>0.976464388</v>
      </c>
      <c r="AA130" s="0" t="n">
        <v>0.976464388</v>
      </c>
      <c r="AB130" s="0" t="n">
        <v>0.98</v>
      </c>
      <c r="AC130" s="0" t="n">
        <v>0.98</v>
      </c>
      <c r="AD130" s="0" t="n">
        <v>0.976464388</v>
      </c>
      <c r="AE130" s="0" t="n">
        <v>0.976464388</v>
      </c>
      <c r="AF130" s="0" t="n">
        <v>0.98</v>
      </c>
      <c r="AG130" s="0" t="n">
        <v>0.99</v>
      </c>
      <c r="AH130" s="0" t="n">
        <v>0.9783325</v>
      </c>
      <c r="AI130" s="0" t="n">
        <v>0.9783325</v>
      </c>
      <c r="AJ130" s="0" t="n">
        <v>0.98</v>
      </c>
      <c r="AK130" s="0" t="n">
        <v>1</v>
      </c>
      <c r="AL130" s="0" t="n">
        <v>0.985</v>
      </c>
      <c r="AM130" s="0" t="n">
        <v>0.985</v>
      </c>
      <c r="AS130" s="0" t="n">
        <v>0.977</v>
      </c>
      <c r="AT130" s="177" t="n">
        <v>0.9775</v>
      </c>
      <c r="AU130" s="0" t="n">
        <v>0.9783325</v>
      </c>
      <c r="AV130" s="0" t="n">
        <v>0.985</v>
      </c>
      <c r="AW130" s="0" t="n">
        <v>0.985</v>
      </c>
      <c r="AX130" s="0" t="n">
        <v>0.985</v>
      </c>
      <c r="AY130" s="0" t="n">
        <v>0.9783325</v>
      </c>
      <c r="AZ130" s="0" t="n">
        <v>0.9783325</v>
      </c>
      <c r="BA130" s="0" t="n">
        <v>0.985</v>
      </c>
      <c r="BB130" s="187" t="n">
        <v>1</v>
      </c>
      <c r="BC130" s="0" t="n">
        <v>1</v>
      </c>
      <c r="BD130" s="0" t="n">
        <v>1</v>
      </c>
      <c r="BE130" s="0" t="n">
        <v>1</v>
      </c>
      <c r="BF130" s="0" t="n">
        <v>0.9999</v>
      </c>
      <c r="BG130" s="0" t="n">
        <v>1</v>
      </c>
      <c r="BH130" s="0" t="n">
        <v>1</v>
      </c>
      <c r="BI130" s="0" t="n">
        <v>0.99</v>
      </c>
      <c r="BJ130" s="0" t="n">
        <v>0.999</v>
      </c>
      <c r="BK130" s="0" t="n">
        <v>0.998</v>
      </c>
      <c r="BL130" s="0" t="n">
        <v>0.9985</v>
      </c>
      <c r="BM130" s="0" t="n">
        <v>0.9985</v>
      </c>
      <c r="BN130" s="0" t="n">
        <v>0.972</v>
      </c>
      <c r="BO130" s="0" t="n">
        <v>0.9999</v>
      </c>
      <c r="BP130" s="0" t="n">
        <v>0.9999</v>
      </c>
      <c r="BQ130" s="0" t="n">
        <v>1</v>
      </c>
      <c r="BR130" s="0" t="n">
        <v>1.0994876</v>
      </c>
      <c r="BS130" s="0" t="n">
        <v>1.114</v>
      </c>
      <c r="BT130" s="0" t="n">
        <v>1.0827</v>
      </c>
      <c r="BU130" s="0" t="n">
        <v>1.0173</v>
      </c>
      <c r="BV130" s="0" t="n">
        <v>1</v>
      </c>
      <c r="BW130" s="0" t="n">
        <v>2.2938</v>
      </c>
      <c r="BX130" s="0" t="n">
        <v>2.290376333</v>
      </c>
      <c r="BY130" s="0" t="n">
        <v>1.10605</v>
      </c>
      <c r="BZ130" s="0" t="n">
        <v>1.2885</v>
      </c>
      <c r="CA130" s="0" t="n">
        <v>2.001</v>
      </c>
      <c r="CB130" s="0" t="n">
        <v>1.527005</v>
      </c>
      <c r="CC130" s="0" t="n">
        <v>1.527005</v>
      </c>
      <c r="CD130" s="0" t="n">
        <v>1.269705</v>
      </c>
      <c r="CE130" s="0" t="n">
        <v>1.081955</v>
      </c>
      <c r="CF130" s="0" t="n">
        <v>1.435805</v>
      </c>
      <c r="CG130" s="188"/>
      <c r="CH130" s="0" t="n">
        <v>1.09925</v>
      </c>
      <c r="CI130" s="188"/>
      <c r="CJ130" s="188"/>
      <c r="CK130" s="188"/>
      <c r="CL130" s="188"/>
      <c r="CM130" s="188"/>
      <c r="CN130" s="188"/>
      <c r="CO130" s="188"/>
      <c r="CP130" s="0" t="n">
        <v>0.965</v>
      </c>
      <c r="CQ130" s="0" t="n">
        <v>0.91</v>
      </c>
      <c r="CR130" s="0" t="n">
        <v>0.91</v>
      </c>
      <c r="CS130" s="0" t="n">
        <v>0.98</v>
      </c>
      <c r="CT130" s="0" t="n">
        <v>0.99895</v>
      </c>
      <c r="CU130" s="0" t="n">
        <v>0.34</v>
      </c>
      <c r="CV130" s="0" t="n">
        <v>0.47</v>
      </c>
      <c r="CW130" s="0" t="n">
        <v>0.935</v>
      </c>
      <c r="CX130" s="0" t="n">
        <v>0.665</v>
      </c>
      <c r="CY130" s="0" t="n">
        <v>0.725</v>
      </c>
      <c r="CZ130" s="0" t="n">
        <v>0.8825</v>
      </c>
      <c r="DA130" s="0" t="n">
        <v>0.915</v>
      </c>
      <c r="DB130" s="0" t="n">
        <v>0.88</v>
      </c>
      <c r="DC130" s="0" t="n">
        <v>0.9025</v>
      </c>
      <c r="DD130" s="0" t="n">
        <v>0.915</v>
      </c>
      <c r="DE130" s="0" t="n">
        <v>0.89</v>
      </c>
      <c r="DI130" s="0" t="n">
        <v>0.9775</v>
      </c>
      <c r="DN130" s="188" t="n">
        <v>0.000285</v>
      </c>
      <c r="DO130" s="188" t="n">
        <v>0.0002</v>
      </c>
      <c r="DP130" s="188" t="n">
        <v>0</v>
      </c>
      <c r="DQ130" s="188" t="n">
        <v>0.0001</v>
      </c>
      <c r="DR130" s="188" t="n">
        <v>0</v>
      </c>
      <c r="DS130" s="188" t="n">
        <v>0.0036</v>
      </c>
      <c r="DT130" s="188" t="n">
        <v>0.00047</v>
      </c>
      <c r="DU130" s="188" t="n">
        <v>0.0007</v>
      </c>
      <c r="DV130" s="188" t="n">
        <v>0</v>
      </c>
      <c r="DW130" s="188" t="n">
        <v>0</v>
      </c>
      <c r="DX130" s="188" t="n">
        <v>0.0005</v>
      </c>
      <c r="DY130" s="188" t="n">
        <v>0.0005</v>
      </c>
      <c r="DZ130" s="188" t="n">
        <v>0.0003</v>
      </c>
      <c r="EA130" s="188" t="n">
        <v>0.000275</v>
      </c>
      <c r="EB130" s="188" t="n">
        <v>0.0004</v>
      </c>
      <c r="ED130" s="188" t="n">
        <v>6.5E-005</v>
      </c>
      <c r="EF130" s="0" t="n">
        <v>1</v>
      </c>
    </row>
    <row r="131" customFormat="false" ht="12.75" hidden="false" customHeight="false" outlineLevel="0" collapsed="false">
      <c r="A131" s="149" t="n">
        <v>40360</v>
      </c>
      <c r="B131" s="0" t="n">
        <v>0.98</v>
      </c>
      <c r="C131" s="0" t="n">
        <v>0.988</v>
      </c>
      <c r="D131" s="0" t="n">
        <v>0.96</v>
      </c>
      <c r="E131" s="0" t="n">
        <v>0.985</v>
      </c>
      <c r="F131" s="0" t="n">
        <v>0.977</v>
      </c>
      <c r="G131" s="0" t="n">
        <v>0.941934</v>
      </c>
      <c r="H131" s="0" t="n">
        <v>0.9875</v>
      </c>
      <c r="I131" s="0" t="n">
        <v>0.9875</v>
      </c>
      <c r="J131" s="0" t="n">
        <v>0.9805</v>
      </c>
      <c r="K131" s="0" t="n">
        <v>0.985</v>
      </c>
      <c r="L131" s="176" t="n">
        <v>0.9875</v>
      </c>
      <c r="M131" s="176" t="n">
        <v>0.9875</v>
      </c>
      <c r="N131" s="0" t="n">
        <v>0.98</v>
      </c>
      <c r="O131" s="0" t="n">
        <v>0.982123725</v>
      </c>
      <c r="P131" s="0" t="n">
        <v>0.98</v>
      </c>
      <c r="Q131" s="177" t="n">
        <v>0.9875</v>
      </c>
      <c r="R131" s="0" t="n">
        <v>0.9875</v>
      </c>
      <c r="S131" s="176" t="n">
        <v>0.9875</v>
      </c>
      <c r="T131" s="0" t="n">
        <v>0.98</v>
      </c>
      <c r="U131" s="0" t="n">
        <v>0.98</v>
      </c>
      <c r="V131" s="0" t="n">
        <v>0.98</v>
      </c>
      <c r="W131" s="0" t="n">
        <v>0.98</v>
      </c>
      <c r="X131" s="0" t="n">
        <v>0.982123725</v>
      </c>
      <c r="Y131" s="0" t="n">
        <v>0.982123725</v>
      </c>
      <c r="Z131" s="0" t="n">
        <v>0.982123725</v>
      </c>
      <c r="AA131" s="0" t="n">
        <v>0.982123725</v>
      </c>
      <c r="AB131" s="0" t="n">
        <v>0.98</v>
      </c>
      <c r="AC131" s="0" t="n">
        <v>0.98</v>
      </c>
      <c r="AD131" s="0" t="n">
        <v>0.982123725</v>
      </c>
      <c r="AE131" s="0" t="n">
        <v>0.982123725</v>
      </c>
      <c r="AF131" s="0" t="n">
        <v>0.98</v>
      </c>
      <c r="AG131" s="0" t="n">
        <v>0.99</v>
      </c>
      <c r="AH131" s="0" t="n">
        <v>0.97839035</v>
      </c>
      <c r="AI131" s="0" t="n">
        <v>0.97839035</v>
      </c>
      <c r="AJ131" s="0" t="n">
        <v>0.98</v>
      </c>
      <c r="AK131" s="0" t="n">
        <v>1</v>
      </c>
      <c r="AL131" s="0" t="n">
        <v>0.985</v>
      </c>
      <c r="AM131" s="0" t="n">
        <v>0.985</v>
      </c>
      <c r="AS131" s="0" t="n">
        <v>0.977</v>
      </c>
      <c r="AT131" s="177" t="n">
        <v>0.9775</v>
      </c>
      <c r="AU131" s="0" t="n">
        <v>0.97839035</v>
      </c>
      <c r="AV131" s="0" t="n">
        <v>0.985</v>
      </c>
      <c r="AW131" s="0" t="n">
        <v>0.985</v>
      </c>
      <c r="AX131" s="0" t="n">
        <v>0.985</v>
      </c>
      <c r="AY131" s="0" t="n">
        <v>0.97839035</v>
      </c>
      <c r="AZ131" s="0" t="n">
        <v>0.97839035</v>
      </c>
      <c r="BA131" s="0" t="n">
        <v>0.985</v>
      </c>
      <c r="BB131" s="187" t="n">
        <v>1</v>
      </c>
      <c r="BC131" s="0" t="n">
        <v>1</v>
      </c>
      <c r="BD131" s="0" t="n">
        <v>1</v>
      </c>
      <c r="BE131" s="0" t="n">
        <v>1</v>
      </c>
      <c r="BF131" s="0" t="n">
        <v>0.9999</v>
      </c>
      <c r="BG131" s="0" t="n">
        <v>1</v>
      </c>
      <c r="BH131" s="0" t="n">
        <v>1</v>
      </c>
      <c r="BI131" s="0" t="n">
        <v>0.99</v>
      </c>
      <c r="BJ131" s="0" t="n">
        <v>0.999</v>
      </c>
      <c r="BK131" s="0" t="n">
        <v>0.998</v>
      </c>
      <c r="BL131" s="0" t="n">
        <v>0.9985</v>
      </c>
      <c r="BM131" s="0" t="n">
        <v>0.9985</v>
      </c>
      <c r="BN131" s="0" t="n">
        <v>0.972</v>
      </c>
      <c r="BO131" s="0" t="n">
        <v>0.9999</v>
      </c>
      <c r="BP131" s="0" t="n">
        <v>0.9999</v>
      </c>
      <c r="BQ131" s="0" t="n">
        <v>1</v>
      </c>
      <c r="BR131" s="0" t="n">
        <v>1.0997726</v>
      </c>
      <c r="BS131" s="0" t="n">
        <v>1.1142</v>
      </c>
      <c r="BT131" s="0" t="n">
        <v>1.0827</v>
      </c>
      <c r="BU131" s="0" t="n">
        <v>1.0174</v>
      </c>
      <c r="BV131" s="0" t="n">
        <v>1</v>
      </c>
      <c r="BW131" s="0" t="n">
        <v>2.2974</v>
      </c>
      <c r="BX131" s="0" t="n">
        <v>2.290846333</v>
      </c>
      <c r="BY131" s="0" t="n">
        <v>1.10675</v>
      </c>
      <c r="BZ131" s="0" t="n">
        <v>1.2885</v>
      </c>
      <c r="CA131" s="0" t="n">
        <v>2.001</v>
      </c>
      <c r="CB131" s="0" t="n">
        <v>1.527505</v>
      </c>
      <c r="CC131" s="0" t="n">
        <v>1.527505</v>
      </c>
      <c r="CD131" s="0" t="n">
        <v>1.270005</v>
      </c>
      <c r="CE131" s="0" t="n">
        <v>1.08223</v>
      </c>
      <c r="CF131" s="0" t="n">
        <v>1.436205</v>
      </c>
      <c r="CG131" s="188"/>
      <c r="CH131" s="0" t="n">
        <v>1.099315</v>
      </c>
      <c r="CI131" s="188"/>
      <c r="CJ131" s="188"/>
      <c r="CK131" s="188"/>
      <c r="CL131" s="188"/>
      <c r="CM131" s="188"/>
      <c r="CN131" s="188"/>
      <c r="CO131" s="188"/>
      <c r="CP131" s="0" t="n">
        <v>0.975</v>
      </c>
      <c r="CQ131" s="0" t="n">
        <v>0.91</v>
      </c>
      <c r="CR131" s="0" t="n">
        <v>0.91</v>
      </c>
      <c r="CS131" s="0" t="n">
        <v>0.97</v>
      </c>
      <c r="CT131" s="0" t="n">
        <v>0.99895</v>
      </c>
      <c r="CU131" s="0" t="n">
        <v>0.41</v>
      </c>
      <c r="CV131" s="0" t="n">
        <v>0.47</v>
      </c>
      <c r="CW131" s="0" t="n">
        <v>0.935</v>
      </c>
      <c r="CX131" s="0" t="n">
        <v>0.685</v>
      </c>
      <c r="CY131" s="0" t="n">
        <v>0.725</v>
      </c>
      <c r="CZ131" s="0" t="n">
        <v>0.8775</v>
      </c>
      <c r="DA131" s="0" t="n">
        <v>0.91</v>
      </c>
      <c r="DB131" s="0" t="n">
        <v>0.89</v>
      </c>
      <c r="DC131" s="0" t="n">
        <v>0.9075</v>
      </c>
      <c r="DD131" s="0" t="n">
        <v>0.915</v>
      </c>
      <c r="DE131" s="0" t="n">
        <v>0.89</v>
      </c>
      <c r="DI131" s="0" t="n">
        <v>0.9775</v>
      </c>
      <c r="DN131" s="188" t="n">
        <v>0.000285</v>
      </c>
      <c r="DO131" s="188" t="n">
        <v>0.0002</v>
      </c>
      <c r="DP131" s="188" t="n">
        <v>0</v>
      </c>
      <c r="DQ131" s="188" t="n">
        <v>0.0001</v>
      </c>
      <c r="DR131" s="188" t="n">
        <v>0</v>
      </c>
      <c r="DS131" s="188" t="n">
        <v>0.0036</v>
      </c>
      <c r="DT131" s="188" t="n">
        <v>0.00047</v>
      </c>
      <c r="DU131" s="188" t="n">
        <v>0.0007</v>
      </c>
      <c r="DV131" s="188" t="n">
        <v>0</v>
      </c>
      <c r="DW131" s="188" t="n">
        <v>0</v>
      </c>
      <c r="DX131" s="188" t="n">
        <v>0.0005</v>
      </c>
      <c r="DY131" s="188" t="n">
        <v>0.0005</v>
      </c>
      <c r="DZ131" s="188" t="n">
        <v>0.0003</v>
      </c>
      <c r="EA131" s="188" t="n">
        <v>0.000275</v>
      </c>
      <c r="EB131" s="188" t="n">
        <v>0.0004</v>
      </c>
      <c r="ED131" s="188" t="n">
        <v>6.5E-005</v>
      </c>
      <c r="EF131" s="0" t="n">
        <v>1</v>
      </c>
    </row>
    <row r="132" customFormat="false" ht="12.75" hidden="false" customHeight="false" outlineLevel="0" collapsed="false">
      <c r="A132" s="149" t="n">
        <v>40391</v>
      </c>
      <c r="B132" s="0" t="n">
        <v>0.98</v>
      </c>
      <c r="C132" s="0" t="n">
        <v>0.988</v>
      </c>
      <c r="D132" s="0" t="n">
        <v>0.96</v>
      </c>
      <c r="E132" s="0" t="n">
        <v>0.985</v>
      </c>
      <c r="F132" s="0" t="n">
        <v>0.977</v>
      </c>
      <c r="G132" s="0" t="n">
        <v>0.9875</v>
      </c>
      <c r="H132" s="0" t="n">
        <v>0.9875</v>
      </c>
      <c r="I132" s="0" t="n">
        <v>0.9875</v>
      </c>
      <c r="J132" s="0" t="n">
        <v>0.9805</v>
      </c>
      <c r="K132" s="0" t="n">
        <v>0.985</v>
      </c>
      <c r="L132" s="176" t="n">
        <v>0.9875</v>
      </c>
      <c r="M132" s="176" t="n">
        <v>0.9875</v>
      </c>
      <c r="N132" s="0" t="n">
        <v>0.98</v>
      </c>
      <c r="O132" s="0" t="n">
        <v>0.9875</v>
      </c>
      <c r="P132" s="0" t="n">
        <v>0.98</v>
      </c>
      <c r="Q132" s="177" t="n">
        <v>0.9875</v>
      </c>
      <c r="R132" s="0" t="n">
        <v>0.9875</v>
      </c>
      <c r="S132" s="176" t="n">
        <v>0.9875</v>
      </c>
      <c r="T132" s="0" t="n">
        <v>0.98</v>
      </c>
      <c r="U132" s="0" t="n">
        <v>0.98</v>
      </c>
      <c r="V132" s="0" t="n">
        <v>0.98</v>
      </c>
      <c r="W132" s="0" t="n">
        <v>0.98</v>
      </c>
      <c r="X132" s="0" t="n">
        <v>0.9875</v>
      </c>
      <c r="Y132" s="0" t="n">
        <v>0.9875</v>
      </c>
      <c r="Z132" s="0" t="n">
        <v>0.9875</v>
      </c>
      <c r="AA132" s="0" t="n">
        <v>0.9875</v>
      </c>
      <c r="AB132" s="0" t="n">
        <v>0.98</v>
      </c>
      <c r="AC132" s="0" t="n">
        <v>0.98</v>
      </c>
      <c r="AD132" s="0" t="n">
        <v>0.9875</v>
      </c>
      <c r="AE132" s="0" t="n">
        <v>0.9875</v>
      </c>
      <c r="AF132" s="0" t="n">
        <v>0.98</v>
      </c>
      <c r="AG132" s="0" t="n">
        <v>0.99</v>
      </c>
      <c r="AH132" s="0" t="n">
        <v>0.9784482</v>
      </c>
      <c r="AI132" s="0" t="n">
        <v>0.9784482</v>
      </c>
      <c r="AJ132" s="0" t="n">
        <v>0.98</v>
      </c>
      <c r="AK132" s="0" t="n">
        <v>1</v>
      </c>
      <c r="AL132" s="0" t="n">
        <v>0.985</v>
      </c>
      <c r="AM132" s="0" t="n">
        <v>0.985</v>
      </c>
      <c r="AS132" s="0" t="n">
        <v>0.977</v>
      </c>
      <c r="AT132" s="177" t="n">
        <v>0.9775</v>
      </c>
      <c r="AU132" s="0" t="n">
        <v>0.9784482</v>
      </c>
      <c r="AV132" s="0" t="n">
        <v>0.985</v>
      </c>
      <c r="AW132" s="0" t="n">
        <v>0.985</v>
      </c>
      <c r="AX132" s="0" t="n">
        <v>0.985</v>
      </c>
      <c r="AY132" s="0" t="n">
        <v>0.9784482</v>
      </c>
      <c r="AZ132" s="0" t="n">
        <v>0.9784482</v>
      </c>
      <c r="BA132" s="0" t="n">
        <v>0.985</v>
      </c>
      <c r="BB132" s="187" t="n">
        <v>1</v>
      </c>
      <c r="BC132" s="0" t="n">
        <v>1</v>
      </c>
      <c r="BD132" s="0" t="n">
        <v>1</v>
      </c>
      <c r="BE132" s="0" t="n">
        <v>1</v>
      </c>
      <c r="BF132" s="0" t="n">
        <v>0.9999</v>
      </c>
      <c r="BG132" s="0" t="n">
        <v>1</v>
      </c>
      <c r="BH132" s="0" t="n">
        <v>1</v>
      </c>
      <c r="BI132" s="0" t="n">
        <v>0.99</v>
      </c>
      <c r="BJ132" s="0" t="n">
        <v>0.999</v>
      </c>
      <c r="BK132" s="0" t="n">
        <v>0.998</v>
      </c>
      <c r="BL132" s="0" t="n">
        <v>0.9985</v>
      </c>
      <c r="BM132" s="0" t="n">
        <v>0.9985</v>
      </c>
      <c r="BN132" s="0" t="n">
        <v>0.972</v>
      </c>
      <c r="BO132" s="0" t="n">
        <v>0.9999</v>
      </c>
      <c r="BP132" s="0" t="n">
        <v>0.9999</v>
      </c>
      <c r="BQ132" s="0" t="n">
        <v>1</v>
      </c>
      <c r="BR132" s="0" t="n">
        <v>1.1000576</v>
      </c>
      <c r="BS132" s="0" t="n">
        <v>1.1144</v>
      </c>
      <c r="BT132" s="0" t="n">
        <v>1.0827</v>
      </c>
      <c r="BU132" s="0" t="n">
        <v>1.0175</v>
      </c>
      <c r="BV132" s="0" t="n">
        <v>1</v>
      </c>
      <c r="BW132" s="0" t="n">
        <v>2.301</v>
      </c>
      <c r="BX132" s="0" t="n">
        <v>2.291316333</v>
      </c>
      <c r="BY132" s="0" t="n">
        <v>1.10745</v>
      </c>
      <c r="BZ132" s="0" t="n">
        <v>1.2885</v>
      </c>
      <c r="CA132" s="0" t="n">
        <v>2.001</v>
      </c>
      <c r="CB132" s="0" t="n">
        <v>1.528005</v>
      </c>
      <c r="CC132" s="0" t="n">
        <v>1.528005</v>
      </c>
      <c r="CD132" s="0" t="n">
        <v>1.270305</v>
      </c>
      <c r="CE132" s="0" t="n">
        <v>1.082505</v>
      </c>
      <c r="CF132" s="0" t="n">
        <v>1.436605</v>
      </c>
      <c r="CG132" s="188"/>
      <c r="CH132" s="0" t="n">
        <v>1.09938</v>
      </c>
      <c r="CI132" s="188"/>
      <c r="CJ132" s="188"/>
      <c r="CK132" s="188"/>
      <c r="CL132" s="188"/>
      <c r="CM132" s="188"/>
      <c r="CN132" s="188"/>
      <c r="CO132" s="188"/>
      <c r="CP132" s="0" t="n">
        <v>0.975</v>
      </c>
      <c r="CQ132" s="0" t="n">
        <v>0.91</v>
      </c>
      <c r="CR132" s="0" t="n">
        <v>0.91</v>
      </c>
      <c r="CS132" s="0" t="n">
        <v>0.97</v>
      </c>
      <c r="CT132" s="0" t="n">
        <v>0.99895</v>
      </c>
      <c r="CU132" s="0" t="n">
        <v>0.43</v>
      </c>
      <c r="CV132" s="0" t="n">
        <v>0.52</v>
      </c>
      <c r="CW132" s="0" t="n">
        <v>0.925</v>
      </c>
      <c r="CX132" s="0" t="n">
        <v>0.775</v>
      </c>
      <c r="CY132" s="0" t="n">
        <v>0.725</v>
      </c>
      <c r="CZ132" s="0" t="n">
        <v>0.89</v>
      </c>
      <c r="DA132" s="0" t="n">
        <v>0.9225</v>
      </c>
      <c r="DB132" s="0" t="n">
        <v>0.915</v>
      </c>
      <c r="DC132" s="0" t="n">
        <v>0.9275</v>
      </c>
      <c r="DD132" s="0" t="n">
        <v>0.915</v>
      </c>
      <c r="DE132" s="0" t="n">
        <v>0.89</v>
      </c>
      <c r="DI132" s="0" t="n">
        <v>0.9775</v>
      </c>
      <c r="DN132" s="188" t="n">
        <v>0.000285</v>
      </c>
      <c r="DO132" s="188" t="n">
        <v>0.0002</v>
      </c>
      <c r="DP132" s="188" t="n">
        <v>0</v>
      </c>
      <c r="DQ132" s="188" t="n">
        <v>0.0001</v>
      </c>
      <c r="DR132" s="188" t="n">
        <v>0</v>
      </c>
      <c r="DS132" s="188" t="n">
        <v>0.0036</v>
      </c>
      <c r="DT132" s="188" t="n">
        <v>0.00047</v>
      </c>
      <c r="DU132" s="188" t="n">
        <v>0.0007</v>
      </c>
      <c r="DV132" s="188" t="n">
        <v>0</v>
      </c>
      <c r="DW132" s="188" t="n">
        <v>0</v>
      </c>
      <c r="DX132" s="188" t="n">
        <v>0.0005</v>
      </c>
      <c r="DY132" s="188" t="n">
        <v>0.0005</v>
      </c>
      <c r="DZ132" s="188" t="n">
        <v>0.0003</v>
      </c>
      <c r="EA132" s="188" t="n">
        <v>0.000275</v>
      </c>
      <c r="EB132" s="188" t="n">
        <v>0.0004</v>
      </c>
      <c r="ED132" s="188" t="n">
        <v>6.5E-005</v>
      </c>
      <c r="EF132" s="0" t="n">
        <v>1</v>
      </c>
    </row>
    <row r="133" customFormat="false" ht="12.75" hidden="false" customHeight="false" outlineLevel="0" collapsed="false">
      <c r="A133" s="149" t="n">
        <v>40422</v>
      </c>
      <c r="B133" s="0" t="n">
        <v>0.98</v>
      </c>
      <c r="C133" s="0" t="n">
        <v>0.988</v>
      </c>
      <c r="D133" s="0" t="n">
        <v>0.96</v>
      </c>
      <c r="E133" s="0" t="n">
        <v>0.985</v>
      </c>
      <c r="F133" s="0" t="n">
        <v>0.977</v>
      </c>
      <c r="G133" s="0" t="n">
        <v>0.9875</v>
      </c>
      <c r="H133" s="0" t="n">
        <v>0.9875</v>
      </c>
      <c r="I133" s="0" t="n">
        <v>0.9875</v>
      </c>
      <c r="J133" s="0" t="n">
        <v>0.9805</v>
      </c>
      <c r="K133" s="0" t="n">
        <v>0.985</v>
      </c>
      <c r="L133" s="176" t="n">
        <v>0.9875</v>
      </c>
      <c r="M133" s="176" t="n">
        <v>0.9875</v>
      </c>
      <c r="N133" s="0" t="n">
        <v>0.98</v>
      </c>
      <c r="O133" s="0" t="n">
        <v>0.9875</v>
      </c>
      <c r="P133" s="0" t="n">
        <v>0.98</v>
      </c>
      <c r="Q133" s="177" t="n">
        <v>0.9875</v>
      </c>
      <c r="R133" s="0" t="n">
        <v>0.9875</v>
      </c>
      <c r="S133" s="176" t="n">
        <v>0.9875</v>
      </c>
      <c r="T133" s="0" t="n">
        <v>0.98</v>
      </c>
      <c r="U133" s="0" t="n">
        <v>0.98</v>
      </c>
      <c r="V133" s="0" t="n">
        <v>0.98</v>
      </c>
      <c r="W133" s="0" t="n">
        <v>0.98</v>
      </c>
      <c r="X133" s="0" t="n">
        <v>0.9875</v>
      </c>
      <c r="Y133" s="0" t="n">
        <v>0.9875</v>
      </c>
      <c r="Z133" s="0" t="n">
        <v>0.9875</v>
      </c>
      <c r="AA133" s="0" t="n">
        <v>0.9875</v>
      </c>
      <c r="AB133" s="0" t="n">
        <v>0.98</v>
      </c>
      <c r="AC133" s="0" t="n">
        <v>0.98</v>
      </c>
      <c r="AD133" s="0" t="n">
        <v>0.9875</v>
      </c>
      <c r="AE133" s="0" t="n">
        <v>0.9875</v>
      </c>
      <c r="AF133" s="0" t="n">
        <v>0.98</v>
      </c>
      <c r="AG133" s="0" t="n">
        <v>0.99</v>
      </c>
      <c r="AH133" s="0" t="n">
        <v>0.97850605</v>
      </c>
      <c r="AI133" s="0" t="n">
        <v>0.97850605</v>
      </c>
      <c r="AJ133" s="0" t="n">
        <v>0.98</v>
      </c>
      <c r="AK133" s="0" t="n">
        <v>1</v>
      </c>
      <c r="AL133" s="0" t="n">
        <v>0.985</v>
      </c>
      <c r="AM133" s="0" t="n">
        <v>0.985</v>
      </c>
      <c r="AS133" s="0" t="n">
        <v>0.977</v>
      </c>
      <c r="AT133" s="177" t="n">
        <v>0.9775</v>
      </c>
      <c r="AU133" s="0" t="n">
        <v>0.97850605</v>
      </c>
      <c r="AV133" s="0" t="n">
        <v>0.985</v>
      </c>
      <c r="AW133" s="0" t="n">
        <v>0.985</v>
      </c>
      <c r="AX133" s="0" t="n">
        <v>0.985</v>
      </c>
      <c r="AY133" s="0" t="n">
        <v>0.97850605</v>
      </c>
      <c r="AZ133" s="0" t="n">
        <v>0.97850605</v>
      </c>
      <c r="BA133" s="0" t="n">
        <v>0.985</v>
      </c>
      <c r="BB133" s="187" t="n">
        <v>1</v>
      </c>
      <c r="BC133" s="0" t="n">
        <v>1</v>
      </c>
      <c r="BD133" s="0" t="n">
        <v>1</v>
      </c>
      <c r="BE133" s="0" t="n">
        <v>1</v>
      </c>
      <c r="BF133" s="0" t="n">
        <v>0.9999</v>
      </c>
      <c r="BG133" s="0" t="n">
        <v>1</v>
      </c>
      <c r="BH133" s="0" t="n">
        <v>1</v>
      </c>
      <c r="BI133" s="0" t="n">
        <v>0.99</v>
      </c>
      <c r="BJ133" s="0" t="n">
        <v>0.999</v>
      </c>
      <c r="BK133" s="0" t="n">
        <v>0.998</v>
      </c>
      <c r="BL133" s="0" t="n">
        <v>0.9985</v>
      </c>
      <c r="BM133" s="0" t="n">
        <v>0.9985</v>
      </c>
      <c r="BN133" s="0" t="n">
        <v>0.972</v>
      </c>
      <c r="BO133" s="0" t="n">
        <v>0.9999</v>
      </c>
      <c r="BP133" s="0" t="n">
        <v>0.9999</v>
      </c>
      <c r="BQ133" s="0" t="n">
        <v>1</v>
      </c>
      <c r="BR133" s="0" t="n">
        <v>1.1003426</v>
      </c>
      <c r="BS133" s="0" t="n">
        <v>1.1146</v>
      </c>
      <c r="BT133" s="0" t="n">
        <v>1.0827</v>
      </c>
      <c r="BU133" s="0" t="n">
        <v>1.0176</v>
      </c>
      <c r="BV133" s="0" t="n">
        <v>1</v>
      </c>
      <c r="BW133" s="0" t="n">
        <v>2.3046</v>
      </c>
      <c r="BX133" s="0" t="n">
        <v>2.291786333</v>
      </c>
      <c r="BY133" s="0" t="n">
        <v>1.10815</v>
      </c>
      <c r="BZ133" s="0" t="n">
        <v>1.2885</v>
      </c>
      <c r="CA133" s="0" t="n">
        <v>2.001</v>
      </c>
      <c r="CB133" s="0" t="n">
        <v>1.528505</v>
      </c>
      <c r="CC133" s="0" t="n">
        <v>1.528505</v>
      </c>
      <c r="CD133" s="0" t="n">
        <v>1.270605</v>
      </c>
      <c r="CE133" s="0" t="n">
        <v>1.08278</v>
      </c>
      <c r="CF133" s="0" t="n">
        <v>1.437005</v>
      </c>
      <c r="CG133" s="188"/>
      <c r="CH133" s="0" t="n">
        <v>1.099445</v>
      </c>
      <c r="CI133" s="188"/>
      <c r="CJ133" s="188"/>
      <c r="CK133" s="188"/>
      <c r="CL133" s="188"/>
      <c r="CM133" s="188"/>
      <c r="CN133" s="188"/>
      <c r="CO133" s="188"/>
      <c r="CP133" s="0" t="n">
        <v>0.975</v>
      </c>
      <c r="CQ133" s="0" t="n">
        <v>0.91</v>
      </c>
      <c r="CR133" s="0" t="n">
        <v>0.91</v>
      </c>
      <c r="CS133" s="0" t="n">
        <v>0.95</v>
      </c>
      <c r="CT133" s="0" t="n">
        <v>0.99895</v>
      </c>
      <c r="CU133" s="0" t="n">
        <v>0.46</v>
      </c>
      <c r="CV133" s="0" t="n">
        <v>0.55</v>
      </c>
      <c r="CW133" s="0" t="n">
        <v>0.925</v>
      </c>
      <c r="CX133" s="0" t="n">
        <v>0.635</v>
      </c>
      <c r="CY133" s="0" t="n">
        <v>0.575</v>
      </c>
      <c r="CZ133" s="0" t="n">
        <v>0.945</v>
      </c>
      <c r="DA133" s="0" t="n">
        <v>0.9775</v>
      </c>
      <c r="DB133" s="0" t="n">
        <v>0.945</v>
      </c>
      <c r="DC133" s="0" t="n">
        <v>0.92</v>
      </c>
      <c r="DD133" s="0" t="n">
        <v>0.915</v>
      </c>
      <c r="DE133" s="0" t="n">
        <v>0.89</v>
      </c>
      <c r="DI133" s="0" t="n">
        <v>0.9775</v>
      </c>
      <c r="DN133" s="188" t="n">
        <v>0.000285</v>
      </c>
      <c r="DO133" s="188" t="n">
        <v>0.0002</v>
      </c>
      <c r="DP133" s="188" t="n">
        <v>0</v>
      </c>
      <c r="DQ133" s="188" t="n">
        <v>0.0001</v>
      </c>
      <c r="DR133" s="188" t="n">
        <v>0</v>
      </c>
      <c r="DS133" s="188" t="n">
        <v>0.0036</v>
      </c>
      <c r="DT133" s="188" t="n">
        <v>0.00047</v>
      </c>
      <c r="DU133" s="188" t="n">
        <v>0.0007</v>
      </c>
      <c r="DV133" s="188" t="n">
        <v>0</v>
      </c>
      <c r="DW133" s="188" t="n">
        <v>0</v>
      </c>
      <c r="DX133" s="188" t="n">
        <v>0.0005</v>
      </c>
      <c r="DY133" s="188" t="n">
        <v>0.0005</v>
      </c>
      <c r="DZ133" s="188" t="n">
        <v>0.0003</v>
      </c>
      <c r="EA133" s="188" t="n">
        <v>0.000275</v>
      </c>
      <c r="EB133" s="188" t="n">
        <v>0.0004</v>
      </c>
      <c r="ED133" s="188" t="n">
        <v>6.5E-005</v>
      </c>
      <c r="EF133" s="0" t="n">
        <v>1</v>
      </c>
    </row>
    <row r="134" customFormat="false" ht="12.75" hidden="false" customHeight="false" outlineLevel="0" collapsed="false">
      <c r="A134" s="149" t="n">
        <v>40452</v>
      </c>
      <c r="B134" s="0" t="n">
        <v>0.98</v>
      </c>
      <c r="C134" s="0" t="n">
        <v>0.988</v>
      </c>
      <c r="D134" s="0" t="n">
        <v>0.96</v>
      </c>
      <c r="E134" s="0" t="n">
        <v>0.985</v>
      </c>
      <c r="F134" s="0" t="n">
        <v>0.977</v>
      </c>
      <c r="G134" s="0" t="n">
        <v>0.9875</v>
      </c>
      <c r="H134" s="0" t="n">
        <v>0.9875</v>
      </c>
      <c r="I134" s="0" t="n">
        <v>0.9875</v>
      </c>
      <c r="J134" s="0" t="n">
        <v>0.9805</v>
      </c>
      <c r="K134" s="0" t="n">
        <v>0.985</v>
      </c>
      <c r="L134" s="176" t="n">
        <v>0.9875</v>
      </c>
      <c r="M134" s="176" t="n">
        <v>0.9875</v>
      </c>
      <c r="N134" s="0" t="n">
        <v>0.98</v>
      </c>
      <c r="O134" s="0" t="n">
        <v>0.977457138</v>
      </c>
      <c r="P134" s="0" t="n">
        <v>0.98</v>
      </c>
      <c r="Q134" s="177" t="n">
        <v>0.9875</v>
      </c>
      <c r="R134" s="0" t="n">
        <v>0.9875</v>
      </c>
      <c r="S134" s="176" t="n">
        <v>0.9875</v>
      </c>
      <c r="T134" s="0" t="n">
        <v>0.98</v>
      </c>
      <c r="U134" s="0" t="n">
        <v>0.98</v>
      </c>
      <c r="V134" s="0" t="n">
        <v>0.98</v>
      </c>
      <c r="W134" s="0" t="n">
        <v>0.98</v>
      </c>
      <c r="X134" s="0" t="n">
        <v>0.977457138</v>
      </c>
      <c r="Y134" s="0" t="n">
        <v>0.977457138</v>
      </c>
      <c r="Z134" s="0" t="n">
        <v>0.977457138</v>
      </c>
      <c r="AA134" s="0" t="n">
        <v>0.977457138</v>
      </c>
      <c r="AB134" s="0" t="n">
        <v>0.98</v>
      </c>
      <c r="AC134" s="0" t="n">
        <v>0.98</v>
      </c>
      <c r="AD134" s="0" t="n">
        <v>0.977457138</v>
      </c>
      <c r="AE134" s="0" t="n">
        <v>0.977457138</v>
      </c>
      <c r="AF134" s="0" t="n">
        <v>0.98</v>
      </c>
      <c r="AG134" s="0" t="n">
        <v>0.99</v>
      </c>
      <c r="AH134" s="0" t="n">
        <v>0.9785639</v>
      </c>
      <c r="AI134" s="0" t="n">
        <v>0.9785639</v>
      </c>
      <c r="AJ134" s="0" t="n">
        <v>0.98</v>
      </c>
      <c r="AK134" s="0" t="n">
        <v>1</v>
      </c>
      <c r="AL134" s="0" t="n">
        <v>0.985</v>
      </c>
      <c r="AM134" s="0" t="n">
        <v>0.985</v>
      </c>
      <c r="AS134" s="0" t="n">
        <v>0.977</v>
      </c>
      <c r="AT134" s="177" t="n">
        <v>0.9775</v>
      </c>
      <c r="AU134" s="0" t="n">
        <v>0.9785639</v>
      </c>
      <c r="AV134" s="0" t="n">
        <v>0.985</v>
      </c>
      <c r="AW134" s="0" t="n">
        <v>0.985</v>
      </c>
      <c r="AX134" s="0" t="n">
        <v>0.985</v>
      </c>
      <c r="AY134" s="0" t="n">
        <v>0.9785639</v>
      </c>
      <c r="AZ134" s="0" t="n">
        <v>0.9785639</v>
      </c>
      <c r="BA134" s="0" t="n">
        <v>0.985</v>
      </c>
      <c r="BB134" s="187" t="n">
        <v>1</v>
      </c>
      <c r="BC134" s="0" t="n">
        <v>1</v>
      </c>
      <c r="BD134" s="0" t="n">
        <v>1</v>
      </c>
      <c r="BE134" s="0" t="n">
        <v>1</v>
      </c>
      <c r="BF134" s="0" t="n">
        <v>0.9999</v>
      </c>
      <c r="BG134" s="0" t="n">
        <v>1</v>
      </c>
      <c r="BH134" s="0" t="n">
        <v>1</v>
      </c>
      <c r="BI134" s="0" t="n">
        <v>0.99</v>
      </c>
      <c r="BJ134" s="0" t="n">
        <v>0.999</v>
      </c>
      <c r="BK134" s="0" t="n">
        <v>0.998</v>
      </c>
      <c r="BL134" s="0" t="n">
        <v>0.9985</v>
      </c>
      <c r="BM134" s="0" t="n">
        <v>0.9985</v>
      </c>
      <c r="BN134" s="0" t="n">
        <v>0.972</v>
      </c>
      <c r="BO134" s="0" t="n">
        <v>0.9999</v>
      </c>
      <c r="BP134" s="0" t="n">
        <v>0.9999</v>
      </c>
      <c r="BQ134" s="0" t="n">
        <v>1</v>
      </c>
      <c r="BR134" s="0" t="n">
        <v>1.1006276</v>
      </c>
      <c r="BS134" s="0" t="n">
        <v>1.1148</v>
      </c>
      <c r="BT134" s="0" t="n">
        <v>1.0827</v>
      </c>
      <c r="BU134" s="0" t="n">
        <v>1.0177</v>
      </c>
      <c r="BV134" s="0" t="n">
        <v>1</v>
      </c>
      <c r="BW134" s="0" t="n">
        <v>2.3082</v>
      </c>
      <c r="BX134" s="0" t="n">
        <v>2.292256333</v>
      </c>
      <c r="BY134" s="0" t="n">
        <v>1.10885</v>
      </c>
      <c r="BZ134" s="0" t="n">
        <v>1.2885</v>
      </c>
      <c r="CA134" s="0" t="n">
        <v>2.001</v>
      </c>
      <c r="CB134" s="0" t="n">
        <v>1.529005</v>
      </c>
      <c r="CC134" s="0" t="n">
        <v>1.529005</v>
      </c>
      <c r="CD134" s="0" t="n">
        <v>1.270905</v>
      </c>
      <c r="CE134" s="0" t="n">
        <v>1.083055</v>
      </c>
      <c r="CF134" s="0" t="n">
        <v>1.437405</v>
      </c>
      <c r="CG134" s="188"/>
      <c r="CH134" s="0" t="n">
        <v>1.09951</v>
      </c>
      <c r="CI134" s="188"/>
      <c r="CJ134" s="188"/>
      <c r="CK134" s="188"/>
      <c r="CL134" s="188"/>
      <c r="CM134" s="188"/>
      <c r="CN134" s="188"/>
      <c r="CO134" s="188"/>
      <c r="CP134" s="0" t="n">
        <v>0.955</v>
      </c>
      <c r="CQ134" s="0" t="n">
        <v>0.9</v>
      </c>
      <c r="CR134" s="0" t="n">
        <v>0.91</v>
      </c>
      <c r="CS134" s="0" t="n">
        <v>0.94</v>
      </c>
      <c r="CT134" s="0" t="n">
        <v>0.99895</v>
      </c>
      <c r="CU134" s="0" t="n">
        <v>0.46</v>
      </c>
      <c r="CV134" s="0" t="n">
        <v>0.45</v>
      </c>
      <c r="CW134" s="0" t="n">
        <v>0.925</v>
      </c>
      <c r="CX134" s="0" t="n">
        <v>0.625</v>
      </c>
      <c r="CY134" s="0" t="n">
        <v>0.505</v>
      </c>
      <c r="CZ134" s="0" t="n">
        <v>0.805</v>
      </c>
      <c r="DA134" s="0" t="n">
        <v>0.8375</v>
      </c>
      <c r="DB134" s="0" t="n">
        <v>0.875</v>
      </c>
      <c r="DC134" s="0" t="n">
        <v>0.9025</v>
      </c>
      <c r="DD134" s="0" t="n">
        <v>0.82</v>
      </c>
      <c r="DE134" s="0" t="n">
        <v>0.89</v>
      </c>
      <c r="DI134" s="0" t="n">
        <v>0.9775</v>
      </c>
      <c r="DN134" s="188" t="n">
        <v>0.000285</v>
      </c>
      <c r="DO134" s="188" t="n">
        <v>0.0002</v>
      </c>
      <c r="DP134" s="188" t="n">
        <v>0</v>
      </c>
      <c r="DQ134" s="188" t="n">
        <v>0.0001</v>
      </c>
      <c r="DR134" s="188" t="n">
        <v>0</v>
      </c>
      <c r="DS134" s="188" t="n">
        <v>0.0036</v>
      </c>
      <c r="DT134" s="188" t="n">
        <v>0.00047</v>
      </c>
      <c r="DU134" s="188" t="n">
        <v>0.0007</v>
      </c>
      <c r="DV134" s="188" t="n">
        <v>0</v>
      </c>
      <c r="DW134" s="188" t="n">
        <v>0</v>
      </c>
      <c r="DX134" s="188" t="n">
        <v>0.0005</v>
      </c>
      <c r="DY134" s="188" t="n">
        <v>0.0005</v>
      </c>
      <c r="DZ134" s="188" t="n">
        <v>0.0003</v>
      </c>
      <c r="EA134" s="188" t="n">
        <v>0.000275</v>
      </c>
      <c r="EB134" s="188" t="n">
        <v>0.0004</v>
      </c>
      <c r="ED134" s="188" t="n">
        <v>6.5E-005</v>
      </c>
      <c r="EF134" s="0" t="n">
        <v>1</v>
      </c>
    </row>
    <row r="135" customFormat="false" ht="12.75" hidden="false" customHeight="false" outlineLevel="0" collapsed="false">
      <c r="A135" s="149" t="n">
        <v>40483</v>
      </c>
      <c r="B135" s="0" t="n">
        <v>0.98</v>
      </c>
      <c r="C135" s="0" t="n">
        <v>0.988</v>
      </c>
      <c r="D135" s="0" t="n">
        <v>0.96</v>
      </c>
      <c r="E135" s="0" t="n">
        <v>0.97443</v>
      </c>
      <c r="F135" s="0" t="n">
        <v>0.977</v>
      </c>
      <c r="G135" s="0" t="n">
        <v>0.9875</v>
      </c>
      <c r="H135" s="0" t="n">
        <v>0.9875</v>
      </c>
      <c r="I135" s="0" t="n">
        <v>0.9875</v>
      </c>
      <c r="J135" s="0" t="n">
        <v>0.9805</v>
      </c>
      <c r="K135" s="0" t="n">
        <v>0.970485</v>
      </c>
      <c r="L135" s="176" t="n">
        <v>0.9875</v>
      </c>
      <c r="M135" s="176" t="n">
        <v>0.9875</v>
      </c>
      <c r="N135" s="0" t="n">
        <v>0.98</v>
      </c>
      <c r="O135" s="0" t="n">
        <v>0.977705325</v>
      </c>
      <c r="P135" s="0" t="n">
        <v>0.98</v>
      </c>
      <c r="Q135" s="177" t="n">
        <v>0.9875</v>
      </c>
      <c r="R135" s="0" t="n">
        <v>0.9875</v>
      </c>
      <c r="S135" s="176" t="n">
        <v>0.9875</v>
      </c>
      <c r="T135" s="0" t="n">
        <v>0.98</v>
      </c>
      <c r="U135" s="0" t="n">
        <v>0.98</v>
      </c>
      <c r="V135" s="0" t="n">
        <v>0.98</v>
      </c>
      <c r="W135" s="0" t="n">
        <v>0.98</v>
      </c>
      <c r="X135" s="0" t="n">
        <v>0.977705325</v>
      </c>
      <c r="Y135" s="0" t="n">
        <v>0.977705325</v>
      </c>
      <c r="Z135" s="0" t="n">
        <v>0.977705325</v>
      </c>
      <c r="AA135" s="0" t="n">
        <v>0.977705325</v>
      </c>
      <c r="AB135" s="0" t="n">
        <v>0.98</v>
      </c>
      <c r="AC135" s="0" t="n">
        <v>0.98</v>
      </c>
      <c r="AD135" s="0" t="n">
        <v>0.977705325</v>
      </c>
      <c r="AE135" s="0" t="n">
        <v>0.977705325</v>
      </c>
      <c r="AF135" s="0" t="n">
        <v>0.98</v>
      </c>
      <c r="AG135" s="0" t="n">
        <v>0.99</v>
      </c>
      <c r="AH135" s="0" t="n">
        <v>0.97862175</v>
      </c>
      <c r="AI135" s="0" t="n">
        <v>0.97862175</v>
      </c>
      <c r="AJ135" s="0" t="n">
        <v>0.98</v>
      </c>
      <c r="AK135" s="0" t="n">
        <v>1</v>
      </c>
      <c r="AL135" s="0" t="n">
        <v>0.970485</v>
      </c>
      <c r="AM135" s="0" t="n">
        <v>0.97443</v>
      </c>
      <c r="AS135" s="0" t="n">
        <v>0.977</v>
      </c>
      <c r="AT135" s="177" t="n">
        <v>0.9775</v>
      </c>
      <c r="AU135" s="0" t="n">
        <v>0.97862175</v>
      </c>
      <c r="AV135" s="0" t="n">
        <v>0.97443</v>
      </c>
      <c r="AW135" s="0" t="n">
        <v>0.97443</v>
      </c>
      <c r="AX135" s="0" t="n">
        <v>0.97443</v>
      </c>
      <c r="AY135" s="0" t="n">
        <v>0.97862175</v>
      </c>
      <c r="AZ135" s="0" t="n">
        <v>0.97862175</v>
      </c>
      <c r="BA135" s="0" t="n">
        <v>0.97443</v>
      </c>
      <c r="BB135" s="187" t="n">
        <v>1</v>
      </c>
      <c r="BC135" s="0" t="n">
        <v>1</v>
      </c>
      <c r="BD135" s="0" t="n">
        <v>1</v>
      </c>
      <c r="BE135" s="0" t="n">
        <v>1</v>
      </c>
      <c r="BF135" s="0" t="n">
        <v>0.9999</v>
      </c>
      <c r="BG135" s="0" t="n">
        <v>1</v>
      </c>
      <c r="BH135" s="0" t="n">
        <v>1</v>
      </c>
      <c r="BI135" s="0" t="n">
        <v>0.99</v>
      </c>
      <c r="BJ135" s="0" t="n">
        <v>0.999</v>
      </c>
      <c r="BK135" s="0" t="n">
        <v>0.998</v>
      </c>
      <c r="BL135" s="0" t="n">
        <v>0.9985</v>
      </c>
      <c r="BM135" s="0" t="n">
        <v>0.9985</v>
      </c>
      <c r="BN135" s="0" t="n">
        <v>0.972</v>
      </c>
      <c r="BO135" s="0" t="n">
        <v>0.9999</v>
      </c>
      <c r="BP135" s="0" t="n">
        <v>0.9999</v>
      </c>
      <c r="BQ135" s="0" t="n">
        <v>1</v>
      </c>
      <c r="BR135" s="0" t="n">
        <v>1.1009126</v>
      </c>
      <c r="BS135" s="0" t="n">
        <v>1.115</v>
      </c>
      <c r="BT135" s="0" t="n">
        <v>1.0827</v>
      </c>
      <c r="BU135" s="0" t="n">
        <v>1.0178</v>
      </c>
      <c r="BV135" s="0" t="n">
        <v>1</v>
      </c>
      <c r="BW135" s="0" t="n">
        <v>2.3118</v>
      </c>
      <c r="BX135" s="0" t="n">
        <v>2.292726333</v>
      </c>
      <c r="BY135" s="0" t="n">
        <v>1.10955</v>
      </c>
      <c r="BZ135" s="0" t="n">
        <v>1.2885</v>
      </c>
      <c r="CA135" s="0" t="n">
        <v>2.001</v>
      </c>
      <c r="CB135" s="0" t="n">
        <v>1.529505</v>
      </c>
      <c r="CC135" s="0" t="n">
        <v>1.529505</v>
      </c>
      <c r="CD135" s="0" t="n">
        <v>1.271205</v>
      </c>
      <c r="CE135" s="0" t="n">
        <v>1.08333</v>
      </c>
      <c r="CF135" s="0" t="n">
        <v>1.437805</v>
      </c>
      <c r="CG135" s="188"/>
      <c r="CH135" s="0" t="n">
        <v>1.099575</v>
      </c>
      <c r="CI135" s="188"/>
      <c r="CJ135" s="188"/>
      <c r="CK135" s="188"/>
      <c r="CL135" s="188"/>
      <c r="CM135" s="188"/>
      <c r="CN135" s="188"/>
      <c r="CO135" s="188"/>
      <c r="CP135" s="0" t="n">
        <v>0.955</v>
      </c>
      <c r="CQ135" s="0" t="n">
        <v>0.9</v>
      </c>
      <c r="CR135" s="0" t="n">
        <v>0.9</v>
      </c>
      <c r="CS135" s="0" t="n">
        <v>0.94</v>
      </c>
      <c r="CT135" s="0" t="n">
        <v>0.999</v>
      </c>
      <c r="CU135" s="0" t="n">
        <v>0.48</v>
      </c>
      <c r="CV135" s="0" t="n">
        <v>0.46</v>
      </c>
      <c r="CW135" s="0" t="n">
        <v>0.905</v>
      </c>
      <c r="CX135" s="0" t="n">
        <v>0.585</v>
      </c>
      <c r="CY135" s="0" t="n">
        <v>0.485</v>
      </c>
      <c r="CZ135" s="0" t="n">
        <v>0.795</v>
      </c>
      <c r="DA135" s="0" t="n">
        <v>0.8275</v>
      </c>
      <c r="DB135" s="0" t="n">
        <v>0.85</v>
      </c>
      <c r="DC135" s="0" t="n">
        <v>0.9025</v>
      </c>
      <c r="DD135" s="0" t="n">
        <v>0.82</v>
      </c>
      <c r="DE135" s="0" t="n">
        <v>0.89</v>
      </c>
      <c r="DI135" s="0" t="n">
        <v>0.9775</v>
      </c>
      <c r="DN135" s="188" t="n">
        <v>0.000285</v>
      </c>
      <c r="DO135" s="188" t="n">
        <v>0.0002</v>
      </c>
      <c r="DP135" s="188" t="n">
        <v>0</v>
      </c>
      <c r="DQ135" s="188" t="n">
        <v>0.0001</v>
      </c>
      <c r="DR135" s="188" t="n">
        <v>0</v>
      </c>
      <c r="DS135" s="188" t="n">
        <v>0.0036</v>
      </c>
      <c r="DT135" s="188" t="n">
        <v>0.00047</v>
      </c>
      <c r="DU135" s="188" t="n">
        <v>0.0007</v>
      </c>
      <c r="DV135" s="188" t="n">
        <v>0</v>
      </c>
      <c r="DW135" s="188" t="n">
        <v>0</v>
      </c>
      <c r="DX135" s="188" t="n">
        <v>0.0005</v>
      </c>
      <c r="DY135" s="188" t="n">
        <v>0.0005</v>
      </c>
      <c r="DZ135" s="188" t="n">
        <v>0.0003</v>
      </c>
      <c r="EA135" s="188" t="n">
        <v>0.000275</v>
      </c>
      <c r="EB135" s="188" t="n">
        <v>0.0004</v>
      </c>
      <c r="ED135" s="188" t="n">
        <v>6.5E-005</v>
      </c>
      <c r="EF135" s="0" t="n">
        <v>1</v>
      </c>
    </row>
    <row r="136" customFormat="false" ht="12.75" hidden="false" customHeight="false" outlineLevel="0" collapsed="false">
      <c r="A136" s="149" t="n">
        <v>40513</v>
      </c>
      <c r="B136" s="0" t="n">
        <v>0.98</v>
      </c>
      <c r="C136" s="0" t="n">
        <v>0.988</v>
      </c>
      <c r="D136" s="0" t="n">
        <v>0.96</v>
      </c>
      <c r="E136" s="0" t="n">
        <v>0.952776</v>
      </c>
      <c r="F136" s="0" t="n">
        <v>0.977</v>
      </c>
      <c r="G136" s="0" t="n">
        <v>0.9875</v>
      </c>
      <c r="H136" s="0" t="n">
        <v>0.9875</v>
      </c>
      <c r="I136" s="0" t="n">
        <v>0.97146875</v>
      </c>
      <c r="J136" s="0" t="n">
        <v>0.9805</v>
      </c>
      <c r="K136" s="0" t="n">
        <v>0.970485</v>
      </c>
      <c r="L136" s="176" t="n">
        <v>0.90270295</v>
      </c>
      <c r="M136" s="176" t="n">
        <v>0.952428112</v>
      </c>
      <c r="N136" s="0" t="n">
        <v>0.87733845</v>
      </c>
      <c r="O136" s="0" t="n">
        <v>0.967117463</v>
      </c>
      <c r="P136" s="0" t="n">
        <v>0.87733845</v>
      </c>
      <c r="Q136" s="177" t="n">
        <v>0.90270295</v>
      </c>
      <c r="R136" s="0" t="n">
        <v>0.90270295</v>
      </c>
      <c r="S136" s="176" t="n">
        <v>0.90270295</v>
      </c>
      <c r="T136" s="0" t="n">
        <v>0.87733845</v>
      </c>
      <c r="U136" s="0" t="n">
        <v>0.87733845</v>
      </c>
      <c r="V136" s="0" t="n">
        <v>0.87733845</v>
      </c>
      <c r="W136" s="0" t="n">
        <v>0.87733845</v>
      </c>
      <c r="X136" s="0" t="n">
        <v>0.967117463</v>
      </c>
      <c r="Y136" s="0" t="n">
        <v>0.967117463</v>
      </c>
      <c r="Z136" s="0" t="n">
        <v>0.967117463</v>
      </c>
      <c r="AA136" s="0" t="n">
        <v>0.967117463</v>
      </c>
      <c r="AB136" s="0" t="n">
        <v>0.87733845</v>
      </c>
      <c r="AC136" s="0" t="n">
        <v>0.87733845</v>
      </c>
      <c r="AD136" s="0" t="n">
        <v>0.967117463</v>
      </c>
      <c r="AE136" s="0" t="n">
        <v>0.967117463</v>
      </c>
      <c r="AF136" s="0" t="n">
        <v>0.87733845</v>
      </c>
      <c r="AG136" s="0" t="n">
        <v>0.98</v>
      </c>
      <c r="AH136" s="0" t="n">
        <v>0.9786796</v>
      </c>
      <c r="AI136" s="0" t="n">
        <v>0.9786796</v>
      </c>
      <c r="AJ136" s="0" t="n">
        <v>0.87733845</v>
      </c>
      <c r="AK136" s="0" t="n">
        <v>1</v>
      </c>
      <c r="AL136" s="0" t="n">
        <v>0.970485</v>
      </c>
      <c r="AM136" s="0" t="n">
        <v>0.952776</v>
      </c>
      <c r="AS136" s="0" t="n">
        <v>0.977</v>
      </c>
      <c r="AT136" s="177" t="n">
        <v>0.9775</v>
      </c>
      <c r="AU136" s="0" t="n">
        <v>0.9786796</v>
      </c>
      <c r="AV136" s="0" t="n">
        <v>0.952776</v>
      </c>
      <c r="AW136" s="0" t="n">
        <v>0.952776</v>
      </c>
      <c r="AX136" s="0" t="n">
        <v>0.952776</v>
      </c>
      <c r="AY136" s="0" t="n">
        <v>0.9786796</v>
      </c>
      <c r="AZ136" s="0" t="n">
        <v>0.9786796</v>
      </c>
      <c r="BA136" s="0" t="n">
        <v>0.952776</v>
      </c>
      <c r="BB136" s="187" t="n">
        <v>1</v>
      </c>
      <c r="BC136" s="0" t="n">
        <v>1</v>
      </c>
      <c r="BD136" s="0" t="n">
        <v>1</v>
      </c>
      <c r="BE136" s="0" t="n">
        <v>1</v>
      </c>
      <c r="BF136" s="0" t="n">
        <v>0.9999</v>
      </c>
      <c r="BG136" s="0" t="n">
        <v>1</v>
      </c>
      <c r="BH136" s="0" t="n">
        <v>1</v>
      </c>
      <c r="BI136" s="0" t="n">
        <v>0.99</v>
      </c>
      <c r="BJ136" s="0" t="n">
        <v>0.999</v>
      </c>
      <c r="BK136" s="0" t="n">
        <v>0.998</v>
      </c>
      <c r="BL136" s="0" t="n">
        <v>0.9985</v>
      </c>
      <c r="BM136" s="0" t="n">
        <v>0.9985</v>
      </c>
      <c r="BN136" s="0" t="n">
        <v>0.972</v>
      </c>
      <c r="BO136" s="0" t="n">
        <v>0.9999</v>
      </c>
      <c r="BP136" s="0" t="n">
        <v>0.9999</v>
      </c>
      <c r="BQ136" s="0" t="n">
        <v>1</v>
      </c>
      <c r="BR136" s="0" t="n">
        <v>1.1011976</v>
      </c>
      <c r="BS136" s="0" t="n">
        <v>1.1152</v>
      </c>
      <c r="BT136" s="0" t="n">
        <v>1.0827</v>
      </c>
      <c r="BU136" s="0" t="n">
        <v>1.0179</v>
      </c>
      <c r="BV136" s="0" t="n">
        <v>1</v>
      </c>
      <c r="BW136" s="0" t="n">
        <v>2.3154</v>
      </c>
      <c r="BX136" s="0" t="n">
        <v>2.293196333</v>
      </c>
      <c r="BY136" s="0" t="n">
        <v>1.11025</v>
      </c>
      <c r="BZ136" s="0" t="n">
        <v>1.2885</v>
      </c>
      <c r="CA136" s="0" t="n">
        <v>2.001</v>
      </c>
      <c r="CB136" s="0" t="n">
        <v>1.530005</v>
      </c>
      <c r="CC136" s="0" t="n">
        <v>1.530005</v>
      </c>
      <c r="CD136" s="0" t="n">
        <v>1.271505</v>
      </c>
      <c r="CE136" s="0" t="n">
        <v>1.083605</v>
      </c>
      <c r="CF136" s="0" t="n">
        <v>1.438205</v>
      </c>
      <c r="CG136" s="188"/>
      <c r="CH136" s="0" t="n">
        <v>1.09964</v>
      </c>
      <c r="CI136" s="188"/>
      <c r="CJ136" s="188"/>
      <c r="CK136" s="188"/>
      <c r="CL136" s="188"/>
      <c r="CM136" s="188"/>
      <c r="CN136" s="188"/>
      <c r="CO136" s="188"/>
      <c r="CP136" s="0" t="n">
        <v>0.935</v>
      </c>
      <c r="CQ136" s="0" t="n">
        <v>0.89</v>
      </c>
      <c r="CR136" s="0" t="n">
        <v>0.88</v>
      </c>
      <c r="CS136" s="0" t="n">
        <v>0.92</v>
      </c>
      <c r="CT136" s="0" t="n">
        <v>0.999</v>
      </c>
      <c r="CU136" s="0" t="n">
        <v>0.51</v>
      </c>
      <c r="CV136" s="0" t="n">
        <v>0.48</v>
      </c>
      <c r="CW136" s="0" t="n">
        <v>0.875</v>
      </c>
      <c r="CX136" s="0" t="n">
        <v>0.59</v>
      </c>
      <c r="CY136" s="0" t="n">
        <v>0.485</v>
      </c>
      <c r="CZ136" s="0" t="n">
        <v>0.59</v>
      </c>
      <c r="DA136" s="0" t="n">
        <v>0.6225</v>
      </c>
      <c r="DB136" s="0" t="n">
        <v>0.69</v>
      </c>
      <c r="DC136" s="0" t="n">
        <v>0.8925</v>
      </c>
      <c r="DD136" s="0" t="n">
        <v>0.715</v>
      </c>
      <c r="DE136" s="0" t="n">
        <v>0.89</v>
      </c>
      <c r="DI136" s="0" t="n">
        <v>0.9775</v>
      </c>
      <c r="DN136" s="188" t="n">
        <v>0.000285</v>
      </c>
      <c r="DO136" s="188" t="n">
        <v>0.0002</v>
      </c>
      <c r="DP136" s="188" t="n">
        <v>0</v>
      </c>
      <c r="DQ136" s="188" t="n">
        <v>0.0001</v>
      </c>
      <c r="DR136" s="188" t="n">
        <v>0</v>
      </c>
      <c r="DS136" s="188" t="n">
        <v>0.0036</v>
      </c>
      <c r="DT136" s="188" t="n">
        <v>0.00047</v>
      </c>
      <c r="DU136" s="188" t="n">
        <v>0.0007</v>
      </c>
      <c r="DV136" s="188" t="n">
        <v>0</v>
      </c>
      <c r="DW136" s="188" t="n">
        <v>0</v>
      </c>
      <c r="DX136" s="188" t="n">
        <v>0.0005</v>
      </c>
      <c r="DY136" s="188" t="n">
        <v>0.0005</v>
      </c>
      <c r="DZ136" s="188" t="n">
        <v>0.0003</v>
      </c>
      <c r="EA136" s="188" t="n">
        <v>0.000275</v>
      </c>
      <c r="EB136" s="188" t="n">
        <v>0.0004</v>
      </c>
      <c r="ED136" s="188" t="n">
        <v>6.5E-005</v>
      </c>
      <c r="EF136" s="0" t="n">
        <v>1</v>
      </c>
    </row>
    <row r="137" customFormat="false" ht="12.75" hidden="false" customHeight="false" outlineLevel="0" collapsed="false">
      <c r="A137" s="149" t="n">
        <v>40544</v>
      </c>
      <c r="B137" s="0" t="n">
        <v>0.98</v>
      </c>
      <c r="C137" s="0" t="n">
        <v>0.959244</v>
      </c>
      <c r="D137" s="0" t="n">
        <v>0.96</v>
      </c>
      <c r="E137" s="0" t="n">
        <v>0</v>
      </c>
      <c r="F137" s="0" t="n">
        <v>0.977</v>
      </c>
      <c r="G137" s="0" t="n">
        <v>0.9875</v>
      </c>
      <c r="H137" s="0" t="n">
        <v>0.9875</v>
      </c>
      <c r="I137" s="0" t="n">
        <v>0.89431475</v>
      </c>
      <c r="J137" s="0" t="n">
        <v>0.9805</v>
      </c>
      <c r="K137" s="0" t="n">
        <v>0.985</v>
      </c>
      <c r="L137" s="176" t="n">
        <v>0.925955525</v>
      </c>
      <c r="M137" s="176" t="n">
        <v>0.975696937</v>
      </c>
      <c r="N137" s="0" t="n">
        <v>0.87754545</v>
      </c>
      <c r="O137" s="0" t="n">
        <v>0.9538144</v>
      </c>
      <c r="P137" s="0" t="n">
        <v>0.87754545</v>
      </c>
      <c r="Q137" s="177" t="n">
        <v>0.925955525</v>
      </c>
      <c r="R137" s="0" t="n">
        <v>0.925955525</v>
      </c>
      <c r="S137" s="176" t="n">
        <v>0.925955525</v>
      </c>
      <c r="T137" s="0" t="n">
        <v>0.87754545</v>
      </c>
      <c r="U137" s="0" t="n">
        <v>0.87754545</v>
      </c>
      <c r="V137" s="0" t="n">
        <v>0.87754545</v>
      </c>
      <c r="W137" s="0" t="n">
        <v>0.87754545</v>
      </c>
      <c r="X137" s="0" t="n">
        <v>0.9538144</v>
      </c>
      <c r="Y137" s="0" t="n">
        <v>0.9538144</v>
      </c>
      <c r="Z137" s="0" t="n">
        <v>0.9538144</v>
      </c>
      <c r="AA137" s="0" t="n">
        <v>0.9538144</v>
      </c>
      <c r="AB137" s="0" t="n">
        <v>0.87754545</v>
      </c>
      <c r="AC137" s="0" t="n">
        <v>0.87754545</v>
      </c>
      <c r="AD137" s="0" t="n">
        <v>0.9538144</v>
      </c>
      <c r="AE137" s="0" t="n">
        <v>0.9538144</v>
      </c>
      <c r="AF137" s="0" t="n">
        <v>0.87754545</v>
      </c>
      <c r="AG137" s="0" t="n">
        <v>0.98</v>
      </c>
      <c r="AH137" s="0" t="n">
        <v>0.97873745</v>
      </c>
      <c r="AI137" s="0" t="n">
        <v>0.97873745</v>
      </c>
      <c r="AJ137" s="0" t="n">
        <v>0.87754545</v>
      </c>
      <c r="AK137" s="0" t="n">
        <v>1</v>
      </c>
      <c r="AL137" s="0" t="n">
        <v>0.985</v>
      </c>
      <c r="AM137" s="0" t="n">
        <v>0</v>
      </c>
      <c r="BB137" s="187" t="n">
        <v>1</v>
      </c>
      <c r="BC137" s="0" t="n">
        <v>1</v>
      </c>
      <c r="BD137" s="0" t="n">
        <v>1</v>
      </c>
      <c r="BE137" s="0" t="n">
        <v>1</v>
      </c>
      <c r="BF137" s="0" t="n">
        <v>0.9999</v>
      </c>
      <c r="BG137" s="0" t="n">
        <v>1</v>
      </c>
      <c r="BH137" s="0" t="n">
        <v>1</v>
      </c>
      <c r="BI137" s="0" t="n">
        <v>0.99</v>
      </c>
      <c r="BJ137" s="0" t="n">
        <v>0.999</v>
      </c>
      <c r="BK137" s="0" t="n">
        <v>0.998</v>
      </c>
      <c r="BL137" s="0" t="n">
        <v>0.9985</v>
      </c>
      <c r="BM137" s="0" t="n">
        <v>0.9985</v>
      </c>
      <c r="BN137" s="0" t="n">
        <v>0.972</v>
      </c>
      <c r="BO137" s="0" t="n">
        <v>0.9999</v>
      </c>
      <c r="BP137" s="0" t="n">
        <v>0.9999</v>
      </c>
      <c r="BQ137" s="0" t="n">
        <v>1</v>
      </c>
      <c r="BR137" s="0" t="n">
        <v>1.1014826</v>
      </c>
      <c r="BS137" s="0" t="n">
        <v>1.1154</v>
      </c>
      <c r="BT137" s="0" t="n">
        <v>1.0827</v>
      </c>
      <c r="BU137" s="0" t="n">
        <v>1.018</v>
      </c>
      <c r="BV137" s="0" t="n">
        <v>1</v>
      </c>
      <c r="BW137" s="0" t="n">
        <v>2.319</v>
      </c>
      <c r="BX137" s="0" t="n">
        <v>2.293666333</v>
      </c>
      <c r="BY137" s="0" t="n">
        <v>1.11095</v>
      </c>
      <c r="BZ137" s="0" t="n">
        <v>1.2885</v>
      </c>
      <c r="CA137" s="0" t="n">
        <v>2.001</v>
      </c>
      <c r="CB137" s="0" t="n">
        <v>1.530505</v>
      </c>
      <c r="CC137" s="0" t="n">
        <v>1.530505</v>
      </c>
      <c r="CD137" s="0" t="n">
        <v>1.271805</v>
      </c>
      <c r="CE137" s="0" t="n">
        <v>1.08388</v>
      </c>
      <c r="CF137" s="0" t="n">
        <v>1.438605</v>
      </c>
      <c r="CG137" s="188"/>
      <c r="CH137" s="0" t="n">
        <v>1.099705</v>
      </c>
      <c r="CI137" s="188"/>
      <c r="CJ137" s="188"/>
      <c r="CK137" s="188"/>
      <c r="CL137" s="188"/>
      <c r="CM137" s="188"/>
      <c r="CN137" s="188"/>
      <c r="CO137" s="188"/>
      <c r="CP137" s="0" t="n">
        <v>0.895</v>
      </c>
      <c r="CQ137" s="0" t="n">
        <v>0.86</v>
      </c>
      <c r="CT137" s="0" t="n">
        <v>0.999</v>
      </c>
      <c r="CU137" s="0" t="n">
        <v>0.58</v>
      </c>
      <c r="CV137" s="0" t="n">
        <v>0.45</v>
      </c>
      <c r="CW137" s="0" t="n">
        <v>0.805</v>
      </c>
      <c r="CX137" s="0" t="n">
        <v>0.6</v>
      </c>
      <c r="CY137" s="0" t="n">
        <v>0.505</v>
      </c>
      <c r="CZ137" s="0" t="n">
        <v>0.605</v>
      </c>
      <c r="DA137" s="0" t="n">
        <v>0.6375</v>
      </c>
      <c r="DB137" s="0" t="n">
        <v>0.69</v>
      </c>
      <c r="DC137" s="0" t="n">
        <v>0.88</v>
      </c>
      <c r="DD137" s="0" t="n">
        <v>0.64</v>
      </c>
      <c r="DE137" s="0" t="n">
        <v>0.89</v>
      </c>
      <c r="DN137" s="188" t="n">
        <v>0.000285</v>
      </c>
      <c r="DO137" s="188" t="n">
        <v>0.0002</v>
      </c>
      <c r="DP137" s="188" t="n">
        <v>0</v>
      </c>
      <c r="DQ137" s="188" t="n">
        <v>0.0001</v>
      </c>
      <c r="DR137" s="188" t="n">
        <v>0</v>
      </c>
      <c r="DS137" s="188" t="n">
        <v>0.0036</v>
      </c>
      <c r="DT137" s="188" t="n">
        <v>0.00047</v>
      </c>
      <c r="DU137" s="188" t="n">
        <v>0.0007</v>
      </c>
      <c r="DV137" s="188" t="n">
        <v>0</v>
      </c>
      <c r="DW137" s="188" t="n">
        <v>0</v>
      </c>
      <c r="DX137" s="188" t="n">
        <v>0.0005</v>
      </c>
      <c r="DY137" s="188" t="n">
        <v>0.0005</v>
      </c>
      <c r="DZ137" s="188" t="n">
        <v>0.0003</v>
      </c>
      <c r="EA137" s="188" t="n">
        <v>0.000275</v>
      </c>
      <c r="EB137" s="188" t="n">
        <v>0.0004</v>
      </c>
      <c r="ED137" s="188" t="n">
        <v>6.5E-005</v>
      </c>
      <c r="EF137" s="0" t="n">
        <v>1</v>
      </c>
    </row>
    <row r="138" customFormat="false" ht="12.75" hidden="false" customHeight="false" outlineLevel="0" collapsed="false">
      <c r="A138" s="149" t="n">
        <v>40575</v>
      </c>
      <c r="B138" s="0" t="n">
        <v>0.98</v>
      </c>
      <c r="C138" s="0" t="n">
        <v>0.959416</v>
      </c>
      <c r="D138" s="0" t="n">
        <v>0.96</v>
      </c>
      <c r="E138" s="0" t="n">
        <v>0</v>
      </c>
      <c r="F138" s="0" t="n">
        <v>0.977</v>
      </c>
      <c r="G138" s="0" t="n">
        <v>0.9875</v>
      </c>
      <c r="H138" s="0" t="n">
        <v>0.9875</v>
      </c>
      <c r="I138" s="0" t="n">
        <v>0.93934425</v>
      </c>
      <c r="J138" s="0" t="n">
        <v>0.9805</v>
      </c>
      <c r="K138" s="0" t="n">
        <v>0.985</v>
      </c>
      <c r="L138" s="176" t="n">
        <v>0.972188175</v>
      </c>
      <c r="M138" s="176" t="n">
        <v>0.9875</v>
      </c>
      <c r="N138" s="0" t="n">
        <v>0.90319455</v>
      </c>
      <c r="O138" s="0" t="n">
        <v>0.951346013</v>
      </c>
      <c r="P138" s="0" t="n">
        <v>0.90319455</v>
      </c>
      <c r="Q138" s="177" t="n">
        <v>0.972188175</v>
      </c>
      <c r="R138" s="0" t="n">
        <v>0.972188175</v>
      </c>
      <c r="S138" s="176" t="n">
        <v>0.972188175</v>
      </c>
      <c r="T138" s="0" t="n">
        <v>0.90319455</v>
      </c>
      <c r="U138" s="0" t="n">
        <v>0.90319455</v>
      </c>
      <c r="V138" s="0" t="n">
        <v>0.90319455</v>
      </c>
      <c r="W138" s="0" t="n">
        <v>0.90319455</v>
      </c>
      <c r="X138" s="0" t="n">
        <v>0.951346013</v>
      </c>
      <c r="Y138" s="0" t="n">
        <v>0.951346013</v>
      </c>
      <c r="Z138" s="0" t="n">
        <v>0.951346013</v>
      </c>
      <c r="AA138" s="0" t="n">
        <v>0.951346013</v>
      </c>
      <c r="AB138" s="0" t="n">
        <v>0.90319455</v>
      </c>
      <c r="AC138" s="0" t="n">
        <v>0.90319455</v>
      </c>
      <c r="AD138" s="0" t="n">
        <v>0.951346013</v>
      </c>
      <c r="AE138" s="0" t="n">
        <v>0.951346013</v>
      </c>
      <c r="AF138" s="0" t="n">
        <v>0.90319455</v>
      </c>
      <c r="AG138" s="0" t="n">
        <v>0.98</v>
      </c>
      <c r="AH138" s="0" t="n">
        <v>0.9787953</v>
      </c>
      <c r="AI138" s="0" t="n">
        <v>0.9787953</v>
      </c>
      <c r="AJ138" s="0" t="n">
        <v>0.90319455</v>
      </c>
      <c r="AK138" s="0" t="n">
        <v>1</v>
      </c>
      <c r="AL138" s="0" t="n">
        <v>0.985</v>
      </c>
      <c r="AM138" s="0" t="n">
        <v>0</v>
      </c>
      <c r="BB138" s="187" t="n">
        <v>1</v>
      </c>
      <c r="BC138" s="0" t="n">
        <v>1</v>
      </c>
      <c r="BD138" s="0" t="n">
        <v>1</v>
      </c>
      <c r="BE138" s="0" t="n">
        <v>1</v>
      </c>
      <c r="BF138" s="0" t="n">
        <v>0.9999</v>
      </c>
      <c r="BG138" s="0" t="n">
        <v>1</v>
      </c>
      <c r="BH138" s="0" t="n">
        <v>1</v>
      </c>
      <c r="BI138" s="0" t="n">
        <v>0.99</v>
      </c>
      <c r="BJ138" s="0" t="n">
        <v>0.999</v>
      </c>
      <c r="BK138" s="0" t="n">
        <v>0.998</v>
      </c>
      <c r="BL138" s="0" t="n">
        <v>0.9985</v>
      </c>
      <c r="BM138" s="0" t="n">
        <v>0.9985</v>
      </c>
      <c r="BN138" s="0" t="n">
        <v>0.972</v>
      </c>
      <c r="BO138" s="0" t="n">
        <v>0.9999</v>
      </c>
      <c r="BP138" s="0" t="n">
        <v>0.9999</v>
      </c>
      <c r="BQ138" s="0" t="n">
        <v>1</v>
      </c>
      <c r="BR138" s="0" t="n">
        <v>1.1017676</v>
      </c>
      <c r="BS138" s="0" t="n">
        <v>1.1156</v>
      </c>
      <c r="BT138" s="0" t="n">
        <v>1.0827</v>
      </c>
      <c r="BU138" s="0" t="n">
        <v>1.0181</v>
      </c>
      <c r="BV138" s="0" t="n">
        <v>1</v>
      </c>
      <c r="BW138" s="0" t="n">
        <v>2.3226</v>
      </c>
      <c r="BX138" s="0" t="n">
        <v>2.294136333</v>
      </c>
      <c r="BY138" s="0" t="n">
        <v>1.11165</v>
      </c>
      <c r="BZ138" s="0" t="n">
        <v>1.2885</v>
      </c>
      <c r="CA138" s="0" t="n">
        <v>2.001</v>
      </c>
      <c r="CB138" s="0" t="n">
        <v>1.531005</v>
      </c>
      <c r="CC138" s="0" t="n">
        <v>1.531005</v>
      </c>
      <c r="CD138" s="0" t="n">
        <v>1.272105</v>
      </c>
      <c r="CE138" s="0" t="n">
        <v>1.084155</v>
      </c>
      <c r="CF138" s="0" t="n">
        <v>1.439005</v>
      </c>
      <c r="CG138" s="188"/>
      <c r="CH138" s="0" t="n">
        <v>1.09977</v>
      </c>
      <c r="CI138" s="188"/>
      <c r="CJ138" s="188"/>
      <c r="CK138" s="188"/>
      <c r="CL138" s="188"/>
      <c r="CM138" s="188"/>
      <c r="CN138" s="188"/>
      <c r="CO138" s="188"/>
      <c r="CP138" s="0" t="n">
        <v>0.865</v>
      </c>
      <c r="CQ138" s="0" t="n">
        <v>0.86</v>
      </c>
      <c r="CT138" s="0" t="n">
        <v>0.99895</v>
      </c>
      <c r="CU138" s="0" t="n">
        <v>0.58</v>
      </c>
      <c r="CV138" s="0" t="n">
        <v>0.45</v>
      </c>
      <c r="CW138" s="0" t="n">
        <v>0.845</v>
      </c>
      <c r="CX138" s="0" t="n">
        <v>0.705</v>
      </c>
      <c r="CY138" s="0" t="n">
        <v>0.505</v>
      </c>
      <c r="CZ138" s="0" t="n">
        <v>0.635</v>
      </c>
      <c r="DA138" s="0" t="n">
        <v>0.6675</v>
      </c>
      <c r="DB138" s="0" t="n">
        <v>0.71</v>
      </c>
      <c r="DC138" s="0" t="n">
        <v>0.8775</v>
      </c>
      <c r="DD138" s="0" t="n">
        <v>0.67</v>
      </c>
      <c r="DE138" s="0" t="n">
        <v>0.89</v>
      </c>
      <c r="DN138" s="188" t="n">
        <v>0.000285</v>
      </c>
      <c r="DO138" s="188" t="n">
        <v>0.0002</v>
      </c>
      <c r="DP138" s="188" t="n">
        <v>0</v>
      </c>
      <c r="DQ138" s="188" t="n">
        <v>0.0001</v>
      </c>
      <c r="DR138" s="188" t="n">
        <v>0</v>
      </c>
      <c r="DS138" s="188" t="n">
        <v>0.0036</v>
      </c>
      <c r="DT138" s="188" t="n">
        <v>0.00047</v>
      </c>
      <c r="DU138" s="188" t="n">
        <v>0.0007</v>
      </c>
      <c r="DV138" s="188" t="n">
        <v>0</v>
      </c>
      <c r="DW138" s="188" t="n">
        <v>0</v>
      </c>
      <c r="DX138" s="188" t="n">
        <v>0.0005</v>
      </c>
      <c r="DY138" s="188" t="n">
        <v>0.0005</v>
      </c>
      <c r="DZ138" s="188" t="n">
        <v>0.0003</v>
      </c>
      <c r="EA138" s="188" t="n">
        <v>0.000275</v>
      </c>
      <c r="EB138" s="188" t="n">
        <v>0.0004</v>
      </c>
      <c r="ED138" s="188" t="n">
        <v>6.5E-005</v>
      </c>
      <c r="EF138" s="0" t="n">
        <v>1</v>
      </c>
    </row>
    <row r="139" customFormat="false" ht="12.75" hidden="false" customHeight="false" outlineLevel="0" collapsed="false">
      <c r="A139" s="149" t="n">
        <v>40603</v>
      </c>
      <c r="B139" s="0" t="n">
        <v>0.98</v>
      </c>
      <c r="C139" s="0" t="n">
        <v>0.988</v>
      </c>
      <c r="D139" s="0" t="n">
        <v>0.96</v>
      </c>
      <c r="E139" s="0" t="n">
        <v>0</v>
      </c>
      <c r="F139" s="0" t="n">
        <v>0.977</v>
      </c>
      <c r="G139" s="0" t="n">
        <v>0.9875</v>
      </c>
      <c r="H139" s="0" t="n">
        <v>0.9875</v>
      </c>
      <c r="I139" s="0" t="n">
        <v>0.97330625</v>
      </c>
      <c r="J139" s="0" t="n">
        <v>0.9805</v>
      </c>
      <c r="K139" s="0" t="n">
        <v>0.985</v>
      </c>
      <c r="L139" s="176" t="n">
        <v>0.9875</v>
      </c>
      <c r="M139" s="176" t="n">
        <v>0.9875</v>
      </c>
      <c r="N139" s="0" t="n">
        <v>0.98</v>
      </c>
      <c r="O139" s="0" t="n">
        <v>0.975987</v>
      </c>
      <c r="P139" s="0" t="n">
        <v>0.98</v>
      </c>
      <c r="Q139" s="177" t="n">
        <v>0.9875</v>
      </c>
      <c r="R139" s="0" t="n">
        <v>0.9875</v>
      </c>
      <c r="S139" s="176" t="n">
        <v>0.9875</v>
      </c>
      <c r="T139" s="0" t="n">
        <v>0.98</v>
      </c>
      <c r="U139" s="0" t="n">
        <v>0.98</v>
      </c>
      <c r="V139" s="0" t="n">
        <v>0.98</v>
      </c>
      <c r="W139" s="0" t="n">
        <v>0.98</v>
      </c>
      <c r="X139" s="0" t="n">
        <v>0.975987</v>
      </c>
      <c r="Y139" s="0" t="n">
        <v>0.975987</v>
      </c>
      <c r="Z139" s="0" t="n">
        <v>0.975987</v>
      </c>
      <c r="AA139" s="0" t="n">
        <v>0.975987</v>
      </c>
      <c r="AB139" s="0" t="n">
        <v>0.98</v>
      </c>
      <c r="AC139" s="0" t="n">
        <v>0.98</v>
      </c>
      <c r="AD139" s="0" t="n">
        <v>0.975987</v>
      </c>
      <c r="AE139" s="0" t="n">
        <v>0.975987</v>
      </c>
      <c r="AF139" s="0" t="n">
        <v>0.98</v>
      </c>
      <c r="AG139" s="0" t="n">
        <v>0.99</v>
      </c>
      <c r="AH139" s="0" t="n">
        <v>0.97885315</v>
      </c>
      <c r="AI139" s="0" t="n">
        <v>0.97885315</v>
      </c>
      <c r="AJ139" s="0" t="n">
        <v>0.98</v>
      </c>
      <c r="AK139" s="0" t="n">
        <v>1</v>
      </c>
      <c r="AL139" s="0" t="n">
        <v>0.985</v>
      </c>
      <c r="AM139" s="0" t="n">
        <v>0</v>
      </c>
      <c r="BB139" s="187" t="n">
        <v>1</v>
      </c>
      <c r="BC139" s="0" t="n">
        <v>1</v>
      </c>
      <c r="BD139" s="0" t="n">
        <v>1</v>
      </c>
      <c r="BE139" s="0" t="n">
        <v>1</v>
      </c>
      <c r="BF139" s="0" t="n">
        <v>0.9999</v>
      </c>
      <c r="BG139" s="0" t="n">
        <v>1</v>
      </c>
      <c r="BH139" s="0" t="n">
        <v>1</v>
      </c>
      <c r="BI139" s="0" t="n">
        <v>0.99</v>
      </c>
      <c r="BJ139" s="0" t="n">
        <v>0.999</v>
      </c>
      <c r="BK139" s="0" t="n">
        <v>0.998</v>
      </c>
      <c r="BL139" s="0" t="n">
        <v>0.9985</v>
      </c>
      <c r="BM139" s="0" t="n">
        <v>0.9985</v>
      </c>
      <c r="BN139" s="0" t="n">
        <v>0.972</v>
      </c>
      <c r="BO139" s="0" t="n">
        <v>0.9999</v>
      </c>
      <c r="BP139" s="0" t="n">
        <v>0.9999</v>
      </c>
      <c r="BQ139" s="0" t="n">
        <v>1</v>
      </c>
      <c r="BR139" s="0" t="n">
        <v>1.1020526</v>
      </c>
      <c r="BS139" s="0" t="n">
        <v>1.1158</v>
      </c>
      <c r="BT139" s="0" t="n">
        <v>1.0827</v>
      </c>
      <c r="BU139" s="0" t="n">
        <v>1.0182</v>
      </c>
      <c r="BV139" s="0" t="n">
        <v>1</v>
      </c>
      <c r="BW139" s="0" t="n">
        <v>2.3262</v>
      </c>
      <c r="BX139" s="0" t="n">
        <v>2.294606333</v>
      </c>
      <c r="BY139" s="0" t="n">
        <v>1.11235</v>
      </c>
      <c r="BZ139" s="0" t="n">
        <v>1.2885</v>
      </c>
      <c r="CA139" s="0" t="n">
        <v>2.001</v>
      </c>
      <c r="CB139" s="0" t="n">
        <v>1.531505</v>
      </c>
      <c r="CC139" s="0" t="n">
        <v>1.531505</v>
      </c>
      <c r="CD139" s="0" t="n">
        <v>1.272405</v>
      </c>
      <c r="CE139" s="0" t="n">
        <v>1.08443</v>
      </c>
      <c r="CF139" s="0" t="n">
        <v>1.439405</v>
      </c>
      <c r="CG139" s="188"/>
      <c r="CH139" s="0" t="n">
        <v>1.099835</v>
      </c>
      <c r="CI139" s="188"/>
      <c r="CJ139" s="188"/>
      <c r="CK139" s="188"/>
      <c r="CL139" s="188"/>
      <c r="CM139" s="188"/>
      <c r="CN139" s="188"/>
      <c r="CO139" s="188"/>
      <c r="CP139" s="0" t="n">
        <v>0.865</v>
      </c>
      <c r="CQ139" s="0" t="n">
        <v>0.89</v>
      </c>
      <c r="CT139" s="0" t="n">
        <v>0.99895</v>
      </c>
      <c r="CU139" s="0" t="n">
        <v>0.54</v>
      </c>
      <c r="CV139" s="0" t="n">
        <v>0.45</v>
      </c>
      <c r="CW139" s="0" t="n">
        <v>0.875</v>
      </c>
      <c r="CX139" s="0" t="n">
        <v>0.875</v>
      </c>
      <c r="CY139" s="0" t="n">
        <v>0.515</v>
      </c>
      <c r="CZ139" s="0" t="n">
        <v>0.785</v>
      </c>
      <c r="DA139" s="0" t="n">
        <v>0.8175</v>
      </c>
      <c r="DB139" s="0" t="n">
        <v>0.8</v>
      </c>
      <c r="DC139" s="0" t="n">
        <v>0.9</v>
      </c>
      <c r="DD139" s="0" t="n">
        <v>0.83</v>
      </c>
      <c r="DE139" s="0" t="n">
        <v>0.89</v>
      </c>
      <c r="DN139" s="188" t="n">
        <v>0.000285</v>
      </c>
      <c r="DO139" s="188" t="n">
        <v>0.0002</v>
      </c>
      <c r="DP139" s="188" t="n">
        <v>0</v>
      </c>
      <c r="DQ139" s="188" t="n">
        <v>0.0001</v>
      </c>
      <c r="DR139" s="188" t="n">
        <v>0</v>
      </c>
      <c r="DS139" s="188" t="n">
        <v>0.0036</v>
      </c>
      <c r="DT139" s="188" t="n">
        <v>0.00047</v>
      </c>
      <c r="DU139" s="188" t="n">
        <v>0.0007</v>
      </c>
      <c r="DV139" s="188" t="n">
        <v>0</v>
      </c>
      <c r="DW139" s="188" t="n">
        <v>0</v>
      </c>
      <c r="DX139" s="188" t="n">
        <v>0.0005</v>
      </c>
      <c r="DY139" s="188" t="n">
        <v>0.0005</v>
      </c>
      <c r="DZ139" s="188" t="n">
        <v>0.0003</v>
      </c>
      <c r="EA139" s="188" t="n">
        <v>0.000275</v>
      </c>
      <c r="EB139" s="188" t="n">
        <v>0.0004</v>
      </c>
      <c r="ED139" s="188" t="n">
        <v>6.5E-005</v>
      </c>
      <c r="EF139" s="0" t="n">
        <v>1</v>
      </c>
    </row>
    <row r="140" customFormat="false" ht="12.75" hidden="false" customHeight="false" outlineLevel="0" collapsed="false">
      <c r="A140" s="149" t="n">
        <v>40634</v>
      </c>
      <c r="B140" s="0" t="n">
        <v>0.98</v>
      </c>
      <c r="C140" s="0" t="n">
        <v>0.988</v>
      </c>
      <c r="D140" s="0" t="n">
        <v>0.96</v>
      </c>
      <c r="E140" s="0" t="n">
        <v>0</v>
      </c>
      <c r="F140" s="0" t="n">
        <v>0.977</v>
      </c>
      <c r="G140" s="0" t="n">
        <v>0.9875</v>
      </c>
      <c r="H140" s="0" t="n">
        <v>0.96393206</v>
      </c>
      <c r="I140" s="0" t="n">
        <v>0.9875</v>
      </c>
      <c r="J140" s="0" t="n">
        <v>0.9805</v>
      </c>
      <c r="K140" s="0" t="n">
        <v>0.985</v>
      </c>
      <c r="L140" s="176" t="n">
        <v>0.9875</v>
      </c>
      <c r="M140" s="176" t="n">
        <v>0.9875</v>
      </c>
      <c r="N140" s="0" t="n">
        <v>0.98</v>
      </c>
      <c r="O140" s="0" t="n">
        <v>0.979488615</v>
      </c>
      <c r="P140" s="0" t="n">
        <v>0.98</v>
      </c>
      <c r="Q140" s="177" t="n">
        <v>0.9875</v>
      </c>
      <c r="R140" s="0" t="n">
        <v>0.9875</v>
      </c>
      <c r="S140" s="176" t="n">
        <v>0.9875</v>
      </c>
      <c r="T140" s="0" t="n">
        <v>0.98</v>
      </c>
      <c r="U140" s="0" t="n">
        <v>0.98</v>
      </c>
      <c r="V140" s="0" t="n">
        <v>0.98</v>
      </c>
      <c r="W140" s="0" t="n">
        <v>0.98</v>
      </c>
      <c r="X140" s="0" t="n">
        <v>0.979488615</v>
      </c>
      <c r="Y140" s="0" t="n">
        <v>0.979488615</v>
      </c>
      <c r="Z140" s="0" t="n">
        <v>0.979488615</v>
      </c>
      <c r="AA140" s="0" t="n">
        <v>0.979488615</v>
      </c>
      <c r="AB140" s="0" t="n">
        <v>0.98</v>
      </c>
      <c r="AC140" s="0" t="n">
        <v>0.98</v>
      </c>
      <c r="AD140" s="0" t="n">
        <v>0.979488615</v>
      </c>
      <c r="AE140" s="0" t="n">
        <v>0.979488615</v>
      </c>
      <c r="AF140" s="0" t="n">
        <v>0.98</v>
      </c>
      <c r="AG140" s="0" t="n">
        <v>0.99</v>
      </c>
      <c r="AH140" s="0" t="n">
        <v>0.978911</v>
      </c>
      <c r="AI140" s="0" t="n">
        <v>0.978911</v>
      </c>
      <c r="AJ140" s="0" t="n">
        <v>0.98</v>
      </c>
      <c r="AK140" s="0" t="n">
        <v>1</v>
      </c>
      <c r="AL140" s="0" t="n">
        <v>0.985</v>
      </c>
      <c r="AM140" s="0" t="n">
        <v>0</v>
      </c>
      <c r="BB140" s="187" t="n">
        <v>1</v>
      </c>
      <c r="BC140" s="0" t="n">
        <v>1</v>
      </c>
      <c r="BD140" s="0" t="n">
        <v>1</v>
      </c>
      <c r="BE140" s="0" t="n">
        <v>1</v>
      </c>
      <c r="BF140" s="0" t="n">
        <v>0.9999</v>
      </c>
      <c r="BG140" s="0" t="n">
        <v>1</v>
      </c>
      <c r="BH140" s="0" t="n">
        <v>1</v>
      </c>
      <c r="BI140" s="0" t="n">
        <v>0.99</v>
      </c>
      <c r="BJ140" s="0" t="n">
        <v>0.999</v>
      </c>
      <c r="BK140" s="0" t="n">
        <v>0.998</v>
      </c>
      <c r="BL140" s="0" t="n">
        <v>0.9985</v>
      </c>
      <c r="BM140" s="0" t="n">
        <v>0.9985</v>
      </c>
      <c r="BN140" s="0" t="n">
        <v>0.972</v>
      </c>
      <c r="BO140" s="0" t="n">
        <v>0.9999</v>
      </c>
      <c r="BP140" s="0" t="n">
        <v>0.9999</v>
      </c>
      <c r="BQ140" s="0" t="n">
        <v>1</v>
      </c>
      <c r="BR140" s="0" t="n">
        <v>1.1023376</v>
      </c>
      <c r="BS140" s="0" t="n">
        <v>1.116</v>
      </c>
      <c r="BT140" s="0" t="n">
        <v>1.0827</v>
      </c>
      <c r="BU140" s="0" t="n">
        <v>1.0183</v>
      </c>
      <c r="BV140" s="0" t="n">
        <v>1</v>
      </c>
      <c r="BW140" s="0" t="n">
        <v>2.3298</v>
      </c>
      <c r="BX140" s="0" t="n">
        <v>2.295076333</v>
      </c>
      <c r="BY140" s="0" t="n">
        <v>1.11305</v>
      </c>
      <c r="BZ140" s="0" t="n">
        <v>1.2885</v>
      </c>
      <c r="CA140" s="0" t="n">
        <v>2.001</v>
      </c>
      <c r="CB140" s="0" t="n">
        <v>1.532005</v>
      </c>
      <c r="CC140" s="0" t="n">
        <v>1.532005</v>
      </c>
      <c r="CD140" s="0" t="n">
        <v>1.272705</v>
      </c>
      <c r="CE140" s="0" t="n">
        <v>1.084705</v>
      </c>
      <c r="CF140" s="0" t="n">
        <v>1.439805</v>
      </c>
      <c r="CG140" s="188"/>
      <c r="CH140" s="0" t="n">
        <v>1.0999</v>
      </c>
      <c r="CI140" s="188"/>
      <c r="CJ140" s="188"/>
      <c r="CK140" s="188"/>
      <c r="CL140" s="188"/>
      <c r="CM140" s="188"/>
      <c r="CN140" s="188"/>
      <c r="CO140" s="188"/>
      <c r="CP140" s="0" t="n">
        <v>0.895</v>
      </c>
      <c r="CQ140" s="0" t="n">
        <v>0.9</v>
      </c>
      <c r="CT140" s="0" t="n">
        <v>0.99895</v>
      </c>
      <c r="CU140" s="0" t="n">
        <v>0.48</v>
      </c>
      <c r="CV140" s="0" t="n">
        <v>0.42</v>
      </c>
      <c r="CW140" s="0" t="n">
        <v>0.935</v>
      </c>
      <c r="CX140" s="0" t="n">
        <v>0.865</v>
      </c>
      <c r="CY140" s="0" t="n">
        <v>0.575</v>
      </c>
      <c r="CZ140" s="0" t="n">
        <v>0.895</v>
      </c>
      <c r="DA140" s="0" t="n">
        <v>0.9275</v>
      </c>
      <c r="DB140" s="0" t="n">
        <v>0.85</v>
      </c>
      <c r="DC140" s="0" t="n">
        <v>0.903</v>
      </c>
      <c r="DD140" s="0" t="n">
        <v>0.92</v>
      </c>
      <c r="DE140" s="0" t="n">
        <v>0.89</v>
      </c>
      <c r="DN140" s="188" t="n">
        <v>0.000285</v>
      </c>
      <c r="DO140" s="188" t="n">
        <v>0.0002</v>
      </c>
      <c r="DP140" s="188" t="n">
        <v>0</v>
      </c>
      <c r="DQ140" s="188" t="n">
        <v>0.0001</v>
      </c>
      <c r="DR140" s="188" t="n">
        <v>0</v>
      </c>
      <c r="DS140" s="188" t="n">
        <v>0.0036</v>
      </c>
      <c r="DT140" s="188" t="n">
        <v>0.00047</v>
      </c>
      <c r="DU140" s="188" t="n">
        <v>0.0007</v>
      </c>
      <c r="DV140" s="188" t="n">
        <v>0</v>
      </c>
      <c r="DW140" s="188" t="n">
        <v>0</v>
      </c>
      <c r="DX140" s="188" t="n">
        <v>0.0005</v>
      </c>
      <c r="DY140" s="188" t="n">
        <v>0.0005</v>
      </c>
      <c r="DZ140" s="188" t="n">
        <v>0.0003</v>
      </c>
      <c r="EA140" s="188" t="n">
        <v>0.000275</v>
      </c>
      <c r="EB140" s="188" t="n">
        <v>0.0004</v>
      </c>
      <c r="ED140" s="188" t="n">
        <v>6.5E-005</v>
      </c>
      <c r="EF140" s="0" t="n">
        <v>1</v>
      </c>
    </row>
    <row r="141" customFormat="false" ht="12.75" hidden="false" customHeight="false" outlineLevel="0" collapsed="false">
      <c r="A141" s="149" t="n">
        <v>40664</v>
      </c>
      <c r="B141" s="0" t="n">
        <v>0.98</v>
      </c>
      <c r="C141" s="0" t="n">
        <v>0.988</v>
      </c>
      <c r="D141" s="0" t="n">
        <v>0.96</v>
      </c>
      <c r="E141" s="0" t="n">
        <v>0</v>
      </c>
      <c r="F141" s="0" t="n">
        <v>0.977</v>
      </c>
      <c r="G141" s="0" t="n">
        <v>0.793356</v>
      </c>
      <c r="H141" s="0" t="n">
        <v>0.96412946</v>
      </c>
      <c r="I141" s="0" t="n">
        <v>0.9875</v>
      </c>
      <c r="J141" s="0" t="n">
        <v>0.9805</v>
      </c>
      <c r="K141" s="0" t="n">
        <v>0.985</v>
      </c>
      <c r="L141" s="176" t="n">
        <v>0.9875</v>
      </c>
      <c r="M141" s="176" t="n">
        <v>0.9875</v>
      </c>
      <c r="N141" s="0" t="n">
        <v>0.98</v>
      </c>
      <c r="O141" s="0" t="n">
        <v>0.976482</v>
      </c>
      <c r="P141" s="0" t="n">
        <v>0.98</v>
      </c>
      <c r="Q141" s="177" t="n">
        <v>0.9875</v>
      </c>
      <c r="R141" s="0" t="n">
        <v>0.9875</v>
      </c>
      <c r="S141" s="176" t="n">
        <v>0.9875</v>
      </c>
      <c r="T141" s="0" t="n">
        <v>0.98</v>
      </c>
      <c r="U141" s="0" t="n">
        <v>0.98</v>
      </c>
      <c r="V141" s="0" t="n">
        <v>0.98</v>
      </c>
      <c r="W141" s="0" t="n">
        <v>0.98</v>
      </c>
      <c r="X141" s="0" t="n">
        <v>0.976482</v>
      </c>
      <c r="Y141" s="0" t="n">
        <v>0.976482</v>
      </c>
      <c r="Z141" s="0" t="n">
        <v>0.976482</v>
      </c>
      <c r="AA141" s="0" t="n">
        <v>0.976482</v>
      </c>
      <c r="AB141" s="0" t="n">
        <v>0.98</v>
      </c>
      <c r="AC141" s="0" t="n">
        <v>0.98</v>
      </c>
      <c r="AD141" s="0" t="n">
        <v>0.976482</v>
      </c>
      <c r="AE141" s="0" t="n">
        <v>0.976482</v>
      </c>
      <c r="AF141" s="0" t="n">
        <v>0.98</v>
      </c>
      <c r="AG141" s="0" t="n">
        <v>0.99</v>
      </c>
      <c r="AH141" s="0" t="n">
        <v>0.97896885</v>
      </c>
      <c r="AI141" s="0" t="n">
        <v>0.97896885</v>
      </c>
      <c r="AJ141" s="0" t="n">
        <v>0.98</v>
      </c>
      <c r="AK141" s="0" t="n">
        <v>1</v>
      </c>
      <c r="AL141" s="0" t="n">
        <v>0.985</v>
      </c>
      <c r="AM141" s="0" t="n">
        <v>0</v>
      </c>
      <c r="BB141" s="187" t="n">
        <v>1</v>
      </c>
      <c r="BC141" s="0" t="n">
        <v>1</v>
      </c>
      <c r="BD141" s="0" t="n">
        <v>1</v>
      </c>
      <c r="BE141" s="0" t="n">
        <v>1</v>
      </c>
      <c r="BF141" s="0" t="n">
        <v>0.9999</v>
      </c>
      <c r="BG141" s="0" t="n">
        <v>1</v>
      </c>
      <c r="BH141" s="0" t="n">
        <v>1</v>
      </c>
      <c r="BI141" s="0" t="n">
        <v>0.99</v>
      </c>
      <c r="BJ141" s="0" t="n">
        <v>0.999</v>
      </c>
      <c r="BK141" s="0" t="n">
        <v>0.998</v>
      </c>
      <c r="BL141" s="0" t="n">
        <v>0.9985</v>
      </c>
      <c r="BM141" s="0" t="n">
        <v>0.9985</v>
      </c>
      <c r="BN141" s="0" t="n">
        <v>0.972</v>
      </c>
      <c r="BO141" s="0" t="n">
        <v>0.9999</v>
      </c>
      <c r="BP141" s="0" t="n">
        <v>0.9999</v>
      </c>
      <c r="BQ141" s="0" t="n">
        <v>1</v>
      </c>
      <c r="BR141" s="0" t="n">
        <v>1.1026226</v>
      </c>
      <c r="BS141" s="0" t="n">
        <v>1.1162</v>
      </c>
      <c r="BT141" s="0" t="n">
        <v>1.0827</v>
      </c>
      <c r="BU141" s="0" t="n">
        <v>1.0184</v>
      </c>
      <c r="BV141" s="0" t="n">
        <v>1</v>
      </c>
      <c r="BW141" s="0" t="n">
        <v>2.3334</v>
      </c>
      <c r="BX141" s="0" t="n">
        <v>2.295546333</v>
      </c>
      <c r="BY141" s="0" t="n">
        <v>1.11375</v>
      </c>
      <c r="BZ141" s="0" t="n">
        <v>1.2885</v>
      </c>
      <c r="CA141" s="0" t="n">
        <v>2.001</v>
      </c>
      <c r="CB141" s="0" t="n">
        <v>1.532505</v>
      </c>
      <c r="CC141" s="0" t="n">
        <v>1.532505</v>
      </c>
      <c r="CD141" s="0" t="n">
        <v>1.273005</v>
      </c>
      <c r="CE141" s="0" t="n">
        <v>1.08498</v>
      </c>
      <c r="CF141" s="0" t="n">
        <v>1.440205</v>
      </c>
      <c r="CG141" s="188"/>
      <c r="CH141" s="0" t="n">
        <v>1.099965</v>
      </c>
      <c r="CI141" s="188"/>
      <c r="CJ141" s="188"/>
      <c r="CK141" s="188"/>
      <c r="CL141" s="188"/>
      <c r="CM141" s="188"/>
      <c r="CN141" s="188"/>
      <c r="CO141" s="188"/>
      <c r="CP141" s="0" t="n">
        <v>0.965</v>
      </c>
      <c r="CQ141" s="0" t="n">
        <v>0.91</v>
      </c>
      <c r="CT141" s="0" t="n">
        <v>0.99895</v>
      </c>
      <c r="CU141" s="0" t="n">
        <v>0.34</v>
      </c>
      <c r="CV141" s="0" t="n">
        <v>0.42</v>
      </c>
      <c r="CW141" s="0" t="n">
        <v>0.935</v>
      </c>
      <c r="CX141" s="0" t="n">
        <v>0.765</v>
      </c>
      <c r="CY141" s="0" t="n">
        <v>0.625</v>
      </c>
      <c r="CZ141" s="0" t="n">
        <v>0.9175</v>
      </c>
      <c r="DA141" s="0" t="n">
        <v>0.95</v>
      </c>
      <c r="DB141" s="0" t="n">
        <v>0.88</v>
      </c>
      <c r="DC141" s="0" t="n">
        <v>0.9</v>
      </c>
      <c r="DD141" s="0" t="n">
        <v>0.935</v>
      </c>
      <c r="DE141" s="0" t="n">
        <v>0.89</v>
      </c>
      <c r="DN141" s="188" t="n">
        <v>0.000285</v>
      </c>
      <c r="DO141" s="188" t="n">
        <v>0.0002</v>
      </c>
      <c r="DP141" s="188" t="n">
        <v>0</v>
      </c>
      <c r="DQ141" s="188" t="n">
        <v>0.0001</v>
      </c>
      <c r="DR141" s="188" t="n">
        <v>0</v>
      </c>
      <c r="DS141" s="188" t="n">
        <v>0.0036</v>
      </c>
      <c r="DT141" s="188" t="n">
        <v>0.00047</v>
      </c>
      <c r="DU141" s="188" t="n">
        <v>0.0007</v>
      </c>
      <c r="DV141" s="188" t="n">
        <v>0</v>
      </c>
      <c r="DW141" s="188" t="n">
        <v>0</v>
      </c>
      <c r="DX141" s="188" t="n">
        <v>0.0005</v>
      </c>
      <c r="DY141" s="188" t="n">
        <v>0.0005</v>
      </c>
      <c r="DZ141" s="188" t="n">
        <v>0.0003</v>
      </c>
      <c r="EA141" s="188" t="n">
        <v>0.000275</v>
      </c>
      <c r="EB141" s="188" t="n">
        <v>0.0004</v>
      </c>
      <c r="ED141" s="188" t="n">
        <v>6.5E-005</v>
      </c>
      <c r="EF141" s="0" t="n">
        <v>1</v>
      </c>
    </row>
    <row r="142" customFormat="false" ht="12.75" hidden="false" customHeight="false" outlineLevel="0" collapsed="false">
      <c r="A142" s="149" t="n">
        <v>40695</v>
      </c>
      <c r="B142" s="0" t="n">
        <v>0.98</v>
      </c>
      <c r="C142" s="0" t="n">
        <v>0.988</v>
      </c>
      <c r="D142" s="0" t="n">
        <v>0.96</v>
      </c>
      <c r="E142" s="0" t="n">
        <v>0</v>
      </c>
      <c r="F142" s="0" t="n">
        <v>0.977</v>
      </c>
      <c r="G142" s="0" t="n">
        <v>0.79458</v>
      </c>
      <c r="H142" s="0" t="n">
        <v>0.9875</v>
      </c>
      <c r="I142" s="0" t="n">
        <v>0.9875</v>
      </c>
      <c r="J142" s="0" t="n">
        <v>0.9805</v>
      </c>
      <c r="K142" s="0" t="n">
        <v>0.985</v>
      </c>
      <c r="L142" s="176" t="n">
        <v>0.9875</v>
      </c>
      <c r="M142" s="176" t="n">
        <v>0.9875</v>
      </c>
      <c r="N142" s="0" t="n">
        <v>0.98</v>
      </c>
      <c r="O142" s="0" t="n">
        <v>0.979442638</v>
      </c>
      <c r="P142" s="0" t="n">
        <v>0.98</v>
      </c>
      <c r="Q142" s="177" t="n">
        <v>0.9875</v>
      </c>
      <c r="R142" s="0" t="n">
        <v>0.9875</v>
      </c>
      <c r="S142" s="176" t="n">
        <v>0.9875</v>
      </c>
      <c r="T142" s="0" t="n">
        <v>0.98</v>
      </c>
      <c r="U142" s="0" t="n">
        <v>0.98</v>
      </c>
      <c r="V142" s="0" t="n">
        <v>0.98</v>
      </c>
      <c r="W142" s="0" t="n">
        <v>0.98</v>
      </c>
      <c r="X142" s="0" t="n">
        <v>0.979442638</v>
      </c>
      <c r="Y142" s="0" t="n">
        <v>0.979442638</v>
      </c>
      <c r="Z142" s="0" t="n">
        <v>0.979442638</v>
      </c>
      <c r="AA142" s="0" t="n">
        <v>0.979442638</v>
      </c>
      <c r="AB142" s="0" t="n">
        <v>0.98</v>
      </c>
      <c r="AC142" s="0" t="n">
        <v>0.98</v>
      </c>
      <c r="AD142" s="0" t="n">
        <v>0.979442638</v>
      </c>
      <c r="AE142" s="0" t="n">
        <v>0.979442638</v>
      </c>
      <c r="AF142" s="0" t="n">
        <v>0.98</v>
      </c>
      <c r="AG142" s="0" t="n">
        <v>0.99</v>
      </c>
      <c r="AH142" s="0" t="n">
        <v>0.9790267</v>
      </c>
      <c r="AI142" s="0" t="n">
        <v>0.9790267</v>
      </c>
      <c r="AJ142" s="0" t="n">
        <v>0.98</v>
      </c>
      <c r="AK142" s="0" t="n">
        <v>1</v>
      </c>
      <c r="AL142" s="0" t="n">
        <v>0.985</v>
      </c>
      <c r="AM142" s="0" t="n">
        <v>0</v>
      </c>
      <c r="BB142" s="187" t="n">
        <v>1</v>
      </c>
      <c r="BC142" s="0" t="n">
        <v>1</v>
      </c>
      <c r="BD142" s="0" t="n">
        <v>1</v>
      </c>
      <c r="BE142" s="0" t="n">
        <v>1</v>
      </c>
      <c r="BF142" s="0" t="n">
        <v>0.9999</v>
      </c>
      <c r="BG142" s="0" t="n">
        <v>1</v>
      </c>
      <c r="BH142" s="0" t="n">
        <v>1</v>
      </c>
      <c r="BI142" s="0" t="n">
        <v>0.99</v>
      </c>
      <c r="BJ142" s="0" t="n">
        <v>0.999</v>
      </c>
      <c r="BK142" s="0" t="n">
        <v>0.998</v>
      </c>
      <c r="BL142" s="0" t="n">
        <v>0.9985</v>
      </c>
      <c r="BM142" s="0" t="n">
        <v>0.9985</v>
      </c>
      <c r="BN142" s="0" t="n">
        <v>0.972</v>
      </c>
      <c r="BO142" s="0" t="n">
        <v>0.9999</v>
      </c>
      <c r="BP142" s="0" t="n">
        <v>0.9999</v>
      </c>
      <c r="BQ142" s="0" t="n">
        <v>1</v>
      </c>
      <c r="BR142" s="0" t="n">
        <v>1.1029076</v>
      </c>
      <c r="BS142" s="0" t="n">
        <v>1.1164</v>
      </c>
      <c r="BT142" s="0" t="n">
        <v>1.0827</v>
      </c>
      <c r="BU142" s="0" t="n">
        <v>1.0185</v>
      </c>
      <c r="BV142" s="0" t="n">
        <v>1</v>
      </c>
      <c r="BW142" s="0" t="n">
        <v>2.337</v>
      </c>
      <c r="BX142" s="0" t="n">
        <v>2.296016333</v>
      </c>
      <c r="BY142" s="0" t="n">
        <v>1.11445</v>
      </c>
      <c r="BZ142" s="0" t="n">
        <v>1.2885</v>
      </c>
      <c r="CA142" s="0" t="n">
        <v>2.001</v>
      </c>
      <c r="CB142" s="0" t="n">
        <v>1.533005</v>
      </c>
      <c r="CC142" s="0" t="n">
        <v>1.533005</v>
      </c>
      <c r="CD142" s="0" t="n">
        <v>1.273305</v>
      </c>
      <c r="CE142" s="0" t="n">
        <v>1.085255</v>
      </c>
      <c r="CF142" s="0" t="n">
        <v>1.440605</v>
      </c>
      <c r="CG142" s="188"/>
      <c r="CH142" s="0" t="n">
        <v>1.10003</v>
      </c>
      <c r="CI142" s="188"/>
      <c r="CJ142" s="188"/>
      <c r="CK142" s="188"/>
      <c r="CL142" s="188"/>
      <c r="CM142" s="188"/>
      <c r="CN142" s="188"/>
      <c r="CO142" s="188"/>
      <c r="CP142" s="0" t="n">
        <v>0.965</v>
      </c>
      <c r="CQ142" s="0" t="n">
        <v>0.91</v>
      </c>
      <c r="CT142" s="0" t="n">
        <v>0.99895</v>
      </c>
      <c r="CU142" s="0" t="n">
        <v>0.34</v>
      </c>
      <c r="CV142" s="0" t="n">
        <v>0.47</v>
      </c>
      <c r="CW142" s="0" t="n">
        <v>0.935</v>
      </c>
      <c r="CX142" s="0" t="n">
        <v>0.675</v>
      </c>
      <c r="CY142" s="0" t="n">
        <v>0.725</v>
      </c>
      <c r="CZ142" s="0" t="n">
        <v>0.8825</v>
      </c>
      <c r="DA142" s="0" t="n">
        <v>0.915</v>
      </c>
      <c r="DB142" s="0" t="n">
        <v>0.88</v>
      </c>
      <c r="DC142" s="0" t="n">
        <v>0.9025</v>
      </c>
      <c r="DD142" s="0" t="n">
        <v>0.915</v>
      </c>
      <c r="DE142" s="0" t="n">
        <v>0.89</v>
      </c>
      <c r="DN142" s="188" t="n">
        <v>0.000285</v>
      </c>
      <c r="DO142" s="188" t="n">
        <v>0.0002</v>
      </c>
      <c r="DP142" s="188" t="n">
        <v>0</v>
      </c>
      <c r="DQ142" s="188" t="n">
        <v>0.0001</v>
      </c>
      <c r="DR142" s="188" t="n">
        <v>0</v>
      </c>
      <c r="DS142" s="188" t="n">
        <v>0.0036</v>
      </c>
      <c r="DT142" s="188" t="n">
        <v>0.00047</v>
      </c>
      <c r="DU142" s="188" t="n">
        <v>0.0007</v>
      </c>
      <c r="DV142" s="188" t="n">
        <v>0</v>
      </c>
      <c r="DW142" s="188" t="n">
        <v>0</v>
      </c>
      <c r="DX142" s="188" t="n">
        <v>0.0005</v>
      </c>
      <c r="DY142" s="188" t="n">
        <v>0.0005</v>
      </c>
      <c r="DZ142" s="188" t="n">
        <v>0.0003</v>
      </c>
      <c r="EA142" s="188" t="n">
        <v>0.000275</v>
      </c>
      <c r="EB142" s="188" t="n">
        <v>0.0004</v>
      </c>
      <c r="ED142" s="188" t="n">
        <v>6.5E-005</v>
      </c>
      <c r="EF142" s="0" t="n">
        <v>1</v>
      </c>
    </row>
    <row r="143" customFormat="false" ht="12.75" hidden="false" customHeight="false" outlineLevel="0" collapsed="false">
      <c r="A143" s="149" t="n">
        <v>40725</v>
      </c>
      <c r="B143" s="0" t="n">
        <v>0.98</v>
      </c>
      <c r="C143" s="0" t="n">
        <v>0.988</v>
      </c>
      <c r="D143" s="0" t="n">
        <v>0.96</v>
      </c>
      <c r="E143" s="0" t="n">
        <v>0</v>
      </c>
      <c r="F143" s="0" t="n">
        <v>0.977</v>
      </c>
      <c r="G143" s="0" t="n">
        <v>0.959646</v>
      </c>
      <c r="H143" s="0" t="n">
        <v>0.9875</v>
      </c>
      <c r="I143" s="0" t="n">
        <v>0.9875</v>
      </c>
      <c r="J143" s="0" t="n">
        <v>0.9805</v>
      </c>
      <c r="K143" s="0" t="n">
        <v>0.985</v>
      </c>
      <c r="L143" s="176" t="n">
        <v>0.9875</v>
      </c>
      <c r="M143" s="176" t="n">
        <v>0.9875</v>
      </c>
      <c r="N143" s="0" t="n">
        <v>0.98</v>
      </c>
      <c r="O143" s="0" t="n">
        <v>0.985118475</v>
      </c>
      <c r="P143" s="0" t="n">
        <v>0.98</v>
      </c>
      <c r="Q143" s="177" t="n">
        <v>0.9875</v>
      </c>
      <c r="R143" s="0" t="n">
        <v>0.9875</v>
      </c>
      <c r="S143" s="176" t="n">
        <v>0.9875</v>
      </c>
      <c r="T143" s="0" t="n">
        <v>0.98</v>
      </c>
      <c r="U143" s="0" t="n">
        <v>0.98</v>
      </c>
      <c r="V143" s="0" t="n">
        <v>0.98</v>
      </c>
      <c r="W143" s="0" t="n">
        <v>0.98</v>
      </c>
      <c r="X143" s="0" t="n">
        <v>0.985118475</v>
      </c>
      <c r="Y143" s="0" t="n">
        <v>0.985118475</v>
      </c>
      <c r="Z143" s="0" t="n">
        <v>0.985118475</v>
      </c>
      <c r="AA143" s="0" t="n">
        <v>0.985118475</v>
      </c>
      <c r="AB143" s="0" t="n">
        <v>0.98</v>
      </c>
      <c r="AC143" s="0" t="n">
        <v>0.98</v>
      </c>
      <c r="AD143" s="0" t="n">
        <v>0.985118475</v>
      </c>
      <c r="AE143" s="0" t="n">
        <v>0.985118475</v>
      </c>
      <c r="AF143" s="0" t="n">
        <v>0.98</v>
      </c>
      <c r="AG143" s="0" t="n">
        <v>0.99</v>
      </c>
      <c r="AH143" s="0" t="n">
        <v>0.97908455</v>
      </c>
      <c r="AI143" s="0" t="n">
        <v>0.97908455</v>
      </c>
      <c r="AJ143" s="0" t="n">
        <v>0.98</v>
      </c>
      <c r="AK143" s="0" t="n">
        <v>1</v>
      </c>
      <c r="AL143" s="0" t="n">
        <v>0.985</v>
      </c>
      <c r="AM143" s="0" t="n">
        <v>0</v>
      </c>
      <c r="BB143" s="187" t="n">
        <v>1</v>
      </c>
      <c r="BC143" s="0" t="n">
        <v>1</v>
      </c>
      <c r="BD143" s="0" t="n">
        <v>1</v>
      </c>
      <c r="BE143" s="0" t="n">
        <v>1</v>
      </c>
      <c r="BF143" s="0" t="n">
        <v>0.9999</v>
      </c>
      <c r="BG143" s="0" t="n">
        <v>1</v>
      </c>
      <c r="BH143" s="0" t="n">
        <v>1</v>
      </c>
      <c r="BI143" s="0" t="n">
        <v>0.99</v>
      </c>
      <c r="BJ143" s="0" t="n">
        <v>0.999</v>
      </c>
      <c r="BK143" s="0" t="n">
        <v>0.998</v>
      </c>
      <c r="BL143" s="0" t="n">
        <v>0.9985</v>
      </c>
      <c r="BM143" s="0" t="n">
        <v>0.9985</v>
      </c>
      <c r="BN143" s="0" t="n">
        <v>0.972</v>
      </c>
      <c r="BO143" s="0" t="n">
        <v>0.9999</v>
      </c>
      <c r="BP143" s="0" t="n">
        <v>0.9999</v>
      </c>
      <c r="BQ143" s="0" t="n">
        <v>1</v>
      </c>
      <c r="BR143" s="0" t="n">
        <v>1.1031926</v>
      </c>
      <c r="BS143" s="0" t="n">
        <v>1.1166</v>
      </c>
      <c r="BT143" s="0" t="n">
        <v>1.0827</v>
      </c>
      <c r="BU143" s="0" t="n">
        <v>1.0186</v>
      </c>
      <c r="BV143" s="0" t="n">
        <v>1</v>
      </c>
      <c r="BW143" s="0" t="n">
        <v>2.3406</v>
      </c>
      <c r="BX143" s="0" t="n">
        <v>2.296486333</v>
      </c>
      <c r="BY143" s="0" t="n">
        <v>1.11515</v>
      </c>
      <c r="BZ143" s="0" t="n">
        <v>1.2885</v>
      </c>
      <c r="CA143" s="0" t="n">
        <v>2.001</v>
      </c>
      <c r="CB143" s="0" t="n">
        <v>1.533505</v>
      </c>
      <c r="CC143" s="0" t="n">
        <v>1.533505</v>
      </c>
      <c r="CD143" s="0" t="n">
        <v>1.273605</v>
      </c>
      <c r="CE143" s="0" t="n">
        <v>1.08553</v>
      </c>
      <c r="CF143" s="0" t="n">
        <v>1.441005</v>
      </c>
      <c r="CG143" s="188"/>
      <c r="CH143" s="0" t="n">
        <v>1.100095</v>
      </c>
      <c r="CI143" s="188"/>
      <c r="CJ143" s="188"/>
      <c r="CK143" s="188"/>
      <c r="CL143" s="188"/>
      <c r="CM143" s="188"/>
      <c r="CN143" s="188"/>
      <c r="CO143" s="188"/>
      <c r="CP143" s="0" t="n">
        <v>0.975</v>
      </c>
      <c r="CQ143" s="0" t="n">
        <v>0.91</v>
      </c>
      <c r="CT143" s="0" t="n">
        <v>0.99895</v>
      </c>
      <c r="CU143" s="0" t="n">
        <v>0.41</v>
      </c>
      <c r="CV143" s="0" t="n">
        <v>0.47</v>
      </c>
      <c r="CW143" s="0" t="n">
        <v>0.935</v>
      </c>
      <c r="CX143" s="0" t="n">
        <v>0.695</v>
      </c>
      <c r="CY143" s="0" t="n">
        <v>0.725</v>
      </c>
      <c r="CZ143" s="0" t="n">
        <v>0.8775</v>
      </c>
      <c r="DA143" s="0" t="n">
        <v>0.91</v>
      </c>
      <c r="DB143" s="0" t="n">
        <v>0.89</v>
      </c>
      <c r="DC143" s="0" t="n">
        <v>0.9075</v>
      </c>
      <c r="DD143" s="0" t="n">
        <v>0.915</v>
      </c>
      <c r="DE143" s="0" t="n">
        <v>0.89</v>
      </c>
      <c r="DN143" s="188" t="n">
        <v>0.000285</v>
      </c>
      <c r="DO143" s="188" t="n">
        <v>0.0002</v>
      </c>
      <c r="DP143" s="188" t="n">
        <v>0</v>
      </c>
      <c r="DQ143" s="188" t="n">
        <v>0.0001</v>
      </c>
      <c r="DR143" s="188" t="n">
        <v>0</v>
      </c>
      <c r="DS143" s="188" t="n">
        <v>0.0036</v>
      </c>
      <c r="DT143" s="188" t="n">
        <v>0.00047</v>
      </c>
      <c r="DU143" s="188" t="n">
        <v>0.0007</v>
      </c>
      <c r="DV143" s="188" t="n">
        <v>0</v>
      </c>
      <c r="DW143" s="188" t="n">
        <v>0</v>
      </c>
      <c r="DX143" s="188" t="n">
        <v>0.0005</v>
      </c>
      <c r="DY143" s="188" t="n">
        <v>0.0005</v>
      </c>
      <c r="DZ143" s="188" t="n">
        <v>0.0003</v>
      </c>
      <c r="EA143" s="188" t="n">
        <v>0.000275</v>
      </c>
      <c r="EB143" s="188" t="n">
        <v>0.0004</v>
      </c>
      <c r="ED143" s="188" t="n">
        <v>6.5E-005</v>
      </c>
      <c r="EF143" s="0" t="n">
        <v>1</v>
      </c>
    </row>
    <row r="144" customFormat="false" ht="12.75" hidden="false" customHeight="false" outlineLevel="0" collapsed="false">
      <c r="A144" s="149" t="n">
        <v>40756</v>
      </c>
      <c r="B144" s="0" t="n">
        <v>0.98</v>
      </c>
      <c r="C144" s="0" t="n">
        <v>0.988</v>
      </c>
      <c r="D144" s="0" t="n">
        <v>0.96</v>
      </c>
      <c r="E144" s="0" t="n">
        <v>0</v>
      </c>
      <c r="F144" s="0" t="n">
        <v>0.977</v>
      </c>
      <c r="G144" s="0" t="n">
        <v>0.9875</v>
      </c>
      <c r="H144" s="0" t="n">
        <v>0.9875</v>
      </c>
      <c r="I144" s="0" t="n">
        <v>0.9875</v>
      </c>
      <c r="J144" s="0" t="n">
        <v>0.9805</v>
      </c>
      <c r="K144" s="0" t="n">
        <v>0.985</v>
      </c>
      <c r="L144" s="176" t="n">
        <v>0.9875</v>
      </c>
      <c r="M144" s="176" t="n">
        <v>0.9875</v>
      </c>
      <c r="N144" s="0" t="n">
        <v>0.98</v>
      </c>
      <c r="O144" s="0" t="n">
        <v>0.9875</v>
      </c>
      <c r="P144" s="0" t="n">
        <v>0.98</v>
      </c>
      <c r="Q144" s="177" t="n">
        <v>0.9875</v>
      </c>
      <c r="R144" s="0" t="n">
        <v>0.9875</v>
      </c>
      <c r="S144" s="176" t="n">
        <v>0.9875</v>
      </c>
      <c r="T144" s="0" t="n">
        <v>0.98</v>
      </c>
      <c r="U144" s="0" t="n">
        <v>0.98</v>
      </c>
      <c r="V144" s="0" t="n">
        <v>0.98</v>
      </c>
      <c r="W144" s="0" t="n">
        <v>0.98</v>
      </c>
      <c r="X144" s="0" t="n">
        <v>0.9875</v>
      </c>
      <c r="Y144" s="0" t="n">
        <v>0.9875</v>
      </c>
      <c r="Z144" s="0" t="n">
        <v>0.9875</v>
      </c>
      <c r="AA144" s="0" t="n">
        <v>0.9875</v>
      </c>
      <c r="AB144" s="0" t="n">
        <v>0.98</v>
      </c>
      <c r="AC144" s="0" t="n">
        <v>0.98</v>
      </c>
      <c r="AD144" s="0" t="n">
        <v>0.9875</v>
      </c>
      <c r="AE144" s="0" t="n">
        <v>0.9875</v>
      </c>
      <c r="AF144" s="0" t="n">
        <v>0.98</v>
      </c>
      <c r="AG144" s="0" t="n">
        <v>0.99</v>
      </c>
      <c r="AH144" s="0" t="n">
        <v>0.9791424</v>
      </c>
      <c r="AI144" s="0" t="n">
        <v>0.9791424</v>
      </c>
      <c r="AJ144" s="0" t="n">
        <v>0.98</v>
      </c>
      <c r="AK144" s="0" t="n">
        <v>1</v>
      </c>
      <c r="AL144" s="0" t="n">
        <v>0.985</v>
      </c>
      <c r="AM144" s="0" t="n">
        <v>0</v>
      </c>
      <c r="BB144" s="187" t="n">
        <v>1</v>
      </c>
      <c r="BC144" s="0" t="n">
        <v>1</v>
      </c>
      <c r="BD144" s="0" t="n">
        <v>1</v>
      </c>
      <c r="BE144" s="0" t="n">
        <v>1</v>
      </c>
      <c r="BF144" s="0" t="n">
        <v>0.9999</v>
      </c>
      <c r="BG144" s="0" t="n">
        <v>1</v>
      </c>
      <c r="BH144" s="0" t="n">
        <v>1</v>
      </c>
      <c r="BI144" s="0" t="n">
        <v>0.99</v>
      </c>
      <c r="BJ144" s="0" t="n">
        <v>0.999</v>
      </c>
      <c r="BK144" s="0" t="n">
        <v>0.998</v>
      </c>
      <c r="BL144" s="0" t="n">
        <v>0.9985</v>
      </c>
      <c r="BM144" s="0" t="n">
        <v>0.9985</v>
      </c>
      <c r="BN144" s="0" t="n">
        <v>0.972</v>
      </c>
      <c r="BO144" s="0" t="n">
        <v>0.9999</v>
      </c>
      <c r="BP144" s="0" t="n">
        <v>0.9999</v>
      </c>
      <c r="BQ144" s="0" t="n">
        <v>1</v>
      </c>
      <c r="BR144" s="0" t="n">
        <v>1.1034776</v>
      </c>
      <c r="BS144" s="0" t="n">
        <v>1.1168</v>
      </c>
      <c r="BT144" s="0" t="n">
        <v>1.0827</v>
      </c>
      <c r="BU144" s="0" t="n">
        <v>1.0187</v>
      </c>
      <c r="BV144" s="0" t="n">
        <v>1</v>
      </c>
      <c r="BW144" s="0" t="n">
        <v>2.3442</v>
      </c>
      <c r="BX144" s="0" t="n">
        <v>2.296956333</v>
      </c>
      <c r="BY144" s="0" t="n">
        <v>1.11585</v>
      </c>
      <c r="BZ144" s="0" t="n">
        <v>1.2885</v>
      </c>
      <c r="CA144" s="0" t="n">
        <v>2.001</v>
      </c>
      <c r="CB144" s="0" t="n">
        <v>1.534005</v>
      </c>
      <c r="CC144" s="0" t="n">
        <v>1.534005</v>
      </c>
      <c r="CD144" s="0" t="n">
        <v>1.273905</v>
      </c>
      <c r="CE144" s="0" t="n">
        <v>1.085805</v>
      </c>
      <c r="CF144" s="0" t="n">
        <v>1.441405</v>
      </c>
      <c r="CG144" s="188"/>
      <c r="CH144" s="0" t="n">
        <v>1.10016</v>
      </c>
      <c r="CI144" s="188"/>
      <c r="CJ144" s="188"/>
      <c r="CK144" s="188"/>
      <c r="CL144" s="188"/>
      <c r="CM144" s="188"/>
      <c r="CN144" s="188"/>
      <c r="CO144" s="188"/>
      <c r="CP144" s="0" t="n">
        <v>0.975</v>
      </c>
      <c r="CQ144" s="0" t="n">
        <v>0.91</v>
      </c>
      <c r="CT144" s="0" t="n">
        <v>0.99895</v>
      </c>
      <c r="CU144" s="0" t="n">
        <v>0.43</v>
      </c>
      <c r="CV144" s="0" t="n">
        <v>0.52</v>
      </c>
      <c r="CW144" s="0" t="n">
        <v>0.925</v>
      </c>
      <c r="CX144" s="0" t="n">
        <v>0.785</v>
      </c>
      <c r="CY144" s="0" t="n">
        <v>0.725</v>
      </c>
      <c r="CZ144" s="0" t="n">
        <v>0.89</v>
      </c>
      <c r="DA144" s="0" t="n">
        <v>0.9225</v>
      </c>
      <c r="DB144" s="0" t="n">
        <v>0.915</v>
      </c>
      <c r="DC144" s="0" t="n">
        <v>0.9275</v>
      </c>
      <c r="DD144" s="0" t="n">
        <v>0.915</v>
      </c>
      <c r="DE144" s="0" t="n">
        <v>0.89</v>
      </c>
      <c r="DN144" s="188" t="n">
        <v>0.000285</v>
      </c>
      <c r="DO144" s="188" t="n">
        <v>0.0002</v>
      </c>
      <c r="DP144" s="188" t="n">
        <v>0</v>
      </c>
      <c r="DQ144" s="188" t="n">
        <v>0.0001</v>
      </c>
      <c r="DR144" s="188" t="n">
        <v>0</v>
      </c>
      <c r="DS144" s="188" t="n">
        <v>0.0036</v>
      </c>
      <c r="DT144" s="188" t="n">
        <v>0.00047</v>
      </c>
      <c r="DU144" s="188" t="n">
        <v>0.0007</v>
      </c>
      <c r="DV144" s="188" t="n">
        <v>0</v>
      </c>
      <c r="DW144" s="188" t="n">
        <v>0</v>
      </c>
      <c r="DX144" s="188" t="n">
        <v>0.0005</v>
      </c>
      <c r="DY144" s="188" t="n">
        <v>0.0005</v>
      </c>
      <c r="DZ144" s="188" t="n">
        <v>0.0003</v>
      </c>
      <c r="EA144" s="188" t="n">
        <v>0.000275</v>
      </c>
      <c r="EB144" s="188" t="n">
        <v>0.0004</v>
      </c>
      <c r="ED144" s="188" t="n">
        <v>6.5E-005</v>
      </c>
      <c r="EF144" s="0" t="n">
        <v>1</v>
      </c>
    </row>
    <row r="145" customFormat="false" ht="12.75" hidden="false" customHeight="false" outlineLevel="0" collapsed="false">
      <c r="A145" s="149" t="n">
        <v>40787</v>
      </c>
      <c r="B145" s="0" t="n">
        <v>0.98</v>
      </c>
      <c r="C145" s="0" t="n">
        <v>0.988</v>
      </c>
      <c r="D145" s="0" t="n">
        <v>0.96</v>
      </c>
      <c r="E145" s="0" t="n">
        <v>0</v>
      </c>
      <c r="F145" s="0" t="n">
        <v>0.977</v>
      </c>
      <c r="G145" s="0" t="n">
        <v>0.9875</v>
      </c>
      <c r="H145" s="0" t="n">
        <v>0.9875</v>
      </c>
      <c r="I145" s="0" t="n">
        <v>0.9875</v>
      </c>
      <c r="J145" s="0" t="n">
        <v>0.9805</v>
      </c>
      <c r="K145" s="0" t="n">
        <v>0.985</v>
      </c>
      <c r="L145" s="176" t="n">
        <v>0.9875</v>
      </c>
      <c r="M145" s="176" t="n">
        <v>0.9875</v>
      </c>
      <c r="N145" s="0" t="n">
        <v>0.98</v>
      </c>
      <c r="O145" s="0" t="n">
        <v>0.9875</v>
      </c>
      <c r="P145" s="0" t="n">
        <v>0.98</v>
      </c>
      <c r="Q145" s="177" t="n">
        <v>0.9875</v>
      </c>
      <c r="R145" s="0" t="n">
        <v>0.9875</v>
      </c>
      <c r="S145" s="176" t="n">
        <v>0.9875</v>
      </c>
      <c r="T145" s="0" t="n">
        <v>0.98</v>
      </c>
      <c r="U145" s="0" t="n">
        <v>0.98</v>
      </c>
      <c r="V145" s="0" t="n">
        <v>0.98</v>
      </c>
      <c r="W145" s="0" t="n">
        <v>0.98</v>
      </c>
      <c r="X145" s="0" t="n">
        <v>0.9875</v>
      </c>
      <c r="Y145" s="0" t="n">
        <v>0.9875</v>
      </c>
      <c r="Z145" s="0" t="n">
        <v>0.9875</v>
      </c>
      <c r="AA145" s="0" t="n">
        <v>0.9875</v>
      </c>
      <c r="AB145" s="0" t="n">
        <v>0.98</v>
      </c>
      <c r="AC145" s="0" t="n">
        <v>0.98</v>
      </c>
      <c r="AD145" s="0" t="n">
        <v>0.9875</v>
      </c>
      <c r="AE145" s="0" t="n">
        <v>0.9875</v>
      </c>
      <c r="AF145" s="0" t="n">
        <v>0.98</v>
      </c>
      <c r="AG145" s="0" t="n">
        <v>0.99</v>
      </c>
      <c r="AH145" s="0" t="n">
        <v>0.97920025</v>
      </c>
      <c r="AI145" s="0" t="n">
        <v>0.97920025</v>
      </c>
      <c r="AJ145" s="0" t="n">
        <v>0.98</v>
      </c>
      <c r="AK145" s="0" t="n">
        <v>1</v>
      </c>
      <c r="AL145" s="0" t="n">
        <v>0.985</v>
      </c>
      <c r="AM145" s="0" t="n">
        <v>0</v>
      </c>
      <c r="BB145" s="187" t="n">
        <v>1</v>
      </c>
      <c r="BC145" s="0" t="n">
        <v>1</v>
      </c>
      <c r="BD145" s="0" t="n">
        <v>1</v>
      </c>
      <c r="BE145" s="0" t="n">
        <v>1</v>
      </c>
      <c r="BF145" s="0" t="n">
        <v>0.9999</v>
      </c>
      <c r="BG145" s="0" t="n">
        <v>1</v>
      </c>
      <c r="BH145" s="0" t="n">
        <v>1</v>
      </c>
      <c r="BI145" s="0" t="n">
        <v>0.99</v>
      </c>
      <c r="BJ145" s="0" t="n">
        <v>0.999</v>
      </c>
      <c r="BK145" s="0" t="n">
        <v>0.998</v>
      </c>
      <c r="BL145" s="0" t="n">
        <v>0.9985</v>
      </c>
      <c r="BM145" s="0" t="n">
        <v>0.9985</v>
      </c>
      <c r="BN145" s="0" t="n">
        <v>0.972</v>
      </c>
      <c r="BO145" s="0" t="n">
        <v>0.9999</v>
      </c>
      <c r="BP145" s="0" t="n">
        <v>0.9999</v>
      </c>
      <c r="BQ145" s="0" t="n">
        <v>1</v>
      </c>
      <c r="BR145" s="0" t="n">
        <v>1.1037626</v>
      </c>
      <c r="BS145" s="0" t="n">
        <v>1.117</v>
      </c>
      <c r="BT145" s="0" t="n">
        <v>1.0827</v>
      </c>
      <c r="BU145" s="0" t="n">
        <v>1.0188</v>
      </c>
      <c r="BV145" s="0" t="n">
        <v>1</v>
      </c>
      <c r="BW145" s="0" t="n">
        <v>2.3478</v>
      </c>
      <c r="BX145" s="0" t="n">
        <v>2.297426333</v>
      </c>
      <c r="BY145" s="0" t="n">
        <v>1.11655</v>
      </c>
      <c r="BZ145" s="0" t="n">
        <v>1.2885</v>
      </c>
      <c r="CA145" s="0" t="n">
        <v>2.001</v>
      </c>
      <c r="CB145" s="0" t="n">
        <v>1.534505</v>
      </c>
      <c r="CC145" s="0" t="n">
        <v>1.534505</v>
      </c>
      <c r="CD145" s="0" t="n">
        <v>1.274205</v>
      </c>
      <c r="CE145" s="0" t="n">
        <v>1.08608</v>
      </c>
      <c r="CF145" s="0" t="n">
        <v>1.441805</v>
      </c>
      <c r="CG145" s="188"/>
      <c r="CH145" s="0" t="n">
        <v>1.100225</v>
      </c>
      <c r="CI145" s="188"/>
      <c r="CJ145" s="188"/>
      <c r="CK145" s="188"/>
      <c r="CL145" s="188"/>
      <c r="CM145" s="188"/>
      <c r="CN145" s="188"/>
      <c r="CO145" s="188"/>
      <c r="CP145" s="0" t="n">
        <v>0.975</v>
      </c>
      <c r="CQ145" s="0" t="n">
        <v>0.91</v>
      </c>
      <c r="CT145" s="0" t="n">
        <v>0.99895</v>
      </c>
      <c r="CU145" s="0" t="n">
        <v>0.46</v>
      </c>
      <c r="CV145" s="0" t="n">
        <v>0.55</v>
      </c>
      <c r="CW145" s="0" t="n">
        <v>0.925</v>
      </c>
      <c r="CX145" s="0" t="n">
        <v>0.645</v>
      </c>
      <c r="CY145" s="0" t="n">
        <v>0.575</v>
      </c>
      <c r="CZ145" s="0" t="n">
        <v>0.945</v>
      </c>
      <c r="DA145" s="0" t="n">
        <v>0.9775</v>
      </c>
      <c r="DB145" s="0" t="n">
        <v>0.945</v>
      </c>
      <c r="DC145" s="0" t="n">
        <v>0.92</v>
      </c>
      <c r="DD145" s="0" t="n">
        <v>0.915</v>
      </c>
      <c r="DE145" s="0" t="n">
        <v>0.89</v>
      </c>
      <c r="DN145" s="188" t="n">
        <v>0.000285</v>
      </c>
      <c r="DO145" s="188" t="n">
        <v>0.0002</v>
      </c>
      <c r="DP145" s="188" t="n">
        <v>0</v>
      </c>
      <c r="DQ145" s="188" t="n">
        <v>0.0001</v>
      </c>
      <c r="DR145" s="188" t="n">
        <v>0</v>
      </c>
      <c r="DS145" s="188" t="n">
        <v>0.0036</v>
      </c>
      <c r="DT145" s="188" t="n">
        <v>0.00047</v>
      </c>
      <c r="DU145" s="188" t="n">
        <v>0.0007</v>
      </c>
      <c r="DV145" s="188" t="n">
        <v>0</v>
      </c>
      <c r="DW145" s="188" t="n">
        <v>0</v>
      </c>
      <c r="DX145" s="188" t="n">
        <v>0.0005</v>
      </c>
      <c r="DY145" s="188" t="n">
        <v>0.0005</v>
      </c>
      <c r="DZ145" s="188" t="n">
        <v>0.0003</v>
      </c>
      <c r="EA145" s="188" t="n">
        <v>0.000275</v>
      </c>
      <c r="EB145" s="188" t="n">
        <v>0.0004</v>
      </c>
      <c r="ED145" s="188" t="n">
        <v>6.5E-005</v>
      </c>
      <c r="EF145" s="0" t="n">
        <v>1</v>
      </c>
    </row>
    <row r="146" customFormat="false" ht="12.75" hidden="false" customHeight="false" outlineLevel="0" collapsed="false">
      <c r="A146" s="149" t="n">
        <v>40817</v>
      </c>
      <c r="B146" s="0" t="n">
        <v>0.98</v>
      </c>
      <c r="C146" s="0" t="n">
        <v>0.988</v>
      </c>
      <c r="D146" s="0" t="n">
        <v>0.96</v>
      </c>
      <c r="E146" s="0" t="n">
        <v>0</v>
      </c>
      <c r="F146" s="0" t="n">
        <v>0.977</v>
      </c>
      <c r="G146" s="0" t="n">
        <v>0.9875</v>
      </c>
      <c r="H146" s="0" t="n">
        <v>0.9875</v>
      </c>
      <c r="I146" s="0" t="n">
        <v>0.9875</v>
      </c>
      <c r="J146" s="0" t="n">
        <v>0.9805</v>
      </c>
      <c r="K146" s="0" t="n">
        <v>0.985</v>
      </c>
      <c r="L146" s="176" t="n">
        <v>0.9875</v>
      </c>
      <c r="M146" s="176" t="n">
        <v>0.9875</v>
      </c>
      <c r="N146" s="0" t="n">
        <v>0.98</v>
      </c>
      <c r="O146" s="0" t="n">
        <v>0.980435388</v>
      </c>
      <c r="P146" s="0" t="n">
        <v>0.98</v>
      </c>
      <c r="Q146" s="177" t="n">
        <v>0.9875</v>
      </c>
      <c r="R146" s="0" t="n">
        <v>0.9875</v>
      </c>
      <c r="S146" s="176" t="n">
        <v>0.9875</v>
      </c>
      <c r="T146" s="0" t="n">
        <v>0.98</v>
      </c>
      <c r="U146" s="0" t="n">
        <v>0.98</v>
      </c>
      <c r="V146" s="0" t="n">
        <v>0.98</v>
      </c>
      <c r="W146" s="0" t="n">
        <v>0.98</v>
      </c>
      <c r="X146" s="0" t="n">
        <v>0.980435388</v>
      </c>
      <c r="Y146" s="0" t="n">
        <v>0.980435388</v>
      </c>
      <c r="Z146" s="0" t="n">
        <v>0.980435388</v>
      </c>
      <c r="AA146" s="0" t="n">
        <v>0.980435388</v>
      </c>
      <c r="AB146" s="0" t="n">
        <v>0.98</v>
      </c>
      <c r="AC146" s="0" t="n">
        <v>0.98</v>
      </c>
      <c r="AD146" s="0" t="n">
        <v>0.980435388</v>
      </c>
      <c r="AE146" s="0" t="n">
        <v>0.980435388</v>
      </c>
      <c r="AF146" s="0" t="n">
        <v>0.98</v>
      </c>
      <c r="AG146" s="0" t="n">
        <v>0.99</v>
      </c>
      <c r="AH146" s="0" t="n">
        <v>0.9792581</v>
      </c>
      <c r="AI146" s="0" t="n">
        <v>0.9792581</v>
      </c>
      <c r="AJ146" s="0" t="n">
        <v>0.98</v>
      </c>
      <c r="AK146" s="0" t="n">
        <v>1</v>
      </c>
      <c r="AL146" s="0" t="n">
        <v>0.985</v>
      </c>
      <c r="AM146" s="0" t="n">
        <v>0</v>
      </c>
      <c r="BB146" s="187" t="n">
        <v>1</v>
      </c>
      <c r="BC146" s="0" t="n">
        <v>1</v>
      </c>
      <c r="BD146" s="0" t="n">
        <v>1</v>
      </c>
      <c r="BE146" s="0" t="n">
        <v>1</v>
      </c>
      <c r="BF146" s="0" t="n">
        <v>0.9999</v>
      </c>
      <c r="BG146" s="0" t="n">
        <v>1</v>
      </c>
      <c r="BH146" s="0" t="n">
        <v>1</v>
      </c>
      <c r="BI146" s="0" t="n">
        <v>0.99</v>
      </c>
      <c r="BJ146" s="0" t="n">
        <v>0.999</v>
      </c>
      <c r="BK146" s="0" t="n">
        <v>0.998</v>
      </c>
      <c r="BL146" s="0" t="n">
        <v>0.9985</v>
      </c>
      <c r="BM146" s="0" t="n">
        <v>0.9985</v>
      </c>
      <c r="BN146" s="0" t="n">
        <v>0.972</v>
      </c>
      <c r="BO146" s="0" t="n">
        <v>0.9999</v>
      </c>
      <c r="BP146" s="0" t="n">
        <v>0.9999</v>
      </c>
      <c r="BQ146" s="0" t="n">
        <v>1</v>
      </c>
      <c r="BR146" s="0" t="n">
        <v>1.1040476</v>
      </c>
      <c r="BS146" s="0" t="n">
        <v>1.1172</v>
      </c>
      <c r="BT146" s="0" t="n">
        <v>1.0827</v>
      </c>
      <c r="BU146" s="0" t="n">
        <v>1.0189</v>
      </c>
      <c r="BV146" s="0" t="n">
        <v>1</v>
      </c>
      <c r="BW146" s="0" t="n">
        <v>2.3514</v>
      </c>
      <c r="BX146" s="0" t="n">
        <v>2.297896333</v>
      </c>
      <c r="BY146" s="0" t="n">
        <v>1.11725</v>
      </c>
      <c r="BZ146" s="0" t="n">
        <v>1.2885</v>
      </c>
      <c r="CA146" s="0" t="n">
        <v>2.001</v>
      </c>
      <c r="CB146" s="0" t="n">
        <v>1.535005</v>
      </c>
      <c r="CC146" s="0" t="n">
        <v>1.535005</v>
      </c>
      <c r="CD146" s="0" t="n">
        <v>1.274505</v>
      </c>
      <c r="CE146" s="0" t="n">
        <v>1.086355</v>
      </c>
      <c r="CF146" s="0" t="n">
        <v>1.442205</v>
      </c>
      <c r="CG146" s="188"/>
      <c r="CH146" s="0" t="n">
        <v>1.10029</v>
      </c>
      <c r="CI146" s="188"/>
      <c r="CJ146" s="188"/>
      <c r="CK146" s="188"/>
      <c r="CL146" s="188"/>
      <c r="CM146" s="188"/>
      <c r="CN146" s="188"/>
      <c r="CO146" s="188"/>
      <c r="CP146" s="0" t="n">
        <v>0.955</v>
      </c>
      <c r="CQ146" s="0" t="n">
        <v>0.9</v>
      </c>
      <c r="CT146" s="0" t="n">
        <v>0.99895</v>
      </c>
      <c r="CU146" s="0" t="n">
        <v>0.46</v>
      </c>
      <c r="CV146" s="0" t="n">
        <v>0.45</v>
      </c>
      <c r="CW146" s="0" t="n">
        <v>0.925</v>
      </c>
      <c r="CX146" s="0" t="n">
        <v>0.635</v>
      </c>
      <c r="CY146" s="0" t="n">
        <v>0.505</v>
      </c>
      <c r="CZ146" s="0" t="n">
        <v>0.805</v>
      </c>
      <c r="DA146" s="0" t="n">
        <v>0.8375</v>
      </c>
      <c r="DB146" s="0" t="n">
        <v>0.875</v>
      </c>
      <c r="DC146" s="0" t="n">
        <v>0.9025</v>
      </c>
      <c r="DD146" s="0" t="n">
        <v>0.82</v>
      </c>
      <c r="DE146" s="0" t="n">
        <v>0.89</v>
      </c>
      <c r="DN146" s="188" t="n">
        <v>0.000285</v>
      </c>
      <c r="DO146" s="188" t="n">
        <v>0.0002</v>
      </c>
      <c r="DP146" s="188" t="n">
        <v>0</v>
      </c>
      <c r="DQ146" s="188" t="n">
        <v>0.0001</v>
      </c>
      <c r="DR146" s="188" t="n">
        <v>0</v>
      </c>
      <c r="DS146" s="188" t="n">
        <v>0.0036</v>
      </c>
      <c r="DT146" s="188" t="n">
        <v>0.00047</v>
      </c>
      <c r="DU146" s="188" t="n">
        <v>0.0007</v>
      </c>
      <c r="DV146" s="188" t="n">
        <v>0</v>
      </c>
      <c r="DW146" s="188" t="n">
        <v>0</v>
      </c>
      <c r="DX146" s="188" t="n">
        <v>0.0005</v>
      </c>
      <c r="DY146" s="188" t="n">
        <v>0.0005</v>
      </c>
      <c r="DZ146" s="188" t="n">
        <v>0.0003</v>
      </c>
      <c r="EA146" s="188" t="n">
        <v>0.000275</v>
      </c>
      <c r="EB146" s="188" t="n">
        <v>0.0004</v>
      </c>
      <c r="ED146" s="188" t="n">
        <v>6.5E-005</v>
      </c>
      <c r="EF146" s="0" t="n">
        <v>1</v>
      </c>
    </row>
    <row r="147" customFormat="false" ht="12.75" hidden="false" customHeight="false" outlineLevel="0" collapsed="false">
      <c r="A147" s="149" t="n">
        <v>40848</v>
      </c>
      <c r="B147" s="0" t="n">
        <v>0.98</v>
      </c>
      <c r="C147" s="0" t="n">
        <v>0.988</v>
      </c>
      <c r="D147" s="0" t="n">
        <v>0.96</v>
      </c>
      <c r="E147" s="0" t="n">
        <v>0</v>
      </c>
      <c r="F147" s="0" t="n">
        <v>0.977</v>
      </c>
      <c r="G147" s="0" t="n">
        <v>0.9875</v>
      </c>
      <c r="H147" s="0" t="n">
        <v>0.9875</v>
      </c>
      <c r="I147" s="0" t="n">
        <v>0.9875</v>
      </c>
      <c r="J147" s="0" t="n">
        <v>0.9805</v>
      </c>
      <c r="K147" s="0" t="n">
        <v>0.970485</v>
      </c>
      <c r="L147" s="176" t="n">
        <v>0.9875</v>
      </c>
      <c r="M147" s="176" t="n">
        <v>0.9875</v>
      </c>
      <c r="N147" s="0" t="n">
        <v>0.98</v>
      </c>
      <c r="O147" s="0" t="n">
        <v>0.980683575</v>
      </c>
      <c r="P147" s="0" t="n">
        <v>0.98</v>
      </c>
      <c r="Q147" s="177" t="n">
        <v>0.9875</v>
      </c>
      <c r="R147" s="0" t="n">
        <v>0.9875</v>
      </c>
      <c r="S147" s="176" t="n">
        <v>0.9875</v>
      </c>
      <c r="T147" s="0" t="n">
        <v>0.98</v>
      </c>
      <c r="U147" s="0" t="n">
        <v>0.98</v>
      </c>
      <c r="V147" s="0" t="n">
        <v>0.98</v>
      </c>
      <c r="W147" s="0" t="n">
        <v>0.98</v>
      </c>
      <c r="X147" s="0" t="n">
        <v>0.980683575</v>
      </c>
      <c r="Y147" s="0" t="n">
        <v>0.980683575</v>
      </c>
      <c r="Z147" s="0" t="n">
        <v>0.980683575</v>
      </c>
      <c r="AA147" s="0" t="n">
        <v>0.980683575</v>
      </c>
      <c r="AB147" s="0" t="n">
        <v>0.98</v>
      </c>
      <c r="AC147" s="0" t="n">
        <v>0.98</v>
      </c>
      <c r="AD147" s="0" t="n">
        <v>0.980683575</v>
      </c>
      <c r="AE147" s="0" t="n">
        <v>0.980683575</v>
      </c>
      <c r="AF147" s="0" t="n">
        <v>0.98</v>
      </c>
      <c r="AG147" s="0" t="n">
        <v>0.99</v>
      </c>
      <c r="AH147" s="0" t="n">
        <v>0.97931595</v>
      </c>
      <c r="AI147" s="0" t="n">
        <v>0.97931595</v>
      </c>
      <c r="AJ147" s="0" t="n">
        <v>0.98</v>
      </c>
      <c r="AK147" s="0" t="n">
        <v>1</v>
      </c>
      <c r="AL147" s="0" t="n">
        <v>0.970485</v>
      </c>
      <c r="AM147" s="0" t="n">
        <v>0</v>
      </c>
      <c r="BB147" s="187" t="n">
        <v>1</v>
      </c>
      <c r="BC147" s="0" t="n">
        <v>1</v>
      </c>
      <c r="BD147" s="0" t="n">
        <v>1</v>
      </c>
      <c r="BE147" s="0" t="n">
        <v>1</v>
      </c>
      <c r="BF147" s="0" t="n">
        <v>0.9999</v>
      </c>
      <c r="BG147" s="0" t="n">
        <v>1</v>
      </c>
      <c r="BH147" s="0" t="n">
        <v>1</v>
      </c>
      <c r="BI147" s="0" t="n">
        <v>0.99</v>
      </c>
      <c r="BJ147" s="0" t="n">
        <v>0.999</v>
      </c>
      <c r="BK147" s="0" t="n">
        <v>0.998</v>
      </c>
      <c r="BL147" s="0" t="n">
        <v>0.9985</v>
      </c>
      <c r="BM147" s="0" t="n">
        <v>0.9985</v>
      </c>
      <c r="BN147" s="0" t="n">
        <v>0.972</v>
      </c>
      <c r="BO147" s="0" t="n">
        <v>0.9999</v>
      </c>
      <c r="BP147" s="0" t="n">
        <v>0.9999</v>
      </c>
      <c r="BQ147" s="0" t="n">
        <v>1</v>
      </c>
      <c r="BR147" s="0" t="n">
        <v>1.1043326</v>
      </c>
      <c r="BS147" s="0" t="n">
        <v>1.1174</v>
      </c>
      <c r="BT147" s="0" t="n">
        <v>1.0827</v>
      </c>
      <c r="BU147" s="0" t="n">
        <v>1.019</v>
      </c>
      <c r="BV147" s="0" t="n">
        <v>1</v>
      </c>
      <c r="BW147" s="0" t="n">
        <v>2.355</v>
      </c>
      <c r="BX147" s="0" t="n">
        <v>2.298366333</v>
      </c>
      <c r="BY147" s="0" t="n">
        <v>1.11795</v>
      </c>
      <c r="BZ147" s="0" t="n">
        <v>1.2885</v>
      </c>
      <c r="CA147" s="0" t="n">
        <v>2.001</v>
      </c>
      <c r="CB147" s="0" t="n">
        <v>1.535505</v>
      </c>
      <c r="CC147" s="0" t="n">
        <v>1.535505</v>
      </c>
      <c r="CD147" s="0" t="n">
        <v>1.274805</v>
      </c>
      <c r="CE147" s="0" t="n">
        <v>1.08663</v>
      </c>
      <c r="CF147" s="0" t="n">
        <v>1.442605</v>
      </c>
      <c r="CG147" s="188"/>
      <c r="CH147" s="0" t="n">
        <v>1.100355</v>
      </c>
      <c r="CI147" s="188"/>
      <c r="CJ147" s="188"/>
      <c r="CK147" s="188"/>
      <c r="CL147" s="188"/>
      <c r="CM147" s="188"/>
      <c r="CN147" s="188"/>
      <c r="CO147" s="188"/>
      <c r="CP147" s="0" t="n">
        <v>0.955</v>
      </c>
      <c r="CQ147" s="0" t="n">
        <v>0.9</v>
      </c>
      <c r="CT147" s="0" t="n">
        <v>0.999</v>
      </c>
      <c r="CU147" s="0" t="n">
        <v>0.48</v>
      </c>
      <c r="CV147" s="0" t="n">
        <v>0.46</v>
      </c>
      <c r="CW147" s="0" t="n">
        <v>0.905</v>
      </c>
      <c r="CX147" s="0" t="n">
        <v>0.595</v>
      </c>
      <c r="CY147" s="0" t="n">
        <v>0.485</v>
      </c>
      <c r="CZ147" s="0" t="n">
        <v>0.795</v>
      </c>
      <c r="DA147" s="0" t="n">
        <v>0.8275</v>
      </c>
      <c r="DB147" s="0" t="n">
        <v>0.85</v>
      </c>
      <c r="DC147" s="0" t="n">
        <v>0.9025</v>
      </c>
      <c r="DD147" s="0" t="n">
        <v>0.82</v>
      </c>
      <c r="DE147" s="0" t="n">
        <v>0.89</v>
      </c>
      <c r="DN147" s="188" t="n">
        <v>0.000285</v>
      </c>
      <c r="DO147" s="188" t="n">
        <v>0.0002</v>
      </c>
      <c r="DP147" s="188" t="n">
        <v>0</v>
      </c>
      <c r="DQ147" s="188" t="n">
        <v>0.0001</v>
      </c>
      <c r="DR147" s="188" t="n">
        <v>0</v>
      </c>
      <c r="DS147" s="188" t="n">
        <v>0.0036</v>
      </c>
      <c r="DT147" s="188" t="n">
        <v>0.00047</v>
      </c>
      <c r="DU147" s="188" t="n">
        <v>0.0007</v>
      </c>
      <c r="DV147" s="188" t="n">
        <v>0</v>
      </c>
      <c r="DW147" s="188" t="n">
        <v>0</v>
      </c>
      <c r="DX147" s="188" t="n">
        <v>0.0005</v>
      </c>
      <c r="DY147" s="188" t="n">
        <v>0.0005</v>
      </c>
      <c r="DZ147" s="188" t="n">
        <v>0.0003</v>
      </c>
      <c r="EA147" s="188" t="n">
        <v>0.000275</v>
      </c>
      <c r="EB147" s="188" t="n">
        <v>0.0004</v>
      </c>
      <c r="ED147" s="188" t="n">
        <v>6.5E-005</v>
      </c>
      <c r="EF147" s="0" t="n">
        <v>1</v>
      </c>
    </row>
    <row r="148" customFormat="false" ht="12.75" hidden="false" customHeight="false" outlineLevel="0" collapsed="false">
      <c r="A148" s="149" t="n">
        <v>40878</v>
      </c>
      <c r="B148" s="0" t="n">
        <v>0.98</v>
      </c>
      <c r="C148" s="0" t="n">
        <v>0.988</v>
      </c>
      <c r="D148" s="0" t="n">
        <v>0.96</v>
      </c>
      <c r="E148" s="0" t="n">
        <v>0</v>
      </c>
      <c r="F148" s="0" t="n">
        <v>0.977</v>
      </c>
      <c r="G148" s="0" t="n">
        <v>0.9875</v>
      </c>
      <c r="H148" s="0" t="n">
        <v>0.9875</v>
      </c>
      <c r="I148" s="0" t="n">
        <v>0.97881875</v>
      </c>
      <c r="J148" s="0" t="n">
        <v>0.9805</v>
      </c>
      <c r="K148" s="0" t="n">
        <v>0.970485</v>
      </c>
      <c r="L148" s="176" t="n">
        <v>0.90624295</v>
      </c>
      <c r="M148" s="176" t="n">
        <v>0.956163112</v>
      </c>
      <c r="N148" s="0" t="n">
        <v>0.87982245</v>
      </c>
      <c r="O148" s="0" t="n">
        <v>0.970062713</v>
      </c>
      <c r="P148" s="0" t="n">
        <v>0.87982245</v>
      </c>
      <c r="Q148" s="177" t="n">
        <v>0.90624295</v>
      </c>
      <c r="R148" s="0" t="n">
        <v>0.90624295</v>
      </c>
      <c r="S148" s="176" t="n">
        <v>0.90624295</v>
      </c>
      <c r="T148" s="0" t="n">
        <v>0.87982245</v>
      </c>
      <c r="U148" s="0" t="n">
        <v>0.87982245</v>
      </c>
      <c r="V148" s="0" t="n">
        <v>0.87982245</v>
      </c>
      <c r="W148" s="0" t="n">
        <v>0.87982245</v>
      </c>
      <c r="X148" s="0" t="n">
        <v>0.970062713</v>
      </c>
      <c r="Y148" s="0" t="n">
        <v>0.970062713</v>
      </c>
      <c r="Z148" s="0" t="n">
        <v>0.970062713</v>
      </c>
      <c r="AA148" s="0" t="n">
        <v>0.970062713</v>
      </c>
      <c r="AB148" s="0" t="n">
        <v>0.87982245</v>
      </c>
      <c r="AC148" s="0" t="n">
        <v>0.87982245</v>
      </c>
      <c r="AD148" s="0" t="n">
        <v>0.970062713</v>
      </c>
      <c r="AE148" s="0" t="n">
        <v>0.970062713</v>
      </c>
      <c r="AF148" s="0" t="n">
        <v>0.87982245</v>
      </c>
      <c r="AG148" s="0" t="n">
        <v>0.98</v>
      </c>
      <c r="AH148" s="0" t="n">
        <v>0.9793738</v>
      </c>
      <c r="AI148" s="0" t="n">
        <v>0.9793738</v>
      </c>
      <c r="AJ148" s="0" t="n">
        <v>0.87982245</v>
      </c>
      <c r="AK148" s="0" t="n">
        <v>1</v>
      </c>
      <c r="AL148" s="0" t="n">
        <v>0.970485</v>
      </c>
      <c r="AM148" s="0" t="n">
        <v>0</v>
      </c>
      <c r="BB148" s="187" t="n">
        <v>1</v>
      </c>
      <c r="BC148" s="0" t="n">
        <v>1</v>
      </c>
      <c r="BD148" s="0" t="n">
        <v>1</v>
      </c>
      <c r="BE148" s="0" t="n">
        <v>1</v>
      </c>
      <c r="BF148" s="0" t="n">
        <v>0.9999</v>
      </c>
      <c r="BG148" s="0" t="n">
        <v>1</v>
      </c>
      <c r="BH148" s="0" t="n">
        <v>1</v>
      </c>
      <c r="BI148" s="0" t="n">
        <v>0.99</v>
      </c>
      <c r="BJ148" s="0" t="n">
        <v>0.999</v>
      </c>
      <c r="BK148" s="0" t="n">
        <v>0.998</v>
      </c>
      <c r="BL148" s="0" t="n">
        <v>0.9985</v>
      </c>
      <c r="BM148" s="0" t="n">
        <v>0.9985</v>
      </c>
      <c r="BN148" s="0" t="n">
        <v>0.972</v>
      </c>
      <c r="BO148" s="0" t="n">
        <v>0.9999</v>
      </c>
      <c r="BP148" s="0" t="n">
        <v>0.9999</v>
      </c>
      <c r="BQ148" s="0" t="n">
        <v>1</v>
      </c>
      <c r="BR148" s="0" t="n">
        <v>1.1046176</v>
      </c>
      <c r="BS148" s="0" t="n">
        <v>1.1176</v>
      </c>
      <c r="BT148" s="0" t="n">
        <v>1.0827</v>
      </c>
      <c r="BU148" s="0" t="n">
        <v>1.0191</v>
      </c>
      <c r="BV148" s="0" t="n">
        <v>1</v>
      </c>
      <c r="BW148" s="0" t="n">
        <v>2.3586</v>
      </c>
      <c r="BX148" s="0" t="n">
        <v>2.298836333</v>
      </c>
      <c r="BY148" s="0" t="n">
        <v>1.11865</v>
      </c>
      <c r="BZ148" s="0" t="n">
        <v>1.2885</v>
      </c>
      <c r="CA148" s="0" t="n">
        <v>2.001</v>
      </c>
      <c r="CB148" s="0" t="n">
        <v>1.536005</v>
      </c>
      <c r="CC148" s="0" t="n">
        <v>1.536005</v>
      </c>
      <c r="CD148" s="0" t="n">
        <v>1.275105</v>
      </c>
      <c r="CE148" s="0" t="n">
        <v>1.086905</v>
      </c>
      <c r="CF148" s="0" t="n">
        <v>1.443005</v>
      </c>
      <c r="CG148" s="188"/>
      <c r="CH148" s="0" t="n">
        <v>1.10042</v>
      </c>
      <c r="CI148" s="188"/>
      <c r="CJ148" s="188"/>
      <c r="CK148" s="188"/>
      <c r="CL148" s="188"/>
      <c r="CM148" s="188"/>
      <c r="CN148" s="188"/>
      <c r="CO148" s="188"/>
      <c r="CP148" s="0" t="n">
        <v>0.935</v>
      </c>
      <c r="CQ148" s="0" t="n">
        <v>0.89</v>
      </c>
      <c r="CT148" s="0" t="n">
        <v>0.999</v>
      </c>
      <c r="CU148" s="0" t="n">
        <v>0.51</v>
      </c>
      <c r="CV148" s="0" t="n">
        <v>0.48</v>
      </c>
      <c r="CW148" s="0" t="n">
        <v>0.875</v>
      </c>
      <c r="CX148" s="0" t="n">
        <v>0.6</v>
      </c>
      <c r="CY148" s="0" t="n">
        <v>0.485</v>
      </c>
      <c r="CZ148" s="0" t="n">
        <v>0.59</v>
      </c>
      <c r="DA148" s="0" t="n">
        <v>0.6225</v>
      </c>
      <c r="DB148" s="0" t="n">
        <v>0.69</v>
      </c>
      <c r="DC148" s="0" t="n">
        <v>0.8925</v>
      </c>
      <c r="DD148" s="0" t="n">
        <v>0.715</v>
      </c>
      <c r="DE148" s="0" t="n">
        <v>0.89</v>
      </c>
      <c r="DN148" s="188" t="n">
        <v>0.000285</v>
      </c>
      <c r="DO148" s="188" t="n">
        <v>0.0002</v>
      </c>
      <c r="DP148" s="188" t="n">
        <v>0</v>
      </c>
      <c r="DQ148" s="188" t="n">
        <v>0.0001</v>
      </c>
      <c r="DR148" s="188" t="n">
        <v>0</v>
      </c>
      <c r="DS148" s="188" t="n">
        <v>0.0036</v>
      </c>
      <c r="DT148" s="188" t="n">
        <v>0.00047</v>
      </c>
      <c r="DU148" s="188" t="n">
        <v>0.0007</v>
      </c>
      <c r="DV148" s="188" t="n">
        <v>0</v>
      </c>
      <c r="DW148" s="188" t="n">
        <v>0</v>
      </c>
      <c r="DX148" s="188" t="n">
        <v>0.0005</v>
      </c>
      <c r="DY148" s="188" t="n">
        <v>0.0005</v>
      </c>
      <c r="DZ148" s="188" t="n">
        <v>0.0003</v>
      </c>
      <c r="EA148" s="188" t="n">
        <v>0.000275</v>
      </c>
      <c r="EB148" s="188" t="n">
        <v>0.0004</v>
      </c>
      <c r="ED148" s="188" t="n">
        <v>6.5E-005</v>
      </c>
      <c r="EF148" s="0" t="n">
        <v>1</v>
      </c>
    </row>
    <row r="149" customFormat="false" ht="12.75" hidden="false" customHeight="false" outlineLevel="0" collapsed="false">
      <c r="A149" s="149" t="n">
        <v>40909</v>
      </c>
      <c r="B149" s="0" t="n">
        <v>0.98</v>
      </c>
      <c r="C149" s="0" t="n">
        <v>0</v>
      </c>
      <c r="E149" s="0" t="n">
        <v>0</v>
      </c>
      <c r="F149" s="0" t="n">
        <v>0.977</v>
      </c>
      <c r="G149" s="0" t="n">
        <v>0.9875</v>
      </c>
      <c r="H149" s="0" t="n">
        <v>0.9875</v>
      </c>
      <c r="I149" s="0" t="n">
        <v>0.90107675</v>
      </c>
      <c r="J149" s="0" t="n">
        <v>0.9805</v>
      </c>
      <c r="K149" s="0" t="n">
        <v>0.985</v>
      </c>
      <c r="L149" s="176" t="n">
        <v>0.929585525</v>
      </c>
      <c r="M149" s="176" t="n">
        <v>0.979521937</v>
      </c>
      <c r="N149" s="0" t="n">
        <v>0.88002945</v>
      </c>
      <c r="O149" s="0" t="n">
        <v>0.9567184</v>
      </c>
      <c r="P149" s="0" t="n">
        <v>0.88002945</v>
      </c>
      <c r="Q149" s="177" t="n">
        <v>0.929585525</v>
      </c>
      <c r="R149" s="0" t="n">
        <v>0.929585525</v>
      </c>
      <c r="S149" s="176" t="n">
        <v>0.929585525</v>
      </c>
      <c r="T149" s="0" t="n">
        <v>0.88002945</v>
      </c>
      <c r="U149" s="0" t="n">
        <v>0.88002945</v>
      </c>
      <c r="V149" s="0" t="n">
        <v>0.88002945</v>
      </c>
      <c r="W149" s="0" t="n">
        <v>0.88002945</v>
      </c>
      <c r="X149" s="0" t="n">
        <v>0.9567184</v>
      </c>
      <c r="Y149" s="0" t="n">
        <v>0.9567184</v>
      </c>
      <c r="Z149" s="0" t="n">
        <v>0.9567184</v>
      </c>
      <c r="AA149" s="0" t="n">
        <v>0.9567184</v>
      </c>
      <c r="AB149" s="0" t="n">
        <v>0.88002945</v>
      </c>
      <c r="AC149" s="0" t="n">
        <v>0.88002945</v>
      </c>
      <c r="AD149" s="0" t="n">
        <v>0.9567184</v>
      </c>
      <c r="AE149" s="0" t="n">
        <v>0.9567184</v>
      </c>
      <c r="AF149" s="0" t="n">
        <v>0.88002945</v>
      </c>
      <c r="AG149" s="0" t="n">
        <v>0.98</v>
      </c>
      <c r="AH149" s="0" t="n">
        <v>0.97943165</v>
      </c>
      <c r="AI149" s="0" t="n">
        <v>0.97943165</v>
      </c>
      <c r="AJ149" s="0" t="n">
        <v>0.88002945</v>
      </c>
      <c r="AK149" s="0" t="n">
        <v>1</v>
      </c>
      <c r="AL149" s="0" t="n">
        <v>0.985</v>
      </c>
      <c r="AM149" s="0" t="n">
        <v>0</v>
      </c>
      <c r="BB149" s="187" t="n">
        <v>1</v>
      </c>
      <c r="BC149" s="0" t="n">
        <v>1</v>
      </c>
      <c r="BD149" s="0" t="n">
        <v>1</v>
      </c>
      <c r="BE149" s="0" t="n">
        <v>1</v>
      </c>
      <c r="BF149" s="0" t="n">
        <v>0.9999</v>
      </c>
      <c r="BG149" s="0" t="n">
        <v>1</v>
      </c>
      <c r="BH149" s="0" t="n">
        <v>1</v>
      </c>
      <c r="BI149" s="0" t="n">
        <v>0.99</v>
      </c>
      <c r="BJ149" s="0" t="n">
        <v>0.999</v>
      </c>
      <c r="BK149" s="0" t="n">
        <v>0.998</v>
      </c>
      <c r="BL149" s="0" t="n">
        <v>0.9985</v>
      </c>
      <c r="BM149" s="0" t="n">
        <v>0.9985</v>
      </c>
      <c r="BN149" s="0" t="n">
        <v>0.972</v>
      </c>
      <c r="BO149" s="0" t="n">
        <v>0.9999</v>
      </c>
      <c r="BP149" s="0" t="n">
        <v>0.9999</v>
      </c>
      <c r="BQ149" s="0" t="n">
        <v>1</v>
      </c>
      <c r="BR149" s="0" t="n">
        <v>1.1049026</v>
      </c>
      <c r="BS149" s="0" t="n">
        <v>1.1178</v>
      </c>
      <c r="BT149" s="0" t="n">
        <v>1.0827</v>
      </c>
      <c r="BU149" s="0" t="n">
        <v>1.0192</v>
      </c>
      <c r="BV149" s="0" t="n">
        <v>1</v>
      </c>
      <c r="BW149" s="0" t="n">
        <v>2.3622</v>
      </c>
      <c r="BX149" s="0" t="n">
        <v>2.299306333</v>
      </c>
      <c r="BY149" s="0" t="n">
        <v>1.11935</v>
      </c>
      <c r="BZ149" s="0" t="n">
        <v>1.2885</v>
      </c>
      <c r="CA149" s="0" t="n">
        <v>2.001</v>
      </c>
      <c r="CB149" s="0" t="n">
        <v>1.536505</v>
      </c>
      <c r="CC149" s="0" t="n">
        <v>1.536505</v>
      </c>
      <c r="CD149" s="0" t="n">
        <v>1.275405</v>
      </c>
      <c r="CE149" s="0" t="n">
        <v>1.08718</v>
      </c>
      <c r="CF149" s="0" t="n">
        <v>1.443405</v>
      </c>
      <c r="CG149" s="188"/>
      <c r="CH149" s="0" t="n">
        <v>1.100485</v>
      </c>
      <c r="CI149" s="188"/>
      <c r="CJ149" s="188"/>
      <c r="CK149" s="188"/>
      <c r="CL149" s="188"/>
      <c r="CM149" s="188"/>
      <c r="CN149" s="188"/>
      <c r="CO149" s="188"/>
      <c r="CP149" s="0" t="n">
        <v>0.895</v>
      </c>
      <c r="CT149" s="0" t="n">
        <v>0.999</v>
      </c>
      <c r="CU149" s="0" t="n">
        <v>0.58</v>
      </c>
      <c r="CV149" s="0" t="n">
        <v>0.45</v>
      </c>
      <c r="CW149" s="0" t="n">
        <v>0.805</v>
      </c>
      <c r="CX149" s="0" t="n">
        <v>0.61</v>
      </c>
      <c r="CY149" s="0" t="n">
        <v>0.505</v>
      </c>
      <c r="CZ149" s="0" t="n">
        <v>0.605</v>
      </c>
      <c r="DA149" s="0" t="n">
        <v>0.6375</v>
      </c>
      <c r="DB149" s="0" t="n">
        <v>0.69</v>
      </c>
      <c r="DC149" s="0" t="n">
        <v>0.88</v>
      </c>
      <c r="DD149" s="0" t="n">
        <v>0.64</v>
      </c>
      <c r="DE149" s="0" t="n">
        <v>0.89</v>
      </c>
      <c r="DN149" s="188" t="n">
        <v>0.000285</v>
      </c>
      <c r="DO149" s="188" t="n">
        <v>0.0002</v>
      </c>
      <c r="DP149" s="188" t="n">
        <v>0</v>
      </c>
      <c r="DQ149" s="188" t="n">
        <v>0.0001</v>
      </c>
      <c r="DR149" s="188" t="n">
        <v>0</v>
      </c>
      <c r="DS149" s="188" t="n">
        <v>0.0036</v>
      </c>
      <c r="DT149" s="188" t="n">
        <v>0.00047</v>
      </c>
      <c r="DU149" s="188" t="n">
        <v>0.0007</v>
      </c>
      <c r="DV149" s="188" t="n">
        <v>0</v>
      </c>
      <c r="DW149" s="188" t="n">
        <v>0</v>
      </c>
      <c r="DX149" s="188" t="n">
        <v>0.0005</v>
      </c>
      <c r="DY149" s="188" t="n">
        <v>0.0005</v>
      </c>
      <c r="DZ149" s="188" t="n">
        <v>0.0003</v>
      </c>
      <c r="EA149" s="188" t="n">
        <v>0.000275</v>
      </c>
      <c r="EB149" s="188" t="n">
        <v>0.0004</v>
      </c>
      <c r="ED149" s="188" t="n">
        <v>6.5E-005</v>
      </c>
      <c r="EF149" s="0" t="n">
        <v>1</v>
      </c>
    </row>
    <row r="150" customFormat="false" ht="12.75" hidden="false" customHeight="false" outlineLevel="0" collapsed="false">
      <c r="A150" s="149" t="n">
        <v>40940</v>
      </c>
      <c r="B150" s="0" t="n">
        <v>0.98</v>
      </c>
      <c r="C150" s="0" t="n">
        <v>0</v>
      </c>
      <c r="E150" s="0" t="n">
        <v>0</v>
      </c>
      <c r="F150" s="0" t="n">
        <v>0.977</v>
      </c>
      <c r="G150" s="0" t="n">
        <v>0.9875</v>
      </c>
      <c r="H150" s="0" t="n">
        <v>0.9875</v>
      </c>
      <c r="I150" s="0" t="n">
        <v>0.94644225</v>
      </c>
      <c r="J150" s="0" t="n">
        <v>0.9805</v>
      </c>
      <c r="K150" s="0" t="n">
        <v>0.985</v>
      </c>
      <c r="L150" s="176" t="n">
        <v>0.975998175</v>
      </c>
      <c r="M150" s="176" t="n">
        <v>0.9875</v>
      </c>
      <c r="N150" s="0" t="n">
        <v>0.90575055</v>
      </c>
      <c r="O150" s="0" t="n">
        <v>0.954241763</v>
      </c>
      <c r="P150" s="0" t="n">
        <v>0.90575055</v>
      </c>
      <c r="Q150" s="177" t="n">
        <v>0.975998175</v>
      </c>
      <c r="R150" s="0" t="n">
        <v>0.975998175</v>
      </c>
      <c r="S150" s="176" t="n">
        <v>0.975998175</v>
      </c>
      <c r="T150" s="0" t="n">
        <v>0.90575055</v>
      </c>
      <c r="U150" s="0" t="n">
        <v>0.90575055</v>
      </c>
      <c r="V150" s="0" t="n">
        <v>0.90575055</v>
      </c>
      <c r="W150" s="0" t="n">
        <v>0.90575055</v>
      </c>
      <c r="X150" s="0" t="n">
        <v>0.954241763</v>
      </c>
      <c r="Y150" s="0" t="n">
        <v>0.954241763</v>
      </c>
      <c r="Z150" s="0" t="n">
        <v>0.954241763</v>
      </c>
      <c r="AA150" s="0" t="n">
        <v>0.954241763</v>
      </c>
      <c r="AB150" s="0" t="n">
        <v>0.90575055</v>
      </c>
      <c r="AC150" s="0" t="n">
        <v>0.90575055</v>
      </c>
      <c r="AD150" s="0" t="n">
        <v>0.954241763</v>
      </c>
      <c r="AE150" s="0" t="n">
        <v>0.954241763</v>
      </c>
      <c r="AF150" s="0" t="n">
        <v>0.90575055</v>
      </c>
      <c r="AG150" s="0" t="n">
        <v>0.98</v>
      </c>
      <c r="AH150" s="0" t="n">
        <v>0.9794895</v>
      </c>
      <c r="AI150" s="0" t="n">
        <v>0.9794895</v>
      </c>
      <c r="AJ150" s="0" t="n">
        <v>0.90575055</v>
      </c>
      <c r="AK150" s="0" t="n">
        <v>1</v>
      </c>
      <c r="AL150" s="0" t="n">
        <v>0.985</v>
      </c>
      <c r="AM150" s="0" t="n">
        <v>0</v>
      </c>
      <c r="BB150" s="187" t="n">
        <v>1</v>
      </c>
      <c r="BC150" s="0" t="n">
        <v>1</v>
      </c>
      <c r="BD150" s="0" t="n">
        <v>1</v>
      </c>
      <c r="BE150" s="0" t="n">
        <v>1</v>
      </c>
      <c r="BF150" s="0" t="n">
        <v>0.9999</v>
      </c>
      <c r="BG150" s="0" t="n">
        <v>1</v>
      </c>
      <c r="BH150" s="0" t="n">
        <v>1</v>
      </c>
      <c r="BI150" s="0" t="n">
        <v>0.99</v>
      </c>
      <c r="BJ150" s="0" t="n">
        <v>0.999</v>
      </c>
      <c r="BK150" s="0" t="n">
        <v>0.998</v>
      </c>
      <c r="BL150" s="0" t="n">
        <v>0.9985</v>
      </c>
      <c r="BM150" s="0" t="n">
        <v>0.9985</v>
      </c>
      <c r="BN150" s="0" t="n">
        <v>0.972</v>
      </c>
      <c r="BO150" s="0" t="n">
        <v>0.9999</v>
      </c>
      <c r="BP150" s="0" t="n">
        <v>0.9999</v>
      </c>
      <c r="BQ150" s="0" t="n">
        <v>1</v>
      </c>
      <c r="BR150" s="0" t="n">
        <v>1.1051876</v>
      </c>
      <c r="BS150" s="0" t="n">
        <v>1.118</v>
      </c>
      <c r="BT150" s="0" t="n">
        <v>1.0827</v>
      </c>
      <c r="BU150" s="0" t="n">
        <v>1.0193</v>
      </c>
      <c r="BV150" s="0" t="n">
        <v>1</v>
      </c>
      <c r="BW150" s="0" t="n">
        <v>2.3658</v>
      </c>
      <c r="BX150" s="0" t="n">
        <v>2.299776333</v>
      </c>
      <c r="BY150" s="0" t="n">
        <v>1.12005</v>
      </c>
      <c r="BZ150" s="0" t="n">
        <v>1.2885</v>
      </c>
      <c r="CA150" s="0" t="n">
        <v>2.001</v>
      </c>
      <c r="CB150" s="0" t="n">
        <v>1.537005</v>
      </c>
      <c r="CC150" s="0" t="n">
        <v>1.537005</v>
      </c>
      <c r="CD150" s="0" t="n">
        <v>1.275705</v>
      </c>
      <c r="CE150" s="0" t="n">
        <v>1.087455</v>
      </c>
      <c r="CF150" s="0" t="n">
        <v>1.443805</v>
      </c>
      <c r="CG150" s="188"/>
      <c r="CH150" s="0" t="n">
        <v>1.10055</v>
      </c>
      <c r="CI150" s="188"/>
      <c r="CJ150" s="188"/>
      <c r="CK150" s="188"/>
      <c r="CL150" s="188"/>
      <c r="CM150" s="188"/>
      <c r="CN150" s="188"/>
      <c r="CO150" s="188"/>
      <c r="CP150" s="0" t="n">
        <v>0.865</v>
      </c>
      <c r="CT150" s="0" t="n">
        <v>0.99895</v>
      </c>
      <c r="CU150" s="0" t="n">
        <v>0.58</v>
      </c>
      <c r="CV150" s="0" t="n">
        <v>0.45</v>
      </c>
      <c r="CW150" s="0" t="n">
        <v>0.845</v>
      </c>
      <c r="CX150" s="0" t="n">
        <v>0.715</v>
      </c>
      <c r="CY150" s="0" t="n">
        <v>0.505</v>
      </c>
      <c r="CZ150" s="0" t="n">
        <v>0.635</v>
      </c>
      <c r="DA150" s="0" t="n">
        <v>0.6675</v>
      </c>
      <c r="DB150" s="0" t="n">
        <v>0.71</v>
      </c>
      <c r="DC150" s="0" t="n">
        <v>0.8775</v>
      </c>
      <c r="DD150" s="0" t="n">
        <v>0.67</v>
      </c>
      <c r="DE150" s="0" t="n">
        <v>0.89</v>
      </c>
      <c r="DN150" s="188" t="n">
        <v>0.000285</v>
      </c>
      <c r="DO150" s="188" t="n">
        <v>0.0002</v>
      </c>
      <c r="DP150" s="188" t="n">
        <v>0</v>
      </c>
      <c r="DQ150" s="188" t="n">
        <v>0.0001</v>
      </c>
      <c r="DR150" s="188" t="n">
        <v>0</v>
      </c>
      <c r="DS150" s="188" t="n">
        <v>0.0036</v>
      </c>
      <c r="DT150" s="188" t="n">
        <v>0.00047</v>
      </c>
      <c r="DU150" s="188" t="n">
        <v>0.0007</v>
      </c>
      <c r="DV150" s="188" t="n">
        <v>0</v>
      </c>
      <c r="DW150" s="188" t="n">
        <v>0</v>
      </c>
      <c r="DX150" s="188" t="n">
        <v>0.0005</v>
      </c>
      <c r="DY150" s="188" t="n">
        <v>0.0005</v>
      </c>
      <c r="DZ150" s="188" t="n">
        <v>0.0003</v>
      </c>
      <c r="EA150" s="188" t="n">
        <v>0.000275</v>
      </c>
      <c r="EB150" s="188" t="n">
        <v>0.0004</v>
      </c>
      <c r="ED150" s="188" t="n">
        <v>6.5E-005</v>
      </c>
      <c r="EF150" s="0" t="n">
        <v>1</v>
      </c>
    </row>
    <row r="151" customFormat="false" ht="12.75" hidden="false" customHeight="false" outlineLevel="0" collapsed="false">
      <c r="A151" s="149" t="n">
        <v>40969</v>
      </c>
      <c r="B151" s="0" t="n">
        <v>0.98</v>
      </c>
      <c r="C151" s="0" t="n">
        <v>0</v>
      </c>
      <c r="E151" s="0" t="n">
        <v>0</v>
      </c>
      <c r="F151" s="0" t="n">
        <v>0.977</v>
      </c>
      <c r="G151" s="0" t="n">
        <v>0.9875</v>
      </c>
      <c r="H151" s="0" t="n">
        <v>0.9875</v>
      </c>
      <c r="I151" s="0" t="n">
        <v>0.98065625</v>
      </c>
      <c r="J151" s="0" t="n">
        <v>0.9805</v>
      </c>
      <c r="K151" s="0" t="n">
        <v>0.985</v>
      </c>
      <c r="L151" s="176" t="n">
        <v>0.9875</v>
      </c>
      <c r="M151" s="176" t="n">
        <v>0.9875</v>
      </c>
      <c r="N151" s="0" t="n">
        <v>0.98</v>
      </c>
      <c r="O151" s="0" t="n">
        <v>0.978957</v>
      </c>
      <c r="P151" s="0" t="n">
        <v>0.98</v>
      </c>
      <c r="Q151" s="177" t="n">
        <v>0.9875</v>
      </c>
      <c r="R151" s="0" t="n">
        <v>0.9875</v>
      </c>
      <c r="S151" s="176" t="n">
        <v>0.9875</v>
      </c>
      <c r="T151" s="0" t="n">
        <v>0.98</v>
      </c>
      <c r="U151" s="0" t="n">
        <v>0.98</v>
      </c>
      <c r="V151" s="0" t="n">
        <v>0.98</v>
      </c>
      <c r="W151" s="0" t="n">
        <v>0.98</v>
      </c>
      <c r="X151" s="0" t="n">
        <v>0.978957</v>
      </c>
      <c r="Y151" s="0" t="n">
        <v>0.978957</v>
      </c>
      <c r="Z151" s="0" t="n">
        <v>0.978957</v>
      </c>
      <c r="AA151" s="0" t="n">
        <v>0.978957</v>
      </c>
      <c r="AB151" s="0" t="n">
        <v>0.98</v>
      </c>
      <c r="AC151" s="0" t="n">
        <v>0.98</v>
      </c>
      <c r="AD151" s="0" t="n">
        <v>0.978957</v>
      </c>
      <c r="AE151" s="0" t="n">
        <v>0.978957</v>
      </c>
      <c r="AF151" s="0" t="n">
        <v>0.98</v>
      </c>
      <c r="AG151" s="0" t="n">
        <v>0.99</v>
      </c>
      <c r="AH151" s="0" t="n">
        <v>0.97954735</v>
      </c>
      <c r="AI151" s="0" t="n">
        <v>0.97954735</v>
      </c>
      <c r="AJ151" s="0" t="n">
        <v>0.98</v>
      </c>
      <c r="AK151" s="0" t="n">
        <v>1</v>
      </c>
      <c r="AL151" s="0" t="n">
        <v>0.985</v>
      </c>
      <c r="AM151" s="0" t="n">
        <v>0</v>
      </c>
      <c r="BB151" s="187" t="n">
        <v>1</v>
      </c>
      <c r="BC151" s="0" t="n">
        <v>1</v>
      </c>
      <c r="BD151" s="0" t="n">
        <v>1</v>
      </c>
      <c r="BE151" s="0" t="n">
        <v>1</v>
      </c>
      <c r="BF151" s="0" t="n">
        <v>0.9999</v>
      </c>
      <c r="BG151" s="0" t="n">
        <v>1</v>
      </c>
      <c r="BH151" s="0" t="n">
        <v>1</v>
      </c>
      <c r="BI151" s="0" t="n">
        <v>0.99</v>
      </c>
      <c r="BJ151" s="0" t="n">
        <v>0.999</v>
      </c>
      <c r="BK151" s="0" t="n">
        <v>0.998</v>
      </c>
      <c r="BL151" s="0" t="n">
        <v>0.9985</v>
      </c>
      <c r="BM151" s="0" t="n">
        <v>0.9985</v>
      </c>
      <c r="BN151" s="0" t="n">
        <v>0.972</v>
      </c>
      <c r="BO151" s="0" t="n">
        <v>0.9999</v>
      </c>
      <c r="BP151" s="0" t="n">
        <v>0.9999</v>
      </c>
      <c r="BQ151" s="0" t="n">
        <v>1</v>
      </c>
      <c r="BR151" s="0" t="n">
        <v>1.1054726</v>
      </c>
      <c r="BS151" s="0" t="n">
        <v>1.1182</v>
      </c>
      <c r="BT151" s="0" t="n">
        <v>1.0827</v>
      </c>
      <c r="BU151" s="0" t="n">
        <v>1.0194</v>
      </c>
      <c r="BV151" s="0" t="n">
        <v>1</v>
      </c>
      <c r="BW151" s="0" t="n">
        <v>2.3694</v>
      </c>
      <c r="BX151" s="0" t="n">
        <v>2.300246333</v>
      </c>
      <c r="BY151" s="0" t="n">
        <v>1.12075</v>
      </c>
      <c r="BZ151" s="0" t="n">
        <v>1.2885</v>
      </c>
      <c r="CA151" s="0" t="n">
        <v>2.001</v>
      </c>
      <c r="CB151" s="0" t="n">
        <v>1.537505</v>
      </c>
      <c r="CC151" s="0" t="n">
        <v>1.537505</v>
      </c>
      <c r="CD151" s="0" t="n">
        <v>1.276005</v>
      </c>
      <c r="CE151" s="0" t="n">
        <v>1.08773</v>
      </c>
      <c r="CF151" s="0" t="n">
        <v>1.444205</v>
      </c>
      <c r="CG151" s="188"/>
      <c r="CH151" s="0" t="n">
        <v>1.100615</v>
      </c>
      <c r="CI151" s="188"/>
      <c r="CJ151" s="188"/>
      <c r="CK151" s="188"/>
      <c r="CL151" s="188"/>
      <c r="CM151" s="188"/>
      <c r="CN151" s="188"/>
      <c r="CO151" s="188"/>
      <c r="CP151" s="0" t="n">
        <v>0.865</v>
      </c>
      <c r="CT151" s="0" t="n">
        <v>0.99895</v>
      </c>
      <c r="CU151" s="0" t="n">
        <v>0.54</v>
      </c>
      <c r="CV151" s="0" t="n">
        <v>0.45</v>
      </c>
      <c r="CW151" s="0" t="n">
        <v>0.875</v>
      </c>
      <c r="CX151" s="0" t="n">
        <v>0.885</v>
      </c>
      <c r="CY151" s="0" t="n">
        <v>0.515</v>
      </c>
      <c r="CZ151" s="0" t="n">
        <v>0.785</v>
      </c>
      <c r="DA151" s="0" t="n">
        <v>0.8175</v>
      </c>
      <c r="DB151" s="0" t="n">
        <v>0.8</v>
      </c>
      <c r="DC151" s="0" t="n">
        <v>0.9</v>
      </c>
      <c r="DD151" s="0" t="n">
        <v>0.83</v>
      </c>
      <c r="DE151" s="0" t="n">
        <v>0.89</v>
      </c>
      <c r="DN151" s="188" t="n">
        <v>0.000285</v>
      </c>
      <c r="DO151" s="188" t="n">
        <v>0.0002</v>
      </c>
      <c r="DP151" s="188" t="n">
        <v>0</v>
      </c>
      <c r="DQ151" s="188" t="n">
        <v>0.0001</v>
      </c>
      <c r="DR151" s="188" t="n">
        <v>0</v>
      </c>
      <c r="DS151" s="188" t="n">
        <v>0.0036</v>
      </c>
      <c r="DT151" s="188" t="n">
        <v>0.00047</v>
      </c>
      <c r="DU151" s="188" t="n">
        <v>0.0007</v>
      </c>
      <c r="DV151" s="188" t="n">
        <v>0</v>
      </c>
      <c r="DW151" s="188" t="n">
        <v>0</v>
      </c>
      <c r="DX151" s="188" t="n">
        <v>0.0005</v>
      </c>
      <c r="DY151" s="188" t="n">
        <v>0.0005</v>
      </c>
      <c r="DZ151" s="188" t="n">
        <v>0.0003</v>
      </c>
      <c r="EA151" s="188" t="n">
        <v>0.000275</v>
      </c>
      <c r="EB151" s="188" t="n">
        <v>0.0004</v>
      </c>
      <c r="ED151" s="188" t="n">
        <v>6.5E-005</v>
      </c>
      <c r="EF151" s="0" t="n">
        <v>1</v>
      </c>
    </row>
    <row r="152" customFormat="false" ht="12.75" hidden="false" customHeight="false" outlineLevel="0" collapsed="false">
      <c r="A152" s="149" t="n">
        <v>41000</v>
      </c>
      <c r="B152" s="0" t="n">
        <v>0.98</v>
      </c>
      <c r="C152" s="0" t="n">
        <v>0</v>
      </c>
      <c r="E152" s="0" t="n">
        <v>0</v>
      </c>
      <c r="F152" s="0" t="n">
        <v>0.977</v>
      </c>
      <c r="G152" s="0" t="n">
        <v>0.9875</v>
      </c>
      <c r="H152" s="0" t="n">
        <v>0.96630086</v>
      </c>
      <c r="I152" s="0" t="n">
        <v>0.9875</v>
      </c>
      <c r="J152" s="0" t="n">
        <v>0.9805</v>
      </c>
      <c r="K152" s="0" t="n">
        <v>0.985</v>
      </c>
      <c r="L152" s="176" t="n">
        <v>0.9875</v>
      </c>
      <c r="M152" s="176" t="n">
        <v>0.9875</v>
      </c>
      <c r="N152" s="0" t="n">
        <v>0.98</v>
      </c>
      <c r="O152" s="0" t="n">
        <v>0.982468515</v>
      </c>
      <c r="P152" s="0" t="n">
        <v>0.98</v>
      </c>
      <c r="Q152" s="177" t="n">
        <v>0.9875</v>
      </c>
      <c r="R152" s="0" t="n">
        <v>0.9875</v>
      </c>
      <c r="S152" s="176" t="n">
        <v>0.9875</v>
      </c>
      <c r="T152" s="0" t="n">
        <v>0.98</v>
      </c>
      <c r="U152" s="0" t="n">
        <v>0.98</v>
      </c>
      <c r="V152" s="0" t="n">
        <v>0.98</v>
      </c>
      <c r="W152" s="0" t="n">
        <v>0.98</v>
      </c>
      <c r="X152" s="0" t="n">
        <v>0.982468515</v>
      </c>
      <c r="Y152" s="0" t="n">
        <v>0.982468515</v>
      </c>
      <c r="Z152" s="0" t="n">
        <v>0.982468515</v>
      </c>
      <c r="AA152" s="0" t="n">
        <v>0.982468515</v>
      </c>
      <c r="AB152" s="0" t="n">
        <v>0.98</v>
      </c>
      <c r="AC152" s="0" t="n">
        <v>0.98</v>
      </c>
      <c r="AD152" s="0" t="n">
        <v>0.982468515</v>
      </c>
      <c r="AE152" s="0" t="n">
        <v>0.982468515</v>
      </c>
      <c r="AF152" s="0" t="n">
        <v>0.98</v>
      </c>
      <c r="AG152" s="0" t="n">
        <v>0.99</v>
      </c>
      <c r="AH152" s="0" t="n">
        <v>0.9796052</v>
      </c>
      <c r="AI152" s="0" t="n">
        <v>0.9796052</v>
      </c>
      <c r="AJ152" s="0" t="n">
        <v>0.98</v>
      </c>
      <c r="AK152" s="0" t="n">
        <v>1</v>
      </c>
      <c r="AL152" s="0" t="n">
        <v>0.985</v>
      </c>
      <c r="AM152" s="0" t="n">
        <v>0</v>
      </c>
      <c r="BB152" s="187" t="n">
        <v>1</v>
      </c>
      <c r="BC152" s="0" t="n">
        <v>1</v>
      </c>
      <c r="BD152" s="0" t="n">
        <v>1</v>
      </c>
      <c r="BE152" s="0" t="n">
        <v>1</v>
      </c>
      <c r="BF152" s="0" t="n">
        <v>0.9999</v>
      </c>
      <c r="BG152" s="0" t="n">
        <v>1</v>
      </c>
      <c r="BH152" s="0" t="n">
        <v>1</v>
      </c>
      <c r="BI152" s="0" t="n">
        <v>0.99</v>
      </c>
      <c r="BJ152" s="0" t="n">
        <v>0.999</v>
      </c>
      <c r="BK152" s="0" t="n">
        <v>0.998</v>
      </c>
      <c r="BL152" s="0" t="n">
        <v>0.9985</v>
      </c>
      <c r="BM152" s="0" t="n">
        <v>0.9985</v>
      </c>
      <c r="BN152" s="0" t="n">
        <v>0.972</v>
      </c>
      <c r="BO152" s="0" t="n">
        <v>0.9999</v>
      </c>
      <c r="BP152" s="0" t="n">
        <v>0.9999</v>
      </c>
      <c r="BQ152" s="0" t="n">
        <v>1</v>
      </c>
      <c r="BR152" s="0" t="n">
        <v>1.1057576</v>
      </c>
      <c r="BS152" s="0" t="n">
        <v>1.1184</v>
      </c>
      <c r="BT152" s="0" t="n">
        <v>1.0827</v>
      </c>
      <c r="BU152" s="0" t="n">
        <v>1.0195</v>
      </c>
      <c r="BV152" s="0" t="n">
        <v>1</v>
      </c>
      <c r="BW152" s="0" t="n">
        <v>2.373</v>
      </c>
      <c r="BX152" s="0" t="n">
        <v>2.300716333</v>
      </c>
      <c r="BY152" s="0" t="n">
        <v>1.12145</v>
      </c>
      <c r="BZ152" s="0" t="n">
        <v>1.2885</v>
      </c>
      <c r="CA152" s="0" t="n">
        <v>2.001</v>
      </c>
      <c r="CB152" s="0" t="n">
        <v>1.538005</v>
      </c>
      <c r="CC152" s="0" t="n">
        <v>1.538005</v>
      </c>
      <c r="CD152" s="0" t="n">
        <v>1.276305</v>
      </c>
      <c r="CE152" s="0" t="n">
        <v>1.088005</v>
      </c>
      <c r="CF152" s="0" t="n">
        <v>1.444605</v>
      </c>
      <c r="CG152" s="188"/>
      <c r="CH152" s="0" t="n">
        <v>1.10068</v>
      </c>
      <c r="CI152" s="188"/>
      <c r="CJ152" s="188"/>
      <c r="CK152" s="188"/>
      <c r="CL152" s="188"/>
      <c r="CM152" s="188"/>
      <c r="CN152" s="188"/>
      <c r="CO152" s="188"/>
      <c r="CP152" s="0" t="n">
        <v>0.895</v>
      </c>
      <c r="CT152" s="0" t="n">
        <v>0.99895</v>
      </c>
      <c r="CU152" s="0" t="n">
        <v>0.48</v>
      </c>
      <c r="CV152" s="0" t="n">
        <v>0.42</v>
      </c>
      <c r="CW152" s="0" t="n">
        <v>0.935</v>
      </c>
      <c r="CX152" s="0" t="n">
        <v>0.875</v>
      </c>
      <c r="CY152" s="0" t="n">
        <v>0.575</v>
      </c>
      <c r="CZ152" s="0" t="n">
        <v>0.895</v>
      </c>
      <c r="DA152" s="0" t="n">
        <v>0.9275</v>
      </c>
      <c r="DB152" s="0" t="n">
        <v>0.85</v>
      </c>
      <c r="DC152" s="0" t="n">
        <v>0.903</v>
      </c>
      <c r="DD152" s="0" t="n">
        <v>0.92</v>
      </c>
      <c r="DE152" s="0" t="n">
        <v>0.89</v>
      </c>
      <c r="DN152" s="188" t="n">
        <v>0.000285</v>
      </c>
      <c r="DO152" s="188" t="n">
        <v>0.0002</v>
      </c>
      <c r="DP152" s="188" t="n">
        <v>0</v>
      </c>
      <c r="DQ152" s="188" t="n">
        <v>0.0001</v>
      </c>
      <c r="DR152" s="188" t="n">
        <v>0</v>
      </c>
      <c r="DS152" s="188" t="n">
        <v>0.0036</v>
      </c>
      <c r="DT152" s="188" t="n">
        <v>0.00047</v>
      </c>
      <c r="DU152" s="188" t="n">
        <v>0.0007</v>
      </c>
      <c r="DV152" s="188" t="n">
        <v>0</v>
      </c>
      <c r="DW152" s="188" t="n">
        <v>0</v>
      </c>
      <c r="DX152" s="188" t="n">
        <v>0.0005</v>
      </c>
      <c r="DY152" s="188" t="n">
        <v>0.0005</v>
      </c>
      <c r="DZ152" s="188" t="n">
        <v>0.0003</v>
      </c>
      <c r="EA152" s="188" t="n">
        <v>0.000275</v>
      </c>
      <c r="EB152" s="188" t="n">
        <v>0.0004</v>
      </c>
      <c r="ED152" s="188" t="n">
        <v>6.5E-005</v>
      </c>
      <c r="EF152" s="0" t="n">
        <v>1</v>
      </c>
    </row>
    <row r="153" customFormat="false" ht="12.75" hidden="false" customHeight="false" outlineLevel="0" collapsed="false">
      <c r="A153" s="149" t="n">
        <v>41030</v>
      </c>
      <c r="B153" s="0" t="n">
        <v>0.98</v>
      </c>
      <c r="C153" s="0" t="n">
        <v>0</v>
      </c>
      <c r="E153" s="0" t="n">
        <v>0</v>
      </c>
      <c r="F153" s="0" t="n">
        <v>0.977</v>
      </c>
      <c r="G153" s="0" t="n">
        <v>0.808044</v>
      </c>
      <c r="H153" s="0" t="n">
        <v>0.96649826</v>
      </c>
      <c r="I153" s="0" t="n">
        <v>0.9875</v>
      </c>
      <c r="J153" s="0" t="n">
        <v>0.9805</v>
      </c>
      <c r="K153" s="0" t="n">
        <v>0.985</v>
      </c>
      <c r="L153" s="176" t="n">
        <v>0.9875</v>
      </c>
      <c r="M153" s="176" t="n">
        <v>0.9875</v>
      </c>
      <c r="N153" s="0" t="n">
        <v>0.98</v>
      </c>
      <c r="O153" s="0" t="n">
        <v>0.979452</v>
      </c>
      <c r="P153" s="0" t="n">
        <v>0.98</v>
      </c>
      <c r="Q153" s="177" t="n">
        <v>0.9875</v>
      </c>
      <c r="R153" s="0" t="n">
        <v>0.9875</v>
      </c>
      <c r="S153" s="176" t="n">
        <v>0.9875</v>
      </c>
      <c r="T153" s="0" t="n">
        <v>0.98</v>
      </c>
      <c r="U153" s="0" t="n">
        <v>0.98</v>
      </c>
      <c r="V153" s="0" t="n">
        <v>0.98</v>
      </c>
      <c r="W153" s="0" t="n">
        <v>0.98</v>
      </c>
      <c r="X153" s="0" t="n">
        <v>0.979452</v>
      </c>
      <c r="Y153" s="0" t="n">
        <v>0.979452</v>
      </c>
      <c r="Z153" s="0" t="n">
        <v>0.979452</v>
      </c>
      <c r="AA153" s="0" t="n">
        <v>0.979452</v>
      </c>
      <c r="AB153" s="0" t="n">
        <v>0.98</v>
      </c>
      <c r="AC153" s="0" t="n">
        <v>0.98</v>
      </c>
      <c r="AD153" s="0" t="n">
        <v>0.979452</v>
      </c>
      <c r="AE153" s="0" t="n">
        <v>0.979452</v>
      </c>
      <c r="AF153" s="0" t="n">
        <v>0.98</v>
      </c>
      <c r="AG153" s="0" t="n">
        <v>0.99</v>
      </c>
      <c r="AH153" s="0" t="n">
        <v>0.97966305</v>
      </c>
      <c r="AI153" s="0" t="n">
        <v>0.97966305</v>
      </c>
      <c r="AJ153" s="0" t="n">
        <v>0.98</v>
      </c>
      <c r="AK153" s="0" t="n">
        <v>1</v>
      </c>
      <c r="AL153" s="0" t="n">
        <v>0.985</v>
      </c>
      <c r="AM153" s="0" t="n">
        <v>0</v>
      </c>
      <c r="BB153" s="187" t="n">
        <v>1</v>
      </c>
      <c r="BC153" s="0" t="n">
        <v>1</v>
      </c>
      <c r="BD153" s="0" t="n">
        <v>1</v>
      </c>
      <c r="BE153" s="0" t="n">
        <v>1</v>
      </c>
      <c r="BF153" s="0" t="n">
        <v>0.9999</v>
      </c>
      <c r="BG153" s="0" t="n">
        <v>1</v>
      </c>
      <c r="BH153" s="0" t="n">
        <v>1</v>
      </c>
      <c r="BI153" s="0" t="n">
        <v>0.99</v>
      </c>
      <c r="BJ153" s="0" t="n">
        <v>0.999</v>
      </c>
      <c r="BK153" s="0" t="n">
        <v>0.998</v>
      </c>
      <c r="BL153" s="0" t="n">
        <v>0.9985</v>
      </c>
      <c r="BM153" s="0" t="n">
        <v>0.9985</v>
      </c>
      <c r="BN153" s="0" t="n">
        <v>0.972</v>
      </c>
      <c r="BO153" s="0" t="n">
        <v>0.9999</v>
      </c>
      <c r="BP153" s="0" t="n">
        <v>0.9999</v>
      </c>
      <c r="BQ153" s="0" t="n">
        <v>1</v>
      </c>
      <c r="BR153" s="0" t="n">
        <v>1.1060426</v>
      </c>
      <c r="BS153" s="0" t="n">
        <v>1.1186</v>
      </c>
      <c r="BT153" s="0" t="n">
        <v>1.0827</v>
      </c>
      <c r="BU153" s="0" t="n">
        <v>1.0196</v>
      </c>
      <c r="BV153" s="0" t="n">
        <v>1</v>
      </c>
      <c r="BW153" s="0" t="n">
        <v>2.3766</v>
      </c>
      <c r="BX153" s="0" t="n">
        <v>2.301186333</v>
      </c>
      <c r="BY153" s="0" t="n">
        <v>1.12215</v>
      </c>
      <c r="BZ153" s="0" t="n">
        <v>1.2885</v>
      </c>
      <c r="CA153" s="0" t="n">
        <v>2.001</v>
      </c>
      <c r="CB153" s="0" t="n">
        <v>1.538505</v>
      </c>
      <c r="CC153" s="0" t="n">
        <v>1.538505</v>
      </c>
      <c r="CD153" s="0" t="n">
        <v>1.276605</v>
      </c>
      <c r="CE153" s="0" t="n">
        <v>1.08828</v>
      </c>
      <c r="CF153" s="0" t="n">
        <v>1.445005</v>
      </c>
      <c r="CG153" s="188"/>
      <c r="CH153" s="0" t="n">
        <v>1.100745</v>
      </c>
      <c r="CI153" s="188"/>
      <c r="CJ153" s="188"/>
      <c r="CK153" s="188"/>
      <c r="CL153" s="188"/>
      <c r="CM153" s="188"/>
      <c r="CN153" s="188"/>
      <c r="CO153" s="188"/>
      <c r="CP153" s="0" t="n">
        <v>0.965</v>
      </c>
      <c r="CT153" s="0" t="n">
        <v>0.99895</v>
      </c>
      <c r="CU153" s="0" t="n">
        <v>0.34</v>
      </c>
      <c r="CV153" s="0" t="n">
        <v>0.42</v>
      </c>
      <c r="CW153" s="0" t="n">
        <v>0.935</v>
      </c>
      <c r="CX153" s="0" t="n">
        <v>0.775</v>
      </c>
      <c r="CY153" s="0" t="n">
        <v>0.625</v>
      </c>
      <c r="CZ153" s="0" t="n">
        <v>0.9175</v>
      </c>
      <c r="DA153" s="0" t="n">
        <v>0.95</v>
      </c>
      <c r="DB153" s="0" t="n">
        <v>0.88</v>
      </c>
      <c r="DC153" s="0" t="n">
        <v>0.9</v>
      </c>
      <c r="DD153" s="0" t="n">
        <v>0.935</v>
      </c>
      <c r="DE153" s="0" t="n">
        <v>0.89</v>
      </c>
      <c r="DN153" s="188" t="n">
        <v>0.000285</v>
      </c>
      <c r="DO153" s="188" t="n">
        <v>0.0002</v>
      </c>
      <c r="DP153" s="188" t="n">
        <v>0</v>
      </c>
      <c r="DQ153" s="188" t="n">
        <v>0.0001</v>
      </c>
      <c r="DR153" s="188" t="n">
        <v>0</v>
      </c>
      <c r="DS153" s="188" t="n">
        <v>0.0036</v>
      </c>
      <c r="DT153" s="188" t="n">
        <v>0.00047</v>
      </c>
      <c r="DU153" s="188" t="n">
        <v>0.0007</v>
      </c>
      <c r="DV153" s="188" t="n">
        <v>0</v>
      </c>
      <c r="DW153" s="188" t="n">
        <v>0</v>
      </c>
      <c r="DX153" s="188" t="n">
        <v>0.0005</v>
      </c>
      <c r="DY153" s="188" t="n">
        <v>0.0005</v>
      </c>
      <c r="DZ153" s="188" t="n">
        <v>0.0003</v>
      </c>
      <c r="EA153" s="188" t="n">
        <v>0.000275</v>
      </c>
      <c r="EB153" s="188" t="n">
        <v>0.0004</v>
      </c>
      <c r="ED153" s="188" t="n">
        <v>6.5E-005</v>
      </c>
      <c r="EF153" s="0" t="n">
        <v>1</v>
      </c>
    </row>
    <row r="154" customFormat="false" ht="12.75" hidden="false" customHeight="false" outlineLevel="0" collapsed="false">
      <c r="A154" s="149" t="n">
        <v>41061</v>
      </c>
      <c r="B154" s="0" t="n">
        <v>0.98</v>
      </c>
      <c r="C154" s="0" t="n">
        <v>0</v>
      </c>
      <c r="E154" s="0" t="n">
        <v>0</v>
      </c>
      <c r="F154" s="0" t="n">
        <v>0.977</v>
      </c>
      <c r="G154" s="0" t="n">
        <v>0.809268</v>
      </c>
      <c r="H154" s="0" t="n">
        <v>0.9875</v>
      </c>
      <c r="I154" s="0" t="n">
        <v>0.9875</v>
      </c>
      <c r="J154" s="0" t="n">
        <v>0.9805</v>
      </c>
      <c r="K154" s="0" t="n">
        <v>0.985</v>
      </c>
      <c r="L154" s="176" t="n">
        <v>0.9875</v>
      </c>
      <c r="M154" s="176" t="n">
        <v>0.9875</v>
      </c>
      <c r="N154" s="0" t="n">
        <v>0.98</v>
      </c>
      <c r="O154" s="0" t="n">
        <v>0.982420888</v>
      </c>
      <c r="P154" s="0" t="n">
        <v>0.98</v>
      </c>
      <c r="Q154" s="177" t="n">
        <v>0.9875</v>
      </c>
      <c r="R154" s="0" t="n">
        <v>0.9875</v>
      </c>
      <c r="S154" s="176" t="n">
        <v>0.9875</v>
      </c>
      <c r="T154" s="0" t="n">
        <v>0.98</v>
      </c>
      <c r="U154" s="0" t="n">
        <v>0.98</v>
      </c>
      <c r="V154" s="0" t="n">
        <v>0.98</v>
      </c>
      <c r="W154" s="0" t="n">
        <v>0.98</v>
      </c>
      <c r="X154" s="0" t="n">
        <v>0.982420888</v>
      </c>
      <c r="Y154" s="0" t="n">
        <v>0.982420888</v>
      </c>
      <c r="Z154" s="0" t="n">
        <v>0.982420888</v>
      </c>
      <c r="AA154" s="0" t="n">
        <v>0.982420888</v>
      </c>
      <c r="AB154" s="0" t="n">
        <v>0.98</v>
      </c>
      <c r="AC154" s="0" t="n">
        <v>0.98</v>
      </c>
      <c r="AD154" s="0" t="n">
        <v>0.982420888</v>
      </c>
      <c r="AE154" s="0" t="n">
        <v>0.982420888</v>
      </c>
      <c r="AF154" s="0" t="n">
        <v>0.98</v>
      </c>
      <c r="AG154" s="0" t="n">
        <v>0.99</v>
      </c>
      <c r="AH154" s="0" t="n">
        <v>0.9797209</v>
      </c>
      <c r="AI154" s="0" t="n">
        <v>0.9797209</v>
      </c>
      <c r="AJ154" s="0" t="n">
        <v>0.98</v>
      </c>
      <c r="AK154" s="0" t="n">
        <v>1</v>
      </c>
      <c r="AL154" s="0" t="n">
        <v>0.985</v>
      </c>
      <c r="AM154" s="0" t="n">
        <v>0</v>
      </c>
      <c r="BB154" s="187" t="n">
        <v>1</v>
      </c>
      <c r="BC154" s="0" t="n">
        <v>1</v>
      </c>
      <c r="BD154" s="0" t="n">
        <v>1</v>
      </c>
      <c r="BE154" s="0" t="n">
        <v>1</v>
      </c>
      <c r="BF154" s="0" t="n">
        <v>0.9999</v>
      </c>
      <c r="BG154" s="0" t="n">
        <v>1</v>
      </c>
      <c r="BH154" s="0" t="n">
        <v>1</v>
      </c>
      <c r="BI154" s="0" t="n">
        <v>0.99</v>
      </c>
      <c r="BJ154" s="0" t="n">
        <v>0.999</v>
      </c>
      <c r="BK154" s="0" t="n">
        <v>0.998</v>
      </c>
      <c r="BL154" s="0" t="n">
        <v>0.9985</v>
      </c>
      <c r="BM154" s="0" t="n">
        <v>0.9985</v>
      </c>
      <c r="BN154" s="0" t="n">
        <v>0.972</v>
      </c>
      <c r="BO154" s="0" t="n">
        <v>0.9999</v>
      </c>
      <c r="BP154" s="0" t="n">
        <v>0.9999</v>
      </c>
      <c r="BQ154" s="0" t="n">
        <v>1</v>
      </c>
      <c r="BR154" s="0" t="n">
        <v>1.1063276</v>
      </c>
      <c r="BS154" s="0" t="n">
        <v>1.1188</v>
      </c>
      <c r="BT154" s="0" t="n">
        <v>1.0827</v>
      </c>
      <c r="BU154" s="0" t="n">
        <v>1.0197</v>
      </c>
      <c r="BV154" s="0" t="n">
        <v>1</v>
      </c>
      <c r="BW154" s="0" t="n">
        <v>2.3802</v>
      </c>
      <c r="BX154" s="0" t="n">
        <v>2.301656333</v>
      </c>
      <c r="BY154" s="0" t="n">
        <v>1.12285</v>
      </c>
      <c r="BZ154" s="0" t="n">
        <v>1.2885</v>
      </c>
      <c r="CA154" s="0" t="n">
        <v>2.001</v>
      </c>
      <c r="CB154" s="0" t="n">
        <v>1.539005</v>
      </c>
      <c r="CC154" s="0" t="n">
        <v>1.539005</v>
      </c>
      <c r="CD154" s="0" t="n">
        <v>1.276905</v>
      </c>
      <c r="CE154" s="0" t="n">
        <v>1.088555</v>
      </c>
      <c r="CF154" s="0" t="n">
        <v>1.445405</v>
      </c>
      <c r="CG154" s="188"/>
      <c r="CH154" s="0" t="n">
        <v>1.10081</v>
      </c>
      <c r="CI154" s="188"/>
      <c r="CJ154" s="188"/>
      <c r="CK154" s="188"/>
      <c r="CL154" s="188"/>
      <c r="CM154" s="188"/>
      <c r="CN154" s="188"/>
      <c r="CO154" s="188"/>
      <c r="CP154" s="0" t="n">
        <v>0.965</v>
      </c>
      <c r="CT154" s="0" t="n">
        <v>0.99895</v>
      </c>
      <c r="CU154" s="0" t="n">
        <v>0.34</v>
      </c>
      <c r="CV154" s="0" t="n">
        <v>0.47</v>
      </c>
      <c r="CW154" s="0" t="n">
        <v>0.935</v>
      </c>
      <c r="CX154" s="0" t="n">
        <v>0.685</v>
      </c>
      <c r="CY154" s="0" t="n">
        <v>0.725</v>
      </c>
      <c r="CZ154" s="0" t="n">
        <v>0.8825</v>
      </c>
      <c r="DA154" s="0" t="n">
        <v>0.915</v>
      </c>
      <c r="DB154" s="0" t="n">
        <v>0.88</v>
      </c>
      <c r="DC154" s="0" t="n">
        <v>0.9025</v>
      </c>
      <c r="DD154" s="0" t="n">
        <v>0.915</v>
      </c>
      <c r="DE154" s="0" t="n">
        <v>0.89</v>
      </c>
      <c r="DN154" s="188" t="n">
        <v>0.000285</v>
      </c>
      <c r="DO154" s="188" t="n">
        <v>0.0002</v>
      </c>
      <c r="DP154" s="188" t="n">
        <v>0</v>
      </c>
      <c r="DQ154" s="188" t="n">
        <v>0.0001</v>
      </c>
      <c r="DR154" s="188" t="n">
        <v>0</v>
      </c>
      <c r="DS154" s="188" t="n">
        <v>0.0036</v>
      </c>
      <c r="DT154" s="188" t="n">
        <v>0.00047</v>
      </c>
      <c r="DU154" s="188" t="n">
        <v>0.0007</v>
      </c>
      <c r="DV154" s="188" t="n">
        <v>0</v>
      </c>
      <c r="DW154" s="188" t="n">
        <v>0</v>
      </c>
      <c r="DX154" s="188" t="n">
        <v>0.0005</v>
      </c>
      <c r="DY154" s="188" t="n">
        <v>0.0005</v>
      </c>
      <c r="DZ154" s="188" t="n">
        <v>0.0003</v>
      </c>
      <c r="EA154" s="188" t="n">
        <v>0.000275</v>
      </c>
      <c r="EB154" s="188" t="n">
        <v>0.0004</v>
      </c>
      <c r="ED154" s="188" t="n">
        <v>6.5E-005</v>
      </c>
      <c r="EF154" s="0" t="n">
        <v>1</v>
      </c>
    </row>
    <row r="155" customFormat="false" ht="12.75" hidden="false" customHeight="false" outlineLevel="0" collapsed="false">
      <c r="A155" s="149" t="n">
        <v>41091</v>
      </c>
      <c r="B155" s="0" t="n">
        <v>0.98</v>
      </c>
      <c r="C155" s="0" t="n">
        <v>0</v>
      </c>
      <c r="E155" s="0" t="n">
        <v>0</v>
      </c>
      <c r="F155" s="0" t="n">
        <v>0.977</v>
      </c>
      <c r="G155" s="0" t="n">
        <v>0.977358</v>
      </c>
      <c r="H155" s="0" t="n">
        <v>0.9875</v>
      </c>
      <c r="I155" s="0" t="n">
        <v>0.9875</v>
      </c>
      <c r="J155" s="0" t="n">
        <v>0.9805</v>
      </c>
      <c r="K155" s="0" t="n">
        <v>0.985</v>
      </c>
      <c r="L155" s="176" t="n">
        <v>0.9875</v>
      </c>
      <c r="M155" s="176" t="n">
        <v>0.9875</v>
      </c>
      <c r="N155" s="0" t="n">
        <v>0.98</v>
      </c>
      <c r="O155" s="0" t="n">
        <v>0.9875</v>
      </c>
      <c r="P155" s="0" t="n">
        <v>0.98</v>
      </c>
      <c r="Q155" s="177" t="n">
        <v>0.9875</v>
      </c>
      <c r="R155" s="0" t="n">
        <v>0.9875</v>
      </c>
      <c r="S155" s="176" t="n">
        <v>0.9875</v>
      </c>
      <c r="T155" s="0" t="n">
        <v>0.98</v>
      </c>
      <c r="U155" s="0" t="n">
        <v>0.98</v>
      </c>
      <c r="V155" s="0" t="n">
        <v>0.98</v>
      </c>
      <c r="W155" s="0" t="n">
        <v>0.98</v>
      </c>
      <c r="X155" s="0" t="n">
        <v>0.9875</v>
      </c>
      <c r="Y155" s="0" t="n">
        <v>0.9875</v>
      </c>
      <c r="Z155" s="0" t="n">
        <v>0.9875</v>
      </c>
      <c r="AA155" s="0" t="n">
        <v>0.9875</v>
      </c>
      <c r="AB155" s="0" t="n">
        <v>0.98</v>
      </c>
      <c r="AC155" s="0" t="n">
        <v>0.98</v>
      </c>
      <c r="AD155" s="0" t="n">
        <v>0.9875</v>
      </c>
      <c r="AE155" s="0" t="n">
        <v>0.9875</v>
      </c>
      <c r="AF155" s="0" t="n">
        <v>0.98</v>
      </c>
      <c r="AG155" s="0" t="n">
        <v>0.99</v>
      </c>
      <c r="AH155" s="0" t="n">
        <v>0.97977875</v>
      </c>
      <c r="AI155" s="0" t="n">
        <v>0.97977875</v>
      </c>
      <c r="AJ155" s="0" t="n">
        <v>0.98</v>
      </c>
      <c r="AK155" s="0" t="n">
        <v>1</v>
      </c>
      <c r="AL155" s="0" t="n">
        <v>0.985</v>
      </c>
      <c r="AM155" s="0" t="n">
        <v>0</v>
      </c>
      <c r="BB155" s="187" t="n">
        <v>1</v>
      </c>
      <c r="BC155" s="0" t="n">
        <v>1</v>
      </c>
      <c r="BD155" s="0" t="n">
        <v>1</v>
      </c>
      <c r="BE155" s="0" t="n">
        <v>1</v>
      </c>
      <c r="BF155" s="0" t="n">
        <v>0.9999</v>
      </c>
      <c r="BG155" s="0" t="n">
        <v>1</v>
      </c>
      <c r="BH155" s="0" t="n">
        <v>1</v>
      </c>
      <c r="BI155" s="0" t="n">
        <v>0.99</v>
      </c>
      <c r="BJ155" s="0" t="n">
        <v>0.999</v>
      </c>
      <c r="BK155" s="0" t="n">
        <v>0.998</v>
      </c>
      <c r="BL155" s="0" t="n">
        <v>0.9985</v>
      </c>
      <c r="BM155" s="0" t="n">
        <v>0.9985</v>
      </c>
      <c r="BN155" s="0" t="n">
        <v>0.972</v>
      </c>
      <c r="BO155" s="0" t="n">
        <v>0.9999</v>
      </c>
      <c r="BP155" s="0" t="n">
        <v>0.9999</v>
      </c>
      <c r="BQ155" s="0" t="n">
        <v>1</v>
      </c>
      <c r="BR155" s="0" t="n">
        <v>1.1066126</v>
      </c>
      <c r="BS155" s="0" t="n">
        <v>1.119</v>
      </c>
      <c r="BT155" s="0" t="n">
        <v>1.0827</v>
      </c>
      <c r="BU155" s="0" t="n">
        <v>1.0198</v>
      </c>
      <c r="BV155" s="0" t="n">
        <v>1</v>
      </c>
      <c r="BW155" s="0" t="n">
        <v>2.3838</v>
      </c>
      <c r="BX155" s="0" t="n">
        <v>2.302126333</v>
      </c>
      <c r="BY155" s="0" t="n">
        <v>1.12355</v>
      </c>
      <c r="BZ155" s="0" t="n">
        <v>1.2885</v>
      </c>
      <c r="CA155" s="0" t="n">
        <v>2.001</v>
      </c>
      <c r="CB155" s="0" t="n">
        <v>1.539505</v>
      </c>
      <c r="CC155" s="0" t="n">
        <v>1.539505</v>
      </c>
      <c r="CD155" s="0" t="n">
        <v>1.277205</v>
      </c>
      <c r="CE155" s="0" t="n">
        <v>1.08883</v>
      </c>
      <c r="CF155" s="0" t="n">
        <v>1.445805</v>
      </c>
      <c r="CG155" s="188"/>
      <c r="CH155" s="0" t="n">
        <v>1.100875</v>
      </c>
      <c r="CI155" s="188"/>
      <c r="CJ155" s="188"/>
      <c r="CK155" s="188"/>
      <c r="CL155" s="188"/>
      <c r="CM155" s="188"/>
      <c r="CN155" s="188"/>
      <c r="CO155" s="188"/>
      <c r="CP155" s="0" t="n">
        <v>0.975</v>
      </c>
      <c r="CT155" s="0" t="n">
        <v>0.99895</v>
      </c>
      <c r="CU155" s="0" t="n">
        <v>0.41</v>
      </c>
      <c r="CV155" s="0" t="n">
        <v>0.47</v>
      </c>
      <c r="CW155" s="0" t="n">
        <v>0.935</v>
      </c>
      <c r="CX155" s="0" t="n">
        <v>0.705</v>
      </c>
      <c r="CY155" s="0" t="n">
        <v>0.725</v>
      </c>
      <c r="CZ155" s="0" t="n">
        <v>0.8775</v>
      </c>
      <c r="DA155" s="0" t="n">
        <v>0.91</v>
      </c>
      <c r="DB155" s="0" t="n">
        <v>0.89</v>
      </c>
      <c r="DC155" s="0" t="n">
        <v>0.9075</v>
      </c>
      <c r="DD155" s="0" t="n">
        <v>0.915</v>
      </c>
      <c r="DE155" s="0" t="n">
        <v>0.89</v>
      </c>
      <c r="DN155" s="188" t="n">
        <v>0.000285</v>
      </c>
      <c r="DO155" s="188" t="n">
        <v>0.0002</v>
      </c>
      <c r="DP155" s="188" t="n">
        <v>0</v>
      </c>
      <c r="DQ155" s="188" t="n">
        <v>0.0001</v>
      </c>
      <c r="DR155" s="188" t="n">
        <v>0</v>
      </c>
      <c r="DS155" s="188" t="n">
        <v>0.0036</v>
      </c>
      <c r="DT155" s="188" t="n">
        <v>0.00047</v>
      </c>
      <c r="DU155" s="188" t="n">
        <v>0.0007</v>
      </c>
      <c r="DV155" s="188" t="n">
        <v>0</v>
      </c>
      <c r="DW155" s="188" t="n">
        <v>0</v>
      </c>
      <c r="DX155" s="188" t="n">
        <v>0.0005</v>
      </c>
      <c r="DY155" s="188" t="n">
        <v>0.0005</v>
      </c>
      <c r="DZ155" s="188" t="n">
        <v>0.0003</v>
      </c>
      <c r="EA155" s="188" t="n">
        <v>0.000275</v>
      </c>
      <c r="EB155" s="188" t="n">
        <v>0.0004</v>
      </c>
      <c r="ED155" s="188" t="n">
        <v>6.5E-005</v>
      </c>
      <c r="EF155" s="0" t="n">
        <v>1</v>
      </c>
    </row>
    <row r="156" customFormat="false" ht="12.75" hidden="false" customHeight="false" outlineLevel="0" collapsed="false">
      <c r="A156" s="149" t="n">
        <v>41122</v>
      </c>
      <c r="B156" s="0" t="n">
        <v>0.98</v>
      </c>
      <c r="C156" s="0" t="n">
        <v>0</v>
      </c>
      <c r="E156" s="0" t="n">
        <v>0</v>
      </c>
      <c r="F156" s="0" t="n">
        <v>0.977</v>
      </c>
      <c r="G156" s="0" t="n">
        <v>0.9875</v>
      </c>
      <c r="H156" s="0" t="n">
        <v>0.9875</v>
      </c>
      <c r="I156" s="0" t="n">
        <v>0.9875</v>
      </c>
      <c r="J156" s="0" t="n">
        <v>0.9805</v>
      </c>
      <c r="K156" s="0" t="n">
        <v>0.985</v>
      </c>
      <c r="L156" s="176" t="n">
        <v>0.9875</v>
      </c>
      <c r="M156" s="176" t="n">
        <v>0.9875</v>
      </c>
      <c r="N156" s="0" t="n">
        <v>0.98</v>
      </c>
      <c r="O156" s="0" t="n">
        <v>0.9875</v>
      </c>
      <c r="P156" s="0" t="n">
        <v>0.98</v>
      </c>
      <c r="Q156" s="177" t="n">
        <v>0.9875</v>
      </c>
      <c r="R156" s="0" t="n">
        <v>0.9875</v>
      </c>
      <c r="S156" s="176" t="n">
        <v>0.9875</v>
      </c>
      <c r="T156" s="0" t="n">
        <v>0.98</v>
      </c>
      <c r="U156" s="0" t="n">
        <v>0.98</v>
      </c>
      <c r="V156" s="0" t="n">
        <v>0.98</v>
      </c>
      <c r="W156" s="0" t="n">
        <v>0.98</v>
      </c>
      <c r="X156" s="0" t="n">
        <v>0.9875</v>
      </c>
      <c r="Y156" s="0" t="n">
        <v>0.9875</v>
      </c>
      <c r="Z156" s="0" t="n">
        <v>0.9875</v>
      </c>
      <c r="AA156" s="0" t="n">
        <v>0.9875</v>
      </c>
      <c r="AB156" s="0" t="n">
        <v>0.98</v>
      </c>
      <c r="AC156" s="0" t="n">
        <v>0.98</v>
      </c>
      <c r="AD156" s="0" t="n">
        <v>0.9875</v>
      </c>
      <c r="AE156" s="0" t="n">
        <v>0.9875</v>
      </c>
      <c r="AF156" s="0" t="n">
        <v>0.98</v>
      </c>
      <c r="AG156" s="0" t="n">
        <v>0.99</v>
      </c>
      <c r="AH156" s="0" t="n">
        <v>0.9798366</v>
      </c>
      <c r="AI156" s="0" t="n">
        <v>0.9798366</v>
      </c>
      <c r="AJ156" s="0" t="n">
        <v>0.98</v>
      </c>
      <c r="AK156" s="0" t="n">
        <v>1</v>
      </c>
      <c r="AL156" s="0" t="n">
        <v>0.985</v>
      </c>
      <c r="AM156" s="0" t="n">
        <v>0</v>
      </c>
      <c r="BB156" s="187" t="n">
        <v>1</v>
      </c>
      <c r="BC156" s="0" t="n">
        <v>1</v>
      </c>
      <c r="BD156" s="0" t="n">
        <v>1</v>
      </c>
      <c r="BE156" s="0" t="n">
        <v>1</v>
      </c>
      <c r="BF156" s="0" t="n">
        <v>0.9999</v>
      </c>
      <c r="BG156" s="0" t="n">
        <v>1</v>
      </c>
      <c r="BH156" s="0" t="n">
        <v>1</v>
      </c>
      <c r="BI156" s="0" t="n">
        <v>0.99</v>
      </c>
      <c r="BJ156" s="0" t="n">
        <v>0.999</v>
      </c>
      <c r="BK156" s="0" t="n">
        <v>0.998</v>
      </c>
      <c r="BL156" s="0" t="n">
        <v>0.9985</v>
      </c>
      <c r="BM156" s="0" t="n">
        <v>0.9985</v>
      </c>
      <c r="BN156" s="0" t="n">
        <v>0.972</v>
      </c>
      <c r="BO156" s="0" t="n">
        <v>0.9999</v>
      </c>
      <c r="BP156" s="0" t="n">
        <v>0.9999</v>
      </c>
      <c r="BQ156" s="0" t="n">
        <v>1</v>
      </c>
      <c r="BR156" s="0" t="n">
        <v>1.1068976</v>
      </c>
      <c r="BS156" s="0" t="n">
        <v>1.1192</v>
      </c>
      <c r="BT156" s="0" t="n">
        <v>1.0827</v>
      </c>
      <c r="BU156" s="0" t="n">
        <v>1.0199</v>
      </c>
      <c r="BV156" s="0" t="n">
        <v>1</v>
      </c>
      <c r="BW156" s="0" t="n">
        <v>2.3874</v>
      </c>
      <c r="BX156" s="0" t="n">
        <v>2.302596333</v>
      </c>
      <c r="BY156" s="0" t="n">
        <v>1.12425</v>
      </c>
      <c r="BZ156" s="0" t="n">
        <v>1.2885</v>
      </c>
      <c r="CA156" s="0" t="n">
        <v>2.001</v>
      </c>
      <c r="CB156" s="0" t="n">
        <v>1.540005</v>
      </c>
      <c r="CC156" s="0" t="n">
        <v>1.540005</v>
      </c>
      <c r="CD156" s="0" t="n">
        <v>1.277505</v>
      </c>
      <c r="CE156" s="0" t="n">
        <v>1.089105</v>
      </c>
      <c r="CF156" s="0" t="n">
        <v>1.446205</v>
      </c>
      <c r="CG156" s="188"/>
      <c r="CH156" s="0" t="n">
        <v>1.10094</v>
      </c>
      <c r="CI156" s="188"/>
      <c r="CJ156" s="188"/>
      <c r="CK156" s="188"/>
      <c r="CL156" s="188"/>
      <c r="CM156" s="188"/>
      <c r="CN156" s="188"/>
      <c r="CO156" s="188"/>
      <c r="CP156" s="0" t="n">
        <v>0.975</v>
      </c>
      <c r="CT156" s="0" t="n">
        <v>0.99895</v>
      </c>
      <c r="CU156" s="0" t="n">
        <v>0.43</v>
      </c>
      <c r="CV156" s="0" t="n">
        <v>0.52</v>
      </c>
      <c r="CW156" s="0" t="n">
        <v>0.925</v>
      </c>
      <c r="CX156" s="0" t="n">
        <v>0.795</v>
      </c>
      <c r="CY156" s="0" t="n">
        <v>0.725</v>
      </c>
      <c r="CZ156" s="0" t="n">
        <v>0.89</v>
      </c>
      <c r="DA156" s="0" t="n">
        <v>0.9225</v>
      </c>
      <c r="DB156" s="0" t="n">
        <v>0.915</v>
      </c>
      <c r="DC156" s="0" t="n">
        <v>0.9275</v>
      </c>
      <c r="DD156" s="0" t="n">
        <v>0.915</v>
      </c>
      <c r="DE156" s="0" t="n">
        <v>0.89</v>
      </c>
      <c r="DN156" s="188" t="n">
        <v>0.000285</v>
      </c>
      <c r="DO156" s="188" t="n">
        <v>0.0002</v>
      </c>
      <c r="DP156" s="188" t="n">
        <v>0</v>
      </c>
      <c r="DQ156" s="188" t="n">
        <v>0.0001</v>
      </c>
      <c r="DR156" s="188" t="n">
        <v>0</v>
      </c>
      <c r="DS156" s="188" t="n">
        <v>0.0036</v>
      </c>
      <c r="DT156" s="188" t="n">
        <v>0.00047</v>
      </c>
      <c r="DU156" s="188" t="n">
        <v>0.0007</v>
      </c>
      <c r="DV156" s="188" t="n">
        <v>0</v>
      </c>
      <c r="DW156" s="188" t="n">
        <v>0</v>
      </c>
      <c r="DX156" s="188" t="n">
        <v>0.0005</v>
      </c>
      <c r="DY156" s="188" t="n">
        <v>0.0005</v>
      </c>
      <c r="DZ156" s="188" t="n">
        <v>0.0003</v>
      </c>
      <c r="EA156" s="188" t="n">
        <v>0.000275</v>
      </c>
      <c r="EB156" s="188" t="n">
        <v>0.0004</v>
      </c>
      <c r="ED156" s="188" t="n">
        <v>6.5E-005</v>
      </c>
      <c r="EF156" s="0" t="n">
        <v>1</v>
      </c>
    </row>
    <row r="157" customFormat="false" ht="12.75" hidden="false" customHeight="false" outlineLevel="0" collapsed="false">
      <c r="A157" s="149" t="n">
        <v>41153</v>
      </c>
      <c r="B157" s="0" t="n">
        <v>0.98</v>
      </c>
      <c r="C157" s="0" t="n">
        <v>0</v>
      </c>
      <c r="E157" s="0" t="n">
        <v>0</v>
      </c>
      <c r="F157" s="0" t="n">
        <v>0.977</v>
      </c>
      <c r="G157" s="0" t="n">
        <v>0.9875</v>
      </c>
      <c r="H157" s="0" t="n">
        <v>0.9875</v>
      </c>
      <c r="I157" s="0" t="n">
        <v>0.9875</v>
      </c>
      <c r="J157" s="0" t="n">
        <v>0.9805</v>
      </c>
      <c r="K157" s="0" t="n">
        <v>0.985</v>
      </c>
      <c r="L157" s="176" t="n">
        <v>0.9875</v>
      </c>
      <c r="M157" s="176" t="n">
        <v>0.9875</v>
      </c>
      <c r="N157" s="0" t="n">
        <v>0.98</v>
      </c>
      <c r="O157" s="0" t="n">
        <v>0.9875</v>
      </c>
      <c r="P157" s="0" t="n">
        <v>0.98</v>
      </c>
      <c r="Q157" s="177" t="n">
        <v>0.9875</v>
      </c>
      <c r="R157" s="0" t="n">
        <v>0.9875</v>
      </c>
      <c r="S157" s="176" t="n">
        <v>0.9875</v>
      </c>
      <c r="T157" s="0" t="n">
        <v>0.98</v>
      </c>
      <c r="U157" s="0" t="n">
        <v>0.98</v>
      </c>
      <c r="V157" s="0" t="n">
        <v>0.98</v>
      </c>
      <c r="W157" s="0" t="n">
        <v>0.98</v>
      </c>
      <c r="X157" s="0" t="n">
        <v>0.9875</v>
      </c>
      <c r="Y157" s="0" t="n">
        <v>0.9875</v>
      </c>
      <c r="Z157" s="0" t="n">
        <v>0.9875</v>
      </c>
      <c r="AA157" s="0" t="n">
        <v>0.9875</v>
      </c>
      <c r="AB157" s="0" t="n">
        <v>0.98</v>
      </c>
      <c r="AC157" s="0" t="n">
        <v>0.98</v>
      </c>
      <c r="AD157" s="0" t="n">
        <v>0.9875</v>
      </c>
      <c r="AE157" s="0" t="n">
        <v>0.9875</v>
      </c>
      <c r="AF157" s="0" t="n">
        <v>0.98</v>
      </c>
      <c r="AG157" s="0" t="n">
        <v>0.99</v>
      </c>
      <c r="AH157" s="0" t="n">
        <v>0.97989445</v>
      </c>
      <c r="AI157" s="0" t="n">
        <v>0.97989445</v>
      </c>
      <c r="AJ157" s="0" t="n">
        <v>0.98</v>
      </c>
      <c r="AK157" s="0" t="n">
        <v>1</v>
      </c>
      <c r="AL157" s="0" t="n">
        <v>0.985</v>
      </c>
      <c r="AM157" s="0" t="n">
        <v>0</v>
      </c>
      <c r="BB157" s="187" t="n">
        <v>1</v>
      </c>
      <c r="BC157" s="0" t="n">
        <v>1</v>
      </c>
      <c r="BD157" s="0" t="n">
        <v>1</v>
      </c>
      <c r="BE157" s="0" t="n">
        <v>1</v>
      </c>
      <c r="BF157" s="0" t="n">
        <v>0.9999</v>
      </c>
      <c r="BG157" s="0" t="n">
        <v>1</v>
      </c>
      <c r="BH157" s="0" t="n">
        <v>1</v>
      </c>
      <c r="BI157" s="0" t="n">
        <v>0.99</v>
      </c>
      <c r="BJ157" s="0" t="n">
        <v>0.999</v>
      </c>
      <c r="BK157" s="0" t="n">
        <v>0.998</v>
      </c>
      <c r="BL157" s="0" t="n">
        <v>0.9985</v>
      </c>
      <c r="BM157" s="0" t="n">
        <v>0.9985</v>
      </c>
      <c r="BN157" s="0" t="n">
        <v>0.972</v>
      </c>
      <c r="BO157" s="0" t="n">
        <v>0.9999</v>
      </c>
      <c r="BP157" s="0" t="n">
        <v>0.9999</v>
      </c>
      <c r="BQ157" s="0" t="n">
        <v>1</v>
      </c>
      <c r="BR157" s="0" t="n">
        <v>1.1071826</v>
      </c>
      <c r="BS157" s="0" t="n">
        <v>1.1194</v>
      </c>
      <c r="BT157" s="0" t="n">
        <v>1.0827</v>
      </c>
      <c r="BU157" s="0" t="n">
        <v>1.02</v>
      </c>
      <c r="BV157" s="0" t="n">
        <v>1</v>
      </c>
      <c r="BW157" s="0" t="n">
        <v>2.391</v>
      </c>
      <c r="BX157" s="0" t="n">
        <v>2.303066333</v>
      </c>
      <c r="BY157" s="0" t="n">
        <v>1.12495</v>
      </c>
      <c r="BZ157" s="0" t="n">
        <v>1.2885</v>
      </c>
      <c r="CA157" s="0" t="n">
        <v>2.001</v>
      </c>
      <c r="CB157" s="0" t="n">
        <v>1.540505</v>
      </c>
      <c r="CC157" s="0" t="n">
        <v>1.540505</v>
      </c>
      <c r="CD157" s="0" t="n">
        <v>1.277805</v>
      </c>
      <c r="CE157" s="0" t="n">
        <v>1.08938</v>
      </c>
      <c r="CF157" s="0" t="n">
        <v>1.446605</v>
      </c>
      <c r="CG157" s="188"/>
      <c r="CH157" s="0" t="n">
        <v>1.101005</v>
      </c>
      <c r="CI157" s="188"/>
      <c r="CJ157" s="188"/>
      <c r="CK157" s="188"/>
      <c r="CL157" s="188"/>
      <c r="CM157" s="188"/>
      <c r="CN157" s="188"/>
      <c r="CO157" s="188"/>
      <c r="CP157" s="0" t="n">
        <v>0.975</v>
      </c>
      <c r="CT157" s="0" t="n">
        <v>0.99895</v>
      </c>
      <c r="CU157" s="0" t="n">
        <v>0.46</v>
      </c>
      <c r="CV157" s="0" t="n">
        <v>0.55</v>
      </c>
      <c r="CW157" s="0" t="n">
        <v>0.925</v>
      </c>
      <c r="CX157" s="0" t="n">
        <v>0.655</v>
      </c>
      <c r="CY157" s="0" t="n">
        <v>0.575</v>
      </c>
      <c r="CZ157" s="0" t="n">
        <v>0.945</v>
      </c>
      <c r="DA157" s="0" t="n">
        <v>0.9775</v>
      </c>
      <c r="DB157" s="0" t="n">
        <v>0.945</v>
      </c>
      <c r="DC157" s="0" t="n">
        <v>0.92</v>
      </c>
      <c r="DD157" s="0" t="n">
        <v>0.915</v>
      </c>
      <c r="DE157" s="0" t="n">
        <v>0.89</v>
      </c>
      <c r="DN157" s="188" t="n">
        <v>0.000285</v>
      </c>
      <c r="DO157" s="188" t="n">
        <v>0.0002</v>
      </c>
      <c r="DP157" s="188" t="n">
        <v>0</v>
      </c>
      <c r="DQ157" s="188" t="n">
        <v>0.0001</v>
      </c>
      <c r="DR157" s="188" t="n">
        <v>0</v>
      </c>
      <c r="DS157" s="188" t="n">
        <v>0.0036</v>
      </c>
      <c r="DT157" s="188" t="n">
        <v>0.00047</v>
      </c>
      <c r="DU157" s="188" t="n">
        <v>0.0007</v>
      </c>
      <c r="DV157" s="188" t="n">
        <v>0</v>
      </c>
      <c r="DW157" s="188" t="n">
        <v>0</v>
      </c>
      <c r="DX157" s="188" t="n">
        <v>0.0005</v>
      </c>
      <c r="DY157" s="188" t="n">
        <v>0.0005</v>
      </c>
      <c r="DZ157" s="188" t="n">
        <v>0.0003</v>
      </c>
      <c r="EA157" s="188" t="n">
        <v>0.000275</v>
      </c>
      <c r="EB157" s="188" t="n">
        <v>0.0004</v>
      </c>
      <c r="ED157" s="188" t="n">
        <v>6.5E-005</v>
      </c>
      <c r="EF157" s="0" t="n">
        <v>1</v>
      </c>
    </row>
    <row r="158" customFormat="false" ht="12.75" hidden="false" customHeight="false" outlineLevel="0" collapsed="false">
      <c r="A158" s="149" t="n">
        <v>41183</v>
      </c>
      <c r="B158" s="0" t="n">
        <v>0.98</v>
      </c>
      <c r="C158" s="0" t="n">
        <v>0</v>
      </c>
      <c r="E158" s="0" t="n">
        <v>0</v>
      </c>
      <c r="F158" s="0" t="n">
        <v>0.977</v>
      </c>
      <c r="G158" s="0" t="n">
        <v>0.9875</v>
      </c>
      <c r="H158" s="0" t="n">
        <v>0.9875</v>
      </c>
      <c r="I158" s="0" t="n">
        <v>0.9875</v>
      </c>
      <c r="J158" s="0" t="n">
        <v>0.9805</v>
      </c>
      <c r="K158" s="0" t="n">
        <v>0.985</v>
      </c>
      <c r="L158" s="176" t="n">
        <v>0.9875</v>
      </c>
      <c r="M158" s="176" t="n">
        <v>0.9875</v>
      </c>
      <c r="N158" s="0" t="n">
        <v>0.98</v>
      </c>
      <c r="O158" s="0" t="n">
        <v>0.983413638</v>
      </c>
      <c r="P158" s="0" t="n">
        <v>0.98</v>
      </c>
      <c r="Q158" s="177" t="n">
        <v>0.9875</v>
      </c>
      <c r="R158" s="0" t="n">
        <v>0.9875</v>
      </c>
      <c r="S158" s="176" t="n">
        <v>0.9875</v>
      </c>
      <c r="T158" s="0" t="n">
        <v>0.98</v>
      </c>
      <c r="U158" s="0" t="n">
        <v>0.98</v>
      </c>
      <c r="V158" s="0" t="n">
        <v>0.98</v>
      </c>
      <c r="W158" s="0" t="n">
        <v>0.98</v>
      </c>
      <c r="X158" s="0" t="n">
        <v>0.983413638</v>
      </c>
      <c r="Y158" s="0" t="n">
        <v>0.983413638</v>
      </c>
      <c r="Z158" s="0" t="n">
        <v>0.983413638</v>
      </c>
      <c r="AA158" s="0" t="n">
        <v>0.983413638</v>
      </c>
      <c r="AB158" s="0" t="n">
        <v>0.98</v>
      </c>
      <c r="AC158" s="0" t="n">
        <v>0.98</v>
      </c>
      <c r="AD158" s="0" t="n">
        <v>0.983413638</v>
      </c>
      <c r="AE158" s="0" t="n">
        <v>0.983413638</v>
      </c>
      <c r="AF158" s="0" t="n">
        <v>0.98</v>
      </c>
      <c r="AG158" s="0" t="n">
        <v>0.99</v>
      </c>
      <c r="AH158" s="0" t="n">
        <v>0.9799523</v>
      </c>
      <c r="AI158" s="0" t="n">
        <v>0.9799523</v>
      </c>
      <c r="AJ158" s="0" t="n">
        <v>0.98</v>
      </c>
      <c r="AK158" s="0" t="n">
        <v>1</v>
      </c>
      <c r="AL158" s="0" t="n">
        <v>0.985</v>
      </c>
      <c r="AM158" s="0" t="n">
        <v>0</v>
      </c>
      <c r="BB158" s="187" t="n">
        <v>1</v>
      </c>
      <c r="BC158" s="0" t="n">
        <v>1</v>
      </c>
      <c r="BD158" s="0" t="n">
        <v>1</v>
      </c>
      <c r="BE158" s="0" t="n">
        <v>1</v>
      </c>
      <c r="BF158" s="0" t="n">
        <v>0.9999</v>
      </c>
      <c r="BG158" s="0" t="n">
        <v>1</v>
      </c>
      <c r="BH158" s="0" t="n">
        <v>1</v>
      </c>
      <c r="BI158" s="0" t="n">
        <v>0.99</v>
      </c>
      <c r="BJ158" s="0" t="n">
        <v>0.999</v>
      </c>
      <c r="BK158" s="0" t="n">
        <v>0.998</v>
      </c>
      <c r="BL158" s="0" t="n">
        <v>0.9985</v>
      </c>
      <c r="BM158" s="0" t="n">
        <v>0.9985</v>
      </c>
      <c r="BN158" s="0" t="n">
        <v>0.972</v>
      </c>
      <c r="BO158" s="0" t="n">
        <v>0.9999</v>
      </c>
      <c r="BP158" s="0" t="n">
        <v>0.9999</v>
      </c>
      <c r="BQ158" s="0" t="n">
        <v>1</v>
      </c>
      <c r="BR158" s="0" t="n">
        <v>1.1074676</v>
      </c>
      <c r="BS158" s="0" t="n">
        <v>1.1196</v>
      </c>
      <c r="BT158" s="0" t="n">
        <v>1.0827</v>
      </c>
      <c r="BU158" s="0" t="n">
        <v>1.0201</v>
      </c>
      <c r="BV158" s="0" t="n">
        <v>1</v>
      </c>
      <c r="BW158" s="0" t="n">
        <v>2.3946</v>
      </c>
      <c r="BX158" s="0" t="n">
        <v>2.303536333</v>
      </c>
      <c r="BY158" s="0" t="n">
        <v>1.12565</v>
      </c>
      <c r="BZ158" s="0" t="n">
        <v>1.2885</v>
      </c>
      <c r="CA158" s="0" t="n">
        <v>2.001</v>
      </c>
      <c r="CB158" s="0" t="n">
        <v>1.541005</v>
      </c>
      <c r="CC158" s="0" t="n">
        <v>1.541005</v>
      </c>
      <c r="CD158" s="0" t="n">
        <v>1.278105</v>
      </c>
      <c r="CE158" s="0" t="n">
        <v>1.089655</v>
      </c>
      <c r="CF158" s="0" t="n">
        <v>1.447005</v>
      </c>
      <c r="CG158" s="188"/>
      <c r="CH158" s="0" t="n">
        <v>1.10107</v>
      </c>
      <c r="CI158" s="188"/>
      <c r="CJ158" s="188"/>
      <c r="CK158" s="188"/>
      <c r="CL158" s="188"/>
      <c r="CM158" s="188"/>
      <c r="CN158" s="188"/>
      <c r="CO158" s="188"/>
      <c r="CP158" s="0" t="n">
        <v>0.955</v>
      </c>
      <c r="CT158" s="0" t="n">
        <v>0.99895</v>
      </c>
      <c r="CU158" s="0" t="n">
        <v>0.46</v>
      </c>
      <c r="CV158" s="0" t="n">
        <v>0.45</v>
      </c>
      <c r="CW158" s="0" t="n">
        <v>0.925</v>
      </c>
      <c r="CX158" s="0" t="n">
        <v>0.645</v>
      </c>
      <c r="CY158" s="0" t="n">
        <v>0.505</v>
      </c>
      <c r="CZ158" s="0" t="n">
        <v>0.805</v>
      </c>
      <c r="DA158" s="0" t="n">
        <v>0.8375</v>
      </c>
      <c r="DB158" s="0" t="n">
        <v>0.875</v>
      </c>
      <c r="DC158" s="0" t="n">
        <v>0.9025</v>
      </c>
      <c r="DD158" s="0" t="n">
        <v>0.82</v>
      </c>
      <c r="DE158" s="0" t="n">
        <v>0.89</v>
      </c>
      <c r="DN158" s="188" t="n">
        <v>0.000285</v>
      </c>
      <c r="DO158" s="188" t="n">
        <v>0.0002</v>
      </c>
      <c r="DP158" s="188" t="n">
        <v>0</v>
      </c>
      <c r="DQ158" s="188" t="n">
        <v>0.0001</v>
      </c>
      <c r="DR158" s="188" t="n">
        <v>0</v>
      </c>
      <c r="DS158" s="188" t="n">
        <v>0.0036</v>
      </c>
      <c r="DT158" s="188" t="n">
        <v>0.00047</v>
      </c>
      <c r="DU158" s="188" t="n">
        <v>0.0007</v>
      </c>
      <c r="DV158" s="188" t="n">
        <v>0</v>
      </c>
      <c r="DW158" s="188" t="n">
        <v>0</v>
      </c>
      <c r="DX158" s="188" t="n">
        <v>0.0005</v>
      </c>
      <c r="DY158" s="188" t="n">
        <v>0.0005</v>
      </c>
      <c r="DZ158" s="188" t="n">
        <v>0.0003</v>
      </c>
      <c r="EA158" s="188" t="n">
        <v>0.000275</v>
      </c>
      <c r="EB158" s="188" t="n">
        <v>0.0004</v>
      </c>
      <c r="ED158" s="188" t="n">
        <v>6.5E-005</v>
      </c>
      <c r="EF158" s="0" t="n">
        <v>1</v>
      </c>
    </row>
    <row r="159" customFormat="false" ht="12.75" hidden="false" customHeight="false" outlineLevel="0" collapsed="false">
      <c r="A159" s="149" t="n">
        <v>41214</v>
      </c>
      <c r="B159" s="0" t="n">
        <v>0.98</v>
      </c>
      <c r="C159" s="0" t="n">
        <v>0</v>
      </c>
      <c r="E159" s="0" t="n">
        <v>0</v>
      </c>
      <c r="F159" s="0" t="n">
        <v>0.977</v>
      </c>
      <c r="G159" s="0" t="n">
        <v>0.9875</v>
      </c>
      <c r="H159" s="0" t="n">
        <v>0.9875</v>
      </c>
      <c r="I159" s="0" t="n">
        <v>0.9875</v>
      </c>
      <c r="J159" s="0" t="n">
        <v>0.9805</v>
      </c>
      <c r="K159" s="0" t="n">
        <v>0.970485</v>
      </c>
      <c r="L159" s="176" t="n">
        <v>0.9875</v>
      </c>
      <c r="M159" s="176" t="n">
        <v>0.9875</v>
      </c>
      <c r="N159" s="0" t="n">
        <v>0.98</v>
      </c>
      <c r="O159" s="0" t="n">
        <v>0.983661825</v>
      </c>
      <c r="P159" s="0" t="n">
        <v>0.98</v>
      </c>
      <c r="Q159" s="177" t="n">
        <v>0.9875</v>
      </c>
      <c r="R159" s="0" t="n">
        <v>0.9875</v>
      </c>
      <c r="S159" s="176" t="n">
        <v>0.9875</v>
      </c>
      <c r="T159" s="0" t="n">
        <v>0.98</v>
      </c>
      <c r="U159" s="0" t="n">
        <v>0.98</v>
      </c>
      <c r="V159" s="0" t="n">
        <v>0.98</v>
      </c>
      <c r="W159" s="0" t="n">
        <v>0.98</v>
      </c>
      <c r="X159" s="0" t="n">
        <v>0.983661825</v>
      </c>
      <c r="Y159" s="0" t="n">
        <v>0.983661825</v>
      </c>
      <c r="Z159" s="0" t="n">
        <v>0.983661825</v>
      </c>
      <c r="AA159" s="0" t="n">
        <v>0.983661825</v>
      </c>
      <c r="AB159" s="0" t="n">
        <v>0.98</v>
      </c>
      <c r="AC159" s="0" t="n">
        <v>0.98</v>
      </c>
      <c r="AD159" s="0" t="n">
        <v>0.983661825</v>
      </c>
      <c r="AE159" s="0" t="n">
        <v>0.983661825</v>
      </c>
      <c r="AF159" s="0" t="n">
        <v>0.98</v>
      </c>
      <c r="AG159" s="0" t="n">
        <v>0.99</v>
      </c>
      <c r="AH159" s="0" t="n">
        <v>0.98001015</v>
      </c>
      <c r="AI159" s="0" t="n">
        <v>0.98001015</v>
      </c>
      <c r="AJ159" s="0" t="n">
        <v>0.98</v>
      </c>
      <c r="AK159" s="0" t="n">
        <v>1</v>
      </c>
      <c r="AL159" s="0" t="n">
        <v>0.970485</v>
      </c>
      <c r="AM159" s="0" t="n">
        <v>0</v>
      </c>
      <c r="BB159" s="187" t="n">
        <v>1</v>
      </c>
      <c r="BC159" s="0" t="n">
        <v>1</v>
      </c>
      <c r="BD159" s="0" t="n">
        <v>1</v>
      </c>
      <c r="BE159" s="0" t="n">
        <v>1</v>
      </c>
      <c r="BF159" s="0" t="n">
        <v>0.9999</v>
      </c>
      <c r="BG159" s="0" t="n">
        <v>1</v>
      </c>
      <c r="BH159" s="0" t="n">
        <v>1</v>
      </c>
      <c r="BI159" s="0" t="n">
        <v>0.99</v>
      </c>
      <c r="BJ159" s="0" t="n">
        <v>0.999</v>
      </c>
      <c r="BK159" s="0" t="n">
        <v>0.998</v>
      </c>
      <c r="BL159" s="0" t="n">
        <v>0.9985</v>
      </c>
      <c r="BM159" s="0" t="n">
        <v>0.9985</v>
      </c>
      <c r="BN159" s="0" t="n">
        <v>0.972</v>
      </c>
      <c r="BO159" s="0" t="n">
        <v>0.9999</v>
      </c>
      <c r="BP159" s="0" t="n">
        <v>0.9999</v>
      </c>
      <c r="BQ159" s="0" t="n">
        <v>1</v>
      </c>
      <c r="BR159" s="0" t="n">
        <v>1.1077526</v>
      </c>
      <c r="BS159" s="0" t="n">
        <v>1.1198</v>
      </c>
      <c r="BT159" s="0" t="n">
        <v>1.0827</v>
      </c>
      <c r="BU159" s="0" t="n">
        <v>1.0202</v>
      </c>
      <c r="BV159" s="0" t="n">
        <v>1</v>
      </c>
      <c r="BW159" s="0" t="n">
        <v>2.3982</v>
      </c>
      <c r="BX159" s="0" t="n">
        <v>2.304006333</v>
      </c>
      <c r="BY159" s="0" t="n">
        <v>1.12635</v>
      </c>
      <c r="BZ159" s="0" t="n">
        <v>1.2885</v>
      </c>
      <c r="CA159" s="0" t="n">
        <v>2.001</v>
      </c>
      <c r="CB159" s="0" t="n">
        <v>1.541505</v>
      </c>
      <c r="CC159" s="0" t="n">
        <v>1.541505</v>
      </c>
      <c r="CD159" s="0" t="n">
        <v>1.278405</v>
      </c>
      <c r="CE159" s="0" t="n">
        <v>1.08993</v>
      </c>
      <c r="CF159" s="0" t="n">
        <v>1.447405</v>
      </c>
      <c r="CG159" s="188"/>
      <c r="CH159" s="0" t="n">
        <v>1.101135</v>
      </c>
      <c r="CI159" s="188"/>
      <c r="CJ159" s="188"/>
      <c r="CK159" s="188"/>
      <c r="CL159" s="188"/>
      <c r="CM159" s="188"/>
      <c r="CN159" s="188"/>
      <c r="CO159" s="188"/>
      <c r="CP159" s="0" t="n">
        <v>0.955</v>
      </c>
      <c r="CT159" s="0" t="n">
        <v>0.999</v>
      </c>
      <c r="CU159" s="0" t="n">
        <v>0.48</v>
      </c>
      <c r="CV159" s="0" t="n">
        <v>0.46</v>
      </c>
      <c r="CW159" s="0" t="n">
        <v>0.905</v>
      </c>
      <c r="CX159" s="0" t="n">
        <v>0.605</v>
      </c>
      <c r="CY159" s="0" t="n">
        <v>0.485</v>
      </c>
      <c r="CZ159" s="0" t="n">
        <v>0.795</v>
      </c>
      <c r="DA159" s="0" t="n">
        <v>0.8275</v>
      </c>
      <c r="DB159" s="0" t="n">
        <v>0.85</v>
      </c>
      <c r="DC159" s="0" t="n">
        <v>0.9025</v>
      </c>
      <c r="DD159" s="0" t="n">
        <v>0.82</v>
      </c>
      <c r="DE159" s="0" t="n">
        <v>0.89</v>
      </c>
      <c r="DN159" s="188" t="n">
        <v>0.000285</v>
      </c>
      <c r="DO159" s="188" t="n">
        <v>0.0002</v>
      </c>
      <c r="DP159" s="188" t="n">
        <v>0</v>
      </c>
      <c r="DQ159" s="188" t="n">
        <v>0.0001</v>
      </c>
      <c r="DR159" s="188" t="n">
        <v>0</v>
      </c>
      <c r="DS159" s="188" t="n">
        <v>0.0036</v>
      </c>
      <c r="DT159" s="188" t="n">
        <v>0.00047</v>
      </c>
      <c r="DU159" s="188" t="n">
        <v>0.0007</v>
      </c>
      <c r="DV159" s="188" t="n">
        <v>0</v>
      </c>
      <c r="DW159" s="188" t="n">
        <v>0</v>
      </c>
      <c r="DX159" s="188" t="n">
        <v>0.0005</v>
      </c>
      <c r="DY159" s="188" t="n">
        <v>0.0005</v>
      </c>
      <c r="DZ159" s="188" t="n">
        <v>0.0003</v>
      </c>
      <c r="EA159" s="188" t="n">
        <v>0.000275</v>
      </c>
      <c r="EB159" s="188" t="n">
        <v>0.0004</v>
      </c>
      <c r="ED159" s="188" t="n">
        <v>6.5E-005</v>
      </c>
      <c r="EF159" s="0" t="n">
        <v>1</v>
      </c>
    </row>
    <row r="160" customFormat="false" ht="12.75" hidden="false" customHeight="false" outlineLevel="0" collapsed="false">
      <c r="A160" s="149" t="n">
        <v>41244</v>
      </c>
      <c r="B160" s="0" t="n">
        <v>0.98</v>
      </c>
      <c r="C160" s="0" t="n">
        <v>0</v>
      </c>
      <c r="E160" s="0" t="n">
        <v>0</v>
      </c>
      <c r="F160" s="0" t="n">
        <v>0.977</v>
      </c>
      <c r="G160" s="0" t="n">
        <v>0.9875</v>
      </c>
      <c r="H160" s="0" t="n">
        <v>0.9875</v>
      </c>
      <c r="I160" s="0" t="n">
        <v>0.98616875</v>
      </c>
      <c r="J160" s="0" t="n">
        <v>0.9805</v>
      </c>
      <c r="K160" s="0" t="n">
        <v>0.970485</v>
      </c>
      <c r="L160" s="176" t="n">
        <v>0.90978295</v>
      </c>
      <c r="M160" s="176" t="n">
        <v>0.959898112</v>
      </c>
      <c r="N160" s="0" t="n">
        <v>0.88230645</v>
      </c>
      <c r="O160" s="0" t="n">
        <v>0.973007963</v>
      </c>
      <c r="P160" s="0" t="n">
        <v>0.88230645</v>
      </c>
      <c r="Q160" s="177" t="n">
        <v>0.90978295</v>
      </c>
      <c r="R160" s="0" t="n">
        <v>0.90978295</v>
      </c>
      <c r="S160" s="176" t="n">
        <v>0.90978295</v>
      </c>
      <c r="T160" s="0" t="n">
        <v>0.88230645</v>
      </c>
      <c r="U160" s="0" t="n">
        <v>0.88230645</v>
      </c>
      <c r="V160" s="0" t="n">
        <v>0.88230645</v>
      </c>
      <c r="W160" s="0" t="n">
        <v>0.88230645</v>
      </c>
      <c r="X160" s="0" t="n">
        <v>0.973007963</v>
      </c>
      <c r="Y160" s="0" t="n">
        <v>0.973007963</v>
      </c>
      <c r="Z160" s="0" t="n">
        <v>0.973007963</v>
      </c>
      <c r="AA160" s="0" t="n">
        <v>0.973007963</v>
      </c>
      <c r="AB160" s="0" t="n">
        <v>0.88230645</v>
      </c>
      <c r="AC160" s="0" t="n">
        <v>0.88230645</v>
      </c>
      <c r="AD160" s="0" t="n">
        <v>0.973007963</v>
      </c>
      <c r="AE160" s="0" t="n">
        <v>0.973007963</v>
      </c>
      <c r="AF160" s="0" t="n">
        <v>0.88230645</v>
      </c>
      <c r="AG160" s="0" t="n">
        <v>0.98</v>
      </c>
      <c r="AH160" s="0" t="n">
        <v>0.980068</v>
      </c>
      <c r="AI160" s="0" t="n">
        <v>0.980068</v>
      </c>
      <c r="AJ160" s="0" t="n">
        <v>0.88230645</v>
      </c>
      <c r="AK160" s="0" t="n">
        <v>1</v>
      </c>
      <c r="AL160" s="0" t="n">
        <v>0.970485</v>
      </c>
      <c r="AM160" s="0" t="n">
        <v>0</v>
      </c>
      <c r="BB160" s="187" t="n">
        <v>1</v>
      </c>
      <c r="BC160" s="0" t="n">
        <v>1</v>
      </c>
      <c r="BD160" s="0" t="n">
        <v>1</v>
      </c>
      <c r="BE160" s="0" t="n">
        <v>1</v>
      </c>
      <c r="BF160" s="0" t="n">
        <v>0.9999</v>
      </c>
      <c r="BG160" s="0" t="n">
        <v>1</v>
      </c>
      <c r="BH160" s="0" t="n">
        <v>1</v>
      </c>
      <c r="BI160" s="0" t="n">
        <v>0.99</v>
      </c>
      <c r="BJ160" s="0" t="n">
        <v>0.999</v>
      </c>
      <c r="BK160" s="0" t="n">
        <v>0.998</v>
      </c>
      <c r="BL160" s="0" t="n">
        <v>0.9985</v>
      </c>
      <c r="BM160" s="0" t="n">
        <v>0.9985</v>
      </c>
      <c r="BN160" s="0" t="n">
        <v>0.972</v>
      </c>
      <c r="BO160" s="0" t="n">
        <v>0.9999</v>
      </c>
      <c r="BP160" s="0" t="n">
        <v>0.9999</v>
      </c>
      <c r="BQ160" s="0" t="n">
        <v>1</v>
      </c>
      <c r="BR160" s="0" t="n">
        <v>1.1080376</v>
      </c>
      <c r="BS160" s="0" t="n">
        <v>1.12</v>
      </c>
      <c r="BT160" s="0" t="n">
        <v>1.0827</v>
      </c>
      <c r="BU160" s="0" t="n">
        <v>1.0203</v>
      </c>
      <c r="BV160" s="0" t="n">
        <v>1</v>
      </c>
      <c r="BW160" s="0" t="n">
        <v>2.4018</v>
      </c>
      <c r="BX160" s="0" t="n">
        <v>2.304476333</v>
      </c>
      <c r="BY160" s="0" t="n">
        <v>1.12705</v>
      </c>
      <c r="BZ160" s="0" t="n">
        <v>1.2885</v>
      </c>
      <c r="CA160" s="0" t="n">
        <v>2.001</v>
      </c>
      <c r="CB160" s="0" t="n">
        <v>1.542005</v>
      </c>
      <c r="CC160" s="0" t="n">
        <v>1.542005</v>
      </c>
      <c r="CD160" s="0" t="n">
        <v>1.278705</v>
      </c>
      <c r="CE160" s="0" t="n">
        <v>1.090205</v>
      </c>
      <c r="CF160" s="0" t="n">
        <v>1.447805</v>
      </c>
      <c r="CG160" s="188"/>
      <c r="CH160" s="0" t="n">
        <v>1.1012</v>
      </c>
      <c r="CI160" s="188"/>
      <c r="CJ160" s="188"/>
      <c r="CK160" s="188"/>
      <c r="CL160" s="188"/>
      <c r="CM160" s="188"/>
      <c r="CN160" s="188"/>
      <c r="CO160" s="188"/>
      <c r="CP160" s="0" t="n">
        <v>0.935</v>
      </c>
      <c r="CT160" s="0" t="n">
        <v>0.999</v>
      </c>
      <c r="CU160" s="0" t="n">
        <v>0.51</v>
      </c>
      <c r="CV160" s="0" t="n">
        <v>0.48</v>
      </c>
      <c r="CW160" s="0" t="n">
        <v>0.875</v>
      </c>
      <c r="CX160" s="0" t="n">
        <v>0.61</v>
      </c>
      <c r="CY160" s="0" t="n">
        <v>0.485</v>
      </c>
      <c r="CZ160" s="0" t="n">
        <v>0.59</v>
      </c>
      <c r="DA160" s="0" t="n">
        <v>0.6225</v>
      </c>
      <c r="DB160" s="0" t="n">
        <v>0.69</v>
      </c>
      <c r="DC160" s="0" t="n">
        <v>0.8925</v>
      </c>
      <c r="DD160" s="0" t="n">
        <v>0.715</v>
      </c>
      <c r="DE160" s="0" t="n">
        <v>0.89</v>
      </c>
      <c r="DN160" s="188" t="n">
        <v>0.000285</v>
      </c>
      <c r="DO160" s="188" t="n">
        <v>0.0002</v>
      </c>
      <c r="DP160" s="188" t="n">
        <v>0</v>
      </c>
      <c r="DQ160" s="188" t="n">
        <v>0.0001</v>
      </c>
      <c r="DR160" s="188" t="n">
        <v>0</v>
      </c>
      <c r="DS160" s="188" t="n">
        <v>0.0036</v>
      </c>
      <c r="DT160" s="188" t="n">
        <v>0.00047</v>
      </c>
      <c r="DU160" s="188" t="n">
        <v>0.0007</v>
      </c>
      <c r="DV160" s="188" t="n">
        <v>0</v>
      </c>
      <c r="DW160" s="188" t="n">
        <v>0</v>
      </c>
      <c r="DX160" s="188" t="n">
        <v>0.0005</v>
      </c>
      <c r="DY160" s="188" t="n">
        <v>0.0005</v>
      </c>
      <c r="DZ160" s="188" t="n">
        <v>0.0003</v>
      </c>
      <c r="EA160" s="188" t="n">
        <v>0.000275</v>
      </c>
      <c r="EB160" s="188" t="n">
        <v>0.0004</v>
      </c>
      <c r="ED160" s="188" t="n">
        <v>6.5E-005</v>
      </c>
      <c r="EF160" s="0" t="n">
        <v>1</v>
      </c>
    </row>
    <row r="161" customFormat="false" ht="12.75" hidden="false" customHeight="false" outlineLevel="0" collapsed="false">
      <c r="A161" s="149" t="n">
        <v>41275</v>
      </c>
      <c r="B161" s="0" t="n">
        <v>0.98</v>
      </c>
      <c r="C161" s="0" t="n">
        <v>0</v>
      </c>
      <c r="E161" s="0" t="n">
        <v>0</v>
      </c>
      <c r="F161" s="0" t="n">
        <v>0</v>
      </c>
      <c r="G161" s="0" t="n">
        <v>0.9875</v>
      </c>
      <c r="H161" s="0" t="n">
        <v>0.9875</v>
      </c>
      <c r="I161" s="0" t="n">
        <v>0.90783875</v>
      </c>
      <c r="J161" s="0" t="n">
        <v>0.9805</v>
      </c>
      <c r="K161" s="0" t="n">
        <v>0.985</v>
      </c>
      <c r="L161" s="176" t="n">
        <v>0.933215525</v>
      </c>
      <c r="M161" s="176" t="n">
        <v>0.983346937</v>
      </c>
      <c r="N161" s="0" t="n">
        <v>0.88251345</v>
      </c>
      <c r="O161" s="0" t="n">
        <v>0.9596224</v>
      </c>
      <c r="P161" s="0" t="n">
        <v>0.88251345</v>
      </c>
      <c r="Q161" s="177" t="n">
        <v>0.933215525</v>
      </c>
      <c r="R161" s="0" t="n">
        <v>0.933215525</v>
      </c>
      <c r="S161" s="176" t="n">
        <v>0.933215525</v>
      </c>
      <c r="T161" s="0" t="n">
        <v>0.88251345</v>
      </c>
      <c r="U161" s="0" t="n">
        <v>0.88251345</v>
      </c>
      <c r="V161" s="0" t="n">
        <v>0.88251345</v>
      </c>
      <c r="W161" s="0" t="n">
        <v>0.88251345</v>
      </c>
      <c r="X161" s="0" t="n">
        <v>0.9596224</v>
      </c>
      <c r="Y161" s="0" t="n">
        <v>0.9596224</v>
      </c>
      <c r="Z161" s="0" t="n">
        <v>0.9596224</v>
      </c>
      <c r="AA161" s="0" t="n">
        <v>0.9596224</v>
      </c>
      <c r="AB161" s="0" t="n">
        <v>0.88251345</v>
      </c>
      <c r="AC161" s="0" t="n">
        <v>0.88251345</v>
      </c>
      <c r="AD161" s="0" t="n">
        <v>0.9596224</v>
      </c>
      <c r="AE161" s="0" t="n">
        <v>0.9596224</v>
      </c>
      <c r="AF161" s="0" t="n">
        <v>0.88251345</v>
      </c>
      <c r="AG161" s="0" t="n">
        <v>0.98</v>
      </c>
      <c r="AH161" s="0" t="n">
        <v>0.98012585</v>
      </c>
      <c r="AI161" s="0" t="n">
        <v>0.98012585</v>
      </c>
      <c r="AJ161" s="0" t="n">
        <v>0.88251345</v>
      </c>
      <c r="AK161" s="0" t="n">
        <v>1</v>
      </c>
      <c r="AL161" s="0" t="n">
        <v>0.985</v>
      </c>
      <c r="AM161" s="0" t="n">
        <v>0</v>
      </c>
      <c r="BB161" s="187" t="n">
        <v>1</v>
      </c>
      <c r="BC161" s="0" t="n">
        <v>1</v>
      </c>
      <c r="BD161" s="0" t="n">
        <v>1</v>
      </c>
      <c r="BE161" s="0" t="n">
        <v>1</v>
      </c>
      <c r="BF161" s="0" t="n">
        <v>0.9999</v>
      </c>
      <c r="BG161" s="0" t="n">
        <v>1</v>
      </c>
      <c r="BH161" s="0" t="n">
        <v>1</v>
      </c>
      <c r="BI161" s="0" t="n">
        <v>0.99</v>
      </c>
      <c r="BJ161" s="0" t="n">
        <v>0.999</v>
      </c>
      <c r="BK161" s="0" t="n">
        <v>0.998</v>
      </c>
      <c r="BL161" s="0" t="n">
        <v>0.9985</v>
      </c>
      <c r="BM161" s="0" t="n">
        <v>0.9985</v>
      </c>
      <c r="BN161" s="0" t="n">
        <v>0.972</v>
      </c>
      <c r="BO161" s="0" t="n">
        <v>0.9999</v>
      </c>
      <c r="BP161" s="0" t="n">
        <v>0.9999</v>
      </c>
      <c r="BQ161" s="0" t="n">
        <v>1</v>
      </c>
      <c r="BR161" s="0" t="n">
        <v>1.1083226</v>
      </c>
      <c r="BS161" s="0" t="n">
        <v>1.1202</v>
      </c>
      <c r="BT161" s="0" t="n">
        <v>1.0827</v>
      </c>
      <c r="BU161" s="0" t="n">
        <v>1.0204</v>
      </c>
      <c r="BV161" s="0" t="n">
        <v>1</v>
      </c>
      <c r="BW161" s="0" t="n">
        <v>2.4054</v>
      </c>
      <c r="BX161" s="0" t="n">
        <v>2.304946333</v>
      </c>
      <c r="BY161" s="0" t="n">
        <v>1.12775</v>
      </c>
      <c r="BZ161" s="0" t="n">
        <v>1.2885</v>
      </c>
      <c r="CA161" s="0" t="n">
        <v>2.001</v>
      </c>
      <c r="CB161" s="0" t="n">
        <v>1.542505</v>
      </c>
      <c r="CC161" s="0" t="n">
        <v>1.542505</v>
      </c>
      <c r="CD161" s="0" t="n">
        <v>1.279005</v>
      </c>
      <c r="CE161" s="0" t="n">
        <v>1.09048</v>
      </c>
      <c r="CF161" s="0" t="n">
        <v>1.448205</v>
      </c>
      <c r="CG161" s="188"/>
      <c r="CH161" s="0" t="n">
        <v>1.101265</v>
      </c>
      <c r="CI161" s="188"/>
      <c r="CJ161" s="188"/>
      <c r="CK161" s="188"/>
      <c r="CL161" s="188"/>
      <c r="CM161" s="188"/>
      <c r="CN161" s="188"/>
      <c r="CO161" s="188"/>
      <c r="CP161" s="0" t="n">
        <v>0.895</v>
      </c>
      <c r="CU161" s="0" t="n">
        <v>0.58</v>
      </c>
      <c r="CV161" s="0" t="n">
        <v>0.45</v>
      </c>
      <c r="CW161" s="0" t="n">
        <v>0.805</v>
      </c>
      <c r="CX161" s="0" t="n">
        <v>0.62</v>
      </c>
      <c r="CY161" s="0" t="n">
        <v>0.505</v>
      </c>
      <c r="CZ161" s="0" t="n">
        <v>0.605</v>
      </c>
      <c r="DA161" s="0" t="n">
        <v>0.6375</v>
      </c>
      <c r="DB161" s="0" t="n">
        <v>0.69</v>
      </c>
      <c r="DC161" s="0" t="n">
        <v>0.88</v>
      </c>
      <c r="DD161" s="0" t="n">
        <v>0.64</v>
      </c>
      <c r="DE161" s="0" t="n">
        <v>0.89</v>
      </c>
      <c r="DN161" s="188" t="n">
        <v>0.000285</v>
      </c>
      <c r="DO161" s="188" t="n">
        <v>0.0002</v>
      </c>
      <c r="DP161" s="188" t="n">
        <v>0</v>
      </c>
      <c r="DQ161" s="188" t="n">
        <v>0.0001</v>
      </c>
      <c r="DR161" s="188" t="n">
        <v>0</v>
      </c>
      <c r="DS161" s="188" t="n">
        <v>0.0036</v>
      </c>
      <c r="DT161" s="188" t="n">
        <v>0.00047</v>
      </c>
      <c r="DU161" s="188" t="n">
        <v>0.0007</v>
      </c>
      <c r="DV161" s="188" t="n">
        <v>0</v>
      </c>
      <c r="DW161" s="188" t="n">
        <v>0</v>
      </c>
      <c r="DX161" s="188" t="n">
        <v>0.0005</v>
      </c>
      <c r="DY161" s="188" t="n">
        <v>0.0005</v>
      </c>
      <c r="DZ161" s="188" t="n">
        <v>0.0003</v>
      </c>
      <c r="EA161" s="188" t="n">
        <v>0.000275</v>
      </c>
      <c r="EB161" s="188" t="n">
        <v>0.0004</v>
      </c>
      <c r="ED161" s="188" t="n">
        <v>6.5E-005</v>
      </c>
      <c r="EF161" s="0" t="n">
        <v>1</v>
      </c>
    </row>
    <row r="162" customFormat="false" ht="12.75" hidden="false" customHeight="false" outlineLevel="0" collapsed="false">
      <c r="A162" s="149" t="n">
        <v>41306</v>
      </c>
      <c r="B162" s="0" t="n">
        <v>0.98</v>
      </c>
      <c r="C162" s="0" t="n">
        <v>0</v>
      </c>
      <c r="E162" s="0" t="n">
        <v>0</v>
      </c>
      <c r="F162" s="0" t="n">
        <v>0</v>
      </c>
      <c r="G162" s="0" t="n">
        <v>0.9875</v>
      </c>
      <c r="H162" s="0" t="n">
        <v>0.9875</v>
      </c>
      <c r="I162" s="0" t="n">
        <v>0.95354025</v>
      </c>
      <c r="J162" s="0" t="n">
        <v>0.9805</v>
      </c>
      <c r="K162" s="0" t="n">
        <v>0.985</v>
      </c>
      <c r="L162" s="176" t="n">
        <v>0.979808175</v>
      </c>
      <c r="M162" s="176" t="n">
        <v>0.9875</v>
      </c>
      <c r="N162" s="0" t="n">
        <v>0.90830655</v>
      </c>
      <c r="O162" s="0" t="n">
        <v>0.957137513</v>
      </c>
      <c r="P162" s="0" t="n">
        <v>0.90830655</v>
      </c>
      <c r="Q162" s="177" t="n">
        <v>0.979808175</v>
      </c>
      <c r="R162" s="0" t="n">
        <v>0.979808175</v>
      </c>
      <c r="S162" s="176" t="n">
        <v>0.979808175</v>
      </c>
      <c r="T162" s="0" t="n">
        <v>0.90830655</v>
      </c>
      <c r="U162" s="0" t="n">
        <v>0.90830655</v>
      </c>
      <c r="V162" s="0" t="n">
        <v>0.90830655</v>
      </c>
      <c r="W162" s="0" t="n">
        <v>0.90830655</v>
      </c>
      <c r="X162" s="0" t="n">
        <v>0.957137513</v>
      </c>
      <c r="Y162" s="0" t="n">
        <v>0.957137513</v>
      </c>
      <c r="Z162" s="0" t="n">
        <v>0.957137513</v>
      </c>
      <c r="AA162" s="0" t="n">
        <v>0.957137513</v>
      </c>
      <c r="AB162" s="0" t="n">
        <v>0.90830655</v>
      </c>
      <c r="AC162" s="0" t="n">
        <v>0.90830655</v>
      </c>
      <c r="AD162" s="0" t="n">
        <v>0.957137513</v>
      </c>
      <c r="AE162" s="0" t="n">
        <v>0.957137513</v>
      </c>
      <c r="AF162" s="0" t="n">
        <v>0.90830655</v>
      </c>
      <c r="AG162" s="0" t="n">
        <v>0.98</v>
      </c>
      <c r="AH162" s="0" t="n">
        <v>0.9801837</v>
      </c>
      <c r="AI162" s="0" t="n">
        <v>0.9801837</v>
      </c>
      <c r="AJ162" s="0" t="n">
        <v>0.90830655</v>
      </c>
      <c r="AK162" s="0" t="n">
        <v>1</v>
      </c>
      <c r="AL162" s="0" t="n">
        <v>0.985</v>
      </c>
      <c r="AM162" s="0" t="n">
        <v>0</v>
      </c>
      <c r="BB162" s="187" t="n">
        <v>1</v>
      </c>
      <c r="BC162" s="0" t="n">
        <v>1</v>
      </c>
      <c r="BD162" s="0" t="n">
        <v>1</v>
      </c>
      <c r="BE162" s="0" t="n">
        <v>1</v>
      </c>
      <c r="BF162" s="0" t="n">
        <v>0.9999</v>
      </c>
      <c r="BG162" s="0" t="n">
        <v>1</v>
      </c>
      <c r="BH162" s="0" t="n">
        <v>1</v>
      </c>
      <c r="BI162" s="0" t="n">
        <v>0.99</v>
      </c>
      <c r="BJ162" s="0" t="n">
        <v>0.999</v>
      </c>
      <c r="BK162" s="0" t="n">
        <v>0.998</v>
      </c>
      <c r="BL162" s="0" t="n">
        <v>0.9985</v>
      </c>
      <c r="BM162" s="0" t="n">
        <v>0.9985</v>
      </c>
      <c r="BN162" s="0" t="n">
        <v>0.972</v>
      </c>
      <c r="BO162" s="0" t="n">
        <v>0.9999</v>
      </c>
      <c r="BP162" s="0" t="n">
        <v>0.9999</v>
      </c>
      <c r="BQ162" s="0" t="n">
        <v>1</v>
      </c>
      <c r="BR162" s="0" t="n">
        <v>1.1086076</v>
      </c>
      <c r="BS162" s="0" t="n">
        <v>1.1204</v>
      </c>
      <c r="BT162" s="0" t="n">
        <v>1.0827</v>
      </c>
      <c r="BU162" s="0" t="n">
        <v>1.0205</v>
      </c>
      <c r="BV162" s="0" t="n">
        <v>1</v>
      </c>
      <c r="BW162" s="0" t="n">
        <v>2.409</v>
      </c>
      <c r="BX162" s="0" t="n">
        <v>2.305416333</v>
      </c>
      <c r="BY162" s="0" t="n">
        <v>1.12845</v>
      </c>
      <c r="BZ162" s="0" t="n">
        <v>1.2885</v>
      </c>
      <c r="CA162" s="0" t="n">
        <v>2.001</v>
      </c>
      <c r="CB162" s="0" t="n">
        <v>1.543005</v>
      </c>
      <c r="CC162" s="0" t="n">
        <v>1.543005</v>
      </c>
      <c r="CD162" s="0" t="n">
        <v>1.279305</v>
      </c>
      <c r="CE162" s="0" t="n">
        <v>1.090755</v>
      </c>
      <c r="CF162" s="0" t="n">
        <v>1.448605</v>
      </c>
      <c r="CG162" s="188"/>
      <c r="CH162" s="0" t="n">
        <v>1.10133</v>
      </c>
      <c r="CI162" s="188"/>
      <c r="CJ162" s="188"/>
      <c r="CK162" s="188"/>
      <c r="CL162" s="188"/>
      <c r="CM162" s="188"/>
      <c r="CN162" s="188"/>
      <c r="CO162" s="188"/>
      <c r="CP162" s="0" t="n">
        <v>0.865</v>
      </c>
      <c r="CU162" s="0" t="n">
        <v>0.58</v>
      </c>
      <c r="CV162" s="0" t="n">
        <v>0.45</v>
      </c>
      <c r="CW162" s="0" t="n">
        <v>0.845</v>
      </c>
      <c r="CX162" s="0" t="n">
        <v>0.725</v>
      </c>
      <c r="CY162" s="0" t="n">
        <v>0.505</v>
      </c>
      <c r="CZ162" s="0" t="n">
        <v>0.635</v>
      </c>
      <c r="DA162" s="0" t="n">
        <v>0.6675</v>
      </c>
      <c r="DB162" s="0" t="n">
        <v>0.71</v>
      </c>
      <c r="DC162" s="0" t="n">
        <v>0.8775</v>
      </c>
      <c r="DD162" s="0" t="n">
        <v>0.67</v>
      </c>
      <c r="DE162" s="0" t="n">
        <v>0.89</v>
      </c>
      <c r="DN162" s="188" t="n">
        <v>0.000285</v>
      </c>
      <c r="DO162" s="188" t="n">
        <v>0.0002</v>
      </c>
      <c r="DP162" s="188" t="n">
        <v>0</v>
      </c>
      <c r="DQ162" s="188" t="n">
        <v>0.0001</v>
      </c>
      <c r="DR162" s="188" t="n">
        <v>0</v>
      </c>
      <c r="DS162" s="188" t="n">
        <v>0.0036</v>
      </c>
      <c r="DT162" s="188" t="n">
        <v>0.00047</v>
      </c>
      <c r="DU162" s="188" t="n">
        <v>0.0007</v>
      </c>
      <c r="DV162" s="188" t="n">
        <v>0</v>
      </c>
      <c r="DW162" s="188" t="n">
        <v>0</v>
      </c>
      <c r="DX162" s="188" t="n">
        <v>0.0005</v>
      </c>
      <c r="DY162" s="188" t="n">
        <v>0.0005</v>
      </c>
      <c r="DZ162" s="188" t="n">
        <v>0.0003</v>
      </c>
      <c r="EA162" s="188" t="n">
        <v>0.000275</v>
      </c>
      <c r="EB162" s="188" t="n">
        <v>0.0004</v>
      </c>
      <c r="ED162" s="188" t="n">
        <v>6.5E-005</v>
      </c>
      <c r="EF162" s="0" t="n">
        <v>1</v>
      </c>
    </row>
    <row r="163" customFormat="false" ht="12.75" hidden="false" customHeight="false" outlineLevel="0" collapsed="false">
      <c r="A163" s="149" t="n">
        <v>41334</v>
      </c>
      <c r="B163" s="0" t="n">
        <v>0.98</v>
      </c>
      <c r="C163" s="0" t="n">
        <v>0</v>
      </c>
      <c r="E163" s="0" t="n">
        <v>0</v>
      </c>
      <c r="F163" s="0" t="n">
        <v>0</v>
      </c>
      <c r="G163" s="0" t="n">
        <v>0.9875</v>
      </c>
      <c r="H163" s="0" t="n">
        <v>0.9875</v>
      </c>
      <c r="I163" s="0" t="n">
        <v>0.9875</v>
      </c>
      <c r="J163" s="0" t="n">
        <v>0.9805</v>
      </c>
      <c r="K163" s="0" t="n">
        <v>0.985</v>
      </c>
      <c r="L163" s="176" t="n">
        <v>0.9875</v>
      </c>
      <c r="M163" s="176" t="n">
        <v>0.9875</v>
      </c>
      <c r="N163" s="0" t="n">
        <v>0.98</v>
      </c>
      <c r="O163" s="0" t="n">
        <v>0.981927</v>
      </c>
      <c r="P163" s="0" t="n">
        <v>0.98</v>
      </c>
      <c r="Q163" s="177" t="n">
        <v>0.9875</v>
      </c>
      <c r="R163" s="0" t="n">
        <v>0.9875</v>
      </c>
      <c r="S163" s="176" t="n">
        <v>0.9875</v>
      </c>
      <c r="T163" s="0" t="n">
        <v>0.98</v>
      </c>
      <c r="U163" s="0" t="n">
        <v>0.98</v>
      </c>
      <c r="V163" s="0" t="n">
        <v>0.98</v>
      </c>
      <c r="W163" s="0" t="n">
        <v>0.98</v>
      </c>
      <c r="X163" s="0" t="n">
        <v>0.981927</v>
      </c>
      <c r="Y163" s="0" t="n">
        <v>0.981927</v>
      </c>
      <c r="Z163" s="0" t="n">
        <v>0.981927</v>
      </c>
      <c r="AA163" s="0" t="n">
        <v>0.981927</v>
      </c>
      <c r="AB163" s="0" t="n">
        <v>0.98</v>
      </c>
      <c r="AC163" s="0" t="n">
        <v>0.98</v>
      </c>
      <c r="AD163" s="0" t="n">
        <v>0.981927</v>
      </c>
      <c r="AE163" s="0" t="n">
        <v>0.981927</v>
      </c>
      <c r="AF163" s="0" t="n">
        <v>0.98</v>
      </c>
      <c r="AG163" s="0" t="n">
        <v>0.99</v>
      </c>
      <c r="AH163" s="0" t="n">
        <v>0.98024155</v>
      </c>
      <c r="AI163" s="0" t="n">
        <v>0.98024155</v>
      </c>
      <c r="AJ163" s="0" t="n">
        <v>0.98</v>
      </c>
      <c r="AK163" s="0" t="n">
        <v>1</v>
      </c>
      <c r="AL163" s="0" t="n">
        <v>0.985</v>
      </c>
      <c r="AM163" s="0" t="n">
        <v>0</v>
      </c>
      <c r="BB163" s="187" t="n">
        <v>1</v>
      </c>
      <c r="BC163" s="0" t="n">
        <v>1</v>
      </c>
      <c r="BD163" s="0" t="n">
        <v>1</v>
      </c>
      <c r="BE163" s="0" t="n">
        <v>1</v>
      </c>
      <c r="BF163" s="0" t="n">
        <v>0.9999</v>
      </c>
      <c r="BG163" s="0" t="n">
        <v>1</v>
      </c>
      <c r="BH163" s="0" t="n">
        <v>1</v>
      </c>
      <c r="BI163" s="0" t="n">
        <v>0.99</v>
      </c>
      <c r="BJ163" s="0" t="n">
        <v>0.999</v>
      </c>
      <c r="BK163" s="0" t="n">
        <v>0.998</v>
      </c>
      <c r="BL163" s="0" t="n">
        <v>0.9985</v>
      </c>
      <c r="BM163" s="0" t="n">
        <v>0.9985</v>
      </c>
      <c r="BN163" s="0" t="n">
        <v>0.972</v>
      </c>
      <c r="BO163" s="0" t="n">
        <v>0.9999</v>
      </c>
      <c r="BP163" s="0" t="n">
        <v>0.9999</v>
      </c>
      <c r="BQ163" s="0" t="n">
        <v>1</v>
      </c>
      <c r="BR163" s="0" t="n">
        <v>1.1088926</v>
      </c>
      <c r="BS163" s="0" t="n">
        <v>1.1206</v>
      </c>
      <c r="BT163" s="0" t="n">
        <v>1.0827</v>
      </c>
      <c r="BU163" s="0" t="n">
        <v>1.0206</v>
      </c>
      <c r="BV163" s="0" t="n">
        <v>1</v>
      </c>
      <c r="BW163" s="0" t="n">
        <v>2.4126</v>
      </c>
      <c r="BX163" s="0" t="n">
        <v>2.305886333</v>
      </c>
      <c r="BY163" s="0" t="n">
        <v>1.12915</v>
      </c>
      <c r="BZ163" s="0" t="n">
        <v>1.2885</v>
      </c>
      <c r="CA163" s="0" t="n">
        <v>2.001</v>
      </c>
      <c r="CB163" s="0" t="n">
        <v>1.543505</v>
      </c>
      <c r="CC163" s="0" t="n">
        <v>1.543505</v>
      </c>
      <c r="CD163" s="0" t="n">
        <v>1.279605</v>
      </c>
      <c r="CE163" s="0" t="n">
        <v>1.09103</v>
      </c>
      <c r="CF163" s="0" t="n">
        <v>1.449005</v>
      </c>
      <c r="CG163" s="188"/>
      <c r="CH163" s="0" t="n">
        <v>1.101395</v>
      </c>
      <c r="CI163" s="188"/>
      <c r="CJ163" s="188"/>
      <c r="CK163" s="188"/>
      <c r="CL163" s="188"/>
      <c r="CM163" s="188"/>
      <c r="CN163" s="188"/>
      <c r="CO163" s="188"/>
      <c r="CP163" s="0" t="n">
        <v>0.865</v>
      </c>
      <c r="CU163" s="0" t="n">
        <v>0.54</v>
      </c>
      <c r="CV163" s="0" t="n">
        <v>0.45</v>
      </c>
      <c r="CW163" s="0" t="n">
        <v>0.875</v>
      </c>
      <c r="CX163" s="0" t="n">
        <v>0.895</v>
      </c>
      <c r="CY163" s="0" t="n">
        <v>0.515</v>
      </c>
      <c r="CZ163" s="0" t="n">
        <v>0.785</v>
      </c>
      <c r="DA163" s="0" t="n">
        <v>0.8175</v>
      </c>
      <c r="DB163" s="0" t="n">
        <v>0.8</v>
      </c>
      <c r="DC163" s="0" t="n">
        <v>0.9</v>
      </c>
      <c r="DD163" s="0" t="n">
        <v>0.83</v>
      </c>
      <c r="DE163" s="0" t="n">
        <v>0.89</v>
      </c>
      <c r="DN163" s="188" t="n">
        <v>0.000285</v>
      </c>
      <c r="DO163" s="188" t="n">
        <v>0.0002</v>
      </c>
      <c r="DP163" s="188" t="n">
        <v>0</v>
      </c>
      <c r="DQ163" s="188" t="n">
        <v>0.0001</v>
      </c>
      <c r="DR163" s="188" t="n">
        <v>0</v>
      </c>
      <c r="DS163" s="188" t="n">
        <v>0.0036</v>
      </c>
      <c r="DT163" s="188" t="n">
        <v>0.00047</v>
      </c>
      <c r="DU163" s="188" t="n">
        <v>0.0007</v>
      </c>
      <c r="DV163" s="188" t="n">
        <v>0</v>
      </c>
      <c r="DW163" s="188" t="n">
        <v>0</v>
      </c>
      <c r="DX163" s="188" t="n">
        <v>0.0005</v>
      </c>
      <c r="DY163" s="188" t="n">
        <v>0.0005</v>
      </c>
      <c r="DZ163" s="188" t="n">
        <v>0.0003</v>
      </c>
      <c r="EA163" s="188" t="n">
        <v>0.000275</v>
      </c>
      <c r="EB163" s="188" t="n">
        <v>0.0004</v>
      </c>
      <c r="ED163" s="188" t="n">
        <v>6.5E-005</v>
      </c>
      <c r="EF163" s="0" t="n">
        <v>1</v>
      </c>
    </row>
    <row r="164" customFormat="false" ht="12.75" hidden="false" customHeight="false" outlineLevel="0" collapsed="false">
      <c r="A164" s="149" t="n">
        <v>41365</v>
      </c>
      <c r="B164" s="0" t="n">
        <v>0.98</v>
      </c>
      <c r="C164" s="0" t="n">
        <v>0</v>
      </c>
      <c r="E164" s="0" t="n">
        <v>0</v>
      </c>
      <c r="F164" s="0" t="n">
        <v>0</v>
      </c>
      <c r="G164" s="0" t="n">
        <v>0.9875</v>
      </c>
      <c r="H164" s="0" t="n">
        <v>0.96866966</v>
      </c>
      <c r="I164" s="0" t="n">
        <v>0.9875</v>
      </c>
      <c r="J164" s="0" t="n">
        <v>0.9805</v>
      </c>
      <c r="K164" s="0" t="n">
        <v>0.985</v>
      </c>
      <c r="L164" s="176" t="n">
        <v>0.9875</v>
      </c>
      <c r="M164" s="176" t="n">
        <v>0.9875</v>
      </c>
      <c r="N164" s="0" t="n">
        <v>0.98</v>
      </c>
      <c r="O164" s="0" t="n">
        <v>0.985448415</v>
      </c>
      <c r="P164" s="0" t="n">
        <v>0.98</v>
      </c>
      <c r="Q164" s="177" t="n">
        <v>0.9875</v>
      </c>
      <c r="R164" s="0" t="n">
        <v>0.9875</v>
      </c>
      <c r="S164" s="176" t="n">
        <v>0.9875</v>
      </c>
      <c r="T164" s="0" t="n">
        <v>0.98</v>
      </c>
      <c r="U164" s="0" t="n">
        <v>0.98</v>
      </c>
      <c r="V164" s="0" t="n">
        <v>0.98</v>
      </c>
      <c r="W164" s="0" t="n">
        <v>0.98</v>
      </c>
      <c r="X164" s="0" t="n">
        <v>0.985448415</v>
      </c>
      <c r="Y164" s="0" t="n">
        <v>0.985448415</v>
      </c>
      <c r="Z164" s="0" t="n">
        <v>0.985448415</v>
      </c>
      <c r="AA164" s="0" t="n">
        <v>0.985448415</v>
      </c>
      <c r="AB164" s="0" t="n">
        <v>0.98</v>
      </c>
      <c r="AC164" s="0" t="n">
        <v>0.98</v>
      </c>
      <c r="AD164" s="0" t="n">
        <v>0.985448415</v>
      </c>
      <c r="AE164" s="0" t="n">
        <v>0.985448415</v>
      </c>
      <c r="AF164" s="0" t="n">
        <v>0.98</v>
      </c>
      <c r="AG164" s="0" t="n">
        <v>0.99</v>
      </c>
      <c r="AH164" s="0" t="n">
        <v>0.9802994</v>
      </c>
      <c r="AI164" s="0" t="n">
        <v>0.9802994</v>
      </c>
      <c r="AJ164" s="0" t="n">
        <v>0.98</v>
      </c>
      <c r="AK164" s="0" t="n">
        <v>1</v>
      </c>
      <c r="AL164" s="0" t="n">
        <v>0.985</v>
      </c>
      <c r="AM164" s="0" t="n">
        <v>0</v>
      </c>
      <c r="BB164" s="187" t="n">
        <v>1</v>
      </c>
      <c r="BC164" s="0" t="n">
        <v>1</v>
      </c>
      <c r="BD164" s="0" t="n">
        <v>1</v>
      </c>
      <c r="BE164" s="0" t="n">
        <v>1</v>
      </c>
      <c r="BF164" s="0" t="n">
        <v>0.9999</v>
      </c>
      <c r="BG164" s="0" t="n">
        <v>1</v>
      </c>
      <c r="BH164" s="0" t="n">
        <v>1</v>
      </c>
      <c r="BI164" s="0" t="n">
        <v>0.99</v>
      </c>
      <c r="BJ164" s="0" t="n">
        <v>0.999</v>
      </c>
      <c r="BK164" s="0" t="n">
        <v>0.998</v>
      </c>
      <c r="BL164" s="0" t="n">
        <v>0.9985</v>
      </c>
      <c r="BM164" s="0" t="n">
        <v>0.9985</v>
      </c>
      <c r="BN164" s="0" t="n">
        <v>0.972</v>
      </c>
      <c r="BO164" s="0" t="n">
        <v>0.9999</v>
      </c>
      <c r="BP164" s="0" t="n">
        <v>0.9999</v>
      </c>
      <c r="BQ164" s="0" t="n">
        <v>1</v>
      </c>
      <c r="BR164" s="0" t="n">
        <v>1.1091776</v>
      </c>
      <c r="BS164" s="0" t="n">
        <v>1.1208</v>
      </c>
      <c r="BT164" s="0" t="n">
        <v>1.0827</v>
      </c>
      <c r="BU164" s="0" t="n">
        <v>1.0207</v>
      </c>
      <c r="BV164" s="0" t="n">
        <v>1</v>
      </c>
      <c r="BW164" s="0" t="n">
        <v>2.4162</v>
      </c>
      <c r="BX164" s="0" t="n">
        <v>2.306356333</v>
      </c>
      <c r="BY164" s="0" t="n">
        <v>1.12985</v>
      </c>
      <c r="BZ164" s="0" t="n">
        <v>1.2885</v>
      </c>
      <c r="CA164" s="0" t="n">
        <v>2.001</v>
      </c>
      <c r="CB164" s="0" t="n">
        <v>1.544005</v>
      </c>
      <c r="CC164" s="0" t="n">
        <v>1.544005</v>
      </c>
      <c r="CD164" s="0" t="n">
        <v>1.279905</v>
      </c>
      <c r="CE164" s="0" t="n">
        <v>1.091305</v>
      </c>
      <c r="CF164" s="0" t="n">
        <v>1.449405</v>
      </c>
      <c r="CG164" s="188"/>
      <c r="CH164" s="0" t="n">
        <v>1.10146</v>
      </c>
      <c r="CI164" s="188"/>
      <c r="CJ164" s="188"/>
      <c r="CK164" s="188"/>
      <c r="CL164" s="188"/>
      <c r="CM164" s="188"/>
      <c r="CN164" s="188"/>
      <c r="CO164" s="188"/>
      <c r="CP164" s="0" t="n">
        <v>0.895</v>
      </c>
      <c r="CU164" s="0" t="n">
        <v>0.48</v>
      </c>
      <c r="CV164" s="0" t="n">
        <v>0.42</v>
      </c>
      <c r="CW164" s="0" t="n">
        <v>0.935</v>
      </c>
      <c r="CX164" s="0" t="n">
        <v>0.885</v>
      </c>
      <c r="CY164" s="0" t="n">
        <v>0.575</v>
      </c>
      <c r="CZ164" s="0" t="n">
        <v>0.895</v>
      </c>
      <c r="DA164" s="0" t="n">
        <v>0.9275</v>
      </c>
      <c r="DB164" s="0" t="n">
        <v>0.85</v>
      </c>
      <c r="DC164" s="0" t="n">
        <v>0.903</v>
      </c>
      <c r="DD164" s="0" t="n">
        <v>0.92</v>
      </c>
      <c r="DE164" s="0" t="n">
        <v>0.89</v>
      </c>
      <c r="DN164" s="188" t="n">
        <v>0.000285</v>
      </c>
      <c r="DO164" s="188" t="n">
        <v>0.0002</v>
      </c>
      <c r="DP164" s="188" t="n">
        <v>0</v>
      </c>
      <c r="DQ164" s="188" t="n">
        <v>0.0001</v>
      </c>
      <c r="DR164" s="188" t="n">
        <v>0</v>
      </c>
      <c r="DS164" s="188" t="n">
        <v>0.0036</v>
      </c>
      <c r="DT164" s="188" t="n">
        <v>0.00047</v>
      </c>
      <c r="DU164" s="188" t="n">
        <v>0.0007</v>
      </c>
      <c r="DV164" s="188" t="n">
        <v>0</v>
      </c>
      <c r="DW164" s="188" t="n">
        <v>0</v>
      </c>
      <c r="DX164" s="188" t="n">
        <v>0.0005</v>
      </c>
      <c r="DY164" s="188" t="n">
        <v>0.0005</v>
      </c>
      <c r="DZ164" s="188" t="n">
        <v>0.0003</v>
      </c>
      <c r="EA164" s="188" t="n">
        <v>0.000275</v>
      </c>
      <c r="EB164" s="188" t="n">
        <v>0.0004</v>
      </c>
      <c r="ED164" s="188" t="n">
        <v>6.5E-005</v>
      </c>
      <c r="EF164" s="0" t="n">
        <v>1</v>
      </c>
    </row>
    <row r="165" customFormat="false" ht="12.75" hidden="false" customHeight="false" outlineLevel="0" collapsed="false">
      <c r="A165" s="149" t="n">
        <v>41395</v>
      </c>
      <c r="B165" s="0" t="n">
        <v>0.98</v>
      </c>
      <c r="C165" s="0" t="n">
        <v>0</v>
      </c>
      <c r="E165" s="0" t="n">
        <v>0</v>
      </c>
      <c r="F165" s="0" t="n">
        <v>0</v>
      </c>
      <c r="G165" s="0" t="n">
        <v>0.822732</v>
      </c>
      <c r="H165" s="0" t="n">
        <v>0.96886706</v>
      </c>
      <c r="I165" s="0" t="n">
        <v>0.9875</v>
      </c>
      <c r="J165" s="0" t="n">
        <v>0.9805</v>
      </c>
      <c r="K165" s="0" t="n">
        <v>0.985</v>
      </c>
      <c r="L165" s="176" t="n">
        <v>0.9875</v>
      </c>
      <c r="M165" s="176" t="n">
        <v>0.9875</v>
      </c>
      <c r="N165" s="0" t="n">
        <v>0.98</v>
      </c>
      <c r="O165" s="0" t="n">
        <v>0.982422</v>
      </c>
      <c r="P165" s="0" t="n">
        <v>0.98</v>
      </c>
      <c r="Q165" s="177" t="n">
        <v>0.9875</v>
      </c>
      <c r="R165" s="0" t="n">
        <v>0.9875</v>
      </c>
      <c r="S165" s="176" t="n">
        <v>0.9875</v>
      </c>
      <c r="T165" s="0" t="n">
        <v>0.98</v>
      </c>
      <c r="U165" s="0" t="n">
        <v>0.98</v>
      </c>
      <c r="V165" s="0" t="n">
        <v>0.98</v>
      </c>
      <c r="W165" s="0" t="n">
        <v>0.98</v>
      </c>
      <c r="X165" s="0" t="n">
        <v>0.982422</v>
      </c>
      <c r="Y165" s="0" t="n">
        <v>0.982422</v>
      </c>
      <c r="Z165" s="0" t="n">
        <v>0.982422</v>
      </c>
      <c r="AA165" s="0" t="n">
        <v>0.982422</v>
      </c>
      <c r="AB165" s="0" t="n">
        <v>0.98</v>
      </c>
      <c r="AC165" s="0" t="n">
        <v>0.98</v>
      </c>
      <c r="AD165" s="0" t="n">
        <v>0.982422</v>
      </c>
      <c r="AE165" s="0" t="n">
        <v>0.982422</v>
      </c>
      <c r="AF165" s="0" t="n">
        <v>0.98</v>
      </c>
      <c r="AG165" s="0" t="n">
        <v>0.99</v>
      </c>
      <c r="AH165" s="0" t="n">
        <v>0.98035725</v>
      </c>
      <c r="AI165" s="0" t="n">
        <v>0.98035725</v>
      </c>
      <c r="AJ165" s="0" t="n">
        <v>0.98</v>
      </c>
      <c r="AK165" s="0" t="n">
        <v>1</v>
      </c>
      <c r="AL165" s="0" t="n">
        <v>0.985</v>
      </c>
      <c r="AM165" s="0" t="n">
        <v>0</v>
      </c>
      <c r="BB165" s="187" t="n">
        <v>1</v>
      </c>
      <c r="BC165" s="0" t="n">
        <v>1</v>
      </c>
      <c r="BD165" s="0" t="n">
        <v>1</v>
      </c>
      <c r="BE165" s="0" t="n">
        <v>1</v>
      </c>
      <c r="BF165" s="0" t="n">
        <v>0.9999</v>
      </c>
      <c r="BG165" s="0" t="n">
        <v>1</v>
      </c>
      <c r="BH165" s="0" t="n">
        <v>1</v>
      </c>
      <c r="BI165" s="0" t="n">
        <v>0.99</v>
      </c>
      <c r="BJ165" s="0" t="n">
        <v>0.999</v>
      </c>
      <c r="BK165" s="0" t="n">
        <v>0.998</v>
      </c>
      <c r="BL165" s="0" t="n">
        <v>0.9985</v>
      </c>
      <c r="BM165" s="0" t="n">
        <v>0.9985</v>
      </c>
      <c r="BN165" s="0" t="n">
        <v>0.972</v>
      </c>
      <c r="BO165" s="0" t="n">
        <v>0.9999</v>
      </c>
      <c r="BP165" s="0" t="n">
        <v>0.9999</v>
      </c>
      <c r="BQ165" s="0" t="n">
        <v>1</v>
      </c>
      <c r="BR165" s="0" t="n">
        <v>1.1094626</v>
      </c>
      <c r="BS165" s="0" t="n">
        <v>1.121</v>
      </c>
      <c r="BT165" s="0" t="n">
        <v>1.0827</v>
      </c>
      <c r="BU165" s="0" t="n">
        <v>1.0208</v>
      </c>
      <c r="BV165" s="0" t="n">
        <v>1</v>
      </c>
      <c r="BW165" s="0" t="n">
        <v>2.4198</v>
      </c>
      <c r="BX165" s="0" t="n">
        <v>2.306826333</v>
      </c>
      <c r="BY165" s="0" t="n">
        <v>1.13055</v>
      </c>
      <c r="BZ165" s="0" t="n">
        <v>1.2885</v>
      </c>
      <c r="CA165" s="0" t="n">
        <v>2.001</v>
      </c>
      <c r="CB165" s="0" t="n">
        <v>1.544505</v>
      </c>
      <c r="CC165" s="0" t="n">
        <v>1.544505</v>
      </c>
      <c r="CD165" s="0" t="n">
        <v>1.280205</v>
      </c>
      <c r="CE165" s="0" t="n">
        <v>1.09158</v>
      </c>
      <c r="CF165" s="0" t="n">
        <v>1.449805</v>
      </c>
      <c r="CG165" s="188"/>
      <c r="CH165" s="0" t="n">
        <v>1.101525</v>
      </c>
      <c r="CI165" s="188"/>
      <c r="CJ165" s="188"/>
      <c r="CK165" s="188"/>
      <c r="CL165" s="188"/>
      <c r="CM165" s="188"/>
      <c r="CN165" s="188"/>
      <c r="CO165" s="188"/>
      <c r="CP165" s="0" t="n">
        <v>0.965</v>
      </c>
      <c r="CU165" s="0" t="n">
        <v>0.34</v>
      </c>
      <c r="CV165" s="0" t="n">
        <v>0.42</v>
      </c>
      <c r="CW165" s="0" t="n">
        <v>0.935</v>
      </c>
      <c r="CX165" s="0" t="n">
        <v>0.785</v>
      </c>
      <c r="CY165" s="0" t="n">
        <v>0.625</v>
      </c>
      <c r="CZ165" s="0" t="n">
        <v>0.9175</v>
      </c>
      <c r="DA165" s="0" t="n">
        <v>0.95</v>
      </c>
      <c r="DB165" s="0" t="n">
        <v>0.88</v>
      </c>
      <c r="DC165" s="0" t="n">
        <v>0.9</v>
      </c>
      <c r="DD165" s="0" t="n">
        <v>0.935</v>
      </c>
      <c r="DE165" s="0" t="n">
        <v>0.89</v>
      </c>
      <c r="DN165" s="188" t="n">
        <v>0.000285</v>
      </c>
      <c r="DO165" s="188" t="n">
        <v>0.0002</v>
      </c>
      <c r="DP165" s="188" t="n">
        <v>0</v>
      </c>
      <c r="DQ165" s="188" t="n">
        <v>0.0001</v>
      </c>
      <c r="DR165" s="188" t="n">
        <v>0</v>
      </c>
      <c r="DS165" s="188" t="n">
        <v>0.0036</v>
      </c>
      <c r="DT165" s="188" t="n">
        <v>0.00047</v>
      </c>
      <c r="DU165" s="188" t="n">
        <v>0.0007</v>
      </c>
      <c r="DV165" s="188" t="n">
        <v>0</v>
      </c>
      <c r="DW165" s="188" t="n">
        <v>0</v>
      </c>
      <c r="DX165" s="188" t="n">
        <v>0.0005</v>
      </c>
      <c r="DY165" s="188" t="n">
        <v>0.0005</v>
      </c>
      <c r="DZ165" s="188" t="n">
        <v>0.0003</v>
      </c>
      <c r="EA165" s="188" t="n">
        <v>0.000275</v>
      </c>
      <c r="EB165" s="188" t="n">
        <v>0.0004</v>
      </c>
      <c r="ED165" s="188" t="n">
        <v>6.5E-005</v>
      </c>
      <c r="EF165" s="0" t="n">
        <v>1</v>
      </c>
    </row>
    <row r="166" customFormat="false" ht="12.75" hidden="false" customHeight="false" outlineLevel="0" collapsed="false">
      <c r="A166" s="149" t="n">
        <v>41426</v>
      </c>
      <c r="B166" s="0" t="n">
        <v>0.98</v>
      </c>
      <c r="C166" s="0" t="n">
        <v>0</v>
      </c>
      <c r="E166" s="0" t="n">
        <v>0</v>
      </c>
      <c r="F166" s="0" t="n">
        <v>0</v>
      </c>
      <c r="G166" s="0" t="n">
        <v>0.823956</v>
      </c>
      <c r="H166" s="0" t="n">
        <v>0.9875</v>
      </c>
      <c r="I166" s="0" t="n">
        <v>0.9875</v>
      </c>
      <c r="J166" s="0" t="n">
        <v>0.9805</v>
      </c>
      <c r="K166" s="0" t="n">
        <v>0.985</v>
      </c>
      <c r="L166" s="176" t="n">
        <v>0.9875</v>
      </c>
      <c r="M166" s="176" t="n">
        <v>0.9875</v>
      </c>
      <c r="N166" s="0" t="n">
        <v>0.98</v>
      </c>
      <c r="O166" s="0" t="n">
        <v>0.985399138</v>
      </c>
      <c r="P166" s="0" t="n">
        <v>0.98</v>
      </c>
      <c r="Q166" s="177" t="n">
        <v>0.9875</v>
      </c>
      <c r="R166" s="0" t="n">
        <v>0.9875</v>
      </c>
      <c r="S166" s="176" t="n">
        <v>0.9875</v>
      </c>
      <c r="T166" s="0" t="n">
        <v>0.98</v>
      </c>
      <c r="U166" s="0" t="n">
        <v>0.98</v>
      </c>
      <c r="V166" s="0" t="n">
        <v>0.98</v>
      </c>
      <c r="W166" s="0" t="n">
        <v>0.98</v>
      </c>
      <c r="X166" s="0" t="n">
        <v>0.985399138</v>
      </c>
      <c r="Y166" s="0" t="n">
        <v>0.985399138</v>
      </c>
      <c r="Z166" s="0" t="n">
        <v>0.985399138</v>
      </c>
      <c r="AA166" s="0" t="n">
        <v>0.985399138</v>
      </c>
      <c r="AB166" s="0" t="n">
        <v>0.98</v>
      </c>
      <c r="AC166" s="0" t="n">
        <v>0.98</v>
      </c>
      <c r="AD166" s="0" t="n">
        <v>0.985399138</v>
      </c>
      <c r="AE166" s="0" t="n">
        <v>0.985399138</v>
      </c>
      <c r="AF166" s="0" t="n">
        <v>0.98</v>
      </c>
      <c r="AG166" s="0" t="n">
        <v>0.99</v>
      </c>
      <c r="AH166" s="0" t="n">
        <v>0.9804151</v>
      </c>
      <c r="AI166" s="0" t="n">
        <v>0.9804151</v>
      </c>
      <c r="AJ166" s="0" t="n">
        <v>0.98</v>
      </c>
      <c r="AK166" s="0" t="n">
        <v>1</v>
      </c>
      <c r="AL166" s="0" t="n">
        <v>0.985</v>
      </c>
      <c r="AM166" s="0" t="n">
        <v>0</v>
      </c>
      <c r="BB166" s="187" t="n">
        <v>1</v>
      </c>
      <c r="BC166" s="0" t="n">
        <v>1</v>
      </c>
      <c r="BD166" s="0" t="n">
        <v>1</v>
      </c>
      <c r="BE166" s="0" t="n">
        <v>1</v>
      </c>
      <c r="BF166" s="0" t="n">
        <v>0.9999</v>
      </c>
      <c r="BG166" s="0" t="n">
        <v>1</v>
      </c>
      <c r="BH166" s="0" t="n">
        <v>1</v>
      </c>
      <c r="BI166" s="0" t="n">
        <v>0.99</v>
      </c>
      <c r="BJ166" s="0" t="n">
        <v>0.999</v>
      </c>
      <c r="BK166" s="0" t="n">
        <v>0.998</v>
      </c>
      <c r="BL166" s="0" t="n">
        <v>0.9985</v>
      </c>
      <c r="BM166" s="0" t="n">
        <v>0.9985</v>
      </c>
      <c r="BN166" s="0" t="n">
        <v>0.972</v>
      </c>
      <c r="BO166" s="0" t="n">
        <v>0.9999</v>
      </c>
      <c r="BP166" s="0" t="n">
        <v>0.9999</v>
      </c>
      <c r="BQ166" s="0" t="n">
        <v>1</v>
      </c>
      <c r="BR166" s="0" t="n">
        <v>1.1097476</v>
      </c>
      <c r="BS166" s="0" t="n">
        <v>1.1212</v>
      </c>
      <c r="BT166" s="0" t="n">
        <v>1.0827</v>
      </c>
      <c r="BU166" s="0" t="n">
        <v>1.0209</v>
      </c>
      <c r="BV166" s="0" t="n">
        <v>1</v>
      </c>
      <c r="BW166" s="0" t="n">
        <v>2.4234</v>
      </c>
      <c r="BX166" s="0" t="n">
        <v>2.307296333</v>
      </c>
      <c r="BY166" s="0" t="n">
        <v>1.13125</v>
      </c>
      <c r="BZ166" s="0" t="n">
        <v>1.2885</v>
      </c>
      <c r="CA166" s="0" t="n">
        <v>2.001</v>
      </c>
      <c r="CB166" s="0" t="n">
        <v>1.545005</v>
      </c>
      <c r="CC166" s="0" t="n">
        <v>1.545005</v>
      </c>
      <c r="CD166" s="0" t="n">
        <v>1.280505</v>
      </c>
      <c r="CE166" s="0" t="n">
        <v>1.091855</v>
      </c>
      <c r="CF166" s="0" t="n">
        <v>1.450205</v>
      </c>
      <c r="CG166" s="188"/>
      <c r="CH166" s="0" t="n">
        <v>1.10159</v>
      </c>
      <c r="CI166" s="188"/>
      <c r="CJ166" s="188"/>
      <c r="CK166" s="188"/>
      <c r="CL166" s="188"/>
      <c r="CM166" s="188"/>
      <c r="CN166" s="188"/>
      <c r="CO166" s="188"/>
      <c r="CP166" s="0" t="n">
        <v>0.965</v>
      </c>
      <c r="CU166" s="0" t="n">
        <v>0.34</v>
      </c>
      <c r="CV166" s="0" t="n">
        <v>0.47</v>
      </c>
      <c r="CW166" s="0" t="n">
        <v>0.935</v>
      </c>
      <c r="CX166" s="0" t="n">
        <v>0.695</v>
      </c>
      <c r="CY166" s="0" t="n">
        <v>0.725</v>
      </c>
      <c r="CZ166" s="0" t="n">
        <v>0.8825</v>
      </c>
      <c r="DA166" s="0" t="n">
        <v>0.915</v>
      </c>
      <c r="DB166" s="0" t="n">
        <v>0.88</v>
      </c>
      <c r="DC166" s="0" t="n">
        <v>0.9025</v>
      </c>
      <c r="DD166" s="0" t="n">
        <v>0.915</v>
      </c>
      <c r="DE166" s="0" t="n">
        <v>0.89</v>
      </c>
      <c r="DN166" s="188" t="n">
        <v>0.000285</v>
      </c>
      <c r="DO166" s="188" t="n">
        <v>0.0002</v>
      </c>
      <c r="DP166" s="188" t="n">
        <v>0</v>
      </c>
      <c r="DQ166" s="188" t="n">
        <v>0.0001</v>
      </c>
      <c r="DR166" s="188" t="n">
        <v>0</v>
      </c>
      <c r="DS166" s="188" t="n">
        <v>0.0036</v>
      </c>
      <c r="DT166" s="188" t="n">
        <v>0.00047</v>
      </c>
      <c r="DU166" s="188" t="n">
        <v>0.0007</v>
      </c>
      <c r="DV166" s="188" t="n">
        <v>0</v>
      </c>
      <c r="DW166" s="188" t="n">
        <v>0</v>
      </c>
      <c r="DX166" s="188" t="n">
        <v>0.0005</v>
      </c>
      <c r="DY166" s="188" t="n">
        <v>0.0005</v>
      </c>
      <c r="DZ166" s="188" t="n">
        <v>0.0003</v>
      </c>
      <c r="EA166" s="188" t="n">
        <v>0.000275</v>
      </c>
      <c r="EB166" s="188" t="n">
        <v>0.0004</v>
      </c>
      <c r="ED166" s="188" t="n">
        <v>6.5E-005</v>
      </c>
      <c r="EF166" s="0" t="n">
        <v>1</v>
      </c>
    </row>
    <row r="167" customFormat="false" ht="12.75" hidden="false" customHeight="false" outlineLevel="0" collapsed="false">
      <c r="A167" s="149" t="n">
        <v>41456</v>
      </c>
      <c r="B167" s="0" t="n">
        <v>0.98</v>
      </c>
      <c r="C167" s="0" t="n">
        <v>0</v>
      </c>
      <c r="E167" s="0" t="n">
        <v>0</v>
      </c>
      <c r="F167" s="0" t="n">
        <v>0</v>
      </c>
      <c r="G167" s="0" t="n">
        <v>0.9875</v>
      </c>
      <c r="H167" s="0" t="n">
        <v>0.9875</v>
      </c>
      <c r="I167" s="0" t="n">
        <v>0.9875</v>
      </c>
      <c r="J167" s="0" t="n">
        <v>0.9805</v>
      </c>
      <c r="K167" s="0" t="n">
        <v>0.985</v>
      </c>
      <c r="L167" s="176" t="n">
        <v>0.9875</v>
      </c>
      <c r="M167" s="176" t="n">
        <v>0.9875</v>
      </c>
      <c r="N167" s="0" t="n">
        <v>0.98</v>
      </c>
      <c r="O167" s="0" t="n">
        <v>0.9875</v>
      </c>
      <c r="P167" s="0" t="n">
        <v>0.98</v>
      </c>
      <c r="Q167" s="177" t="n">
        <v>0.9875</v>
      </c>
      <c r="R167" s="0" t="n">
        <v>0.9875</v>
      </c>
      <c r="S167" s="176" t="n">
        <v>0.9875</v>
      </c>
      <c r="T167" s="0" t="n">
        <v>0.98</v>
      </c>
      <c r="U167" s="0" t="n">
        <v>0.98</v>
      </c>
      <c r="V167" s="0" t="n">
        <v>0.98</v>
      </c>
      <c r="W167" s="0" t="n">
        <v>0.98</v>
      </c>
      <c r="X167" s="0" t="n">
        <v>0.9875</v>
      </c>
      <c r="Y167" s="0" t="n">
        <v>0.9875</v>
      </c>
      <c r="Z167" s="0" t="n">
        <v>0.9875</v>
      </c>
      <c r="AA167" s="0" t="n">
        <v>0.9875</v>
      </c>
      <c r="AB167" s="0" t="n">
        <v>0.98</v>
      </c>
      <c r="AC167" s="0" t="n">
        <v>0.98</v>
      </c>
      <c r="AD167" s="0" t="n">
        <v>0.9875</v>
      </c>
      <c r="AE167" s="0" t="n">
        <v>0.9875</v>
      </c>
      <c r="AF167" s="0" t="n">
        <v>0.98</v>
      </c>
      <c r="AG167" s="0" t="n">
        <v>0.99</v>
      </c>
      <c r="AH167" s="0" t="n">
        <v>0.98047295</v>
      </c>
      <c r="AI167" s="0" t="n">
        <v>0.98047295</v>
      </c>
      <c r="AJ167" s="0" t="n">
        <v>0.98</v>
      </c>
      <c r="AK167" s="0" t="n">
        <v>1</v>
      </c>
      <c r="AL167" s="0" t="n">
        <v>0.985</v>
      </c>
      <c r="AM167" s="0" t="n">
        <v>0</v>
      </c>
      <c r="BB167" s="187" t="n">
        <v>1</v>
      </c>
      <c r="BC167" s="0" t="n">
        <v>1</v>
      </c>
      <c r="BD167" s="0" t="n">
        <v>1</v>
      </c>
      <c r="BE167" s="0" t="n">
        <v>1</v>
      </c>
      <c r="BF167" s="0" t="n">
        <v>0.9999</v>
      </c>
      <c r="BG167" s="0" t="n">
        <v>1</v>
      </c>
      <c r="BH167" s="0" t="n">
        <v>1</v>
      </c>
      <c r="BI167" s="0" t="n">
        <v>0.99</v>
      </c>
      <c r="BJ167" s="0" t="n">
        <v>0.999</v>
      </c>
      <c r="BK167" s="0" t="n">
        <v>0.998</v>
      </c>
      <c r="BL167" s="0" t="n">
        <v>0.9985</v>
      </c>
      <c r="BM167" s="0" t="n">
        <v>0.9985</v>
      </c>
      <c r="BN167" s="0" t="n">
        <v>0.972</v>
      </c>
      <c r="BO167" s="0" t="n">
        <v>0.9999</v>
      </c>
      <c r="BP167" s="0" t="n">
        <v>0.9999</v>
      </c>
      <c r="BQ167" s="0" t="n">
        <v>1</v>
      </c>
      <c r="BR167" s="0" t="n">
        <v>1.1100326</v>
      </c>
      <c r="BS167" s="0" t="n">
        <v>1.1214</v>
      </c>
      <c r="BT167" s="0" t="n">
        <v>1.0827</v>
      </c>
      <c r="BU167" s="0" t="n">
        <v>1.021</v>
      </c>
      <c r="BV167" s="0" t="n">
        <v>1</v>
      </c>
      <c r="BW167" s="0" t="n">
        <v>2.427</v>
      </c>
      <c r="BX167" s="0" t="n">
        <v>2.307766333</v>
      </c>
      <c r="BY167" s="0" t="n">
        <v>1.13195</v>
      </c>
      <c r="BZ167" s="0" t="n">
        <v>1.2885</v>
      </c>
      <c r="CA167" s="0" t="n">
        <v>2.001</v>
      </c>
      <c r="CB167" s="0" t="n">
        <v>1.545505</v>
      </c>
      <c r="CC167" s="0" t="n">
        <v>1.545505</v>
      </c>
      <c r="CD167" s="0" t="n">
        <v>1.280805</v>
      </c>
      <c r="CE167" s="0" t="n">
        <v>1.09213</v>
      </c>
      <c r="CF167" s="0" t="n">
        <v>1.450605</v>
      </c>
      <c r="CG167" s="188"/>
      <c r="CH167" s="0" t="n">
        <v>1.101655</v>
      </c>
      <c r="CI167" s="188"/>
      <c r="CJ167" s="188"/>
      <c r="CK167" s="188"/>
      <c r="CL167" s="188"/>
      <c r="CM167" s="188"/>
      <c r="CN167" s="188"/>
      <c r="CO167" s="188"/>
      <c r="CP167" s="0" t="n">
        <v>0.975</v>
      </c>
      <c r="CU167" s="0" t="n">
        <v>0.41</v>
      </c>
      <c r="CV167" s="0" t="n">
        <v>0.47</v>
      </c>
      <c r="CW167" s="0" t="n">
        <v>0.935</v>
      </c>
      <c r="CX167" s="0" t="n">
        <v>0.715</v>
      </c>
      <c r="CY167" s="0" t="n">
        <v>0.725</v>
      </c>
      <c r="CZ167" s="0" t="n">
        <v>0.8775</v>
      </c>
      <c r="DA167" s="0" t="n">
        <v>0.91</v>
      </c>
      <c r="DB167" s="0" t="n">
        <v>0.89</v>
      </c>
      <c r="DC167" s="0" t="n">
        <v>0.9075</v>
      </c>
      <c r="DD167" s="0" t="n">
        <v>0.915</v>
      </c>
      <c r="DE167" s="0" t="n">
        <v>0.89</v>
      </c>
      <c r="DN167" s="188" t="n">
        <v>0.000285</v>
      </c>
      <c r="DO167" s="188" t="n">
        <v>0.0002</v>
      </c>
      <c r="DP167" s="188" t="n">
        <v>0</v>
      </c>
      <c r="DQ167" s="188" t="n">
        <v>0.0001</v>
      </c>
      <c r="DR167" s="188" t="n">
        <v>0</v>
      </c>
      <c r="DS167" s="188" t="n">
        <v>0.0036</v>
      </c>
      <c r="DT167" s="188" t="n">
        <v>0.00047</v>
      </c>
      <c r="DU167" s="188" t="n">
        <v>0.0007</v>
      </c>
      <c r="DV167" s="188" t="n">
        <v>0</v>
      </c>
      <c r="DW167" s="188" t="n">
        <v>0</v>
      </c>
      <c r="DX167" s="188" t="n">
        <v>0.0005</v>
      </c>
      <c r="DY167" s="188" t="n">
        <v>0.0005</v>
      </c>
      <c r="DZ167" s="188" t="n">
        <v>0.0003</v>
      </c>
      <c r="EA167" s="188" t="n">
        <v>0.000275</v>
      </c>
      <c r="EB167" s="188" t="n">
        <v>0.0004</v>
      </c>
      <c r="ED167" s="188" t="n">
        <v>6.5E-005</v>
      </c>
      <c r="EF167" s="0" t="n">
        <v>1</v>
      </c>
    </row>
    <row r="168" customFormat="false" ht="12.75" hidden="false" customHeight="false" outlineLevel="0" collapsed="false">
      <c r="A168" s="149" t="n">
        <v>41487</v>
      </c>
      <c r="B168" s="0" t="n">
        <v>0.98</v>
      </c>
      <c r="C168" s="0" t="n">
        <v>0</v>
      </c>
      <c r="E168" s="0" t="n">
        <v>0</v>
      </c>
      <c r="F168" s="0" t="n">
        <v>0</v>
      </c>
      <c r="G168" s="0" t="n">
        <v>0.9875</v>
      </c>
      <c r="H168" s="0" t="n">
        <v>0.9875</v>
      </c>
      <c r="I168" s="0" t="n">
        <v>0.9875</v>
      </c>
      <c r="J168" s="0" t="n">
        <v>0.9805</v>
      </c>
      <c r="K168" s="0" t="n">
        <v>0.985</v>
      </c>
      <c r="L168" s="176" t="n">
        <v>0.9875</v>
      </c>
      <c r="M168" s="176" t="n">
        <v>0.9875</v>
      </c>
      <c r="N168" s="0" t="n">
        <v>0.98</v>
      </c>
      <c r="O168" s="0" t="n">
        <v>0.9875</v>
      </c>
      <c r="P168" s="0" t="n">
        <v>0.98</v>
      </c>
      <c r="Q168" s="177" t="n">
        <v>0.9875</v>
      </c>
      <c r="R168" s="0" t="n">
        <v>0.9875</v>
      </c>
      <c r="S168" s="176" t="n">
        <v>0.9875</v>
      </c>
      <c r="T168" s="0" t="n">
        <v>0.98</v>
      </c>
      <c r="U168" s="0" t="n">
        <v>0.98</v>
      </c>
      <c r="V168" s="0" t="n">
        <v>0.98</v>
      </c>
      <c r="W168" s="0" t="n">
        <v>0.98</v>
      </c>
      <c r="X168" s="0" t="n">
        <v>0.9875</v>
      </c>
      <c r="Y168" s="0" t="n">
        <v>0.9875</v>
      </c>
      <c r="Z168" s="0" t="n">
        <v>0.9875</v>
      </c>
      <c r="AA168" s="0" t="n">
        <v>0.9875</v>
      </c>
      <c r="AB168" s="0" t="n">
        <v>0.98</v>
      </c>
      <c r="AC168" s="0" t="n">
        <v>0.98</v>
      </c>
      <c r="AD168" s="0" t="n">
        <v>0.9875</v>
      </c>
      <c r="AE168" s="0" t="n">
        <v>0.9875</v>
      </c>
      <c r="AF168" s="0" t="n">
        <v>0.98</v>
      </c>
      <c r="AG168" s="0" t="n">
        <v>0.99</v>
      </c>
      <c r="AH168" s="0" t="n">
        <v>0.9805308</v>
      </c>
      <c r="AI168" s="0" t="n">
        <v>0.9805308</v>
      </c>
      <c r="AJ168" s="0" t="n">
        <v>0.98</v>
      </c>
      <c r="AK168" s="0" t="n">
        <v>1</v>
      </c>
      <c r="AL168" s="0" t="n">
        <v>0.985</v>
      </c>
      <c r="AM168" s="0" t="n">
        <v>0</v>
      </c>
      <c r="BB168" s="187" t="n">
        <v>1</v>
      </c>
      <c r="BC168" s="0" t="n">
        <v>1</v>
      </c>
      <c r="BD168" s="0" t="n">
        <v>1</v>
      </c>
      <c r="BE168" s="0" t="n">
        <v>1</v>
      </c>
      <c r="BF168" s="0" t="n">
        <v>0.9999</v>
      </c>
      <c r="BG168" s="0" t="n">
        <v>1</v>
      </c>
      <c r="BH168" s="0" t="n">
        <v>1</v>
      </c>
      <c r="BI168" s="0" t="n">
        <v>0.99</v>
      </c>
      <c r="BJ168" s="0" t="n">
        <v>0.999</v>
      </c>
      <c r="BK168" s="0" t="n">
        <v>0.998</v>
      </c>
      <c r="BL168" s="0" t="n">
        <v>0.9985</v>
      </c>
      <c r="BM168" s="0" t="n">
        <v>0.9985</v>
      </c>
      <c r="BN168" s="0" t="n">
        <v>0.972</v>
      </c>
      <c r="BO168" s="0" t="n">
        <v>0.9999</v>
      </c>
      <c r="BP168" s="0" t="n">
        <v>0.9999</v>
      </c>
      <c r="BQ168" s="0" t="n">
        <v>1</v>
      </c>
      <c r="BR168" s="0" t="n">
        <v>1.1103176</v>
      </c>
      <c r="BS168" s="0" t="n">
        <v>1.1216</v>
      </c>
      <c r="BT168" s="0" t="n">
        <v>1.0827</v>
      </c>
      <c r="BU168" s="0" t="n">
        <v>1.0211</v>
      </c>
      <c r="BV168" s="0" t="n">
        <v>1</v>
      </c>
      <c r="BW168" s="0" t="n">
        <v>2.4306</v>
      </c>
      <c r="BX168" s="0" t="n">
        <v>2.308236333</v>
      </c>
      <c r="BY168" s="0" t="n">
        <v>1.13265</v>
      </c>
      <c r="BZ168" s="0" t="n">
        <v>1.2885</v>
      </c>
      <c r="CA168" s="0" t="n">
        <v>2.001</v>
      </c>
      <c r="CB168" s="0" t="n">
        <v>1.546005</v>
      </c>
      <c r="CC168" s="0" t="n">
        <v>1.546005</v>
      </c>
      <c r="CD168" s="0" t="n">
        <v>1.281105</v>
      </c>
      <c r="CE168" s="0" t="n">
        <v>1.092405</v>
      </c>
      <c r="CF168" s="0" t="n">
        <v>1.451005</v>
      </c>
      <c r="CG168" s="188"/>
      <c r="CH168" s="0" t="n">
        <v>1.10172</v>
      </c>
      <c r="CI168" s="188"/>
      <c r="CJ168" s="188"/>
      <c r="CK168" s="188"/>
      <c r="CL168" s="188"/>
      <c r="CM168" s="188"/>
      <c r="CN168" s="188"/>
      <c r="CO168" s="188"/>
      <c r="CP168" s="0" t="n">
        <v>0.975</v>
      </c>
      <c r="CU168" s="0" t="n">
        <v>0.43</v>
      </c>
      <c r="CV168" s="0" t="n">
        <v>0.52</v>
      </c>
      <c r="CW168" s="0" t="n">
        <v>0.925</v>
      </c>
      <c r="CX168" s="0" t="n">
        <v>0.805</v>
      </c>
      <c r="CY168" s="0" t="n">
        <v>0.725</v>
      </c>
      <c r="CZ168" s="0" t="n">
        <v>0.89</v>
      </c>
      <c r="DA168" s="0" t="n">
        <v>0.9225</v>
      </c>
      <c r="DB168" s="0" t="n">
        <v>0.915</v>
      </c>
      <c r="DC168" s="0" t="n">
        <v>0.9275</v>
      </c>
      <c r="DD168" s="0" t="n">
        <v>0.915</v>
      </c>
      <c r="DE168" s="0" t="n">
        <v>0.89</v>
      </c>
      <c r="DN168" s="188" t="n">
        <v>0.000285</v>
      </c>
      <c r="DO168" s="188" t="n">
        <v>0.0002</v>
      </c>
      <c r="DP168" s="188" t="n">
        <v>0</v>
      </c>
      <c r="DQ168" s="188" t="n">
        <v>0.0001</v>
      </c>
      <c r="DR168" s="188" t="n">
        <v>0</v>
      </c>
      <c r="DS168" s="188" t="n">
        <v>0.0036</v>
      </c>
      <c r="DT168" s="188" t="n">
        <v>0.00047</v>
      </c>
      <c r="DU168" s="188" t="n">
        <v>0.0007</v>
      </c>
      <c r="DV168" s="188" t="n">
        <v>0</v>
      </c>
      <c r="DW168" s="188" t="n">
        <v>0</v>
      </c>
      <c r="DX168" s="188" t="n">
        <v>0.0005</v>
      </c>
      <c r="DY168" s="188" t="n">
        <v>0.0005</v>
      </c>
      <c r="DZ168" s="188" t="n">
        <v>0.0003</v>
      </c>
      <c r="EA168" s="188" t="n">
        <v>0.000275</v>
      </c>
      <c r="EB168" s="188" t="n">
        <v>0.0004</v>
      </c>
      <c r="ED168" s="188" t="n">
        <v>6.5E-005</v>
      </c>
      <c r="EF168" s="0" t="n">
        <v>1</v>
      </c>
    </row>
    <row r="169" customFormat="false" ht="12.75" hidden="false" customHeight="false" outlineLevel="0" collapsed="false">
      <c r="A169" s="149" t="n">
        <v>41518</v>
      </c>
      <c r="B169" s="0" t="n">
        <v>0.98</v>
      </c>
      <c r="C169" s="0" t="n">
        <v>0</v>
      </c>
      <c r="E169" s="0" t="n">
        <v>0</v>
      </c>
      <c r="F169" s="0" t="n">
        <v>0</v>
      </c>
      <c r="G169" s="0" t="n">
        <v>0.9875</v>
      </c>
      <c r="H169" s="0" t="n">
        <v>0.9875</v>
      </c>
      <c r="I169" s="0" t="n">
        <v>0.9875</v>
      </c>
      <c r="J169" s="0" t="n">
        <v>0.9805</v>
      </c>
      <c r="K169" s="0" t="n">
        <v>0.985</v>
      </c>
      <c r="L169" s="176" t="n">
        <v>0.9875</v>
      </c>
      <c r="M169" s="176" t="n">
        <v>0.9875</v>
      </c>
      <c r="N169" s="0" t="n">
        <v>0.98</v>
      </c>
      <c r="O169" s="0" t="n">
        <v>0.9875</v>
      </c>
      <c r="P169" s="0" t="n">
        <v>0.98</v>
      </c>
      <c r="Q169" s="177" t="n">
        <v>0.9875</v>
      </c>
      <c r="R169" s="0" t="n">
        <v>0.9875</v>
      </c>
      <c r="S169" s="176" t="n">
        <v>0.9875</v>
      </c>
      <c r="T169" s="0" t="n">
        <v>0.98</v>
      </c>
      <c r="U169" s="0" t="n">
        <v>0.98</v>
      </c>
      <c r="V169" s="0" t="n">
        <v>0.98</v>
      </c>
      <c r="W169" s="0" t="n">
        <v>0.98</v>
      </c>
      <c r="X169" s="0" t="n">
        <v>0.9875</v>
      </c>
      <c r="Y169" s="0" t="n">
        <v>0.9875</v>
      </c>
      <c r="Z169" s="0" t="n">
        <v>0.9875</v>
      </c>
      <c r="AA169" s="0" t="n">
        <v>0.9875</v>
      </c>
      <c r="AB169" s="0" t="n">
        <v>0.98</v>
      </c>
      <c r="AC169" s="0" t="n">
        <v>0.98</v>
      </c>
      <c r="AD169" s="0" t="n">
        <v>0.9875</v>
      </c>
      <c r="AE169" s="0" t="n">
        <v>0.9875</v>
      </c>
      <c r="AF169" s="0" t="n">
        <v>0.98</v>
      </c>
      <c r="AG169" s="0" t="n">
        <v>0.99</v>
      </c>
      <c r="AH169" s="0" t="n">
        <v>0.98058865</v>
      </c>
      <c r="AI169" s="0" t="n">
        <v>0.98058865</v>
      </c>
      <c r="AJ169" s="0" t="n">
        <v>0.98</v>
      </c>
      <c r="AK169" s="0" t="n">
        <v>1</v>
      </c>
      <c r="AL169" s="0" t="n">
        <v>0.985</v>
      </c>
      <c r="AM169" s="0" t="n">
        <v>0</v>
      </c>
      <c r="BB169" s="187" t="n">
        <v>1</v>
      </c>
      <c r="BC169" s="0" t="n">
        <v>1</v>
      </c>
      <c r="BD169" s="0" t="n">
        <v>1</v>
      </c>
      <c r="BE169" s="0" t="n">
        <v>1</v>
      </c>
      <c r="BF169" s="0" t="n">
        <v>0.9999</v>
      </c>
      <c r="BG169" s="0" t="n">
        <v>1</v>
      </c>
      <c r="BH169" s="0" t="n">
        <v>1</v>
      </c>
      <c r="BI169" s="0" t="n">
        <v>0.99</v>
      </c>
      <c r="BJ169" s="0" t="n">
        <v>0.999</v>
      </c>
      <c r="BK169" s="0" t="n">
        <v>0.998</v>
      </c>
      <c r="BL169" s="0" t="n">
        <v>0.9985</v>
      </c>
      <c r="BM169" s="0" t="n">
        <v>0.9985</v>
      </c>
      <c r="BN169" s="0" t="n">
        <v>0.972</v>
      </c>
      <c r="BO169" s="0" t="n">
        <v>0.9999</v>
      </c>
      <c r="BP169" s="0" t="n">
        <v>0.9999</v>
      </c>
      <c r="BQ169" s="0" t="n">
        <v>1</v>
      </c>
      <c r="BR169" s="0" t="n">
        <v>1.1106026</v>
      </c>
      <c r="BS169" s="0" t="n">
        <v>1.1218</v>
      </c>
      <c r="BT169" s="0" t="n">
        <v>1.0827</v>
      </c>
      <c r="BU169" s="0" t="n">
        <v>1.0212</v>
      </c>
      <c r="BV169" s="0" t="n">
        <v>1</v>
      </c>
      <c r="BW169" s="0" t="n">
        <v>2.4342</v>
      </c>
      <c r="BX169" s="0" t="n">
        <v>2.308706333</v>
      </c>
      <c r="BY169" s="0" t="n">
        <v>1.13335</v>
      </c>
      <c r="BZ169" s="0" t="n">
        <v>1.2885</v>
      </c>
      <c r="CA169" s="0" t="n">
        <v>2.001</v>
      </c>
      <c r="CB169" s="0" t="n">
        <v>1.546505</v>
      </c>
      <c r="CC169" s="0" t="n">
        <v>1.546505</v>
      </c>
      <c r="CD169" s="0" t="n">
        <v>1.281405</v>
      </c>
      <c r="CE169" s="0" t="n">
        <v>1.09268</v>
      </c>
      <c r="CF169" s="0" t="n">
        <v>1.451405</v>
      </c>
      <c r="CG169" s="188"/>
      <c r="CH169" s="0" t="n">
        <v>1.101785</v>
      </c>
      <c r="CI169" s="188"/>
      <c r="CJ169" s="188"/>
      <c r="CK169" s="188"/>
      <c r="CL169" s="188"/>
      <c r="CM169" s="188"/>
      <c r="CN169" s="188"/>
      <c r="CO169" s="188"/>
      <c r="CP169" s="0" t="n">
        <v>0.975</v>
      </c>
      <c r="CU169" s="0" t="n">
        <v>0.46</v>
      </c>
      <c r="CV169" s="0" t="n">
        <v>0.55</v>
      </c>
      <c r="CW169" s="0" t="n">
        <v>0.925</v>
      </c>
      <c r="CX169" s="0" t="n">
        <v>0.665</v>
      </c>
      <c r="CY169" s="0" t="n">
        <v>0.575</v>
      </c>
      <c r="CZ169" s="0" t="n">
        <v>0.945</v>
      </c>
      <c r="DA169" s="0" t="n">
        <v>0.9775</v>
      </c>
      <c r="DB169" s="0" t="n">
        <v>0.945</v>
      </c>
      <c r="DC169" s="0" t="n">
        <v>0.92</v>
      </c>
      <c r="DD169" s="0" t="n">
        <v>0.915</v>
      </c>
      <c r="DE169" s="0" t="n">
        <v>0.89</v>
      </c>
      <c r="DN169" s="188" t="n">
        <v>0.000285</v>
      </c>
      <c r="DO169" s="188" t="n">
        <v>0.0002</v>
      </c>
      <c r="DP169" s="188" t="n">
        <v>0</v>
      </c>
      <c r="DQ169" s="188" t="n">
        <v>0.0001</v>
      </c>
      <c r="DR169" s="188" t="n">
        <v>0</v>
      </c>
      <c r="DS169" s="188" t="n">
        <v>0.0036</v>
      </c>
      <c r="DT169" s="188" t="n">
        <v>0.00047</v>
      </c>
      <c r="DU169" s="188" t="n">
        <v>0.0007</v>
      </c>
      <c r="DV169" s="188" t="n">
        <v>0</v>
      </c>
      <c r="DW169" s="188" t="n">
        <v>0</v>
      </c>
      <c r="DX169" s="188" t="n">
        <v>0.0005</v>
      </c>
      <c r="DY169" s="188" t="n">
        <v>0.0005</v>
      </c>
      <c r="DZ169" s="188" t="n">
        <v>0.0003</v>
      </c>
      <c r="EA169" s="188" t="n">
        <v>0.000275</v>
      </c>
      <c r="EB169" s="188" t="n">
        <v>0.0004</v>
      </c>
      <c r="ED169" s="188" t="n">
        <v>6.5E-005</v>
      </c>
      <c r="EF169" s="0" t="n">
        <v>1</v>
      </c>
    </row>
    <row r="170" customFormat="false" ht="12.75" hidden="false" customHeight="false" outlineLevel="0" collapsed="false">
      <c r="A170" s="149" t="n">
        <v>41548</v>
      </c>
      <c r="B170" s="0" t="n">
        <v>0.98</v>
      </c>
      <c r="C170" s="0" t="n">
        <v>0</v>
      </c>
      <c r="E170" s="0" t="n">
        <v>0</v>
      </c>
      <c r="F170" s="0" t="n">
        <v>0</v>
      </c>
      <c r="G170" s="0" t="n">
        <v>0.9875</v>
      </c>
      <c r="H170" s="0" t="n">
        <v>0.9875</v>
      </c>
      <c r="I170" s="0" t="n">
        <v>0.9875</v>
      </c>
      <c r="J170" s="0" t="n">
        <v>0.9805</v>
      </c>
      <c r="K170" s="0" t="n">
        <v>0.985</v>
      </c>
      <c r="L170" s="176" t="n">
        <v>0.9875</v>
      </c>
      <c r="M170" s="176" t="n">
        <v>0.9875</v>
      </c>
      <c r="N170" s="0" t="n">
        <v>0.98</v>
      </c>
      <c r="O170" s="0" t="n">
        <v>0.986391888</v>
      </c>
      <c r="P170" s="0" t="n">
        <v>0.98</v>
      </c>
      <c r="Q170" s="177" t="n">
        <v>0.9875</v>
      </c>
      <c r="R170" s="0" t="n">
        <v>0.9875</v>
      </c>
      <c r="S170" s="176" t="n">
        <v>0.9875</v>
      </c>
      <c r="T170" s="0" t="n">
        <v>0.98</v>
      </c>
      <c r="U170" s="0" t="n">
        <v>0.98</v>
      </c>
      <c r="V170" s="0" t="n">
        <v>0.98</v>
      </c>
      <c r="W170" s="0" t="n">
        <v>0.98</v>
      </c>
      <c r="X170" s="0" t="n">
        <v>0.986391888</v>
      </c>
      <c r="Y170" s="0" t="n">
        <v>0.986391888</v>
      </c>
      <c r="Z170" s="0" t="n">
        <v>0.986391888</v>
      </c>
      <c r="AA170" s="0" t="n">
        <v>0.986391888</v>
      </c>
      <c r="AB170" s="0" t="n">
        <v>0.98</v>
      </c>
      <c r="AC170" s="0" t="n">
        <v>0.98</v>
      </c>
      <c r="AD170" s="0" t="n">
        <v>0.986391888</v>
      </c>
      <c r="AE170" s="0" t="n">
        <v>0.986391888</v>
      </c>
      <c r="AF170" s="0" t="n">
        <v>0.98</v>
      </c>
      <c r="AG170" s="0" t="n">
        <v>0.99</v>
      </c>
      <c r="AH170" s="0" t="n">
        <v>0.9806465</v>
      </c>
      <c r="AI170" s="0" t="n">
        <v>0.9806465</v>
      </c>
      <c r="AJ170" s="0" t="n">
        <v>0.98</v>
      </c>
      <c r="AK170" s="0" t="n">
        <v>1</v>
      </c>
      <c r="AL170" s="0" t="n">
        <v>0.985</v>
      </c>
      <c r="AM170" s="0" t="n">
        <v>0</v>
      </c>
      <c r="BB170" s="187" t="n">
        <v>1</v>
      </c>
      <c r="BC170" s="0" t="n">
        <v>1</v>
      </c>
      <c r="BD170" s="0" t="n">
        <v>1</v>
      </c>
      <c r="BE170" s="0" t="n">
        <v>1</v>
      </c>
      <c r="BF170" s="0" t="n">
        <v>0.9999</v>
      </c>
      <c r="BG170" s="0" t="n">
        <v>1</v>
      </c>
      <c r="BH170" s="0" t="n">
        <v>1</v>
      </c>
      <c r="BI170" s="0" t="n">
        <v>0.99</v>
      </c>
      <c r="BJ170" s="0" t="n">
        <v>0.999</v>
      </c>
      <c r="BK170" s="0" t="n">
        <v>0.998</v>
      </c>
      <c r="BL170" s="0" t="n">
        <v>0.9985</v>
      </c>
      <c r="BM170" s="0" t="n">
        <v>0.9985</v>
      </c>
      <c r="BN170" s="0" t="n">
        <v>0.972</v>
      </c>
      <c r="BO170" s="0" t="n">
        <v>0.9999</v>
      </c>
      <c r="BP170" s="0" t="n">
        <v>0.9999</v>
      </c>
      <c r="BQ170" s="0" t="n">
        <v>1</v>
      </c>
      <c r="BR170" s="0" t="n">
        <v>1.1108876</v>
      </c>
      <c r="BS170" s="0" t="n">
        <v>1.122</v>
      </c>
      <c r="BT170" s="0" t="n">
        <v>1.0827</v>
      </c>
      <c r="BU170" s="0" t="n">
        <v>1.0213</v>
      </c>
      <c r="BV170" s="0" t="n">
        <v>1</v>
      </c>
      <c r="BW170" s="0" t="n">
        <v>2.4378</v>
      </c>
      <c r="BX170" s="0" t="n">
        <v>2.309176333</v>
      </c>
      <c r="BY170" s="0" t="n">
        <v>1.13405</v>
      </c>
      <c r="BZ170" s="0" t="n">
        <v>1.2885</v>
      </c>
      <c r="CA170" s="0" t="n">
        <v>2.001</v>
      </c>
      <c r="CB170" s="0" t="n">
        <v>1.547005</v>
      </c>
      <c r="CC170" s="0" t="n">
        <v>1.547005</v>
      </c>
      <c r="CD170" s="0" t="n">
        <v>1.281705</v>
      </c>
      <c r="CE170" s="0" t="n">
        <v>1.092955</v>
      </c>
      <c r="CF170" s="0" t="n">
        <v>1.451805</v>
      </c>
      <c r="CG170" s="188"/>
      <c r="CH170" s="0" t="n">
        <v>1.10185</v>
      </c>
      <c r="CI170" s="188"/>
      <c r="CJ170" s="188"/>
      <c r="CK170" s="188"/>
      <c r="CL170" s="188"/>
      <c r="CM170" s="188"/>
      <c r="CN170" s="188"/>
      <c r="CO170" s="188"/>
      <c r="CP170" s="0" t="n">
        <v>0.955</v>
      </c>
      <c r="CU170" s="0" t="n">
        <v>0.46</v>
      </c>
      <c r="CV170" s="0" t="n">
        <v>0.45</v>
      </c>
      <c r="CW170" s="0" t="n">
        <v>0.925</v>
      </c>
      <c r="CX170" s="0" t="n">
        <v>0.655</v>
      </c>
      <c r="CY170" s="0" t="n">
        <v>0.505</v>
      </c>
      <c r="CZ170" s="0" t="n">
        <v>0.805</v>
      </c>
      <c r="DA170" s="0" t="n">
        <v>0.8375</v>
      </c>
      <c r="DB170" s="0" t="n">
        <v>0.875</v>
      </c>
      <c r="DC170" s="0" t="n">
        <v>0.9025</v>
      </c>
      <c r="DD170" s="0" t="n">
        <v>0.82</v>
      </c>
      <c r="DE170" s="0" t="n">
        <v>0.89</v>
      </c>
      <c r="DN170" s="188" t="n">
        <v>0.000285</v>
      </c>
      <c r="DO170" s="188" t="n">
        <v>0.0002</v>
      </c>
      <c r="DP170" s="188" t="n">
        <v>0</v>
      </c>
      <c r="DQ170" s="188" t="n">
        <v>0.0001</v>
      </c>
      <c r="DR170" s="188" t="n">
        <v>0</v>
      </c>
      <c r="DS170" s="188" t="n">
        <v>0.0036</v>
      </c>
      <c r="DT170" s="188" t="n">
        <v>0.00047</v>
      </c>
      <c r="DU170" s="188" t="n">
        <v>0.0007</v>
      </c>
      <c r="DV170" s="188" t="n">
        <v>0</v>
      </c>
      <c r="DW170" s="188" t="n">
        <v>0</v>
      </c>
      <c r="DX170" s="188" t="n">
        <v>0.0005</v>
      </c>
      <c r="DY170" s="188" t="n">
        <v>0.0005</v>
      </c>
      <c r="DZ170" s="188" t="n">
        <v>0.0003</v>
      </c>
      <c r="EA170" s="188" t="n">
        <v>0.000275</v>
      </c>
      <c r="EB170" s="188" t="n">
        <v>0.0004</v>
      </c>
      <c r="ED170" s="188" t="n">
        <v>6.5E-005</v>
      </c>
      <c r="EF170" s="0" t="n">
        <v>1</v>
      </c>
    </row>
    <row r="171" customFormat="false" ht="12.75" hidden="false" customHeight="false" outlineLevel="0" collapsed="false">
      <c r="A171" s="149" t="n">
        <v>41579</v>
      </c>
      <c r="B171" s="0" t="n">
        <v>0.98</v>
      </c>
      <c r="C171" s="0" t="n">
        <v>0</v>
      </c>
      <c r="E171" s="0" t="n">
        <v>0</v>
      </c>
      <c r="F171" s="0" t="n">
        <v>0</v>
      </c>
      <c r="G171" s="0" t="n">
        <v>0.9875</v>
      </c>
      <c r="H171" s="0" t="n">
        <v>0.9875</v>
      </c>
      <c r="I171" s="0" t="n">
        <v>0.9875</v>
      </c>
      <c r="J171" s="0" t="n">
        <v>0.9805</v>
      </c>
      <c r="K171" s="0" t="n">
        <v>0.970485</v>
      </c>
      <c r="L171" s="176" t="n">
        <v>0.9875</v>
      </c>
      <c r="M171" s="176" t="n">
        <v>0.9875</v>
      </c>
      <c r="N171" s="0" t="n">
        <v>0.98</v>
      </c>
      <c r="O171" s="0" t="n">
        <v>0.986640075</v>
      </c>
      <c r="P171" s="0" t="n">
        <v>0.98</v>
      </c>
      <c r="Q171" s="177" t="n">
        <v>0.9875</v>
      </c>
      <c r="R171" s="0" t="n">
        <v>0.9875</v>
      </c>
      <c r="S171" s="176" t="n">
        <v>0.9875</v>
      </c>
      <c r="T171" s="0" t="n">
        <v>0.98</v>
      </c>
      <c r="U171" s="0" t="n">
        <v>0.98</v>
      </c>
      <c r="V171" s="0" t="n">
        <v>0.98</v>
      </c>
      <c r="W171" s="0" t="n">
        <v>0.98</v>
      </c>
      <c r="X171" s="0" t="n">
        <v>0.986640075</v>
      </c>
      <c r="Y171" s="0" t="n">
        <v>0.986640075</v>
      </c>
      <c r="Z171" s="0" t="n">
        <v>0.986640075</v>
      </c>
      <c r="AA171" s="0" t="n">
        <v>0.986640075</v>
      </c>
      <c r="AB171" s="0" t="n">
        <v>0.98</v>
      </c>
      <c r="AC171" s="0" t="n">
        <v>0.98</v>
      </c>
      <c r="AD171" s="0" t="n">
        <v>0.986640075</v>
      </c>
      <c r="AE171" s="0" t="n">
        <v>0.986640075</v>
      </c>
      <c r="AF171" s="0" t="n">
        <v>0.98</v>
      </c>
      <c r="AG171" s="0" t="n">
        <v>0.99</v>
      </c>
      <c r="AH171" s="0" t="n">
        <v>0.98070435</v>
      </c>
      <c r="AI171" s="0" t="n">
        <v>0.98070435</v>
      </c>
      <c r="AJ171" s="0" t="n">
        <v>0.98</v>
      </c>
      <c r="AK171" s="0" t="n">
        <v>1</v>
      </c>
      <c r="AL171" s="0" t="n">
        <v>0.970485</v>
      </c>
      <c r="AM171" s="0" t="n">
        <v>0</v>
      </c>
      <c r="BB171" s="187" t="n">
        <v>1</v>
      </c>
      <c r="BC171" s="0" t="n">
        <v>1</v>
      </c>
      <c r="BD171" s="0" t="n">
        <v>1</v>
      </c>
      <c r="BE171" s="0" t="n">
        <v>1</v>
      </c>
      <c r="BF171" s="0" t="n">
        <v>0.9999</v>
      </c>
      <c r="BG171" s="0" t="n">
        <v>1</v>
      </c>
      <c r="BH171" s="0" t="n">
        <v>1</v>
      </c>
      <c r="BI171" s="0" t="n">
        <v>0.99</v>
      </c>
      <c r="BJ171" s="0" t="n">
        <v>0.999</v>
      </c>
      <c r="BK171" s="0" t="n">
        <v>0.998</v>
      </c>
      <c r="BL171" s="0" t="n">
        <v>0.9985</v>
      </c>
      <c r="BM171" s="0" t="n">
        <v>0.9985</v>
      </c>
      <c r="BN171" s="0" t="n">
        <v>0.972</v>
      </c>
      <c r="BO171" s="0" t="n">
        <v>0.9999</v>
      </c>
      <c r="BP171" s="0" t="n">
        <v>0.9999</v>
      </c>
      <c r="BQ171" s="0" t="n">
        <v>1</v>
      </c>
      <c r="BR171" s="0" t="n">
        <v>1.1111726</v>
      </c>
      <c r="BS171" s="0" t="n">
        <v>1.1222</v>
      </c>
      <c r="BT171" s="0" t="n">
        <v>1.0827</v>
      </c>
      <c r="BU171" s="0" t="n">
        <v>1.0214</v>
      </c>
      <c r="BV171" s="0" t="n">
        <v>1</v>
      </c>
      <c r="BW171" s="0" t="n">
        <v>2.4414</v>
      </c>
      <c r="BX171" s="0" t="n">
        <v>2.309646333</v>
      </c>
      <c r="BY171" s="0" t="n">
        <v>1.13475</v>
      </c>
      <c r="BZ171" s="0" t="n">
        <v>1.2885</v>
      </c>
      <c r="CA171" s="0" t="n">
        <v>2.001</v>
      </c>
      <c r="CB171" s="0" t="n">
        <v>1.547505</v>
      </c>
      <c r="CC171" s="0" t="n">
        <v>1.547505</v>
      </c>
      <c r="CD171" s="0" t="n">
        <v>1.282005</v>
      </c>
      <c r="CE171" s="0" t="n">
        <v>1.09323</v>
      </c>
      <c r="CF171" s="0" t="n">
        <v>1.452205</v>
      </c>
      <c r="CG171" s="188"/>
      <c r="CH171" s="0" t="n">
        <v>1.101915</v>
      </c>
      <c r="CI171" s="188"/>
      <c r="CJ171" s="188"/>
      <c r="CK171" s="188"/>
      <c r="CL171" s="188"/>
      <c r="CM171" s="188"/>
      <c r="CN171" s="188"/>
      <c r="CO171" s="188"/>
      <c r="CP171" s="0" t="n">
        <v>0.955</v>
      </c>
      <c r="CU171" s="0" t="n">
        <v>0.48</v>
      </c>
      <c r="CV171" s="0" t="n">
        <v>0.46</v>
      </c>
      <c r="CW171" s="0" t="n">
        <v>0.905</v>
      </c>
      <c r="CX171" s="0" t="n">
        <v>0.615</v>
      </c>
      <c r="CY171" s="0" t="n">
        <v>0.485</v>
      </c>
      <c r="CZ171" s="0" t="n">
        <v>0.795</v>
      </c>
      <c r="DA171" s="0" t="n">
        <v>0.8275</v>
      </c>
      <c r="DB171" s="0" t="n">
        <v>0.85</v>
      </c>
      <c r="DC171" s="0" t="n">
        <v>0.9025</v>
      </c>
      <c r="DD171" s="0" t="n">
        <v>0.82</v>
      </c>
      <c r="DE171" s="0" t="n">
        <v>0.89</v>
      </c>
      <c r="DN171" s="188" t="n">
        <v>0.000285</v>
      </c>
      <c r="DO171" s="188" t="n">
        <v>0.0002</v>
      </c>
      <c r="DP171" s="188" t="n">
        <v>0</v>
      </c>
      <c r="DQ171" s="188" t="n">
        <v>0.0001</v>
      </c>
      <c r="DR171" s="188" t="n">
        <v>0</v>
      </c>
      <c r="DS171" s="188" t="n">
        <v>0.0036</v>
      </c>
      <c r="DT171" s="188" t="n">
        <v>0.00047</v>
      </c>
      <c r="DU171" s="188" t="n">
        <v>0.0007</v>
      </c>
      <c r="DV171" s="188" t="n">
        <v>0</v>
      </c>
      <c r="DW171" s="188" t="n">
        <v>0</v>
      </c>
      <c r="DX171" s="188" t="n">
        <v>0.0005</v>
      </c>
      <c r="DY171" s="188" t="n">
        <v>0.0005</v>
      </c>
      <c r="DZ171" s="188" t="n">
        <v>0.0003</v>
      </c>
      <c r="EA171" s="188" t="n">
        <v>0.000275</v>
      </c>
      <c r="EB171" s="188" t="n">
        <v>0.0004</v>
      </c>
      <c r="ED171" s="188" t="n">
        <v>6.5E-005</v>
      </c>
      <c r="EF171" s="0" t="n">
        <v>1</v>
      </c>
    </row>
    <row r="172" customFormat="false" ht="12.75" hidden="false" customHeight="false" outlineLevel="0" collapsed="false">
      <c r="A172" s="149" t="n">
        <v>41609</v>
      </c>
      <c r="B172" s="0" t="n">
        <v>0.98</v>
      </c>
      <c r="C172" s="0" t="n">
        <v>0</v>
      </c>
      <c r="E172" s="0" t="n">
        <v>0</v>
      </c>
      <c r="F172" s="0" t="n">
        <v>0</v>
      </c>
      <c r="G172" s="0" t="n">
        <v>0.9875</v>
      </c>
      <c r="H172" s="0" t="n">
        <v>0.9875</v>
      </c>
      <c r="I172" s="0" t="n">
        <v>0.9875</v>
      </c>
      <c r="J172" s="0" t="n">
        <v>0.9805</v>
      </c>
      <c r="K172" s="0" t="n">
        <v>0.970485</v>
      </c>
      <c r="L172" s="176" t="n">
        <v>0.91332295</v>
      </c>
      <c r="M172" s="176" t="n">
        <v>0.963633112</v>
      </c>
      <c r="N172" s="0" t="n">
        <v>0.88479045</v>
      </c>
      <c r="O172" s="0" t="n">
        <v>0.975953213</v>
      </c>
      <c r="P172" s="0" t="n">
        <v>0.88479045</v>
      </c>
      <c r="Q172" s="177" t="n">
        <v>0.91332295</v>
      </c>
      <c r="R172" s="0" t="n">
        <v>0.91332295</v>
      </c>
      <c r="S172" s="176" t="n">
        <v>0.91332295</v>
      </c>
      <c r="T172" s="0" t="n">
        <v>0.88479045</v>
      </c>
      <c r="U172" s="0" t="n">
        <v>0.88479045</v>
      </c>
      <c r="V172" s="0" t="n">
        <v>0.88479045</v>
      </c>
      <c r="W172" s="0" t="n">
        <v>0.88479045</v>
      </c>
      <c r="X172" s="0" t="n">
        <v>0.975953213</v>
      </c>
      <c r="Y172" s="0" t="n">
        <v>0.975953213</v>
      </c>
      <c r="Z172" s="0" t="n">
        <v>0.975953213</v>
      </c>
      <c r="AA172" s="0" t="n">
        <v>0.975953213</v>
      </c>
      <c r="AB172" s="0" t="n">
        <v>0.88479045</v>
      </c>
      <c r="AC172" s="0" t="n">
        <v>0.88479045</v>
      </c>
      <c r="AD172" s="0" t="n">
        <v>0.975953213</v>
      </c>
      <c r="AE172" s="0" t="n">
        <v>0.975953213</v>
      </c>
      <c r="AF172" s="0" t="n">
        <v>0.88479045</v>
      </c>
      <c r="AG172" s="0" t="n">
        <v>0.98</v>
      </c>
      <c r="AH172" s="0" t="n">
        <v>0.9807622</v>
      </c>
      <c r="AI172" s="0" t="n">
        <v>0.9807622</v>
      </c>
      <c r="AJ172" s="0" t="n">
        <v>0.88479045</v>
      </c>
      <c r="AK172" s="0" t="n">
        <v>1</v>
      </c>
      <c r="AL172" s="0" t="n">
        <v>0.970485</v>
      </c>
      <c r="AM172" s="0" t="n">
        <v>0</v>
      </c>
      <c r="BB172" s="187" t="n">
        <v>1</v>
      </c>
      <c r="BC172" s="0" t="n">
        <v>1</v>
      </c>
      <c r="BD172" s="0" t="n">
        <v>1</v>
      </c>
      <c r="BE172" s="0" t="n">
        <v>1</v>
      </c>
      <c r="BF172" s="0" t="n">
        <v>0.9999</v>
      </c>
      <c r="BG172" s="0" t="n">
        <v>1</v>
      </c>
      <c r="BH172" s="0" t="n">
        <v>1</v>
      </c>
      <c r="BI172" s="0" t="n">
        <v>0.99</v>
      </c>
      <c r="BJ172" s="0" t="n">
        <v>0.999</v>
      </c>
      <c r="BK172" s="0" t="n">
        <v>0.998</v>
      </c>
      <c r="BL172" s="0" t="n">
        <v>0.9985</v>
      </c>
      <c r="BM172" s="0" t="n">
        <v>0.9985</v>
      </c>
      <c r="BN172" s="0" t="n">
        <v>0.972</v>
      </c>
      <c r="BO172" s="0" t="n">
        <v>0.9999</v>
      </c>
      <c r="BP172" s="0" t="n">
        <v>0.9999</v>
      </c>
      <c r="BQ172" s="0" t="n">
        <v>1</v>
      </c>
      <c r="BR172" s="0" t="n">
        <v>1.1114576</v>
      </c>
      <c r="BS172" s="0" t="n">
        <v>1.1224</v>
      </c>
      <c r="BT172" s="0" t="n">
        <v>1.0827</v>
      </c>
      <c r="BU172" s="0" t="n">
        <v>1.0215</v>
      </c>
      <c r="BV172" s="0" t="n">
        <v>1</v>
      </c>
      <c r="BW172" s="0" t="n">
        <v>2.445</v>
      </c>
      <c r="BX172" s="0" t="n">
        <v>2.310116333</v>
      </c>
      <c r="BY172" s="0" t="n">
        <v>1.13545</v>
      </c>
      <c r="BZ172" s="0" t="n">
        <v>1.2885</v>
      </c>
      <c r="CA172" s="0" t="n">
        <v>2.001</v>
      </c>
      <c r="CB172" s="0" t="n">
        <v>1.548005</v>
      </c>
      <c r="CC172" s="0" t="n">
        <v>1.548005</v>
      </c>
      <c r="CD172" s="0" t="n">
        <v>1.282305</v>
      </c>
      <c r="CE172" s="0" t="n">
        <v>1.093505</v>
      </c>
      <c r="CF172" s="0" t="n">
        <v>1.452605</v>
      </c>
      <c r="CG172" s="188"/>
      <c r="CH172" s="0" t="n">
        <v>1.10198</v>
      </c>
      <c r="CI172" s="188"/>
      <c r="CJ172" s="188"/>
      <c r="CK172" s="188"/>
      <c r="CL172" s="188"/>
      <c r="CM172" s="188"/>
      <c r="CN172" s="188"/>
      <c r="CO172" s="188"/>
      <c r="CP172" s="0" t="n">
        <v>0.935</v>
      </c>
      <c r="CU172" s="0" t="n">
        <v>0.51</v>
      </c>
      <c r="CV172" s="0" t="n">
        <v>0.48</v>
      </c>
      <c r="CW172" s="0" t="n">
        <v>0.875</v>
      </c>
      <c r="CX172" s="0" t="n">
        <v>0.62</v>
      </c>
      <c r="CY172" s="0" t="n">
        <v>0.485</v>
      </c>
      <c r="CZ172" s="0" t="n">
        <v>0.59</v>
      </c>
      <c r="DA172" s="0" t="n">
        <v>0.6225</v>
      </c>
      <c r="DB172" s="0" t="n">
        <v>0.69</v>
      </c>
      <c r="DC172" s="0" t="n">
        <v>0.8925</v>
      </c>
      <c r="DD172" s="0" t="n">
        <v>0.715</v>
      </c>
      <c r="DE172" s="0" t="n">
        <v>0.89</v>
      </c>
      <c r="DN172" s="188" t="n">
        <v>0.000285</v>
      </c>
      <c r="DO172" s="188" t="n">
        <v>0.0002</v>
      </c>
      <c r="DP172" s="188" t="n">
        <v>0</v>
      </c>
      <c r="DQ172" s="188" t="n">
        <v>0.0001</v>
      </c>
      <c r="DR172" s="188" t="n">
        <v>0</v>
      </c>
      <c r="DS172" s="188" t="n">
        <v>0.0036</v>
      </c>
      <c r="DT172" s="188" t="n">
        <v>0.00047</v>
      </c>
      <c r="DU172" s="188" t="n">
        <v>0.0007</v>
      </c>
      <c r="DV172" s="188" t="n">
        <v>0</v>
      </c>
      <c r="DW172" s="188" t="n">
        <v>0</v>
      </c>
      <c r="DX172" s="188" t="n">
        <v>0.0005</v>
      </c>
      <c r="DY172" s="188" t="n">
        <v>0.0005</v>
      </c>
      <c r="DZ172" s="188" t="n">
        <v>0.0003</v>
      </c>
      <c r="EA172" s="188" t="n">
        <v>0.000275</v>
      </c>
      <c r="EB172" s="188" t="n">
        <v>0.0004</v>
      </c>
      <c r="ED172" s="188" t="n">
        <v>6.5E-005</v>
      </c>
      <c r="EF172" s="0" t="n">
        <v>1</v>
      </c>
    </row>
    <row r="173" customFormat="false" ht="12.75" hidden="false" customHeight="false" outlineLevel="0" collapsed="false">
      <c r="A173" s="149" t="n">
        <v>41640</v>
      </c>
      <c r="B173" s="0" t="n">
        <v>0.98</v>
      </c>
      <c r="C173" s="0" t="n">
        <v>0</v>
      </c>
      <c r="E173" s="0" t="n">
        <v>0</v>
      </c>
      <c r="F173" s="0" t="n">
        <v>0</v>
      </c>
      <c r="G173" s="0" t="n">
        <v>0.9875</v>
      </c>
      <c r="H173" s="0" t="n">
        <v>0.9875</v>
      </c>
      <c r="I173" s="0" t="n">
        <v>0.91460075</v>
      </c>
      <c r="J173" s="0" t="n">
        <v>0.9805</v>
      </c>
      <c r="K173" s="0" t="n">
        <v>0.985</v>
      </c>
      <c r="L173" s="176" t="n">
        <v>0.936845525</v>
      </c>
      <c r="M173" s="176" t="n">
        <v>0.987171937</v>
      </c>
      <c r="N173" s="0" t="n">
        <v>0.88499745</v>
      </c>
      <c r="O173" s="0" t="n">
        <v>0.9625264</v>
      </c>
      <c r="P173" s="0" t="n">
        <v>0.88499745</v>
      </c>
      <c r="Q173" s="177" t="n">
        <v>0.936845525</v>
      </c>
      <c r="R173" s="0" t="n">
        <v>0.936845525</v>
      </c>
      <c r="S173" s="176" t="n">
        <v>0.936845525</v>
      </c>
      <c r="T173" s="0" t="n">
        <v>0.88499745</v>
      </c>
      <c r="U173" s="0" t="n">
        <v>0.88499745</v>
      </c>
      <c r="V173" s="0" t="n">
        <v>0.88499745</v>
      </c>
      <c r="W173" s="0" t="n">
        <v>0.88499745</v>
      </c>
      <c r="X173" s="0" t="n">
        <v>0.9625264</v>
      </c>
      <c r="Y173" s="0" t="n">
        <v>0.9625264</v>
      </c>
      <c r="Z173" s="0" t="n">
        <v>0.9625264</v>
      </c>
      <c r="AA173" s="0" t="n">
        <v>0.9625264</v>
      </c>
      <c r="AB173" s="0" t="n">
        <v>0.88499745</v>
      </c>
      <c r="AC173" s="0" t="n">
        <v>0.88499745</v>
      </c>
      <c r="AD173" s="0" t="n">
        <v>0.9625264</v>
      </c>
      <c r="AE173" s="0" t="n">
        <v>0.9625264</v>
      </c>
      <c r="AF173" s="0" t="n">
        <v>0.88499745</v>
      </c>
      <c r="AG173" s="0" t="n">
        <v>0.98</v>
      </c>
      <c r="AH173" s="0" t="n">
        <v>0.98082005</v>
      </c>
      <c r="AI173" s="0" t="n">
        <v>0.98082005</v>
      </c>
      <c r="AJ173" s="0" t="n">
        <v>0.88499745</v>
      </c>
      <c r="AK173" s="0" t="n">
        <v>1</v>
      </c>
      <c r="AL173" s="0" t="n">
        <v>0.985</v>
      </c>
      <c r="AM173" s="0" t="n">
        <v>0</v>
      </c>
      <c r="BB173" s="187" t="n">
        <v>1</v>
      </c>
      <c r="BC173" s="0" t="n">
        <v>1</v>
      </c>
      <c r="BD173" s="0" t="n">
        <v>1</v>
      </c>
      <c r="BE173" s="0" t="n">
        <v>1</v>
      </c>
      <c r="BF173" s="0" t="n">
        <v>0.9999</v>
      </c>
      <c r="BG173" s="0" t="n">
        <v>1</v>
      </c>
      <c r="BH173" s="0" t="n">
        <v>1</v>
      </c>
      <c r="BI173" s="0" t="n">
        <v>0.99</v>
      </c>
      <c r="BJ173" s="0" t="n">
        <v>0.999</v>
      </c>
      <c r="BK173" s="0" t="n">
        <v>0.998</v>
      </c>
      <c r="BL173" s="0" t="n">
        <v>0.9985</v>
      </c>
      <c r="BM173" s="0" t="n">
        <v>0.9985</v>
      </c>
      <c r="BN173" s="0" t="n">
        <v>0.972</v>
      </c>
      <c r="BO173" s="0" t="n">
        <v>0.9999</v>
      </c>
      <c r="BP173" s="0" t="n">
        <v>0.9999</v>
      </c>
      <c r="BQ173" s="0" t="n">
        <v>1</v>
      </c>
      <c r="BR173" s="0" t="n">
        <v>1.1117426</v>
      </c>
      <c r="BS173" s="0" t="n">
        <v>1.1226</v>
      </c>
      <c r="BT173" s="0" t="n">
        <v>1.0827</v>
      </c>
      <c r="BU173" s="0" t="n">
        <v>1.0216</v>
      </c>
      <c r="BV173" s="0" t="n">
        <v>1</v>
      </c>
      <c r="BW173" s="0" t="n">
        <v>2.4486</v>
      </c>
      <c r="BX173" s="0" t="n">
        <v>2.310586333</v>
      </c>
      <c r="BY173" s="0" t="n">
        <v>1.13615</v>
      </c>
      <c r="BZ173" s="0" t="n">
        <v>1.2885</v>
      </c>
      <c r="CA173" s="0" t="n">
        <v>2.001</v>
      </c>
      <c r="CB173" s="0" t="n">
        <v>1.548505</v>
      </c>
      <c r="CC173" s="0" t="n">
        <v>1.548505</v>
      </c>
      <c r="CD173" s="0" t="n">
        <v>1.282605</v>
      </c>
      <c r="CE173" s="0" t="n">
        <v>1.09378</v>
      </c>
      <c r="CF173" s="0" t="n">
        <v>1.453005</v>
      </c>
      <c r="CG173" s="188"/>
      <c r="CH173" s="0" t="n">
        <v>1.102045</v>
      </c>
      <c r="CI173" s="188"/>
      <c r="CJ173" s="188"/>
      <c r="CK173" s="188"/>
      <c r="CL173" s="188"/>
      <c r="CM173" s="188"/>
      <c r="CN173" s="188"/>
      <c r="CO173" s="188"/>
      <c r="CP173" s="0" t="n">
        <v>0.895</v>
      </c>
      <c r="CU173" s="0" t="n">
        <v>0.58</v>
      </c>
      <c r="CV173" s="0" t="n">
        <v>0.45</v>
      </c>
      <c r="CW173" s="0" t="n">
        <v>0.805</v>
      </c>
      <c r="CX173" s="0" t="n">
        <v>0.63</v>
      </c>
      <c r="CY173" s="0" t="n">
        <v>0.505</v>
      </c>
      <c r="CZ173" s="0" t="n">
        <v>0.605</v>
      </c>
      <c r="DA173" s="0" t="n">
        <v>0.6375</v>
      </c>
      <c r="DB173" s="0" t="n">
        <v>0.69</v>
      </c>
      <c r="DC173" s="0" t="n">
        <v>0.88</v>
      </c>
      <c r="DD173" s="0" t="n">
        <v>0.64</v>
      </c>
      <c r="DE173" s="0" t="n">
        <v>0.89</v>
      </c>
      <c r="DN173" s="188" t="n">
        <v>0.000285</v>
      </c>
      <c r="DO173" s="188" t="n">
        <v>0.0002</v>
      </c>
      <c r="DP173" s="188" t="n">
        <v>0</v>
      </c>
      <c r="DQ173" s="188" t="n">
        <v>0.0001</v>
      </c>
      <c r="DR173" s="188" t="n">
        <v>0</v>
      </c>
      <c r="DS173" s="188" t="n">
        <v>0.0036</v>
      </c>
      <c r="DT173" s="188" t="n">
        <v>0.00047</v>
      </c>
      <c r="DU173" s="188" t="n">
        <v>0.0007</v>
      </c>
      <c r="DV173" s="188" t="n">
        <v>0</v>
      </c>
      <c r="DW173" s="188" t="n">
        <v>0</v>
      </c>
      <c r="DX173" s="188" t="n">
        <v>0.0005</v>
      </c>
      <c r="DY173" s="188" t="n">
        <v>0.0005</v>
      </c>
      <c r="DZ173" s="188" t="n">
        <v>0.0003</v>
      </c>
      <c r="EA173" s="188" t="n">
        <v>0.000275</v>
      </c>
      <c r="EB173" s="188" t="n">
        <v>0.0004</v>
      </c>
      <c r="ED173" s="188" t="n">
        <v>6.5E-005</v>
      </c>
      <c r="EF173" s="0" t="n">
        <v>1</v>
      </c>
    </row>
    <row r="174" customFormat="false" ht="12.75" hidden="false" customHeight="false" outlineLevel="0" collapsed="false">
      <c r="A174" s="149" t="n">
        <v>41671</v>
      </c>
      <c r="B174" s="0" t="n">
        <v>0.98</v>
      </c>
      <c r="C174" s="0" t="n">
        <v>0</v>
      </c>
      <c r="E174" s="0" t="n">
        <v>0</v>
      </c>
      <c r="F174" s="0" t="n">
        <v>0</v>
      </c>
      <c r="G174" s="0" t="n">
        <v>0.9875</v>
      </c>
      <c r="H174" s="0" t="n">
        <v>0.9875</v>
      </c>
      <c r="I174" s="0" t="n">
        <v>0.96063825</v>
      </c>
      <c r="J174" s="0" t="n">
        <v>0.9805</v>
      </c>
      <c r="K174" s="0" t="n">
        <v>0.985</v>
      </c>
      <c r="L174" s="176" t="n">
        <v>0.983618175</v>
      </c>
      <c r="M174" s="176" t="n">
        <v>0.9875</v>
      </c>
      <c r="N174" s="0" t="n">
        <v>0.91086255</v>
      </c>
      <c r="O174" s="0" t="n">
        <v>0.960033263</v>
      </c>
      <c r="P174" s="0" t="n">
        <v>0.91086255</v>
      </c>
      <c r="Q174" s="177" t="n">
        <v>0.983618175</v>
      </c>
      <c r="R174" s="0" t="n">
        <v>0.983618175</v>
      </c>
      <c r="S174" s="176" t="n">
        <v>0.983618175</v>
      </c>
      <c r="T174" s="0" t="n">
        <v>0.91086255</v>
      </c>
      <c r="U174" s="0" t="n">
        <v>0.91086255</v>
      </c>
      <c r="V174" s="0" t="n">
        <v>0.91086255</v>
      </c>
      <c r="W174" s="0" t="n">
        <v>0.91086255</v>
      </c>
      <c r="X174" s="0" t="n">
        <v>0.960033263</v>
      </c>
      <c r="Y174" s="0" t="n">
        <v>0.960033263</v>
      </c>
      <c r="Z174" s="0" t="n">
        <v>0.960033263</v>
      </c>
      <c r="AA174" s="0" t="n">
        <v>0.960033263</v>
      </c>
      <c r="AB174" s="0" t="n">
        <v>0.91086255</v>
      </c>
      <c r="AC174" s="0" t="n">
        <v>0.91086255</v>
      </c>
      <c r="AD174" s="0" t="n">
        <v>0.960033263</v>
      </c>
      <c r="AE174" s="0" t="n">
        <v>0.960033263</v>
      </c>
      <c r="AF174" s="0" t="n">
        <v>0.91086255</v>
      </c>
      <c r="AG174" s="0" t="n">
        <v>0.98</v>
      </c>
      <c r="AH174" s="0" t="n">
        <v>0.9808779</v>
      </c>
      <c r="AI174" s="0" t="n">
        <v>0.9808779</v>
      </c>
      <c r="AJ174" s="0" t="n">
        <v>0.91086255</v>
      </c>
      <c r="AK174" s="0" t="n">
        <v>1</v>
      </c>
      <c r="AL174" s="0" t="n">
        <v>0.985</v>
      </c>
      <c r="AM174" s="0" t="n">
        <v>0</v>
      </c>
      <c r="BB174" s="187" t="n">
        <v>1</v>
      </c>
      <c r="BC174" s="0" t="n">
        <v>1</v>
      </c>
      <c r="BD174" s="0" t="n">
        <v>1</v>
      </c>
      <c r="BE174" s="0" t="n">
        <v>1</v>
      </c>
      <c r="BF174" s="0" t="n">
        <v>0.9999</v>
      </c>
      <c r="BG174" s="0" t="n">
        <v>1</v>
      </c>
      <c r="BH174" s="0" t="n">
        <v>1</v>
      </c>
      <c r="BI174" s="0" t="n">
        <v>0.99</v>
      </c>
      <c r="BJ174" s="0" t="n">
        <v>0.999</v>
      </c>
      <c r="BK174" s="0" t="n">
        <v>0.998</v>
      </c>
      <c r="BL174" s="0" t="n">
        <v>0.9985</v>
      </c>
      <c r="BM174" s="0" t="n">
        <v>0.9985</v>
      </c>
      <c r="BN174" s="0" t="n">
        <v>0.972</v>
      </c>
      <c r="BO174" s="0" t="n">
        <v>0.9999</v>
      </c>
      <c r="BP174" s="0" t="n">
        <v>0.9999</v>
      </c>
      <c r="BQ174" s="0" t="n">
        <v>1</v>
      </c>
      <c r="BR174" s="0" t="n">
        <v>1.1120276</v>
      </c>
      <c r="BS174" s="0" t="n">
        <v>1.1228</v>
      </c>
      <c r="BT174" s="0" t="n">
        <v>1.0827</v>
      </c>
      <c r="BU174" s="0" t="n">
        <v>1.0217</v>
      </c>
      <c r="BV174" s="0" t="n">
        <v>1</v>
      </c>
      <c r="BW174" s="0" t="n">
        <v>2.4522</v>
      </c>
      <c r="BX174" s="0" t="n">
        <v>2.311056333</v>
      </c>
      <c r="BY174" s="0" t="n">
        <v>1.13685</v>
      </c>
      <c r="BZ174" s="0" t="n">
        <v>1.2885</v>
      </c>
      <c r="CA174" s="0" t="n">
        <v>2.001</v>
      </c>
      <c r="CB174" s="0" t="n">
        <v>1.549005</v>
      </c>
      <c r="CC174" s="0" t="n">
        <v>1.549005</v>
      </c>
      <c r="CD174" s="0" t="n">
        <v>1.282905</v>
      </c>
      <c r="CE174" s="0" t="n">
        <v>1.094055</v>
      </c>
      <c r="CF174" s="0" t="n">
        <v>1.453405</v>
      </c>
      <c r="CG174" s="188"/>
      <c r="CH174" s="0" t="n">
        <v>1.10211</v>
      </c>
      <c r="CI174" s="188"/>
      <c r="CJ174" s="188"/>
      <c r="CK174" s="188"/>
      <c r="CL174" s="188"/>
      <c r="CM174" s="188"/>
      <c r="CN174" s="188"/>
      <c r="CO174" s="188"/>
      <c r="CP174" s="0" t="n">
        <v>0.865</v>
      </c>
      <c r="CU174" s="0" t="n">
        <v>0.58</v>
      </c>
      <c r="CV174" s="0" t="n">
        <v>0.45</v>
      </c>
      <c r="CW174" s="0" t="n">
        <v>0.845</v>
      </c>
      <c r="CX174" s="0" t="n">
        <v>0.735</v>
      </c>
      <c r="CY174" s="0" t="n">
        <v>0.505</v>
      </c>
      <c r="CZ174" s="0" t="n">
        <v>0.635</v>
      </c>
      <c r="DA174" s="0" t="n">
        <v>0.6675</v>
      </c>
      <c r="DB174" s="0" t="n">
        <v>0.71</v>
      </c>
      <c r="DC174" s="0" t="n">
        <v>0.8775</v>
      </c>
      <c r="DD174" s="0" t="n">
        <v>0.67</v>
      </c>
      <c r="DE174" s="0" t="n">
        <v>0.89</v>
      </c>
      <c r="DN174" s="188" t="n">
        <v>0.000285</v>
      </c>
      <c r="DO174" s="188" t="n">
        <v>0.0002</v>
      </c>
      <c r="DP174" s="188" t="n">
        <v>0</v>
      </c>
      <c r="DQ174" s="188" t="n">
        <v>0.0001</v>
      </c>
      <c r="DR174" s="188" t="n">
        <v>0</v>
      </c>
      <c r="DS174" s="188" t="n">
        <v>0.0036</v>
      </c>
      <c r="DT174" s="188" t="n">
        <v>0.00047</v>
      </c>
      <c r="DU174" s="188" t="n">
        <v>0.0007</v>
      </c>
      <c r="DV174" s="188" t="n">
        <v>0</v>
      </c>
      <c r="DW174" s="188" t="n">
        <v>0</v>
      </c>
      <c r="DX174" s="188" t="n">
        <v>0.0005</v>
      </c>
      <c r="DY174" s="188" t="n">
        <v>0.0005</v>
      </c>
      <c r="DZ174" s="188" t="n">
        <v>0.0003</v>
      </c>
      <c r="EA174" s="188" t="n">
        <v>0.000275</v>
      </c>
      <c r="EB174" s="188" t="n">
        <v>0.0004</v>
      </c>
      <c r="ED174" s="188" t="n">
        <v>6.5E-005</v>
      </c>
      <c r="EF174" s="0" t="n">
        <v>1</v>
      </c>
    </row>
    <row r="175" customFormat="false" ht="12.75" hidden="false" customHeight="false" outlineLevel="0" collapsed="false">
      <c r="A175" s="149" t="n">
        <v>41699</v>
      </c>
      <c r="B175" s="0" t="n">
        <v>0.98</v>
      </c>
      <c r="C175" s="0" t="n">
        <v>0</v>
      </c>
      <c r="E175" s="0" t="n">
        <v>0</v>
      </c>
      <c r="F175" s="0" t="n">
        <v>0</v>
      </c>
      <c r="G175" s="0" t="n">
        <v>0.9875</v>
      </c>
      <c r="H175" s="0" t="n">
        <v>0.9875</v>
      </c>
      <c r="I175" s="0" t="n">
        <v>0.9875</v>
      </c>
      <c r="J175" s="0" t="n">
        <v>0.9805</v>
      </c>
      <c r="K175" s="0" t="n">
        <v>0.985</v>
      </c>
      <c r="L175" s="176" t="n">
        <v>0.9875</v>
      </c>
      <c r="M175" s="176" t="n">
        <v>0.9875</v>
      </c>
      <c r="N175" s="0" t="n">
        <v>0.98</v>
      </c>
      <c r="O175" s="0" t="n">
        <v>0.984897</v>
      </c>
      <c r="P175" s="0" t="n">
        <v>0.98</v>
      </c>
      <c r="Q175" s="177" t="n">
        <v>0.9875</v>
      </c>
      <c r="R175" s="0" t="n">
        <v>0.9875</v>
      </c>
      <c r="S175" s="176" t="n">
        <v>0.9875</v>
      </c>
      <c r="T175" s="0" t="n">
        <v>0.98</v>
      </c>
      <c r="U175" s="0" t="n">
        <v>0.98</v>
      </c>
      <c r="V175" s="0" t="n">
        <v>0.98</v>
      </c>
      <c r="W175" s="0" t="n">
        <v>0.98</v>
      </c>
      <c r="X175" s="0" t="n">
        <v>0.984897</v>
      </c>
      <c r="Y175" s="0" t="n">
        <v>0.984897</v>
      </c>
      <c r="Z175" s="0" t="n">
        <v>0.984897</v>
      </c>
      <c r="AA175" s="0" t="n">
        <v>0.984897</v>
      </c>
      <c r="AB175" s="0" t="n">
        <v>0.98</v>
      </c>
      <c r="AC175" s="0" t="n">
        <v>0.98</v>
      </c>
      <c r="AD175" s="0" t="n">
        <v>0.984897</v>
      </c>
      <c r="AE175" s="0" t="n">
        <v>0.984897</v>
      </c>
      <c r="AF175" s="0" t="n">
        <v>0.98</v>
      </c>
      <c r="AG175" s="0" t="n">
        <v>0.99</v>
      </c>
      <c r="AH175" s="0" t="n">
        <v>0.98093575</v>
      </c>
      <c r="AI175" s="0" t="n">
        <v>0.98093575</v>
      </c>
      <c r="AJ175" s="0" t="n">
        <v>0.98</v>
      </c>
      <c r="AK175" s="0" t="n">
        <v>1</v>
      </c>
      <c r="AL175" s="0" t="n">
        <v>0.985</v>
      </c>
      <c r="AM175" s="0" t="n">
        <v>0</v>
      </c>
      <c r="BB175" s="187" t="n">
        <v>1</v>
      </c>
      <c r="BC175" s="0" t="n">
        <v>1</v>
      </c>
      <c r="BD175" s="0" t="n">
        <v>1</v>
      </c>
      <c r="BE175" s="0" t="n">
        <v>1</v>
      </c>
      <c r="BF175" s="0" t="n">
        <v>0.9999</v>
      </c>
      <c r="BG175" s="0" t="n">
        <v>1</v>
      </c>
      <c r="BH175" s="0" t="n">
        <v>1</v>
      </c>
      <c r="BI175" s="0" t="n">
        <v>0.99</v>
      </c>
      <c r="BJ175" s="0" t="n">
        <v>0.999</v>
      </c>
      <c r="BK175" s="0" t="n">
        <v>0.998</v>
      </c>
      <c r="BL175" s="0" t="n">
        <v>0.9985</v>
      </c>
      <c r="BM175" s="0" t="n">
        <v>0.9985</v>
      </c>
      <c r="BN175" s="0" t="n">
        <v>0.972</v>
      </c>
      <c r="BO175" s="0" t="n">
        <v>0.9999</v>
      </c>
      <c r="BP175" s="0" t="n">
        <v>0.9999</v>
      </c>
      <c r="BQ175" s="0" t="n">
        <v>1</v>
      </c>
      <c r="BR175" s="0" t="n">
        <v>1.1123126</v>
      </c>
      <c r="BS175" s="0" t="n">
        <v>1.123</v>
      </c>
      <c r="BT175" s="0" t="n">
        <v>1.0827</v>
      </c>
      <c r="BU175" s="0" t="n">
        <v>1.0218</v>
      </c>
      <c r="BV175" s="0" t="n">
        <v>1</v>
      </c>
      <c r="BW175" s="0" t="n">
        <v>2.4558</v>
      </c>
      <c r="BX175" s="0" t="n">
        <v>2.311526333</v>
      </c>
      <c r="BY175" s="0" t="n">
        <v>1.13755</v>
      </c>
      <c r="BZ175" s="0" t="n">
        <v>1.2885</v>
      </c>
      <c r="CA175" s="0" t="n">
        <v>2.001</v>
      </c>
      <c r="CB175" s="0" t="n">
        <v>1.549505</v>
      </c>
      <c r="CC175" s="0" t="n">
        <v>1.549505</v>
      </c>
      <c r="CD175" s="0" t="n">
        <v>1.283205</v>
      </c>
      <c r="CE175" s="0" t="n">
        <v>1.09433</v>
      </c>
      <c r="CF175" s="0" t="n">
        <v>1.453805</v>
      </c>
      <c r="CG175" s="188"/>
      <c r="CH175" s="0" t="n">
        <v>1.102175</v>
      </c>
      <c r="CI175" s="188"/>
      <c r="CJ175" s="188"/>
      <c r="CK175" s="188"/>
      <c r="CL175" s="188"/>
      <c r="CM175" s="188"/>
      <c r="CN175" s="188"/>
      <c r="CO175" s="188"/>
      <c r="CP175" s="0" t="n">
        <v>0.865</v>
      </c>
      <c r="CU175" s="0" t="n">
        <v>0.54</v>
      </c>
      <c r="CV175" s="0" t="n">
        <v>0.45</v>
      </c>
      <c r="CW175" s="0" t="n">
        <v>0.875</v>
      </c>
      <c r="CX175" s="0" t="n">
        <v>0.905</v>
      </c>
      <c r="CY175" s="0" t="n">
        <v>0.515</v>
      </c>
      <c r="CZ175" s="0" t="n">
        <v>0.785</v>
      </c>
      <c r="DA175" s="0" t="n">
        <v>0.8175</v>
      </c>
      <c r="DB175" s="0" t="n">
        <v>0.8</v>
      </c>
      <c r="DC175" s="0" t="n">
        <v>0.9</v>
      </c>
      <c r="DD175" s="0" t="n">
        <v>0.83</v>
      </c>
      <c r="DE175" s="0" t="n">
        <v>0.89</v>
      </c>
      <c r="DN175" s="188" t="n">
        <v>0.000285</v>
      </c>
      <c r="DO175" s="188" t="n">
        <v>0.0002</v>
      </c>
      <c r="DP175" s="188" t="n">
        <v>0</v>
      </c>
      <c r="DQ175" s="188" t="n">
        <v>0.0001</v>
      </c>
      <c r="DR175" s="188" t="n">
        <v>0</v>
      </c>
      <c r="DS175" s="188" t="n">
        <v>0.0036</v>
      </c>
      <c r="DT175" s="188" t="n">
        <v>0.00047</v>
      </c>
      <c r="DU175" s="188" t="n">
        <v>0.0007</v>
      </c>
      <c r="DV175" s="188" t="n">
        <v>0</v>
      </c>
      <c r="DW175" s="188" t="n">
        <v>0</v>
      </c>
      <c r="DX175" s="188" t="n">
        <v>0.0005</v>
      </c>
      <c r="DY175" s="188" t="n">
        <v>0.0005</v>
      </c>
      <c r="DZ175" s="188" t="n">
        <v>0.0003</v>
      </c>
      <c r="EA175" s="188" t="n">
        <v>0.000275</v>
      </c>
      <c r="EB175" s="188" t="n">
        <v>0.0004</v>
      </c>
      <c r="ED175" s="188" t="n">
        <v>6.5E-005</v>
      </c>
      <c r="EF175" s="0" t="n">
        <v>1</v>
      </c>
    </row>
    <row r="176" customFormat="false" ht="12.75" hidden="false" customHeight="false" outlineLevel="0" collapsed="false">
      <c r="A176" s="149" t="n">
        <v>41730</v>
      </c>
      <c r="B176" s="0" t="n">
        <v>0.98</v>
      </c>
      <c r="C176" s="0" t="n">
        <v>0</v>
      </c>
      <c r="E176" s="0" t="n">
        <v>0</v>
      </c>
      <c r="F176" s="0" t="n">
        <v>0</v>
      </c>
      <c r="G176" s="0" t="n">
        <v>0.9875</v>
      </c>
      <c r="H176" s="0" t="n">
        <v>0.97103846</v>
      </c>
      <c r="I176" s="0" t="n">
        <v>0.9875</v>
      </c>
      <c r="J176" s="0" t="n">
        <v>0.9805</v>
      </c>
      <c r="K176" s="0" t="n">
        <v>0.985</v>
      </c>
      <c r="L176" s="176" t="n">
        <v>0.9875</v>
      </c>
      <c r="M176" s="176" t="n">
        <v>0.9875</v>
      </c>
      <c r="N176" s="0" t="n">
        <v>0.98</v>
      </c>
      <c r="O176" s="0" t="n">
        <v>0.9875</v>
      </c>
      <c r="P176" s="0" t="n">
        <v>0.98</v>
      </c>
      <c r="Q176" s="177" t="n">
        <v>0.9875</v>
      </c>
      <c r="R176" s="0" t="n">
        <v>0.9875</v>
      </c>
      <c r="S176" s="176" t="n">
        <v>0.9875</v>
      </c>
      <c r="T176" s="0" t="n">
        <v>0.98</v>
      </c>
      <c r="U176" s="0" t="n">
        <v>0.98</v>
      </c>
      <c r="V176" s="0" t="n">
        <v>0.98</v>
      </c>
      <c r="W176" s="0" t="n">
        <v>0.98</v>
      </c>
      <c r="X176" s="0" t="n">
        <v>0.9875</v>
      </c>
      <c r="Y176" s="0" t="n">
        <v>0.9875</v>
      </c>
      <c r="Z176" s="0" t="n">
        <v>0.9875</v>
      </c>
      <c r="AA176" s="0" t="n">
        <v>0.9875</v>
      </c>
      <c r="AB176" s="0" t="n">
        <v>0.98</v>
      </c>
      <c r="AC176" s="0" t="n">
        <v>0.98</v>
      </c>
      <c r="AD176" s="0" t="n">
        <v>0.9875</v>
      </c>
      <c r="AE176" s="0" t="n">
        <v>0.9875</v>
      </c>
      <c r="AF176" s="0" t="n">
        <v>0.98</v>
      </c>
      <c r="AG176" s="0" t="n">
        <v>0.99</v>
      </c>
      <c r="AH176" s="0" t="n">
        <v>0.9809936</v>
      </c>
      <c r="AI176" s="0" t="n">
        <v>0.9809936</v>
      </c>
      <c r="AJ176" s="0" t="n">
        <v>0.98</v>
      </c>
      <c r="AK176" s="0" t="n">
        <v>1</v>
      </c>
      <c r="AL176" s="0" t="n">
        <v>0.985</v>
      </c>
      <c r="AM176" s="0" t="n">
        <v>0</v>
      </c>
      <c r="BB176" s="187" t="n">
        <v>1</v>
      </c>
      <c r="BC176" s="0" t="n">
        <v>1</v>
      </c>
      <c r="BD176" s="0" t="n">
        <v>1</v>
      </c>
      <c r="BE176" s="0" t="n">
        <v>1</v>
      </c>
      <c r="BF176" s="0" t="n">
        <v>0.9999</v>
      </c>
      <c r="BG176" s="0" t="n">
        <v>1</v>
      </c>
      <c r="BH176" s="0" t="n">
        <v>1</v>
      </c>
      <c r="BI176" s="0" t="n">
        <v>0.99</v>
      </c>
      <c r="BJ176" s="0" t="n">
        <v>0.999</v>
      </c>
      <c r="BK176" s="0" t="n">
        <v>0.998</v>
      </c>
      <c r="BL176" s="0" t="n">
        <v>0.9985</v>
      </c>
      <c r="BM176" s="0" t="n">
        <v>0.9985</v>
      </c>
      <c r="BN176" s="0" t="n">
        <v>0.972</v>
      </c>
      <c r="BO176" s="0" t="n">
        <v>0.9999</v>
      </c>
      <c r="BP176" s="0" t="n">
        <v>0.9999</v>
      </c>
      <c r="BQ176" s="0" t="n">
        <v>1</v>
      </c>
      <c r="BR176" s="0" t="n">
        <v>1.1125976</v>
      </c>
      <c r="BS176" s="0" t="n">
        <v>1.1232</v>
      </c>
      <c r="BT176" s="0" t="n">
        <v>1.0827</v>
      </c>
      <c r="BU176" s="0" t="n">
        <v>1.0219</v>
      </c>
      <c r="BV176" s="0" t="n">
        <v>1</v>
      </c>
      <c r="BW176" s="0" t="n">
        <v>2.4594</v>
      </c>
      <c r="BX176" s="0" t="n">
        <v>2.311996333</v>
      </c>
      <c r="BY176" s="0" t="n">
        <v>1.13825</v>
      </c>
      <c r="BZ176" s="0" t="n">
        <v>1.2885</v>
      </c>
      <c r="CA176" s="0" t="n">
        <v>2.001</v>
      </c>
      <c r="CB176" s="0" t="n">
        <v>1.550005</v>
      </c>
      <c r="CC176" s="0" t="n">
        <v>1.550005</v>
      </c>
      <c r="CD176" s="0" t="n">
        <v>1.283505</v>
      </c>
      <c r="CE176" s="0" t="n">
        <v>1.094605</v>
      </c>
      <c r="CF176" s="0" t="n">
        <v>1.454205</v>
      </c>
      <c r="CG176" s="188"/>
      <c r="CH176" s="0" t="n">
        <v>1.10224</v>
      </c>
      <c r="CI176" s="188"/>
      <c r="CJ176" s="188"/>
      <c r="CK176" s="188"/>
      <c r="CL176" s="188"/>
      <c r="CM176" s="188"/>
      <c r="CN176" s="188"/>
      <c r="CO176" s="188"/>
      <c r="CP176" s="0" t="n">
        <v>0.895</v>
      </c>
      <c r="CU176" s="0" t="n">
        <v>0.48</v>
      </c>
      <c r="CV176" s="0" t="n">
        <v>0.42</v>
      </c>
      <c r="CW176" s="0" t="n">
        <v>0.935</v>
      </c>
      <c r="CX176" s="0" t="n">
        <v>0.895</v>
      </c>
      <c r="CY176" s="0" t="n">
        <v>0.575</v>
      </c>
      <c r="CZ176" s="0" t="n">
        <v>0.895</v>
      </c>
      <c r="DA176" s="0" t="n">
        <v>0.9275</v>
      </c>
      <c r="DB176" s="0" t="n">
        <v>0.85</v>
      </c>
      <c r="DC176" s="0" t="n">
        <v>0.903</v>
      </c>
      <c r="DD176" s="0" t="n">
        <v>0.92</v>
      </c>
      <c r="DE176" s="0" t="n">
        <v>0.89</v>
      </c>
      <c r="DN176" s="188" t="n">
        <v>0.000285</v>
      </c>
      <c r="DO176" s="188" t="n">
        <v>0.0002</v>
      </c>
      <c r="DP176" s="188" t="n">
        <v>0</v>
      </c>
      <c r="DQ176" s="188" t="n">
        <v>0.0001</v>
      </c>
      <c r="DR176" s="188" t="n">
        <v>0</v>
      </c>
      <c r="DS176" s="188" t="n">
        <v>0.0036</v>
      </c>
      <c r="DT176" s="188" t="n">
        <v>0.00047</v>
      </c>
      <c r="DU176" s="188" t="n">
        <v>0.0007</v>
      </c>
      <c r="DV176" s="188" t="n">
        <v>0</v>
      </c>
      <c r="DW176" s="188" t="n">
        <v>0</v>
      </c>
      <c r="DX176" s="188" t="n">
        <v>0.0005</v>
      </c>
      <c r="DY176" s="188" t="n">
        <v>0.0005</v>
      </c>
      <c r="DZ176" s="188" t="n">
        <v>0.0003</v>
      </c>
      <c r="EA176" s="188" t="n">
        <v>0.000275</v>
      </c>
      <c r="EB176" s="188" t="n">
        <v>0.0004</v>
      </c>
      <c r="ED176" s="188" t="n">
        <v>6.5E-005</v>
      </c>
      <c r="EF176" s="0" t="n">
        <v>1</v>
      </c>
    </row>
    <row r="177" customFormat="false" ht="12.75" hidden="false" customHeight="false" outlineLevel="0" collapsed="false">
      <c r="A177" s="149" t="n">
        <v>41760</v>
      </c>
      <c r="B177" s="0" t="n">
        <v>0.98</v>
      </c>
      <c r="C177" s="0" t="n">
        <v>0</v>
      </c>
      <c r="E177" s="0" t="n">
        <v>0</v>
      </c>
      <c r="F177" s="0" t="n">
        <v>0</v>
      </c>
      <c r="G177" s="0" t="n">
        <v>0.83742</v>
      </c>
      <c r="H177" s="0" t="n">
        <v>0.97123586</v>
      </c>
      <c r="I177" s="0" t="n">
        <v>0.9875</v>
      </c>
      <c r="J177" s="0" t="n">
        <v>0.9805</v>
      </c>
      <c r="K177" s="0" t="n">
        <v>0.985</v>
      </c>
      <c r="L177" s="176" t="n">
        <v>0.9875</v>
      </c>
      <c r="M177" s="176" t="n">
        <v>0.9875</v>
      </c>
      <c r="N177" s="0" t="n">
        <v>0.98</v>
      </c>
      <c r="O177" s="0" t="n">
        <v>0.985392</v>
      </c>
      <c r="P177" s="0" t="n">
        <v>0.98</v>
      </c>
      <c r="Q177" s="177" t="n">
        <v>0.9875</v>
      </c>
      <c r="R177" s="0" t="n">
        <v>0.9875</v>
      </c>
      <c r="S177" s="176" t="n">
        <v>0.9875</v>
      </c>
      <c r="T177" s="0" t="n">
        <v>0.98</v>
      </c>
      <c r="U177" s="0" t="n">
        <v>0.98</v>
      </c>
      <c r="V177" s="0" t="n">
        <v>0.98</v>
      </c>
      <c r="W177" s="0" t="n">
        <v>0.98</v>
      </c>
      <c r="X177" s="0" t="n">
        <v>0.985392</v>
      </c>
      <c r="Y177" s="0" t="n">
        <v>0.985392</v>
      </c>
      <c r="Z177" s="0" t="n">
        <v>0.985392</v>
      </c>
      <c r="AA177" s="0" t="n">
        <v>0.985392</v>
      </c>
      <c r="AB177" s="0" t="n">
        <v>0.98</v>
      </c>
      <c r="AC177" s="0" t="n">
        <v>0.98</v>
      </c>
      <c r="AD177" s="0" t="n">
        <v>0.985392</v>
      </c>
      <c r="AE177" s="0" t="n">
        <v>0.985392</v>
      </c>
      <c r="AF177" s="0" t="n">
        <v>0.98</v>
      </c>
      <c r="AG177" s="0" t="n">
        <v>0.99</v>
      </c>
      <c r="AH177" s="0" t="n">
        <v>0.98105145</v>
      </c>
      <c r="AI177" s="0" t="n">
        <v>0.98105145</v>
      </c>
      <c r="AJ177" s="0" t="n">
        <v>0.98</v>
      </c>
      <c r="AK177" s="0" t="n">
        <v>1</v>
      </c>
      <c r="AL177" s="0" t="n">
        <v>0.985</v>
      </c>
      <c r="AM177" s="0" t="n">
        <v>0</v>
      </c>
      <c r="BB177" s="187" t="n">
        <v>1</v>
      </c>
      <c r="BC177" s="0" t="n">
        <v>1</v>
      </c>
      <c r="BD177" s="0" t="n">
        <v>1</v>
      </c>
      <c r="BE177" s="0" t="n">
        <v>1</v>
      </c>
      <c r="BF177" s="0" t="n">
        <v>0.9999</v>
      </c>
      <c r="BG177" s="0" t="n">
        <v>1</v>
      </c>
      <c r="BH177" s="0" t="n">
        <v>1</v>
      </c>
      <c r="BI177" s="0" t="n">
        <v>0.99</v>
      </c>
      <c r="BJ177" s="0" t="n">
        <v>0.999</v>
      </c>
      <c r="BK177" s="0" t="n">
        <v>0.998</v>
      </c>
      <c r="BL177" s="0" t="n">
        <v>0.9985</v>
      </c>
      <c r="BM177" s="0" t="n">
        <v>0.9985</v>
      </c>
      <c r="BN177" s="0" t="n">
        <v>0.972</v>
      </c>
      <c r="BO177" s="0" t="n">
        <v>0.9999</v>
      </c>
      <c r="BP177" s="0" t="n">
        <v>0.9999</v>
      </c>
      <c r="BQ177" s="0" t="n">
        <v>1</v>
      </c>
      <c r="BR177" s="0" t="n">
        <v>1.1128826</v>
      </c>
      <c r="BS177" s="0" t="n">
        <v>1.1234</v>
      </c>
      <c r="BT177" s="0" t="n">
        <v>1.0827</v>
      </c>
      <c r="BU177" s="0" t="n">
        <v>1.022</v>
      </c>
      <c r="BV177" s="0" t="n">
        <v>1</v>
      </c>
      <c r="BW177" s="0" t="n">
        <v>2.463</v>
      </c>
      <c r="BX177" s="0" t="n">
        <v>2.312466333</v>
      </c>
      <c r="BY177" s="0" t="n">
        <v>1.13895</v>
      </c>
      <c r="BZ177" s="0" t="n">
        <v>1.2885</v>
      </c>
      <c r="CA177" s="0" t="n">
        <v>2.001</v>
      </c>
      <c r="CB177" s="0" t="n">
        <v>1.550505</v>
      </c>
      <c r="CC177" s="0" t="n">
        <v>1.550505</v>
      </c>
      <c r="CD177" s="0" t="n">
        <v>1.283805</v>
      </c>
      <c r="CE177" s="0" t="n">
        <v>1.09488</v>
      </c>
      <c r="CF177" s="0" t="n">
        <v>1.454605</v>
      </c>
      <c r="CG177" s="188"/>
      <c r="CH177" s="0" t="n">
        <v>1.102305</v>
      </c>
      <c r="CI177" s="188"/>
      <c r="CJ177" s="188"/>
      <c r="CK177" s="188"/>
      <c r="CL177" s="188"/>
      <c r="CM177" s="188"/>
      <c r="CN177" s="188"/>
      <c r="CO177" s="188"/>
      <c r="CP177" s="0" t="n">
        <v>0.965</v>
      </c>
      <c r="CU177" s="0" t="n">
        <v>0.34</v>
      </c>
      <c r="CV177" s="0" t="n">
        <v>0.42</v>
      </c>
      <c r="CW177" s="0" t="n">
        <v>0.935</v>
      </c>
      <c r="CX177" s="0" t="n">
        <v>0.795</v>
      </c>
      <c r="CY177" s="0" t="n">
        <v>0.625</v>
      </c>
      <c r="CZ177" s="0" t="n">
        <v>0.9175</v>
      </c>
      <c r="DA177" s="0" t="n">
        <v>0.95</v>
      </c>
      <c r="DB177" s="0" t="n">
        <v>0.88</v>
      </c>
      <c r="DC177" s="0" t="n">
        <v>0.9</v>
      </c>
      <c r="DD177" s="0" t="n">
        <v>0.935</v>
      </c>
      <c r="DE177" s="0" t="n">
        <v>0.89</v>
      </c>
      <c r="DN177" s="188" t="n">
        <v>0.000285</v>
      </c>
      <c r="DO177" s="188" t="n">
        <v>0.0002</v>
      </c>
      <c r="DP177" s="188" t="n">
        <v>0</v>
      </c>
      <c r="DQ177" s="188" t="n">
        <v>0.0001</v>
      </c>
      <c r="DR177" s="188" t="n">
        <v>0</v>
      </c>
      <c r="DS177" s="188" t="n">
        <v>0.0036</v>
      </c>
      <c r="DT177" s="188" t="n">
        <v>0.00047</v>
      </c>
      <c r="DU177" s="188" t="n">
        <v>0.0007</v>
      </c>
      <c r="DV177" s="188" t="n">
        <v>0</v>
      </c>
      <c r="DW177" s="188" t="n">
        <v>0</v>
      </c>
      <c r="DX177" s="188" t="n">
        <v>0.0005</v>
      </c>
      <c r="DY177" s="188" t="n">
        <v>0.0005</v>
      </c>
      <c r="DZ177" s="188" t="n">
        <v>0.0003</v>
      </c>
      <c r="EA177" s="188" t="n">
        <v>0.000275</v>
      </c>
      <c r="EB177" s="188" t="n">
        <v>0.0004</v>
      </c>
      <c r="ED177" s="188" t="n">
        <v>6.5E-005</v>
      </c>
      <c r="EF177" s="0" t="n">
        <v>1</v>
      </c>
    </row>
    <row r="178" customFormat="false" ht="12.75" hidden="false" customHeight="false" outlineLevel="0" collapsed="false">
      <c r="A178" s="149" t="n">
        <v>41791</v>
      </c>
      <c r="B178" s="0" t="n">
        <v>0.98</v>
      </c>
      <c r="C178" s="0" t="n">
        <v>0</v>
      </c>
      <c r="E178" s="0" t="n">
        <v>0</v>
      </c>
      <c r="F178" s="0" t="n">
        <v>0</v>
      </c>
      <c r="G178" s="0" t="n">
        <v>0.838644</v>
      </c>
      <c r="H178" s="0" t="n">
        <v>0.9875</v>
      </c>
      <c r="I178" s="0" t="n">
        <v>0.9875</v>
      </c>
      <c r="J178" s="0" t="n">
        <v>0.9805</v>
      </c>
      <c r="K178" s="0" t="n">
        <v>0.985</v>
      </c>
      <c r="L178" s="176" t="n">
        <v>0.9875</v>
      </c>
      <c r="M178" s="176" t="n">
        <v>0.9875</v>
      </c>
      <c r="N178" s="0" t="n">
        <v>0.98</v>
      </c>
      <c r="O178" s="0" t="n">
        <v>0.9875</v>
      </c>
      <c r="P178" s="0" t="n">
        <v>0.98</v>
      </c>
      <c r="Q178" s="177" t="n">
        <v>0.9875</v>
      </c>
      <c r="R178" s="0" t="n">
        <v>0.9875</v>
      </c>
      <c r="S178" s="176" t="n">
        <v>0.9875</v>
      </c>
      <c r="T178" s="0" t="n">
        <v>0.98</v>
      </c>
      <c r="U178" s="0" t="n">
        <v>0.98</v>
      </c>
      <c r="V178" s="0" t="n">
        <v>0.98</v>
      </c>
      <c r="W178" s="0" t="n">
        <v>0.98</v>
      </c>
      <c r="X178" s="0" t="n">
        <v>0.9875</v>
      </c>
      <c r="Y178" s="0" t="n">
        <v>0.9875</v>
      </c>
      <c r="Z178" s="0" t="n">
        <v>0.9875</v>
      </c>
      <c r="AA178" s="0" t="n">
        <v>0.9875</v>
      </c>
      <c r="AB178" s="0" t="n">
        <v>0.98</v>
      </c>
      <c r="AC178" s="0" t="n">
        <v>0.98</v>
      </c>
      <c r="AD178" s="0" t="n">
        <v>0.9875</v>
      </c>
      <c r="AE178" s="0" t="n">
        <v>0.9875</v>
      </c>
      <c r="AF178" s="0" t="n">
        <v>0.98</v>
      </c>
      <c r="AG178" s="0" t="n">
        <v>0.99</v>
      </c>
      <c r="AH178" s="0" t="n">
        <v>0.9811093</v>
      </c>
      <c r="AI178" s="0" t="n">
        <v>0.9811093</v>
      </c>
      <c r="AJ178" s="0" t="n">
        <v>0.98</v>
      </c>
      <c r="AK178" s="0" t="n">
        <v>1</v>
      </c>
      <c r="AL178" s="0" t="n">
        <v>0.985</v>
      </c>
      <c r="AM178" s="0" t="n">
        <v>0</v>
      </c>
      <c r="BB178" s="187" t="n">
        <v>1</v>
      </c>
      <c r="BC178" s="0" t="n">
        <v>1</v>
      </c>
      <c r="BD178" s="0" t="n">
        <v>1</v>
      </c>
      <c r="BE178" s="0" t="n">
        <v>1</v>
      </c>
      <c r="BF178" s="0" t="n">
        <v>0.9999</v>
      </c>
      <c r="BG178" s="0" t="n">
        <v>1</v>
      </c>
      <c r="BH178" s="0" t="n">
        <v>1</v>
      </c>
      <c r="BI178" s="0" t="n">
        <v>0.99</v>
      </c>
      <c r="BJ178" s="0" t="n">
        <v>0.999</v>
      </c>
      <c r="BK178" s="0" t="n">
        <v>0.998</v>
      </c>
      <c r="BL178" s="0" t="n">
        <v>0.9985</v>
      </c>
      <c r="BM178" s="0" t="n">
        <v>0.9985</v>
      </c>
      <c r="BN178" s="0" t="n">
        <v>0.972</v>
      </c>
      <c r="BO178" s="0" t="n">
        <v>0.9999</v>
      </c>
      <c r="BP178" s="0" t="n">
        <v>0.9999</v>
      </c>
      <c r="BQ178" s="0" t="n">
        <v>1</v>
      </c>
      <c r="BR178" s="0" t="n">
        <v>1.1131676</v>
      </c>
      <c r="BS178" s="0" t="n">
        <v>1.1236</v>
      </c>
      <c r="BT178" s="0" t="n">
        <v>1.0827</v>
      </c>
      <c r="BU178" s="0" t="n">
        <v>1.0221</v>
      </c>
      <c r="BV178" s="0" t="n">
        <v>1</v>
      </c>
      <c r="BW178" s="0" t="n">
        <v>2.4666</v>
      </c>
      <c r="BX178" s="0" t="n">
        <v>2.312936333</v>
      </c>
      <c r="BY178" s="0" t="n">
        <v>1.13965</v>
      </c>
      <c r="BZ178" s="0" t="n">
        <v>1.2885</v>
      </c>
      <c r="CA178" s="0" t="n">
        <v>2.001</v>
      </c>
      <c r="CB178" s="0" t="n">
        <v>1.551005</v>
      </c>
      <c r="CC178" s="0" t="n">
        <v>1.551005</v>
      </c>
      <c r="CD178" s="0" t="n">
        <v>1.284105</v>
      </c>
      <c r="CE178" s="0" t="n">
        <v>1.095155</v>
      </c>
      <c r="CF178" s="0" t="n">
        <v>1.455005</v>
      </c>
      <c r="CG178" s="188"/>
      <c r="CH178" s="0" t="n">
        <v>1.10237</v>
      </c>
      <c r="CI178" s="188"/>
      <c r="CJ178" s="188"/>
      <c r="CK178" s="188"/>
      <c r="CL178" s="188"/>
      <c r="CM178" s="188"/>
      <c r="CN178" s="188"/>
      <c r="CO178" s="188"/>
      <c r="CP178" s="0" t="n">
        <v>0.965</v>
      </c>
      <c r="CU178" s="0" t="n">
        <v>0.34</v>
      </c>
      <c r="CV178" s="0" t="n">
        <v>0.47</v>
      </c>
      <c r="CW178" s="0" t="n">
        <v>0.935</v>
      </c>
      <c r="CX178" s="0" t="n">
        <v>0.705</v>
      </c>
      <c r="CY178" s="0" t="n">
        <v>0.725</v>
      </c>
      <c r="CZ178" s="0" t="n">
        <v>0.8825</v>
      </c>
      <c r="DA178" s="0" t="n">
        <v>0.915</v>
      </c>
      <c r="DB178" s="0" t="n">
        <v>0.88</v>
      </c>
      <c r="DC178" s="0" t="n">
        <v>0.9025</v>
      </c>
      <c r="DD178" s="0" t="n">
        <v>0.915</v>
      </c>
      <c r="DE178" s="0" t="n">
        <v>0.89</v>
      </c>
      <c r="DN178" s="188" t="n">
        <v>0.000285</v>
      </c>
      <c r="DO178" s="188" t="n">
        <v>0.0002</v>
      </c>
      <c r="DP178" s="188" t="n">
        <v>0</v>
      </c>
      <c r="DQ178" s="188" t="n">
        <v>0.0001</v>
      </c>
      <c r="DR178" s="188" t="n">
        <v>0</v>
      </c>
      <c r="DS178" s="188" t="n">
        <v>0.0036</v>
      </c>
      <c r="DT178" s="188" t="n">
        <v>0.00047</v>
      </c>
      <c r="DU178" s="188" t="n">
        <v>0.0007</v>
      </c>
      <c r="DV178" s="188" t="n">
        <v>0</v>
      </c>
      <c r="DW178" s="188" t="n">
        <v>0</v>
      </c>
      <c r="DX178" s="188" t="n">
        <v>0.0005</v>
      </c>
      <c r="DY178" s="188" t="n">
        <v>0.0005</v>
      </c>
      <c r="DZ178" s="188" t="n">
        <v>0.0003</v>
      </c>
      <c r="EA178" s="188" t="n">
        <v>0.000275</v>
      </c>
      <c r="EB178" s="188" t="n">
        <v>0.0004</v>
      </c>
      <c r="ED178" s="188" t="n">
        <v>6.5E-005</v>
      </c>
      <c r="EF178" s="0" t="n">
        <v>1</v>
      </c>
    </row>
    <row r="179" customFormat="false" ht="12.75" hidden="false" customHeight="false" outlineLevel="0" collapsed="false">
      <c r="A179" s="149" t="n">
        <v>41821</v>
      </c>
      <c r="B179" s="0" t="n">
        <v>0.98</v>
      </c>
      <c r="C179" s="0" t="n">
        <v>0</v>
      </c>
      <c r="E179" s="0" t="n">
        <v>0</v>
      </c>
      <c r="F179" s="0" t="n">
        <v>0</v>
      </c>
      <c r="G179" s="0" t="n">
        <v>0.9875</v>
      </c>
      <c r="H179" s="0" t="n">
        <v>0.9875</v>
      </c>
      <c r="I179" s="0" t="n">
        <v>0.9875</v>
      </c>
      <c r="J179" s="0" t="n">
        <v>0.9805</v>
      </c>
      <c r="K179" s="0" t="n">
        <v>0.985</v>
      </c>
      <c r="L179" s="176" t="n">
        <v>0.9875</v>
      </c>
      <c r="M179" s="176" t="n">
        <v>0.9875</v>
      </c>
      <c r="N179" s="0" t="n">
        <v>0.98</v>
      </c>
      <c r="O179" s="0" t="n">
        <v>0.9875</v>
      </c>
      <c r="P179" s="0" t="n">
        <v>0.98</v>
      </c>
      <c r="Q179" s="177" t="n">
        <v>0.9875</v>
      </c>
      <c r="R179" s="0" t="n">
        <v>0.9875</v>
      </c>
      <c r="S179" s="176" t="n">
        <v>0.9875</v>
      </c>
      <c r="T179" s="0" t="n">
        <v>0.98</v>
      </c>
      <c r="U179" s="0" t="n">
        <v>0.98</v>
      </c>
      <c r="V179" s="0" t="n">
        <v>0.98</v>
      </c>
      <c r="W179" s="0" t="n">
        <v>0.98</v>
      </c>
      <c r="X179" s="0" t="n">
        <v>0.9875</v>
      </c>
      <c r="Y179" s="0" t="n">
        <v>0.9875</v>
      </c>
      <c r="Z179" s="0" t="n">
        <v>0.9875</v>
      </c>
      <c r="AA179" s="0" t="n">
        <v>0.9875</v>
      </c>
      <c r="AB179" s="0" t="n">
        <v>0.98</v>
      </c>
      <c r="AC179" s="0" t="n">
        <v>0.98</v>
      </c>
      <c r="AD179" s="0" t="n">
        <v>0.9875</v>
      </c>
      <c r="AE179" s="0" t="n">
        <v>0.9875</v>
      </c>
      <c r="AF179" s="0" t="n">
        <v>0.98</v>
      </c>
      <c r="AG179" s="0" t="n">
        <v>0.99</v>
      </c>
      <c r="AH179" s="0" t="n">
        <v>0.98116715</v>
      </c>
      <c r="AI179" s="0" t="n">
        <v>0.98116715</v>
      </c>
      <c r="AJ179" s="0" t="n">
        <v>0.98</v>
      </c>
      <c r="AK179" s="0" t="n">
        <v>1</v>
      </c>
      <c r="AL179" s="0" t="n">
        <v>0.985</v>
      </c>
      <c r="AM179" s="0" t="n">
        <v>0</v>
      </c>
      <c r="BB179" s="187" t="n">
        <v>1</v>
      </c>
      <c r="BC179" s="0" t="n">
        <v>1</v>
      </c>
      <c r="BD179" s="0" t="n">
        <v>1</v>
      </c>
      <c r="BE179" s="0" t="n">
        <v>1</v>
      </c>
      <c r="BF179" s="0" t="n">
        <v>0.9999</v>
      </c>
      <c r="BG179" s="0" t="n">
        <v>1</v>
      </c>
      <c r="BH179" s="0" t="n">
        <v>1</v>
      </c>
      <c r="BI179" s="0" t="n">
        <v>0.99</v>
      </c>
      <c r="BJ179" s="0" t="n">
        <v>0.999</v>
      </c>
      <c r="BK179" s="0" t="n">
        <v>0.998</v>
      </c>
      <c r="BL179" s="0" t="n">
        <v>0.9985</v>
      </c>
      <c r="BM179" s="0" t="n">
        <v>0.9985</v>
      </c>
      <c r="BN179" s="0" t="n">
        <v>0.972</v>
      </c>
      <c r="BO179" s="0" t="n">
        <v>0.9999</v>
      </c>
      <c r="BP179" s="0" t="n">
        <v>0.9999</v>
      </c>
      <c r="BQ179" s="0" t="n">
        <v>1</v>
      </c>
      <c r="BR179" s="0" t="n">
        <v>1.1134526</v>
      </c>
      <c r="BS179" s="0" t="n">
        <v>1.1238</v>
      </c>
      <c r="BT179" s="0" t="n">
        <v>1.0827</v>
      </c>
      <c r="BU179" s="0" t="n">
        <v>1.0222</v>
      </c>
      <c r="BV179" s="0" t="n">
        <v>1</v>
      </c>
      <c r="BW179" s="0" t="n">
        <v>2.4702</v>
      </c>
      <c r="BX179" s="0" t="n">
        <v>2.313406333</v>
      </c>
      <c r="BY179" s="0" t="n">
        <v>1.14035</v>
      </c>
      <c r="BZ179" s="0" t="n">
        <v>1.2885</v>
      </c>
      <c r="CA179" s="0" t="n">
        <v>2.001</v>
      </c>
      <c r="CB179" s="0" t="n">
        <v>1.551505</v>
      </c>
      <c r="CC179" s="0" t="n">
        <v>1.551505</v>
      </c>
      <c r="CD179" s="0" t="n">
        <v>1.284405</v>
      </c>
      <c r="CE179" s="0" t="n">
        <v>1.09543</v>
      </c>
      <c r="CF179" s="0" t="n">
        <v>1.455405</v>
      </c>
      <c r="CG179" s="188"/>
      <c r="CH179" s="0" t="n">
        <v>1.102435</v>
      </c>
      <c r="CI179" s="188"/>
      <c r="CJ179" s="188"/>
      <c r="CK179" s="188"/>
      <c r="CL179" s="188"/>
      <c r="CM179" s="188"/>
      <c r="CN179" s="188"/>
      <c r="CO179" s="188"/>
      <c r="CP179" s="0" t="n">
        <v>0.975</v>
      </c>
      <c r="CU179" s="0" t="n">
        <v>0.41</v>
      </c>
      <c r="CV179" s="0" t="n">
        <v>0.47</v>
      </c>
      <c r="CW179" s="0" t="n">
        <v>0.935</v>
      </c>
      <c r="CX179" s="0" t="n">
        <v>0.725</v>
      </c>
      <c r="CY179" s="0" t="n">
        <v>0.725</v>
      </c>
      <c r="CZ179" s="0" t="n">
        <v>0.8775</v>
      </c>
      <c r="DA179" s="0" t="n">
        <v>0.91</v>
      </c>
      <c r="DB179" s="0" t="n">
        <v>0.89</v>
      </c>
      <c r="DC179" s="0" t="n">
        <v>0.9075</v>
      </c>
      <c r="DD179" s="0" t="n">
        <v>0.915</v>
      </c>
      <c r="DE179" s="0" t="n">
        <v>0.89</v>
      </c>
      <c r="DN179" s="188" t="n">
        <v>0.000285</v>
      </c>
      <c r="DO179" s="188" t="n">
        <v>0.0002</v>
      </c>
      <c r="DP179" s="188" t="n">
        <v>0</v>
      </c>
      <c r="DQ179" s="188" t="n">
        <v>0.0001</v>
      </c>
      <c r="DR179" s="188" t="n">
        <v>0</v>
      </c>
      <c r="DS179" s="188" t="n">
        <v>0.0036</v>
      </c>
      <c r="DT179" s="188" t="n">
        <v>0.00047</v>
      </c>
      <c r="DU179" s="188" t="n">
        <v>0.0007</v>
      </c>
      <c r="DV179" s="188" t="n">
        <v>0</v>
      </c>
      <c r="DW179" s="188" t="n">
        <v>0</v>
      </c>
      <c r="DX179" s="188" t="n">
        <v>0.0005</v>
      </c>
      <c r="DY179" s="188" t="n">
        <v>0.0005</v>
      </c>
      <c r="DZ179" s="188" t="n">
        <v>0.0003</v>
      </c>
      <c r="EA179" s="188" t="n">
        <v>0.000275</v>
      </c>
      <c r="EB179" s="188" t="n">
        <v>0.0004</v>
      </c>
      <c r="ED179" s="188" t="n">
        <v>6.5E-005</v>
      </c>
      <c r="EF179" s="0" t="n">
        <v>1</v>
      </c>
    </row>
    <row r="180" customFormat="false" ht="12.75" hidden="false" customHeight="false" outlineLevel="0" collapsed="false">
      <c r="A180" s="149" t="n">
        <v>41852</v>
      </c>
      <c r="B180" s="0" t="n">
        <v>0.98</v>
      </c>
      <c r="C180" s="0" t="n">
        <v>0</v>
      </c>
      <c r="E180" s="0" t="n">
        <v>0</v>
      </c>
      <c r="F180" s="0" t="n">
        <v>0</v>
      </c>
      <c r="G180" s="0" t="n">
        <v>0.9875</v>
      </c>
      <c r="H180" s="0" t="n">
        <v>0.9875</v>
      </c>
      <c r="I180" s="0" t="n">
        <v>0.9875</v>
      </c>
      <c r="J180" s="0" t="n">
        <v>0.9805</v>
      </c>
      <c r="K180" s="0" t="n">
        <v>0.985</v>
      </c>
      <c r="L180" s="176" t="n">
        <v>0.9875</v>
      </c>
      <c r="M180" s="176" t="n">
        <v>0.9875</v>
      </c>
      <c r="N180" s="0" t="n">
        <v>0.98</v>
      </c>
      <c r="O180" s="0" t="n">
        <v>0.9875</v>
      </c>
      <c r="P180" s="0" t="n">
        <v>0.98</v>
      </c>
      <c r="Q180" s="177" t="n">
        <v>0.9875</v>
      </c>
      <c r="R180" s="0" t="n">
        <v>0.9875</v>
      </c>
      <c r="S180" s="176" t="n">
        <v>0.9875</v>
      </c>
      <c r="T180" s="0" t="n">
        <v>0.98</v>
      </c>
      <c r="U180" s="0" t="n">
        <v>0.98</v>
      </c>
      <c r="V180" s="0" t="n">
        <v>0.98</v>
      </c>
      <c r="W180" s="0" t="n">
        <v>0.98</v>
      </c>
      <c r="X180" s="0" t="n">
        <v>0.9875</v>
      </c>
      <c r="Y180" s="0" t="n">
        <v>0.9875</v>
      </c>
      <c r="Z180" s="0" t="n">
        <v>0.9875</v>
      </c>
      <c r="AA180" s="0" t="n">
        <v>0.9875</v>
      </c>
      <c r="AB180" s="0" t="n">
        <v>0.98</v>
      </c>
      <c r="AC180" s="0" t="n">
        <v>0.98</v>
      </c>
      <c r="AD180" s="0" t="n">
        <v>0.9875</v>
      </c>
      <c r="AE180" s="0" t="n">
        <v>0.9875</v>
      </c>
      <c r="AF180" s="0" t="n">
        <v>0.98</v>
      </c>
      <c r="AG180" s="0" t="n">
        <v>0.99</v>
      </c>
      <c r="AH180" s="0" t="n">
        <v>0.981225</v>
      </c>
      <c r="AI180" s="0" t="n">
        <v>0.981225</v>
      </c>
      <c r="AJ180" s="0" t="n">
        <v>0.98</v>
      </c>
      <c r="AK180" s="0" t="n">
        <v>1</v>
      </c>
      <c r="AL180" s="0" t="n">
        <v>0.985</v>
      </c>
      <c r="AM180" s="0" t="n">
        <v>0</v>
      </c>
      <c r="BB180" s="187" t="n">
        <v>1</v>
      </c>
      <c r="BC180" s="0" t="n">
        <v>1</v>
      </c>
      <c r="BD180" s="0" t="n">
        <v>1</v>
      </c>
      <c r="BE180" s="0" t="n">
        <v>1</v>
      </c>
      <c r="BF180" s="0" t="n">
        <v>0.9999</v>
      </c>
      <c r="BG180" s="0" t="n">
        <v>1</v>
      </c>
      <c r="BH180" s="0" t="n">
        <v>1</v>
      </c>
      <c r="BI180" s="0" t="n">
        <v>0.99</v>
      </c>
      <c r="BJ180" s="0" t="n">
        <v>0.999</v>
      </c>
      <c r="BK180" s="0" t="n">
        <v>0.998</v>
      </c>
      <c r="BL180" s="0" t="n">
        <v>0.9985</v>
      </c>
      <c r="BM180" s="0" t="n">
        <v>0.9985</v>
      </c>
      <c r="BN180" s="0" t="n">
        <v>0.972</v>
      </c>
      <c r="BO180" s="0" t="n">
        <v>0.9999</v>
      </c>
      <c r="BP180" s="0" t="n">
        <v>0.9999</v>
      </c>
      <c r="BQ180" s="0" t="n">
        <v>1</v>
      </c>
      <c r="BR180" s="0" t="n">
        <v>1.1137376</v>
      </c>
      <c r="BS180" s="0" t="n">
        <v>1.124</v>
      </c>
      <c r="BT180" s="0" t="n">
        <v>1.0827</v>
      </c>
      <c r="BU180" s="0" t="n">
        <v>1.0223</v>
      </c>
      <c r="BV180" s="0" t="n">
        <v>1</v>
      </c>
      <c r="BW180" s="0" t="n">
        <v>2.4738</v>
      </c>
      <c r="BX180" s="0" t="n">
        <v>2.313876333</v>
      </c>
      <c r="BY180" s="0" t="n">
        <v>1.14105</v>
      </c>
      <c r="BZ180" s="0" t="n">
        <v>1.2885</v>
      </c>
      <c r="CA180" s="0" t="n">
        <v>2.001</v>
      </c>
      <c r="CB180" s="0" t="n">
        <v>1.552005</v>
      </c>
      <c r="CC180" s="0" t="n">
        <v>1.552005</v>
      </c>
      <c r="CD180" s="0" t="n">
        <v>1.284705</v>
      </c>
      <c r="CE180" s="0" t="n">
        <v>1.095705</v>
      </c>
      <c r="CF180" s="0" t="n">
        <v>1.455805</v>
      </c>
      <c r="CG180" s="188"/>
      <c r="CH180" s="0" t="n">
        <v>1.1025</v>
      </c>
      <c r="CI180" s="188"/>
      <c r="CJ180" s="188"/>
      <c r="CK180" s="188"/>
      <c r="CL180" s="188"/>
      <c r="CM180" s="188"/>
      <c r="CN180" s="188"/>
      <c r="CO180" s="188"/>
      <c r="CP180" s="0" t="n">
        <v>0.975</v>
      </c>
      <c r="CU180" s="0" t="n">
        <v>0.43</v>
      </c>
      <c r="CV180" s="0" t="n">
        <v>0.52</v>
      </c>
      <c r="CW180" s="0" t="n">
        <v>0.925</v>
      </c>
      <c r="CX180" s="0" t="n">
        <v>0.815</v>
      </c>
      <c r="CY180" s="0" t="n">
        <v>0.725</v>
      </c>
      <c r="CZ180" s="0" t="n">
        <v>0.89</v>
      </c>
      <c r="DA180" s="0" t="n">
        <v>0.9225</v>
      </c>
      <c r="DB180" s="0" t="n">
        <v>0.915</v>
      </c>
      <c r="DC180" s="0" t="n">
        <v>0.9275</v>
      </c>
      <c r="DD180" s="0" t="n">
        <v>0.915</v>
      </c>
      <c r="DE180" s="0" t="n">
        <v>0.89</v>
      </c>
      <c r="DN180" s="188" t="n">
        <v>0.000285</v>
      </c>
      <c r="DO180" s="188" t="n">
        <v>0.0002</v>
      </c>
      <c r="DP180" s="188" t="n">
        <v>0</v>
      </c>
      <c r="DQ180" s="188" t="n">
        <v>0.0001</v>
      </c>
      <c r="DR180" s="188" t="n">
        <v>0</v>
      </c>
      <c r="DS180" s="188" t="n">
        <v>0.0036</v>
      </c>
      <c r="DT180" s="188" t="n">
        <v>0.00047</v>
      </c>
      <c r="DU180" s="188" t="n">
        <v>0.0007</v>
      </c>
      <c r="DV180" s="188" t="n">
        <v>0</v>
      </c>
      <c r="DW180" s="188" t="n">
        <v>0</v>
      </c>
      <c r="DX180" s="188" t="n">
        <v>0.0005</v>
      </c>
      <c r="DY180" s="188" t="n">
        <v>0.0005</v>
      </c>
      <c r="DZ180" s="188" t="n">
        <v>0.0003</v>
      </c>
      <c r="EA180" s="188" t="n">
        <v>0.000275</v>
      </c>
      <c r="EB180" s="188" t="n">
        <v>0.0004</v>
      </c>
      <c r="ED180" s="188" t="n">
        <v>6.5E-005</v>
      </c>
      <c r="EF180" s="0" t="n">
        <v>1</v>
      </c>
    </row>
    <row r="181" customFormat="false" ht="12.75" hidden="false" customHeight="false" outlineLevel="0" collapsed="false">
      <c r="A181" s="149" t="n">
        <v>41883</v>
      </c>
      <c r="B181" s="0" t="n">
        <v>0.98</v>
      </c>
      <c r="C181" s="0" t="n">
        <v>0</v>
      </c>
      <c r="E181" s="0" t="n">
        <v>0</v>
      </c>
      <c r="F181" s="0" t="n">
        <v>0</v>
      </c>
      <c r="G181" s="0" t="n">
        <v>0.9875</v>
      </c>
      <c r="H181" s="0" t="n">
        <v>0.9875</v>
      </c>
      <c r="I181" s="0" t="n">
        <v>0.9875</v>
      </c>
      <c r="J181" s="0" t="n">
        <v>0.9805</v>
      </c>
      <c r="K181" s="0" t="n">
        <v>0.985</v>
      </c>
      <c r="L181" s="176" t="n">
        <v>0.9875</v>
      </c>
      <c r="M181" s="176" t="n">
        <v>0.9875</v>
      </c>
      <c r="N181" s="0" t="n">
        <v>0.98</v>
      </c>
      <c r="O181" s="0" t="n">
        <v>0.9875</v>
      </c>
      <c r="P181" s="0" t="n">
        <v>0.98</v>
      </c>
      <c r="Q181" s="177" t="n">
        <v>0.9875</v>
      </c>
      <c r="R181" s="0" t="n">
        <v>0.9875</v>
      </c>
      <c r="S181" s="176" t="n">
        <v>0.9875</v>
      </c>
      <c r="T181" s="0" t="n">
        <v>0.98</v>
      </c>
      <c r="U181" s="0" t="n">
        <v>0.98</v>
      </c>
      <c r="V181" s="0" t="n">
        <v>0.98</v>
      </c>
      <c r="W181" s="0" t="n">
        <v>0.98</v>
      </c>
      <c r="X181" s="0" t="n">
        <v>0.9875</v>
      </c>
      <c r="Y181" s="0" t="n">
        <v>0.9875</v>
      </c>
      <c r="Z181" s="0" t="n">
        <v>0.9875</v>
      </c>
      <c r="AA181" s="0" t="n">
        <v>0.9875</v>
      </c>
      <c r="AB181" s="0" t="n">
        <v>0.98</v>
      </c>
      <c r="AC181" s="0" t="n">
        <v>0.98</v>
      </c>
      <c r="AD181" s="0" t="n">
        <v>0.9875</v>
      </c>
      <c r="AE181" s="0" t="n">
        <v>0.9875</v>
      </c>
      <c r="AF181" s="0" t="n">
        <v>0.98</v>
      </c>
      <c r="AG181" s="0" t="n">
        <v>0.99</v>
      </c>
      <c r="AH181" s="0" t="n">
        <v>0.98128285</v>
      </c>
      <c r="AI181" s="0" t="n">
        <v>0.98128285</v>
      </c>
      <c r="AJ181" s="0" t="n">
        <v>0.98</v>
      </c>
      <c r="AK181" s="0" t="n">
        <v>1</v>
      </c>
      <c r="AL181" s="0" t="n">
        <v>0.985</v>
      </c>
      <c r="AM181" s="0" t="n">
        <v>0</v>
      </c>
      <c r="BB181" s="187" t="n">
        <v>1</v>
      </c>
      <c r="BC181" s="0" t="n">
        <v>1</v>
      </c>
      <c r="BD181" s="0" t="n">
        <v>1</v>
      </c>
      <c r="BE181" s="0" t="n">
        <v>1</v>
      </c>
      <c r="BF181" s="0" t="n">
        <v>0.9999</v>
      </c>
      <c r="BG181" s="0" t="n">
        <v>1</v>
      </c>
      <c r="BH181" s="0" t="n">
        <v>1</v>
      </c>
      <c r="BI181" s="0" t="n">
        <v>0.99</v>
      </c>
      <c r="BJ181" s="0" t="n">
        <v>0.999</v>
      </c>
      <c r="BK181" s="0" t="n">
        <v>0.998</v>
      </c>
      <c r="BL181" s="0" t="n">
        <v>0.9985</v>
      </c>
      <c r="BM181" s="0" t="n">
        <v>0.9985</v>
      </c>
      <c r="BN181" s="0" t="n">
        <v>0.972</v>
      </c>
      <c r="BO181" s="0" t="n">
        <v>0.9999</v>
      </c>
      <c r="BP181" s="0" t="n">
        <v>0.9999</v>
      </c>
      <c r="BQ181" s="0" t="n">
        <v>1</v>
      </c>
      <c r="BR181" s="0" t="n">
        <v>1.1140226</v>
      </c>
      <c r="BS181" s="0" t="n">
        <v>1.1242</v>
      </c>
      <c r="BT181" s="0" t="n">
        <v>1.0827</v>
      </c>
      <c r="BU181" s="0" t="n">
        <v>1.0224</v>
      </c>
      <c r="BV181" s="0" t="n">
        <v>1</v>
      </c>
      <c r="BW181" s="0" t="n">
        <v>2.4774</v>
      </c>
      <c r="BX181" s="0" t="n">
        <v>2.314346333</v>
      </c>
      <c r="BY181" s="0" t="n">
        <v>1.14175</v>
      </c>
      <c r="BZ181" s="0" t="n">
        <v>1.2885</v>
      </c>
      <c r="CA181" s="0" t="n">
        <v>2.001</v>
      </c>
      <c r="CB181" s="0" t="n">
        <v>1.552505</v>
      </c>
      <c r="CC181" s="0" t="n">
        <v>1.552505</v>
      </c>
      <c r="CD181" s="0" t="n">
        <v>1.285005</v>
      </c>
      <c r="CE181" s="0" t="n">
        <v>1.09598</v>
      </c>
      <c r="CF181" s="0" t="n">
        <v>1.456205</v>
      </c>
      <c r="CG181" s="188"/>
      <c r="CH181" s="0" t="n">
        <v>1.102565</v>
      </c>
      <c r="CI181" s="188"/>
      <c r="CJ181" s="188"/>
      <c r="CK181" s="188"/>
      <c r="CL181" s="188"/>
      <c r="CM181" s="188"/>
      <c r="CN181" s="188"/>
      <c r="CO181" s="188"/>
      <c r="CP181" s="0" t="n">
        <v>0.975</v>
      </c>
      <c r="CU181" s="0" t="n">
        <v>0.46</v>
      </c>
      <c r="CV181" s="0" t="n">
        <v>0.55</v>
      </c>
      <c r="CW181" s="0" t="n">
        <v>0.925</v>
      </c>
      <c r="CX181" s="0" t="n">
        <v>0.675</v>
      </c>
      <c r="CY181" s="0" t="n">
        <v>0.575</v>
      </c>
      <c r="CZ181" s="0" t="n">
        <v>0.945</v>
      </c>
      <c r="DA181" s="0" t="n">
        <v>0.9775</v>
      </c>
      <c r="DB181" s="0" t="n">
        <v>0.945</v>
      </c>
      <c r="DC181" s="0" t="n">
        <v>0.92</v>
      </c>
      <c r="DD181" s="0" t="n">
        <v>0.915</v>
      </c>
      <c r="DE181" s="0" t="n">
        <v>0.89</v>
      </c>
      <c r="DN181" s="188" t="n">
        <v>0.000285</v>
      </c>
      <c r="DO181" s="188" t="n">
        <v>0.0002</v>
      </c>
      <c r="DP181" s="188" t="n">
        <v>0</v>
      </c>
      <c r="DQ181" s="188" t="n">
        <v>0.0001</v>
      </c>
      <c r="DR181" s="188" t="n">
        <v>0</v>
      </c>
      <c r="DS181" s="188" t="n">
        <v>0.0036</v>
      </c>
      <c r="DT181" s="188" t="n">
        <v>0.00047</v>
      </c>
      <c r="DU181" s="188" t="n">
        <v>0.0007</v>
      </c>
      <c r="DV181" s="188" t="n">
        <v>0</v>
      </c>
      <c r="DW181" s="188" t="n">
        <v>0</v>
      </c>
      <c r="DX181" s="188" t="n">
        <v>0.0005</v>
      </c>
      <c r="DY181" s="188" t="n">
        <v>0.0005</v>
      </c>
      <c r="DZ181" s="188" t="n">
        <v>0.0003</v>
      </c>
      <c r="EA181" s="188" t="n">
        <v>0.000275</v>
      </c>
      <c r="EB181" s="188" t="n">
        <v>0.0004</v>
      </c>
      <c r="ED181" s="188" t="n">
        <v>6.5E-005</v>
      </c>
      <c r="EF181" s="0" t="n">
        <v>1</v>
      </c>
    </row>
    <row r="182" customFormat="false" ht="12.75" hidden="false" customHeight="false" outlineLevel="0" collapsed="false">
      <c r="A182" s="149" t="n">
        <v>41913</v>
      </c>
      <c r="B182" s="0" t="n">
        <v>0.98</v>
      </c>
      <c r="C182" s="0" t="n">
        <v>0</v>
      </c>
      <c r="E182" s="0" t="n">
        <v>0</v>
      </c>
      <c r="F182" s="0" t="n">
        <v>0</v>
      </c>
      <c r="G182" s="0" t="n">
        <v>0.9875</v>
      </c>
      <c r="H182" s="0" t="n">
        <v>0.9875</v>
      </c>
      <c r="I182" s="0" t="n">
        <v>0.9875</v>
      </c>
      <c r="J182" s="0" t="n">
        <v>0.9805</v>
      </c>
      <c r="K182" s="0" t="n">
        <v>0.985</v>
      </c>
      <c r="L182" s="176" t="n">
        <v>0.9875</v>
      </c>
      <c r="M182" s="176" t="n">
        <v>0.9875</v>
      </c>
      <c r="N182" s="0" t="n">
        <v>0.98</v>
      </c>
      <c r="O182" s="0" t="n">
        <v>0.9875</v>
      </c>
      <c r="P182" s="0" t="n">
        <v>0.98</v>
      </c>
      <c r="Q182" s="177" t="n">
        <v>0.9875</v>
      </c>
      <c r="R182" s="0" t="n">
        <v>0.9875</v>
      </c>
      <c r="S182" s="176" t="n">
        <v>0.9875</v>
      </c>
      <c r="T182" s="0" t="n">
        <v>0.98</v>
      </c>
      <c r="U182" s="0" t="n">
        <v>0.98</v>
      </c>
      <c r="V182" s="0" t="n">
        <v>0.98</v>
      </c>
      <c r="W182" s="0" t="n">
        <v>0.98</v>
      </c>
      <c r="X182" s="0" t="n">
        <v>0.9875</v>
      </c>
      <c r="Y182" s="0" t="n">
        <v>0.9875</v>
      </c>
      <c r="Z182" s="0" t="n">
        <v>0.9875</v>
      </c>
      <c r="AA182" s="0" t="n">
        <v>0.9875</v>
      </c>
      <c r="AB182" s="0" t="n">
        <v>0.98</v>
      </c>
      <c r="AC182" s="0" t="n">
        <v>0.98</v>
      </c>
      <c r="AD182" s="0" t="n">
        <v>0.9875</v>
      </c>
      <c r="AE182" s="0" t="n">
        <v>0.9875</v>
      </c>
      <c r="AF182" s="0" t="n">
        <v>0.98</v>
      </c>
      <c r="AG182" s="0" t="n">
        <v>0.99</v>
      </c>
      <c r="AH182" s="0" t="n">
        <v>0.9813407</v>
      </c>
      <c r="AI182" s="0" t="n">
        <v>0.9813407</v>
      </c>
      <c r="AJ182" s="0" t="n">
        <v>0.98</v>
      </c>
      <c r="AK182" s="0" t="n">
        <v>1</v>
      </c>
      <c r="AL182" s="0" t="n">
        <v>0.985</v>
      </c>
      <c r="AM182" s="0" t="n">
        <v>0</v>
      </c>
      <c r="BB182" s="187" t="n">
        <v>1</v>
      </c>
      <c r="BC182" s="0" t="n">
        <v>1</v>
      </c>
      <c r="BD182" s="0" t="n">
        <v>1</v>
      </c>
      <c r="BE182" s="0" t="n">
        <v>1</v>
      </c>
      <c r="BF182" s="0" t="n">
        <v>0.9999</v>
      </c>
      <c r="BG182" s="0" t="n">
        <v>1</v>
      </c>
      <c r="BH182" s="0" t="n">
        <v>1</v>
      </c>
      <c r="BI182" s="0" t="n">
        <v>0.99</v>
      </c>
      <c r="BJ182" s="0" t="n">
        <v>0.999</v>
      </c>
      <c r="BK182" s="0" t="n">
        <v>0.998</v>
      </c>
      <c r="BL182" s="0" t="n">
        <v>0.9985</v>
      </c>
      <c r="BM182" s="0" t="n">
        <v>0.9985</v>
      </c>
      <c r="BN182" s="0" t="n">
        <v>0.972</v>
      </c>
      <c r="BO182" s="0" t="n">
        <v>0.9999</v>
      </c>
      <c r="BP182" s="0" t="n">
        <v>0.9999</v>
      </c>
      <c r="BQ182" s="0" t="n">
        <v>1</v>
      </c>
      <c r="BR182" s="0" t="n">
        <v>1.1143076</v>
      </c>
      <c r="BS182" s="0" t="n">
        <v>1.1244</v>
      </c>
      <c r="BT182" s="0" t="n">
        <v>1.0827</v>
      </c>
      <c r="BU182" s="0" t="n">
        <v>1.0225</v>
      </c>
      <c r="BV182" s="0" t="n">
        <v>1</v>
      </c>
      <c r="BW182" s="0" t="n">
        <v>2.481</v>
      </c>
      <c r="BX182" s="0" t="n">
        <v>2.314816333</v>
      </c>
      <c r="BY182" s="0" t="n">
        <v>1.14245</v>
      </c>
      <c r="BZ182" s="0" t="n">
        <v>1.2885</v>
      </c>
      <c r="CA182" s="0" t="n">
        <v>2.001</v>
      </c>
      <c r="CB182" s="0" t="n">
        <v>1.553005</v>
      </c>
      <c r="CC182" s="0" t="n">
        <v>1.553005</v>
      </c>
      <c r="CD182" s="0" t="n">
        <v>1.285305</v>
      </c>
      <c r="CE182" s="0" t="n">
        <v>1.096255</v>
      </c>
      <c r="CF182" s="0" t="n">
        <v>1.456605</v>
      </c>
      <c r="CG182" s="188"/>
      <c r="CH182" s="0" t="n">
        <v>1.10263</v>
      </c>
      <c r="CI182" s="188"/>
      <c r="CJ182" s="188"/>
      <c r="CK182" s="188"/>
      <c r="CL182" s="188"/>
      <c r="CM182" s="188"/>
      <c r="CN182" s="188"/>
      <c r="CO182" s="188"/>
      <c r="CP182" s="0" t="n">
        <v>0.955</v>
      </c>
      <c r="CU182" s="0" t="n">
        <v>0.46</v>
      </c>
      <c r="CV182" s="0" t="n">
        <v>0.45</v>
      </c>
      <c r="CW182" s="0" t="n">
        <v>0.925</v>
      </c>
      <c r="CX182" s="0" t="n">
        <v>0.665</v>
      </c>
      <c r="CY182" s="0" t="n">
        <v>0.505</v>
      </c>
      <c r="CZ182" s="0" t="n">
        <v>0.805</v>
      </c>
      <c r="DA182" s="0" t="n">
        <v>0.8375</v>
      </c>
      <c r="DB182" s="0" t="n">
        <v>0.875</v>
      </c>
      <c r="DC182" s="0" t="n">
        <v>0.9025</v>
      </c>
      <c r="DD182" s="0" t="n">
        <v>0.82</v>
      </c>
      <c r="DE182" s="0" t="n">
        <v>0.89</v>
      </c>
      <c r="DN182" s="188" t="n">
        <v>0.000285</v>
      </c>
      <c r="DO182" s="188" t="n">
        <v>0.0002</v>
      </c>
      <c r="DP182" s="188" t="n">
        <v>0</v>
      </c>
      <c r="DQ182" s="188" t="n">
        <v>0.0001</v>
      </c>
      <c r="DR182" s="188" t="n">
        <v>0</v>
      </c>
      <c r="DS182" s="188" t="n">
        <v>0.0036</v>
      </c>
      <c r="DT182" s="188" t="n">
        <v>0.00047</v>
      </c>
      <c r="DU182" s="188" t="n">
        <v>0.0007</v>
      </c>
      <c r="DV182" s="188" t="n">
        <v>0</v>
      </c>
      <c r="DW182" s="188" t="n">
        <v>0</v>
      </c>
      <c r="DX182" s="188" t="n">
        <v>0.0005</v>
      </c>
      <c r="DY182" s="188" t="n">
        <v>0.0005</v>
      </c>
      <c r="DZ182" s="188" t="n">
        <v>0.0003</v>
      </c>
      <c r="EA182" s="188" t="n">
        <v>0.000275</v>
      </c>
      <c r="EB182" s="188" t="n">
        <v>0.0004</v>
      </c>
      <c r="ED182" s="188" t="n">
        <v>6.5E-005</v>
      </c>
      <c r="EF182" s="0" t="n">
        <v>1</v>
      </c>
    </row>
    <row r="183" customFormat="false" ht="12.75" hidden="false" customHeight="false" outlineLevel="0" collapsed="false">
      <c r="A183" s="149" t="n">
        <v>41944</v>
      </c>
      <c r="B183" s="0" t="n">
        <v>0.98</v>
      </c>
      <c r="C183" s="0" t="n">
        <v>0</v>
      </c>
      <c r="E183" s="0" t="n">
        <v>0</v>
      </c>
      <c r="F183" s="0" t="n">
        <v>0</v>
      </c>
      <c r="G183" s="0" t="n">
        <v>0.9875</v>
      </c>
      <c r="H183" s="0" t="n">
        <v>0.9875</v>
      </c>
      <c r="I183" s="0" t="n">
        <v>0.9875</v>
      </c>
      <c r="J183" s="0" t="n">
        <v>0.9805</v>
      </c>
      <c r="K183" s="0" t="n">
        <v>0.970485</v>
      </c>
      <c r="L183" s="176" t="n">
        <v>0.9875</v>
      </c>
      <c r="M183" s="176" t="n">
        <v>0.9875</v>
      </c>
      <c r="N183" s="0" t="n">
        <v>0.98</v>
      </c>
      <c r="O183" s="0" t="n">
        <v>0.9875</v>
      </c>
      <c r="P183" s="0" t="n">
        <v>0.98</v>
      </c>
      <c r="Q183" s="177" t="n">
        <v>0.9875</v>
      </c>
      <c r="R183" s="0" t="n">
        <v>0.9875</v>
      </c>
      <c r="S183" s="176" t="n">
        <v>0.9875</v>
      </c>
      <c r="T183" s="0" t="n">
        <v>0.98</v>
      </c>
      <c r="U183" s="0" t="n">
        <v>0.98</v>
      </c>
      <c r="V183" s="0" t="n">
        <v>0.98</v>
      </c>
      <c r="W183" s="0" t="n">
        <v>0.98</v>
      </c>
      <c r="X183" s="0" t="n">
        <v>0.9875</v>
      </c>
      <c r="Y183" s="0" t="n">
        <v>0.9875</v>
      </c>
      <c r="Z183" s="0" t="n">
        <v>0.9875</v>
      </c>
      <c r="AA183" s="0" t="n">
        <v>0.9875</v>
      </c>
      <c r="AB183" s="0" t="n">
        <v>0.98</v>
      </c>
      <c r="AC183" s="0" t="n">
        <v>0.98</v>
      </c>
      <c r="AD183" s="0" t="n">
        <v>0.9875</v>
      </c>
      <c r="AE183" s="0" t="n">
        <v>0.9875</v>
      </c>
      <c r="AF183" s="0" t="n">
        <v>0.98</v>
      </c>
      <c r="AG183" s="0" t="n">
        <v>0.99</v>
      </c>
      <c r="AH183" s="0" t="n">
        <v>0.98139855</v>
      </c>
      <c r="AI183" s="0" t="n">
        <v>0.98139855</v>
      </c>
      <c r="AJ183" s="0" t="n">
        <v>0.98</v>
      </c>
      <c r="AK183" s="0" t="n">
        <v>1</v>
      </c>
      <c r="AL183" s="0" t="n">
        <v>0.970485</v>
      </c>
      <c r="AM183" s="0" t="n">
        <v>0</v>
      </c>
      <c r="BB183" s="187" t="n">
        <v>1</v>
      </c>
      <c r="BC183" s="0" t="n">
        <v>1</v>
      </c>
      <c r="BD183" s="0" t="n">
        <v>1</v>
      </c>
      <c r="BE183" s="0" t="n">
        <v>1</v>
      </c>
      <c r="BF183" s="0" t="n">
        <v>0.9999</v>
      </c>
      <c r="BG183" s="0" t="n">
        <v>1</v>
      </c>
      <c r="BH183" s="0" t="n">
        <v>1</v>
      </c>
      <c r="BI183" s="0" t="n">
        <v>0.99</v>
      </c>
      <c r="BJ183" s="0" t="n">
        <v>0.999</v>
      </c>
      <c r="BK183" s="0" t="n">
        <v>0.998</v>
      </c>
      <c r="BL183" s="0" t="n">
        <v>0.9985</v>
      </c>
      <c r="BM183" s="0" t="n">
        <v>0.9985</v>
      </c>
      <c r="BN183" s="0" t="n">
        <v>0.972</v>
      </c>
      <c r="BO183" s="0" t="n">
        <v>0.9999</v>
      </c>
      <c r="BP183" s="0" t="n">
        <v>0.9999</v>
      </c>
      <c r="BQ183" s="0" t="n">
        <v>1</v>
      </c>
      <c r="BR183" s="0" t="n">
        <v>1.1145926</v>
      </c>
      <c r="BS183" s="0" t="n">
        <v>1.1246</v>
      </c>
      <c r="BT183" s="0" t="n">
        <v>1.0827</v>
      </c>
      <c r="BU183" s="0" t="n">
        <v>1.0226</v>
      </c>
      <c r="BV183" s="0" t="n">
        <v>1</v>
      </c>
      <c r="BW183" s="0" t="n">
        <v>2.4846</v>
      </c>
      <c r="BX183" s="0" t="n">
        <v>2.315286333</v>
      </c>
      <c r="BY183" s="0" t="n">
        <v>1.14315</v>
      </c>
      <c r="BZ183" s="0" t="n">
        <v>1.2885</v>
      </c>
      <c r="CA183" s="0" t="n">
        <v>2.001</v>
      </c>
      <c r="CB183" s="0" t="n">
        <v>1.553505</v>
      </c>
      <c r="CC183" s="0" t="n">
        <v>1.553505</v>
      </c>
      <c r="CD183" s="0" t="n">
        <v>1.285605</v>
      </c>
      <c r="CE183" s="0" t="n">
        <v>1.09653</v>
      </c>
      <c r="CF183" s="0" t="n">
        <v>1.457005</v>
      </c>
      <c r="CG183" s="188"/>
      <c r="CH183" s="0" t="n">
        <v>1.102695</v>
      </c>
      <c r="CI183" s="188"/>
      <c r="CJ183" s="188"/>
      <c r="CK183" s="188"/>
      <c r="CL183" s="188"/>
      <c r="CM183" s="188"/>
      <c r="CN183" s="188"/>
      <c r="CO183" s="188"/>
      <c r="CP183" s="0" t="n">
        <v>0.955</v>
      </c>
      <c r="CU183" s="0" t="n">
        <v>0.48</v>
      </c>
      <c r="CV183" s="0" t="n">
        <v>0.46</v>
      </c>
      <c r="CW183" s="0" t="n">
        <v>0.905</v>
      </c>
      <c r="CX183" s="0" t="n">
        <v>0.625</v>
      </c>
      <c r="CY183" s="0" t="n">
        <v>0.485</v>
      </c>
      <c r="CZ183" s="0" t="n">
        <v>0.795</v>
      </c>
      <c r="DA183" s="0" t="n">
        <v>0.8275</v>
      </c>
      <c r="DB183" s="0" t="n">
        <v>0.85</v>
      </c>
      <c r="DC183" s="0" t="n">
        <v>0.9025</v>
      </c>
      <c r="DD183" s="0" t="n">
        <v>0.82</v>
      </c>
      <c r="DE183" s="0" t="n">
        <v>0.89</v>
      </c>
      <c r="DN183" s="188" t="n">
        <v>0.000285</v>
      </c>
      <c r="DO183" s="188" t="n">
        <v>0.0002</v>
      </c>
      <c r="DP183" s="188" t="n">
        <v>0</v>
      </c>
      <c r="DQ183" s="188" t="n">
        <v>0.0001</v>
      </c>
      <c r="DR183" s="188" t="n">
        <v>0</v>
      </c>
      <c r="DS183" s="188" t="n">
        <v>0.0036</v>
      </c>
      <c r="DT183" s="188" t="n">
        <v>0.00047</v>
      </c>
      <c r="DU183" s="188" t="n">
        <v>0.0007</v>
      </c>
      <c r="DV183" s="188" t="n">
        <v>0</v>
      </c>
      <c r="DW183" s="188" t="n">
        <v>0</v>
      </c>
      <c r="DX183" s="188" t="n">
        <v>0.0005</v>
      </c>
      <c r="DY183" s="188" t="n">
        <v>0.0005</v>
      </c>
      <c r="DZ183" s="188" t="n">
        <v>0.0003</v>
      </c>
      <c r="EA183" s="188" t="n">
        <v>0.000275</v>
      </c>
      <c r="EB183" s="188" t="n">
        <v>0.0004</v>
      </c>
      <c r="ED183" s="188" t="n">
        <v>6.5E-005</v>
      </c>
      <c r="EF183" s="0" t="n">
        <v>1</v>
      </c>
    </row>
    <row r="184" customFormat="false" ht="12.75" hidden="false" customHeight="false" outlineLevel="0" collapsed="false">
      <c r="A184" s="149" t="n">
        <v>41974</v>
      </c>
      <c r="B184" s="0" t="n">
        <v>0.98</v>
      </c>
      <c r="C184" s="0" t="n">
        <v>0</v>
      </c>
      <c r="E184" s="0" t="n">
        <v>0</v>
      </c>
      <c r="F184" s="0" t="n">
        <v>0</v>
      </c>
      <c r="G184" s="0" t="n">
        <v>0.9875</v>
      </c>
      <c r="H184" s="0" t="n">
        <v>0.9875</v>
      </c>
      <c r="I184" s="0" t="n">
        <v>0.9875</v>
      </c>
      <c r="J184" s="0" t="n">
        <v>0.9805</v>
      </c>
      <c r="K184" s="0" t="n">
        <v>0.970485</v>
      </c>
      <c r="L184" s="176" t="n">
        <v>0.91686295</v>
      </c>
      <c r="M184" s="176" t="n">
        <v>0.967368112</v>
      </c>
      <c r="N184" s="0" t="n">
        <v>0.88727445</v>
      </c>
      <c r="O184" s="0" t="n">
        <v>0.978898463</v>
      </c>
      <c r="P184" s="0" t="n">
        <v>0.88727445</v>
      </c>
      <c r="Q184" s="177" t="n">
        <v>0.91686295</v>
      </c>
      <c r="R184" s="0" t="n">
        <v>0.91686295</v>
      </c>
      <c r="S184" s="176" t="n">
        <v>0.91686295</v>
      </c>
      <c r="T184" s="0" t="n">
        <v>0.88727445</v>
      </c>
      <c r="U184" s="0" t="n">
        <v>0.88727445</v>
      </c>
      <c r="V184" s="0" t="n">
        <v>0.88727445</v>
      </c>
      <c r="W184" s="0" t="n">
        <v>0.88727445</v>
      </c>
      <c r="X184" s="0" t="n">
        <v>0.978898463</v>
      </c>
      <c r="Y184" s="0" t="n">
        <v>0.978898463</v>
      </c>
      <c r="Z184" s="0" t="n">
        <v>0.978898463</v>
      </c>
      <c r="AA184" s="0" t="n">
        <v>0.978898463</v>
      </c>
      <c r="AB184" s="0" t="n">
        <v>0.88727445</v>
      </c>
      <c r="AC184" s="0" t="n">
        <v>0.88727445</v>
      </c>
      <c r="AD184" s="0" t="n">
        <v>0.978898463</v>
      </c>
      <c r="AE184" s="0" t="n">
        <v>0.978898463</v>
      </c>
      <c r="AF184" s="0" t="n">
        <v>0.88727445</v>
      </c>
      <c r="AG184" s="0" t="n">
        <v>0.98</v>
      </c>
      <c r="AH184" s="0" t="n">
        <v>0.9814564</v>
      </c>
      <c r="AI184" s="0" t="n">
        <v>0.9814564</v>
      </c>
      <c r="AJ184" s="0" t="n">
        <v>0.88727445</v>
      </c>
      <c r="AK184" s="0" t="n">
        <v>1</v>
      </c>
      <c r="AL184" s="0" t="n">
        <v>0.970485</v>
      </c>
      <c r="AM184" s="0" t="n">
        <v>0</v>
      </c>
      <c r="BB184" s="187" t="n">
        <v>1</v>
      </c>
      <c r="BC184" s="0" t="n">
        <v>1</v>
      </c>
      <c r="BD184" s="0" t="n">
        <v>1</v>
      </c>
      <c r="BE184" s="0" t="n">
        <v>1</v>
      </c>
      <c r="BF184" s="0" t="n">
        <v>0.9999</v>
      </c>
      <c r="BG184" s="0" t="n">
        <v>1</v>
      </c>
      <c r="BH184" s="0" t="n">
        <v>1</v>
      </c>
      <c r="BI184" s="0" t="n">
        <v>0.99</v>
      </c>
      <c r="BJ184" s="0" t="n">
        <v>0.999</v>
      </c>
      <c r="BK184" s="0" t="n">
        <v>0.998</v>
      </c>
      <c r="BL184" s="0" t="n">
        <v>0.9985</v>
      </c>
      <c r="BM184" s="0" t="n">
        <v>0.9985</v>
      </c>
      <c r="BN184" s="0" t="n">
        <v>0.972</v>
      </c>
      <c r="BO184" s="0" t="n">
        <v>0.9999</v>
      </c>
      <c r="BP184" s="0" t="n">
        <v>0.9999</v>
      </c>
      <c r="BQ184" s="0" t="n">
        <v>1</v>
      </c>
      <c r="BR184" s="0" t="n">
        <v>1.1148776</v>
      </c>
      <c r="BS184" s="0" t="n">
        <v>1.1248</v>
      </c>
      <c r="BT184" s="0" t="n">
        <v>1.0827</v>
      </c>
      <c r="BU184" s="0" t="n">
        <v>1.0227</v>
      </c>
      <c r="BV184" s="0" t="n">
        <v>1</v>
      </c>
      <c r="BW184" s="0" t="n">
        <v>2.4882</v>
      </c>
      <c r="BX184" s="0" t="n">
        <v>2.315756333</v>
      </c>
      <c r="BY184" s="0" t="n">
        <v>1.14385</v>
      </c>
      <c r="BZ184" s="0" t="n">
        <v>1.2885</v>
      </c>
      <c r="CA184" s="0" t="n">
        <v>2.001</v>
      </c>
      <c r="CB184" s="0" t="n">
        <v>1.554005</v>
      </c>
      <c r="CC184" s="0" t="n">
        <v>1.554005</v>
      </c>
      <c r="CD184" s="0" t="n">
        <v>1.285905</v>
      </c>
      <c r="CE184" s="0" t="n">
        <v>1.096805</v>
      </c>
      <c r="CF184" s="0" t="n">
        <v>1.457405</v>
      </c>
      <c r="CG184" s="188"/>
      <c r="CH184" s="0" t="n">
        <v>1.10276</v>
      </c>
      <c r="CI184" s="188"/>
      <c r="CJ184" s="188"/>
      <c r="CK184" s="188"/>
      <c r="CL184" s="188"/>
      <c r="CM184" s="188"/>
      <c r="CN184" s="188"/>
      <c r="CO184" s="188"/>
      <c r="CP184" s="0" t="n">
        <v>0.935</v>
      </c>
      <c r="CU184" s="0" t="n">
        <v>0.51</v>
      </c>
      <c r="CV184" s="0" t="n">
        <v>0.48</v>
      </c>
      <c r="CW184" s="0" t="n">
        <v>0.875</v>
      </c>
      <c r="CX184" s="0" t="n">
        <v>0.63</v>
      </c>
      <c r="CY184" s="0" t="n">
        <v>0.485</v>
      </c>
      <c r="CZ184" s="0" t="n">
        <v>0.59</v>
      </c>
      <c r="DA184" s="0" t="n">
        <v>0.6225</v>
      </c>
      <c r="DB184" s="0" t="n">
        <v>0.69</v>
      </c>
      <c r="DC184" s="0" t="n">
        <v>0.8925</v>
      </c>
      <c r="DD184" s="0" t="n">
        <v>0.715</v>
      </c>
      <c r="DE184" s="0" t="n">
        <v>0.89</v>
      </c>
      <c r="DN184" s="188" t="n">
        <v>0.000285</v>
      </c>
      <c r="DO184" s="188" t="n">
        <v>0.0002</v>
      </c>
      <c r="DP184" s="188" t="n">
        <v>0</v>
      </c>
      <c r="DQ184" s="188" t="n">
        <v>0.0001</v>
      </c>
      <c r="DR184" s="188" t="n">
        <v>0</v>
      </c>
      <c r="DS184" s="188" t="n">
        <v>0.0036</v>
      </c>
      <c r="DT184" s="188" t="n">
        <v>0.00047</v>
      </c>
      <c r="DU184" s="188" t="n">
        <v>0.0007</v>
      </c>
      <c r="DV184" s="188" t="n">
        <v>0</v>
      </c>
      <c r="DW184" s="188" t="n">
        <v>0</v>
      </c>
      <c r="DX184" s="188" t="n">
        <v>0.0005</v>
      </c>
      <c r="DY184" s="188" t="n">
        <v>0.0005</v>
      </c>
      <c r="DZ184" s="188" t="n">
        <v>0.0003</v>
      </c>
      <c r="EA184" s="188" t="n">
        <v>0.000275</v>
      </c>
      <c r="EB184" s="188" t="n">
        <v>0.0004</v>
      </c>
      <c r="ED184" s="188" t="n">
        <v>6.5E-005</v>
      </c>
      <c r="EF184" s="0" t="n">
        <v>1</v>
      </c>
    </row>
    <row r="185" customFormat="false" ht="12.75" hidden="false" customHeight="false" outlineLevel="0" collapsed="false">
      <c r="A185" s="149" t="n">
        <v>42005</v>
      </c>
      <c r="B185" s="0" t="n">
        <v>0.98</v>
      </c>
      <c r="C185" s="0" t="n">
        <v>0</v>
      </c>
      <c r="E185" s="0" t="n">
        <v>0</v>
      </c>
      <c r="F185" s="0" t="n">
        <v>0</v>
      </c>
      <c r="G185" s="0" t="n">
        <v>0.9875</v>
      </c>
      <c r="H185" s="0" t="n">
        <v>0.9875</v>
      </c>
      <c r="I185" s="0" t="n">
        <v>0.92136275</v>
      </c>
      <c r="J185" s="0" t="n">
        <v>0.9805</v>
      </c>
      <c r="K185" s="0" t="n">
        <v>0.985</v>
      </c>
      <c r="L185" s="176" t="n">
        <v>0.940475525</v>
      </c>
      <c r="M185" s="176" t="n">
        <v>0.9875</v>
      </c>
      <c r="N185" s="0" t="n">
        <v>0.88748145</v>
      </c>
      <c r="O185" s="0" t="n">
        <v>0.9654304</v>
      </c>
      <c r="P185" s="0" t="n">
        <v>0.88748145</v>
      </c>
      <c r="Q185" s="177" t="n">
        <v>0.940475525</v>
      </c>
      <c r="R185" s="0" t="n">
        <v>0.940475525</v>
      </c>
      <c r="S185" s="176" t="n">
        <v>0.940475525</v>
      </c>
      <c r="T185" s="0" t="n">
        <v>0.88748145</v>
      </c>
      <c r="U185" s="0" t="n">
        <v>0.88748145</v>
      </c>
      <c r="V185" s="0" t="n">
        <v>0.88748145</v>
      </c>
      <c r="W185" s="0" t="n">
        <v>0.88748145</v>
      </c>
      <c r="X185" s="0" t="n">
        <v>0.9654304</v>
      </c>
      <c r="Y185" s="0" t="n">
        <v>0.9654304</v>
      </c>
      <c r="Z185" s="0" t="n">
        <v>0.9654304</v>
      </c>
      <c r="AA185" s="0" t="n">
        <v>0.9654304</v>
      </c>
      <c r="AB185" s="0" t="n">
        <v>0.88748145</v>
      </c>
      <c r="AC185" s="0" t="n">
        <v>0.88748145</v>
      </c>
      <c r="AD185" s="0" t="n">
        <v>0.9654304</v>
      </c>
      <c r="AE185" s="0" t="n">
        <v>0.9654304</v>
      </c>
      <c r="AF185" s="0" t="n">
        <v>0.88748145</v>
      </c>
      <c r="AG185" s="0" t="n">
        <v>0.98</v>
      </c>
      <c r="AH185" s="0" t="n">
        <v>0.98151425</v>
      </c>
      <c r="AI185" s="0" t="n">
        <v>0.98151425</v>
      </c>
      <c r="AJ185" s="0" t="n">
        <v>0.88748145</v>
      </c>
      <c r="AK185" s="0" t="n">
        <v>1</v>
      </c>
      <c r="AL185" s="0" t="n">
        <v>0.985</v>
      </c>
      <c r="AM185" s="0" t="n">
        <v>0</v>
      </c>
      <c r="BB185" s="187" t="n">
        <v>1</v>
      </c>
      <c r="BC185" s="0" t="n">
        <v>1</v>
      </c>
      <c r="BD185" s="0" t="n">
        <v>1</v>
      </c>
      <c r="BE185" s="0" t="n">
        <v>1</v>
      </c>
      <c r="BF185" s="0" t="n">
        <v>0.9999</v>
      </c>
      <c r="BG185" s="0" t="n">
        <v>1</v>
      </c>
      <c r="BH185" s="0" t="n">
        <v>1</v>
      </c>
      <c r="BI185" s="0" t="n">
        <v>0.99</v>
      </c>
      <c r="BJ185" s="0" t="n">
        <v>0.999</v>
      </c>
      <c r="BK185" s="0" t="n">
        <v>0.998</v>
      </c>
      <c r="BL185" s="0" t="n">
        <v>0.9985</v>
      </c>
      <c r="BM185" s="0" t="n">
        <v>0.9985</v>
      </c>
      <c r="BN185" s="0" t="n">
        <v>0.972</v>
      </c>
      <c r="BO185" s="0" t="n">
        <v>0.9999</v>
      </c>
      <c r="BP185" s="0" t="n">
        <v>0.9999</v>
      </c>
      <c r="BQ185" s="0" t="n">
        <v>1</v>
      </c>
      <c r="BR185" s="0" t="n">
        <v>1.1151626</v>
      </c>
      <c r="BS185" s="0" t="n">
        <v>1.125</v>
      </c>
      <c r="BT185" s="0" t="n">
        <v>1.0827</v>
      </c>
      <c r="BU185" s="0" t="n">
        <v>1.0228</v>
      </c>
      <c r="BV185" s="0" t="n">
        <v>1</v>
      </c>
      <c r="BW185" s="0" t="n">
        <v>2.4918</v>
      </c>
      <c r="BX185" s="0" t="n">
        <v>2.316226333</v>
      </c>
      <c r="BY185" s="0" t="n">
        <v>1.14455</v>
      </c>
      <c r="BZ185" s="0" t="n">
        <v>1.2885</v>
      </c>
      <c r="CA185" s="0" t="n">
        <v>2.001</v>
      </c>
      <c r="CB185" s="0" t="n">
        <v>1.554505</v>
      </c>
      <c r="CC185" s="0" t="n">
        <v>1.554505</v>
      </c>
      <c r="CD185" s="0" t="n">
        <v>1.286205</v>
      </c>
      <c r="CE185" s="0" t="n">
        <v>1.09708</v>
      </c>
      <c r="CF185" s="0" t="n">
        <v>1.457805</v>
      </c>
      <c r="CG185" s="188"/>
      <c r="CH185" s="0" t="n">
        <v>1.102825</v>
      </c>
      <c r="CI185" s="188"/>
      <c r="CJ185" s="188"/>
      <c r="CK185" s="188"/>
      <c r="CL185" s="188"/>
      <c r="CM185" s="188"/>
      <c r="CN185" s="188"/>
      <c r="CO185" s="188"/>
      <c r="CP185" s="0" t="n">
        <v>0.895</v>
      </c>
      <c r="CU185" s="0" t="n">
        <v>0.58</v>
      </c>
      <c r="CV185" s="0" t="n">
        <v>0.45</v>
      </c>
      <c r="CW185" s="0" t="n">
        <v>0.805</v>
      </c>
      <c r="CX185" s="0" t="n">
        <v>0.64</v>
      </c>
      <c r="CY185" s="0" t="n">
        <v>0.505</v>
      </c>
      <c r="CZ185" s="0" t="n">
        <v>0.605</v>
      </c>
      <c r="DA185" s="0" t="n">
        <v>0.6375</v>
      </c>
      <c r="DB185" s="0" t="n">
        <v>0.69</v>
      </c>
      <c r="DC185" s="0" t="n">
        <v>0.88</v>
      </c>
      <c r="DD185" s="0" t="n">
        <v>0.64</v>
      </c>
      <c r="DE185" s="0" t="n">
        <v>0.89</v>
      </c>
      <c r="DN185" s="188" t="n">
        <v>0.000285</v>
      </c>
      <c r="DO185" s="188" t="n">
        <v>0.0002</v>
      </c>
      <c r="DP185" s="188" t="n">
        <v>0</v>
      </c>
      <c r="DQ185" s="188" t="n">
        <v>0.0001</v>
      </c>
      <c r="DR185" s="188" t="n">
        <v>0</v>
      </c>
      <c r="DS185" s="188" t="n">
        <v>0.0036</v>
      </c>
      <c r="DT185" s="188" t="n">
        <v>0.00047</v>
      </c>
      <c r="DU185" s="188" t="n">
        <v>0.0007</v>
      </c>
      <c r="DV185" s="188" t="n">
        <v>0</v>
      </c>
      <c r="DW185" s="188" t="n">
        <v>0</v>
      </c>
      <c r="DX185" s="188" t="n">
        <v>0.0005</v>
      </c>
      <c r="DY185" s="188" t="n">
        <v>0.0005</v>
      </c>
      <c r="DZ185" s="188" t="n">
        <v>0.0003</v>
      </c>
      <c r="EA185" s="188" t="n">
        <v>0.000275</v>
      </c>
      <c r="EB185" s="188" t="n">
        <v>0.0004</v>
      </c>
      <c r="ED185" s="188" t="n">
        <v>6.5E-005</v>
      </c>
      <c r="EF185" s="0" t="n">
        <v>1</v>
      </c>
    </row>
    <row r="186" customFormat="false" ht="12.75" hidden="false" customHeight="false" outlineLevel="0" collapsed="false">
      <c r="A186" s="149" t="n">
        <v>42036</v>
      </c>
      <c r="B186" s="0" t="n">
        <v>0.98</v>
      </c>
      <c r="C186" s="0" t="n">
        <v>0</v>
      </c>
      <c r="E186" s="0" t="n">
        <v>0</v>
      </c>
      <c r="F186" s="0" t="n">
        <v>0</v>
      </c>
      <c r="G186" s="0" t="n">
        <v>0.9875</v>
      </c>
      <c r="H186" s="0" t="n">
        <v>0.9875</v>
      </c>
      <c r="I186" s="0" t="n">
        <v>0.96773625</v>
      </c>
      <c r="J186" s="0" t="n">
        <v>0.9805</v>
      </c>
      <c r="K186" s="0" t="n">
        <v>0.985</v>
      </c>
      <c r="L186" s="176" t="n">
        <v>0.987428175</v>
      </c>
      <c r="M186" s="176" t="n">
        <v>0.9875</v>
      </c>
      <c r="N186" s="0" t="n">
        <v>0.91341855</v>
      </c>
      <c r="O186" s="0" t="n">
        <v>0.962929013</v>
      </c>
      <c r="P186" s="0" t="n">
        <v>0.91341855</v>
      </c>
      <c r="Q186" s="177" t="n">
        <v>0.987428175</v>
      </c>
      <c r="R186" s="0" t="n">
        <v>0.987428175</v>
      </c>
      <c r="S186" s="176" t="n">
        <v>0.987428175</v>
      </c>
      <c r="T186" s="0" t="n">
        <v>0.91341855</v>
      </c>
      <c r="U186" s="0" t="n">
        <v>0.91341855</v>
      </c>
      <c r="V186" s="0" t="n">
        <v>0.91341855</v>
      </c>
      <c r="W186" s="0" t="n">
        <v>0.91341855</v>
      </c>
      <c r="X186" s="0" t="n">
        <v>0.962929013</v>
      </c>
      <c r="Y186" s="0" t="n">
        <v>0.962929013</v>
      </c>
      <c r="Z186" s="0" t="n">
        <v>0.962929013</v>
      </c>
      <c r="AA186" s="0" t="n">
        <v>0.962929013</v>
      </c>
      <c r="AB186" s="0" t="n">
        <v>0.91341855</v>
      </c>
      <c r="AC186" s="0" t="n">
        <v>0.91341855</v>
      </c>
      <c r="AD186" s="0" t="n">
        <v>0.962929013</v>
      </c>
      <c r="AE186" s="0" t="n">
        <v>0.962929013</v>
      </c>
      <c r="AF186" s="0" t="n">
        <v>0.91341855</v>
      </c>
      <c r="AG186" s="0" t="n">
        <v>0.98</v>
      </c>
      <c r="AH186" s="0" t="n">
        <v>0.9815721</v>
      </c>
      <c r="AI186" s="0" t="n">
        <v>0.9815721</v>
      </c>
      <c r="AJ186" s="0" t="n">
        <v>0.91341855</v>
      </c>
      <c r="AK186" s="0" t="n">
        <v>1</v>
      </c>
      <c r="AL186" s="0" t="n">
        <v>0.985</v>
      </c>
      <c r="AM186" s="0" t="n">
        <v>0</v>
      </c>
      <c r="BB186" s="187" t="n">
        <v>1</v>
      </c>
      <c r="BC186" s="0" t="n">
        <v>1</v>
      </c>
      <c r="BD186" s="0" t="n">
        <v>1</v>
      </c>
      <c r="BE186" s="0" t="n">
        <v>1</v>
      </c>
      <c r="BF186" s="0" t="n">
        <v>0.9999</v>
      </c>
      <c r="BG186" s="0" t="n">
        <v>1</v>
      </c>
      <c r="BH186" s="0" t="n">
        <v>1</v>
      </c>
      <c r="BI186" s="0" t="n">
        <v>0.99</v>
      </c>
      <c r="BJ186" s="0" t="n">
        <v>0.999</v>
      </c>
      <c r="BK186" s="0" t="n">
        <v>0.998</v>
      </c>
      <c r="BL186" s="0" t="n">
        <v>0.9985</v>
      </c>
      <c r="BM186" s="0" t="n">
        <v>0.9985</v>
      </c>
      <c r="BN186" s="0" t="n">
        <v>0.972</v>
      </c>
      <c r="BO186" s="0" t="n">
        <v>0.9999</v>
      </c>
      <c r="BP186" s="0" t="n">
        <v>0.9999</v>
      </c>
      <c r="BQ186" s="0" t="n">
        <v>1</v>
      </c>
      <c r="BR186" s="0" t="n">
        <v>1.1154476</v>
      </c>
      <c r="BS186" s="0" t="n">
        <v>1.1252</v>
      </c>
      <c r="BT186" s="0" t="n">
        <v>1.0827</v>
      </c>
      <c r="BU186" s="0" t="n">
        <v>1.0229</v>
      </c>
      <c r="BV186" s="0" t="n">
        <v>1</v>
      </c>
      <c r="BW186" s="0" t="n">
        <v>2.4954</v>
      </c>
      <c r="BX186" s="0" t="n">
        <v>2.316696333</v>
      </c>
      <c r="BY186" s="0" t="n">
        <v>1.14525</v>
      </c>
      <c r="BZ186" s="0" t="n">
        <v>1.2885</v>
      </c>
      <c r="CA186" s="0" t="n">
        <v>2.001</v>
      </c>
      <c r="CB186" s="0" t="n">
        <v>1.555005</v>
      </c>
      <c r="CC186" s="0" t="n">
        <v>1.555005</v>
      </c>
      <c r="CD186" s="0" t="n">
        <v>1.286505</v>
      </c>
      <c r="CE186" s="0" t="n">
        <v>1.097355</v>
      </c>
      <c r="CF186" s="0" t="n">
        <v>1.458205</v>
      </c>
      <c r="CG186" s="188"/>
      <c r="CH186" s="0" t="n">
        <v>1.10289</v>
      </c>
      <c r="CI186" s="188"/>
      <c r="CJ186" s="188"/>
      <c r="CK186" s="188"/>
      <c r="CL186" s="188"/>
      <c r="CM186" s="188"/>
      <c r="CN186" s="188"/>
      <c r="CO186" s="188"/>
      <c r="CP186" s="0" t="n">
        <v>0.865</v>
      </c>
      <c r="CU186" s="0" t="n">
        <v>0.58</v>
      </c>
      <c r="CV186" s="0" t="n">
        <v>0.45</v>
      </c>
      <c r="CW186" s="0" t="n">
        <v>0.845</v>
      </c>
      <c r="CX186" s="0" t="n">
        <v>0.745</v>
      </c>
      <c r="CY186" s="0" t="n">
        <v>0.505</v>
      </c>
      <c r="CZ186" s="0" t="n">
        <v>0.635</v>
      </c>
      <c r="DA186" s="0" t="n">
        <v>0.6675</v>
      </c>
      <c r="DB186" s="0" t="n">
        <v>0.71</v>
      </c>
      <c r="DC186" s="0" t="n">
        <v>0.8775</v>
      </c>
      <c r="DD186" s="0" t="n">
        <v>0.67</v>
      </c>
      <c r="DE186" s="0" t="n">
        <v>0.89</v>
      </c>
      <c r="DN186" s="188" t="n">
        <v>0.000285</v>
      </c>
      <c r="DO186" s="188" t="n">
        <v>0.0002</v>
      </c>
      <c r="DP186" s="188" t="n">
        <v>0</v>
      </c>
      <c r="DQ186" s="188" t="n">
        <v>0.0001</v>
      </c>
      <c r="DR186" s="188" t="n">
        <v>0</v>
      </c>
      <c r="DS186" s="188" t="n">
        <v>0.0036</v>
      </c>
      <c r="DT186" s="188" t="n">
        <v>0.00047</v>
      </c>
      <c r="DU186" s="188" t="n">
        <v>0.0007</v>
      </c>
      <c r="DV186" s="188" t="n">
        <v>0</v>
      </c>
      <c r="DW186" s="188" t="n">
        <v>0</v>
      </c>
      <c r="DX186" s="188" t="n">
        <v>0.0005</v>
      </c>
      <c r="DY186" s="188" t="n">
        <v>0.0005</v>
      </c>
      <c r="DZ186" s="188" t="n">
        <v>0.0003</v>
      </c>
      <c r="EA186" s="188" t="n">
        <v>0.000275</v>
      </c>
      <c r="EB186" s="188" t="n">
        <v>0.0004</v>
      </c>
      <c r="ED186" s="188" t="n">
        <v>6.5E-005</v>
      </c>
      <c r="EF186" s="0" t="n">
        <v>1</v>
      </c>
    </row>
    <row r="187" customFormat="false" ht="12.75" hidden="false" customHeight="false" outlineLevel="0" collapsed="false">
      <c r="A187" s="149" t="n">
        <v>42064</v>
      </c>
      <c r="B187" s="0" t="n">
        <v>0.98</v>
      </c>
      <c r="C187" s="0" t="n">
        <v>0</v>
      </c>
      <c r="E187" s="0" t="n">
        <v>0</v>
      </c>
      <c r="F187" s="0" t="n">
        <v>0</v>
      </c>
      <c r="G187" s="0" t="n">
        <v>0.9875</v>
      </c>
      <c r="H187" s="0" t="n">
        <v>0.9875</v>
      </c>
      <c r="I187" s="0" t="n">
        <v>0.9875</v>
      </c>
      <c r="J187" s="0" t="n">
        <v>0.9805</v>
      </c>
      <c r="K187" s="0" t="n">
        <v>0.985</v>
      </c>
      <c r="L187" s="176" t="n">
        <v>0.9875</v>
      </c>
      <c r="M187" s="176" t="n">
        <v>0.9875</v>
      </c>
      <c r="N187" s="0" t="n">
        <v>0.98</v>
      </c>
      <c r="O187" s="0" t="n">
        <v>0.9875</v>
      </c>
      <c r="P187" s="0" t="n">
        <v>0.98</v>
      </c>
      <c r="Q187" s="177" t="n">
        <v>0.9875</v>
      </c>
      <c r="R187" s="0" t="n">
        <v>0.9875</v>
      </c>
      <c r="S187" s="176" t="n">
        <v>0.9875</v>
      </c>
      <c r="T187" s="0" t="n">
        <v>0.98</v>
      </c>
      <c r="U187" s="0" t="n">
        <v>0.98</v>
      </c>
      <c r="V187" s="0" t="n">
        <v>0.98</v>
      </c>
      <c r="W187" s="0" t="n">
        <v>0.98</v>
      </c>
      <c r="X187" s="0" t="n">
        <v>0.9875</v>
      </c>
      <c r="Y187" s="0" t="n">
        <v>0.9875</v>
      </c>
      <c r="Z187" s="0" t="n">
        <v>0.9875</v>
      </c>
      <c r="AA187" s="0" t="n">
        <v>0.9875</v>
      </c>
      <c r="AB187" s="0" t="n">
        <v>0.98</v>
      </c>
      <c r="AC187" s="0" t="n">
        <v>0.98</v>
      </c>
      <c r="AD187" s="0" t="n">
        <v>0.9875</v>
      </c>
      <c r="AE187" s="0" t="n">
        <v>0.9875</v>
      </c>
      <c r="AF187" s="0" t="n">
        <v>0.98</v>
      </c>
      <c r="AG187" s="0" t="n">
        <v>0.99</v>
      </c>
      <c r="AH187" s="0" t="n">
        <v>0.98162995</v>
      </c>
      <c r="AI187" s="0" t="n">
        <v>0.98162995</v>
      </c>
      <c r="AJ187" s="0" t="n">
        <v>0.98</v>
      </c>
      <c r="AK187" s="0" t="n">
        <v>1</v>
      </c>
      <c r="AL187" s="0" t="n">
        <v>0.985</v>
      </c>
      <c r="AM187" s="0" t="n">
        <v>0</v>
      </c>
      <c r="BB187" s="187" t="n">
        <v>1</v>
      </c>
      <c r="BC187" s="0" t="n">
        <v>1</v>
      </c>
      <c r="BD187" s="0" t="n">
        <v>1</v>
      </c>
      <c r="BE187" s="0" t="n">
        <v>1</v>
      </c>
      <c r="BF187" s="0" t="n">
        <v>0.9999</v>
      </c>
      <c r="BG187" s="0" t="n">
        <v>1</v>
      </c>
      <c r="BH187" s="0" t="n">
        <v>1</v>
      </c>
      <c r="BI187" s="0" t="n">
        <v>0.99</v>
      </c>
      <c r="BJ187" s="0" t="n">
        <v>0.999</v>
      </c>
      <c r="BK187" s="0" t="n">
        <v>0.998</v>
      </c>
      <c r="BL187" s="0" t="n">
        <v>0.9985</v>
      </c>
      <c r="BM187" s="0" t="n">
        <v>0.9985</v>
      </c>
      <c r="BN187" s="0" t="n">
        <v>0.972</v>
      </c>
      <c r="BO187" s="0" t="n">
        <v>0.9999</v>
      </c>
      <c r="BP187" s="0" t="n">
        <v>0.9999</v>
      </c>
      <c r="BQ187" s="0" t="n">
        <v>1</v>
      </c>
      <c r="BR187" s="0" t="n">
        <v>1.1157326</v>
      </c>
      <c r="BS187" s="0" t="n">
        <v>1.1254</v>
      </c>
      <c r="BT187" s="0" t="n">
        <v>1.0827</v>
      </c>
      <c r="BU187" s="0" t="n">
        <v>1.023</v>
      </c>
      <c r="BV187" s="0" t="n">
        <v>1</v>
      </c>
      <c r="BW187" s="0" t="n">
        <v>2.499</v>
      </c>
      <c r="BX187" s="0" t="n">
        <v>2.317166333</v>
      </c>
      <c r="BY187" s="0" t="n">
        <v>1.14595</v>
      </c>
      <c r="BZ187" s="0" t="n">
        <v>1.2885</v>
      </c>
      <c r="CA187" s="0" t="n">
        <v>2.001</v>
      </c>
      <c r="CB187" s="0" t="n">
        <v>1.555505</v>
      </c>
      <c r="CC187" s="0" t="n">
        <v>1.555505</v>
      </c>
      <c r="CD187" s="0" t="n">
        <v>1.286805</v>
      </c>
      <c r="CE187" s="0" t="n">
        <v>1.09763</v>
      </c>
      <c r="CF187" s="0" t="n">
        <v>1.458605</v>
      </c>
      <c r="CG187" s="188"/>
      <c r="CH187" s="0" t="n">
        <v>1.102955</v>
      </c>
      <c r="CI187" s="188"/>
      <c r="CJ187" s="188"/>
      <c r="CK187" s="188"/>
      <c r="CL187" s="188"/>
      <c r="CM187" s="188"/>
      <c r="CN187" s="188"/>
      <c r="CO187" s="188"/>
      <c r="CP187" s="0" t="n">
        <v>0.865</v>
      </c>
      <c r="CU187" s="0" t="n">
        <v>0.54</v>
      </c>
      <c r="CV187" s="0" t="n">
        <v>0.45</v>
      </c>
      <c r="CW187" s="0" t="n">
        <v>0.875</v>
      </c>
      <c r="CX187" s="0" t="n">
        <v>0.915</v>
      </c>
      <c r="CY187" s="0" t="n">
        <v>0.515</v>
      </c>
      <c r="CZ187" s="0" t="n">
        <v>0.785</v>
      </c>
      <c r="DA187" s="0" t="n">
        <v>0.8175</v>
      </c>
      <c r="DB187" s="0" t="n">
        <v>0.8</v>
      </c>
      <c r="DC187" s="0" t="n">
        <v>0.9</v>
      </c>
      <c r="DD187" s="0" t="n">
        <v>0.83</v>
      </c>
      <c r="DE187" s="0" t="n">
        <v>0.89</v>
      </c>
      <c r="DN187" s="188" t="n">
        <v>0.000285</v>
      </c>
      <c r="DO187" s="188" t="n">
        <v>0.0002</v>
      </c>
      <c r="DP187" s="188" t="n">
        <v>0</v>
      </c>
      <c r="DQ187" s="188" t="n">
        <v>0.0001</v>
      </c>
      <c r="DR187" s="188" t="n">
        <v>0</v>
      </c>
      <c r="DS187" s="188" t="n">
        <v>0.0036</v>
      </c>
      <c r="DT187" s="188" t="n">
        <v>0.00047</v>
      </c>
      <c r="DU187" s="188" t="n">
        <v>0.0007</v>
      </c>
      <c r="DV187" s="188" t="n">
        <v>0</v>
      </c>
      <c r="DW187" s="188" t="n">
        <v>0</v>
      </c>
      <c r="DX187" s="188" t="n">
        <v>0.0005</v>
      </c>
      <c r="DY187" s="188" t="n">
        <v>0.0005</v>
      </c>
      <c r="DZ187" s="188" t="n">
        <v>0.0003</v>
      </c>
      <c r="EA187" s="188" t="n">
        <v>0.000275</v>
      </c>
      <c r="EB187" s="188" t="n">
        <v>0.0004</v>
      </c>
      <c r="ED187" s="188" t="n">
        <v>6.5E-005</v>
      </c>
      <c r="EF187" s="0" t="n">
        <v>1</v>
      </c>
    </row>
    <row r="188" customFormat="false" ht="12.75" hidden="false" customHeight="false" outlineLevel="0" collapsed="false">
      <c r="A188" s="149" t="n">
        <v>42095</v>
      </c>
      <c r="B188" s="0" t="n">
        <v>0.98</v>
      </c>
      <c r="C188" s="0" t="n">
        <v>0</v>
      </c>
      <c r="E188" s="0" t="n">
        <v>0</v>
      </c>
      <c r="F188" s="0" t="n">
        <v>0</v>
      </c>
      <c r="G188" s="0" t="n">
        <v>0.9875</v>
      </c>
      <c r="H188" s="0" t="n">
        <v>0.97340726</v>
      </c>
      <c r="I188" s="0" t="n">
        <v>0.9875</v>
      </c>
      <c r="J188" s="0" t="n">
        <v>0.9805</v>
      </c>
      <c r="K188" s="0" t="n">
        <v>0.985</v>
      </c>
      <c r="L188" s="176" t="n">
        <v>0.9875</v>
      </c>
      <c r="M188" s="176" t="n">
        <v>0.9875</v>
      </c>
      <c r="N188" s="0" t="n">
        <v>0.98</v>
      </c>
      <c r="O188" s="0" t="n">
        <v>0.9875</v>
      </c>
      <c r="P188" s="0" t="n">
        <v>0.98</v>
      </c>
      <c r="Q188" s="177" t="n">
        <v>0.9875</v>
      </c>
      <c r="R188" s="0" t="n">
        <v>0.9875</v>
      </c>
      <c r="S188" s="176" t="n">
        <v>0.9875</v>
      </c>
      <c r="T188" s="0" t="n">
        <v>0.98</v>
      </c>
      <c r="U188" s="0" t="n">
        <v>0.98</v>
      </c>
      <c r="V188" s="0" t="n">
        <v>0.98</v>
      </c>
      <c r="W188" s="0" t="n">
        <v>0.98</v>
      </c>
      <c r="X188" s="0" t="n">
        <v>0.9875</v>
      </c>
      <c r="Y188" s="0" t="n">
        <v>0.9875</v>
      </c>
      <c r="Z188" s="0" t="n">
        <v>0.9875</v>
      </c>
      <c r="AA188" s="0" t="n">
        <v>0.9875</v>
      </c>
      <c r="AB188" s="0" t="n">
        <v>0.98</v>
      </c>
      <c r="AC188" s="0" t="n">
        <v>0.98</v>
      </c>
      <c r="AD188" s="0" t="n">
        <v>0.9875</v>
      </c>
      <c r="AE188" s="0" t="n">
        <v>0.9875</v>
      </c>
      <c r="AF188" s="0" t="n">
        <v>0.98</v>
      </c>
      <c r="AG188" s="0" t="n">
        <v>0.99</v>
      </c>
      <c r="AH188" s="0" t="n">
        <v>0.9816878</v>
      </c>
      <c r="AI188" s="0" t="n">
        <v>0.9816878</v>
      </c>
      <c r="AJ188" s="0" t="n">
        <v>0.98</v>
      </c>
      <c r="AK188" s="0" t="n">
        <v>1</v>
      </c>
      <c r="AL188" s="0" t="n">
        <v>0.985</v>
      </c>
      <c r="AM188" s="0" t="n">
        <v>0</v>
      </c>
      <c r="BB188" s="187" t="n">
        <v>1</v>
      </c>
      <c r="BC188" s="0" t="n">
        <v>1</v>
      </c>
      <c r="BD188" s="0" t="n">
        <v>1</v>
      </c>
      <c r="BE188" s="0" t="n">
        <v>1</v>
      </c>
      <c r="BF188" s="0" t="n">
        <v>0.9999</v>
      </c>
      <c r="BG188" s="0" t="n">
        <v>1</v>
      </c>
      <c r="BH188" s="0" t="n">
        <v>1</v>
      </c>
      <c r="BI188" s="0" t="n">
        <v>0.99</v>
      </c>
      <c r="BJ188" s="0" t="n">
        <v>0.999</v>
      </c>
      <c r="BK188" s="0" t="n">
        <v>0.998</v>
      </c>
      <c r="BL188" s="0" t="n">
        <v>0.9985</v>
      </c>
      <c r="BM188" s="0" t="n">
        <v>0.9985</v>
      </c>
      <c r="BN188" s="0" t="n">
        <v>0.972</v>
      </c>
      <c r="BO188" s="0" t="n">
        <v>0.9999</v>
      </c>
      <c r="BP188" s="0" t="n">
        <v>0.9999</v>
      </c>
      <c r="BQ188" s="0" t="n">
        <v>1</v>
      </c>
      <c r="BR188" s="0" t="n">
        <v>1.1160176</v>
      </c>
      <c r="BS188" s="0" t="n">
        <v>1.1256</v>
      </c>
      <c r="BT188" s="0" t="n">
        <v>1.0827</v>
      </c>
      <c r="BU188" s="0" t="n">
        <v>1.0231</v>
      </c>
      <c r="BV188" s="0" t="n">
        <v>1</v>
      </c>
      <c r="BW188" s="0" t="n">
        <v>2.5026</v>
      </c>
      <c r="BX188" s="0" t="n">
        <v>2.317636333</v>
      </c>
      <c r="BY188" s="0" t="n">
        <v>1.14665</v>
      </c>
      <c r="BZ188" s="0" t="n">
        <v>1.2885</v>
      </c>
      <c r="CA188" s="0" t="n">
        <v>2.001</v>
      </c>
      <c r="CB188" s="0" t="n">
        <v>1.556005</v>
      </c>
      <c r="CC188" s="0" t="n">
        <v>1.556005</v>
      </c>
      <c r="CD188" s="0" t="n">
        <v>1.287105</v>
      </c>
      <c r="CE188" s="0" t="n">
        <v>1.097905</v>
      </c>
      <c r="CF188" s="0" t="n">
        <v>1.459005</v>
      </c>
      <c r="CG188" s="188"/>
      <c r="CH188" s="0" t="n">
        <v>1.10302</v>
      </c>
      <c r="CI188" s="188"/>
      <c r="CJ188" s="188"/>
      <c r="CK188" s="188"/>
      <c r="CL188" s="188"/>
      <c r="CM188" s="188"/>
      <c r="CN188" s="188"/>
      <c r="CO188" s="188"/>
      <c r="CP188" s="0" t="n">
        <v>0.895</v>
      </c>
      <c r="CU188" s="0" t="n">
        <v>0.48</v>
      </c>
      <c r="CV188" s="0" t="n">
        <v>0.42</v>
      </c>
      <c r="CW188" s="0" t="n">
        <v>0.935</v>
      </c>
      <c r="CX188" s="0" t="n">
        <v>0.905</v>
      </c>
      <c r="CY188" s="0" t="n">
        <v>0.575</v>
      </c>
      <c r="CZ188" s="0" t="n">
        <v>0.895</v>
      </c>
      <c r="DA188" s="0" t="n">
        <v>0.9275</v>
      </c>
      <c r="DB188" s="0" t="n">
        <v>0.85</v>
      </c>
      <c r="DC188" s="0" t="n">
        <v>0.903</v>
      </c>
      <c r="DD188" s="0" t="n">
        <v>0.92</v>
      </c>
      <c r="DE188" s="0" t="n">
        <v>0.89</v>
      </c>
      <c r="DN188" s="188" t="n">
        <v>0.000285</v>
      </c>
      <c r="DO188" s="188" t="n">
        <v>0.0002</v>
      </c>
      <c r="DP188" s="188" t="n">
        <v>0</v>
      </c>
      <c r="DQ188" s="188" t="n">
        <v>0.0001</v>
      </c>
      <c r="DR188" s="188" t="n">
        <v>0</v>
      </c>
      <c r="DS188" s="188" t="n">
        <v>0.0036</v>
      </c>
      <c r="DT188" s="188" t="n">
        <v>0.00047</v>
      </c>
      <c r="DU188" s="188" t="n">
        <v>0.0007</v>
      </c>
      <c r="DV188" s="188" t="n">
        <v>0</v>
      </c>
      <c r="DW188" s="188" t="n">
        <v>0</v>
      </c>
      <c r="DX188" s="188" t="n">
        <v>0.0005</v>
      </c>
      <c r="DY188" s="188" t="n">
        <v>0.0005</v>
      </c>
      <c r="DZ188" s="188" t="n">
        <v>0.0003</v>
      </c>
      <c r="EA188" s="188" t="n">
        <v>0.000275</v>
      </c>
      <c r="EB188" s="188" t="n">
        <v>0.0004</v>
      </c>
      <c r="ED188" s="188" t="n">
        <v>6.5E-005</v>
      </c>
      <c r="EF188" s="0" t="n">
        <v>1</v>
      </c>
    </row>
    <row r="189" customFormat="false" ht="12.75" hidden="false" customHeight="false" outlineLevel="0" collapsed="false">
      <c r="A189" s="149" t="n">
        <v>42125</v>
      </c>
      <c r="B189" s="0" t="n">
        <v>0.98</v>
      </c>
      <c r="C189" s="0" t="n">
        <v>0</v>
      </c>
      <c r="E189" s="0" t="n">
        <v>0</v>
      </c>
      <c r="F189" s="0" t="n">
        <v>0</v>
      </c>
      <c r="G189" s="0" t="n">
        <v>0.852108</v>
      </c>
      <c r="H189" s="0" t="n">
        <v>0.97360466</v>
      </c>
      <c r="I189" s="0" t="n">
        <v>0.9875</v>
      </c>
      <c r="J189" s="0" t="n">
        <v>0.9805</v>
      </c>
      <c r="K189" s="0" t="n">
        <v>0.985</v>
      </c>
      <c r="L189" s="176" t="n">
        <v>0.9875</v>
      </c>
      <c r="M189" s="176" t="n">
        <v>0.9875</v>
      </c>
      <c r="N189" s="0" t="n">
        <v>0.98</v>
      </c>
      <c r="O189" s="0" t="n">
        <v>0.9875</v>
      </c>
      <c r="P189" s="0" t="n">
        <v>0.98</v>
      </c>
      <c r="Q189" s="177" t="n">
        <v>0.9875</v>
      </c>
      <c r="R189" s="0" t="n">
        <v>0.9875</v>
      </c>
      <c r="S189" s="176" t="n">
        <v>0.9875</v>
      </c>
      <c r="T189" s="0" t="n">
        <v>0.98</v>
      </c>
      <c r="U189" s="0" t="n">
        <v>0.98</v>
      </c>
      <c r="V189" s="0" t="n">
        <v>0.98</v>
      </c>
      <c r="W189" s="0" t="n">
        <v>0.98</v>
      </c>
      <c r="X189" s="0" t="n">
        <v>0.9875</v>
      </c>
      <c r="Y189" s="0" t="n">
        <v>0.9875</v>
      </c>
      <c r="Z189" s="0" t="n">
        <v>0.9875</v>
      </c>
      <c r="AA189" s="0" t="n">
        <v>0.9875</v>
      </c>
      <c r="AB189" s="0" t="n">
        <v>0.98</v>
      </c>
      <c r="AC189" s="0" t="n">
        <v>0.98</v>
      </c>
      <c r="AD189" s="0" t="n">
        <v>0.9875</v>
      </c>
      <c r="AE189" s="0" t="n">
        <v>0.9875</v>
      </c>
      <c r="AF189" s="0" t="n">
        <v>0.98</v>
      </c>
      <c r="AG189" s="0" t="n">
        <v>0.99</v>
      </c>
      <c r="AH189" s="0" t="n">
        <v>0.98174565</v>
      </c>
      <c r="AI189" s="0" t="n">
        <v>0.98174565</v>
      </c>
      <c r="AJ189" s="0" t="n">
        <v>0.98</v>
      </c>
      <c r="AK189" s="0" t="n">
        <v>1</v>
      </c>
      <c r="AL189" s="0" t="n">
        <v>0.985</v>
      </c>
      <c r="AM189" s="0" t="n">
        <v>0</v>
      </c>
      <c r="BB189" s="187" t="n">
        <v>1</v>
      </c>
      <c r="BC189" s="0" t="n">
        <v>1</v>
      </c>
      <c r="BD189" s="0" t="n">
        <v>1</v>
      </c>
      <c r="BE189" s="0" t="n">
        <v>1</v>
      </c>
      <c r="BF189" s="0" t="n">
        <v>0.9999</v>
      </c>
      <c r="BG189" s="0" t="n">
        <v>1</v>
      </c>
      <c r="BH189" s="0" t="n">
        <v>1</v>
      </c>
      <c r="BI189" s="0" t="n">
        <v>0.99</v>
      </c>
      <c r="BJ189" s="0" t="n">
        <v>0.999</v>
      </c>
      <c r="BK189" s="0" t="n">
        <v>0.998</v>
      </c>
      <c r="BL189" s="0" t="n">
        <v>0.9985</v>
      </c>
      <c r="BM189" s="0" t="n">
        <v>0.9985</v>
      </c>
      <c r="BN189" s="0" t="n">
        <v>0.972</v>
      </c>
      <c r="BO189" s="0" t="n">
        <v>0.9999</v>
      </c>
      <c r="BP189" s="0" t="n">
        <v>0.9999</v>
      </c>
      <c r="BQ189" s="0" t="n">
        <v>1</v>
      </c>
      <c r="BR189" s="0" t="n">
        <v>1.1163026</v>
      </c>
      <c r="BS189" s="0" t="n">
        <v>1.1258</v>
      </c>
      <c r="BT189" s="0" t="n">
        <v>1.0827</v>
      </c>
      <c r="BU189" s="0" t="n">
        <v>1.0232</v>
      </c>
      <c r="BV189" s="0" t="n">
        <v>1</v>
      </c>
      <c r="BW189" s="0" t="n">
        <v>2.5062</v>
      </c>
      <c r="BX189" s="0" t="n">
        <v>2.318106333</v>
      </c>
      <c r="BY189" s="0" t="n">
        <v>1.14735</v>
      </c>
      <c r="BZ189" s="0" t="n">
        <v>1.2885</v>
      </c>
      <c r="CA189" s="0" t="n">
        <v>2.001</v>
      </c>
      <c r="CB189" s="0" t="n">
        <v>1.556505</v>
      </c>
      <c r="CC189" s="0" t="n">
        <v>1.556505</v>
      </c>
      <c r="CD189" s="0" t="n">
        <v>1.287405</v>
      </c>
      <c r="CE189" s="0" t="n">
        <v>1.09818</v>
      </c>
      <c r="CF189" s="0" t="n">
        <v>1.459405</v>
      </c>
      <c r="CG189" s="188"/>
      <c r="CH189" s="0" t="n">
        <v>1.103085</v>
      </c>
      <c r="CI189" s="188"/>
      <c r="CJ189" s="188"/>
      <c r="CK189" s="188"/>
      <c r="CL189" s="188"/>
      <c r="CM189" s="188"/>
      <c r="CN189" s="188"/>
      <c r="CO189" s="188"/>
      <c r="CP189" s="0" t="n">
        <v>0.965</v>
      </c>
      <c r="CU189" s="0" t="n">
        <v>0.34</v>
      </c>
      <c r="CV189" s="0" t="n">
        <v>0.42</v>
      </c>
      <c r="CW189" s="0" t="n">
        <v>0.935</v>
      </c>
      <c r="CX189" s="0" t="n">
        <v>0.805</v>
      </c>
      <c r="CY189" s="0" t="n">
        <v>0.625</v>
      </c>
      <c r="CZ189" s="0" t="n">
        <v>0.9175</v>
      </c>
      <c r="DA189" s="0" t="n">
        <v>0.95</v>
      </c>
      <c r="DB189" s="0" t="n">
        <v>0.88</v>
      </c>
      <c r="DC189" s="0" t="n">
        <v>0.9</v>
      </c>
      <c r="DD189" s="0" t="n">
        <v>0.935</v>
      </c>
      <c r="DE189" s="0" t="n">
        <v>0.89</v>
      </c>
      <c r="DN189" s="188" t="n">
        <v>0.000285</v>
      </c>
      <c r="DO189" s="188" t="n">
        <v>0.0002</v>
      </c>
      <c r="DP189" s="188" t="n">
        <v>0</v>
      </c>
      <c r="DQ189" s="188" t="n">
        <v>0.0001</v>
      </c>
      <c r="DR189" s="188" t="n">
        <v>0</v>
      </c>
      <c r="DS189" s="188" t="n">
        <v>0.0036</v>
      </c>
      <c r="DT189" s="188" t="n">
        <v>0.00047</v>
      </c>
      <c r="DU189" s="188" t="n">
        <v>0.0007</v>
      </c>
      <c r="DV189" s="188" t="n">
        <v>0</v>
      </c>
      <c r="DW189" s="188" t="n">
        <v>0</v>
      </c>
      <c r="DX189" s="188" t="n">
        <v>0.0005</v>
      </c>
      <c r="DY189" s="188" t="n">
        <v>0.0005</v>
      </c>
      <c r="DZ189" s="188" t="n">
        <v>0.0003</v>
      </c>
      <c r="EA189" s="188" t="n">
        <v>0.000275</v>
      </c>
      <c r="EB189" s="188" t="n">
        <v>0.0004</v>
      </c>
      <c r="ED189" s="188" t="n">
        <v>6.5E-005</v>
      </c>
      <c r="EF189" s="0" t="n">
        <v>1</v>
      </c>
    </row>
    <row r="190" customFormat="false" ht="12.75" hidden="false" customHeight="false" outlineLevel="0" collapsed="false">
      <c r="A190" s="149" t="n">
        <v>42156</v>
      </c>
      <c r="B190" s="0" t="n">
        <v>0.98</v>
      </c>
      <c r="C190" s="0" t="n">
        <v>0</v>
      </c>
      <c r="E190" s="0" t="n">
        <v>0</v>
      </c>
      <c r="F190" s="0" t="n">
        <v>0</v>
      </c>
      <c r="G190" s="0" t="n">
        <v>0.853332</v>
      </c>
      <c r="H190" s="0" t="n">
        <v>0.9875</v>
      </c>
      <c r="I190" s="0" t="n">
        <v>0.9875</v>
      </c>
      <c r="J190" s="0" t="n">
        <v>0.9805</v>
      </c>
      <c r="K190" s="0" t="n">
        <v>0.985</v>
      </c>
      <c r="L190" s="176" t="n">
        <v>0.9875</v>
      </c>
      <c r="M190" s="176" t="n">
        <v>0.9875</v>
      </c>
      <c r="N190" s="0" t="n">
        <v>0.98</v>
      </c>
      <c r="O190" s="0" t="n">
        <v>0.9875</v>
      </c>
      <c r="P190" s="0" t="n">
        <v>0.98</v>
      </c>
      <c r="Q190" s="177" t="n">
        <v>0.9875</v>
      </c>
      <c r="R190" s="0" t="n">
        <v>0.9875</v>
      </c>
      <c r="S190" s="176" t="n">
        <v>0.9875</v>
      </c>
      <c r="T190" s="0" t="n">
        <v>0.98</v>
      </c>
      <c r="U190" s="0" t="n">
        <v>0.98</v>
      </c>
      <c r="V190" s="0" t="n">
        <v>0.98</v>
      </c>
      <c r="W190" s="0" t="n">
        <v>0.98</v>
      </c>
      <c r="X190" s="0" t="n">
        <v>0.9875</v>
      </c>
      <c r="Y190" s="0" t="n">
        <v>0.9875</v>
      </c>
      <c r="Z190" s="0" t="n">
        <v>0.9875</v>
      </c>
      <c r="AA190" s="0" t="n">
        <v>0.9875</v>
      </c>
      <c r="AB190" s="0" t="n">
        <v>0.98</v>
      </c>
      <c r="AC190" s="0" t="n">
        <v>0.98</v>
      </c>
      <c r="AD190" s="0" t="n">
        <v>0.9875</v>
      </c>
      <c r="AE190" s="0" t="n">
        <v>0.9875</v>
      </c>
      <c r="AF190" s="0" t="n">
        <v>0.98</v>
      </c>
      <c r="AG190" s="0" t="n">
        <v>0.99</v>
      </c>
      <c r="AH190" s="0" t="n">
        <v>0.9818035</v>
      </c>
      <c r="AI190" s="0" t="n">
        <v>0.9818035</v>
      </c>
      <c r="AJ190" s="0" t="n">
        <v>0.98</v>
      </c>
      <c r="AK190" s="0" t="n">
        <v>1</v>
      </c>
      <c r="AL190" s="0" t="n">
        <v>0.985</v>
      </c>
      <c r="AM190" s="0" t="n">
        <v>0</v>
      </c>
      <c r="BB190" s="187" t="n">
        <v>1</v>
      </c>
      <c r="BC190" s="0" t="n">
        <v>1</v>
      </c>
      <c r="BD190" s="0" t="n">
        <v>1</v>
      </c>
      <c r="BE190" s="0" t="n">
        <v>1</v>
      </c>
      <c r="BF190" s="0" t="n">
        <v>0.9999</v>
      </c>
      <c r="BG190" s="0" t="n">
        <v>1</v>
      </c>
      <c r="BH190" s="0" t="n">
        <v>1</v>
      </c>
      <c r="BI190" s="0" t="n">
        <v>0.99</v>
      </c>
      <c r="BJ190" s="0" t="n">
        <v>0.999</v>
      </c>
      <c r="BK190" s="0" t="n">
        <v>0.998</v>
      </c>
      <c r="BL190" s="0" t="n">
        <v>0.9985</v>
      </c>
      <c r="BM190" s="0" t="n">
        <v>0.9985</v>
      </c>
      <c r="BN190" s="0" t="n">
        <v>0.972</v>
      </c>
      <c r="BO190" s="0" t="n">
        <v>0.9999</v>
      </c>
      <c r="BP190" s="0" t="n">
        <v>0.9999</v>
      </c>
      <c r="BQ190" s="0" t="n">
        <v>1</v>
      </c>
      <c r="BR190" s="0" t="n">
        <v>1.1165876</v>
      </c>
      <c r="BS190" s="0" t="n">
        <v>1.126</v>
      </c>
      <c r="BT190" s="0" t="n">
        <v>1.0827</v>
      </c>
      <c r="BU190" s="0" t="n">
        <v>1.0233</v>
      </c>
      <c r="BV190" s="0" t="n">
        <v>1</v>
      </c>
      <c r="BW190" s="0" t="n">
        <v>2.5098</v>
      </c>
      <c r="BX190" s="0" t="n">
        <v>2.318576333</v>
      </c>
      <c r="BY190" s="0" t="n">
        <v>1.14805</v>
      </c>
      <c r="BZ190" s="0" t="n">
        <v>1.2885</v>
      </c>
      <c r="CA190" s="0" t="n">
        <v>2.001</v>
      </c>
      <c r="CB190" s="0" t="n">
        <v>1.557005</v>
      </c>
      <c r="CC190" s="0" t="n">
        <v>1.557005</v>
      </c>
      <c r="CD190" s="0" t="n">
        <v>1.287705</v>
      </c>
      <c r="CE190" s="0" t="n">
        <v>1.098455</v>
      </c>
      <c r="CF190" s="0" t="n">
        <v>1.459805</v>
      </c>
      <c r="CG190" s="188"/>
      <c r="CH190" s="0" t="n">
        <v>1.10315</v>
      </c>
      <c r="CI190" s="188"/>
      <c r="CJ190" s="188"/>
      <c r="CK190" s="188"/>
      <c r="CL190" s="188"/>
      <c r="CM190" s="188"/>
      <c r="CN190" s="188"/>
      <c r="CO190" s="188"/>
      <c r="CP190" s="0" t="n">
        <v>0.965</v>
      </c>
      <c r="CU190" s="0" t="n">
        <v>0.34</v>
      </c>
      <c r="CV190" s="0" t="n">
        <v>0.47</v>
      </c>
      <c r="CW190" s="0" t="n">
        <v>0.935</v>
      </c>
      <c r="CX190" s="0" t="n">
        <v>0.715</v>
      </c>
      <c r="CY190" s="0" t="n">
        <v>0.725</v>
      </c>
      <c r="CZ190" s="0" t="n">
        <v>0.8825</v>
      </c>
      <c r="DA190" s="0" t="n">
        <v>0.915</v>
      </c>
      <c r="DB190" s="0" t="n">
        <v>0.88</v>
      </c>
      <c r="DC190" s="0" t="n">
        <v>0.9025</v>
      </c>
      <c r="DD190" s="0" t="n">
        <v>0.915</v>
      </c>
      <c r="DE190" s="0" t="n">
        <v>0.89</v>
      </c>
      <c r="DN190" s="188" t="n">
        <v>0.000285</v>
      </c>
      <c r="DO190" s="188" t="n">
        <v>0.0002</v>
      </c>
      <c r="DP190" s="188" t="n">
        <v>0</v>
      </c>
      <c r="DQ190" s="188" t="n">
        <v>0.0001</v>
      </c>
      <c r="DR190" s="188" t="n">
        <v>0</v>
      </c>
      <c r="DS190" s="188" t="n">
        <v>0.0036</v>
      </c>
      <c r="DT190" s="188" t="n">
        <v>0.00047</v>
      </c>
      <c r="DU190" s="188" t="n">
        <v>0.0007</v>
      </c>
      <c r="DV190" s="188" t="n">
        <v>0</v>
      </c>
      <c r="DW190" s="188" t="n">
        <v>0</v>
      </c>
      <c r="DX190" s="188" t="n">
        <v>0.0005</v>
      </c>
      <c r="DY190" s="188" t="n">
        <v>0.0005</v>
      </c>
      <c r="DZ190" s="188" t="n">
        <v>0.0003</v>
      </c>
      <c r="EA190" s="188" t="n">
        <v>0.000275</v>
      </c>
      <c r="EB190" s="188" t="n">
        <v>0.0004</v>
      </c>
      <c r="ED190" s="188" t="n">
        <v>6.5E-005</v>
      </c>
      <c r="EF190" s="0" t="n">
        <v>1</v>
      </c>
    </row>
    <row r="191" customFormat="false" ht="12.75" hidden="false" customHeight="false" outlineLevel="0" collapsed="false">
      <c r="A191" s="149" t="n">
        <v>42186</v>
      </c>
      <c r="B191" s="0" t="n">
        <v>0.98</v>
      </c>
      <c r="C191" s="0" t="n">
        <v>0</v>
      </c>
      <c r="E191" s="0" t="n">
        <v>0</v>
      </c>
      <c r="F191" s="0" t="n">
        <v>0</v>
      </c>
      <c r="G191" s="0" t="n">
        <v>0.9875</v>
      </c>
      <c r="H191" s="0" t="n">
        <v>0.9875</v>
      </c>
      <c r="I191" s="0" t="n">
        <v>0.9875</v>
      </c>
      <c r="J191" s="0" t="n">
        <v>0.9805</v>
      </c>
      <c r="K191" s="0" t="n">
        <v>0.985</v>
      </c>
      <c r="L191" s="176" t="n">
        <v>0.9875</v>
      </c>
      <c r="M191" s="176" t="n">
        <v>0.9875</v>
      </c>
      <c r="N191" s="0" t="n">
        <v>0.98</v>
      </c>
      <c r="O191" s="0" t="n">
        <v>0.9875</v>
      </c>
      <c r="P191" s="0" t="n">
        <v>0.98</v>
      </c>
      <c r="Q191" s="177" t="n">
        <v>0.9875</v>
      </c>
      <c r="R191" s="0" t="n">
        <v>0.9875</v>
      </c>
      <c r="S191" s="176" t="n">
        <v>0.9875</v>
      </c>
      <c r="T191" s="0" t="n">
        <v>0.98</v>
      </c>
      <c r="U191" s="0" t="n">
        <v>0.98</v>
      </c>
      <c r="V191" s="0" t="n">
        <v>0.98</v>
      </c>
      <c r="W191" s="0" t="n">
        <v>0.98</v>
      </c>
      <c r="X191" s="0" t="n">
        <v>0.9875</v>
      </c>
      <c r="Y191" s="0" t="n">
        <v>0.9875</v>
      </c>
      <c r="Z191" s="0" t="n">
        <v>0.9875</v>
      </c>
      <c r="AA191" s="0" t="n">
        <v>0.9875</v>
      </c>
      <c r="AB191" s="0" t="n">
        <v>0.98</v>
      </c>
      <c r="AC191" s="0" t="n">
        <v>0.98</v>
      </c>
      <c r="AD191" s="0" t="n">
        <v>0.9875</v>
      </c>
      <c r="AE191" s="0" t="n">
        <v>0.9875</v>
      </c>
      <c r="AF191" s="0" t="n">
        <v>0.98</v>
      </c>
      <c r="AG191" s="0" t="n">
        <v>0.99</v>
      </c>
      <c r="AH191" s="0" t="n">
        <v>0.98186135</v>
      </c>
      <c r="AI191" s="0" t="n">
        <v>0.98186135</v>
      </c>
      <c r="AJ191" s="0" t="n">
        <v>0.98</v>
      </c>
      <c r="AK191" s="0" t="n">
        <v>1</v>
      </c>
      <c r="AL191" s="0" t="n">
        <v>0.985</v>
      </c>
      <c r="AM191" s="0" t="n">
        <v>0</v>
      </c>
      <c r="BB191" s="187" t="n">
        <v>1</v>
      </c>
      <c r="BC191" s="0" t="n">
        <v>1</v>
      </c>
      <c r="BD191" s="0" t="n">
        <v>1</v>
      </c>
      <c r="BE191" s="0" t="n">
        <v>1</v>
      </c>
      <c r="BF191" s="0" t="n">
        <v>0.9999</v>
      </c>
      <c r="BG191" s="0" t="n">
        <v>1</v>
      </c>
      <c r="BH191" s="0" t="n">
        <v>1</v>
      </c>
      <c r="BI191" s="0" t="n">
        <v>0.99</v>
      </c>
      <c r="BJ191" s="0" t="n">
        <v>0.999</v>
      </c>
      <c r="BK191" s="0" t="n">
        <v>0.998</v>
      </c>
      <c r="BL191" s="0" t="n">
        <v>0.9985</v>
      </c>
      <c r="BM191" s="0" t="n">
        <v>0.9985</v>
      </c>
      <c r="BN191" s="0" t="n">
        <v>0.972</v>
      </c>
      <c r="BO191" s="0" t="n">
        <v>0.9999</v>
      </c>
      <c r="BP191" s="0" t="n">
        <v>0.9999</v>
      </c>
      <c r="BQ191" s="0" t="n">
        <v>1</v>
      </c>
      <c r="BR191" s="0" t="n">
        <v>1.1168726</v>
      </c>
      <c r="BS191" s="0" t="n">
        <v>1.1262</v>
      </c>
      <c r="BT191" s="0" t="n">
        <v>1.0827</v>
      </c>
      <c r="BU191" s="0" t="n">
        <v>1.0234</v>
      </c>
      <c r="BV191" s="0" t="n">
        <v>1</v>
      </c>
      <c r="BW191" s="0" t="n">
        <v>2.5134</v>
      </c>
      <c r="BX191" s="0" t="n">
        <v>2.319046333</v>
      </c>
      <c r="BY191" s="0" t="n">
        <v>1.14875</v>
      </c>
      <c r="BZ191" s="0" t="n">
        <v>1.2885</v>
      </c>
      <c r="CA191" s="0" t="n">
        <v>2.001</v>
      </c>
      <c r="CB191" s="0" t="n">
        <v>1.557505</v>
      </c>
      <c r="CC191" s="0" t="n">
        <v>1.557505</v>
      </c>
      <c r="CD191" s="0" t="n">
        <v>1.288005</v>
      </c>
      <c r="CE191" s="0" t="n">
        <v>1.09873</v>
      </c>
      <c r="CF191" s="0" t="n">
        <v>1.460205</v>
      </c>
      <c r="CG191" s="188"/>
      <c r="CH191" s="0" t="n">
        <v>1.103215</v>
      </c>
      <c r="CI191" s="188"/>
      <c r="CJ191" s="188"/>
      <c r="CK191" s="188"/>
      <c r="CL191" s="188"/>
      <c r="CM191" s="188"/>
      <c r="CN191" s="188"/>
      <c r="CO191" s="188"/>
      <c r="CP191" s="0" t="n">
        <v>0.975</v>
      </c>
      <c r="CU191" s="0" t="n">
        <v>0.41</v>
      </c>
      <c r="CV191" s="0" t="n">
        <v>0.47</v>
      </c>
      <c r="CW191" s="0" t="n">
        <v>0.935</v>
      </c>
      <c r="CX191" s="0" t="n">
        <v>0.735</v>
      </c>
      <c r="CY191" s="0" t="n">
        <v>0.725</v>
      </c>
      <c r="CZ191" s="0" t="n">
        <v>0.8775</v>
      </c>
      <c r="DA191" s="0" t="n">
        <v>0.91</v>
      </c>
      <c r="DB191" s="0" t="n">
        <v>0.89</v>
      </c>
      <c r="DC191" s="0" t="n">
        <v>0.9075</v>
      </c>
      <c r="DD191" s="0" t="n">
        <v>0.915</v>
      </c>
      <c r="DE191" s="0" t="n">
        <v>0.89</v>
      </c>
      <c r="DN191" s="188" t="n">
        <v>0.000285</v>
      </c>
      <c r="DO191" s="188" t="n">
        <v>0.0002</v>
      </c>
      <c r="DP191" s="188" t="n">
        <v>0</v>
      </c>
      <c r="DQ191" s="188" t="n">
        <v>0.0001</v>
      </c>
      <c r="DR191" s="188" t="n">
        <v>0</v>
      </c>
      <c r="DS191" s="188" t="n">
        <v>0.0036</v>
      </c>
      <c r="DT191" s="188" t="n">
        <v>0.00047</v>
      </c>
      <c r="DU191" s="188" t="n">
        <v>0.0007</v>
      </c>
      <c r="DV191" s="188" t="n">
        <v>0</v>
      </c>
      <c r="DW191" s="188" t="n">
        <v>0</v>
      </c>
      <c r="DX191" s="188" t="n">
        <v>0.0005</v>
      </c>
      <c r="DY191" s="188" t="n">
        <v>0.0005</v>
      </c>
      <c r="DZ191" s="188" t="n">
        <v>0.0003</v>
      </c>
      <c r="EA191" s="188" t="n">
        <v>0.000275</v>
      </c>
      <c r="EB191" s="188" t="n">
        <v>0.0004</v>
      </c>
      <c r="ED191" s="188" t="n">
        <v>6.5E-005</v>
      </c>
      <c r="EF191" s="0" t="n">
        <v>1</v>
      </c>
    </row>
    <row r="192" customFormat="false" ht="12.75" hidden="false" customHeight="false" outlineLevel="0" collapsed="false">
      <c r="A192" s="149" t="n">
        <v>42217</v>
      </c>
      <c r="B192" s="0" t="n">
        <v>0.98</v>
      </c>
      <c r="C192" s="0" t="n">
        <v>0</v>
      </c>
      <c r="E192" s="0" t="n">
        <v>0</v>
      </c>
      <c r="F192" s="0" t="n">
        <v>0</v>
      </c>
      <c r="G192" s="0" t="n">
        <v>0.9875</v>
      </c>
      <c r="H192" s="0" t="n">
        <v>0.9875</v>
      </c>
      <c r="I192" s="0" t="n">
        <v>0.9875</v>
      </c>
      <c r="J192" s="0" t="n">
        <v>0.9805</v>
      </c>
      <c r="K192" s="0" t="n">
        <v>0.985</v>
      </c>
      <c r="L192" s="176" t="n">
        <v>0.9875</v>
      </c>
      <c r="M192" s="176" t="n">
        <v>0.9875</v>
      </c>
      <c r="N192" s="0" t="n">
        <v>0.98</v>
      </c>
      <c r="O192" s="0" t="n">
        <v>0.9875</v>
      </c>
      <c r="P192" s="0" t="n">
        <v>0.98</v>
      </c>
      <c r="Q192" s="177" t="n">
        <v>0.9875</v>
      </c>
      <c r="R192" s="0" t="n">
        <v>0.9875</v>
      </c>
      <c r="S192" s="176" t="n">
        <v>0.9875</v>
      </c>
      <c r="T192" s="0" t="n">
        <v>0.98</v>
      </c>
      <c r="U192" s="0" t="n">
        <v>0.98</v>
      </c>
      <c r="V192" s="0" t="n">
        <v>0.98</v>
      </c>
      <c r="W192" s="0" t="n">
        <v>0.98</v>
      </c>
      <c r="X192" s="0" t="n">
        <v>0.9875</v>
      </c>
      <c r="Y192" s="0" t="n">
        <v>0.9875</v>
      </c>
      <c r="Z192" s="0" t="n">
        <v>0.9875</v>
      </c>
      <c r="AA192" s="0" t="n">
        <v>0.9875</v>
      </c>
      <c r="AB192" s="0" t="n">
        <v>0.98</v>
      </c>
      <c r="AC192" s="0" t="n">
        <v>0.98</v>
      </c>
      <c r="AD192" s="0" t="n">
        <v>0.9875</v>
      </c>
      <c r="AE192" s="0" t="n">
        <v>0.9875</v>
      </c>
      <c r="AF192" s="0" t="n">
        <v>0.98</v>
      </c>
      <c r="AG192" s="0" t="n">
        <v>0.99</v>
      </c>
      <c r="AH192" s="0" t="n">
        <v>0.9819192</v>
      </c>
      <c r="AI192" s="0" t="n">
        <v>0.9819192</v>
      </c>
      <c r="AJ192" s="0" t="n">
        <v>0.98</v>
      </c>
      <c r="AK192" s="0" t="n">
        <v>1</v>
      </c>
      <c r="AL192" s="0" t="n">
        <v>0.985</v>
      </c>
      <c r="AM192" s="0" t="n">
        <v>0</v>
      </c>
      <c r="BB192" s="187" t="n">
        <v>1</v>
      </c>
      <c r="BC192" s="0" t="n">
        <v>1</v>
      </c>
      <c r="BD192" s="0" t="n">
        <v>1</v>
      </c>
      <c r="BE192" s="0" t="n">
        <v>1</v>
      </c>
      <c r="BF192" s="0" t="n">
        <v>0.9999</v>
      </c>
      <c r="BG192" s="0" t="n">
        <v>1</v>
      </c>
      <c r="BH192" s="0" t="n">
        <v>1</v>
      </c>
      <c r="BI192" s="0" t="n">
        <v>0.99</v>
      </c>
      <c r="BJ192" s="0" t="n">
        <v>0.999</v>
      </c>
      <c r="BK192" s="0" t="n">
        <v>0.998</v>
      </c>
      <c r="BL192" s="0" t="n">
        <v>0.9985</v>
      </c>
      <c r="BM192" s="0" t="n">
        <v>0.9985</v>
      </c>
      <c r="BN192" s="0" t="n">
        <v>0.972</v>
      </c>
      <c r="BO192" s="0" t="n">
        <v>0.9999</v>
      </c>
      <c r="BP192" s="0" t="n">
        <v>0.9999</v>
      </c>
      <c r="BQ192" s="0" t="n">
        <v>1</v>
      </c>
      <c r="BR192" s="0" t="n">
        <v>1.1171576</v>
      </c>
      <c r="BS192" s="0" t="n">
        <v>1.1264</v>
      </c>
      <c r="BT192" s="0" t="n">
        <v>1.0827</v>
      </c>
      <c r="BU192" s="0" t="n">
        <v>1.0235</v>
      </c>
      <c r="BV192" s="0" t="n">
        <v>1</v>
      </c>
      <c r="BW192" s="0" t="n">
        <v>2.517</v>
      </c>
      <c r="BX192" s="0" t="n">
        <v>2.319516333</v>
      </c>
      <c r="BY192" s="0" t="n">
        <v>1.14945</v>
      </c>
      <c r="BZ192" s="0" t="n">
        <v>1.2885</v>
      </c>
      <c r="CA192" s="0" t="n">
        <v>2.001</v>
      </c>
      <c r="CB192" s="0" t="n">
        <v>1.558005</v>
      </c>
      <c r="CC192" s="0" t="n">
        <v>1.558005</v>
      </c>
      <c r="CD192" s="0" t="n">
        <v>1.288305</v>
      </c>
      <c r="CE192" s="0" t="n">
        <v>1.099005</v>
      </c>
      <c r="CF192" s="0" t="n">
        <v>1.460605</v>
      </c>
      <c r="CG192" s="188"/>
      <c r="CH192" s="0" t="n">
        <v>1.10328</v>
      </c>
      <c r="CI192" s="188"/>
      <c r="CJ192" s="188"/>
      <c r="CK192" s="188"/>
      <c r="CL192" s="188"/>
      <c r="CM192" s="188"/>
      <c r="CN192" s="188"/>
      <c r="CO192" s="188"/>
      <c r="CP192" s="0" t="n">
        <v>0.975</v>
      </c>
      <c r="CU192" s="0" t="n">
        <v>0.43</v>
      </c>
      <c r="CV192" s="0" t="n">
        <v>0.52</v>
      </c>
      <c r="CW192" s="0" t="n">
        <v>0.925</v>
      </c>
      <c r="CX192" s="0" t="n">
        <v>0.825</v>
      </c>
      <c r="CY192" s="0" t="n">
        <v>0.725</v>
      </c>
      <c r="CZ192" s="0" t="n">
        <v>0.89</v>
      </c>
      <c r="DA192" s="0" t="n">
        <v>0.9225</v>
      </c>
      <c r="DB192" s="0" t="n">
        <v>0.915</v>
      </c>
      <c r="DC192" s="0" t="n">
        <v>0.9275</v>
      </c>
      <c r="DD192" s="0" t="n">
        <v>0.915</v>
      </c>
      <c r="DE192" s="0" t="n">
        <v>0.89</v>
      </c>
      <c r="DN192" s="188" t="n">
        <v>0.000285</v>
      </c>
      <c r="DO192" s="188" t="n">
        <v>0.0002</v>
      </c>
      <c r="DP192" s="188" t="n">
        <v>0</v>
      </c>
      <c r="DQ192" s="188" t="n">
        <v>0.0001</v>
      </c>
      <c r="DR192" s="188" t="n">
        <v>0</v>
      </c>
      <c r="DS192" s="188" t="n">
        <v>0.0036</v>
      </c>
      <c r="DT192" s="188" t="n">
        <v>0.00047</v>
      </c>
      <c r="DU192" s="188" t="n">
        <v>0.0007</v>
      </c>
      <c r="DV192" s="188" t="n">
        <v>0</v>
      </c>
      <c r="DW192" s="188" t="n">
        <v>0</v>
      </c>
      <c r="DX192" s="188" t="n">
        <v>0.0005</v>
      </c>
      <c r="DY192" s="188" t="n">
        <v>0.0005</v>
      </c>
      <c r="DZ192" s="188" t="n">
        <v>0.0003</v>
      </c>
      <c r="EA192" s="188" t="n">
        <v>0.000275</v>
      </c>
      <c r="EB192" s="188" t="n">
        <v>0.0004</v>
      </c>
      <c r="ED192" s="188" t="n">
        <v>6.5E-005</v>
      </c>
      <c r="EF192" s="0" t="n">
        <v>1</v>
      </c>
    </row>
    <row r="193" customFormat="false" ht="12.75" hidden="false" customHeight="false" outlineLevel="0" collapsed="false">
      <c r="A193" s="149" t="n">
        <v>42248</v>
      </c>
      <c r="B193" s="0" t="n">
        <v>0.98</v>
      </c>
      <c r="C193" s="0" t="n">
        <v>0</v>
      </c>
      <c r="E193" s="0" t="n">
        <v>0</v>
      </c>
      <c r="F193" s="0" t="n">
        <v>0</v>
      </c>
      <c r="G193" s="0" t="n">
        <v>0.9875</v>
      </c>
      <c r="H193" s="0" t="n">
        <v>0.9875</v>
      </c>
      <c r="I193" s="0" t="n">
        <v>0.9875</v>
      </c>
      <c r="J193" s="0" t="n">
        <v>0.9805</v>
      </c>
      <c r="K193" s="0" t="n">
        <v>0.985</v>
      </c>
      <c r="L193" s="176" t="n">
        <v>0.9875</v>
      </c>
      <c r="M193" s="176" t="n">
        <v>0.9875</v>
      </c>
      <c r="N193" s="0" t="n">
        <v>0.98</v>
      </c>
      <c r="O193" s="0" t="n">
        <v>0.9875</v>
      </c>
      <c r="P193" s="0" t="n">
        <v>0.98</v>
      </c>
      <c r="Q193" s="177" t="n">
        <v>0.9875</v>
      </c>
      <c r="R193" s="0" t="n">
        <v>0.9875</v>
      </c>
      <c r="S193" s="176" t="n">
        <v>0.9875</v>
      </c>
      <c r="T193" s="0" t="n">
        <v>0.98</v>
      </c>
      <c r="U193" s="0" t="n">
        <v>0.98</v>
      </c>
      <c r="V193" s="0" t="n">
        <v>0.98</v>
      </c>
      <c r="W193" s="0" t="n">
        <v>0.98</v>
      </c>
      <c r="X193" s="0" t="n">
        <v>0.9875</v>
      </c>
      <c r="Y193" s="0" t="n">
        <v>0.9875</v>
      </c>
      <c r="Z193" s="0" t="n">
        <v>0.9875</v>
      </c>
      <c r="AA193" s="0" t="n">
        <v>0.9875</v>
      </c>
      <c r="AB193" s="0" t="n">
        <v>0.98</v>
      </c>
      <c r="AC193" s="0" t="n">
        <v>0.98</v>
      </c>
      <c r="AD193" s="0" t="n">
        <v>0.9875</v>
      </c>
      <c r="AE193" s="0" t="n">
        <v>0.9875</v>
      </c>
      <c r="AF193" s="0" t="n">
        <v>0.98</v>
      </c>
      <c r="AG193" s="0" t="n">
        <v>0.99</v>
      </c>
      <c r="AH193" s="0" t="n">
        <v>0.98197705</v>
      </c>
      <c r="AI193" s="0" t="n">
        <v>0.98197705</v>
      </c>
      <c r="AJ193" s="0" t="n">
        <v>0.98</v>
      </c>
      <c r="AK193" s="0" t="n">
        <v>1</v>
      </c>
      <c r="AL193" s="0" t="n">
        <v>0.985</v>
      </c>
      <c r="AM193" s="0" t="n">
        <v>0</v>
      </c>
      <c r="BB193" s="187" t="n">
        <v>1</v>
      </c>
      <c r="BC193" s="0" t="n">
        <v>1</v>
      </c>
      <c r="BD193" s="0" t="n">
        <v>1</v>
      </c>
      <c r="BE193" s="0" t="n">
        <v>1</v>
      </c>
      <c r="BF193" s="0" t="n">
        <v>0.9999</v>
      </c>
      <c r="BG193" s="0" t="n">
        <v>1</v>
      </c>
      <c r="BH193" s="0" t="n">
        <v>1</v>
      </c>
      <c r="BI193" s="0" t="n">
        <v>0.99</v>
      </c>
      <c r="BJ193" s="0" t="n">
        <v>0.999</v>
      </c>
      <c r="BK193" s="0" t="n">
        <v>0.998</v>
      </c>
      <c r="BL193" s="0" t="n">
        <v>0.9985</v>
      </c>
      <c r="BM193" s="0" t="n">
        <v>0.9985</v>
      </c>
      <c r="BN193" s="0" t="n">
        <v>0.972</v>
      </c>
      <c r="BO193" s="0" t="n">
        <v>0.9999</v>
      </c>
      <c r="BP193" s="0" t="n">
        <v>0.9999</v>
      </c>
      <c r="BQ193" s="0" t="n">
        <v>1</v>
      </c>
      <c r="BR193" s="0" t="n">
        <v>1.1174426</v>
      </c>
      <c r="BS193" s="0" t="n">
        <v>1.1266</v>
      </c>
      <c r="BT193" s="0" t="n">
        <v>1.0827</v>
      </c>
      <c r="BU193" s="0" t="n">
        <v>1.0236</v>
      </c>
      <c r="BV193" s="0" t="n">
        <v>1</v>
      </c>
      <c r="BW193" s="0" t="n">
        <v>2.5206</v>
      </c>
      <c r="BX193" s="0" t="n">
        <v>2.319986333</v>
      </c>
      <c r="BY193" s="0" t="n">
        <v>1.15015</v>
      </c>
      <c r="BZ193" s="0" t="n">
        <v>1.2885</v>
      </c>
      <c r="CA193" s="0" t="n">
        <v>2.001</v>
      </c>
      <c r="CB193" s="0" t="n">
        <v>1.558505</v>
      </c>
      <c r="CC193" s="0" t="n">
        <v>1.558505</v>
      </c>
      <c r="CD193" s="0" t="n">
        <v>1.288605</v>
      </c>
      <c r="CE193" s="0" t="n">
        <v>1.09928</v>
      </c>
      <c r="CF193" s="0" t="n">
        <v>1.461005</v>
      </c>
      <c r="CG193" s="188"/>
      <c r="CH193" s="0" t="n">
        <v>1.103345</v>
      </c>
      <c r="CI193" s="188"/>
      <c r="CJ193" s="188"/>
      <c r="CK193" s="188"/>
      <c r="CL193" s="188"/>
      <c r="CM193" s="188"/>
      <c r="CN193" s="188"/>
      <c r="CO193" s="188"/>
      <c r="CP193" s="0" t="n">
        <v>0.975</v>
      </c>
      <c r="CU193" s="0" t="n">
        <v>0.46</v>
      </c>
      <c r="CV193" s="0" t="n">
        <v>0.55</v>
      </c>
      <c r="CW193" s="0" t="n">
        <v>0.925</v>
      </c>
      <c r="CX193" s="0" t="n">
        <v>0.685</v>
      </c>
      <c r="CY193" s="0" t="n">
        <v>0.575</v>
      </c>
      <c r="CZ193" s="0" t="n">
        <v>0.945</v>
      </c>
      <c r="DA193" s="0" t="n">
        <v>0.9775</v>
      </c>
      <c r="DB193" s="0" t="n">
        <v>0.945</v>
      </c>
      <c r="DC193" s="0" t="n">
        <v>0.92</v>
      </c>
      <c r="DD193" s="0" t="n">
        <v>0.915</v>
      </c>
      <c r="DE193" s="0" t="n">
        <v>0.89</v>
      </c>
      <c r="DN193" s="188" t="n">
        <v>0.000285</v>
      </c>
      <c r="DO193" s="188" t="n">
        <v>0.0002</v>
      </c>
      <c r="DP193" s="188" t="n">
        <v>0</v>
      </c>
      <c r="DQ193" s="188" t="n">
        <v>0.0001</v>
      </c>
      <c r="DR193" s="188" t="n">
        <v>0</v>
      </c>
      <c r="DS193" s="188" t="n">
        <v>0.0036</v>
      </c>
      <c r="DT193" s="188" t="n">
        <v>0.00047</v>
      </c>
      <c r="DU193" s="188" t="n">
        <v>0.0007</v>
      </c>
      <c r="DV193" s="188" t="n">
        <v>0</v>
      </c>
      <c r="DW193" s="188" t="n">
        <v>0</v>
      </c>
      <c r="DX193" s="188" t="n">
        <v>0.0005</v>
      </c>
      <c r="DY193" s="188" t="n">
        <v>0.0005</v>
      </c>
      <c r="DZ193" s="188" t="n">
        <v>0.0003</v>
      </c>
      <c r="EA193" s="188" t="n">
        <v>0.000275</v>
      </c>
      <c r="EB193" s="188" t="n">
        <v>0.0004</v>
      </c>
      <c r="ED193" s="188" t="n">
        <v>6.5E-005</v>
      </c>
      <c r="EF193" s="0" t="n">
        <v>1</v>
      </c>
    </row>
    <row r="194" customFormat="false" ht="12.75" hidden="false" customHeight="false" outlineLevel="0" collapsed="false">
      <c r="A194" s="149" t="n">
        <v>42278</v>
      </c>
      <c r="B194" s="0" t="n">
        <v>0.98</v>
      </c>
      <c r="C194" s="0" t="n">
        <v>0</v>
      </c>
      <c r="E194" s="0" t="n">
        <v>0</v>
      </c>
      <c r="F194" s="0" t="n">
        <v>0</v>
      </c>
      <c r="G194" s="0" t="n">
        <v>0.9875</v>
      </c>
      <c r="H194" s="0" t="n">
        <v>0.9875</v>
      </c>
      <c r="I194" s="0" t="n">
        <v>0.9875</v>
      </c>
      <c r="J194" s="0" t="n">
        <v>0.9805</v>
      </c>
      <c r="K194" s="0" t="n">
        <v>0.985</v>
      </c>
      <c r="L194" s="176" t="n">
        <v>0.9875</v>
      </c>
      <c r="M194" s="176" t="n">
        <v>0.9875</v>
      </c>
      <c r="N194" s="0" t="n">
        <v>0.98</v>
      </c>
      <c r="O194" s="0" t="n">
        <v>0.9875</v>
      </c>
      <c r="P194" s="0" t="n">
        <v>0.98</v>
      </c>
      <c r="Q194" s="177" t="n">
        <v>0.9875</v>
      </c>
      <c r="R194" s="0" t="n">
        <v>0.9875</v>
      </c>
      <c r="S194" s="176" t="n">
        <v>0.9875</v>
      </c>
      <c r="T194" s="0" t="n">
        <v>0.98</v>
      </c>
      <c r="U194" s="0" t="n">
        <v>0.98</v>
      </c>
      <c r="V194" s="0" t="n">
        <v>0.98</v>
      </c>
      <c r="W194" s="0" t="n">
        <v>0.98</v>
      </c>
      <c r="X194" s="0" t="n">
        <v>0.9875</v>
      </c>
      <c r="Y194" s="0" t="n">
        <v>0.9875</v>
      </c>
      <c r="Z194" s="0" t="n">
        <v>0.9875</v>
      </c>
      <c r="AA194" s="0" t="n">
        <v>0.9875</v>
      </c>
      <c r="AB194" s="0" t="n">
        <v>0.98</v>
      </c>
      <c r="AC194" s="0" t="n">
        <v>0.98</v>
      </c>
      <c r="AD194" s="0" t="n">
        <v>0.9875</v>
      </c>
      <c r="AE194" s="0" t="n">
        <v>0.9875</v>
      </c>
      <c r="AF194" s="0" t="n">
        <v>0.98</v>
      </c>
      <c r="AG194" s="0" t="n">
        <v>0.99</v>
      </c>
      <c r="AH194" s="0" t="n">
        <v>0.9820349</v>
      </c>
      <c r="AI194" s="0" t="n">
        <v>0.9820349</v>
      </c>
      <c r="AJ194" s="0" t="n">
        <v>0.98</v>
      </c>
      <c r="AK194" s="0" t="n">
        <v>1</v>
      </c>
      <c r="AL194" s="0" t="n">
        <v>0.985</v>
      </c>
      <c r="AM194" s="0" t="n">
        <v>0</v>
      </c>
      <c r="BB194" s="187" t="n">
        <v>1</v>
      </c>
      <c r="BC194" s="0" t="n">
        <v>1</v>
      </c>
      <c r="BD194" s="0" t="n">
        <v>1</v>
      </c>
      <c r="BE194" s="0" t="n">
        <v>1</v>
      </c>
      <c r="BF194" s="0" t="n">
        <v>0.9999</v>
      </c>
      <c r="BG194" s="0" t="n">
        <v>1</v>
      </c>
      <c r="BH194" s="0" t="n">
        <v>1</v>
      </c>
      <c r="BI194" s="0" t="n">
        <v>0.99</v>
      </c>
      <c r="BJ194" s="0" t="n">
        <v>0.999</v>
      </c>
      <c r="BK194" s="0" t="n">
        <v>0.998</v>
      </c>
      <c r="BL194" s="0" t="n">
        <v>0.9985</v>
      </c>
      <c r="BM194" s="0" t="n">
        <v>0.9985</v>
      </c>
      <c r="BN194" s="0" t="n">
        <v>0.972</v>
      </c>
      <c r="BO194" s="0" t="n">
        <v>0.9999</v>
      </c>
      <c r="BP194" s="0" t="n">
        <v>0.9999</v>
      </c>
      <c r="BQ194" s="0" t="n">
        <v>1</v>
      </c>
      <c r="BR194" s="0" t="n">
        <v>1.1177276</v>
      </c>
      <c r="BS194" s="0" t="n">
        <v>1.1268</v>
      </c>
      <c r="BT194" s="0" t="n">
        <v>1.0827</v>
      </c>
      <c r="BU194" s="0" t="n">
        <v>1.0237</v>
      </c>
      <c r="BV194" s="0" t="n">
        <v>1</v>
      </c>
      <c r="BW194" s="0" t="n">
        <v>2.5242</v>
      </c>
      <c r="BX194" s="0" t="n">
        <v>2.320456333</v>
      </c>
      <c r="BY194" s="0" t="n">
        <v>1.15085</v>
      </c>
      <c r="BZ194" s="0" t="n">
        <v>1.2885</v>
      </c>
      <c r="CA194" s="0" t="n">
        <v>2.001</v>
      </c>
      <c r="CB194" s="0" t="n">
        <v>1.559005</v>
      </c>
      <c r="CC194" s="0" t="n">
        <v>1.559005</v>
      </c>
      <c r="CD194" s="0" t="n">
        <v>1.288905</v>
      </c>
      <c r="CE194" s="0" t="n">
        <v>1.099555</v>
      </c>
      <c r="CF194" s="0" t="n">
        <v>1.461405</v>
      </c>
      <c r="CG194" s="188"/>
      <c r="CH194" s="0" t="n">
        <v>1.10341</v>
      </c>
      <c r="CI194" s="188"/>
      <c r="CJ194" s="188"/>
      <c r="CK194" s="188"/>
      <c r="CL194" s="188"/>
      <c r="CM194" s="188"/>
      <c r="CN194" s="188"/>
      <c r="CO194" s="188"/>
      <c r="CP194" s="0" t="n">
        <v>0.955</v>
      </c>
      <c r="CU194" s="0" t="n">
        <v>0.46</v>
      </c>
      <c r="CV194" s="0" t="n">
        <v>0.45</v>
      </c>
      <c r="CW194" s="0" t="n">
        <v>0.925</v>
      </c>
      <c r="CX194" s="0" t="n">
        <v>0.675</v>
      </c>
      <c r="CY194" s="0" t="n">
        <v>0.505</v>
      </c>
      <c r="CZ194" s="0" t="n">
        <v>0.805</v>
      </c>
      <c r="DA194" s="0" t="n">
        <v>0.8375</v>
      </c>
      <c r="DB194" s="0" t="n">
        <v>0.875</v>
      </c>
      <c r="DC194" s="0" t="n">
        <v>0.9025</v>
      </c>
      <c r="DD194" s="0" t="n">
        <v>0.82</v>
      </c>
      <c r="DE194" s="0" t="n">
        <v>0.89</v>
      </c>
      <c r="DN194" s="188" t="n">
        <v>0.000285</v>
      </c>
      <c r="DO194" s="188" t="n">
        <v>0.0002</v>
      </c>
      <c r="DP194" s="188" t="n">
        <v>0</v>
      </c>
      <c r="DQ194" s="188" t="n">
        <v>0.0001</v>
      </c>
      <c r="DR194" s="188" t="n">
        <v>0</v>
      </c>
      <c r="DS194" s="188" t="n">
        <v>0.0036</v>
      </c>
      <c r="DT194" s="188" t="n">
        <v>0.00047</v>
      </c>
      <c r="DU194" s="188" t="n">
        <v>0.0007</v>
      </c>
      <c r="DV194" s="188" t="n">
        <v>0</v>
      </c>
      <c r="DW194" s="188" t="n">
        <v>0</v>
      </c>
      <c r="DX194" s="188" t="n">
        <v>0.0005</v>
      </c>
      <c r="DY194" s="188" t="n">
        <v>0.0005</v>
      </c>
      <c r="DZ194" s="188" t="n">
        <v>0.0003</v>
      </c>
      <c r="EA194" s="188" t="n">
        <v>0.000275</v>
      </c>
      <c r="EB194" s="188" t="n">
        <v>0.0004</v>
      </c>
      <c r="ED194" s="188" t="n">
        <v>6.5E-005</v>
      </c>
      <c r="EF194" s="0" t="n">
        <v>1</v>
      </c>
    </row>
    <row r="195" customFormat="false" ht="12.75" hidden="false" customHeight="false" outlineLevel="0" collapsed="false">
      <c r="A195" s="149" t="n">
        <v>42309</v>
      </c>
      <c r="B195" s="0" t="n">
        <v>0.98</v>
      </c>
      <c r="C195" s="0" t="n">
        <v>0</v>
      </c>
      <c r="E195" s="0" t="n">
        <v>0</v>
      </c>
      <c r="F195" s="0" t="n">
        <v>0</v>
      </c>
      <c r="G195" s="0" t="n">
        <v>0.9875</v>
      </c>
      <c r="H195" s="0" t="n">
        <v>0.9875</v>
      </c>
      <c r="I195" s="0" t="n">
        <v>0.9875</v>
      </c>
      <c r="J195" s="0" t="n">
        <v>0.9805</v>
      </c>
      <c r="K195" s="0" t="n">
        <v>0.970485</v>
      </c>
      <c r="L195" s="176" t="n">
        <v>0.9875</v>
      </c>
      <c r="M195" s="176" t="n">
        <v>0.9875</v>
      </c>
      <c r="N195" s="0" t="n">
        <v>0.98</v>
      </c>
      <c r="O195" s="0" t="n">
        <v>0.9875</v>
      </c>
      <c r="P195" s="0" t="n">
        <v>0.98</v>
      </c>
      <c r="Q195" s="177" t="n">
        <v>0.9875</v>
      </c>
      <c r="R195" s="0" t="n">
        <v>0.9875</v>
      </c>
      <c r="S195" s="176" t="n">
        <v>0.9875</v>
      </c>
      <c r="T195" s="0" t="n">
        <v>0.98</v>
      </c>
      <c r="U195" s="0" t="n">
        <v>0.98</v>
      </c>
      <c r="V195" s="0" t="n">
        <v>0.98</v>
      </c>
      <c r="W195" s="0" t="n">
        <v>0.98</v>
      </c>
      <c r="X195" s="0" t="n">
        <v>0.9875</v>
      </c>
      <c r="Y195" s="0" t="n">
        <v>0.9875</v>
      </c>
      <c r="Z195" s="0" t="n">
        <v>0.9875</v>
      </c>
      <c r="AA195" s="0" t="n">
        <v>0.9875</v>
      </c>
      <c r="AB195" s="0" t="n">
        <v>0.98</v>
      </c>
      <c r="AC195" s="0" t="n">
        <v>0.98</v>
      </c>
      <c r="AD195" s="0" t="n">
        <v>0.9875</v>
      </c>
      <c r="AE195" s="0" t="n">
        <v>0.9875</v>
      </c>
      <c r="AF195" s="0" t="n">
        <v>0.98</v>
      </c>
      <c r="AG195" s="0" t="n">
        <v>0.99</v>
      </c>
      <c r="AH195" s="0" t="n">
        <v>0.98209275</v>
      </c>
      <c r="AI195" s="0" t="n">
        <v>0.98209275</v>
      </c>
      <c r="AJ195" s="0" t="n">
        <v>0.98</v>
      </c>
      <c r="AK195" s="0" t="n">
        <v>1</v>
      </c>
      <c r="AL195" s="0" t="n">
        <v>0.970485</v>
      </c>
      <c r="AM195" s="0" t="n">
        <v>0</v>
      </c>
      <c r="BB195" s="187" t="n">
        <v>1</v>
      </c>
      <c r="BC195" s="0" t="n">
        <v>1</v>
      </c>
      <c r="BD195" s="0" t="n">
        <v>1</v>
      </c>
      <c r="BE195" s="0" t="n">
        <v>1</v>
      </c>
      <c r="BF195" s="0" t="n">
        <v>0.9999</v>
      </c>
      <c r="BG195" s="0" t="n">
        <v>1</v>
      </c>
      <c r="BH195" s="0" t="n">
        <v>1</v>
      </c>
      <c r="BI195" s="0" t="n">
        <v>0.99</v>
      </c>
      <c r="BJ195" s="0" t="n">
        <v>0.999</v>
      </c>
      <c r="BK195" s="0" t="n">
        <v>0.998</v>
      </c>
      <c r="BL195" s="0" t="n">
        <v>0.9985</v>
      </c>
      <c r="BM195" s="0" t="n">
        <v>0.9985</v>
      </c>
      <c r="BN195" s="0" t="n">
        <v>0.972</v>
      </c>
      <c r="BO195" s="0" t="n">
        <v>0.9999</v>
      </c>
      <c r="BP195" s="0" t="n">
        <v>0.9999</v>
      </c>
      <c r="BQ195" s="0" t="n">
        <v>1</v>
      </c>
      <c r="BR195" s="0" t="n">
        <v>1.1180126</v>
      </c>
      <c r="BS195" s="0" t="n">
        <v>1.127</v>
      </c>
      <c r="BT195" s="0" t="n">
        <v>1.0827</v>
      </c>
      <c r="BU195" s="0" t="n">
        <v>1.0238</v>
      </c>
      <c r="BV195" s="0" t="n">
        <v>1</v>
      </c>
      <c r="BW195" s="0" t="n">
        <v>2.5278</v>
      </c>
      <c r="BX195" s="0" t="n">
        <v>2.320926333</v>
      </c>
      <c r="BY195" s="0" t="n">
        <v>1.15155</v>
      </c>
      <c r="BZ195" s="0" t="n">
        <v>1.2885</v>
      </c>
      <c r="CA195" s="0" t="n">
        <v>2.001</v>
      </c>
      <c r="CB195" s="0" t="n">
        <v>1.559505</v>
      </c>
      <c r="CC195" s="0" t="n">
        <v>1.559505</v>
      </c>
      <c r="CD195" s="0" t="n">
        <v>1.289205</v>
      </c>
      <c r="CE195" s="0" t="n">
        <v>1.09983</v>
      </c>
      <c r="CF195" s="0" t="n">
        <v>1.461805</v>
      </c>
      <c r="CG195" s="188"/>
      <c r="CH195" s="0" t="n">
        <v>1.103475</v>
      </c>
      <c r="CI195" s="188"/>
      <c r="CJ195" s="188"/>
      <c r="CK195" s="188"/>
      <c r="CL195" s="188"/>
      <c r="CM195" s="188"/>
      <c r="CN195" s="188"/>
      <c r="CO195" s="188"/>
      <c r="CP195" s="0" t="n">
        <v>0.955</v>
      </c>
      <c r="CU195" s="0" t="n">
        <v>0.48</v>
      </c>
      <c r="CV195" s="0" t="n">
        <v>0.46</v>
      </c>
      <c r="CW195" s="0" t="n">
        <v>0.905</v>
      </c>
      <c r="CX195" s="0" t="n">
        <v>0.635</v>
      </c>
      <c r="CY195" s="0" t="n">
        <v>0.485</v>
      </c>
      <c r="CZ195" s="0" t="n">
        <v>0.795</v>
      </c>
      <c r="DA195" s="0" t="n">
        <v>0.8275</v>
      </c>
      <c r="DB195" s="0" t="n">
        <v>0.85</v>
      </c>
      <c r="DC195" s="0" t="n">
        <v>0.9025</v>
      </c>
      <c r="DD195" s="0" t="n">
        <v>0.82</v>
      </c>
      <c r="DE195" s="0" t="n">
        <v>0.89</v>
      </c>
      <c r="DN195" s="188" t="n">
        <v>0.000285</v>
      </c>
      <c r="DO195" s="188" t="n">
        <v>0.0002</v>
      </c>
      <c r="DP195" s="188" t="n">
        <v>0</v>
      </c>
      <c r="DQ195" s="188" t="n">
        <v>0.0001</v>
      </c>
      <c r="DR195" s="188" t="n">
        <v>0</v>
      </c>
      <c r="DS195" s="188" t="n">
        <v>0.0036</v>
      </c>
      <c r="DT195" s="188" t="n">
        <v>0.00047</v>
      </c>
      <c r="DU195" s="188" t="n">
        <v>0.0007</v>
      </c>
      <c r="DV195" s="188" t="n">
        <v>0</v>
      </c>
      <c r="DW195" s="188" t="n">
        <v>0</v>
      </c>
      <c r="DX195" s="188" t="n">
        <v>0.0005</v>
      </c>
      <c r="DY195" s="188" t="n">
        <v>0.0005</v>
      </c>
      <c r="DZ195" s="188" t="n">
        <v>0.0003</v>
      </c>
      <c r="EA195" s="188" t="n">
        <v>0.000275</v>
      </c>
      <c r="EB195" s="188" t="n">
        <v>0.0004</v>
      </c>
      <c r="ED195" s="188" t="n">
        <v>6.5E-005</v>
      </c>
      <c r="EF195" s="0" t="n">
        <v>1</v>
      </c>
    </row>
    <row r="196" customFormat="false" ht="12.75" hidden="false" customHeight="false" outlineLevel="0" collapsed="false">
      <c r="A196" s="149" t="n">
        <v>42339</v>
      </c>
      <c r="B196" s="0" t="n">
        <v>0.98</v>
      </c>
      <c r="C196" s="0" t="n">
        <v>0</v>
      </c>
      <c r="E196" s="0" t="n">
        <v>0</v>
      </c>
      <c r="F196" s="0" t="n">
        <v>0</v>
      </c>
      <c r="G196" s="0" t="n">
        <v>0.9875</v>
      </c>
      <c r="H196" s="0" t="n">
        <v>0.9875</v>
      </c>
      <c r="I196" s="0" t="n">
        <v>0.9875</v>
      </c>
      <c r="J196" s="0" t="n">
        <v>0.9805</v>
      </c>
      <c r="K196" s="0" t="n">
        <v>0.970485</v>
      </c>
      <c r="L196" s="176" t="n">
        <v>0.92040295</v>
      </c>
      <c r="M196" s="176" t="n">
        <v>0.971103112</v>
      </c>
      <c r="N196" s="0" t="n">
        <v>0.88975845</v>
      </c>
      <c r="O196" s="0" t="n">
        <v>0.981843713</v>
      </c>
      <c r="P196" s="0" t="n">
        <v>0.88975845</v>
      </c>
      <c r="Q196" s="177" t="n">
        <v>0.92040295</v>
      </c>
      <c r="R196" s="0" t="n">
        <v>0.92040295</v>
      </c>
      <c r="S196" s="176" t="n">
        <v>0.92040295</v>
      </c>
      <c r="T196" s="0" t="n">
        <v>0.88975845</v>
      </c>
      <c r="U196" s="0" t="n">
        <v>0.88975845</v>
      </c>
      <c r="V196" s="0" t="n">
        <v>0.88975845</v>
      </c>
      <c r="W196" s="0" t="n">
        <v>0.88975845</v>
      </c>
      <c r="X196" s="0" t="n">
        <v>0.981843713</v>
      </c>
      <c r="Y196" s="0" t="n">
        <v>0.981843713</v>
      </c>
      <c r="Z196" s="0" t="n">
        <v>0.981843713</v>
      </c>
      <c r="AA196" s="0" t="n">
        <v>0.981843713</v>
      </c>
      <c r="AB196" s="0" t="n">
        <v>0.88975845</v>
      </c>
      <c r="AC196" s="0" t="n">
        <v>0.88975845</v>
      </c>
      <c r="AD196" s="0" t="n">
        <v>0.981843713</v>
      </c>
      <c r="AE196" s="0" t="n">
        <v>0.981843713</v>
      </c>
      <c r="AF196" s="0" t="n">
        <v>0.88975845</v>
      </c>
      <c r="AG196" s="0" t="n">
        <v>0.98</v>
      </c>
      <c r="AH196" s="0" t="n">
        <v>0.9821506</v>
      </c>
      <c r="AI196" s="0" t="n">
        <v>0.9821506</v>
      </c>
      <c r="AJ196" s="0" t="n">
        <v>0.88975845</v>
      </c>
      <c r="AK196" s="0" t="n">
        <v>1</v>
      </c>
      <c r="AL196" s="0" t="n">
        <v>0.970485</v>
      </c>
      <c r="AM196" s="0" t="n">
        <v>0</v>
      </c>
      <c r="BB196" s="187" t="n">
        <v>1</v>
      </c>
      <c r="BC196" s="0" t="n">
        <v>1</v>
      </c>
      <c r="BD196" s="0" t="n">
        <v>1</v>
      </c>
      <c r="BE196" s="0" t="n">
        <v>1</v>
      </c>
      <c r="BF196" s="0" t="n">
        <v>0.9999</v>
      </c>
      <c r="BG196" s="0" t="n">
        <v>1</v>
      </c>
      <c r="BH196" s="0" t="n">
        <v>1</v>
      </c>
      <c r="BI196" s="0" t="n">
        <v>0.99</v>
      </c>
      <c r="BJ196" s="0" t="n">
        <v>0.999</v>
      </c>
      <c r="BK196" s="0" t="n">
        <v>0.998</v>
      </c>
      <c r="BL196" s="0" t="n">
        <v>0.9985</v>
      </c>
      <c r="BM196" s="0" t="n">
        <v>0.9985</v>
      </c>
      <c r="BN196" s="0" t="n">
        <v>0.972</v>
      </c>
      <c r="BO196" s="0" t="n">
        <v>0.9999</v>
      </c>
      <c r="BP196" s="0" t="n">
        <v>0.9999</v>
      </c>
      <c r="BQ196" s="0" t="n">
        <v>1</v>
      </c>
      <c r="BR196" s="0" t="n">
        <v>1.1182976</v>
      </c>
      <c r="BS196" s="0" t="n">
        <v>1.1272</v>
      </c>
      <c r="BT196" s="0" t="n">
        <v>1.0827</v>
      </c>
      <c r="BU196" s="0" t="n">
        <v>1.0239</v>
      </c>
      <c r="BV196" s="0" t="n">
        <v>1</v>
      </c>
      <c r="BW196" s="0" t="n">
        <v>2.5314</v>
      </c>
      <c r="BX196" s="0" t="n">
        <v>2.321396333</v>
      </c>
      <c r="BY196" s="0" t="n">
        <v>1.15225</v>
      </c>
      <c r="BZ196" s="0" t="n">
        <v>1.2885</v>
      </c>
      <c r="CA196" s="0" t="n">
        <v>2.001</v>
      </c>
      <c r="CB196" s="0" t="n">
        <v>1.560005</v>
      </c>
      <c r="CC196" s="0" t="n">
        <v>1.560005</v>
      </c>
      <c r="CD196" s="0" t="n">
        <v>1.289505</v>
      </c>
      <c r="CE196" s="0" t="n">
        <v>1.100105</v>
      </c>
      <c r="CF196" s="0" t="n">
        <v>1.462205</v>
      </c>
      <c r="CG196" s="188"/>
      <c r="CH196" s="0" t="n">
        <v>1.10354</v>
      </c>
      <c r="CI196" s="188"/>
      <c r="CJ196" s="188"/>
      <c r="CK196" s="188"/>
      <c r="CL196" s="188"/>
      <c r="CM196" s="188"/>
      <c r="CN196" s="188"/>
      <c r="CO196" s="188"/>
      <c r="CP196" s="0" t="n">
        <v>0.935</v>
      </c>
      <c r="CU196" s="0" t="n">
        <v>0.51</v>
      </c>
      <c r="CV196" s="0" t="n">
        <v>0.48</v>
      </c>
      <c r="CW196" s="0" t="n">
        <v>0.875</v>
      </c>
      <c r="CX196" s="0" t="n">
        <v>0.64</v>
      </c>
      <c r="CY196" s="0" t="n">
        <v>0.485</v>
      </c>
      <c r="CZ196" s="0" t="n">
        <v>0.59</v>
      </c>
      <c r="DA196" s="0" t="n">
        <v>0.6225</v>
      </c>
      <c r="DB196" s="0" t="n">
        <v>0.69</v>
      </c>
      <c r="DC196" s="0" t="n">
        <v>0.8925</v>
      </c>
      <c r="DD196" s="0" t="n">
        <v>0.715</v>
      </c>
      <c r="DE196" s="0" t="n">
        <v>0.89</v>
      </c>
      <c r="DN196" s="188" t="n">
        <v>0.000285</v>
      </c>
      <c r="DO196" s="188" t="n">
        <v>0.0002</v>
      </c>
      <c r="DP196" s="188" t="n">
        <v>0</v>
      </c>
      <c r="DQ196" s="188" t="n">
        <v>0.0001</v>
      </c>
      <c r="DR196" s="188" t="n">
        <v>0</v>
      </c>
      <c r="DS196" s="188" t="n">
        <v>0.0036</v>
      </c>
      <c r="DT196" s="188" t="n">
        <v>0.00047</v>
      </c>
      <c r="DU196" s="188" t="n">
        <v>0.0007</v>
      </c>
      <c r="DV196" s="188" t="n">
        <v>0</v>
      </c>
      <c r="DW196" s="188" t="n">
        <v>0</v>
      </c>
      <c r="DX196" s="188" t="n">
        <v>0.0005</v>
      </c>
      <c r="DY196" s="188" t="n">
        <v>0.0005</v>
      </c>
      <c r="DZ196" s="188" t="n">
        <v>0.0003</v>
      </c>
      <c r="EA196" s="188" t="n">
        <v>0.000275</v>
      </c>
      <c r="EB196" s="188" t="n">
        <v>0.0004</v>
      </c>
      <c r="ED196" s="188" t="n">
        <v>6.5E-005</v>
      </c>
      <c r="EF196" s="0" t="n">
        <v>1</v>
      </c>
    </row>
    <row r="197" customFormat="false" ht="12.75" hidden="false" customHeight="false" outlineLevel="0" collapsed="false">
      <c r="A197" s="149" t="n">
        <v>42370</v>
      </c>
      <c r="B197" s="0" t="n">
        <v>0.98</v>
      </c>
      <c r="C197" s="0" t="n">
        <v>0</v>
      </c>
      <c r="E197" s="0" t="n">
        <v>0</v>
      </c>
      <c r="F197" s="0" t="n">
        <v>0</v>
      </c>
      <c r="G197" s="0" t="n">
        <v>0</v>
      </c>
      <c r="H197" s="0" t="n">
        <v>0.9875</v>
      </c>
      <c r="I197" s="0" t="n">
        <v>0.92812475</v>
      </c>
      <c r="J197" s="0" t="n">
        <v>0.9805</v>
      </c>
      <c r="K197" s="0" t="n">
        <v>0</v>
      </c>
      <c r="L197" s="176" t="n">
        <v>0.944105525</v>
      </c>
      <c r="M197" s="176" t="n">
        <v>0.9875</v>
      </c>
      <c r="N197" s="0" t="n">
        <v>0.88996545</v>
      </c>
      <c r="O197" s="0" t="n">
        <v>0.9683344</v>
      </c>
      <c r="P197" s="0" t="n">
        <v>0.88996545</v>
      </c>
      <c r="Q197" s="177" t="n">
        <v>0.944105525</v>
      </c>
      <c r="R197" s="0" t="n">
        <v>0.944105525</v>
      </c>
      <c r="S197" s="176" t="n">
        <v>0.944105525</v>
      </c>
      <c r="T197" s="0" t="n">
        <v>0.88996545</v>
      </c>
      <c r="U197" s="0" t="n">
        <v>0.88996545</v>
      </c>
      <c r="V197" s="0" t="n">
        <v>0.88996545</v>
      </c>
      <c r="W197" s="0" t="n">
        <v>0.88996545</v>
      </c>
      <c r="X197" s="0" t="n">
        <v>0.9683344</v>
      </c>
      <c r="Y197" s="0" t="n">
        <v>0.9683344</v>
      </c>
      <c r="Z197" s="0" t="n">
        <v>0.9683344</v>
      </c>
      <c r="AA197" s="0" t="n">
        <v>0.9683344</v>
      </c>
      <c r="AB197" s="0" t="n">
        <v>0.88996545</v>
      </c>
      <c r="AC197" s="0" t="n">
        <v>0.88996545</v>
      </c>
      <c r="AD197" s="0" t="n">
        <v>0.9683344</v>
      </c>
      <c r="AE197" s="0" t="n">
        <v>0.9683344</v>
      </c>
      <c r="AF197" s="0" t="n">
        <v>0.88996545</v>
      </c>
      <c r="AG197" s="0" t="n">
        <v>0.98</v>
      </c>
      <c r="AH197" s="0" t="n">
        <v>0.98220845</v>
      </c>
      <c r="AI197" s="0" t="n">
        <v>0.98220845</v>
      </c>
      <c r="AJ197" s="0" t="n">
        <v>0.88996545</v>
      </c>
      <c r="AK197" s="0" t="n">
        <v>1</v>
      </c>
      <c r="AL197" s="0" t="n">
        <v>0</v>
      </c>
      <c r="AM197" s="0" t="n">
        <v>0</v>
      </c>
      <c r="BB197" s="187" t="n">
        <v>1</v>
      </c>
      <c r="BC197" s="0" t="n">
        <v>1</v>
      </c>
      <c r="BD197" s="0" t="n">
        <v>1</v>
      </c>
      <c r="BE197" s="0" t="n">
        <v>1</v>
      </c>
      <c r="BF197" s="0" t="n">
        <v>0.9999</v>
      </c>
      <c r="BG197" s="0" t="n">
        <v>1</v>
      </c>
      <c r="BH197" s="0" t="n">
        <v>1</v>
      </c>
      <c r="BI197" s="0" t="n">
        <v>0.99</v>
      </c>
      <c r="BJ197" s="0" t="n">
        <v>0.999</v>
      </c>
      <c r="BK197" s="0" t="n">
        <v>0.998</v>
      </c>
      <c r="BL197" s="0" t="n">
        <v>0.9985</v>
      </c>
      <c r="BM197" s="0" t="n">
        <v>0.9985</v>
      </c>
      <c r="BN197" s="0" t="n">
        <v>0.972</v>
      </c>
      <c r="BO197" s="0" t="n">
        <v>0.9999</v>
      </c>
      <c r="BP197" s="0" t="n">
        <v>0.9999</v>
      </c>
      <c r="BQ197" s="0" t="n">
        <v>1</v>
      </c>
      <c r="BR197" s="0" t="n">
        <v>1.1185826</v>
      </c>
      <c r="BS197" s="0" t="n">
        <v>1.1274</v>
      </c>
      <c r="BT197" s="0" t="n">
        <v>1.0827</v>
      </c>
      <c r="BU197" s="0" t="n">
        <v>1.024</v>
      </c>
      <c r="BV197" s="0" t="n">
        <v>1</v>
      </c>
      <c r="BW197" s="0" t="n">
        <v>2.535</v>
      </c>
      <c r="BX197" s="0" t="n">
        <v>2.321866333</v>
      </c>
      <c r="BY197" s="0" t="n">
        <v>1.15295</v>
      </c>
      <c r="BZ197" s="0" t="n">
        <v>1.2885</v>
      </c>
      <c r="CA197" s="0" t="n">
        <v>2.001</v>
      </c>
      <c r="CB197" s="0" t="n">
        <v>1.560505</v>
      </c>
      <c r="CC197" s="0" t="n">
        <v>1.560505</v>
      </c>
      <c r="CD197" s="0" t="n">
        <v>1.289805</v>
      </c>
      <c r="CE197" s="0" t="n">
        <v>1.10038</v>
      </c>
      <c r="CF197" s="0" t="n">
        <v>1.462605</v>
      </c>
      <c r="CG197" s="188"/>
      <c r="CH197" s="0" t="n">
        <v>1.103605</v>
      </c>
      <c r="CI197" s="188"/>
      <c r="CJ197" s="188"/>
      <c r="CK197" s="188"/>
      <c r="CL197" s="188"/>
      <c r="CM197" s="188"/>
      <c r="CN197" s="188"/>
      <c r="CO197" s="188"/>
      <c r="CP197" s="0" t="n">
        <v>0.895</v>
      </c>
      <c r="CV197" s="0" t="n">
        <v>0.45</v>
      </c>
      <c r="CW197" s="0" t="n">
        <v>0.805</v>
      </c>
      <c r="CX197" s="0" t="n">
        <v>0.65</v>
      </c>
      <c r="CZ197" s="0" t="n">
        <v>0.605</v>
      </c>
      <c r="DA197" s="0" t="n">
        <v>0.6375</v>
      </c>
      <c r="DB197" s="0" t="n">
        <v>0.69</v>
      </c>
      <c r="DC197" s="0" t="n">
        <v>0.88</v>
      </c>
      <c r="DD197" s="0" t="n">
        <v>0.64</v>
      </c>
      <c r="DE197" s="0" t="n">
        <v>0.89</v>
      </c>
      <c r="DN197" s="188" t="n">
        <v>0.000285</v>
      </c>
      <c r="DO197" s="188" t="n">
        <v>0.0002</v>
      </c>
      <c r="DP197" s="188" t="n">
        <v>0</v>
      </c>
      <c r="DQ197" s="188" t="n">
        <v>0.0001</v>
      </c>
      <c r="DR197" s="188" t="n">
        <v>0</v>
      </c>
      <c r="DS197" s="188" t="n">
        <v>0.0036</v>
      </c>
      <c r="DT197" s="188" t="n">
        <v>0.00047</v>
      </c>
      <c r="DU197" s="188" t="n">
        <v>0.0007</v>
      </c>
      <c r="DV197" s="188" t="n">
        <v>0</v>
      </c>
      <c r="DW197" s="188" t="n">
        <v>0</v>
      </c>
      <c r="DX197" s="188" t="n">
        <v>0.0005</v>
      </c>
      <c r="DY197" s="188" t="n">
        <v>0.0005</v>
      </c>
      <c r="DZ197" s="188" t="n">
        <v>0.0003</v>
      </c>
      <c r="EA197" s="188" t="n">
        <v>0.000275</v>
      </c>
      <c r="EB197" s="188" t="n">
        <v>0.0004</v>
      </c>
      <c r="ED197" s="188" t="n">
        <v>6.5E-005</v>
      </c>
      <c r="EF197" s="0" t="n">
        <v>1</v>
      </c>
    </row>
    <row r="198" customFormat="false" ht="12.75" hidden="false" customHeight="false" outlineLevel="0" collapsed="false">
      <c r="A198" s="149" t="n">
        <v>42401</v>
      </c>
      <c r="B198" s="0" t="n">
        <v>0.98</v>
      </c>
      <c r="C198" s="0" t="n">
        <v>0</v>
      </c>
      <c r="E198" s="0" t="n">
        <v>0</v>
      </c>
      <c r="F198" s="0" t="n">
        <v>0</v>
      </c>
      <c r="G198" s="0" t="n">
        <v>0</v>
      </c>
      <c r="H198" s="0" t="n">
        <v>0.9875</v>
      </c>
      <c r="I198" s="0" t="n">
        <v>0.97483425</v>
      </c>
      <c r="J198" s="0" t="n">
        <v>0.9805</v>
      </c>
      <c r="K198" s="0" t="n">
        <v>0</v>
      </c>
      <c r="L198" s="176" t="n">
        <v>0.9875</v>
      </c>
      <c r="M198" s="176" t="n">
        <v>0.9875</v>
      </c>
      <c r="N198" s="0" t="n">
        <v>0.91597455</v>
      </c>
      <c r="O198" s="0" t="n">
        <v>0.965824763</v>
      </c>
      <c r="P198" s="0" t="n">
        <v>0.91597455</v>
      </c>
      <c r="Q198" s="177" t="n">
        <v>0.9875</v>
      </c>
      <c r="R198" s="0" t="n">
        <v>0.9875</v>
      </c>
      <c r="S198" s="176" t="n">
        <v>0.9875</v>
      </c>
      <c r="T198" s="0" t="n">
        <v>0.91597455</v>
      </c>
      <c r="U198" s="0" t="n">
        <v>0.91597455</v>
      </c>
      <c r="V198" s="0" t="n">
        <v>0.91597455</v>
      </c>
      <c r="W198" s="0" t="n">
        <v>0.91597455</v>
      </c>
      <c r="X198" s="0" t="n">
        <v>0.965824763</v>
      </c>
      <c r="Y198" s="0" t="n">
        <v>0.965824763</v>
      </c>
      <c r="Z198" s="0" t="n">
        <v>0.965824763</v>
      </c>
      <c r="AA198" s="0" t="n">
        <v>0.965824763</v>
      </c>
      <c r="AB198" s="0" t="n">
        <v>0.91597455</v>
      </c>
      <c r="AC198" s="0" t="n">
        <v>0.91597455</v>
      </c>
      <c r="AD198" s="0" t="n">
        <v>0.965824763</v>
      </c>
      <c r="AE198" s="0" t="n">
        <v>0.965824763</v>
      </c>
      <c r="AF198" s="0" t="n">
        <v>0.91597455</v>
      </c>
      <c r="AG198" s="0" t="n">
        <v>0.98</v>
      </c>
      <c r="AH198" s="0" t="n">
        <v>0.9822663</v>
      </c>
      <c r="AI198" s="0" t="n">
        <v>0.9822663</v>
      </c>
      <c r="AJ198" s="0" t="n">
        <v>0.91597455</v>
      </c>
      <c r="AK198" s="0" t="n">
        <v>1</v>
      </c>
      <c r="AL198" s="0" t="n">
        <v>0</v>
      </c>
      <c r="AM198" s="0" t="n">
        <v>0</v>
      </c>
      <c r="BB198" s="187" t="n">
        <v>1</v>
      </c>
      <c r="BC198" s="0" t="n">
        <v>1</v>
      </c>
      <c r="BD198" s="0" t="n">
        <v>1</v>
      </c>
      <c r="BE198" s="0" t="n">
        <v>1</v>
      </c>
      <c r="BF198" s="0" t="n">
        <v>0.9999</v>
      </c>
      <c r="BG198" s="0" t="n">
        <v>1</v>
      </c>
      <c r="BH198" s="0" t="n">
        <v>1</v>
      </c>
      <c r="BI198" s="0" t="n">
        <v>0.99</v>
      </c>
      <c r="BJ198" s="0" t="n">
        <v>0.999</v>
      </c>
      <c r="BK198" s="0" t="n">
        <v>0.998</v>
      </c>
      <c r="BL198" s="0" t="n">
        <v>0.9985</v>
      </c>
      <c r="BM198" s="0" t="n">
        <v>0.9985</v>
      </c>
      <c r="BN198" s="0" t="n">
        <v>0.972</v>
      </c>
      <c r="BO198" s="0" t="n">
        <v>0.9999</v>
      </c>
      <c r="BP198" s="0" t="n">
        <v>0.9999</v>
      </c>
      <c r="BQ198" s="0" t="n">
        <v>1</v>
      </c>
      <c r="BR198" s="0" t="n">
        <v>1.1188676</v>
      </c>
      <c r="BS198" s="0" t="n">
        <v>1.1276</v>
      </c>
      <c r="BT198" s="0" t="n">
        <v>1.0827</v>
      </c>
      <c r="BU198" s="0" t="n">
        <v>1.0241</v>
      </c>
      <c r="BV198" s="0" t="n">
        <v>1</v>
      </c>
      <c r="BW198" s="0" t="n">
        <v>2.5386</v>
      </c>
      <c r="BX198" s="0" t="n">
        <v>2.322336333</v>
      </c>
      <c r="BY198" s="0" t="n">
        <v>1.15365</v>
      </c>
      <c r="BZ198" s="0" t="n">
        <v>1.2885</v>
      </c>
      <c r="CA198" s="0" t="n">
        <v>2.001</v>
      </c>
      <c r="CB198" s="0" t="n">
        <v>1.561005</v>
      </c>
      <c r="CC198" s="0" t="n">
        <v>1.561005</v>
      </c>
      <c r="CD198" s="0" t="n">
        <v>1.290105</v>
      </c>
      <c r="CE198" s="0" t="n">
        <v>1.100655</v>
      </c>
      <c r="CF198" s="0" t="n">
        <v>1.463005</v>
      </c>
      <c r="CG198" s="188"/>
      <c r="CH198" s="0" t="n">
        <v>1.10367</v>
      </c>
      <c r="CI198" s="188"/>
      <c r="CJ198" s="188"/>
      <c r="CK198" s="188"/>
      <c r="CL198" s="188"/>
      <c r="CM198" s="188"/>
      <c r="CN198" s="188"/>
      <c r="CO198" s="188"/>
      <c r="CP198" s="0" t="n">
        <v>0.865</v>
      </c>
      <c r="CV198" s="0" t="n">
        <v>0.45</v>
      </c>
      <c r="CW198" s="0" t="n">
        <v>0.845</v>
      </c>
      <c r="CX198" s="0" t="n">
        <v>0.755</v>
      </c>
      <c r="CZ198" s="0" t="n">
        <v>0.635</v>
      </c>
      <c r="DA198" s="0" t="n">
        <v>0.6675</v>
      </c>
      <c r="DB198" s="0" t="n">
        <v>0.71</v>
      </c>
      <c r="DC198" s="0" t="n">
        <v>0.8775</v>
      </c>
      <c r="DD198" s="0" t="n">
        <v>0.67</v>
      </c>
      <c r="DE198" s="0" t="n">
        <v>0.89</v>
      </c>
      <c r="DN198" s="188" t="n">
        <v>0.000285</v>
      </c>
      <c r="DO198" s="188" t="n">
        <v>0.0002</v>
      </c>
      <c r="DP198" s="188" t="n">
        <v>0</v>
      </c>
      <c r="DQ198" s="188" t="n">
        <v>0.0001</v>
      </c>
      <c r="DR198" s="188" t="n">
        <v>0</v>
      </c>
      <c r="DS198" s="188" t="n">
        <v>0.0036</v>
      </c>
      <c r="DT198" s="188" t="n">
        <v>0.00047</v>
      </c>
      <c r="DU198" s="188" t="n">
        <v>0.0007</v>
      </c>
      <c r="DV198" s="188" t="n">
        <v>0</v>
      </c>
      <c r="DW198" s="188" t="n">
        <v>0</v>
      </c>
      <c r="DX198" s="188" t="n">
        <v>0.0005</v>
      </c>
      <c r="DY198" s="188" t="n">
        <v>0.0005</v>
      </c>
      <c r="DZ198" s="188" t="n">
        <v>0.0003</v>
      </c>
      <c r="EA198" s="188" t="n">
        <v>0.000275</v>
      </c>
      <c r="EB198" s="188" t="n">
        <v>0.0004</v>
      </c>
      <c r="ED198" s="188" t="n">
        <v>6.5E-005</v>
      </c>
      <c r="EF198" s="0" t="n">
        <v>1</v>
      </c>
    </row>
    <row r="199" customFormat="false" ht="12.75" hidden="false" customHeight="false" outlineLevel="0" collapsed="false">
      <c r="A199" s="149" t="n">
        <v>42430</v>
      </c>
      <c r="B199" s="0" t="n">
        <v>0.98</v>
      </c>
      <c r="C199" s="0" t="n">
        <v>0</v>
      </c>
      <c r="E199" s="0" t="n">
        <v>0</v>
      </c>
      <c r="F199" s="0" t="n">
        <v>0</v>
      </c>
      <c r="G199" s="0" t="n">
        <v>0</v>
      </c>
      <c r="H199" s="0" t="n">
        <v>0.9875</v>
      </c>
      <c r="I199" s="0" t="n">
        <v>0.9875</v>
      </c>
      <c r="J199" s="0" t="n">
        <v>0.9805</v>
      </c>
      <c r="K199" s="0" t="n">
        <v>0</v>
      </c>
      <c r="L199" s="176" t="n">
        <v>0.9875</v>
      </c>
      <c r="M199" s="176" t="n">
        <v>0.9875</v>
      </c>
      <c r="N199" s="0" t="n">
        <v>0.98</v>
      </c>
      <c r="O199" s="0" t="n">
        <v>0.9875</v>
      </c>
      <c r="P199" s="0" t="n">
        <v>0.98</v>
      </c>
      <c r="Q199" s="177" t="n">
        <v>0.9875</v>
      </c>
      <c r="R199" s="0" t="n">
        <v>0.9875</v>
      </c>
      <c r="S199" s="176" t="n">
        <v>0.9875</v>
      </c>
      <c r="T199" s="0" t="n">
        <v>0.98</v>
      </c>
      <c r="U199" s="0" t="n">
        <v>0.98</v>
      </c>
      <c r="V199" s="0" t="n">
        <v>0.98</v>
      </c>
      <c r="W199" s="0" t="n">
        <v>0.98</v>
      </c>
      <c r="X199" s="0" t="n">
        <v>0.9875</v>
      </c>
      <c r="Y199" s="0" t="n">
        <v>0.9875</v>
      </c>
      <c r="Z199" s="0" t="n">
        <v>0.9875</v>
      </c>
      <c r="AA199" s="0" t="n">
        <v>0.9875</v>
      </c>
      <c r="AB199" s="0" t="n">
        <v>0.98</v>
      </c>
      <c r="AC199" s="0" t="n">
        <v>0.98</v>
      </c>
      <c r="AD199" s="0" t="n">
        <v>0.9875</v>
      </c>
      <c r="AE199" s="0" t="n">
        <v>0.9875</v>
      </c>
      <c r="AF199" s="0" t="n">
        <v>0.98</v>
      </c>
      <c r="AG199" s="0" t="n">
        <v>0.99</v>
      </c>
      <c r="AH199" s="0" t="n">
        <v>0.98232415</v>
      </c>
      <c r="AI199" s="0" t="n">
        <v>0.98232415</v>
      </c>
      <c r="AJ199" s="0" t="n">
        <v>0.98</v>
      </c>
      <c r="AK199" s="0" t="n">
        <v>1</v>
      </c>
      <c r="AL199" s="0" t="n">
        <v>0</v>
      </c>
      <c r="AM199" s="0" t="n">
        <v>0</v>
      </c>
      <c r="BB199" s="187" t="n">
        <v>1</v>
      </c>
      <c r="BC199" s="0" t="n">
        <v>1</v>
      </c>
      <c r="BD199" s="0" t="n">
        <v>1</v>
      </c>
      <c r="BE199" s="0" t="n">
        <v>1</v>
      </c>
      <c r="BF199" s="0" t="n">
        <v>0.9999</v>
      </c>
      <c r="BG199" s="0" t="n">
        <v>1</v>
      </c>
      <c r="BH199" s="0" t="n">
        <v>1</v>
      </c>
      <c r="BI199" s="0" t="n">
        <v>0.99</v>
      </c>
      <c r="BJ199" s="0" t="n">
        <v>0.999</v>
      </c>
      <c r="BK199" s="0" t="n">
        <v>0.998</v>
      </c>
      <c r="BL199" s="0" t="n">
        <v>0.9985</v>
      </c>
      <c r="BM199" s="0" t="n">
        <v>0.9985</v>
      </c>
      <c r="BN199" s="0" t="n">
        <v>0.972</v>
      </c>
      <c r="BO199" s="0" t="n">
        <v>0.9999</v>
      </c>
      <c r="BP199" s="0" t="n">
        <v>0.9999</v>
      </c>
      <c r="BQ199" s="0" t="n">
        <v>1</v>
      </c>
      <c r="BR199" s="0" t="n">
        <v>1.1191526</v>
      </c>
      <c r="BS199" s="0" t="n">
        <v>1.1278</v>
      </c>
      <c r="BT199" s="0" t="n">
        <v>1.0827</v>
      </c>
      <c r="BU199" s="0" t="n">
        <v>1.0242</v>
      </c>
      <c r="BV199" s="0" t="n">
        <v>1</v>
      </c>
      <c r="BW199" s="0" t="n">
        <v>2.5422</v>
      </c>
      <c r="BX199" s="0" t="n">
        <v>2.322806333</v>
      </c>
      <c r="BY199" s="0" t="n">
        <v>1.15435</v>
      </c>
      <c r="BZ199" s="0" t="n">
        <v>1.2885</v>
      </c>
      <c r="CA199" s="0" t="n">
        <v>2.001</v>
      </c>
      <c r="CB199" s="0" t="n">
        <v>1.561505</v>
      </c>
      <c r="CC199" s="0" t="n">
        <v>1.561505</v>
      </c>
      <c r="CD199" s="0" t="n">
        <v>1.290405</v>
      </c>
      <c r="CE199" s="0" t="n">
        <v>1.10093</v>
      </c>
      <c r="CF199" s="0" t="n">
        <v>1.463405</v>
      </c>
      <c r="CG199" s="188"/>
      <c r="CH199" s="0" t="n">
        <v>1.103735</v>
      </c>
      <c r="CI199" s="188"/>
      <c r="CJ199" s="188"/>
      <c r="CK199" s="188"/>
      <c r="CL199" s="188"/>
      <c r="CM199" s="188"/>
      <c r="CN199" s="188"/>
      <c r="CO199" s="188"/>
      <c r="CP199" s="0" t="n">
        <v>0.865</v>
      </c>
      <c r="CV199" s="0" t="n">
        <v>0.45</v>
      </c>
      <c r="CW199" s="0" t="n">
        <v>0.875</v>
      </c>
      <c r="CX199" s="0" t="n">
        <v>0.925</v>
      </c>
      <c r="CZ199" s="0" t="n">
        <v>0.785</v>
      </c>
      <c r="DA199" s="0" t="n">
        <v>0.8175</v>
      </c>
      <c r="DB199" s="0" t="n">
        <v>0.8</v>
      </c>
      <c r="DC199" s="0" t="n">
        <v>0.9</v>
      </c>
      <c r="DD199" s="0" t="n">
        <v>0.83</v>
      </c>
      <c r="DE199" s="0" t="n">
        <v>0.89</v>
      </c>
      <c r="DN199" s="188" t="n">
        <v>0.000285</v>
      </c>
      <c r="DO199" s="188" t="n">
        <v>0.0002</v>
      </c>
      <c r="DP199" s="188" t="n">
        <v>0</v>
      </c>
      <c r="DQ199" s="188" t="n">
        <v>0.0001</v>
      </c>
      <c r="DR199" s="188" t="n">
        <v>0</v>
      </c>
      <c r="DS199" s="188" t="n">
        <v>0.0036</v>
      </c>
      <c r="DT199" s="188" t="n">
        <v>0.00047</v>
      </c>
      <c r="DU199" s="188" t="n">
        <v>0.0007</v>
      </c>
      <c r="DV199" s="188" t="n">
        <v>0</v>
      </c>
      <c r="DW199" s="188" t="n">
        <v>0</v>
      </c>
      <c r="DX199" s="188" t="n">
        <v>0.0005</v>
      </c>
      <c r="DY199" s="188" t="n">
        <v>0.0005</v>
      </c>
      <c r="DZ199" s="188" t="n">
        <v>0.0003</v>
      </c>
      <c r="EA199" s="188" t="n">
        <v>0.000275</v>
      </c>
      <c r="EB199" s="188" t="n">
        <v>0.0004</v>
      </c>
      <c r="ED199" s="188" t="n">
        <v>6.5E-005</v>
      </c>
      <c r="EF199" s="0" t="n">
        <v>1</v>
      </c>
    </row>
    <row r="200" customFormat="false" ht="12.75" hidden="false" customHeight="false" outlineLevel="0" collapsed="false">
      <c r="A200" s="149" t="n">
        <v>42461</v>
      </c>
      <c r="B200" s="0" t="n">
        <v>0.98</v>
      </c>
      <c r="C200" s="0" t="n">
        <v>0</v>
      </c>
      <c r="E200" s="0" t="n">
        <v>0</v>
      </c>
      <c r="F200" s="0" t="n">
        <v>0</v>
      </c>
      <c r="G200" s="0" t="n">
        <v>0</v>
      </c>
      <c r="H200" s="0" t="n">
        <v>0.97577606</v>
      </c>
      <c r="I200" s="0" t="n">
        <v>0.9875</v>
      </c>
      <c r="J200" s="0" t="n">
        <v>0.9805</v>
      </c>
      <c r="K200" s="0" t="n">
        <v>0</v>
      </c>
      <c r="L200" s="176" t="n">
        <v>0.9875</v>
      </c>
      <c r="M200" s="176" t="n">
        <v>0.9875</v>
      </c>
      <c r="N200" s="0" t="n">
        <v>0.98</v>
      </c>
      <c r="O200" s="0" t="n">
        <v>0.9875</v>
      </c>
      <c r="P200" s="0" t="n">
        <v>0.98</v>
      </c>
      <c r="Q200" s="177" t="n">
        <v>0.9875</v>
      </c>
      <c r="R200" s="0" t="n">
        <v>0.9875</v>
      </c>
      <c r="S200" s="176" t="n">
        <v>0.9875</v>
      </c>
      <c r="T200" s="0" t="n">
        <v>0.98</v>
      </c>
      <c r="U200" s="0" t="n">
        <v>0.98</v>
      </c>
      <c r="V200" s="0" t="n">
        <v>0.98</v>
      </c>
      <c r="W200" s="0" t="n">
        <v>0.98</v>
      </c>
      <c r="X200" s="0" t="n">
        <v>0.9875</v>
      </c>
      <c r="Y200" s="0" t="n">
        <v>0.9875</v>
      </c>
      <c r="Z200" s="0" t="n">
        <v>0.9875</v>
      </c>
      <c r="AA200" s="0" t="n">
        <v>0.9875</v>
      </c>
      <c r="AB200" s="0" t="n">
        <v>0.98</v>
      </c>
      <c r="AC200" s="0" t="n">
        <v>0.98</v>
      </c>
      <c r="AD200" s="0" t="n">
        <v>0.9875</v>
      </c>
      <c r="AE200" s="0" t="n">
        <v>0.9875</v>
      </c>
      <c r="AF200" s="0" t="n">
        <v>0.98</v>
      </c>
      <c r="AG200" s="0" t="n">
        <v>0.99</v>
      </c>
      <c r="AH200" s="0" t="n">
        <v>0.982382</v>
      </c>
      <c r="AI200" s="0" t="n">
        <v>0.982382</v>
      </c>
      <c r="AJ200" s="0" t="n">
        <v>0.98</v>
      </c>
      <c r="AK200" s="0" t="n">
        <v>1</v>
      </c>
      <c r="AL200" s="0" t="n">
        <v>0</v>
      </c>
      <c r="AM200" s="0" t="n">
        <v>0</v>
      </c>
      <c r="BB200" s="187" t="n">
        <v>1</v>
      </c>
      <c r="BC200" s="0" t="n">
        <v>1</v>
      </c>
      <c r="BD200" s="0" t="n">
        <v>1</v>
      </c>
      <c r="BE200" s="0" t="n">
        <v>1</v>
      </c>
      <c r="BF200" s="0" t="n">
        <v>0.9999</v>
      </c>
      <c r="BG200" s="0" t="n">
        <v>1</v>
      </c>
      <c r="BH200" s="0" t="n">
        <v>1</v>
      </c>
      <c r="BI200" s="0" t="n">
        <v>0.99</v>
      </c>
      <c r="BJ200" s="0" t="n">
        <v>0.999</v>
      </c>
      <c r="BK200" s="0" t="n">
        <v>0.998</v>
      </c>
      <c r="BL200" s="0" t="n">
        <v>0.9985</v>
      </c>
      <c r="BM200" s="0" t="n">
        <v>0.9985</v>
      </c>
      <c r="BN200" s="0" t="n">
        <v>0.972</v>
      </c>
      <c r="BO200" s="0" t="n">
        <v>0.9999</v>
      </c>
      <c r="BP200" s="0" t="n">
        <v>0.9999</v>
      </c>
      <c r="BQ200" s="0" t="n">
        <v>1</v>
      </c>
      <c r="BR200" s="0" t="n">
        <v>1.1194376</v>
      </c>
      <c r="BS200" s="0" t="n">
        <v>1.128</v>
      </c>
      <c r="BT200" s="0" t="n">
        <v>1.0827</v>
      </c>
      <c r="BU200" s="0" t="n">
        <v>1.0243</v>
      </c>
      <c r="BV200" s="0" t="n">
        <v>1</v>
      </c>
      <c r="BW200" s="0" t="n">
        <v>2.5458</v>
      </c>
      <c r="BX200" s="0" t="n">
        <v>2.323276333</v>
      </c>
      <c r="BY200" s="0" t="n">
        <v>1.15505</v>
      </c>
      <c r="BZ200" s="0" t="n">
        <v>1.2885</v>
      </c>
      <c r="CA200" s="0" t="n">
        <v>2.001</v>
      </c>
      <c r="CB200" s="0" t="n">
        <v>1.562005</v>
      </c>
      <c r="CC200" s="0" t="n">
        <v>1.562005</v>
      </c>
      <c r="CD200" s="0" t="n">
        <v>1.290705</v>
      </c>
      <c r="CE200" s="0" t="n">
        <v>1.101205</v>
      </c>
      <c r="CF200" s="0" t="n">
        <v>1.463805</v>
      </c>
      <c r="CG200" s="188"/>
      <c r="CH200" s="0" t="n">
        <v>1.1038</v>
      </c>
      <c r="CI200" s="188"/>
      <c r="CJ200" s="188"/>
      <c r="CK200" s="188"/>
      <c r="CL200" s="188"/>
      <c r="CM200" s="188"/>
      <c r="CN200" s="188"/>
      <c r="CO200" s="188"/>
      <c r="CP200" s="0" t="n">
        <v>0.895</v>
      </c>
      <c r="CV200" s="0" t="n">
        <v>0.42</v>
      </c>
      <c r="CW200" s="0" t="n">
        <v>0.935</v>
      </c>
      <c r="CX200" s="0" t="n">
        <v>0.915</v>
      </c>
      <c r="CZ200" s="0" t="n">
        <v>0.895</v>
      </c>
      <c r="DA200" s="0" t="n">
        <v>0.9275</v>
      </c>
      <c r="DB200" s="0" t="n">
        <v>0.85</v>
      </c>
      <c r="DC200" s="0" t="n">
        <v>0.903</v>
      </c>
      <c r="DD200" s="0" t="n">
        <v>0.92</v>
      </c>
      <c r="DE200" s="0" t="n">
        <v>0.89</v>
      </c>
      <c r="DN200" s="188" t="n">
        <v>0.000285</v>
      </c>
      <c r="DO200" s="188" t="n">
        <v>0.0002</v>
      </c>
      <c r="DP200" s="188" t="n">
        <v>0</v>
      </c>
      <c r="DQ200" s="188" t="n">
        <v>0.0001</v>
      </c>
      <c r="DR200" s="188" t="n">
        <v>0</v>
      </c>
      <c r="DS200" s="188" t="n">
        <v>0.0036</v>
      </c>
      <c r="DT200" s="188" t="n">
        <v>0.00047</v>
      </c>
      <c r="DU200" s="188" t="n">
        <v>0.0007</v>
      </c>
      <c r="DV200" s="188" t="n">
        <v>0</v>
      </c>
      <c r="DW200" s="188" t="n">
        <v>0</v>
      </c>
      <c r="DX200" s="188" t="n">
        <v>0.0005</v>
      </c>
      <c r="DY200" s="188" t="n">
        <v>0.0005</v>
      </c>
      <c r="DZ200" s="188" t="n">
        <v>0.0003</v>
      </c>
      <c r="EA200" s="188" t="n">
        <v>0.000275</v>
      </c>
      <c r="EB200" s="188" t="n">
        <v>0.0004</v>
      </c>
      <c r="ED200" s="188" t="n">
        <v>6.5E-005</v>
      </c>
      <c r="EF200" s="0" t="n">
        <v>1</v>
      </c>
    </row>
    <row r="201" customFormat="false" ht="12.75" hidden="false" customHeight="false" outlineLevel="0" collapsed="false">
      <c r="A201" s="149" t="n">
        <v>42491</v>
      </c>
      <c r="B201" s="0" t="n">
        <v>0.98</v>
      </c>
      <c r="C201" s="0" t="n">
        <v>0</v>
      </c>
      <c r="E201" s="0" t="n">
        <v>0</v>
      </c>
      <c r="F201" s="0" t="n">
        <v>0</v>
      </c>
      <c r="G201" s="0" t="n">
        <v>0</v>
      </c>
      <c r="H201" s="0" t="n">
        <v>0.97597346</v>
      </c>
      <c r="I201" s="0" t="n">
        <v>0.9875</v>
      </c>
      <c r="J201" s="0" t="n">
        <v>0.9805</v>
      </c>
      <c r="K201" s="0" t="n">
        <v>0</v>
      </c>
      <c r="L201" s="176" t="n">
        <v>0.9875</v>
      </c>
      <c r="M201" s="176" t="n">
        <v>0.9875</v>
      </c>
      <c r="N201" s="0" t="n">
        <v>0.98</v>
      </c>
      <c r="O201" s="0" t="n">
        <v>0.9875</v>
      </c>
      <c r="P201" s="0" t="n">
        <v>0.98</v>
      </c>
      <c r="Q201" s="177" t="n">
        <v>0.9875</v>
      </c>
      <c r="R201" s="0" t="n">
        <v>0.9875</v>
      </c>
      <c r="S201" s="176" t="n">
        <v>0.9875</v>
      </c>
      <c r="T201" s="0" t="n">
        <v>0.98</v>
      </c>
      <c r="U201" s="0" t="n">
        <v>0.98</v>
      </c>
      <c r="V201" s="0" t="n">
        <v>0.98</v>
      </c>
      <c r="W201" s="0" t="n">
        <v>0.98</v>
      </c>
      <c r="X201" s="0" t="n">
        <v>0.9875</v>
      </c>
      <c r="Y201" s="0" t="n">
        <v>0.9875</v>
      </c>
      <c r="Z201" s="0" t="n">
        <v>0.9875</v>
      </c>
      <c r="AA201" s="0" t="n">
        <v>0.9875</v>
      </c>
      <c r="AB201" s="0" t="n">
        <v>0.98</v>
      </c>
      <c r="AC201" s="0" t="n">
        <v>0.98</v>
      </c>
      <c r="AD201" s="0" t="n">
        <v>0.9875</v>
      </c>
      <c r="AE201" s="0" t="n">
        <v>0.9875</v>
      </c>
      <c r="AF201" s="0" t="n">
        <v>0.98</v>
      </c>
      <c r="AG201" s="0" t="n">
        <v>0.99</v>
      </c>
      <c r="AH201" s="0" t="n">
        <v>0.98243985</v>
      </c>
      <c r="AI201" s="0" t="n">
        <v>0.98243985</v>
      </c>
      <c r="AJ201" s="0" t="n">
        <v>0.98</v>
      </c>
      <c r="AK201" s="0" t="n">
        <v>1</v>
      </c>
      <c r="AL201" s="0" t="n">
        <v>0</v>
      </c>
      <c r="AM201" s="0" t="n">
        <v>0</v>
      </c>
      <c r="BB201" s="187" t="n">
        <v>1</v>
      </c>
      <c r="BC201" s="0" t="n">
        <v>1</v>
      </c>
      <c r="BD201" s="0" t="n">
        <v>1</v>
      </c>
      <c r="BE201" s="0" t="n">
        <v>1</v>
      </c>
      <c r="BF201" s="0" t="n">
        <v>0.9999</v>
      </c>
      <c r="BG201" s="0" t="n">
        <v>1</v>
      </c>
      <c r="BH201" s="0" t="n">
        <v>1</v>
      </c>
      <c r="BI201" s="0" t="n">
        <v>0.99</v>
      </c>
      <c r="BJ201" s="0" t="n">
        <v>0.999</v>
      </c>
      <c r="BK201" s="0" t="n">
        <v>0.998</v>
      </c>
      <c r="BL201" s="0" t="n">
        <v>0.9985</v>
      </c>
      <c r="BM201" s="0" t="n">
        <v>0.9985</v>
      </c>
      <c r="BN201" s="0" t="n">
        <v>0.972</v>
      </c>
      <c r="BO201" s="0" t="n">
        <v>0.9999</v>
      </c>
      <c r="BP201" s="0" t="n">
        <v>0.9999</v>
      </c>
      <c r="BQ201" s="0" t="n">
        <v>1</v>
      </c>
      <c r="BR201" s="0" t="n">
        <v>1.1197226</v>
      </c>
      <c r="BS201" s="0" t="n">
        <v>1.1282</v>
      </c>
      <c r="BT201" s="0" t="n">
        <v>1.0827</v>
      </c>
      <c r="BU201" s="0" t="n">
        <v>1.0244</v>
      </c>
      <c r="BV201" s="0" t="n">
        <v>1</v>
      </c>
      <c r="BW201" s="0" t="n">
        <v>2.5494</v>
      </c>
      <c r="BX201" s="0" t="n">
        <v>2.323746333</v>
      </c>
      <c r="BY201" s="0" t="n">
        <v>1.15575</v>
      </c>
      <c r="BZ201" s="0" t="n">
        <v>1.2885</v>
      </c>
      <c r="CA201" s="0" t="n">
        <v>2.001</v>
      </c>
      <c r="CB201" s="0" t="n">
        <v>1.562505</v>
      </c>
      <c r="CC201" s="0" t="n">
        <v>1.562505</v>
      </c>
      <c r="CD201" s="0" t="n">
        <v>1.291005</v>
      </c>
      <c r="CE201" s="0" t="n">
        <v>1.10148</v>
      </c>
      <c r="CF201" s="0" t="n">
        <v>1.464205</v>
      </c>
      <c r="CG201" s="188"/>
      <c r="CH201" s="0" t="n">
        <v>1.103865</v>
      </c>
      <c r="CI201" s="188"/>
      <c r="CJ201" s="188"/>
      <c r="CK201" s="188"/>
      <c r="CL201" s="188"/>
      <c r="CM201" s="188"/>
      <c r="CN201" s="188"/>
      <c r="CO201" s="188"/>
      <c r="CP201" s="0" t="n">
        <v>0.965</v>
      </c>
      <c r="CV201" s="0" t="n">
        <v>0.42</v>
      </c>
      <c r="CW201" s="0" t="n">
        <v>0.935</v>
      </c>
      <c r="CX201" s="0" t="n">
        <v>0.815</v>
      </c>
      <c r="CZ201" s="0" t="n">
        <v>0.9175</v>
      </c>
      <c r="DA201" s="0" t="n">
        <v>0.95</v>
      </c>
      <c r="DB201" s="0" t="n">
        <v>0.88</v>
      </c>
      <c r="DC201" s="0" t="n">
        <v>0.9</v>
      </c>
      <c r="DD201" s="0" t="n">
        <v>0.935</v>
      </c>
      <c r="DE201" s="0" t="n">
        <v>0.89</v>
      </c>
      <c r="DN201" s="188" t="n">
        <v>0.000285</v>
      </c>
      <c r="DO201" s="188" t="n">
        <v>0.0002</v>
      </c>
      <c r="DP201" s="188" t="n">
        <v>0</v>
      </c>
      <c r="DQ201" s="188" t="n">
        <v>0.0001</v>
      </c>
      <c r="DR201" s="188" t="n">
        <v>0</v>
      </c>
      <c r="DS201" s="188" t="n">
        <v>0.0036</v>
      </c>
      <c r="DT201" s="188" t="n">
        <v>0.00047</v>
      </c>
      <c r="DU201" s="188" t="n">
        <v>0.0007</v>
      </c>
      <c r="DV201" s="188" t="n">
        <v>0</v>
      </c>
      <c r="DW201" s="188" t="n">
        <v>0</v>
      </c>
      <c r="DX201" s="188" t="n">
        <v>0.0005</v>
      </c>
      <c r="DY201" s="188" t="n">
        <v>0.0005</v>
      </c>
      <c r="DZ201" s="188" t="n">
        <v>0.0003</v>
      </c>
      <c r="EA201" s="188" t="n">
        <v>0.000275</v>
      </c>
      <c r="EB201" s="188" t="n">
        <v>0.0004</v>
      </c>
      <c r="ED201" s="188" t="n">
        <v>6.5E-005</v>
      </c>
      <c r="EF201" s="0" t="n">
        <v>1</v>
      </c>
    </row>
    <row r="202" customFormat="false" ht="12.75" hidden="false" customHeight="false" outlineLevel="0" collapsed="false">
      <c r="A202" s="149" t="n">
        <v>42522</v>
      </c>
      <c r="B202" s="0" t="n">
        <v>0.98</v>
      </c>
      <c r="C202" s="0" t="n">
        <v>0</v>
      </c>
      <c r="E202" s="0" t="n">
        <v>0</v>
      </c>
      <c r="F202" s="0" t="n">
        <v>0</v>
      </c>
      <c r="G202" s="0" t="n">
        <v>0</v>
      </c>
      <c r="H202" s="0" t="n">
        <v>0.9875</v>
      </c>
      <c r="I202" s="0" t="n">
        <v>0.9875</v>
      </c>
      <c r="J202" s="0" t="n">
        <v>0.9805</v>
      </c>
      <c r="K202" s="0" t="n">
        <v>0</v>
      </c>
      <c r="L202" s="176" t="n">
        <v>0.9875</v>
      </c>
      <c r="M202" s="176" t="n">
        <v>0.9875</v>
      </c>
      <c r="N202" s="0" t="n">
        <v>0.98</v>
      </c>
      <c r="O202" s="0" t="n">
        <v>0.9875</v>
      </c>
      <c r="P202" s="0" t="n">
        <v>0.98</v>
      </c>
      <c r="Q202" s="177" t="n">
        <v>0.9875</v>
      </c>
      <c r="R202" s="0" t="n">
        <v>0.9875</v>
      </c>
      <c r="S202" s="176" t="n">
        <v>0.9875</v>
      </c>
      <c r="T202" s="0" t="n">
        <v>0.98</v>
      </c>
      <c r="U202" s="0" t="n">
        <v>0.98</v>
      </c>
      <c r="V202" s="0" t="n">
        <v>0.98</v>
      </c>
      <c r="W202" s="0" t="n">
        <v>0.98</v>
      </c>
      <c r="X202" s="0" t="n">
        <v>0.9875</v>
      </c>
      <c r="Y202" s="0" t="n">
        <v>0.9875</v>
      </c>
      <c r="Z202" s="0" t="n">
        <v>0.9875</v>
      </c>
      <c r="AA202" s="0" t="n">
        <v>0.9875</v>
      </c>
      <c r="AB202" s="0" t="n">
        <v>0.98</v>
      </c>
      <c r="AC202" s="0" t="n">
        <v>0.98</v>
      </c>
      <c r="AD202" s="0" t="n">
        <v>0.9875</v>
      </c>
      <c r="AE202" s="0" t="n">
        <v>0.9875</v>
      </c>
      <c r="AF202" s="0" t="n">
        <v>0.98</v>
      </c>
      <c r="AG202" s="0" t="n">
        <v>0.99</v>
      </c>
      <c r="AH202" s="0" t="n">
        <v>0.9824977</v>
      </c>
      <c r="AI202" s="0" t="n">
        <v>0.9824977</v>
      </c>
      <c r="AJ202" s="0" t="n">
        <v>0.98</v>
      </c>
      <c r="AK202" s="0" t="n">
        <v>1</v>
      </c>
      <c r="AL202" s="0" t="n">
        <v>0</v>
      </c>
      <c r="AM202" s="0" t="n">
        <v>0</v>
      </c>
      <c r="BB202" s="187" t="n">
        <v>1</v>
      </c>
      <c r="BC202" s="0" t="n">
        <v>1</v>
      </c>
      <c r="BD202" s="0" t="n">
        <v>1</v>
      </c>
      <c r="BE202" s="0" t="n">
        <v>1</v>
      </c>
      <c r="BF202" s="0" t="n">
        <v>0.9999</v>
      </c>
      <c r="BG202" s="0" t="n">
        <v>1</v>
      </c>
      <c r="BH202" s="0" t="n">
        <v>1</v>
      </c>
      <c r="BI202" s="0" t="n">
        <v>0.99</v>
      </c>
      <c r="BJ202" s="0" t="n">
        <v>0.999</v>
      </c>
      <c r="BK202" s="0" t="n">
        <v>0.998</v>
      </c>
      <c r="BL202" s="0" t="n">
        <v>0.9985</v>
      </c>
      <c r="BM202" s="0" t="n">
        <v>0.9985</v>
      </c>
      <c r="BN202" s="0" t="n">
        <v>0.972</v>
      </c>
      <c r="BO202" s="0" t="n">
        <v>0.9999</v>
      </c>
      <c r="BP202" s="0" t="n">
        <v>0.9999</v>
      </c>
      <c r="BQ202" s="0" t="n">
        <v>1</v>
      </c>
      <c r="BR202" s="0" t="n">
        <v>1.1200076</v>
      </c>
      <c r="BS202" s="0" t="n">
        <v>1.1284</v>
      </c>
      <c r="BT202" s="0" t="n">
        <v>1.0827</v>
      </c>
      <c r="BU202" s="0" t="n">
        <v>1.0245</v>
      </c>
      <c r="BV202" s="0" t="n">
        <v>1</v>
      </c>
      <c r="BW202" s="0" t="n">
        <v>2.553</v>
      </c>
      <c r="BX202" s="0" t="n">
        <v>2.324216333</v>
      </c>
      <c r="BY202" s="0" t="n">
        <v>1.15645</v>
      </c>
      <c r="BZ202" s="0" t="n">
        <v>1.2885</v>
      </c>
      <c r="CA202" s="0" t="n">
        <v>2.001</v>
      </c>
      <c r="CB202" s="0" t="n">
        <v>1.563005</v>
      </c>
      <c r="CC202" s="0" t="n">
        <v>1.563005</v>
      </c>
      <c r="CD202" s="0" t="n">
        <v>1.291305</v>
      </c>
      <c r="CE202" s="0" t="n">
        <v>1.101755</v>
      </c>
      <c r="CF202" s="0" t="n">
        <v>1.464605</v>
      </c>
      <c r="CG202" s="188"/>
      <c r="CH202" s="0" t="n">
        <v>1.10393</v>
      </c>
      <c r="CI202" s="188"/>
      <c r="CJ202" s="188"/>
      <c r="CK202" s="188"/>
      <c r="CL202" s="188"/>
      <c r="CM202" s="188"/>
      <c r="CN202" s="188"/>
      <c r="CO202" s="188"/>
      <c r="CP202" s="0" t="n">
        <v>0.965</v>
      </c>
      <c r="CV202" s="0" t="n">
        <v>0.47</v>
      </c>
      <c r="CW202" s="0" t="n">
        <v>0.935</v>
      </c>
      <c r="CX202" s="0" t="n">
        <v>0.725</v>
      </c>
      <c r="CZ202" s="0" t="n">
        <v>0.8825</v>
      </c>
      <c r="DA202" s="0" t="n">
        <v>0.915</v>
      </c>
      <c r="DB202" s="0" t="n">
        <v>0.88</v>
      </c>
      <c r="DC202" s="0" t="n">
        <v>0.9025</v>
      </c>
      <c r="DD202" s="0" t="n">
        <v>0.915</v>
      </c>
      <c r="DE202" s="0" t="n">
        <v>0.89</v>
      </c>
      <c r="DN202" s="188" t="n">
        <v>0.000285</v>
      </c>
      <c r="DO202" s="188" t="n">
        <v>0.0002</v>
      </c>
      <c r="DP202" s="188" t="n">
        <v>0</v>
      </c>
      <c r="DQ202" s="188" t="n">
        <v>0.0001</v>
      </c>
      <c r="DR202" s="188" t="n">
        <v>0</v>
      </c>
      <c r="DS202" s="188" t="n">
        <v>0.0036</v>
      </c>
      <c r="DT202" s="188" t="n">
        <v>0.00047</v>
      </c>
      <c r="DU202" s="188" t="n">
        <v>0.0007</v>
      </c>
      <c r="DV202" s="188" t="n">
        <v>0</v>
      </c>
      <c r="DW202" s="188" t="n">
        <v>0</v>
      </c>
      <c r="DX202" s="188" t="n">
        <v>0.0005</v>
      </c>
      <c r="DY202" s="188" t="n">
        <v>0.0005</v>
      </c>
      <c r="DZ202" s="188" t="n">
        <v>0.0003</v>
      </c>
      <c r="EA202" s="188" t="n">
        <v>0.000275</v>
      </c>
      <c r="EB202" s="188" t="n">
        <v>0.0004</v>
      </c>
      <c r="ED202" s="188" t="n">
        <v>6.5E-005</v>
      </c>
      <c r="EF202" s="0" t="n">
        <v>1</v>
      </c>
    </row>
    <row r="203" customFormat="false" ht="12.75" hidden="false" customHeight="false" outlineLevel="0" collapsed="false">
      <c r="A203" s="149" t="n">
        <v>42552</v>
      </c>
      <c r="B203" s="0" t="n">
        <v>0.98</v>
      </c>
      <c r="C203" s="0" t="n">
        <v>0</v>
      </c>
      <c r="E203" s="0" t="n">
        <v>0</v>
      </c>
      <c r="F203" s="0" t="n">
        <v>0</v>
      </c>
      <c r="G203" s="0" t="n">
        <v>0</v>
      </c>
      <c r="H203" s="0" t="n">
        <v>0.9875</v>
      </c>
      <c r="I203" s="0" t="n">
        <v>0.9875</v>
      </c>
      <c r="J203" s="0" t="n">
        <v>0.9805</v>
      </c>
      <c r="K203" s="0" t="n">
        <v>0</v>
      </c>
      <c r="L203" s="176" t="n">
        <v>0.9875</v>
      </c>
      <c r="M203" s="176" t="n">
        <v>0.9875</v>
      </c>
      <c r="N203" s="0" t="n">
        <v>0.98</v>
      </c>
      <c r="O203" s="0" t="n">
        <v>0.9875</v>
      </c>
      <c r="P203" s="0" t="n">
        <v>0.98</v>
      </c>
      <c r="Q203" s="177" t="n">
        <v>0.9875</v>
      </c>
      <c r="R203" s="0" t="n">
        <v>0.9875</v>
      </c>
      <c r="S203" s="176" t="n">
        <v>0.9875</v>
      </c>
      <c r="T203" s="0" t="n">
        <v>0.98</v>
      </c>
      <c r="U203" s="0" t="n">
        <v>0.98</v>
      </c>
      <c r="V203" s="0" t="n">
        <v>0.98</v>
      </c>
      <c r="W203" s="0" t="n">
        <v>0.98</v>
      </c>
      <c r="X203" s="0" t="n">
        <v>0.9875</v>
      </c>
      <c r="Y203" s="0" t="n">
        <v>0.9875</v>
      </c>
      <c r="Z203" s="0" t="n">
        <v>0.9875</v>
      </c>
      <c r="AA203" s="0" t="n">
        <v>0.9875</v>
      </c>
      <c r="AB203" s="0" t="n">
        <v>0.98</v>
      </c>
      <c r="AC203" s="0" t="n">
        <v>0.98</v>
      </c>
      <c r="AD203" s="0" t="n">
        <v>0.9875</v>
      </c>
      <c r="AE203" s="0" t="n">
        <v>0.9875</v>
      </c>
      <c r="AF203" s="0" t="n">
        <v>0.98</v>
      </c>
      <c r="AG203" s="0" t="n">
        <v>0.99</v>
      </c>
      <c r="AH203" s="0" t="n">
        <v>0.98255555</v>
      </c>
      <c r="AI203" s="0" t="n">
        <v>0.98255555</v>
      </c>
      <c r="AJ203" s="0" t="n">
        <v>0.98</v>
      </c>
      <c r="AK203" s="0" t="n">
        <v>1</v>
      </c>
      <c r="AL203" s="0" t="n">
        <v>0</v>
      </c>
      <c r="AM203" s="0" t="n">
        <v>0</v>
      </c>
      <c r="BB203" s="187" t="n">
        <v>1</v>
      </c>
      <c r="BC203" s="0" t="n">
        <v>1</v>
      </c>
      <c r="BD203" s="0" t="n">
        <v>1</v>
      </c>
      <c r="BE203" s="0" t="n">
        <v>1</v>
      </c>
      <c r="BF203" s="0" t="n">
        <v>0.9999</v>
      </c>
      <c r="BG203" s="0" t="n">
        <v>1</v>
      </c>
      <c r="BH203" s="0" t="n">
        <v>1</v>
      </c>
      <c r="BI203" s="0" t="n">
        <v>0.99</v>
      </c>
      <c r="BJ203" s="0" t="n">
        <v>0.999</v>
      </c>
      <c r="BK203" s="0" t="n">
        <v>0.998</v>
      </c>
      <c r="BL203" s="0" t="n">
        <v>0.9985</v>
      </c>
      <c r="BM203" s="0" t="n">
        <v>0.9985</v>
      </c>
      <c r="BN203" s="0" t="n">
        <v>0.972</v>
      </c>
      <c r="BO203" s="0" t="n">
        <v>0.9999</v>
      </c>
      <c r="BP203" s="0" t="n">
        <v>0.9999</v>
      </c>
      <c r="BQ203" s="0" t="n">
        <v>1</v>
      </c>
      <c r="BR203" s="0" t="n">
        <v>1.1202926</v>
      </c>
      <c r="BS203" s="0" t="n">
        <v>1.1286</v>
      </c>
      <c r="BT203" s="0" t="n">
        <v>1.0827</v>
      </c>
      <c r="BU203" s="0" t="n">
        <v>1.0246</v>
      </c>
      <c r="BV203" s="0" t="n">
        <v>1</v>
      </c>
      <c r="BW203" s="0" t="n">
        <v>2.5566</v>
      </c>
      <c r="BX203" s="0" t="n">
        <v>2.324686333</v>
      </c>
      <c r="BY203" s="0" t="n">
        <v>1.15715</v>
      </c>
      <c r="BZ203" s="0" t="n">
        <v>1.2885</v>
      </c>
      <c r="CA203" s="0" t="n">
        <v>2.001</v>
      </c>
      <c r="CB203" s="0" t="n">
        <v>1.563505</v>
      </c>
      <c r="CC203" s="0" t="n">
        <v>1.563505</v>
      </c>
      <c r="CD203" s="0" t="n">
        <v>1.291605</v>
      </c>
      <c r="CE203" s="0" t="n">
        <v>1.10203</v>
      </c>
      <c r="CF203" s="0" t="n">
        <v>1.465005</v>
      </c>
      <c r="CG203" s="188"/>
      <c r="CH203" s="0" t="n">
        <v>1.103995</v>
      </c>
      <c r="CI203" s="188"/>
      <c r="CJ203" s="188"/>
      <c r="CK203" s="188"/>
      <c r="CL203" s="188"/>
      <c r="CM203" s="188"/>
      <c r="CN203" s="188"/>
      <c r="CO203" s="188"/>
      <c r="CP203" s="0" t="n">
        <v>0.975</v>
      </c>
      <c r="CV203" s="0" t="n">
        <v>0.47</v>
      </c>
      <c r="CW203" s="0" t="n">
        <v>0.935</v>
      </c>
      <c r="CX203" s="0" t="n">
        <v>0.745</v>
      </c>
      <c r="CZ203" s="0" t="n">
        <v>0.8775</v>
      </c>
      <c r="DA203" s="0" t="n">
        <v>0.91</v>
      </c>
      <c r="DB203" s="0" t="n">
        <v>0.89</v>
      </c>
      <c r="DC203" s="0" t="n">
        <v>0.9075</v>
      </c>
      <c r="DD203" s="0" t="n">
        <v>0.915</v>
      </c>
      <c r="DE203" s="0" t="n">
        <v>0.89</v>
      </c>
      <c r="DN203" s="188" t="n">
        <v>0.000285</v>
      </c>
      <c r="DO203" s="188" t="n">
        <v>0.0002</v>
      </c>
      <c r="DP203" s="188" t="n">
        <v>0</v>
      </c>
      <c r="DQ203" s="188" t="n">
        <v>0.0001</v>
      </c>
      <c r="DR203" s="188" t="n">
        <v>0</v>
      </c>
      <c r="DS203" s="188" t="n">
        <v>0.0036</v>
      </c>
      <c r="DT203" s="188" t="n">
        <v>0.00047</v>
      </c>
      <c r="DU203" s="188" t="n">
        <v>0.0007</v>
      </c>
      <c r="DV203" s="188" t="n">
        <v>0</v>
      </c>
      <c r="DW203" s="188" t="n">
        <v>0</v>
      </c>
      <c r="DX203" s="188" t="n">
        <v>0.0005</v>
      </c>
      <c r="DY203" s="188" t="n">
        <v>0.0005</v>
      </c>
      <c r="DZ203" s="188" t="n">
        <v>0.0003</v>
      </c>
      <c r="EA203" s="188" t="n">
        <v>0.000275</v>
      </c>
      <c r="EB203" s="188" t="n">
        <v>0.0004</v>
      </c>
      <c r="ED203" s="188" t="n">
        <v>6.5E-005</v>
      </c>
      <c r="EF203" s="0" t="n">
        <v>1</v>
      </c>
    </row>
    <row r="204" customFormat="false" ht="12.75" hidden="false" customHeight="false" outlineLevel="0" collapsed="false">
      <c r="A204" s="149" t="n">
        <v>42583</v>
      </c>
      <c r="B204" s="0" t="n">
        <v>0.98</v>
      </c>
      <c r="C204" s="0" t="n">
        <v>0</v>
      </c>
      <c r="E204" s="0" t="n">
        <v>0</v>
      </c>
      <c r="F204" s="0" t="n">
        <v>0</v>
      </c>
      <c r="G204" s="0" t="n">
        <v>0</v>
      </c>
      <c r="H204" s="0" t="n">
        <v>0.9875</v>
      </c>
      <c r="I204" s="0" t="n">
        <v>0.9875</v>
      </c>
      <c r="J204" s="0" t="n">
        <v>0.9805</v>
      </c>
      <c r="K204" s="0" t="n">
        <v>0</v>
      </c>
      <c r="L204" s="176" t="n">
        <v>0.9875</v>
      </c>
      <c r="M204" s="176" t="n">
        <v>0.9875</v>
      </c>
      <c r="N204" s="0" t="n">
        <v>0.98</v>
      </c>
      <c r="O204" s="0" t="n">
        <v>0.9875</v>
      </c>
      <c r="P204" s="0" t="n">
        <v>0.98</v>
      </c>
      <c r="Q204" s="177" t="n">
        <v>0.9875</v>
      </c>
      <c r="R204" s="0" t="n">
        <v>0.9875</v>
      </c>
      <c r="S204" s="176" t="n">
        <v>0.9875</v>
      </c>
      <c r="T204" s="0" t="n">
        <v>0.98</v>
      </c>
      <c r="U204" s="0" t="n">
        <v>0.98</v>
      </c>
      <c r="V204" s="0" t="n">
        <v>0.98</v>
      </c>
      <c r="W204" s="0" t="n">
        <v>0.98</v>
      </c>
      <c r="X204" s="0" t="n">
        <v>0.9875</v>
      </c>
      <c r="Y204" s="0" t="n">
        <v>0.9875</v>
      </c>
      <c r="Z204" s="0" t="n">
        <v>0.9875</v>
      </c>
      <c r="AA204" s="0" t="n">
        <v>0.9875</v>
      </c>
      <c r="AB204" s="0" t="n">
        <v>0.98</v>
      </c>
      <c r="AC204" s="0" t="n">
        <v>0.98</v>
      </c>
      <c r="AD204" s="0" t="n">
        <v>0.9875</v>
      </c>
      <c r="AE204" s="0" t="n">
        <v>0.9875</v>
      </c>
      <c r="AF204" s="0" t="n">
        <v>0.98</v>
      </c>
      <c r="AG204" s="0" t="n">
        <v>0.99</v>
      </c>
      <c r="AH204" s="0" t="n">
        <v>0.9826134</v>
      </c>
      <c r="AI204" s="0" t="n">
        <v>0.9826134</v>
      </c>
      <c r="AJ204" s="0" t="n">
        <v>0.98</v>
      </c>
      <c r="AK204" s="0" t="n">
        <v>1</v>
      </c>
      <c r="AL204" s="0" t="n">
        <v>0</v>
      </c>
      <c r="AM204" s="0" t="n">
        <v>0</v>
      </c>
      <c r="BB204" s="187" t="n">
        <v>1</v>
      </c>
      <c r="BC204" s="0" t="n">
        <v>1</v>
      </c>
      <c r="BD204" s="0" t="n">
        <v>1</v>
      </c>
      <c r="BE204" s="0" t="n">
        <v>1</v>
      </c>
      <c r="BF204" s="0" t="n">
        <v>0.9999</v>
      </c>
      <c r="BG204" s="0" t="n">
        <v>1</v>
      </c>
      <c r="BH204" s="0" t="n">
        <v>1</v>
      </c>
      <c r="BI204" s="0" t="n">
        <v>0.99</v>
      </c>
      <c r="BJ204" s="0" t="n">
        <v>0.999</v>
      </c>
      <c r="BK204" s="0" t="n">
        <v>0.998</v>
      </c>
      <c r="BL204" s="0" t="n">
        <v>0.9985</v>
      </c>
      <c r="BM204" s="0" t="n">
        <v>0.9985</v>
      </c>
      <c r="BN204" s="0" t="n">
        <v>0.972</v>
      </c>
      <c r="BO204" s="0" t="n">
        <v>0.9999</v>
      </c>
      <c r="BP204" s="0" t="n">
        <v>0.9999</v>
      </c>
      <c r="BQ204" s="0" t="n">
        <v>1</v>
      </c>
      <c r="BR204" s="0" t="n">
        <v>1.1205776</v>
      </c>
      <c r="BS204" s="0" t="n">
        <v>1.1288</v>
      </c>
      <c r="BT204" s="0" t="n">
        <v>1.0827</v>
      </c>
      <c r="BU204" s="0" t="n">
        <v>1.0247</v>
      </c>
      <c r="BV204" s="0" t="n">
        <v>1</v>
      </c>
      <c r="BW204" s="0" t="n">
        <v>2.5602</v>
      </c>
      <c r="BX204" s="0" t="n">
        <v>2.325156333</v>
      </c>
      <c r="BY204" s="0" t="n">
        <v>1.15785</v>
      </c>
      <c r="BZ204" s="0" t="n">
        <v>1.2885</v>
      </c>
      <c r="CA204" s="0" t="n">
        <v>2.001</v>
      </c>
      <c r="CB204" s="0" t="n">
        <v>1.564005</v>
      </c>
      <c r="CC204" s="0" t="n">
        <v>1.564005</v>
      </c>
      <c r="CD204" s="0" t="n">
        <v>1.291905</v>
      </c>
      <c r="CE204" s="0" t="n">
        <v>1.102305</v>
      </c>
      <c r="CF204" s="0" t="n">
        <v>1.465405</v>
      </c>
      <c r="CG204" s="188"/>
      <c r="CH204" s="0" t="n">
        <v>1.10406</v>
      </c>
      <c r="CI204" s="188"/>
      <c r="CJ204" s="188"/>
      <c r="CK204" s="188"/>
      <c r="CL204" s="188"/>
      <c r="CM204" s="188"/>
      <c r="CN204" s="188"/>
      <c r="CO204" s="188"/>
      <c r="CP204" s="0" t="n">
        <v>0.975</v>
      </c>
      <c r="CV204" s="0" t="n">
        <v>0.52</v>
      </c>
      <c r="CW204" s="0" t="n">
        <v>0.925</v>
      </c>
      <c r="CX204" s="0" t="n">
        <v>0.835</v>
      </c>
      <c r="CZ204" s="0" t="n">
        <v>0.89</v>
      </c>
      <c r="DA204" s="0" t="n">
        <v>0.9225</v>
      </c>
      <c r="DB204" s="0" t="n">
        <v>0.915</v>
      </c>
      <c r="DC204" s="0" t="n">
        <v>0.9275</v>
      </c>
      <c r="DD204" s="0" t="n">
        <v>0.915</v>
      </c>
      <c r="DE204" s="0" t="n">
        <v>0.89</v>
      </c>
      <c r="DN204" s="188" t="n">
        <v>0.000285</v>
      </c>
      <c r="DO204" s="188" t="n">
        <v>0.0002</v>
      </c>
      <c r="DP204" s="188" t="n">
        <v>0</v>
      </c>
      <c r="DQ204" s="188" t="n">
        <v>0.0001</v>
      </c>
      <c r="DR204" s="188" t="n">
        <v>0</v>
      </c>
      <c r="DS204" s="188" t="n">
        <v>0.0036</v>
      </c>
      <c r="DT204" s="188" t="n">
        <v>0.00047</v>
      </c>
      <c r="DU204" s="188" t="n">
        <v>0.0007</v>
      </c>
      <c r="DV204" s="188" t="n">
        <v>0</v>
      </c>
      <c r="DW204" s="188" t="n">
        <v>0</v>
      </c>
      <c r="DX204" s="188" t="n">
        <v>0.0005</v>
      </c>
      <c r="DY204" s="188" t="n">
        <v>0.0005</v>
      </c>
      <c r="DZ204" s="188" t="n">
        <v>0.0003</v>
      </c>
      <c r="EA204" s="188" t="n">
        <v>0.000275</v>
      </c>
      <c r="EB204" s="188" t="n">
        <v>0.0004</v>
      </c>
      <c r="ED204" s="188" t="n">
        <v>6.5E-005</v>
      </c>
      <c r="EF204" s="0" t="n">
        <v>1</v>
      </c>
    </row>
    <row r="205" customFormat="false" ht="12.75" hidden="false" customHeight="false" outlineLevel="0" collapsed="false">
      <c r="A205" s="149" t="n">
        <v>42614</v>
      </c>
      <c r="B205" s="0" t="n">
        <v>0.98</v>
      </c>
      <c r="C205" s="0" t="n">
        <v>0</v>
      </c>
      <c r="E205" s="0" t="n">
        <v>0</v>
      </c>
      <c r="F205" s="0" t="n">
        <v>0</v>
      </c>
      <c r="G205" s="0" t="n">
        <v>0</v>
      </c>
      <c r="H205" s="0" t="n">
        <v>0.9875</v>
      </c>
      <c r="I205" s="0" t="n">
        <v>0.9875</v>
      </c>
      <c r="J205" s="0" t="n">
        <v>0.9805</v>
      </c>
      <c r="K205" s="0" t="n">
        <v>0</v>
      </c>
      <c r="L205" s="176" t="n">
        <v>0.9875</v>
      </c>
      <c r="M205" s="176" t="n">
        <v>0.9875</v>
      </c>
      <c r="N205" s="0" t="n">
        <v>0.98</v>
      </c>
      <c r="O205" s="0" t="n">
        <v>0.9875</v>
      </c>
      <c r="P205" s="0" t="n">
        <v>0.98</v>
      </c>
      <c r="Q205" s="177" t="n">
        <v>0.9875</v>
      </c>
      <c r="R205" s="0" t="n">
        <v>0.9875</v>
      </c>
      <c r="S205" s="176" t="n">
        <v>0.9875</v>
      </c>
      <c r="T205" s="0" t="n">
        <v>0.98</v>
      </c>
      <c r="U205" s="0" t="n">
        <v>0.98</v>
      </c>
      <c r="V205" s="0" t="n">
        <v>0.98</v>
      </c>
      <c r="W205" s="0" t="n">
        <v>0.98</v>
      </c>
      <c r="X205" s="0" t="n">
        <v>0.9875</v>
      </c>
      <c r="Y205" s="0" t="n">
        <v>0.9875</v>
      </c>
      <c r="Z205" s="0" t="n">
        <v>0.9875</v>
      </c>
      <c r="AA205" s="0" t="n">
        <v>0.9875</v>
      </c>
      <c r="AB205" s="0" t="n">
        <v>0.98</v>
      </c>
      <c r="AC205" s="0" t="n">
        <v>0.98</v>
      </c>
      <c r="AD205" s="0" t="n">
        <v>0.9875</v>
      </c>
      <c r="AE205" s="0" t="n">
        <v>0.9875</v>
      </c>
      <c r="AF205" s="0" t="n">
        <v>0.98</v>
      </c>
      <c r="AG205" s="0" t="n">
        <v>0.99</v>
      </c>
      <c r="AH205" s="0" t="n">
        <v>0.98267125</v>
      </c>
      <c r="AI205" s="0" t="n">
        <v>0.98267125</v>
      </c>
      <c r="AJ205" s="0" t="n">
        <v>0.98</v>
      </c>
      <c r="AK205" s="0" t="n">
        <v>1</v>
      </c>
      <c r="AL205" s="0" t="n">
        <v>0</v>
      </c>
      <c r="AM205" s="0" t="n">
        <v>0</v>
      </c>
      <c r="BB205" s="187" t="n">
        <v>1</v>
      </c>
      <c r="BC205" s="0" t="n">
        <v>1</v>
      </c>
      <c r="BD205" s="0" t="n">
        <v>1</v>
      </c>
      <c r="BE205" s="0" t="n">
        <v>1</v>
      </c>
      <c r="BF205" s="0" t="n">
        <v>0.9999</v>
      </c>
      <c r="BG205" s="0" t="n">
        <v>1</v>
      </c>
      <c r="BH205" s="0" t="n">
        <v>1</v>
      </c>
      <c r="BI205" s="0" t="n">
        <v>0.99</v>
      </c>
      <c r="BJ205" s="0" t="n">
        <v>0.999</v>
      </c>
      <c r="BK205" s="0" t="n">
        <v>0.998</v>
      </c>
      <c r="BL205" s="0" t="n">
        <v>0.9985</v>
      </c>
      <c r="BM205" s="0" t="n">
        <v>0.9985</v>
      </c>
      <c r="BN205" s="0" t="n">
        <v>0.972</v>
      </c>
      <c r="BO205" s="0" t="n">
        <v>0.9999</v>
      </c>
      <c r="BP205" s="0" t="n">
        <v>0.9999</v>
      </c>
      <c r="BQ205" s="0" t="n">
        <v>1</v>
      </c>
      <c r="BR205" s="0" t="n">
        <v>1.1208626</v>
      </c>
      <c r="BS205" s="0" t="n">
        <v>1.129</v>
      </c>
      <c r="BT205" s="0" t="n">
        <v>1.0827</v>
      </c>
      <c r="BU205" s="0" t="n">
        <v>1.0248</v>
      </c>
      <c r="BV205" s="0" t="n">
        <v>1</v>
      </c>
      <c r="BW205" s="0" t="n">
        <v>2.5638</v>
      </c>
      <c r="BX205" s="0" t="n">
        <v>2.325626333</v>
      </c>
      <c r="BY205" s="0" t="n">
        <v>1.15855</v>
      </c>
      <c r="BZ205" s="0" t="n">
        <v>1.2885</v>
      </c>
      <c r="CA205" s="0" t="n">
        <v>2.001</v>
      </c>
      <c r="CB205" s="0" t="n">
        <v>1.564505</v>
      </c>
      <c r="CC205" s="0" t="n">
        <v>1.564505</v>
      </c>
      <c r="CD205" s="0" t="n">
        <v>1.292205</v>
      </c>
      <c r="CE205" s="0" t="n">
        <v>1.10258</v>
      </c>
      <c r="CF205" s="0" t="n">
        <v>1.465805</v>
      </c>
      <c r="CG205" s="188"/>
      <c r="CH205" s="0" t="n">
        <v>1.104125</v>
      </c>
      <c r="CI205" s="188"/>
      <c r="CJ205" s="188"/>
      <c r="CK205" s="188"/>
      <c r="CL205" s="188"/>
      <c r="CM205" s="188"/>
      <c r="CN205" s="188"/>
      <c r="CO205" s="188"/>
      <c r="CP205" s="0" t="n">
        <v>0.975</v>
      </c>
      <c r="CV205" s="0" t="n">
        <v>0.55</v>
      </c>
      <c r="CW205" s="0" t="n">
        <v>0.925</v>
      </c>
      <c r="CX205" s="0" t="n">
        <v>0.695</v>
      </c>
      <c r="CZ205" s="0" t="n">
        <v>0.945</v>
      </c>
      <c r="DA205" s="0" t="n">
        <v>0.9775</v>
      </c>
      <c r="DB205" s="0" t="n">
        <v>0.945</v>
      </c>
      <c r="DC205" s="0" t="n">
        <v>0.92</v>
      </c>
      <c r="DD205" s="0" t="n">
        <v>0.915</v>
      </c>
      <c r="DE205" s="0" t="n">
        <v>0.89</v>
      </c>
      <c r="DN205" s="188" t="n">
        <v>0.000285</v>
      </c>
      <c r="DO205" s="188" t="n">
        <v>0.0002</v>
      </c>
      <c r="DP205" s="188" t="n">
        <v>0</v>
      </c>
      <c r="DQ205" s="188" t="n">
        <v>0.0001</v>
      </c>
      <c r="DR205" s="188" t="n">
        <v>0</v>
      </c>
      <c r="DS205" s="188" t="n">
        <v>0.0036</v>
      </c>
      <c r="DT205" s="188" t="n">
        <v>0.00047</v>
      </c>
      <c r="DU205" s="188" t="n">
        <v>0.0007</v>
      </c>
      <c r="DV205" s="188" t="n">
        <v>0</v>
      </c>
      <c r="DW205" s="188" t="n">
        <v>0</v>
      </c>
      <c r="DX205" s="188" t="n">
        <v>0.0005</v>
      </c>
      <c r="DY205" s="188" t="n">
        <v>0.0005</v>
      </c>
      <c r="DZ205" s="188" t="n">
        <v>0.0003</v>
      </c>
      <c r="EA205" s="188" t="n">
        <v>0.000275</v>
      </c>
      <c r="EB205" s="188" t="n">
        <v>0.0004</v>
      </c>
      <c r="ED205" s="188" t="n">
        <v>6.5E-005</v>
      </c>
      <c r="EF205" s="0" t="n">
        <v>1</v>
      </c>
    </row>
    <row r="206" customFormat="false" ht="12.75" hidden="false" customHeight="false" outlineLevel="0" collapsed="false">
      <c r="A206" s="149" t="n">
        <v>42644</v>
      </c>
      <c r="B206" s="0" t="n">
        <v>0.98</v>
      </c>
      <c r="C206" s="0" t="n">
        <v>0</v>
      </c>
      <c r="E206" s="0" t="n">
        <v>0</v>
      </c>
      <c r="F206" s="0" t="n">
        <v>0</v>
      </c>
      <c r="G206" s="0" t="n">
        <v>0</v>
      </c>
      <c r="H206" s="0" t="n">
        <v>0.9875</v>
      </c>
      <c r="I206" s="0" t="n">
        <v>0.9875</v>
      </c>
      <c r="J206" s="0" t="n">
        <v>0.9805</v>
      </c>
      <c r="K206" s="0" t="n">
        <v>0</v>
      </c>
      <c r="L206" s="176" t="n">
        <v>0.9875</v>
      </c>
      <c r="M206" s="176" t="n">
        <v>0.9875</v>
      </c>
      <c r="N206" s="0" t="n">
        <v>0.98</v>
      </c>
      <c r="O206" s="0" t="n">
        <v>0.9875</v>
      </c>
      <c r="P206" s="0" t="n">
        <v>0.98</v>
      </c>
      <c r="Q206" s="177" t="n">
        <v>0.9875</v>
      </c>
      <c r="R206" s="0" t="n">
        <v>0.9875</v>
      </c>
      <c r="S206" s="176" t="n">
        <v>0.9875</v>
      </c>
      <c r="T206" s="0" t="n">
        <v>0.98</v>
      </c>
      <c r="U206" s="0" t="n">
        <v>0.98</v>
      </c>
      <c r="V206" s="0" t="n">
        <v>0.98</v>
      </c>
      <c r="W206" s="0" t="n">
        <v>0.98</v>
      </c>
      <c r="X206" s="0" t="n">
        <v>0.9875</v>
      </c>
      <c r="Y206" s="0" t="n">
        <v>0.9875</v>
      </c>
      <c r="Z206" s="0" t="n">
        <v>0.9875</v>
      </c>
      <c r="AA206" s="0" t="n">
        <v>0.9875</v>
      </c>
      <c r="AB206" s="0" t="n">
        <v>0.98</v>
      </c>
      <c r="AC206" s="0" t="n">
        <v>0.98</v>
      </c>
      <c r="AD206" s="0" t="n">
        <v>0.9875</v>
      </c>
      <c r="AE206" s="0" t="n">
        <v>0.9875</v>
      </c>
      <c r="AF206" s="0" t="n">
        <v>0.98</v>
      </c>
      <c r="AG206" s="0" t="n">
        <v>0.99</v>
      </c>
      <c r="AH206" s="0" t="n">
        <v>0.9827291</v>
      </c>
      <c r="AI206" s="0" t="n">
        <v>0.9827291</v>
      </c>
      <c r="AJ206" s="0" t="n">
        <v>0.98</v>
      </c>
      <c r="AK206" s="0" t="n">
        <v>1</v>
      </c>
      <c r="AL206" s="0" t="n">
        <v>0</v>
      </c>
      <c r="AM206" s="0" t="n">
        <v>0</v>
      </c>
      <c r="BB206" s="187" t="n">
        <v>1</v>
      </c>
      <c r="BC206" s="0" t="n">
        <v>1</v>
      </c>
      <c r="BD206" s="0" t="n">
        <v>1</v>
      </c>
      <c r="BE206" s="0" t="n">
        <v>1</v>
      </c>
      <c r="BF206" s="0" t="n">
        <v>0.9999</v>
      </c>
      <c r="BG206" s="0" t="n">
        <v>1</v>
      </c>
      <c r="BH206" s="0" t="n">
        <v>1</v>
      </c>
      <c r="BI206" s="0" t="n">
        <v>0.99</v>
      </c>
      <c r="BJ206" s="0" t="n">
        <v>0.999</v>
      </c>
      <c r="BK206" s="0" t="n">
        <v>0.998</v>
      </c>
      <c r="BL206" s="0" t="n">
        <v>0.9985</v>
      </c>
      <c r="BM206" s="0" t="n">
        <v>0.9985</v>
      </c>
      <c r="BN206" s="0" t="n">
        <v>0.972</v>
      </c>
      <c r="BO206" s="0" t="n">
        <v>0.9999</v>
      </c>
      <c r="BP206" s="0" t="n">
        <v>0.9999</v>
      </c>
      <c r="BQ206" s="0" t="n">
        <v>1</v>
      </c>
      <c r="BR206" s="0" t="n">
        <v>1.1211476</v>
      </c>
      <c r="BS206" s="0" t="n">
        <v>1.1292</v>
      </c>
      <c r="BT206" s="0" t="n">
        <v>1.0827</v>
      </c>
      <c r="BU206" s="0" t="n">
        <v>1.0249</v>
      </c>
      <c r="BV206" s="0" t="n">
        <v>1</v>
      </c>
      <c r="BW206" s="0" t="n">
        <v>2.5674</v>
      </c>
      <c r="BX206" s="0" t="n">
        <v>2.326096333</v>
      </c>
      <c r="BY206" s="0" t="n">
        <v>1.15925</v>
      </c>
      <c r="BZ206" s="0" t="n">
        <v>1.2885</v>
      </c>
      <c r="CA206" s="0" t="n">
        <v>2.001</v>
      </c>
      <c r="CB206" s="0" t="n">
        <v>1.565005</v>
      </c>
      <c r="CC206" s="0" t="n">
        <v>1.565005</v>
      </c>
      <c r="CD206" s="0" t="n">
        <v>1.292505</v>
      </c>
      <c r="CE206" s="0" t="n">
        <v>1.102855</v>
      </c>
      <c r="CF206" s="0" t="n">
        <v>1.466205</v>
      </c>
      <c r="CG206" s="188"/>
      <c r="CH206" s="0" t="n">
        <v>1.10419</v>
      </c>
      <c r="CI206" s="188"/>
      <c r="CJ206" s="188"/>
      <c r="CK206" s="188"/>
      <c r="CL206" s="188"/>
      <c r="CM206" s="188"/>
      <c r="CN206" s="188"/>
      <c r="CO206" s="188"/>
      <c r="CP206" s="0" t="n">
        <v>0.955</v>
      </c>
      <c r="CV206" s="0" t="n">
        <v>0.45</v>
      </c>
      <c r="CW206" s="0" t="n">
        <v>0.925</v>
      </c>
      <c r="CX206" s="0" t="n">
        <v>0.685</v>
      </c>
      <c r="CZ206" s="0" t="n">
        <v>0.805</v>
      </c>
      <c r="DA206" s="0" t="n">
        <v>0.8375</v>
      </c>
      <c r="DB206" s="0" t="n">
        <v>0.875</v>
      </c>
      <c r="DC206" s="0" t="n">
        <v>0.9025</v>
      </c>
      <c r="DD206" s="0" t="n">
        <v>0.82</v>
      </c>
      <c r="DE206" s="0" t="n">
        <v>0.89</v>
      </c>
      <c r="DN206" s="188" t="n">
        <v>0.000285</v>
      </c>
      <c r="DO206" s="188" t="n">
        <v>0.0002</v>
      </c>
      <c r="DP206" s="188" t="n">
        <v>0</v>
      </c>
      <c r="DQ206" s="188" t="n">
        <v>0.0001</v>
      </c>
      <c r="DR206" s="188" t="n">
        <v>0</v>
      </c>
      <c r="DS206" s="188" t="n">
        <v>0.0036</v>
      </c>
      <c r="DT206" s="188" t="n">
        <v>0.00047</v>
      </c>
      <c r="DU206" s="188" t="n">
        <v>0.0007</v>
      </c>
      <c r="DV206" s="188" t="n">
        <v>0</v>
      </c>
      <c r="DW206" s="188" t="n">
        <v>0</v>
      </c>
      <c r="DX206" s="188" t="n">
        <v>0.0005</v>
      </c>
      <c r="DY206" s="188" t="n">
        <v>0.0005</v>
      </c>
      <c r="DZ206" s="188" t="n">
        <v>0.0003</v>
      </c>
      <c r="EA206" s="188" t="n">
        <v>0.000275</v>
      </c>
      <c r="EB206" s="188" t="n">
        <v>0.0004</v>
      </c>
      <c r="ED206" s="188" t="n">
        <v>6.5E-005</v>
      </c>
      <c r="EF206" s="0" t="n">
        <v>1</v>
      </c>
    </row>
    <row r="207" customFormat="false" ht="12.75" hidden="false" customHeight="false" outlineLevel="0" collapsed="false">
      <c r="A207" s="149" t="n">
        <v>42675</v>
      </c>
      <c r="B207" s="0" t="n">
        <v>0.98</v>
      </c>
      <c r="C207" s="0" t="n">
        <v>0</v>
      </c>
      <c r="E207" s="0" t="n">
        <v>0</v>
      </c>
      <c r="F207" s="0" t="n">
        <v>0</v>
      </c>
      <c r="G207" s="0" t="n">
        <v>0</v>
      </c>
      <c r="H207" s="0" t="n">
        <v>0.9875</v>
      </c>
      <c r="I207" s="0" t="n">
        <v>0.9875</v>
      </c>
      <c r="J207" s="0" t="n">
        <v>0.9805</v>
      </c>
      <c r="K207" s="0" t="n">
        <v>0</v>
      </c>
      <c r="L207" s="176" t="n">
        <v>0.9875</v>
      </c>
      <c r="M207" s="176" t="n">
        <v>0.9875</v>
      </c>
      <c r="N207" s="0" t="n">
        <v>0.98</v>
      </c>
      <c r="O207" s="0" t="n">
        <v>0.9875</v>
      </c>
      <c r="P207" s="0" t="n">
        <v>0.98</v>
      </c>
      <c r="Q207" s="177" t="n">
        <v>0.9875</v>
      </c>
      <c r="R207" s="0" t="n">
        <v>0.9875</v>
      </c>
      <c r="S207" s="176" t="n">
        <v>0.9875</v>
      </c>
      <c r="T207" s="0" t="n">
        <v>0.98</v>
      </c>
      <c r="U207" s="0" t="n">
        <v>0.98</v>
      </c>
      <c r="V207" s="0" t="n">
        <v>0.98</v>
      </c>
      <c r="W207" s="0" t="n">
        <v>0.98</v>
      </c>
      <c r="X207" s="0" t="n">
        <v>0.9875</v>
      </c>
      <c r="Y207" s="0" t="n">
        <v>0.9875</v>
      </c>
      <c r="Z207" s="0" t="n">
        <v>0.9875</v>
      </c>
      <c r="AA207" s="0" t="n">
        <v>0.9875</v>
      </c>
      <c r="AB207" s="0" t="n">
        <v>0.98</v>
      </c>
      <c r="AC207" s="0" t="n">
        <v>0.98</v>
      </c>
      <c r="AD207" s="0" t="n">
        <v>0.9875</v>
      </c>
      <c r="AE207" s="0" t="n">
        <v>0.9875</v>
      </c>
      <c r="AF207" s="0" t="n">
        <v>0.98</v>
      </c>
      <c r="AG207" s="0" t="n">
        <v>0.99</v>
      </c>
      <c r="AH207" s="0" t="n">
        <v>0.98278695</v>
      </c>
      <c r="AI207" s="0" t="n">
        <v>0.98278695</v>
      </c>
      <c r="AJ207" s="0" t="n">
        <v>0.98</v>
      </c>
      <c r="AK207" s="0" t="n">
        <v>1</v>
      </c>
      <c r="AL207" s="0" t="n">
        <v>0</v>
      </c>
      <c r="AM207" s="0" t="n">
        <v>0</v>
      </c>
      <c r="BB207" s="187" t="n">
        <v>1</v>
      </c>
      <c r="BC207" s="0" t="n">
        <v>1</v>
      </c>
      <c r="BD207" s="0" t="n">
        <v>1</v>
      </c>
      <c r="BE207" s="0" t="n">
        <v>1</v>
      </c>
      <c r="BF207" s="0" t="n">
        <v>0.9999</v>
      </c>
      <c r="BG207" s="0" t="n">
        <v>1</v>
      </c>
      <c r="BH207" s="0" t="n">
        <v>1</v>
      </c>
      <c r="BI207" s="0" t="n">
        <v>0.99</v>
      </c>
      <c r="BJ207" s="0" t="n">
        <v>0.999</v>
      </c>
      <c r="BK207" s="0" t="n">
        <v>0.998</v>
      </c>
      <c r="BL207" s="0" t="n">
        <v>0.9985</v>
      </c>
      <c r="BM207" s="0" t="n">
        <v>0.9985</v>
      </c>
      <c r="BN207" s="0" t="n">
        <v>0.972</v>
      </c>
      <c r="BO207" s="0" t="n">
        <v>0.9999</v>
      </c>
      <c r="BP207" s="0" t="n">
        <v>0.9999</v>
      </c>
      <c r="BQ207" s="0" t="n">
        <v>1</v>
      </c>
      <c r="BR207" s="0" t="n">
        <v>1.1214326</v>
      </c>
      <c r="BS207" s="0" t="n">
        <v>1.1294</v>
      </c>
      <c r="BT207" s="0" t="n">
        <v>1.0827</v>
      </c>
      <c r="BU207" s="0" t="n">
        <v>1.025</v>
      </c>
      <c r="BV207" s="0" t="n">
        <v>1</v>
      </c>
      <c r="BW207" s="0" t="n">
        <v>2.571</v>
      </c>
      <c r="BX207" s="0" t="n">
        <v>2.326566333</v>
      </c>
      <c r="BY207" s="0" t="n">
        <v>1.15995</v>
      </c>
      <c r="BZ207" s="0" t="n">
        <v>1.2885</v>
      </c>
      <c r="CA207" s="0" t="n">
        <v>2.001</v>
      </c>
      <c r="CB207" s="0" t="n">
        <v>1.565505</v>
      </c>
      <c r="CC207" s="0" t="n">
        <v>1.565505</v>
      </c>
      <c r="CD207" s="0" t="n">
        <v>1.292805</v>
      </c>
      <c r="CE207" s="0" t="n">
        <v>1.10313</v>
      </c>
      <c r="CF207" s="0" t="n">
        <v>1.466605</v>
      </c>
      <c r="CG207" s="188"/>
      <c r="CH207" s="0" t="n">
        <v>1.104255</v>
      </c>
      <c r="CI207" s="188"/>
      <c r="CJ207" s="188"/>
      <c r="CK207" s="188"/>
      <c r="CL207" s="188"/>
      <c r="CM207" s="188"/>
      <c r="CN207" s="188"/>
      <c r="CO207" s="188"/>
      <c r="CP207" s="0" t="n">
        <v>0.955</v>
      </c>
      <c r="CV207" s="0" t="n">
        <v>0.46</v>
      </c>
      <c r="CW207" s="0" t="n">
        <v>0.905</v>
      </c>
      <c r="CX207" s="0" t="n">
        <v>0.645</v>
      </c>
      <c r="CZ207" s="0" t="n">
        <v>0.795</v>
      </c>
      <c r="DA207" s="0" t="n">
        <v>0.8275</v>
      </c>
      <c r="DB207" s="0" t="n">
        <v>0.85</v>
      </c>
      <c r="DC207" s="0" t="n">
        <v>0.9025</v>
      </c>
      <c r="DD207" s="0" t="n">
        <v>0.82</v>
      </c>
      <c r="DE207" s="0" t="n">
        <v>0.89</v>
      </c>
      <c r="DN207" s="188" t="n">
        <v>0.000285</v>
      </c>
      <c r="DO207" s="188" t="n">
        <v>0.0002</v>
      </c>
      <c r="DP207" s="188" t="n">
        <v>0</v>
      </c>
      <c r="DQ207" s="188" t="n">
        <v>0.0001</v>
      </c>
      <c r="DR207" s="188" t="n">
        <v>0</v>
      </c>
      <c r="DS207" s="188" t="n">
        <v>0.0036</v>
      </c>
      <c r="DT207" s="188" t="n">
        <v>0.00047</v>
      </c>
      <c r="DU207" s="188" t="n">
        <v>0.0007</v>
      </c>
      <c r="DV207" s="188" t="n">
        <v>0</v>
      </c>
      <c r="DW207" s="188" t="n">
        <v>0</v>
      </c>
      <c r="DX207" s="188" t="n">
        <v>0.0005</v>
      </c>
      <c r="DY207" s="188" t="n">
        <v>0.0005</v>
      </c>
      <c r="DZ207" s="188" t="n">
        <v>0.0003</v>
      </c>
      <c r="EA207" s="188" t="n">
        <v>0.000275</v>
      </c>
      <c r="EB207" s="188" t="n">
        <v>0.0004</v>
      </c>
      <c r="ED207" s="188" t="n">
        <v>6.5E-005</v>
      </c>
      <c r="EF207" s="0" t="n">
        <v>1</v>
      </c>
    </row>
    <row r="208" customFormat="false" ht="12.75" hidden="false" customHeight="false" outlineLevel="0" collapsed="false">
      <c r="A208" s="149" t="n">
        <v>42705</v>
      </c>
      <c r="B208" s="0" t="n">
        <v>0.98</v>
      </c>
      <c r="C208" s="0" t="n">
        <v>0</v>
      </c>
      <c r="E208" s="0" t="n">
        <v>0</v>
      </c>
      <c r="F208" s="0" t="n">
        <v>0</v>
      </c>
      <c r="G208" s="0" t="n">
        <v>0</v>
      </c>
      <c r="H208" s="0" t="n">
        <v>0.9875</v>
      </c>
      <c r="I208" s="0" t="n">
        <v>0.9875</v>
      </c>
      <c r="J208" s="0" t="n">
        <v>0.9805</v>
      </c>
      <c r="K208" s="0" t="n">
        <v>0</v>
      </c>
      <c r="L208" s="176" t="n">
        <v>0.92394295</v>
      </c>
      <c r="M208" s="176" t="n">
        <v>0.974838112</v>
      </c>
      <c r="N208" s="0" t="n">
        <v>0.89224245</v>
      </c>
      <c r="O208" s="0" t="n">
        <v>0.984788963</v>
      </c>
      <c r="P208" s="0" t="n">
        <v>0.89224245</v>
      </c>
      <c r="Q208" s="177" t="n">
        <v>0.92394295</v>
      </c>
      <c r="R208" s="0" t="n">
        <v>0.92394295</v>
      </c>
      <c r="S208" s="176" t="n">
        <v>0.92394295</v>
      </c>
      <c r="T208" s="0" t="n">
        <v>0.89224245</v>
      </c>
      <c r="U208" s="0" t="n">
        <v>0.89224245</v>
      </c>
      <c r="V208" s="0" t="n">
        <v>0.89224245</v>
      </c>
      <c r="W208" s="0" t="n">
        <v>0.89224245</v>
      </c>
      <c r="X208" s="0" t="n">
        <v>0.984788963</v>
      </c>
      <c r="Y208" s="0" t="n">
        <v>0.984788963</v>
      </c>
      <c r="Z208" s="0" t="n">
        <v>0.984788963</v>
      </c>
      <c r="AA208" s="0" t="n">
        <v>0.984788963</v>
      </c>
      <c r="AB208" s="0" t="n">
        <v>0.89224245</v>
      </c>
      <c r="AC208" s="0" t="n">
        <v>0.89224245</v>
      </c>
      <c r="AD208" s="0" t="n">
        <v>0.984788963</v>
      </c>
      <c r="AE208" s="0" t="n">
        <v>0.984788963</v>
      </c>
      <c r="AF208" s="0" t="n">
        <v>0.89224245</v>
      </c>
      <c r="AG208" s="0" t="n">
        <v>0.98</v>
      </c>
      <c r="AH208" s="0" t="n">
        <v>0.9828448</v>
      </c>
      <c r="AI208" s="0" t="n">
        <v>0.9828448</v>
      </c>
      <c r="AJ208" s="0" t="n">
        <v>0.89224245</v>
      </c>
      <c r="AK208" s="0" t="n">
        <v>1</v>
      </c>
      <c r="AL208" s="0" t="n">
        <v>0</v>
      </c>
      <c r="AM208" s="0" t="n">
        <v>0</v>
      </c>
      <c r="BB208" s="187" t="n">
        <v>1</v>
      </c>
      <c r="BC208" s="0" t="n">
        <v>1</v>
      </c>
      <c r="BD208" s="0" t="n">
        <v>1</v>
      </c>
      <c r="BE208" s="0" t="n">
        <v>1</v>
      </c>
      <c r="BF208" s="0" t="n">
        <v>0.9999</v>
      </c>
      <c r="BG208" s="0" t="n">
        <v>1</v>
      </c>
      <c r="BH208" s="0" t="n">
        <v>1</v>
      </c>
      <c r="BI208" s="0" t="n">
        <v>0.99</v>
      </c>
      <c r="BJ208" s="0" t="n">
        <v>0.999</v>
      </c>
      <c r="BK208" s="0" t="n">
        <v>0.998</v>
      </c>
      <c r="BL208" s="0" t="n">
        <v>0.9985</v>
      </c>
      <c r="BM208" s="0" t="n">
        <v>0.9985</v>
      </c>
      <c r="BN208" s="0" t="n">
        <v>0.972</v>
      </c>
      <c r="BO208" s="0" t="n">
        <v>0.9999</v>
      </c>
      <c r="BP208" s="0" t="n">
        <v>0.9999</v>
      </c>
      <c r="BQ208" s="0" t="n">
        <v>1</v>
      </c>
      <c r="BR208" s="0" t="n">
        <v>1.1217176</v>
      </c>
      <c r="BS208" s="0" t="n">
        <v>1.1296</v>
      </c>
      <c r="BT208" s="0" t="n">
        <v>1.0827</v>
      </c>
      <c r="BU208" s="0" t="n">
        <v>1.0251</v>
      </c>
      <c r="BV208" s="0" t="n">
        <v>1</v>
      </c>
      <c r="BW208" s="0" t="n">
        <v>2.5746</v>
      </c>
      <c r="BX208" s="0" t="n">
        <v>2.327036333</v>
      </c>
      <c r="BY208" s="0" t="n">
        <v>1.16065</v>
      </c>
      <c r="BZ208" s="0" t="n">
        <v>1.2885</v>
      </c>
      <c r="CA208" s="0" t="n">
        <v>2.001</v>
      </c>
      <c r="CB208" s="0" t="n">
        <v>1.566005</v>
      </c>
      <c r="CC208" s="0" t="n">
        <v>1.566005</v>
      </c>
      <c r="CD208" s="0" t="n">
        <v>1.293105</v>
      </c>
      <c r="CE208" s="0" t="n">
        <v>1.103405</v>
      </c>
      <c r="CF208" s="0" t="n">
        <v>1.467005</v>
      </c>
      <c r="CG208" s="188"/>
      <c r="CH208" s="0" t="n">
        <v>1.10432</v>
      </c>
      <c r="CI208" s="188"/>
      <c r="CJ208" s="188"/>
      <c r="CK208" s="188"/>
      <c r="CL208" s="188"/>
      <c r="CM208" s="188"/>
      <c r="CN208" s="188"/>
      <c r="CO208" s="188"/>
      <c r="CP208" s="0" t="n">
        <v>0.935</v>
      </c>
      <c r="CV208" s="0" t="n">
        <v>0.48</v>
      </c>
      <c r="CW208" s="0" t="n">
        <v>0.875</v>
      </c>
      <c r="CX208" s="0" t="n">
        <v>0.65</v>
      </c>
      <c r="CZ208" s="0" t="n">
        <v>0.59</v>
      </c>
      <c r="DA208" s="0" t="n">
        <v>0.6225</v>
      </c>
      <c r="DB208" s="0" t="n">
        <v>0.69</v>
      </c>
      <c r="DC208" s="0" t="n">
        <v>0.8925</v>
      </c>
      <c r="DD208" s="0" t="n">
        <v>0.715</v>
      </c>
      <c r="DE208" s="0" t="n">
        <v>0.89</v>
      </c>
      <c r="DN208" s="188" t="n">
        <v>0.000285</v>
      </c>
      <c r="DO208" s="188" t="n">
        <v>0.0002</v>
      </c>
      <c r="DP208" s="188" t="n">
        <v>0</v>
      </c>
      <c r="DQ208" s="188" t="n">
        <v>0.0001</v>
      </c>
      <c r="DR208" s="188" t="n">
        <v>0</v>
      </c>
      <c r="DS208" s="188" t="n">
        <v>0.0036</v>
      </c>
      <c r="DT208" s="188" t="n">
        <v>0.00047</v>
      </c>
      <c r="DU208" s="188" t="n">
        <v>0.0007</v>
      </c>
      <c r="DV208" s="188" t="n">
        <v>0</v>
      </c>
      <c r="DW208" s="188" t="n">
        <v>0</v>
      </c>
      <c r="DX208" s="188" t="n">
        <v>0.0005</v>
      </c>
      <c r="DY208" s="188" t="n">
        <v>0.0005</v>
      </c>
      <c r="DZ208" s="188" t="n">
        <v>0.0003</v>
      </c>
      <c r="EA208" s="188" t="n">
        <v>0.000275</v>
      </c>
      <c r="EB208" s="188" t="n">
        <v>0.0004</v>
      </c>
      <c r="ED208" s="188" t="n">
        <v>6.5E-005</v>
      </c>
      <c r="EF208" s="0" t="n">
        <v>1</v>
      </c>
    </row>
    <row r="209" customFormat="false" ht="12.75" hidden="false" customHeight="false" outlineLevel="0" collapsed="false">
      <c r="A209" s="149" t="n">
        <v>42736</v>
      </c>
      <c r="B209" s="0" t="n">
        <v>0.98</v>
      </c>
      <c r="C209" s="0" t="n">
        <v>0</v>
      </c>
      <c r="E209" s="0" t="n">
        <v>0</v>
      </c>
      <c r="F209" s="0" t="n">
        <v>0</v>
      </c>
      <c r="G209" s="0" t="n">
        <v>0</v>
      </c>
      <c r="H209" s="0" t="n">
        <v>0.9875</v>
      </c>
      <c r="I209" s="0" t="n">
        <v>0.93488675</v>
      </c>
      <c r="J209" s="0" t="n">
        <v>0.9805</v>
      </c>
      <c r="K209" s="0" t="n">
        <v>0</v>
      </c>
      <c r="L209" s="176" t="n">
        <v>0.947735525</v>
      </c>
      <c r="M209" s="176" t="n">
        <v>0.9875</v>
      </c>
      <c r="N209" s="0" t="n">
        <v>0.89244945</v>
      </c>
      <c r="O209" s="0" t="n">
        <v>0.9712384</v>
      </c>
      <c r="P209" s="0" t="n">
        <v>0.89244945</v>
      </c>
      <c r="Q209" s="177" t="n">
        <v>0.947735525</v>
      </c>
      <c r="R209" s="0" t="n">
        <v>0.947735525</v>
      </c>
      <c r="S209" s="176" t="n">
        <v>0.947735525</v>
      </c>
      <c r="T209" s="0" t="n">
        <v>0.89244945</v>
      </c>
      <c r="U209" s="0" t="n">
        <v>0.89244945</v>
      </c>
      <c r="V209" s="0" t="n">
        <v>0.89244945</v>
      </c>
      <c r="W209" s="0" t="n">
        <v>0.89244945</v>
      </c>
      <c r="X209" s="0" t="n">
        <v>0.9712384</v>
      </c>
      <c r="Y209" s="0" t="n">
        <v>0.9712384</v>
      </c>
      <c r="Z209" s="0" t="n">
        <v>0.9712384</v>
      </c>
      <c r="AA209" s="0" t="n">
        <v>0.9712384</v>
      </c>
      <c r="AB209" s="0" t="n">
        <v>0.89244945</v>
      </c>
      <c r="AC209" s="0" t="n">
        <v>0.89244945</v>
      </c>
      <c r="AD209" s="0" t="n">
        <v>0.9712384</v>
      </c>
      <c r="AE209" s="0" t="n">
        <v>0.9712384</v>
      </c>
      <c r="AF209" s="0" t="n">
        <v>0.89244945</v>
      </c>
      <c r="AG209" s="0" t="n">
        <v>0.98</v>
      </c>
      <c r="AH209" s="0" t="n">
        <v>0.98290265</v>
      </c>
      <c r="AI209" s="0" t="n">
        <v>0.98290265</v>
      </c>
      <c r="AJ209" s="0" t="n">
        <v>0.89244945</v>
      </c>
      <c r="AK209" s="0" t="n">
        <v>1</v>
      </c>
      <c r="AL209" s="0" t="n">
        <v>0</v>
      </c>
      <c r="AM209" s="0" t="n">
        <v>0</v>
      </c>
      <c r="BB209" s="187" t="n">
        <v>1</v>
      </c>
      <c r="BC209" s="0" t="n">
        <v>1</v>
      </c>
      <c r="BD209" s="0" t="n">
        <v>1</v>
      </c>
      <c r="BE209" s="0" t="n">
        <v>1</v>
      </c>
      <c r="BF209" s="0" t="n">
        <v>0.9999</v>
      </c>
      <c r="BG209" s="0" t="n">
        <v>1</v>
      </c>
      <c r="BH209" s="0" t="n">
        <v>1</v>
      </c>
      <c r="BI209" s="0" t="n">
        <v>0.99</v>
      </c>
      <c r="BJ209" s="0" t="n">
        <v>0.999</v>
      </c>
      <c r="BK209" s="0" t="n">
        <v>0.998</v>
      </c>
      <c r="BL209" s="0" t="n">
        <v>0.9985</v>
      </c>
      <c r="BM209" s="0" t="n">
        <v>0.9985</v>
      </c>
      <c r="BN209" s="0" t="n">
        <v>0.972</v>
      </c>
      <c r="BO209" s="0" t="n">
        <v>0.9999</v>
      </c>
      <c r="BP209" s="0" t="n">
        <v>0.9999</v>
      </c>
      <c r="BQ209" s="0" t="n">
        <v>1</v>
      </c>
      <c r="BR209" s="0" t="n">
        <v>1.1220026</v>
      </c>
      <c r="BS209" s="0" t="n">
        <v>1.1298</v>
      </c>
      <c r="BT209" s="0" t="n">
        <v>1.0827</v>
      </c>
      <c r="BU209" s="0" t="n">
        <v>1.0252</v>
      </c>
      <c r="BV209" s="0" t="n">
        <v>1</v>
      </c>
      <c r="BW209" s="0" t="n">
        <v>2.5782</v>
      </c>
      <c r="BX209" s="0" t="n">
        <v>2.327506333</v>
      </c>
      <c r="BY209" s="0" t="n">
        <v>1.16135</v>
      </c>
      <c r="BZ209" s="0" t="n">
        <v>1.2885</v>
      </c>
      <c r="CA209" s="0" t="n">
        <v>2.001</v>
      </c>
      <c r="CB209" s="0" t="n">
        <v>1.566505</v>
      </c>
      <c r="CC209" s="0" t="n">
        <v>1.566505</v>
      </c>
      <c r="CD209" s="0" t="n">
        <v>1.293405</v>
      </c>
      <c r="CE209" s="0" t="n">
        <v>1.10368</v>
      </c>
      <c r="CF209" s="0" t="n">
        <v>1.467405</v>
      </c>
      <c r="CG209" s="188"/>
      <c r="CH209" s="0" t="n">
        <v>1.104385</v>
      </c>
      <c r="CI209" s="188"/>
      <c r="CJ209" s="188"/>
      <c r="CK209" s="188"/>
      <c r="CL209" s="188"/>
      <c r="CM209" s="188"/>
      <c r="CN209" s="188"/>
      <c r="CO209" s="188"/>
      <c r="CP209" s="0" t="n">
        <v>0.895</v>
      </c>
      <c r="CV209" s="0" t="n">
        <v>0.45</v>
      </c>
      <c r="CW209" s="0" t="n">
        <v>0.805</v>
      </c>
      <c r="CX209" s="0" t="n">
        <v>0.66</v>
      </c>
      <c r="CZ209" s="0" t="n">
        <v>0.605</v>
      </c>
      <c r="DA209" s="0" t="n">
        <v>0.6375</v>
      </c>
      <c r="DB209" s="0" t="n">
        <v>0.69</v>
      </c>
      <c r="DC209" s="0" t="n">
        <v>0.88</v>
      </c>
      <c r="DD209" s="0" t="n">
        <v>0.64</v>
      </c>
      <c r="DE209" s="0" t="n">
        <v>0.89</v>
      </c>
      <c r="DN209" s="188" t="n">
        <v>0.000285</v>
      </c>
      <c r="DO209" s="188" t="n">
        <v>0.0002</v>
      </c>
      <c r="DP209" s="188" t="n">
        <v>0</v>
      </c>
      <c r="DQ209" s="188" t="n">
        <v>0.0001</v>
      </c>
      <c r="DR209" s="188" t="n">
        <v>0</v>
      </c>
      <c r="DS209" s="188" t="n">
        <v>0.0036</v>
      </c>
      <c r="DT209" s="188" t="n">
        <v>0.00047</v>
      </c>
      <c r="DU209" s="188" t="n">
        <v>0.0007</v>
      </c>
      <c r="DV209" s="188" t="n">
        <v>0</v>
      </c>
      <c r="DW209" s="188" t="n">
        <v>0</v>
      </c>
      <c r="DX209" s="188" t="n">
        <v>0.0005</v>
      </c>
      <c r="DY209" s="188" t="n">
        <v>0.0005</v>
      </c>
      <c r="DZ209" s="188" t="n">
        <v>0.0003</v>
      </c>
      <c r="EA209" s="188" t="n">
        <v>0.000275</v>
      </c>
      <c r="EB209" s="188" t="n">
        <v>0.0004</v>
      </c>
      <c r="ED209" s="188" t="n">
        <v>6.5E-005</v>
      </c>
      <c r="EF209" s="0" t="n">
        <v>1</v>
      </c>
    </row>
    <row r="210" customFormat="false" ht="12.75" hidden="false" customHeight="false" outlineLevel="0" collapsed="false">
      <c r="A210" s="149" t="n">
        <v>42767</v>
      </c>
      <c r="B210" s="0" t="n">
        <v>0.98</v>
      </c>
      <c r="C210" s="0" t="n">
        <v>0</v>
      </c>
      <c r="E210" s="0" t="n">
        <v>0</v>
      </c>
      <c r="F210" s="0" t="n">
        <v>0</v>
      </c>
      <c r="G210" s="0" t="n">
        <v>0</v>
      </c>
      <c r="H210" s="0" t="n">
        <v>0.9875</v>
      </c>
      <c r="I210" s="0" t="n">
        <v>0.98193225</v>
      </c>
      <c r="J210" s="0" t="n">
        <v>0.9805</v>
      </c>
      <c r="K210" s="0" t="n">
        <v>0</v>
      </c>
      <c r="L210" s="176" t="n">
        <v>0.9875</v>
      </c>
      <c r="M210" s="176" t="n">
        <v>0.9875</v>
      </c>
      <c r="N210" s="0" t="n">
        <v>0.91853055</v>
      </c>
      <c r="O210" s="0" t="n">
        <v>0.968720513</v>
      </c>
      <c r="P210" s="0" t="n">
        <v>0.91853055</v>
      </c>
      <c r="Q210" s="177" t="n">
        <v>0.9875</v>
      </c>
      <c r="R210" s="0" t="n">
        <v>0.9875</v>
      </c>
      <c r="S210" s="176" t="n">
        <v>0.9875</v>
      </c>
      <c r="T210" s="0" t="n">
        <v>0.91853055</v>
      </c>
      <c r="U210" s="0" t="n">
        <v>0.91853055</v>
      </c>
      <c r="V210" s="0" t="n">
        <v>0.91853055</v>
      </c>
      <c r="W210" s="0" t="n">
        <v>0.91853055</v>
      </c>
      <c r="X210" s="0" t="n">
        <v>0.968720513</v>
      </c>
      <c r="Y210" s="0" t="n">
        <v>0.968720513</v>
      </c>
      <c r="Z210" s="0" t="n">
        <v>0.968720513</v>
      </c>
      <c r="AA210" s="0" t="n">
        <v>0.968720513</v>
      </c>
      <c r="AB210" s="0" t="n">
        <v>0.91853055</v>
      </c>
      <c r="AC210" s="0" t="n">
        <v>0.91853055</v>
      </c>
      <c r="AD210" s="0" t="n">
        <v>0.968720513</v>
      </c>
      <c r="AE210" s="0" t="n">
        <v>0.968720513</v>
      </c>
      <c r="AF210" s="0" t="n">
        <v>0.91853055</v>
      </c>
      <c r="AG210" s="0" t="n">
        <v>0.98</v>
      </c>
      <c r="AH210" s="0" t="n">
        <v>0.9829605</v>
      </c>
      <c r="AI210" s="0" t="n">
        <v>0.9829605</v>
      </c>
      <c r="AJ210" s="0" t="n">
        <v>0.91853055</v>
      </c>
      <c r="AK210" s="0" t="n">
        <v>1</v>
      </c>
      <c r="AL210" s="0" t="n">
        <v>0</v>
      </c>
      <c r="AM210" s="0" t="n">
        <v>0</v>
      </c>
      <c r="BB210" s="187" t="n">
        <v>1</v>
      </c>
      <c r="BC210" s="0" t="n">
        <v>1</v>
      </c>
      <c r="BD210" s="0" t="n">
        <v>1</v>
      </c>
      <c r="BE210" s="0" t="n">
        <v>1</v>
      </c>
      <c r="BF210" s="0" t="n">
        <v>0.9999</v>
      </c>
      <c r="BG210" s="0" t="n">
        <v>1</v>
      </c>
      <c r="BH210" s="0" t="n">
        <v>1</v>
      </c>
      <c r="BI210" s="0" t="n">
        <v>0.99</v>
      </c>
      <c r="BJ210" s="0" t="n">
        <v>0.999</v>
      </c>
      <c r="BK210" s="0" t="n">
        <v>0.998</v>
      </c>
      <c r="BL210" s="0" t="n">
        <v>0.9985</v>
      </c>
      <c r="BM210" s="0" t="n">
        <v>0.9985</v>
      </c>
      <c r="BN210" s="0" t="n">
        <v>0.972</v>
      </c>
      <c r="BO210" s="0" t="n">
        <v>0.9999</v>
      </c>
      <c r="BP210" s="0" t="n">
        <v>0.9999</v>
      </c>
      <c r="BQ210" s="0" t="n">
        <v>1</v>
      </c>
      <c r="BR210" s="0" t="n">
        <v>1.1222876</v>
      </c>
      <c r="BS210" s="0" t="n">
        <v>1.13</v>
      </c>
      <c r="BT210" s="0" t="n">
        <v>1.0827</v>
      </c>
      <c r="BU210" s="0" t="n">
        <v>1.0253</v>
      </c>
      <c r="BV210" s="0" t="n">
        <v>1</v>
      </c>
      <c r="BW210" s="0" t="n">
        <v>2.5818</v>
      </c>
      <c r="BX210" s="0" t="n">
        <v>2.327976333</v>
      </c>
      <c r="BY210" s="0" t="n">
        <v>1.16205</v>
      </c>
      <c r="BZ210" s="0" t="n">
        <v>1.2885</v>
      </c>
      <c r="CA210" s="0" t="n">
        <v>2.001</v>
      </c>
      <c r="CB210" s="0" t="n">
        <v>1.567005</v>
      </c>
      <c r="CC210" s="0" t="n">
        <v>1.567005</v>
      </c>
      <c r="CD210" s="0" t="n">
        <v>1.293705</v>
      </c>
      <c r="CE210" s="0" t="n">
        <v>1.103955</v>
      </c>
      <c r="CF210" s="0" t="n">
        <v>1.467805</v>
      </c>
      <c r="CG210" s="188"/>
      <c r="CH210" s="0" t="n">
        <v>1.10445</v>
      </c>
      <c r="CI210" s="188"/>
      <c r="CJ210" s="188"/>
      <c r="CK210" s="188"/>
      <c r="CL210" s="188"/>
      <c r="CM210" s="188"/>
      <c r="CN210" s="188"/>
      <c r="CO210" s="188"/>
      <c r="CP210" s="0" t="n">
        <v>0.865</v>
      </c>
      <c r="CV210" s="0" t="n">
        <v>0.45</v>
      </c>
      <c r="CW210" s="0" t="n">
        <v>0.845</v>
      </c>
      <c r="CX210" s="0" t="n">
        <v>0.765</v>
      </c>
      <c r="CZ210" s="0" t="n">
        <v>0.635</v>
      </c>
      <c r="DA210" s="0" t="n">
        <v>0.6675</v>
      </c>
      <c r="DB210" s="0" t="n">
        <v>0.71</v>
      </c>
      <c r="DC210" s="0" t="n">
        <v>0.8775</v>
      </c>
      <c r="DD210" s="0" t="n">
        <v>0.67</v>
      </c>
      <c r="DE210" s="0" t="n">
        <v>0.89</v>
      </c>
      <c r="DN210" s="188" t="n">
        <v>0.000285</v>
      </c>
      <c r="DO210" s="188" t="n">
        <v>0.0002</v>
      </c>
      <c r="DP210" s="188" t="n">
        <v>0</v>
      </c>
      <c r="DQ210" s="188" t="n">
        <v>0.0001</v>
      </c>
      <c r="DR210" s="188" t="n">
        <v>0</v>
      </c>
      <c r="DS210" s="188" t="n">
        <v>0.0036</v>
      </c>
      <c r="DT210" s="188" t="n">
        <v>0.00047</v>
      </c>
      <c r="DU210" s="188" t="n">
        <v>0.0007</v>
      </c>
      <c r="DV210" s="188" t="n">
        <v>0</v>
      </c>
      <c r="DW210" s="188" t="n">
        <v>0</v>
      </c>
      <c r="DX210" s="188" t="n">
        <v>0.0005</v>
      </c>
      <c r="DY210" s="188" t="n">
        <v>0.0005</v>
      </c>
      <c r="DZ210" s="188" t="n">
        <v>0.0003</v>
      </c>
      <c r="EA210" s="188" t="n">
        <v>0.000275</v>
      </c>
      <c r="EB210" s="188" t="n">
        <v>0.0004</v>
      </c>
      <c r="ED210" s="188" t="n">
        <v>6.5E-005</v>
      </c>
      <c r="EF210" s="0" t="n">
        <v>1</v>
      </c>
    </row>
    <row r="211" customFormat="false" ht="12.75" hidden="false" customHeight="false" outlineLevel="0" collapsed="false">
      <c r="A211" s="149" t="n">
        <v>42795</v>
      </c>
      <c r="B211" s="0" t="n">
        <v>0.98</v>
      </c>
      <c r="C211" s="0" t="n">
        <v>0</v>
      </c>
      <c r="E211" s="0" t="n">
        <v>0</v>
      </c>
      <c r="F211" s="0" t="n">
        <v>0</v>
      </c>
      <c r="G211" s="0" t="n">
        <v>0</v>
      </c>
      <c r="H211" s="0" t="n">
        <v>0.9875</v>
      </c>
      <c r="I211" s="0" t="n">
        <v>0.9875</v>
      </c>
      <c r="J211" s="0" t="n">
        <v>0.9805</v>
      </c>
      <c r="K211" s="0" t="n">
        <v>0</v>
      </c>
      <c r="L211" s="176" t="n">
        <v>0.9875</v>
      </c>
      <c r="M211" s="176" t="n">
        <v>0.9875</v>
      </c>
      <c r="N211" s="0" t="n">
        <v>0.98</v>
      </c>
      <c r="O211" s="0" t="n">
        <v>0.9875</v>
      </c>
      <c r="P211" s="0" t="n">
        <v>0.98</v>
      </c>
      <c r="Q211" s="177" t="n">
        <v>0.9875</v>
      </c>
      <c r="R211" s="0" t="n">
        <v>0.9875</v>
      </c>
      <c r="S211" s="176" t="n">
        <v>0.9875</v>
      </c>
      <c r="T211" s="0" t="n">
        <v>0.98</v>
      </c>
      <c r="U211" s="0" t="n">
        <v>0.98</v>
      </c>
      <c r="V211" s="0" t="n">
        <v>0.98</v>
      </c>
      <c r="W211" s="0" t="n">
        <v>0.98</v>
      </c>
      <c r="X211" s="0" t="n">
        <v>0.9875</v>
      </c>
      <c r="Y211" s="0" t="n">
        <v>0.9875</v>
      </c>
      <c r="Z211" s="0" t="n">
        <v>0.9875</v>
      </c>
      <c r="AA211" s="0" t="n">
        <v>0.9875</v>
      </c>
      <c r="AB211" s="0" t="n">
        <v>0.98</v>
      </c>
      <c r="AC211" s="0" t="n">
        <v>0.98</v>
      </c>
      <c r="AD211" s="0" t="n">
        <v>0.9875</v>
      </c>
      <c r="AE211" s="0" t="n">
        <v>0.9875</v>
      </c>
      <c r="AF211" s="0" t="n">
        <v>0.98</v>
      </c>
      <c r="AG211" s="0" t="n">
        <v>0.99</v>
      </c>
      <c r="AH211" s="0" t="n">
        <v>0.98301835</v>
      </c>
      <c r="AI211" s="0" t="n">
        <v>0.98301835</v>
      </c>
      <c r="AJ211" s="0" t="n">
        <v>0.98</v>
      </c>
      <c r="AK211" s="0" t="n">
        <v>1</v>
      </c>
      <c r="AL211" s="0" t="n">
        <v>0</v>
      </c>
      <c r="AM211" s="0" t="n">
        <v>0</v>
      </c>
      <c r="BB211" s="187" t="n">
        <v>1</v>
      </c>
      <c r="BC211" s="0" t="n">
        <v>1</v>
      </c>
      <c r="BD211" s="0" t="n">
        <v>1</v>
      </c>
      <c r="BE211" s="0" t="n">
        <v>1</v>
      </c>
      <c r="BF211" s="0" t="n">
        <v>0.9999</v>
      </c>
      <c r="BG211" s="0" t="n">
        <v>1</v>
      </c>
      <c r="BH211" s="0" t="n">
        <v>1</v>
      </c>
      <c r="BI211" s="0" t="n">
        <v>0.99</v>
      </c>
      <c r="BJ211" s="0" t="n">
        <v>0.999</v>
      </c>
      <c r="BK211" s="0" t="n">
        <v>0.998</v>
      </c>
      <c r="BL211" s="0" t="n">
        <v>0.9985</v>
      </c>
      <c r="BM211" s="0" t="n">
        <v>0.9985</v>
      </c>
      <c r="BN211" s="0" t="n">
        <v>0.972</v>
      </c>
      <c r="BO211" s="0" t="n">
        <v>0.9999</v>
      </c>
      <c r="BP211" s="0" t="n">
        <v>0.9999</v>
      </c>
      <c r="BQ211" s="0" t="n">
        <v>1</v>
      </c>
      <c r="BR211" s="0" t="n">
        <v>1.1225726</v>
      </c>
      <c r="BS211" s="0" t="n">
        <v>1.1302</v>
      </c>
      <c r="BT211" s="0" t="n">
        <v>1.0827</v>
      </c>
      <c r="BU211" s="0" t="n">
        <v>1.0254</v>
      </c>
      <c r="BV211" s="0" t="n">
        <v>1</v>
      </c>
      <c r="BW211" s="0" t="n">
        <v>2.5854</v>
      </c>
      <c r="BX211" s="0" t="n">
        <v>2.328446333</v>
      </c>
      <c r="BY211" s="0" t="n">
        <v>1.16275</v>
      </c>
      <c r="BZ211" s="0" t="n">
        <v>1.2885</v>
      </c>
      <c r="CA211" s="0" t="n">
        <v>2.001</v>
      </c>
      <c r="CB211" s="0" t="n">
        <v>1.567505</v>
      </c>
      <c r="CC211" s="0" t="n">
        <v>1.567505</v>
      </c>
      <c r="CD211" s="0" t="n">
        <v>1.294005</v>
      </c>
      <c r="CE211" s="0" t="n">
        <v>1.10423</v>
      </c>
      <c r="CF211" s="0" t="n">
        <v>1.468205</v>
      </c>
      <c r="CG211" s="188"/>
      <c r="CH211" s="0" t="n">
        <v>1.104515</v>
      </c>
      <c r="CI211" s="188"/>
      <c r="CJ211" s="188"/>
      <c r="CK211" s="188"/>
      <c r="CL211" s="188"/>
      <c r="CM211" s="188"/>
      <c r="CN211" s="188"/>
      <c r="CO211" s="188"/>
      <c r="CP211" s="0" t="n">
        <v>0.865</v>
      </c>
      <c r="CV211" s="0" t="n">
        <v>0.45</v>
      </c>
      <c r="CW211" s="0" t="n">
        <v>0.875</v>
      </c>
      <c r="CX211" s="0" t="n">
        <v>0.935</v>
      </c>
      <c r="CZ211" s="0" t="n">
        <v>0.785</v>
      </c>
      <c r="DA211" s="0" t="n">
        <v>0.8175</v>
      </c>
      <c r="DB211" s="0" t="n">
        <v>0.8</v>
      </c>
      <c r="DC211" s="0" t="n">
        <v>0.9</v>
      </c>
      <c r="DD211" s="0" t="n">
        <v>0.83</v>
      </c>
      <c r="DE211" s="0" t="n">
        <v>0.89</v>
      </c>
      <c r="DN211" s="188" t="n">
        <v>0.000285</v>
      </c>
      <c r="DO211" s="188" t="n">
        <v>0.0002</v>
      </c>
      <c r="DP211" s="188" t="n">
        <v>0</v>
      </c>
      <c r="DQ211" s="188" t="n">
        <v>0.0001</v>
      </c>
      <c r="DR211" s="188" t="n">
        <v>0</v>
      </c>
      <c r="DS211" s="188" t="n">
        <v>0.0036</v>
      </c>
      <c r="DT211" s="188" t="n">
        <v>0.00047</v>
      </c>
      <c r="DU211" s="188" t="n">
        <v>0.0007</v>
      </c>
      <c r="DV211" s="188" t="n">
        <v>0</v>
      </c>
      <c r="DW211" s="188" t="n">
        <v>0</v>
      </c>
      <c r="DX211" s="188" t="n">
        <v>0.0005</v>
      </c>
      <c r="DY211" s="188" t="n">
        <v>0.0005</v>
      </c>
      <c r="DZ211" s="188" t="n">
        <v>0.0003</v>
      </c>
      <c r="EA211" s="188" t="n">
        <v>0.000275</v>
      </c>
      <c r="EB211" s="188" t="n">
        <v>0.0004</v>
      </c>
      <c r="ED211" s="188" t="n">
        <v>6.5E-005</v>
      </c>
      <c r="EF211" s="0" t="n">
        <v>1</v>
      </c>
    </row>
    <row r="212" customFormat="false" ht="12.75" hidden="false" customHeight="false" outlineLevel="0" collapsed="false">
      <c r="A212" s="149" t="n">
        <v>42826</v>
      </c>
      <c r="B212" s="0" t="n">
        <v>0.98</v>
      </c>
      <c r="C212" s="0" t="n">
        <v>0</v>
      </c>
      <c r="E212" s="0" t="n">
        <v>0</v>
      </c>
      <c r="F212" s="0" t="n">
        <v>0</v>
      </c>
      <c r="G212" s="0" t="n">
        <v>0</v>
      </c>
      <c r="H212" s="0" t="n">
        <v>0.97814486</v>
      </c>
      <c r="I212" s="0" t="n">
        <v>0.9875</v>
      </c>
      <c r="J212" s="0" t="n">
        <v>0.9805</v>
      </c>
      <c r="K212" s="0" t="n">
        <v>0</v>
      </c>
      <c r="L212" s="176" t="n">
        <v>0.9875</v>
      </c>
      <c r="M212" s="176" t="n">
        <v>0.9875</v>
      </c>
      <c r="N212" s="0" t="n">
        <v>0.98</v>
      </c>
      <c r="O212" s="0" t="n">
        <v>0.9875</v>
      </c>
      <c r="P212" s="0" t="n">
        <v>0.98</v>
      </c>
      <c r="Q212" s="177" t="n">
        <v>0.9875</v>
      </c>
      <c r="R212" s="0" t="n">
        <v>0.9875</v>
      </c>
      <c r="S212" s="176" t="n">
        <v>0.9875</v>
      </c>
      <c r="T212" s="0" t="n">
        <v>0.98</v>
      </c>
      <c r="U212" s="0" t="n">
        <v>0.98</v>
      </c>
      <c r="V212" s="0" t="n">
        <v>0.98</v>
      </c>
      <c r="W212" s="0" t="n">
        <v>0.98</v>
      </c>
      <c r="X212" s="0" t="n">
        <v>0.9875</v>
      </c>
      <c r="Y212" s="0" t="n">
        <v>0.9875</v>
      </c>
      <c r="Z212" s="0" t="n">
        <v>0.9875</v>
      </c>
      <c r="AA212" s="0" t="n">
        <v>0.9875</v>
      </c>
      <c r="AB212" s="0" t="n">
        <v>0.98</v>
      </c>
      <c r="AC212" s="0" t="n">
        <v>0.98</v>
      </c>
      <c r="AD212" s="0" t="n">
        <v>0.9875</v>
      </c>
      <c r="AE212" s="0" t="n">
        <v>0.9875</v>
      </c>
      <c r="AF212" s="0" t="n">
        <v>0.98</v>
      </c>
      <c r="AG212" s="0" t="n">
        <v>0.99</v>
      </c>
      <c r="AH212" s="0" t="n">
        <v>0.9830762</v>
      </c>
      <c r="AI212" s="0" t="n">
        <v>0.9830762</v>
      </c>
      <c r="AJ212" s="0" t="n">
        <v>0.98</v>
      </c>
      <c r="AK212" s="0" t="n">
        <v>1</v>
      </c>
      <c r="AL212" s="0" t="n">
        <v>0</v>
      </c>
      <c r="AM212" s="0" t="n">
        <v>0</v>
      </c>
      <c r="BB212" s="187" t="n">
        <v>1</v>
      </c>
      <c r="BC212" s="0" t="n">
        <v>1</v>
      </c>
      <c r="BD212" s="0" t="n">
        <v>1</v>
      </c>
      <c r="BE212" s="0" t="n">
        <v>1</v>
      </c>
      <c r="BF212" s="0" t="n">
        <v>0.9999</v>
      </c>
      <c r="BG212" s="0" t="n">
        <v>1</v>
      </c>
      <c r="BH212" s="0" t="n">
        <v>1</v>
      </c>
      <c r="BI212" s="0" t="n">
        <v>0.99</v>
      </c>
      <c r="BJ212" s="0" t="n">
        <v>0.999</v>
      </c>
      <c r="BK212" s="0" t="n">
        <v>0.998</v>
      </c>
      <c r="BL212" s="0" t="n">
        <v>0.9985</v>
      </c>
      <c r="BM212" s="0" t="n">
        <v>0.9985</v>
      </c>
      <c r="BN212" s="0" t="n">
        <v>0.972</v>
      </c>
      <c r="BO212" s="0" t="n">
        <v>0.9999</v>
      </c>
      <c r="BP212" s="0" t="n">
        <v>0.9999</v>
      </c>
      <c r="BQ212" s="0" t="n">
        <v>1</v>
      </c>
      <c r="BR212" s="0" t="n">
        <v>1.1228576</v>
      </c>
      <c r="BS212" s="0" t="n">
        <v>1.1304</v>
      </c>
      <c r="BT212" s="0" t="n">
        <v>1.0827</v>
      </c>
      <c r="BU212" s="0" t="n">
        <v>1.0255</v>
      </c>
      <c r="BV212" s="0" t="n">
        <v>1</v>
      </c>
      <c r="BW212" s="0" t="n">
        <v>2.589</v>
      </c>
      <c r="BX212" s="0" t="n">
        <v>2.328916333</v>
      </c>
      <c r="BY212" s="0" t="n">
        <v>1.16345</v>
      </c>
      <c r="BZ212" s="0" t="n">
        <v>1.2885</v>
      </c>
      <c r="CA212" s="0" t="n">
        <v>2.001</v>
      </c>
      <c r="CB212" s="0" t="n">
        <v>1.568005</v>
      </c>
      <c r="CC212" s="0" t="n">
        <v>1.568005</v>
      </c>
      <c r="CD212" s="0" t="n">
        <v>1.294305</v>
      </c>
      <c r="CE212" s="0" t="n">
        <v>1.104505</v>
      </c>
      <c r="CF212" s="0" t="n">
        <v>1.468605</v>
      </c>
      <c r="CG212" s="188"/>
      <c r="CH212" s="0" t="n">
        <v>1.10458</v>
      </c>
      <c r="CI212" s="188"/>
      <c r="CJ212" s="188"/>
      <c r="CK212" s="188"/>
      <c r="CL212" s="188"/>
      <c r="CM212" s="188"/>
      <c r="CN212" s="188"/>
      <c r="CO212" s="188"/>
      <c r="CP212" s="0" t="n">
        <v>0.895</v>
      </c>
      <c r="CV212" s="0" t="n">
        <v>0.42</v>
      </c>
      <c r="CW212" s="0" t="n">
        <v>0.935</v>
      </c>
      <c r="CX212" s="0" t="n">
        <v>0.925</v>
      </c>
      <c r="CZ212" s="0" t="n">
        <v>0.895</v>
      </c>
      <c r="DA212" s="0" t="n">
        <v>0.9275</v>
      </c>
      <c r="DB212" s="0" t="n">
        <v>0.85</v>
      </c>
      <c r="DC212" s="0" t="n">
        <v>0.903</v>
      </c>
      <c r="DD212" s="0" t="n">
        <v>0.92</v>
      </c>
      <c r="DE212" s="0" t="n">
        <v>0.89</v>
      </c>
      <c r="DN212" s="188" t="n">
        <v>0.000285</v>
      </c>
      <c r="DO212" s="188" t="n">
        <v>0.0002</v>
      </c>
      <c r="DP212" s="188" t="n">
        <v>0</v>
      </c>
      <c r="DQ212" s="188" t="n">
        <v>0.0001</v>
      </c>
      <c r="DR212" s="188" t="n">
        <v>0</v>
      </c>
      <c r="DS212" s="188" t="n">
        <v>0.0036</v>
      </c>
      <c r="DT212" s="188" t="n">
        <v>0.00047</v>
      </c>
      <c r="DU212" s="188" t="n">
        <v>0.0007</v>
      </c>
      <c r="DV212" s="188" t="n">
        <v>0</v>
      </c>
      <c r="DW212" s="188" t="n">
        <v>0</v>
      </c>
      <c r="DX212" s="188" t="n">
        <v>0.0005</v>
      </c>
      <c r="DY212" s="188" t="n">
        <v>0.0005</v>
      </c>
      <c r="DZ212" s="188" t="n">
        <v>0.0003</v>
      </c>
      <c r="EA212" s="188" t="n">
        <v>0.000275</v>
      </c>
      <c r="EB212" s="188" t="n">
        <v>0.0004</v>
      </c>
      <c r="ED212" s="188" t="n">
        <v>6.5E-005</v>
      </c>
      <c r="EF212" s="0" t="n">
        <v>1</v>
      </c>
    </row>
    <row r="213" customFormat="false" ht="12.75" hidden="false" customHeight="false" outlineLevel="0" collapsed="false">
      <c r="A213" s="149" t="n">
        <v>42856</v>
      </c>
      <c r="B213" s="0" t="n">
        <v>0.98</v>
      </c>
      <c r="C213" s="0" t="n">
        <v>0</v>
      </c>
      <c r="E213" s="0" t="n">
        <v>0</v>
      </c>
      <c r="F213" s="0" t="n">
        <v>0</v>
      </c>
      <c r="G213" s="0" t="n">
        <v>0</v>
      </c>
      <c r="H213" s="0" t="n">
        <v>0.97834226</v>
      </c>
      <c r="I213" s="0" t="n">
        <v>0.9875</v>
      </c>
      <c r="J213" s="0" t="n">
        <v>0.9805</v>
      </c>
      <c r="K213" s="0" t="n">
        <v>0</v>
      </c>
      <c r="L213" s="176" t="n">
        <v>0.9875</v>
      </c>
      <c r="M213" s="176" t="n">
        <v>0.9875</v>
      </c>
      <c r="N213" s="0" t="n">
        <v>0.98</v>
      </c>
      <c r="O213" s="0" t="n">
        <v>0.9875</v>
      </c>
      <c r="P213" s="0" t="n">
        <v>0.98</v>
      </c>
      <c r="Q213" s="177" t="n">
        <v>0.9875</v>
      </c>
      <c r="R213" s="0" t="n">
        <v>0.9875</v>
      </c>
      <c r="S213" s="176" t="n">
        <v>0.9875</v>
      </c>
      <c r="T213" s="0" t="n">
        <v>0.98</v>
      </c>
      <c r="U213" s="0" t="n">
        <v>0.98</v>
      </c>
      <c r="V213" s="0" t="n">
        <v>0.98</v>
      </c>
      <c r="W213" s="0" t="n">
        <v>0.98</v>
      </c>
      <c r="X213" s="0" t="n">
        <v>0.9875</v>
      </c>
      <c r="Y213" s="0" t="n">
        <v>0.9875</v>
      </c>
      <c r="Z213" s="0" t="n">
        <v>0.9875</v>
      </c>
      <c r="AA213" s="0" t="n">
        <v>0.9875</v>
      </c>
      <c r="AB213" s="0" t="n">
        <v>0.98</v>
      </c>
      <c r="AC213" s="0" t="n">
        <v>0.98</v>
      </c>
      <c r="AD213" s="0" t="n">
        <v>0.9875</v>
      </c>
      <c r="AE213" s="0" t="n">
        <v>0.9875</v>
      </c>
      <c r="AF213" s="0" t="n">
        <v>0.98</v>
      </c>
      <c r="AG213" s="0" t="n">
        <v>0.99</v>
      </c>
      <c r="AH213" s="0" t="n">
        <v>0.98313405</v>
      </c>
      <c r="AI213" s="0" t="n">
        <v>0.98313405</v>
      </c>
      <c r="AJ213" s="0" t="n">
        <v>0.98</v>
      </c>
      <c r="AK213" s="0" t="n">
        <v>1</v>
      </c>
      <c r="AL213" s="0" t="n">
        <v>0</v>
      </c>
      <c r="AM213" s="0" t="n">
        <v>0</v>
      </c>
      <c r="BB213" s="187" t="n">
        <v>1</v>
      </c>
      <c r="BC213" s="0" t="n">
        <v>1</v>
      </c>
      <c r="BD213" s="0" t="n">
        <v>1</v>
      </c>
      <c r="BE213" s="0" t="n">
        <v>1</v>
      </c>
      <c r="BF213" s="0" t="n">
        <v>0.9999</v>
      </c>
      <c r="BG213" s="0" t="n">
        <v>1</v>
      </c>
      <c r="BH213" s="0" t="n">
        <v>1</v>
      </c>
      <c r="BI213" s="0" t="n">
        <v>0.99</v>
      </c>
      <c r="BJ213" s="0" t="n">
        <v>0.999</v>
      </c>
      <c r="BK213" s="0" t="n">
        <v>0.998</v>
      </c>
      <c r="BL213" s="0" t="n">
        <v>0.9985</v>
      </c>
      <c r="BM213" s="0" t="n">
        <v>0.9985</v>
      </c>
      <c r="BN213" s="0" t="n">
        <v>0.972</v>
      </c>
      <c r="BO213" s="0" t="n">
        <v>0.9999</v>
      </c>
      <c r="BP213" s="0" t="n">
        <v>0.9999</v>
      </c>
      <c r="BQ213" s="0" t="n">
        <v>1</v>
      </c>
      <c r="BR213" s="0" t="n">
        <v>1.1231426</v>
      </c>
      <c r="BS213" s="0" t="n">
        <v>1.1306</v>
      </c>
      <c r="BT213" s="0" t="n">
        <v>1.0827</v>
      </c>
      <c r="BU213" s="0" t="n">
        <v>1.0256</v>
      </c>
      <c r="BV213" s="0" t="n">
        <v>1</v>
      </c>
      <c r="BW213" s="0" t="n">
        <v>2.5926</v>
      </c>
      <c r="BX213" s="0" t="n">
        <v>2.329386333</v>
      </c>
      <c r="BY213" s="0" t="n">
        <v>1.16415</v>
      </c>
      <c r="BZ213" s="0" t="n">
        <v>1.2885</v>
      </c>
      <c r="CA213" s="0" t="n">
        <v>2.001</v>
      </c>
      <c r="CB213" s="0" t="n">
        <v>1.568505</v>
      </c>
      <c r="CC213" s="0" t="n">
        <v>1.568505</v>
      </c>
      <c r="CD213" s="0" t="n">
        <v>1.294605</v>
      </c>
      <c r="CE213" s="0" t="n">
        <v>1.10478</v>
      </c>
      <c r="CF213" s="0" t="n">
        <v>1.469005</v>
      </c>
      <c r="CG213" s="188"/>
      <c r="CH213" s="0" t="n">
        <v>1.104645</v>
      </c>
      <c r="CI213" s="188"/>
      <c r="CJ213" s="188"/>
      <c r="CK213" s="188"/>
      <c r="CL213" s="188"/>
      <c r="CM213" s="188"/>
      <c r="CN213" s="188"/>
      <c r="CO213" s="188"/>
      <c r="CP213" s="0" t="n">
        <v>0.965</v>
      </c>
      <c r="CV213" s="0" t="n">
        <v>0.42</v>
      </c>
      <c r="CW213" s="0" t="n">
        <v>0.935</v>
      </c>
      <c r="CX213" s="0" t="n">
        <v>0.825</v>
      </c>
      <c r="CZ213" s="0" t="n">
        <v>0.9175</v>
      </c>
      <c r="DA213" s="0" t="n">
        <v>0.95</v>
      </c>
      <c r="DB213" s="0" t="n">
        <v>0.88</v>
      </c>
      <c r="DC213" s="0" t="n">
        <v>0.9</v>
      </c>
      <c r="DD213" s="0" t="n">
        <v>0.935</v>
      </c>
      <c r="DE213" s="0" t="n">
        <v>0.89</v>
      </c>
      <c r="DN213" s="188" t="n">
        <v>0.000285</v>
      </c>
      <c r="DO213" s="188" t="n">
        <v>0.0002</v>
      </c>
      <c r="DP213" s="188" t="n">
        <v>0</v>
      </c>
      <c r="DQ213" s="188" t="n">
        <v>0.0001</v>
      </c>
      <c r="DR213" s="188" t="n">
        <v>0</v>
      </c>
      <c r="DS213" s="188" t="n">
        <v>0.0036</v>
      </c>
      <c r="DT213" s="188" t="n">
        <v>0.00047</v>
      </c>
      <c r="DU213" s="188" t="n">
        <v>0.0007</v>
      </c>
      <c r="DV213" s="188" t="n">
        <v>0</v>
      </c>
      <c r="DW213" s="188" t="n">
        <v>0</v>
      </c>
      <c r="DX213" s="188" t="n">
        <v>0.0005</v>
      </c>
      <c r="DY213" s="188" t="n">
        <v>0.0005</v>
      </c>
      <c r="DZ213" s="188" t="n">
        <v>0.0003</v>
      </c>
      <c r="EA213" s="188" t="n">
        <v>0.000275</v>
      </c>
      <c r="EB213" s="188" t="n">
        <v>0.0004</v>
      </c>
      <c r="ED213" s="188" t="n">
        <v>6.5E-005</v>
      </c>
      <c r="EF213" s="0" t="n">
        <v>1</v>
      </c>
    </row>
    <row r="214" customFormat="false" ht="12.75" hidden="false" customHeight="false" outlineLevel="0" collapsed="false">
      <c r="A214" s="149" t="n">
        <v>42887</v>
      </c>
      <c r="B214" s="0" t="n">
        <v>0.98</v>
      </c>
      <c r="C214" s="0" t="n">
        <v>0</v>
      </c>
      <c r="E214" s="0" t="n">
        <v>0</v>
      </c>
      <c r="F214" s="0" t="n">
        <v>0</v>
      </c>
      <c r="G214" s="0" t="n">
        <v>0</v>
      </c>
      <c r="H214" s="0" t="n">
        <v>0.9875</v>
      </c>
      <c r="I214" s="0" t="n">
        <v>0.9875</v>
      </c>
      <c r="J214" s="0" t="n">
        <v>0.9805</v>
      </c>
      <c r="K214" s="0" t="n">
        <v>0</v>
      </c>
      <c r="L214" s="176" t="n">
        <v>0.9875</v>
      </c>
      <c r="M214" s="176" t="n">
        <v>0.9875</v>
      </c>
      <c r="N214" s="0" t="n">
        <v>0.98</v>
      </c>
      <c r="O214" s="0" t="n">
        <v>0.9875</v>
      </c>
      <c r="P214" s="0" t="n">
        <v>0.98</v>
      </c>
      <c r="Q214" s="177" t="n">
        <v>0.9875</v>
      </c>
      <c r="R214" s="0" t="n">
        <v>0.9875</v>
      </c>
      <c r="S214" s="176" t="n">
        <v>0.9875</v>
      </c>
      <c r="T214" s="0" t="n">
        <v>0.98</v>
      </c>
      <c r="U214" s="0" t="n">
        <v>0.98</v>
      </c>
      <c r="V214" s="0" t="n">
        <v>0.98</v>
      </c>
      <c r="W214" s="0" t="n">
        <v>0.98</v>
      </c>
      <c r="X214" s="0" t="n">
        <v>0.9875</v>
      </c>
      <c r="Y214" s="0" t="n">
        <v>0.9875</v>
      </c>
      <c r="Z214" s="0" t="n">
        <v>0.9875</v>
      </c>
      <c r="AA214" s="0" t="n">
        <v>0.9875</v>
      </c>
      <c r="AB214" s="0" t="n">
        <v>0.98</v>
      </c>
      <c r="AC214" s="0" t="n">
        <v>0.98</v>
      </c>
      <c r="AD214" s="0" t="n">
        <v>0.9875</v>
      </c>
      <c r="AE214" s="0" t="n">
        <v>0.9875</v>
      </c>
      <c r="AF214" s="0" t="n">
        <v>0.98</v>
      </c>
      <c r="AG214" s="0" t="n">
        <v>0.99</v>
      </c>
      <c r="AH214" s="0" t="n">
        <v>0.9831919</v>
      </c>
      <c r="AI214" s="0" t="n">
        <v>0.9831919</v>
      </c>
      <c r="AJ214" s="0" t="n">
        <v>0.98</v>
      </c>
      <c r="AK214" s="0" t="n">
        <v>1</v>
      </c>
      <c r="AL214" s="0" t="n">
        <v>0</v>
      </c>
      <c r="AM214" s="0" t="n">
        <v>0</v>
      </c>
      <c r="BB214" s="187" t="n">
        <v>1</v>
      </c>
      <c r="BC214" s="0" t="n">
        <v>1</v>
      </c>
      <c r="BD214" s="0" t="n">
        <v>1</v>
      </c>
      <c r="BE214" s="0" t="n">
        <v>1</v>
      </c>
      <c r="BF214" s="0" t="n">
        <v>0.9999</v>
      </c>
      <c r="BG214" s="0" t="n">
        <v>1</v>
      </c>
      <c r="BH214" s="0" t="n">
        <v>1</v>
      </c>
      <c r="BI214" s="0" t="n">
        <v>0.99</v>
      </c>
      <c r="BJ214" s="0" t="n">
        <v>0.999</v>
      </c>
      <c r="BK214" s="0" t="n">
        <v>0.998</v>
      </c>
      <c r="BL214" s="0" t="n">
        <v>0.9985</v>
      </c>
      <c r="BM214" s="0" t="n">
        <v>0.9985</v>
      </c>
      <c r="BN214" s="0" t="n">
        <v>0.972</v>
      </c>
      <c r="BO214" s="0" t="n">
        <v>0.9999</v>
      </c>
      <c r="BP214" s="0" t="n">
        <v>0.9999</v>
      </c>
      <c r="BQ214" s="0" t="n">
        <v>1</v>
      </c>
      <c r="BR214" s="0" t="n">
        <v>1.1234276</v>
      </c>
      <c r="BS214" s="0" t="n">
        <v>1.1308</v>
      </c>
      <c r="BT214" s="0" t="n">
        <v>1.0827</v>
      </c>
      <c r="BU214" s="0" t="n">
        <v>1.0257</v>
      </c>
      <c r="BV214" s="0" t="n">
        <v>1</v>
      </c>
      <c r="BW214" s="0" t="n">
        <v>2.5962</v>
      </c>
      <c r="BX214" s="0" t="n">
        <v>2.329856333</v>
      </c>
      <c r="BY214" s="0" t="n">
        <v>1.16485</v>
      </c>
      <c r="BZ214" s="0" t="n">
        <v>1.2885</v>
      </c>
      <c r="CA214" s="0" t="n">
        <v>2.001</v>
      </c>
      <c r="CB214" s="0" t="n">
        <v>1.569005</v>
      </c>
      <c r="CC214" s="0" t="n">
        <v>1.569005</v>
      </c>
      <c r="CD214" s="0" t="n">
        <v>1.294905</v>
      </c>
      <c r="CE214" s="0" t="n">
        <v>1.105055</v>
      </c>
      <c r="CF214" s="0" t="n">
        <v>1.469405</v>
      </c>
      <c r="CG214" s="188"/>
      <c r="CH214" s="0" t="n">
        <v>1.10471</v>
      </c>
      <c r="CI214" s="188"/>
      <c r="CJ214" s="188"/>
      <c r="CK214" s="188"/>
      <c r="CL214" s="188"/>
      <c r="CM214" s="188"/>
      <c r="CN214" s="188"/>
      <c r="CO214" s="188"/>
      <c r="CP214" s="0" t="n">
        <v>0.965</v>
      </c>
      <c r="CV214" s="0" t="n">
        <v>0.47</v>
      </c>
      <c r="CW214" s="0" t="n">
        <v>0.935</v>
      </c>
      <c r="CX214" s="0" t="n">
        <v>0.735</v>
      </c>
      <c r="CZ214" s="0" t="n">
        <v>0.8825</v>
      </c>
      <c r="DA214" s="0" t="n">
        <v>0.915</v>
      </c>
      <c r="DB214" s="0" t="n">
        <v>0.88</v>
      </c>
      <c r="DC214" s="0" t="n">
        <v>0.9025</v>
      </c>
      <c r="DD214" s="0" t="n">
        <v>0.915</v>
      </c>
      <c r="DE214" s="0" t="n">
        <v>0.89</v>
      </c>
      <c r="DN214" s="188" t="n">
        <v>0.000285</v>
      </c>
      <c r="DO214" s="188" t="n">
        <v>0.0002</v>
      </c>
      <c r="DP214" s="188" t="n">
        <v>0</v>
      </c>
      <c r="DQ214" s="188" t="n">
        <v>0.0001</v>
      </c>
      <c r="DR214" s="188" t="n">
        <v>0</v>
      </c>
      <c r="DS214" s="188" t="n">
        <v>0.0036</v>
      </c>
      <c r="DT214" s="188" t="n">
        <v>0.00047</v>
      </c>
      <c r="DU214" s="188" t="n">
        <v>0.0007</v>
      </c>
      <c r="DV214" s="188" t="n">
        <v>0</v>
      </c>
      <c r="DW214" s="188" t="n">
        <v>0</v>
      </c>
      <c r="DX214" s="188" t="n">
        <v>0.0005</v>
      </c>
      <c r="DY214" s="188" t="n">
        <v>0.0005</v>
      </c>
      <c r="DZ214" s="188" t="n">
        <v>0.0003</v>
      </c>
      <c r="EA214" s="188" t="n">
        <v>0.000275</v>
      </c>
      <c r="EB214" s="188" t="n">
        <v>0.0004</v>
      </c>
      <c r="ED214" s="188" t="n">
        <v>6.5E-005</v>
      </c>
      <c r="EF214" s="0" t="n">
        <v>1</v>
      </c>
    </row>
    <row r="215" customFormat="false" ht="12.75" hidden="false" customHeight="false" outlineLevel="0" collapsed="false">
      <c r="A215" s="149" t="n">
        <v>42917</v>
      </c>
      <c r="B215" s="0" t="n">
        <v>0.98</v>
      </c>
      <c r="C215" s="0" t="n">
        <v>0</v>
      </c>
      <c r="E215" s="0" t="n">
        <v>0</v>
      </c>
      <c r="F215" s="0" t="n">
        <v>0</v>
      </c>
      <c r="G215" s="0" t="n">
        <v>0</v>
      </c>
      <c r="H215" s="0" t="n">
        <v>0.9875</v>
      </c>
      <c r="I215" s="0" t="n">
        <v>0.9875</v>
      </c>
      <c r="J215" s="0" t="n">
        <v>0.9805</v>
      </c>
      <c r="K215" s="0" t="n">
        <v>0</v>
      </c>
      <c r="L215" s="176" t="n">
        <v>0.9875</v>
      </c>
      <c r="M215" s="176" t="n">
        <v>0.9875</v>
      </c>
      <c r="N215" s="0" t="n">
        <v>0.98</v>
      </c>
      <c r="O215" s="0" t="n">
        <v>0.9875</v>
      </c>
      <c r="P215" s="0" t="n">
        <v>0.98</v>
      </c>
      <c r="Q215" s="177" t="n">
        <v>0.9875</v>
      </c>
      <c r="R215" s="0" t="n">
        <v>0.9875</v>
      </c>
      <c r="S215" s="176" t="n">
        <v>0.9875</v>
      </c>
      <c r="T215" s="0" t="n">
        <v>0.98</v>
      </c>
      <c r="U215" s="0" t="n">
        <v>0.98</v>
      </c>
      <c r="V215" s="0" t="n">
        <v>0.98</v>
      </c>
      <c r="W215" s="0" t="n">
        <v>0.98</v>
      </c>
      <c r="X215" s="0" t="n">
        <v>0.9875</v>
      </c>
      <c r="Y215" s="0" t="n">
        <v>0.9875</v>
      </c>
      <c r="Z215" s="0" t="n">
        <v>0.9875</v>
      </c>
      <c r="AA215" s="0" t="n">
        <v>0.9875</v>
      </c>
      <c r="AB215" s="0" t="n">
        <v>0.98</v>
      </c>
      <c r="AC215" s="0" t="n">
        <v>0.98</v>
      </c>
      <c r="AD215" s="0" t="n">
        <v>0.9875</v>
      </c>
      <c r="AE215" s="0" t="n">
        <v>0.9875</v>
      </c>
      <c r="AF215" s="0" t="n">
        <v>0.98</v>
      </c>
      <c r="AG215" s="0" t="n">
        <v>0.99</v>
      </c>
      <c r="AH215" s="0" t="n">
        <v>0.98324975</v>
      </c>
      <c r="AI215" s="0" t="n">
        <v>0.98324975</v>
      </c>
      <c r="AJ215" s="0" t="n">
        <v>0.98</v>
      </c>
      <c r="AK215" s="0" t="n">
        <v>1</v>
      </c>
      <c r="AL215" s="0" t="n">
        <v>0</v>
      </c>
      <c r="AM215" s="0" t="n">
        <v>0</v>
      </c>
      <c r="BB215" s="187" t="n">
        <v>1</v>
      </c>
      <c r="BC215" s="0" t="n">
        <v>1</v>
      </c>
      <c r="BD215" s="0" t="n">
        <v>1</v>
      </c>
      <c r="BE215" s="0" t="n">
        <v>1</v>
      </c>
      <c r="BF215" s="0" t="n">
        <v>0.9999</v>
      </c>
      <c r="BG215" s="0" t="n">
        <v>1</v>
      </c>
      <c r="BH215" s="0" t="n">
        <v>1</v>
      </c>
      <c r="BI215" s="0" t="n">
        <v>0.99</v>
      </c>
      <c r="BJ215" s="0" t="n">
        <v>0.999</v>
      </c>
      <c r="BK215" s="0" t="n">
        <v>0.998</v>
      </c>
      <c r="BL215" s="0" t="n">
        <v>0.9985</v>
      </c>
      <c r="BM215" s="0" t="n">
        <v>0.9985</v>
      </c>
      <c r="BN215" s="0" t="n">
        <v>0.972</v>
      </c>
      <c r="BO215" s="0" t="n">
        <v>0.9999</v>
      </c>
      <c r="BP215" s="0" t="n">
        <v>0.9999</v>
      </c>
      <c r="BQ215" s="0" t="n">
        <v>1</v>
      </c>
      <c r="BR215" s="0" t="n">
        <v>1.1237126</v>
      </c>
      <c r="BS215" s="0" t="n">
        <v>1.131</v>
      </c>
      <c r="BT215" s="0" t="n">
        <v>1.0827</v>
      </c>
      <c r="BU215" s="0" t="n">
        <v>1.0258</v>
      </c>
      <c r="BV215" s="0" t="n">
        <v>1</v>
      </c>
      <c r="BW215" s="0" t="n">
        <v>2.5998</v>
      </c>
      <c r="BX215" s="0" t="n">
        <v>2.330326333</v>
      </c>
      <c r="BY215" s="0" t="n">
        <v>1.16555</v>
      </c>
      <c r="BZ215" s="0" t="n">
        <v>1.2885</v>
      </c>
      <c r="CA215" s="0" t="n">
        <v>2.001</v>
      </c>
      <c r="CB215" s="0" t="n">
        <v>1.569505</v>
      </c>
      <c r="CC215" s="0" t="n">
        <v>1.569505</v>
      </c>
      <c r="CD215" s="0" t="n">
        <v>1.295205</v>
      </c>
      <c r="CE215" s="0" t="n">
        <v>1.10533</v>
      </c>
      <c r="CF215" s="0" t="n">
        <v>1.469805</v>
      </c>
      <c r="CG215" s="188"/>
      <c r="CH215" s="0" t="n">
        <v>1.104775</v>
      </c>
      <c r="CI215" s="188"/>
      <c r="CJ215" s="188"/>
      <c r="CK215" s="188"/>
      <c r="CL215" s="188"/>
      <c r="CM215" s="188"/>
      <c r="CN215" s="188"/>
      <c r="CO215" s="188"/>
      <c r="CP215" s="0" t="n">
        <v>0.975</v>
      </c>
      <c r="CV215" s="0" t="n">
        <v>0.47</v>
      </c>
      <c r="CW215" s="0" t="n">
        <v>0.935</v>
      </c>
      <c r="CX215" s="0" t="n">
        <v>0.755</v>
      </c>
      <c r="CZ215" s="0" t="n">
        <v>0.8775</v>
      </c>
      <c r="DA215" s="0" t="n">
        <v>0.91</v>
      </c>
      <c r="DB215" s="0" t="n">
        <v>0.89</v>
      </c>
      <c r="DC215" s="0" t="n">
        <v>0.9075</v>
      </c>
      <c r="DD215" s="0" t="n">
        <v>0.915</v>
      </c>
      <c r="DE215" s="0" t="n">
        <v>0.89</v>
      </c>
      <c r="DN215" s="188" t="n">
        <v>0.000285</v>
      </c>
      <c r="DO215" s="188" t="n">
        <v>0.0002</v>
      </c>
      <c r="DP215" s="188" t="n">
        <v>0</v>
      </c>
      <c r="DQ215" s="188" t="n">
        <v>0.0001</v>
      </c>
      <c r="DR215" s="188" t="n">
        <v>0</v>
      </c>
      <c r="DS215" s="188" t="n">
        <v>0.0036</v>
      </c>
      <c r="DT215" s="188" t="n">
        <v>0.00047</v>
      </c>
      <c r="DU215" s="188" t="n">
        <v>0.0007</v>
      </c>
      <c r="DV215" s="188" t="n">
        <v>0</v>
      </c>
      <c r="DW215" s="188" t="n">
        <v>0</v>
      </c>
      <c r="DX215" s="188" t="n">
        <v>0.0005</v>
      </c>
      <c r="DY215" s="188" t="n">
        <v>0.0005</v>
      </c>
      <c r="DZ215" s="188" t="n">
        <v>0.0003</v>
      </c>
      <c r="EA215" s="188" t="n">
        <v>0.000275</v>
      </c>
      <c r="EB215" s="188" t="n">
        <v>0.0004</v>
      </c>
      <c r="ED215" s="188" t="n">
        <v>6.5E-005</v>
      </c>
      <c r="EF215" s="0" t="n">
        <v>1</v>
      </c>
    </row>
    <row r="216" customFormat="false" ht="12.75" hidden="false" customHeight="false" outlineLevel="0" collapsed="false">
      <c r="A216" s="149" t="n">
        <v>42948</v>
      </c>
      <c r="B216" s="0" t="n">
        <v>0.98</v>
      </c>
      <c r="C216" s="0" t="n">
        <v>0</v>
      </c>
      <c r="E216" s="0" t="n">
        <v>0</v>
      </c>
      <c r="F216" s="0" t="n">
        <v>0</v>
      </c>
      <c r="G216" s="0" t="n">
        <v>0</v>
      </c>
      <c r="H216" s="0" t="n">
        <v>0.9875</v>
      </c>
      <c r="I216" s="0" t="n">
        <v>0.9875</v>
      </c>
      <c r="J216" s="0" t="n">
        <v>0.9805</v>
      </c>
      <c r="K216" s="0" t="n">
        <v>0</v>
      </c>
      <c r="L216" s="176" t="n">
        <v>0.9875</v>
      </c>
      <c r="M216" s="176" t="n">
        <v>0.9875</v>
      </c>
      <c r="N216" s="0" t="n">
        <v>0.98</v>
      </c>
      <c r="O216" s="0" t="n">
        <v>0.9875</v>
      </c>
      <c r="P216" s="0" t="n">
        <v>0.98</v>
      </c>
      <c r="Q216" s="177" t="n">
        <v>0.9875</v>
      </c>
      <c r="R216" s="0" t="n">
        <v>0.9875</v>
      </c>
      <c r="S216" s="176" t="n">
        <v>0.9875</v>
      </c>
      <c r="T216" s="0" t="n">
        <v>0.98</v>
      </c>
      <c r="U216" s="0" t="n">
        <v>0.98</v>
      </c>
      <c r="V216" s="0" t="n">
        <v>0.98</v>
      </c>
      <c r="W216" s="0" t="n">
        <v>0.98</v>
      </c>
      <c r="X216" s="0" t="n">
        <v>0.9875</v>
      </c>
      <c r="Y216" s="0" t="n">
        <v>0.9875</v>
      </c>
      <c r="Z216" s="0" t="n">
        <v>0.9875</v>
      </c>
      <c r="AA216" s="0" t="n">
        <v>0.9875</v>
      </c>
      <c r="AB216" s="0" t="n">
        <v>0.98</v>
      </c>
      <c r="AC216" s="0" t="n">
        <v>0.98</v>
      </c>
      <c r="AD216" s="0" t="n">
        <v>0.9875</v>
      </c>
      <c r="AE216" s="0" t="n">
        <v>0.9875</v>
      </c>
      <c r="AF216" s="0" t="n">
        <v>0.98</v>
      </c>
      <c r="AG216" s="0" t="n">
        <v>0.99</v>
      </c>
      <c r="AH216" s="0" t="n">
        <v>0.9833076</v>
      </c>
      <c r="AI216" s="0" t="n">
        <v>0.9833076</v>
      </c>
      <c r="AJ216" s="0" t="n">
        <v>0.98</v>
      </c>
      <c r="AK216" s="0" t="n">
        <v>1</v>
      </c>
      <c r="AL216" s="0" t="n">
        <v>0</v>
      </c>
      <c r="AM216" s="0" t="n">
        <v>0</v>
      </c>
      <c r="BB216" s="187" t="n">
        <v>1</v>
      </c>
      <c r="BC216" s="0" t="n">
        <v>1</v>
      </c>
      <c r="BD216" s="0" t="n">
        <v>1</v>
      </c>
      <c r="BE216" s="0" t="n">
        <v>1</v>
      </c>
      <c r="BF216" s="0" t="n">
        <v>0.9999</v>
      </c>
      <c r="BG216" s="0" t="n">
        <v>1</v>
      </c>
      <c r="BH216" s="0" t="n">
        <v>1</v>
      </c>
      <c r="BI216" s="0" t="n">
        <v>0.99</v>
      </c>
      <c r="BJ216" s="0" t="n">
        <v>0.999</v>
      </c>
      <c r="BK216" s="0" t="n">
        <v>0.998</v>
      </c>
      <c r="BL216" s="0" t="n">
        <v>0.9985</v>
      </c>
      <c r="BM216" s="0" t="n">
        <v>0.9985</v>
      </c>
      <c r="BN216" s="0" t="n">
        <v>0.972</v>
      </c>
      <c r="BO216" s="0" t="n">
        <v>0.9999</v>
      </c>
      <c r="BP216" s="0" t="n">
        <v>0.9999</v>
      </c>
      <c r="BQ216" s="0" t="n">
        <v>1</v>
      </c>
      <c r="BR216" s="0" t="n">
        <v>1.1239976</v>
      </c>
      <c r="BS216" s="0" t="n">
        <v>1.1312</v>
      </c>
      <c r="BT216" s="0" t="n">
        <v>1.0827</v>
      </c>
      <c r="BU216" s="0" t="n">
        <v>1.0259</v>
      </c>
      <c r="BV216" s="0" t="n">
        <v>1</v>
      </c>
      <c r="BW216" s="0" t="n">
        <v>2.6034</v>
      </c>
      <c r="BX216" s="0" t="n">
        <v>2.330796333</v>
      </c>
      <c r="BY216" s="0" t="n">
        <v>1.16625</v>
      </c>
      <c r="BZ216" s="0" t="n">
        <v>1.2885</v>
      </c>
      <c r="CA216" s="0" t="n">
        <v>2.001</v>
      </c>
      <c r="CB216" s="0" t="n">
        <v>1.570005</v>
      </c>
      <c r="CC216" s="0" t="n">
        <v>1.570005</v>
      </c>
      <c r="CD216" s="0" t="n">
        <v>1.295505</v>
      </c>
      <c r="CE216" s="0" t="n">
        <v>1.105605</v>
      </c>
      <c r="CF216" s="0" t="n">
        <v>1.470205</v>
      </c>
      <c r="CG216" s="188"/>
      <c r="CH216" s="0" t="n">
        <v>1.10484</v>
      </c>
      <c r="CI216" s="188"/>
      <c r="CJ216" s="188"/>
      <c r="CK216" s="188"/>
      <c r="CL216" s="188"/>
      <c r="CM216" s="188"/>
      <c r="CN216" s="188"/>
      <c r="CO216" s="188"/>
      <c r="CP216" s="0" t="n">
        <v>0.975</v>
      </c>
      <c r="CV216" s="0" t="n">
        <v>0.52</v>
      </c>
      <c r="CW216" s="0" t="n">
        <v>0.925</v>
      </c>
      <c r="CX216" s="0" t="n">
        <v>0.845</v>
      </c>
      <c r="CZ216" s="0" t="n">
        <v>0.89</v>
      </c>
      <c r="DA216" s="0" t="n">
        <v>0.9225</v>
      </c>
      <c r="DB216" s="0" t="n">
        <v>0.915</v>
      </c>
      <c r="DC216" s="0" t="n">
        <v>0.9275</v>
      </c>
      <c r="DD216" s="0" t="n">
        <v>0.915</v>
      </c>
      <c r="DE216" s="0" t="n">
        <v>0.89</v>
      </c>
      <c r="DN216" s="188" t="n">
        <v>0.000285</v>
      </c>
      <c r="DO216" s="188" t="n">
        <v>0.0002</v>
      </c>
      <c r="DP216" s="188" t="n">
        <v>0</v>
      </c>
      <c r="DQ216" s="188" t="n">
        <v>0.0001</v>
      </c>
      <c r="DR216" s="188" t="n">
        <v>0</v>
      </c>
      <c r="DS216" s="188" t="n">
        <v>0.0036</v>
      </c>
      <c r="DT216" s="188" t="n">
        <v>0.00047</v>
      </c>
      <c r="DU216" s="188" t="n">
        <v>0.0007</v>
      </c>
      <c r="DV216" s="188" t="n">
        <v>0</v>
      </c>
      <c r="DW216" s="188" t="n">
        <v>0</v>
      </c>
      <c r="DX216" s="188" t="n">
        <v>0.0005</v>
      </c>
      <c r="DY216" s="188" t="n">
        <v>0.0005</v>
      </c>
      <c r="DZ216" s="188" t="n">
        <v>0.0003</v>
      </c>
      <c r="EA216" s="188" t="n">
        <v>0.000275</v>
      </c>
      <c r="EB216" s="188" t="n">
        <v>0.0004</v>
      </c>
      <c r="ED216" s="188" t="n">
        <v>6.5E-005</v>
      </c>
      <c r="EF216" s="0" t="n">
        <v>1</v>
      </c>
    </row>
    <row r="217" customFormat="false" ht="12.75" hidden="false" customHeight="false" outlineLevel="0" collapsed="false">
      <c r="A217" s="149" t="n">
        <v>42979</v>
      </c>
      <c r="B217" s="0" t="n">
        <v>0.98</v>
      </c>
      <c r="C217" s="0" t="n">
        <v>0</v>
      </c>
      <c r="E217" s="0" t="n">
        <v>0</v>
      </c>
      <c r="F217" s="0" t="n">
        <v>0</v>
      </c>
      <c r="G217" s="0" t="n">
        <v>0</v>
      </c>
      <c r="H217" s="0" t="n">
        <v>0.9875</v>
      </c>
      <c r="I217" s="0" t="n">
        <v>0.9875</v>
      </c>
      <c r="J217" s="0" t="n">
        <v>0.9805</v>
      </c>
      <c r="K217" s="0" t="n">
        <v>0</v>
      </c>
      <c r="L217" s="176" t="n">
        <v>0.9875</v>
      </c>
      <c r="M217" s="176" t="n">
        <v>0.9875</v>
      </c>
      <c r="N217" s="0" t="n">
        <v>0.98</v>
      </c>
      <c r="O217" s="0" t="n">
        <v>0.9875</v>
      </c>
      <c r="P217" s="0" t="n">
        <v>0.98</v>
      </c>
      <c r="Q217" s="177" t="n">
        <v>0.9875</v>
      </c>
      <c r="R217" s="0" t="n">
        <v>0.9875</v>
      </c>
      <c r="S217" s="176" t="n">
        <v>0.9875</v>
      </c>
      <c r="T217" s="0" t="n">
        <v>0.98</v>
      </c>
      <c r="U217" s="0" t="n">
        <v>0.98</v>
      </c>
      <c r="V217" s="0" t="n">
        <v>0.98</v>
      </c>
      <c r="W217" s="0" t="n">
        <v>0.98</v>
      </c>
      <c r="X217" s="0" t="n">
        <v>0.9875</v>
      </c>
      <c r="Y217" s="0" t="n">
        <v>0.9875</v>
      </c>
      <c r="Z217" s="0" t="n">
        <v>0.9875</v>
      </c>
      <c r="AA217" s="0" t="n">
        <v>0.9875</v>
      </c>
      <c r="AB217" s="0" t="n">
        <v>0.98</v>
      </c>
      <c r="AC217" s="0" t="n">
        <v>0.98</v>
      </c>
      <c r="AD217" s="0" t="n">
        <v>0.9875</v>
      </c>
      <c r="AE217" s="0" t="n">
        <v>0.9875</v>
      </c>
      <c r="AF217" s="0" t="n">
        <v>0.98</v>
      </c>
      <c r="AG217" s="0" t="n">
        <v>0.99</v>
      </c>
      <c r="AH217" s="0" t="n">
        <v>0.98336545</v>
      </c>
      <c r="AI217" s="0" t="n">
        <v>0.98336545</v>
      </c>
      <c r="AJ217" s="0" t="n">
        <v>0.98</v>
      </c>
      <c r="AK217" s="0" t="n">
        <v>1</v>
      </c>
      <c r="AL217" s="0" t="n">
        <v>0</v>
      </c>
      <c r="AM217" s="0" t="n">
        <v>0</v>
      </c>
      <c r="BB217" s="187" t="n">
        <v>1</v>
      </c>
      <c r="BC217" s="0" t="n">
        <v>1</v>
      </c>
      <c r="BD217" s="0" t="n">
        <v>1</v>
      </c>
      <c r="BE217" s="0" t="n">
        <v>1</v>
      </c>
      <c r="BF217" s="0" t="n">
        <v>0.9999</v>
      </c>
      <c r="BG217" s="0" t="n">
        <v>1</v>
      </c>
      <c r="BH217" s="0" t="n">
        <v>1</v>
      </c>
      <c r="BI217" s="0" t="n">
        <v>0.99</v>
      </c>
      <c r="BJ217" s="0" t="n">
        <v>0.999</v>
      </c>
      <c r="BK217" s="0" t="n">
        <v>0.998</v>
      </c>
      <c r="BL217" s="0" t="n">
        <v>0.9985</v>
      </c>
      <c r="BM217" s="0" t="n">
        <v>0.9985</v>
      </c>
      <c r="BN217" s="0" t="n">
        <v>0.972</v>
      </c>
      <c r="BO217" s="0" t="n">
        <v>0.9999</v>
      </c>
      <c r="BP217" s="0" t="n">
        <v>0.9999</v>
      </c>
      <c r="BQ217" s="0" t="n">
        <v>1</v>
      </c>
      <c r="BR217" s="0" t="n">
        <v>1.1242826</v>
      </c>
      <c r="BS217" s="0" t="n">
        <v>1.1314</v>
      </c>
      <c r="BT217" s="0" t="n">
        <v>1.0827</v>
      </c>
      <c r="BU217" s="0" t="n">
        <v>1.026</v>
      </c>
      <c r="BV217" s="0" t="n">
        <v>1</v>
      </c>
      <c r="BW217" s="0" t="n">
        <v>2.607</v>
      </c>
      <c r="BX217" s="0" t="n">
        <v>2.331266333</v>
      </c>
      <c r="BY217" s="0" t="n">
        <v>1.16695</v>
      </c>
      <c r="BZ217" s="0" t="n">
        <v>1.2885</v>
      </c>
      <c r="CA217" s="0" t="n">
        <v>2.001</v>
      </c>
      <c r="CB217" s="0" t="n">
        <v>1.570505</v>
      </c>
      <c r="CC217" s="0" t="n">
        <v>1.570505</v>
      </c>
      <c r="CD217" s="0" t="n">
        <v>1.295805</v>
      </c>
      <c r="CE217" s="0" t="n">
        <v>1.10588</v>
      </c>
      <c r="CF217" s="0" t="n">
        <v>1.470605</v>
      </c>
      <c r="CG217" s="188"/>
      <c r="CH217" s="0" t="n">
        <v>1.104905</v>
      </c>
      <c r="CI217" s="188"/>
      <c r="CJ217" s="188"/>
      <c r="CK217" s="188"/>
      <c r="CL217" s="188"/>
      <c r="CM217" s="188"/>
      <c r="CN217" s="188"/>
      <c r="CO217" s="188"/>
      <c r="CP217" s="0" t="n">
        <v>0.975</v>
      </c>
      <c r="CV217" s="0" t="n">
        <v>0.55</v>
      </c>
      <c r="CW217" s="0" t="n">
        <v>0.925</v>
      </c>
      <c r="CX217" s="0" t="n">
        <v>0.705</v>
      </c>
      <c r="CZ217" s="0" t="n">
        <v>0.945</v>
      </c>
      <c r="DA217" s="0" t="n">
        <v>0.9775</v>
      </c>
      <c r="DB217" s="0" t="n">
        <v>0.945</v>
      </c>
      <c r="DC217" s="0" t="n">
        <v>0.92</v>
      </c>
      <c r="DD217" s="0" t="n">
        <v>0.915</v>
      </c>
      <c r="DE217" s="0" t="n">
        <v>0.89</v>
      </c>
      <c r="DN217" s="188" t="n">
        <v>0.000285</v>
      </c>
      <c r="DO217" s="188" t="n">
        <v>0.0002</v>
      </c>
      <c r="DP217" s="188" t="n">
        <v>0</v>
      </c>
      <c r="DQ217" s="188" t="n">
        <v>0.0001</v>
      </c>
      <c r="DR217" s="188" t="n">
        <v>0</v>
      </c>
      <c r="DS217" s="188" t="n">
        <v>0.0036</v>
      </c>
      <c r="DT217" s="188" t="n">
        <v>0.00047</v>
      </c>
      <c r="DU217" s="188" t="n">
        <v>0.0007</v>
      </c>
      <c r="DV217" s="188" t="n">
        <v>0</v>
      </c>
      <c r="DW217" s="188" t="n">
        <v>0</v>
      </c>
      <c r="DX217" s="188" t="n">
        <v>0.0005</v>
      </c>
      <c r="DY217" s="188" t="n">
        <v>0.0005</v>
      </c>
      <c r="DZ217" s="188" t="n">
        <v>0.0003</v>
      </c>
      <c r="EA217" s="188" t="n">
        <v>0.000275</v>
      </c>
      <c r="EB217" s="188" t="n">
        <v>0.0004</v>
      </c>
      <c r="ED217" s="188" t="n">
        <v>6.5E-005</v>
      </c>
      <c r="EF217" s="0" t="n">
        <v>1</v>
      </c>
    </row>
    <row r="218" customFormat="false" ht="12.75" hidden="false" customHeight="false" outlineLevel="0" collapsed="false">
      <c r="A218" s="149" t="n">
        <v>43009</v>
      </c>
      <c r="B218" s="0" t="n">
        <v>0.98</v>
      </c>
      <c r="C218" s="0" t="n">
        <v>0</v>
      </c>
      <c r="E218" s="0" t="n">
        <v>0</v>
      </c>
      <c r="F218" s="0" t="n">
        <v>0</v>
      </c>
      <c r="G218" s="0" t="n">
        <v>0</v>
      </c>
      <c r="H218" s="0" t="n">
        <v>0.9875</v>
      </c>
      <c r="I218" s="0" t="n">
        <v>0.9875</v>
      </c>
      <c r="J218" s="0" t="n">
        <v>0.9805</v>
      </c>
      <c r="K218" s="0" t="n">
        <v>0</v>
      </c>
      <c r="L218" s="176" t="n">
        <v>0.9875</v>
      </c>
      <c r="M218" s="176" t="n">
        <v>0.9875</v>
      </c>
      <c r="N218" s="0" t="n">
        <v>0.98</v>
      </c>
      <c r="O218" s="0" t="n">
        <v>0.9875</v>
      </c>
      <c r="P218" s="0" t="n">
        <v>0.98</v>
      </c>
      <c r="Q218" s="177" t="n">
        <v>0.9875</v>
      </c>
      <c r="R218" s="0" t="n">
        <v>0.9875</v>
      </c>
      <c r="S218" s="176" t="n">
        <v>0.9875</v>
      </c>
      <c r="T218" s="0" t="n">
        <v>0.98</v>
      </c>
      <c r="U218" s="0" t="n">
        <v>0.98</v>
      </c>
      <c r="V218" s="0" t="n">
        <v>0.98</v>
      </c>
      <c r="W218" s="0" t="n">
        <v>0.98</v>
      </c>
      <c r="X218" s="0" t="n">
        <v>0.9875</v>
      </c>
      <c r="Y218" s="0" t="n">
        <v>0.9875</v>
      </c>
      <c r="Z218" s="0" t="n">
        <v>0.9875</v>
      </c>
      <c r="AA218" s="0" t="n">
        <v>0.9875</v>
      </c>
      <c r="AB218" s="0" t="n">
        <v>0.98</v>
      </c>
      <c r="AC218" s="0" t="n">
        <v>0.98</v>
      </c>
      <c r="AD218" s="0" t="n">
        <v>0.9875</v>
      </c>
      <c r="AE218" s="0" t="n">
        <v>0.9875</v>
      </c>
      <c r="AF218" s="0" t="n">
        <v>0.98</v>
      </c>
      <c r="AG218" s="0" t="n">
        <v>0.99</v>
      </c>
      <c r="AH218" s="0" t="n">
        <v>0.9834233</v>
      </c>
      <c r="AI218" s="0" t="n">
        <v>0.9834233</v>
      </c>
      <c r="AJ218" s="0" t="n">
        <v>0.98</v>
      </c>
      <c r="AK218" s="0" t="n">
        <v>1</v>
      </c>
      <c r="AL218" s="0" t="n">
        <v>0</v>
      </c>
      <c r="AM218" s="0" t="n">
        <v>0</v>
      </c>
      <c r="BB218" s="187" t="n">
        <v>1</v>
      </c>
      <c r="BC218" s="0" t="n">
        <v>1</v>
      </c>
      <c r="BD218" s="0" t="n">
        <v>1</v>
      </c>
      <c r="BE218" s="0" t="n">
        <v>1</v>
      </c>
      <c r="BF218" s="0" t="n">
        <v>0.9999</v>
      </c>
      <c r="BG218" s="0" t="n">
        <v>1</v>
      </c>
      <c r="BH218" s="0" t="n">
        <v>1</v>
      </c>
      <c r="BI218" s="0" t="n">
        <v>0.99</v>
      </c>
      <c r="BJ218" s="0" t="n">
        <v>0.999</v>
      </c>
      <c r="BK218" s="0" t="n">
        <v>0.998</v>
      </c>
      <c r="BL218" s="0" t="n">
        <v>0.9985</v>
      </c>
      <c r="BM218" s="0" t="n">
        <v>0.9985</v>
      </c>
      <c r="BN218" s="0" t="n">
        <v>0.972</v>
      </c>
      <c r="BO218" s="0" t="n">
        <v>0.9999</v>
      </c>
      <c r="BP218" s="0" t="n">
        <v>0.9999</v>
      </c>
      <c r="BQ218" s="0" t="n">
        <v>1</v>
      </c>
      <c r="BR218" s="0" t="n">
        <v>1.1245676</v>
      </c>
      <c r="BS218" s="0" t="n">
        <v>1.1316</v>
      </c>
      <c r="BT218" s="0" t="n">
        <v>1.0827</v>
      </c>
      <c r="BU218" s="0" t="n">
        <v>1.0261</v>
      </c>
      <c r="BV218" s="0" t="n">
        <v>1</v>
      </c>
      <c r="BW218" s="0" t="n">
        <v>2.6106</v>
      </c>
      <c r="BX218" s="0" t="n">
        <v>2.331736333</v>
      </c>
      <c r="BY218" s="0" t="n">
        <v>1.16765</v>
      </c>
      <c r="BZ218" s="0" t="n">
        <v>1.2885</v>
      </c>
      <c r="CA218" s="0" t="n">
        <v>2.001</v>
      </c>
      <c r="CB218" s="0" t="n">
        <v>1.571005</v>
      </c>
      <c r="CC218" s="0" t="n">
        <v>1.571005</v>
      </c>
      <c r="CD218" s="0" t="n">
        <v>1.296105</v>
      </c>
      <c r="CE218" s="0" t="n">
        <v>1.106155</v>
      </c>
      <c r="CF218" s="0" t="n">
        <v>1.471005</v>
      </c>
      <c r="CG218" s="188"/>
      <c r="CH218" s="0" t="n">
        <v>1.10497</v>
      </c>
      <c r="CI218" s="188"/>
      <c r="CJ218" s="188"/>
      <c r="CK218" s="188"/>
      <c r="CL218" s="188"/>
      <c r="CM218" s="188"/>
      <c r="CN218" s="188"/>
      <c r="CO218" s="188"/>
      <c r="CP218" s="0" t="n">
        <v>0.955</v>
      </c>
      <c r="CV218" s="0" t="n">
        <v>0.45</v>
      </c>
      <c r="CW218" s="0" t="n">
        <v>0.925</v>
      </c>
      <c r="CX218" s="0" t="n">
        <v>0.695</v>
      </c>
      <c r="CZ218" s="0" t="n">
        <v>0.805</v>
      </c>
      <c r="DA218" s="0" t="n">
        <v>0.8375</v>
      </c>
      <c r="DB218" s="0" t="n">
        <v>0.875</v>
      </c>
      <c r="DC218" s="0" t="n">
        <v>0.9025</v>
      </c>
      <c r="DD218" s="0" t="n">
        <v>0.82</v>
      </c>
      <c r="DE218" s="0" t="n">
        <v>0.89</v>
      </c>
      <c r="DN218" s="188" t="n">
        <v>0.000285</v>
      </c>
      <c r="DO218" s="188" t="n">
        <v>0.0002</v>
      </c>
      <c r="DP218" s="188" t="n">
        <v>0</v>
      </c>
      <c r="DQ218" s="188" t="n">
        <v>0.0001</v>
      </c>
      <c r="DR218" s="188" t="n">
        <v>0</v>
      </c>
      <c r="DS218" s="188" t="n">
        <v>0.0036</v>
      </c>
      <c r="DT218" s="188" t="n">
        <v>0.00047</v>
      </c>
      <c r="DU218" s="188" t="n">
        <v>0.0007</v>
      </c>
      <c r="DV218" s="188" t="n">
        <v>0</v>
      </c>
      <c r="DW218" s="188" t="n">
        <v>0</v>
      </c>
      <c r="DX218" s="188" t="n">
        <v>0.0005</v>
      </c>
      <c r="DY218" s="188" t="n">
        <v>0.0005</v>
      </c>
      <c r="DZ218" s="188" t="n">
        <v>0.0003</v>
      </c>
      <c r="EA218" s="188" t="n">
        <v>0.000275</v>
      </c>
      <c r="EB218" s="188" t="n">
        <v>0.0004</v>
      </c>
      <c r="ED218" s="188" t="n">
        <v>6.5E-005</v>
      </c>
      <c r="EF218" s="0" t="n">
        <v>1</v>
      </c>
    </row>
    <row r="219" customFormat="false" ht="12.75" hidden="false" customHeight="false" outlineLevel="0" collapsed="false">
      <c r="A219" s="149" t="n">
        <v>43040</v>
      </c>
      <c r="B219" s="0" t="n">
        <v>0.98</v>
      </c>
      <c r="C219" s="0" t="n">
        <v>0</v>
      </c>
      <c r="E219" s="0" t="n">
        <v>0</v>
      </c>
      <c r="F219" s="0" t="n">
        <v>0</v>
      </c>
      <c r="G219" s="0" t="n">
        <v>0</v>
      </c>
      <c r="H219" s="0" t="n">
        <v>0.9875</v>
      </c>
      <c r="I219" s="0" t="n">
        <v>0.9875</v>
      </c>
      <c r="J219" s="0" t="n">
        <v>0.9805</v>
      </c>
      <c r="K219" s="0" t="n">
        <v>0</v>
      </c>
      <c r="L219" s="176" t="n">
        <v>0.9875</v>
      </c>
      <c r="M219" s="176" t="n">
        <v>0.9875</v>
      </c>
      <c r="N219" s="0" t="n">
        <v>0.98</v>
      </c>
      <c r="O219" s="0" t="n">
        <v>0.9875</v>
      </c>
      <c r="P219" s="0" t="n">
        <v>0.98</v>
      </c>
      <c r="Q219" s="177" t="n">
        <v>0.9875</v>
      </c>
      <c r="R219" s="0" t="n">
        <v>0.9875</v>
      </c>
      <c r="S219" s="176" t="n">
        <v>0.9875</v>
      </c>
      <c r="T219" s="0" t="n">
        <v>0.98</v>
      </c>
      <c r="U219" s="0" t="n">
        <v>0.98</v>
      </c>
      <c r="V219" s="0" t="n">
        <v>0.98</v>
      </c>
      <c r="W219" s="0" t="n">
        <v>0.98</v>
      </c>
      <c r="X219" s="0" t="n">
        <v>0.9875</v>
      </c>
      <c r="Y219" s="0" t="n">
        <v>0.9875</v>
      </c>
      <c r="Z219" s="0" t="n">
        <v>0.9875</v>
      </c>
      <c r="AA219" s="0" t="n">
        <v>0.9875</v>
      </c>
      <c r="AB219" s="0" t="n">
        <v>0.98</v>
      </c>
      <c r="AC219" s="0" t="n">
        <v>0.98</v>
      </c>
      <c r="AD219" s="0" t="n">
        <v>0.9875</v>
      </c>
      <c r="AE219" s="0" t="n">
        <v>0.9875</v>
      </c>
      <c r="AF219" s="0" t="n">
        <v>0.98</v>
      </c>
      <c r="AG219" s="0" t="n">
        <v>0.99</v>
      </c>
      <c r="AH219" s="0" t="n">
        <v>0.98348115</v>
      </c>
      <c r="AI219" s="0" t="n">
        <v>0.98348115</v>
      </c>
      <c r="AJ219" s="0" t="n">
        <v>0.98</v>
      </c>
      <c r="AK219" s="0" t="n">
        <v>1</v>
      </c>
      <c r="AL219" s="0" t="n">
        <v>0</v>
      </c>
      <c r="AM219" s="0" t="n">
        <v>0</v>
      </c>
      <c r="BB219" s="187" t="n">
        <v>1</v>
      </c>
      <c r="BC219" s="0" t="n">
        <v>1</v>
      </c>
      <c r="BD219" s="0" t="n">
        <v>1</v>
      </c>
      <c r="BE219" s="0" t="n">
        <v>1</v>
      </c>
      <c r="BF219" s="0" t="n">
        <v>0.9999</v>
      </c>
      <c r="BG219" s="0" t="n">
        <v>1</v>
      </c>
      <c r="BH219" s="0" t="n">
        <v>1</v>
      </c>
      <c r="BI219" s="0" t="n">
        <v>0.99</v>
      </c>
      <c r="BJ219" s="0" t="n">
        <v>0.999</v>
      </c>
      <c r="BK219" s="0" t="n">
        <v>0.998</v>
      </c>
      <c r="BL219" s="0" t="n">
        <v>0.9985</v>
      </c>
      <c r="BM219" s="0" t="n">
        <v>0.9985</v>
      </c>
      <c r="BN219" s="0" t="n">
        <v>0.972</v>
      </c>
      <c r="BO219" s="0" t="n">
        <v>0.9999</v>
      </c>
      <c r="BP219" s="0" t="n">
        <v>0.9999</v>
      </c>
      <c r="BQ219" s="0" t="n">
        <v>1</v>
      </c>
      <c r="BR219" s="0" t="n">
        <v>1.1248526</v>
      </c>
      <c r="BS219" s="0" t="n">
        <v>1.1318</v>
      </c>
      <c r="BT219" s="0" t="n">
        <v>1.0827</v>
      </c>
      <c r="BU219" s="0" t="n">
        <v>1.0262</v>
      </c>
      <c r="BV219" s="0" t="n">
        <v>1</v>
      </c>
      <c r="BW219" s="0" t="n">
        <v>2.6142</v>
      </c>
      <c r="BX219" s="0" t="n">
        <v>2.332206333</v>
      </c>
      <c r="BY219" s="0" t="n">
        <v>1.16835</v>
      </c>
      <c r="BZ219" s="0" t="n">
        <v>1.2885</v>
      </c>
      <c r="CA219" s="0" t="n">
        <v>2.001</v>
      </c>
      <c r="CB219" s="0" t="n">
        <v>1.571505</v>
      </c>
      <c r="CC219" s="0" t="n">
        <v>1.571505</v>
      </c>
      <c r="CD219" s="0" t="n">
        <v>1.296405</v>
      </c>
      <c r="CE219" s="0" t="n">
        <v>1.10643</v>
      </c>
      <c r="CF219" s="0" t="n">
        <v>1.471405</v>
      </c>
      <c r="CG219" s="188"/>
      <c r="CH219" s="0" t="n">
        <v>1.105035</v>
      </c>
      <c r="CI219" s="188"/>
      <c r="CJ219" s="188"/>
      <c r="CK219" s="188"/>
      <c r="CL219" s="188"/>
      <c r="CM219" s="188"/>
      <c r="CN219" s="188"/>
      <c r="CO219" s="188"/>
      <c r="CP219" s="0" t="n">
        <v>0.955</v>
      </c>
      <c r="CV219" s="0" t="n">
        <v>0.46</v>
      </c>
      <c r="CW219" s="0" t="n">
        <v>0.905</v>
      </c>
      <c r="CX219" s="0" t="n">
        <v>0.655</v>
      </c>
      <c r="CZ219" s="0" t="n">
        <v>0.795</v>
      </c>
      <c r="DA219" s="0" t="n">
        <v>0.8275</v>
      </c>
      <c r="DB219" s="0" t="n">
        <v>0.85</v>
      </c>
      <c r="DC219" s="0" t="n">
        <v>0.9025</v>
      </c>
      <c r="DD219" s="0" t="n">
        <v>0.82</v>
      </c>
      <c r="DE219" s="0" t="n">
        <v>0.89</v>
      </c>
      <c r="DN219" s="188" t="n">
        <v>0.000285</v>
      </c>
      <c r="DO219" s="188" t="n">
        <v>0.0002</v>
      </c>
      <c r="DP219" s="188" t="n">
        <v>0</v>
      </c>
      <c r="DQ219" s="188" t="n">
        <v>0.0001</v>
      </c>
      <c r="DR219" s="188" t="n">
        <v>0</v>
      </c>
      <c r="DS219" s="188" t="n">
        <v>0.0036</v>
      </c>
      <c r="DT219" s="188" t="n">
        <v>0.00047</v>
      </c>
      <c r="DU219" s="188" t="n">
        <v>0.0007</v>
      </c>
      <c r="DV219" s="188" t="n">
        <v>0</v>
      </c>
      <c r="DW219" s="188" t="n">
        <v>0</v>
      </c>
      <c r="DX219" s="188" t="n">
        <v>0.0005</v>
      </c>
      <c r="DY219" s="188" t="n">
        <v>0.0005</v>
      </c>
      <c r="DZ219" s="188" t="n">
        <v>0.0003</v>
      </c>
      <c r="EA219" s="188" t="n">
        <v>0.000275</v>
      </c>
      <c r="EB219" s="188" t="n">
        <v>0.0004</v>
      </c>
      <c r="ED219" s="188" t="n">
        <v>6.5E-005</v>
      </c>
      <c r="EF219" s="0" t="n">
        <v>1</v>
      </c>
    </row>
    <row r="220" customFormat="false" ht="12.75" hidden="false" customHeight="false" outlineLevel="0" collapsed="false">
      <c r="A220" s="149" t="n">
        <v>43070</v>
      </c>
      <c r="B220" s="0" t="n">
        <v>0.98</v>
      </c>
      <c r="C220" s="0" t="n">
        <v>0</v>
      </c>
      <c r="E220" s="0" t="n">
        <v>0</v>
      </c>
      <c r="F220" s="0" t="n">
        <v>0</v>
      </c>
      <c r="G220" s="0" t="n">
        <v>0</v>
      </c>
      <c r="H220" s="0" t="n">
        <v>0.9875</v>
      </c>
      <c r="I220" s="0" t="n">
        <v>0.9875</v>
      </c>
      <c r="J220" s="0" t="n">
        <v>0.9805</v>
      </c>
      <c r="K220" s="0" t="n">
        <v>0</v>
      </c>
      <c r="L220" s="176" t="n">
        <v>0.92748295</v>
      </c>
      <c r="M220" s="176" t="n">
        <v>0.978573112</v>
      </c>
      <c r="N220" s="0" t="n">
        <v>0.89472645</v>
      </c>
      <c r="O220" s="0" t="n">
        <v>0.9875</v>
      </c>
      <c r="P220" s="0" t="n">
        <v>0.89472645</v>
      </c>
      <c r="Q220" s="177" t="n">
        <v>0.92748295</v>
      </c>
      <c r="R220" s="0" t="n">
        <v>0.92748295</v>
      </c>
      <c r="S220" s="176" t="n">
        <v>0.92748295</v>
      </c>
      <c r="T220" s="0" t="n">
        <v>0.89472645</v>
      </c>
      <c r="U220" s="0" t="n">
        <v>0.89472645</v>
      </c>
      <c r="V220" s="0" t="n">
        <v>0.89472645</v>
      </c>
      <c r="W220" s="0" t="n">
        <v>0.89472645</v>
      </c>
      <c r="X220" s="0" t="n">
        <v>0.9875</v>
      </c>
      <c r="Y220" s="0" t="n">
        <v>0.9875</v>
      </c>
      <c r="Z220" s="0" t="n">
        <v>0.9875</v>
      </c>
      <c r="AA220" s="0" t="n">
        <v>0.9875</v>
      </c>
      <c r="AB220" s="0" t="n">
        <v>0.89472645</v>
      </c>
      <c r="AC220" s="0" t="n">
        <v>0.89472645</v>
      </c>
      <c r="AD220" s="0" t="n">
        <v>0.9875</v>
      </c>
      <c r="AE220" s="0" t="n">
        <v>0.9875</v>
      </c>
      <c r="AF220" s="0" t="n">
        <v>0.89472645</v>
      </c>
      <c r="AG220" s="0" t="n">
        <v>0.98</v>
      </c>
      <c r="AH220" s="0" t="n">
        <v>0.983539</v>
      </c>
      <c r="AI220" s="0" t="n">
        <v>0.983539</v>
      </c>
      <c r="AJ220" s="0" t="n">
        <v>0.89472645</v>
      </c>
      <c r="AK220" s="0" t="n">
        <v>1</v>
      </c>
      <c r="AL220" s="0" t="n">
        <v>0</v>
      </c>
      <c r="AM220" s="0" t="n">
        <v>0</v>
      </c>
      <c r="BB220" s="187" t="n">
        <v>1</v>
      </c>
      <c r="BC220" s="0" t="n">
        <v>1</v>
      </c>
      <c r="BD220" s="0" t="n">
        <v>1</v>
      </c>
      <c r="BE220" s="0" t="n">
        <v>1</v>
      </c>
      <c r="BF220" s="0" t="n">
        <v>0.9999</v>
      </c>
      <c r="BG220" s="0" t="n">
        <v>1</v>
      </c>
      <c r="BH220" s="0" t="n">
        <v>1</v>
      </c>
      <c r="BI220" s="0" t="n">
        <v>0.99</v>
      </c>
      <c r="BJ220" s="0" t="n">
        <v>0.999</v>
      </c>
      <c r="BK220" s="0" t="n">
        <v>0.998</v>
      </c>
      <c r="BL220" s="0" t="n">
        <v>0.9985</v>
      </c>
      <c r="BM220" s="0" t="n">
        <v>0.9985</v>
      </c>
      <c r="BN220" s="0" t="n">
        <v>0.972</v>
      </c>
      <c r="BO220" s="0" t="n">
        <v>0.9999</v>
      </c>
      <c r="BP220" s="0" t="n">
        <v>0.9999</v>
      </c>
      <c r="BQ220" s="0" t="n">
        <v>1</v>
      </c>
      <c r="BR220" s="0" t="n">
        <v>1.1251376</v>
      </c>
      <c r="BS220" s="0" t="n">
        <v>1.132</v>
      </c>
      <c r="BT220" s="0" t="n">
        <v>1.0827</v>
      </c>
      <c r="BU220" s="0" t="n">
        <v>1.0263</v>
      </c>
      <c r="BV220" s="0" t="n">
        <v>1</v>
      </c>
      <c r="BW220" s="0" t="n">
        <v>2.6178</v>
      </c>
      <c r="BX220" s="0" t="n">
        <v>2.332676333</v>
      </c>
      <c r="BY220" s="0" t="n">
        <v>1.16905</v>
      </c>
      <c r="BZ220" s="0" t="n">
        <v>1.2885</v>
      </c>
      <c r="CA220" s="0" t="n">
        <v>2.001</v>
      </c>
      <c r="CB220" s="0" t="n">
        <v>1.572005</v>
      </c>
      <c r="CC220" s="0" t="n">
        <v>1.572005</v>
      </c>
      <c r="CD220" s="0" t="n">
        <v>1.296705</v>
      </c>
      <c r="CE220" s="0" t="n">
        <v>1.106705</v>
      </c>
      <c r="CF220" s="0" t="n">
        <v>1.471805</v>
      </c>
      <c r="CG220" s="188"/>
      <c r="CH220" s="0" t="n">
        <v>1.1051</v>
      </c>
      <c r="CI220" s="188"/>
      <c r="CJ220" s="188"/>
      <c r="CK220" s="188"/>
      <c r="CL220" s="188"/>
      <c r="CM220" s="188"/>
      <c r="CN220" s="188"/>
      <c r="CO220" s="188"/>
      <c r="CP220" s="0" t="n">
        <v>0.935</v>
      </c>
      <c r="CV220" s="0" t="n">
        <v>0.48</v>
      </c>
      <c r="CW220" s="0" t="n">
        <v>0.875</v>
      </c>
      <c r="CX220" s="0" t="n">
        <v>0.66</v>
      </c>
      <c r="CZ220" s="0" t="n">
        <v>0.59</v>
      </c>
      <c r="DA220" s="0" t="n">
        <v>0.6225</v>
      </c>
      <c r="DB220" s="0" t="n">
        <v>0.69</v>
      </c>
      <c r="DC220" s="0" t="n">
        <v>0.8925</v>
      </c>
      <c r="DD220" s="0" t="n">
        <v>0.715</v>
      </c>
      <c r="DE220" s="0" t="n">
        <v>0.89</v>
      </c>
      <c r="DN220" s="188" t="n">
        <v>0.000285</v>
      </c>
      <c r="DO220" s="188" t="n">
        <v>0.0002</v>
      </c>
      <c r="DP220" s="188" t="n">
        <v>0</v>
      </c>
      <c r="DQ220" s="188" t="n">
        <v>0.0001</v>
      </c>
      <c r="DR220" s="188" t="n">
        <v>0</v>
      </c>
      <c r="DS220" s="188" t="n">
        <v>0.0036</v>
      </c>
      <c r="DT220" s="188" t="n">
        <v>0.00047</v>
      </c>
      <c r="DU220" s="188" t="n">
        <v>0.0007</v>
      </c>
      <c r="DV220" s="188" t="n">
        <v>0</v>
      </c>
      <c r="DW220" s="188" t="n">
        <v>0</v>
      </c>
      <c r="DX220" s="188" t="n">
        <v>0.0005</v>
      </c>
      <c r="DY220" s="188" t="n">
        <v>0.0005</v>
      </c>
      <c r="DZ220" s="188" t="n">
        <v>0.0003</v>
      </c>
      <c r="EA220" s="188" t="n">
        <v>0.000275</v>
      </c>
      <c r="EB220" s="188" t="n">
        <v>0.0004</v>
      </c>
      <c r="ED220" s="188" t="n">
        <v>6.5E-005</v>
      </c>
      <c r="EF220" s="0" t="n">
        <v>1</v>
      </c>
    </row>
    <row r="221" customFormat="false" ht="12.75" hidden="false" customHeight="false" outlineLevel="0" collapsed="false">
      <c r="A221" s="149" t="n">
        <v>43101</v>
      </c>
      <c r="B221" s="0" t="n">
        <v>0.98</v>
      </c>
      <c r="C221" s="0" t="n">
        <v>0</v>
      </c>
      <c r="E221" s="0" t="n">
        <v>0</v>
      </c>
      <c r="F221" s="0" t="n">
        <v>0</v>
      </c>
      <c r="G221" s="0" t="n">
        <v>0</v>
      </c>
      <c r="H221" s="0" t="n">
        <v>0.9875</v>
      </c>
      <c r="I221" s="0" t="n">
        <v>0.94164875</v>
      </c>
      <c r="J221" s="0" t="n">
        <v>0.9805</v>
      </c>
      <c r="K221" s="0" t="n">
        <v>0</v>
      </c>
      <c r="L221" s="176" t="n">
        <v>0.951365525</v>
      </c>
      <c r="M221" s="176" t="n">
        <v>0.9875</v>
      </c>
      <c r="N221" s="0" t="n">
        <v>0.89493345</v>
      </c>
      <c r="O221" s="0" t="n">
        <v>0.9741424</v>
      </c>
      <c r="P221" s="0" t="n">
        <v>0.89493345</v>
      </c>
      <c r="Q221" s="177" t="n">
        <v>0.951365525</v>
      </c>
      <c r="R221" s="0" t="n">
        <v>0.951365525</v>
      </c>
      <c r="S221" s="176" t="n">
        <v>0.951365525</v>
      </c>
      <c r="T221" s="0" t="n">
        <v>0.89493345</v>
      </c>
      <c r="U221" s="0" t="n">
        <v>0.89493345</v>
      </c>
      <c r="V221" s="0" t="n">
        <v>0.89493345</v>
      </c>
      <c r="W221" s="0" t="n">
        <v>0.89493345</v>
      </c>
      <c r="X221" s="0" t="n">
        <v>0.9741424</v>
      </c>
      <c r="Y221" s="0" t="n">
        <v>0.9741424</v>
      </c>
      <c r="Z221" s="0" t="n">
        <v>0.9741424</v>
      </c>
      <c r="AA221" s="0" t="n">
        <v>0.9741424</v>
      </c>
      <c r="AB221" s="0" t="n">
        <v>0.89493345</v>
      </c>
      <c r="AC221" s="0" t="n">
        <v>0.89493345</v>
      </c>
      <c r="AD221" s="0" t="n">
        <v>0.9741424</v>
      </c>
      <c r="AE221" s="0" t="n">
        <v>0.9741424</v>
      </c>
      <c r="AF221" s="0" t="n">
        <v>0.89493345</v>
      </c>
      <c r="AG221" s="0" t="n">
        <v>0.98</v>
      </c>
      <c r="AH221" s="0" t="n">
        <v>0.98359685</v>
      </c>
      <c r="AI221" s="0" t="n">
        <v>0.98359685</v>
      </c>
      <c r="AJ221" s="0" t="n">
        <v>0.89493345</v>
      </c>
      <c r="AK221" s="0" t="n">
        <v>1</v>
      </c>
      <c r="AL221" s="0" t="n">
        <v>0</v>
      </c>
      <c r="AM221" s="0" t="n">
        <v>0</v>
      </c>
      <c r="BB221" s="187" t="n">
        <v>1</v>
      </c>
      <c r="BC221" s="0" t="n">
        <v>1</v>
      </c>
      <c r="BD221" s="0" t="n">
        <v>1</v>
      </c>
      <c r="BE221" s="0" t="n">
        <v>1</v>
      </c>
      <c r="BF221" s="0" t="n">
        <v>0.9999</v>
      </c>
      <c r="BG221" s="0" t="n">
        <v>1</v>
      </c>
      <c r="BH221" s="0" t="n">
        <v>1</v>
      </c>
      <c r="BI221" s="0" t="n">
        <v>0.99</v>
      </c>
      <c r="BJ221" s="0" t="n">
        <v>0.999</v>
      </c>
      <c r="BK221" s="0" t="n">
        <v>0.998</v>
      </c>
      <c r="BL221" s="0" t="n">
        <v>0.9985</v>
      </c>
      <c r="BM221" s="0" t="n">
        <v>0.9985</v>
      </c>
      <c r="BN221" s="0" t="n">
        <v>0.972</v>
      </c>
      <c r="BO221" s="0" t="n">
        <v>0.9999</v>
      </c>
      <c r="BP221" s="0" t="n">
        <v>0.9999</v>
      </c>
      <c r="BQ221" s="0" t="n">
        <v>1</v>
      </c>
      <c r="BR221" s="0" t="n">
        <v>1.1254226</v>
      </c>
      <c r="BS221" s="0" t="n">
        <v>1.1322</v>
      </c>
      <c r="BT221" s="0" t="n">
        <v>1.0827</v>
      </c>
      <c r="BU221" s="0" t="n">
        <v>1.0264</v>
      </c>
      <c r="BV221" s="0" t="n">
        <v>1</v>
      </c>
      <c r="BW221" s="0" t="n">
        <v>2.6214</v>
      </c>
      <c r="BX221" s="0" t="n">
        <v>2.333146333</v>
      </c>
      <c r="BY221" s="0" t="n">
        <v>1.16975</v>
      </c>
      <c r="BZ221" s="0" t="n">
        <v>1.2885</v>
      </c>
      <c r="CA221" s="0" t="n">
        <v>2.001</v>
      </c>
      <c r="CB221" s="0" t="n">
        <v>1.572505</v>
      </c>
      <c r="CC221" s="0" t="n">
        <v>1.572505</v>
      </c>
      <c r="CD221" s="0" t="n">
        <v>1.297005</v>
      </c>
      <c r="CE221" s="0" t="n">
        <v>1.10698</v>
      </c>
      <c r="CF221" s="0" t="n">
        <v>1.472205</v>
      </c>
      <c r="CG221" s="188"/>
      <c r="CH221" s="0" t="n">
        <v>1.105165</v>
      </c>
      <c r="CI221" s="188"/>
      <c r="CJ221" s="188"/>
      <c r="CK221" s="188"/>
      <c r="CL221" s="188"/>
      <c r="CM221" s="188"/>
      <c r="CN221" s="188"/>
      <c r="CO221" s="188"/>
      <c r="CP221" s="0" t="n">
        <v>0.895</v>
      </c>
      <c r="CV221" s="0" t="n">
        <v>0.45</v>
      </c>
      <c r="CW221" s="0" t="n">
        <v>0.805</v>
      </c>
      <c r="CX221" s="0" t="n">
        <v>0.67</v>
      </c>
      <c r="CZ221" s="0" t="n">
        <v>0.605</v>
      </c>
      <c r="DA221" s="0" t="n">
        <v>0.6375</v>
      </c>
      <c r="DB221" s="0" t="n">
        <v>0.69</v>
      </c>
      <c r="DC221" s="0" t="n">
        <v>0.88</v>
      </c>
      <c r="DD221" s="0" t="n">
        <v>0.64</v>
      </c>
      <c r="DE221" s="0" t="n">
        <v>0.89</v>
      </c>
      <c r="DN221" s="188" t="n">
        <v>0.000285</v>
      </c>
      <c r="DO221" s="188" t="n">
        <v>0.0002</v>
      </c>
      <c r="DP221" s="188" t="n">
        <v>0</v>
      </c>
      <c r="DQ221" s="188" t="n">
        <v>0.0001</v>
      </c>
      <c r="DR221" s="188" t="n">
        <v>0</v>
      </c>
      <c r="DS221" s="188" t="n">
        <v>0.0036</v>
      </c>
      <c r="DT221" s="188" t="n">
        <v>0.00047</v>
      </c>
      <c r="DU221" s="188" t="n">
        <v>0.0007</v>
      </c>
      <c r="DV221" s="188" t="n">
        <v>0</v>
      </c>
      <c r="DW221" s="188" t="n">
        <v>0</v>
      </c>
      <c r="DX221" s="188" t="n">
        <v>0.0005</v>
      </c>
      <c r="DY221" s="188" t="n">
        <v>0.0005</v>
      </c>
      <c r="DZ221" s="188" t="n">
        <v>0.0003</v>
      </c>
      <c r="EA221" s="188" t="n">
        <v>0.000275</v>
      </c>
      <c r="EB221" s="188" t="n">
        <v>0.0004</v>
      </c>
      <c r="ED221" s="188" t="n">
        <v>6.5E-005</v>
      </c>
      <c r="EF221" s="0" t="n">
        <v>1</v>
      </c>
    </row>
    <row r="222" customFormat="false" ht="12.75" hidden="false" customHeight="false" outlineLevel="0" collapsed="false">
      <c r="A222" s="149" t="n">
        <v>43132</v>
      </c>
      <c r="B222" s="0" t="n">
        <v>0.98</v>
      </c>
      <c r="C222" s="0" t="n">
        <v>0</v>
      </c>
      <c r="E222" s="0" t="n">
        <v>0</v>
      </c>
      <c r="F222" s="0" t="n">
        <v>0</v>
      </c>
      <c r="G222" s="0" t="n">
        <v>0</v>
      </c>
      <c r="H222" s="0" t="n">
        <v>0.9875</v>
      </c>
      <c r="I222" s="0" t="n">
        <v>0.9875</v>
      </c>
      <c r="J222" s="0" t="n">
        <v>0.9805</v>
      </c>
      <c r="K222" s="0" t="n">
        <v>0</v>
      </c>
      <c r="L222" s="176" t="n">
        <v>0.9875</v>
      </c>
      <c r="M222" s="176" t="n">
        <v>0.9875</v>
      </c>
      <c r="N222" s="0" t="n">
        <v>0.92108655</v>
      </c>
      <c r="O222" s="0" t="n">
        <v>0.971616263</v>
      </c>
      <c r="P222" s="0" t="n">
        <v>0.92108655</v>
      </c>
      <c r="Q222" s="177" t="n">
        <v>0.9875</v>
      </c>
      <c r="R222" s="0" t="n">
        <v>0.9875</v>
      </c>
      <c r="S222" s="176" t="n">
        <v>0.9875</v>
      </c>
      <c r="T222" s="0" t="n">
        <v>0.92108655</v>
      </c>
      <c r="U222" s="0" t="n">
        <v>0.92108655</v>
      </c>
      <c r="V222" s="0" t="n">
        <v>0.92108655</v>
      </c>
      <c r="W222" s="0" t="n">
        <v>0.92108655</v>
      </c>
      <c r="X222" s="0" t="n">
        <v>0.971616263</v>
      </c>
      <c r="Y222" s="0" t="n">
        <v>0.971616263</v>
      </c>
      <c r="Z222" s="0" t="n">
        <v>0.971616263</v>
      </c>
      <c r="AA222" s="0" t="n">
        <v>0.971616263</v>
      </c>
      <c r="AB222" s="0" t="n">
        <v>0.92108655</v>
      </c>
      <c r="AC222" s="0" t="n">
        <v>0.92108655</v>
      </c>
      <c r="AD222" s="0" t="n">
        <v>0.971616263</v>
      </c>
      <c r="AE222" s="0" t="n">
        <v>0.971616263</v>
      </c>
      <c r="AF222" s="0" t="n">
        <v>0.92108655</v>
      </c>
      <c r="AG222" s="0" t="n">
        <v>0.98</v>
      </c>
      <c r="AH222" s="0" t="n">
        <v>0.9836547</v>
      </c>
      <c r="AI222" s="0" t="n">
        <v>0.9836547</v>
      </c>
      <c r="AJ222" s="0" t="n">
        <v>0.92108655</v>
      </c>
      <c r="AK222" s="0" t="n">
        <v>1</v>
      </c>
      <c r="AL222" s="0" t="n">
        <v>0</v>
      </c>
      <c r="AM222" s="0" t="n">
        <v>0</v>
      </c>
      <c r="BB222" s="187" t="n">
        <v>1</v>
      </c>
      <c r="BC222" s="0" t="n">
        <v>1</v>
      </c>
      <c r="BD222" s="0" t="n">
        <v>1</v>
      </c>
      <c r="BE222" s="0" t="n">
        <v>1</v>
      </c>
      <c r="BF222" s="0" t="n">
        <v>0.9999</v>
      </c>
      <c r="BG222" s="0" t="n">
        <v>1</v>
      </c>
      <c r="BH222" s="0" t="n">
        <v>1</v>
      </c>
      <c r="BI222" s="0" t="n">
        <v>0.99</v>
      </c>
      <c r="BJ222" s="0" t="n">
        <v>0.999</v>
      </c>
      <c r="BK222" s="0" t="n">
        <v>0.998</v>
      </c>
      <c r="BL222" s="0" t="n">
        <v>0.9985</v>
      </c>
      <c r="BM222" s="0" t="n">
        <v>0.9985</v>
      </c>
      <c r="BN222" s="0" t="n">
        <v>0.972</v>
      </c>
      <c r="BO222" s="0" t="n">
        <v>0.9999</v>
      </c>
      <c r="BP222" s="0" t="n">
        <v>0.9999</v>
      </c>
      <c r="BQ222" s="0" t="n">
        <v>1</v>
      </c>
      <c r="BR222" s="0" t="n">
        <v>1.1257076</v>
      </c>
      <c r="BS222" s="0" t="n">
        <v>1.1324</v>
      </c>
      <c r="BT222" s="0" t="n">
        <v>1.0827</v>
      </c>
      <c r="BU222" s="0" t="n">
        <v>1.0265</v>
      </c>
      <c r="BV222" s="0" t="n">
        <v>1</v>
      </c>
      <c r="BW222" s="0" t="n">
        <v>2.625</v>
      </c>
      <c r="BX222" s="0" t="n">
        <v>2.333616333</v>
      </c>
      <c r="BY222" s="0" t="n">
        <v>1.17045</v>
      </c>
      <c r="BZ222" s="0" t="n">
        <v>1.2885</v>
      </c>
      <c r="CA222" s="0" t="n">
        <v>2.001</v>
      </c>
      <c r="CB222" s="0" t="n">
        <v>1.573005</v>
      </c>
      <c r="CC222" s="0" t="n">
        <v>1.573005</v>
      </c>
      <c r="CD222" s="0" t="n">
        <v>1.297305</v>
      </c>
      <c r="CE222" s="0" t="n">
        <v>1.107255</v>
      </c>
      <c r="CF222" s="0" t="n">
        <v>1.472605</v>
      </c>
      <c r="CG222" s="188"/>
      <c r="CH222" s="0" t="n">
        <v>1.10523</v>
      </c>
      <c r="CI222" s="188"/>
      <c r="CJ222" s="188"/>
      <c r="CK222" s="188"/>
      <c r="CL222" s="188"/>
      <c r="CM222" s="188"/>
      <c r="CN222" s="188"/>
      <c r="CO222" s="188"/>
      <c r="CP222" s="0" t="n">
        <v>0.865</v>
      </c>
      <c r="CV222" s="0" t="n">
        <v>0.45</v>
      </c>
      <c r="CW222" s="0" t="n">
        <v>0.845</v>
      </c>
      <c r="CX222" s="0" t="n">
        <v>0.775</v>
      </c>
      <c r="CZ222" s="0" t="n">
        <v>0.635</v>
      </c>
      <c r="DA222" s="0" t="n">
        <v>0.6675</v>
      </c>
      <c r="DB222" s="0" t="n">
        <v>0.71</v>
      </c>
      <c r="DC222" s="0" t="n">
        <v>0.8775</v>
      </c>
      <c r="DD222" s="0" t="n">
        <v>0.67</v>
      </c>
      <c r="DE222" s="0" t="n">
        <v>0.89</v>
      </c>
      <c r="DN222" s="188" t="n">
        <v>0.000285</v>
      </c>
      <c r="DO222" s="188" t="n">
        <v>0.0002</v>
      </c>
      <c r="DP222" s="188" t="n">
        <v>0</v>
      </c>
      <c r="DQ222" s="188" t="n">
        <v>0.0001</v>
      </c>
      <c r="DR222" s="188" t="n">
        <v>0</v>
      </c>
      <c r="DS222" s="188" t="n">
        <v>0.0036</v>
      </c>
      <c r="DT222" s="188" t="n">
        <v>0.00047</v>
      </c>
      <c r="DU222" s="188" t="n">
        <v>0.0007</v>
      </c>
      <c r="DV222" s="188" t="n">
        <v>0</v>
      </c>
      <c r="DW222" s="188" t="n">
        <v>0</v>
      </c>
      <c r="DX222" s="188" t="n">
        <v>0.0005</v>
      </c>
      <c r="DY222" s="188" t="n">
        <v>0.0005</v>
      </c>
      <c r="DZ222" s="188" t="n">
        <v>0.0003</v>
      </c>
      <c r="EA222" s="188" t="n">
        <v>0.000275</v>
      </c>
      <c r="EB222" s="188" t="n">
        <v>0.0004</v>
      </c>
      <c r="ED222" s="188" t="n">
        <v>6.5E-005</v>
      </c>
      <c r="EF222" s="0" t="n">
        <v>1</v>
      </c>
    </row>
    <row r="223" customFormat="false" ht="12.75" hidden="false" customHeight="false" outlineLevel="0" collapsed="false">
      <c r="A223" s="149" t="n">
        <v>43160</v>
      </c>
      <c r="B223" s="0" t="n">
        <v>0.98</v>
      </c>
      <c r="C223" s="0" t="n">
        <v>0</v>
      </c>
      <c r="E223" s="0" t="n">
        <v>0</v>
      </c>
      <c r="F223" s="0" t="n">
        <v>0</v>
      </c>
      <c r="G223" s="0" t="n">
        <v>0</v>
      </c>
      <c r="H223" s="0" t="n">
        <v>0.9875</v>
      </c>
      <c r="I223" s="0" t="n">
        <v>0.9875</v>
      </c>
      <c r="J223" s="0" t="n">
        <v>0.9805</v>
      </c>
      <c r="K223" s="0" t="n">
        <v>0</v>
      </c>
      <c r="L223" s="176" t="n">
        <v>0.9875</v>
      </c>
      <c r="M223" s="176" t="n">
        <v>0.9875</v>
      </c>
      <c r="N223" s="0" t="n">
        <v>0.98</v>
      </c>
      <c r="O223" s="0" t="n">
        <v>0.9875</v>
      </c>
      <c r="P223" s="0" t="n">
        <v>0.98</v>
      </c>
      <c r="Q223" s="177" t="n">
        <v>0.9875</v>
      </c>
      <c r="R223" s="0" t="n">
        <v>0.9875</v>
      </c>
      <c r="S223" s="176" t="n">
        <v>0.9875</v>
      </c>
      <c r="T223" s="0" t="n">
        <v>0.98</v>
      </c>
      <c r="U223" s="0" t="n">
        <v>0.98</v>
      </c>
      <c r="V223" s="0" t="n">
        <v>0.98</v>
      </c>
      <c r="W223" s="0" t="n">
        <v>0.98</v>
      </c>
      <c r="X223" s="0" t="n">
        <v>0.9875</v>
      </c>
      <c r="Y223" s="0" t="n">
        <v>0.9875</v>
      </c>
      <c r="Z223" s="0" t="n">
        <v>0.9875</v>
      </c>
      <c r="AA223" s="0" t="n">
        <v>0.9875</v>
      </c>
      <c r="AB223" s="0" t="n">
        <v>0.98</v>
      </c>
      <c r="AC223" s="0" t="n">
        <v>0.98</v>
      </c>
      <c r="AD223" s="0" t="n">
        <v>0.9875</v>
      </c>
      <c r="AE223" s="0" t="n">
        <v>0.9875</v>
      </c>
      <c r="AF223" s="0" t="n">
        <v>0.98</v>
      </c>
      <c r="AG223" s="0" t="n">
        <v>0.99</v>
      </c>
      <c r="AH223" s="0" t="n">
        <v>0.98371255</v>
      </c>
      <c r="AI223" s="0" t="n">
        <v>0.98371255</v>
      </c>
      <c r="AJ223" s="0" t="n">
        <v>0.98</v>
      </c>
      <c r="AK223" s="0" t="n">
        <v>1</v>
      </c>
      <c r="AL223" s="0" t="n">
        <v>0</v>
      </c>
      <c r="AM223" s="0" t="n">
        <v>0</v>
      </c>
      <c r="BB223" s="187" t="n">
        <v>1</v>
      </c>
      <c r="BC223" s="0" t="n">
        <v>1</v>
      </c>
      <c r="BD223" s="0" t="n">
        <v>1</v>
      </c>
      <c r="BE223" s="0" t="n">
        <v>1</v>
      </c>
      <c r="BF223" s="0" t="n">
        <v>0.9999</v>
      </c>
      <c r="BG223" s="0" t="n">
        <v>1</v>
      </c>
      <c r="BH223" s="0" t="n">
        <v>1</v>
      </c>
      <c r="BI223" s="0" t="n">
        <v>0.99</v>
      </c>
      <c r="BJ223" s="0" t="n">
        <v>0.999</v>
      </c>
      <c r="BK223" s="0" t="n">
        <v>0.998</v>
      </c>
      <c r="BL223" s="0" t="n">
        <v>0.9985</v>
      </c>
      <c r="BM223" s="0" t="n">
        <v>0.9985</v>
      </c>
      <c r="BN223" s="0" t="n">
        <v>0.972</v>
      </c>
      <c r="BO223" s="0" t="n">
        <v>0.9999</v>
      </c>
      <c r="BP223" s="0" t="n">
        <v>0.9999</v>
      </c>
      <c r="BQ223" s="0" t="n">
        <v>1</v>
      </c>
      <c r="BR223" s="0" t="n">
        <v>1.1259926</v>
      </c>
      <c r="BS223" s="0" t="n">
        <v>1.1326</v>
      </c>
      <c r="BT223" s="0" t="n">
        <v>1.0827</v>
      </c>
      <c r="BU223" s="0" t="n">
        <v>1.0266</v>
      </c>
      <c r="BV223" s="0" t="n">
        <v>1</v>
      </c>
      <c r="BW223" s="0" t="n">
        <v>2.6286</v>
      </c>
      <c r="BX223" s="0" t="n">
        <v>2.334086333</v>
      </c>
      <c r="BY223" s="0" t="n">
        <v>1.17115</v>
      </c>
      <c r="BZ223" s="0" t="n">
        <v>1.2885</v>
      </c>
      <c r="CA223" s="0" t="n">
        <v>2.001</v>
      </c>
      <c r="CB223" s="0" t="n">
        <v>1.573505</v>
      </c>
      <c r="CC223" s="0" t="n">
        <v>1.573505</v>
      </c>
      <c r="CD223" s="0" t="n">
        <v>1.297605</v>
      </c>
      <c r="CE223" s="0" t="n">
        <v>1.10753</v>
      </c>
      <c r="CF223" s="0" t="n">
        <v>1.473005</v>
      </c>
      <c r="CG223" s="188"/>
      <c r="CH223" s="0" t="n">
        <v>1.105295</v>
      </c>
      <c r="CI223" s="188"/>
      <c r="CJ223" s="188"/>
      <c r="CK223" s="188"/>
      <c r="CL223" s="188"/>
      <c r="CM223" s="188"/>
      <c r="CN223" s="188"/>
      <c r="CO223" s="188"/>
      <c r="CP223" s="0" t="n">
        <v>0.865</v>
      </c>
      <c r="CV223" s="0" t="n">
        <v>0.45</v>
      </c>
      <c r="CW223" s="0" t="n">
        <v>0.875</v>
      </c>
      <c r="CX223" s="0" t="n">
        <v>0.945</v>
      </c>
      <c r="CZ223" s="0" t="n">
        <v>0.785</v>
      </c>
      <c r="DA223" s="0" t="n">
        <v>0.8175</v>
      </c>
      <c r="DB223" s="0" t="n">
        <v>0.8</v>
      </c>
      <c r="DC223" s="0" t="n">
        <v>0.9</v>
      </c>
      <c r="DD223" s="0" t="n">
        <v>0.83</v>
      </c>
      <c r="DE223" s="0" t="n">
        <v>0.89</v>
      </c>
      <c r="DN223" s="188" t="n">
        <v>0.000285</v>
      </c>
      <c r="DO223" s="188" t="n">
        <v>0.0002</v>
      </c>
      <c r="DP223" s="188" t="n">
        <v>0</v>
      </c>
      <c r="DQ223" s="188" t="n">
        <v>0.0001</v>
      </c>
      <c r="DR223" s="188" t="n">
        <v>0</v>
      </c>
      <c r="DS223" s="188" t="n">
        <v>0.0036</v>
      </c>
      <c r="DT223" s="188" t="n">
        <v>0.00047</v>
      </c>
      <c r="DU223" s="188" t="n">
        <v>0.0007</v>
      </c>
      <c r="DV223" s="188" t="n">
        <v>0</v>
      </c>
      <c r="DW223" s="188" t="n">
        <v>0</v>
      </c>
      <c r="DX223" s="188" t="n">
        <v>0.0005</v>
      </c>
      <c r="DY223" s="188" t="n">
        <v>0.0005</v>
      </c>
      <c r="DZ223" s="188" t="n">
        <v>0.0003</v>
      </c>
      <c r="EA223" s="188" t="n">
        <v>0.000275</v>
      </c>
      <c r="EB223" s="188" t="n">
        <v>0.0004</v>
      </c>
      <c r="ED223" s="188" t="n">
        <v>6.5E-005</v>
      </c>
      <c r="EF223" s="0" t="n">
        <v>1</v>
      </c>
    </row>
    <row r="224" customFormat="false" ht="12.75" hidden="false" customHeight="false" outlineLevel="0" collapsed="false">
      <c r="A224" s="149" t="n">
        <v>43191</v>
      </c>
      <c r="B224" s="0" t="n">
        <v>0.98</v>
      </c>
      <c r="C224" s="0" t="n">
        <v>0</v>
      </c>
      <c r="E224" s="0" t="n">
        <v>0</v>
      </c>
      <c r="F224" s="0" t="n">
        <v>0</v>
      </c>
      <c r="G224" s="0" t="n">
        <v>0</v>
      </c>
      <c r="H224" s="0" t="n">
        <v>0.98051366</v>
      </c>
      <c r="I224" s="0" t="n">
        <v>0.9875</v>
      </c>
      <c r="J224" s="0" t="n">
        <v>0.9805</v>
      </c>
      <c r="K224" s="0" t="n">
        <v>0</v>
      </c>
      <c r="L224" s="176" t="n">
        <v>0.9875</v>
      </c>
      <c r="M224" s="176" t="n">
        <v>0.9875</v>
      </c>
      <c r="N224" s="0" t="n">
        <v>0.98</v>
      </c>
      <c r="O224" s="0" t="n">
        <v>0.9875</v>
      </c>
      <c r="P224" s="0" t="n">
        <v>0.98</v>
      </c>
      <c r="Q224" s="177" t="n">
        <v>0.9875</v>
      </c>
      <c r="R224" s="0" t="n">
        <v>0.9875</v>
      </c>
      <c r="S224" s="176" t="n">
        <v>0.9875</v>
      </c>
      <c r="T224" s="0" t="n">
        <v>0.98</v>
      </c>
      <c r="U224" s="0" t="n">
        <v>0.98</v>
      </c>
      <c r="V224" s="0" t="n">
        <v>0.98</v>
      </c>
      <c r="W224" s="0" t="n">
        <v>0.98</v>
      </c>
      <c r="X224" s="0" t="n">
        <v>0.9875</v>
      </c>
      <c r="Y224" s="0" t="n">
        <v>0.9875</v>
      </c>
      <c r="Z224" s="0" t="n">
        <v>0.9875</v>
      </c>
      <c r="AA224" s="0" t="n">
        <v>0.9875</v>
      </c>
      <c r="AB224" s="0" t="n">
        <v>0.98</v>
      </c>
      <c r="AC224" s="0" t="n">
        <v>0.98</v>
      </c>
      <c r="AD224" s="0" t="n">
        <v>0.9875</v>
      </c>
      <c r="AE224" s="0" t="n">
        <v>0.9875</v>
      </c>
      <c r="AF224" s="0" t="n">
        <v>0.98</v>
      </c>
      <c r="AG224" s="0" t="n">
        <v>0.99</v>
      </c>
      <c r="AH224" s="0" t="n">
        <v>0.9837704</v>
      </c>
      <c r="AI224" s="0" t="n">
        <v>0.9837704</v>
      </c>
      <c r="AJ224" s="0" t="n">
        <v>0.98</v>
      </c>
      <c r="AK224" s="0" t="n">
        <v>1</v>
      </c>
      <c r="AL224" s="0" t="n">
        <v>0</v>
      </c>
      <c r="AM224" s="0" t="n">
        <v>0</v>
      </c>
      <c r="BB224" s="187" t="n">
        <v>1</v>
      </c>
      <c r="BC224" s="0" t="n">
        <v>1</v>
      </c>
      <c r="BD224" s="0" t="n">
        <v>1</v>
      </c>
      <c r="BE224" s="0" t="n">
        <v>1</v>
      </c>
      <c r="BF224" s="0" t="n">
        <v>0.9999</v>
      </c>
      <c r="BG224" s="0" t="n">
        <v>1</v>
      </c>
      <c r="BH224" s="0" t="n">
        <v>1</v>
      </c>
      <c r="BI224" s="0" t="n">
        <v>0.99</v>
      </c>
      <c r="BJ224" s="0" t="n">
        <v>0.999</v>
      </c>
      <c r="BK224" s="0" t="n">
        <v>0.998</v>
      </c>
      <c r="BL224" s="0" t="n">
        <v>0.9985</v>
      </c>
      <c r="BM224" s="0" t="n">
        <v>0.9985</v>
      </c>
      <c r="BN224" s="0" t="n">
        <v>0.972</v>
      </c>
      <c r="BO224" s="0" t="n">
        <v>0.9999</v>
      </c>
      <c r="BP224" s="0" t="n">
        <v>0.9999</v>
      </c>
      <c r="BQ224" s="0" t="n">
        <v>1</v>
      </c>
      <c r="BR224" s="0" t="n">
        <v>1.1262776</v>
      </c>
      <c r="BS224" s="0" t="n">
        <v>1.1328</v>
      </c>
      <c r="BT224" s="0" t="n">
        <v>1.0827</v>
      </c>
      <c r="BU224" s="0" t="n">
        <v>1.0267</v>
      </c>
      <c r="BV224" s="0" t="n">
        <v>1</v>
      </c>
      <c r="BW224" s="0" t="n">
        <v>2.6322</v>
      </c>
      <c r="BX224" s="0" t="n">
        <v>2.334556333</v>
      </c>
      <c r="BY224" s="0" t="n">
        <v>1.17185</v>
      </c>
      <c r="BZ224" s="0" t="n">
        <v>1.2885</v>
      </c>
      <c r="CA224" s="0" t="n">
        <v>2.001</v>
      </c>
      <c r="CB224" s="0" t="n">
        <v>1.574005</v>
      </c>
      <c r="CC224" s="0" t="n">
        <v>1.574005</v>
      </c>
      <c r="CD224" s="0" t="n">
        <v>1.297905</v>
      </c>
      <c r="CE224" s="0" t="n">
        <v>1.107805</v>
      </c>
      <c r="CF224" s="0" t="n">
        <v>1.473405</v>
      </c>
      <c r="CG224" s="188"/>
      <c r="CH224" s="0" t="n">
        <v>1.10536</v>
      </c>
      <c r="CI224" s="188"/>
      <c r="CJ224" s="188"/>
      <c r="CK224" s="188"/>
      <c r="CL224" s="188"/>
      <c r="CM224" s="188"/>
      <c r="CN224" s="188"/>
      <c r="CO224" s="188"/>
      <c r="CP224" s="0" t="n">
        <v>0.895</v>
      </c>
      <c r="CV224" s="0" t="n">
        <v>0.42</v>
      </c>
      <c r="CW224" s="0" t="n">
        <v>0.935</v>
      </c>
      <c r="CX224" s="0" t="n">
        <v>0.935</v>
      </c>
      <c r="CZ224" s="0" t="n">
        <v>0.895</v>
      </c>
      <c r="DA224" s="0" t="n">
        <v>0.9275</v>
      </c>
      <c r="DB224" s="0" t="n">
        <v>0.85</v>
      </c>
      <c r="DC224" s="0" t="n">
        <v>0.903</v>
      </c>
      <c r="DD224" s="0" t="n">
        <v>0.92</v>
      </c>
      <c r="DE224" s="0" t="n">
        <v>0.89</v>
      </c>
      <c r="DN224" s="188" t="n">
        <v>0.000285</v>
      </c>
      <c r="DO224" s="188" t="n">
        <v>0.0002</v>
      </c>
      <c r="DP224" s="188" t="n">
        <v>0</v>
      </c>
      <c r="DQ224" s="188" t="n">
        <v>0.0001</v>
      </c>
      <c r="DR224" s="188" t="n">
        <v>0</v>
      </c>
      <c r="DS224" s="188" t="n">
        <v>0.0036</v>
      </c>
      <c r="DT224" s="188" t="n">
        <v>0.00047</v>
      </c>
      <c r="DU224" s="188" t="n">
        <v>0.0007</v>
      </c>
      <c r="DV224" s="188" t="n">
        <v>0</v>
      </c>
      <c r="DW224" s="188" t="n">
        <v>0</v>
      </c>
      <c r="DX224" s="188" t="n">
        <v>0.0005</v>
      </c>
      <c r="DY224" s="188" t="n">
        <v>0.0005</v>
      </c>
      <c r="DZ224" s="188" t="n">
        <v>0.0003</v>
      </c>
      <c r="EA224" s="188" t="n">
        <v>0.000275</v>
      </c>
      <c r="EB224" s="188" t="n">
        <v>0.0004</v>
      </c>
      <c r="ED224" s="188" t="n">
        <v>6.5E-005</v>
      </c>
      <c r="EF224" s="0" t="n">
        <v>1</v>
      </c>
    </row>
    <row r="225" customFormat="false" ht="12.75" hidden="false" customHeight="false" outlineLevel="0" collapsed="false">
      <c r="A225" s="149" t="n">
        <v>43221</v>
      </c>
      <c r="B225" s="0" t="n">
        <v>0.98</v>
      </c>
      <c r="C225" s="0" t="n">
        <v>0</v>
      </c>
      <c r="E225" s="0" t="n">
        <v>0</v>
      </c>
      <c r="F225" s="0" t="n">
        <v>0</v>
      </c>
      <c r="G225" s="0" t="n">
        <v>0</v>
      </c>
      <c r="H225" s="0" t="n">
        <v>0.98071106</v>
      </c>
      <c r="I225" s="0" t="n">
        <v>0.9875</v>
      </c>
      <c r="J225" s="0" t="n">
        <v>0.9805</v>
      </c>
      <c r="K225" s="0" t="n">
        <v>0</v>
      </c>
      <c r="L225" s="176" t="n">
        <v>0.9875</v>
      </c>
      <c r="M225" s="176" t="n">
        <v>0.9875</v>
      </c>
      <c r="N225" s="0" t="n">
        <v>0.98</v>
      </c>
      <c r="O225" s="0" t="n">
        <v>0.9875</v>
      </c>
      <c r="P225" s="0" t="n">
        <v>0.98</v>
      </c>
      <c r="Q225" s="177" t="n">
        <v>0.9875</v>
      </c>
      <c r="R225" s="0" t="n">
        <v>0.9875</v>
      </c>
      <c r="S225" s="176" t="n">
        <v>0.9875</v>
      </c>
      <c r="T225" s="0" t="n">
        <v>0.98</v>
      </c>
      <c r="U225" s="0" t="n">
        <v>0.98</v>
      </c>
      <c r="V225" s="0" t="n">
        <v>0.98</v>
      </c>
      <c r="W225" s="0" t="n">
        <v>0.98</v>
      </c>
      <c r="X225" s="0" t="n">
        <v>0.9875</v>
      </c>
      <c r="Y225" s="0" t="n">
        <v>0.9875</v>
      </c>
      <c r="Z225" s="0" t="n">
        <v>0.9875</v>
      </c>
      <c r="AA225" s="0" t="n">
        <v>0.9875</v>
      </c>
      <c r="AB225" s="0" t="n">
        <v>0.98</v>
      </c>
      <c r="AC225" s="0" t="n">
        <v>0.98</v>
      </c>
      <c r="AD225" s="0" t="n">
        <v>0.9875</v>
      </c>
      <c r="AE225" s="0" t="n">
        <v>0.9875</v>
      </c>
      <c r="AF225" s="0" t="n">
        <v>0.98</v>
      </c>
      <c r="AG225" s="0" t="n">
        <v>0.99</v>
      </c>
      <c r="AH225" s="0" t="n">
        <v>0.98382825</v>
      </c>
      <c r="AI225" s="0" t="n">
        <v>0.98382825</v>
      </c>
      <c r="AJ225" s="0" t="n">
        <v>0.98</v>
      </c>
      <c r="AK225" s="0" t="n">
        <v>1</v>
      </c>
      <c r="AL225" s="0" t="n">
        <v>0</v>
      </c>
      <c r="AM225" s="0" t="n">
        <v>0</v>
      </c>
      <c r="BB225" s="187" t="n">
        <v>1</v>
      </c>
      <c r="BC225" s="0" t="n">
        <v>1</v>
      </c>
      <c r="BD225" s="0" t="n">
        <v>1</v>
      </c>
      <c r="BE225" s="0" t="n">
        <v>1</v>
      </c>
      <c r="BF225" s="0" t="n">
        <v>0.9999</v>
      </c>
      <c r="BG225" s="0" t="n">
        <v>1</v>
      </c>
      <c r="BH225" s="0" t="n">
        <v>1</v>
      </c>
      <c r="BI225" s="0" t="n">
        <v>0.99</v>
      </c>
      <c r="BJ225" s="0" t="n">
        <v>0.999</v>
      </c>
      <c r="BK225" s="0" t="n">
        <v>0.998</v>
      </c>
      <c r="BL225" s="0" t="n">
        <v>0.9985</v>
      </c>
      <c r="BM225" s="0" t="n">
        <v>0.9985</v>
      </c>
      <c r="BN225" s="0" t="n">
        <v>0.972</v>
      </c>
      <c r="BO225" s="0" t="n">
        <v>0.9999</v>
      </c>
      <c r="BP225" s="0" t="n">
        <v>0.9999</v>
      </c>
      <c r="BQ225" s="0" t="n">
        <v>1</v>
      </c>
      <c r="BR225" s="0" t="n">
        <v>1.1265626</v>
      </c>
      <c r="BS225" s="0" t="n">
        <v>1.133</v>
      </c>
      <c r="BT225" s="0" t="n">
        <v>1.0827</v>
      </c>
      <c r="BU225" s="0" t="n">
        <v>1.0268</v>
      </c>
      <c r="BV225" s="0" t="n">
        <v>1</v>
      </c>
      <c r="BW225" s="0" t="n">
        <v>2.6358</v>
      </c>
      <c r="BX225" s="0" t="n">
        <v>2.335026333</v>
      </c>
      <c r="BY225" s="0" t="n">
        <v>1.17255</v>
      </c>
      <c r="BZ225" s="0" t="n">
        <v>1.2885</v>
      </c>
      <c r="CA225" s="0" t="n">
        <v>2.001</v>
      </c>
      <c r="CB225" s="0" t="n">
        <v>1.574505</v>
      </c>
      <c r="CC225" s="0" t="n">
        <v>1.574505</v>
      </c>
      <c r="CD225" s="0" t="n">
        <v>1.298205</v>
      </c>
      <c r="CE225" s="0" t="n">
        <v>1.10808</v>
      </c>
      <c r="CF225" s="0" t="n">
        <v>1.473805</v>
      </c>
      <c r="CG225" s="188"/>
      <c r="CH225" s="0" t="n">
        <v>1.105425</v>
      </c>
      <c r="CI225" s="188"/>
      <c r="CJ225" s="188"/>
      <c r="CK225" s="188"/>
      <c r="CL225" s="188"/>
      <c r="CM225" s="188"/>
      <c r="CN225" s="188"/>
      <c r="CO225" s="188"/>
      <c r="CP225" s="0" t="n">
        <v>0.965</v>
      </c>
      <c r="CV225" s="0" t="n">
        <v>0.42</v>
      </c>
      <c r="CW225" s="0" t="n">
        <v>0.935</v>
      </c>
      <c r="CX225" s="0" t="n">
        <v>0.835</v>
      </c>
      <c r="CZ225" s="0" t="n">
        <v>0.9175</v>
      </c>
      <c r="DA225" s="0" t="n">
        <v>0.95</v>
      </c>
      <c r="DB225" s="0" t="n">
        <v>0.88</v>
      </c>
      <c r="DC225" s="0" t="n">
        <v>0.9</v>
      </c>
      <c r="DD225" s="0" t="n">
        <v>0.935</v>
      </c>
      <c r="DE225" s="0" t="n">
        <v>0.89</v>
      </c>
      <c r="DN225" s="188" t="n">
        <v>0.000285</v>
      </c>
      <c r="DO225" s="188" t="n">
        <v>0.0002</v>
      </c>
      <c r="DP225" s="188" t="n">
        <v>0</v>
      </c>
      <c r="DQ225" s="188" t="n">
        <v>0.0001</v>
      </c>
      <c r="DR225" s="188" t="n">
        <v>0</v>
      </c>
      <c r="DS225" s="188" t="n">
        <v>0.0036</v>
      </c>
      <c r="DT225" s="188" t="n">
        <v>0.00047</v>
      </c>
      <c r="DU225" s="188" t="n">
        <v>0.0007</v>
      </c>
      <c r="DV225" s="188" t="n">
        <v>0</v>
      </c>
      <c r="DW225" s="188" t="n">
        <v>0</v>
      </c>
      <c r="DX225" s="188" t="n">
        <v>0.0005</v>
      </c>
      <c r="DY225" s="188" t="n">
        <v>0.0005</v>
      </c>
      <c r="DZ225" s="188" t="n">
        <v>0.0003</v>
      </c>
      <c r="EA225" s="188" t="n">
        <v>0.000275</v>
      </c>
      <c r="EB225" s="188" t="n">
        <v>0.0004</v>
      </c>
      <c r="ED225" s="188" t="n">
        <v>6.5E-005</v>
      </c>
      <c r="EF225" s="0" t="n">
        <v>1</v>
      </c>
    </row>
    <row r="226" customFormat="false" ht="12.75" hidden="false" customHeight="false" outlineLevel="0" collapsed="false">
      <c r="A226" s="149" t="n">
        <v>43252</v>
      </c>
      <c r="B226" s="0" t="n">
        <v>0.98</v>
      </c>
      <c r="C226" s="0" t="n">
        <v>0</v>
      </c>
      <c r="E226" s="0" t="n">
        <v>0</v>
      </c>
      <c r="F226" s="0" t="n">
        <v>0</v>
      </c>
      <c r="G226" s="0" t="n">
        <v>0</v>
      </c>
      <c r="H226" s="0" t="n">
        <v>0.9875</v>
      </c>
      <c r="I226" s="0" t="n">
        <v>0.9875</v>
      </c>
      <c r="J226" s="0" t="n">
        <v>0.9805</v>
      </c>
      <c r="K226" s="0" t="n">
        <v>0</v>
      </c>
      <c r="L226" s="176" t="n">
        <v>0.9875</v>
      </c>
      <c r="M226" s="176" t="n">
        <v>0.9875</v>
      </c>
      <c r="N226" s="0" t="n">
        <v>0.98</v>
      </c>
      <c r="O226" s="0" t="n">
        <v>0.9875</v>
      </c>
      <c r="P226" s="0" t="n">
        <v>0.98</v>
      </c>
      <c r="Q226" s="177" t="n">
        <v>0.9875</v>
      </c>
      <c r="R226" s="0" t="n">
        <v>0.9875</v>
      </c>
      <c r="S226" s="176" t="n">
        <v>0.9875</v>
      </c>
      <c r="T226" s="0" t="n">
        <v>0.98</v>
      </c>
      <c r="U226" s="0" t="n">
        <v>0.98</v>
      </c>
      <c r="V226" s="0" t="n">
        <v>0.98</v>
      </c>
      <c r="W226" s="0" t="n">
        <v>0.98</v>
      </c>
      <c r="X226" s="0" t="n">
        <v>0.9875</v>
      </c>
      <c r="Y226" s="0" t="n">
        <v>0.9875</v>
      </c>
      <c r="Z226" s="0" t="n">
        <v>0.9875</v>
      </c>
      <c r="AA226" s="0" t="n">
        <v>0.9875</v>
      </c>
      <c r="AB226" s="0" t="n">
        <v>0.98</v>
      </c>
      <c r="AC226" s="0" t="n">
        <v>0.98</v>
      </c>
      <c r="AD226" s="0" t="n">
        <v>0.9875</v>
      </c>
      <c r="AE226" s="0" t="n">
        <v>0.9875</v>
      </c>
      <c r="AF226" s="0" t="n">
        <v>0.98</v>
      </c>
      <c r="AG226" s="0" t="n">
        <v>0.99</v>
      </c>
      <c r="AH226" s="0" t="n">
        <v>0.9838861</v>
      </c>
      <c r="AI226" s="0" t="n">
        <v>0.9838861</v>
      </c>
      <c r="AJ226" s="0" t="n">
        <v>0.98</v>
      </c>
      <c r="AK226" s="0" t="n">
        <v>1</v>
      </c>
      <c r="AL226" s="0" t="n">
        <v>0</v>
      </c>
      <c r="AM226" s="0" t="n">
        <v>0</v>
      </c>
      <c r="BB226" s="187" t="n">
        <v>1</v>
      </c>
      <c r="BC226" s="0" t="n">
        <v>1</v>
      </c>
      <c r="BD226" s="0" t="n">
        <v>1</v>
      </c>
      <c r="BE226" s="0" t="n">
        <v>1</v>
      </c>
      <c r="BF226" s="0" t="n">
        <v>0.9999</v>
      </c>
      <c r="BG226" s="0" t="n">
        <v>1</v>
      </c>
      <c r="BH226" s="0" t="n">
        <v>1</v>
      </c>
      <c r="BI226" s="0" t="n">
        <v>0.99</v>
      </c>
      <c r="BJ226" s="0" t="n">
        <v>0.999</v>
      </c>
      <c r="BK226" s="0" t="n">
        <v>0.998</v>
      </c>
      <c r="BL226" s="0" t="n">
        <v>0.9985</v>
      </c>
      <c r="BM226" s="0" t="n">
        <v>0.9985</v>
      </c>
      <c r="BN226" s="0" t="n">
        <v>0.972</v>
      </c>
      <c r="BO226" s="0" t="n">
        <v>0.9999</v>
      </c>
      <c r="BP226" s="0" t="n">
        <v>0.9999</v>
      </c>
      <c r="BQ226" s="0" t="n">
        <v>1</v>
      </c>
      <c r="BR226" s="0" t="n">
        <v>1.1268476</v>
      </c>
      <c r="BS226" s="0" t="n">
        <v>1.1332</v>
      </c>
      <c r="BT226" s="0" t="n">
        <v>1.0827</v>
      </c>
      <c r="BU226" s="0" t="n">
        <v>1.0269</v>
      </c>
      <c r="BV226" s="0" t="n">
        <v>1</v>
      </c>
      <c r="BW226" s="0" t="n">
        <v>2.6394</v>
      </c>
      <c r="BX226" s="0" t="n">
        <v>2.335496333</v>
      </c>
      <c r="BY226" s="0" t="n">
        <v>1.17325</v>
      </c>
      <c r="BZ226" s="0" t="n">
        <v>1.2885</v>
      </c>
      <c r="CA226" s="0" t="n">
        <v>2.001</v>
      </c>
      <c r="CB226" s="0" t="n">
        <v>1.575005</v>
      </c>
      <c r="CC226" s="0" t="n">
        <v>1.575005</v>
      </c>
      <c r="CD226" s="0" t="n">
        <v>1.298505</v>
      </c>
      <c r="CE226" s="0" t="n">
        <v>1.108355</v>
      </c>
      <c r="CF226" s="0" t="n">
        <v>1.474205</v>
      </c>
      <c r="CG226" s="188"/>
      <c r="CH226" s="0" t="n">
        <v>1.10549</v>
      </c>
      <c r="CI226" s="188"/>
      <c r="CJ226" s="188"/>
      <c r="CK226" s="188"/>
      <c r="CL226" s="188"/>
      <c r="CM226" s="188"/>
      <c r="CN226" s="188"/>
      <c r="CO226" s="188"/>
      <c r="CP226" s="0" t="n">
        <v>0.965</v>
      </c>
      <c r="CV226" s="0" t="n">
        <v>0.47</v>
      </c>
      <c r="CW226" s="0" t="n">
        <v>0.935</v>
      </c>
      <c r="CX226" s="0" t="n">
        <v>0.745</v>
      </c>
      <c r="CZ226" s="0" t="n">
        <v>0.8825</v>
      </c>
      <c r="DA226" s="0" t="n">
        <v>0.915</v>
      </c>
      <c r="DB226" s="0" t="n">
        <v>0.88</v>
      </c>
      <c r="DC226" s="0" t="n">
        <v>0.9025</v>
      </c>
      <c r="DD226" s="0" t="n">
        <v>0.915</v>
      </c>
      <c r="DE226" s="0" t="n">
        <v>0.89</v>
      </c>
      <c r="DN226" s="188" t="n">
        <v>0.000285</v>
      </c>
      <c r="DO226" s="188" t="n">
        <v>0.0002</v>
      </c>
      <c r="DP226" s="188" t="n">
        <v>0</v>
      </c>
      <c r="DQ226" s="188" t="n">
        <v>0.0001</v>
      </c>
      <c r="DR226" s="188" t="n">
        <v>0</v>
      </c>
      <c r="DS226" s="188" t="n">
        <v>0.0036</v>
      </c>
      <c r="DT226" s="188" t="n">
        <v>0.00047</v>
      </c>
      <c r="DU226" s="188" t="n">
        <v>0.0007</v>
      </c>
      <c r="DV226" s="188" t="n">
        <v>0</v>
      </c>
      <c r="DW226" s="188" t="n">
        <v>0</v>
      </c>
      <c r="DX226" s="188" t="n">
        <v>0.0005</v>
      </c>
      <c r="DY226" s="188" t="n">
        <v>0.0005</v>
      </c>
      <c r="DZ226" s="188" t="n">
        <v>0.0003</v>
      </c>
      <c r="EA226" s="188" t="n">
        <v>0.000275</v>
      </c>
      <c r="EB226" s="188" t="n">
        <v>0.0004</v>
      </c>
      <c r="ED226" s="188" t="n">
        <v>6.5E-005</v>
      </c>
      <c r="EF226" s="0" t="n">
        <v>1</v>
      </c>
    </row>
    <row r="227" customFormat="false" ht="12.75" hidden="false" customHeight="false" outlineLevel="0" collapsed="false">
      <c r="A227" s="149" t="n">
        <v>43282</v>
      </c>
      <c r="B227" s="0" t="n">
        <v>0.98</v>
      </c>
      <c r="C227" s="0" t="n">
        <v>0</v>
      </c>
      <c r="E227" s="0" t="n">
        <v>0</v>
      </c>
      <c r="F227" s="0" t="n">
        <v>0</v>
      </c>
      <c r="G227" s="0" t="n">
        <v>0</v>
      </c>
      <c r="H227" s="0" t="n">
        <v>0.9875</v>
      </c>
      <c r="I227" s="0" t="n">
        <v>0.9875</v>
      </c>
      <c r="J227" s="0" t="n">
        <v>0.9805</v>
      </c>
      <c r="K227" s="0" t="n">
        <v>0</v>
      </c>
      <c r="L227" s="176" t="n">
        <v>0.9875</v>
      </c>
      <c r="M227" s="176" t="n">
        <v>0.9875</v>
      </c>
      <c r="N227" s="0" t="n">
        <v>0.98</v>
      </c>
      <c r="O227" s="0" t="n">
        <v>0.9875</v>
      </c>
      <c r="P227" s="0" t="n">
        <v>0.98</v>
      </c>
      <c r="Q227" s="177" t="n">
        <v>0.9875</v>
      </c>
      <c r="R227" s="0" t="n">
        <v>0.9875</v>
      </c>
      <c r="S227" s="176" t="n">
        <v>0.9875</v>
      </c>
      <c r="T227" s="0" t="n">
        <v>0.98</v>
      </c>
      <c r="U227" s="0" t="n">
        <v>0.98</v>
      </c>
      <c r="V227" s="0" t="n">
        <v>0.98</v>
      </c>
      <c r="W227" s="0" t="n">
        <v>0.98</v>
      </c>
      <c r="X227" s="0" t="n">
        <v>0.9875</v>
      </c>
      <c r="Y227" s="0" t="n">
        <v>0.9875</v>
      </c>
      <c r="Z227" s="0" t="n">
        <v>0.9875</v>
      </c>
      <c r="AA227" s="0" t="n">
        <v>0.9875</v>
      </c>
      <c r="AB227" s="0" t="n">
        <v>0.98</v>
      </c>
      <c r="AC227" s="0" t="n">
        <v>0.98</v>
      </c>
      <c r="AD227" s="0" t="n">
        <v>0.9875</v>
      </c>
      <c r="AE227" s="0" t="n">
        <v>0.9875</v>
      </c>
      <c r="AF227" s="0" t="n">
        <v>0.98</v>
      </c>
      <c r="AG227" s="0" t="n">
        <v>0.99</v>
      </c>
      <c r="AH227" s="0" t="n">
        <v>0.98394395</v>
      </c>
      <c r="AI227" s="0" t="n">
        <v>0.98394395</v>
      </c>
      <c r="AJ227" s="0" t="n">
        <v>0.98</v>
      </c>
      <c r="AK227" s="0" t="n">
        <v>1</v>
      </c>
      <c r="AL227" s="0" t="n">
        <v>0</v>
      </c>
      <c r="AM227" s="0" t="n">
        <v>0</v>
      </c>
      <c r="BB227" s="187" t="n">
        <v>1</v>
      </c>
      <c r="BC227" s="0" t="n">
        <v>1</v>
      </c>
      <c r="BD227" s="0" t="n">
        <v>1</v>
      </c>
      <c r="BE227" s="0" t="n">
        <v>1</v>
      </c>
      <c r="BF227" s="0" t="n">
        <v>0.9999</v>
      </c>
      <c r="BG227" s="0" t="n">
        <v>1</v>
      </c>
      <c r="BH227" s="0" t="n">
        <v>1</v>
      </c>
      <c r="BI227" s="0" t="n">
        <v>0.99</v>
      </c>
      <c r="BJ227" s="0" t="n">
        <v>0.999</v>
      </c>
      <c r="BK227" s="0" t="n">
        <v>0.998</v>
      </c>
      <c r="BL227" s="0" t="n">
        <v>0.9985</v>
      </c>
      <c r="BM227" s="0" t="n">
        <v>0.9985</v>
      </c>
      <c r="BN227" s="0" t="n">
        <v>0.972</v>
      </c>
      <c r="BO227" s="0" t="n">
        <v>0.9999</v>
      </c>
      <c r="BP227" s="0" t="n">
        <v>0.9999</v>
      </c>
      <c r="BQ227" s="0" t="n">
        <v>1</v>
      </c>
      <c r="BR227" s="0" t="n">
        <v>1.1271326</v>
      </c>
      <c r="BS227" s="0" t="n">
        <v>1.1334</v>
      </c>
      <c r="BT227" s="0" t="n">
        <v>1.0827</v>
      </c>
      <c r="BU227" s="0" t="n">
        <v>1.027</v>
      </c>
      <c r="BV227" s="0" t="n">
        <v>1</v>
      </c>
      <c r="BW227" s="0" t="n">
        <v>2.643</v>
      </c>
      <c r="BX227" s="0" t="n">
        <v>2.335966333</v>
      </c>
      <c r="BY227" s="0" t="n">
        <v>1.17395</v>
      </c>
      <c r="BZ227" s="0" t="n">
        <v>1.2885</v>
      </c>
      <c r="CA227" s="0" t="n">
        <v>2.001</v>
      </c>
      <c r="CB227" s="0" t="n">
        <v>1.575505</v>
      </c>
      <c r="CC227" s="0" t="n">
        <v>1.575505</v>
      </c>
      <c r="CD227" s="0" t="n">
        <v>1.298805</v>
      </c>
      <c r="CE227" s="0" t="n">
        <v>1.10863</v>
      </c>
      <c r="CF227" s="0" t="n">
        <v>1.474605</v>
      </c>
      <c r="CG227" s="188"/>
      <c r="CH227" s="0" t="n">
        <v>1.105555</v>
      </c>
      <c r="CI227" s="188"/>
      <c r="CJ227" s="188"/>
      <c r="CK227" s="188"/>
      <c r="CL227" s="188"/>
      <c r="CM227" s="188"/>
      <c r="CN227" s="188"/>
      <c r="CO227" s="188"/>
      <c r="CP227" s="0" t="n">
        <v>0.975</v>
      </c>
      <c r="CV227" s="0" t="n">
        <v>0.47</v>
      </c>
      <c r="CW227" s="0" t="n">
        <v>0.935</v>
      </c>
      <c r="CX227" s="0" t="n">
        <v>0.765</v>
      </c>
      <c r="CZ227" s="0" t="n">
        <v>0.8775</v>
      </c>
      <c r="DA227" s="0" t="n">
        <v>0.91</v>
      </c>
      <c r="DB227" s="0" t="n">
        <v>0.89</v>
      </c>
      <c r="DC227" s="0" t="n">
        <v>0.9075</v>
      </c>
      <c r="DD227" s="0" t="n">
        <v>0.915</v>
      </c>
      <c r="DE227" s="0" t="n">
        <v>0.89</v>
      </c>
      <c r="DN227" s="188" t="n">
        <v>0.000285</v>
      </c>
      <c r="DO227" s="188" t="n">
        <v>0.0002</v>
      </c>
      <c r="DP227" s="188" t="n">
        <v>0</v>
      </c>
      <c r="DQ227" s="188" t="n">
        <v>0.0001</v>
      </c>
      <c r="DR227" s="188" t="n">
        <v>0</v>
      </c>
      <c r="DS227" s="188" t="n">
        <v>0.0036</v>
      </c>
      <c r="DT227" s="188" t="n">
        <v>0.00047</v>
      </c>
      <c r="DU227" s="188" t="n">
        <v>0.0007</v>
      </c>
      <c r="DV227" s="188" t="n">
        <v>0</v>
      </c>
      <c r="DW227" s="188" t="n">
        <v>0</v>
      </c>
      <c r="DX227" s="188" t="n">
        <v>0.0005</v>
      </c>
      <c r="DY227" s="188" t="n">
        <v>0.0005</v>
      </c>
      <c r="DZ227" s="188" t="n">
        <v>0.0003</v>
      </c>
      <c r="EA227" s="188" t="n">
        <v>0.000275</v>
      </c>
      <c r="EB227" s="188" t="n">
        <v>0.0004</v>
      </c>
      <c r="ED227" s="188" t="n">
        <v>6.5E-005</v>
      </c>
      <c r="EF227" s="0" t="n">
        <v>1</v>
      </c>
    </row>
    <row r="228" customFormat="false" ht="12.75" hidden="false" customHeight="false" outlineLevel="0" collapsed="false">
      <c r="A228" s="149" t="n">
        <v>43313</v>
      </c>
      <c r="B228" s="0" t="n">
        <v>0.98</v>
      </c>
      <c r="C228" s="0" t="n">
        <v>0</v>
      </c>
      <c r="E228" s="0" t="n">
        <v>0</v>
      </c>
      <c r="F228" s="0" t="n">
        <v>0</v>
      </c>
      <c r="G228" s="0" t="n">
        <v>0</v>
      </c>
      <c r="H228" s="0" t="n">
        <v>0.9875</v>
      </c>
      <c r="I228" s="0" t="n">
        <v>0.9875</v>
      </c>
      <c r="J228" s="0" t="n">
        <v>0.9805</v>
      </c>
      <c r="K228" s="0" t="n">
        <v>0</v>
      </c>
      <c r="L228" s="176" t="n">
        <v>0.9875</v>
      </c>
      <c r="M228" s="176" t="n">
        <v>0.9875</v>
      </c>
      <c r="N228" s="0" t="n">
        <v>0.98</v>
      </c>
      <c r="O228" s="0" t="n">
        <v>0.9875</v>
      </c>
      <c r="P228" s="0" t="n">
        <v>0.98</v>
      </c>
      <c r="Q228" s="177" t="n">
        <v>0.9875</v>
      </c>
      <c r="R228" s="0" t="n">
        <v>0.9875</v>
      </c>
      <c r="S228" s="176" t="n">
        <v>0.9875</v>
      </c>
      <c r="T228" s="0" t="n">
        <v>0.98</v>
      </c>
      <c r="U228" s="0" t="n">
        <v>0.98</v>
      </c>
      <c r="V228" s="0" t="n">
        <v>0.98</v>
      </c>
      <c r="W228" s="0" t="n">
        <v>0.98</v>
      </c>
      <c r="X228" s="0" t="n">
        <v>0.9875</v>
      </c>
      <c r="Y228" s="0" t="n">
        <v>0.9875</v>
      </c>
      <c r="Z228" s="0" t="n">
        <v>0.9875</v>
      </c>
      <c r="AA228" s="0" t="n">
        <v>0.9875</v>
      </c>
      <c r="AB228" s="0" t="n">
        <v>0.98</v>
      </c>
      <c r="AC228" s="0" t="n">
        <v>0.98</v>
      </c>
      <c r="AD228" s="0" t="n">
        <v>0.9875</v>
      </c>
      <c r="AE228" s="0" t="n">
        <v>0.9875</v>
      </c>
      <c r="AF228" s="0" t="n">
        <v>0.98</v>
      </c>
      <c r="AG228" s="0" t="n">
        <v>0.99</v>
      </c>
      <c r="AH228" s="0" t="n">
        <v>0.9840018</v>
      </c>
      <c r="AI228" s="0" t="n">
        <v>0.9840018</v>
      </c>
      <c r="AJ228" s="0" t="n">
        <v>0.98</v>
      </c>
      <c r="AK228" s="0" t="n">
        <v>1</v>
      </c>
      <c r="AL228" s="0" t="n">
        <v>0</v>
      </c>
      <c r="AM228" s="0" t="n">
        <v>0</v>
      </c>
      <c r="BB228" s="187" t="n">
        <v>1</v>
      </c>
      <c r="BC228" s="0" t="n">
        <v>1</v>
      </c>
      <c r="BD228" s="0" t="n">
        <v>1</v>
      </c>
      <c r="BE228" s="0" t="n">
        <v>1</v>
      </c>
      <c r="BF228" s="0" t="n">
        <v>0.9999</v>
      </c>
      <c r="BG228" s="0" t="n">
        <v>1</v>
      </c>
      <c r="BH228" s="0" t="n">
        <v>1</v>
      </c>
      <c r="BI228" s="0" t="n">
        <v>0.99</v>
      </c>
      <c r="BJ228" s="0" t="n">
        <v>0.999</v>
      </c>
      <c r="BK228" s="0" t="n">
        <v>0.998</v>
      </c>
      <c r="BL228" s="0" t="n">
        <v>0.9985</v>
      </c>
      <c r="BM228" s="0" t="n">
        <v>0.9985</v>
      </c>
      <c r="BN228" s="0" t="n">
        <v>0.972</v>
      </c>
      <c r="BO228" s="0" t="n">
        <v>0.9999</v>
      </c>
      <c r="BP228" s="0" t="n">
        <v>0.9999</v>
      </c>
      <c r="BQ228" s="0" t="n">
        <v>1</v>
      </c>
      <c r="BR228" s="0" t="n">
        <v>1.1274176</v>
      </c>
      <c r="BS228" s="0" t="n">
        <v>1.1336</v>
      </c>
      <c r="BT228" s="0" t="n">
        <v>1.0827</v>
      </c>
      <c r="BU228" s="0" t="n">
        <v>1.0271</v>
      </c>
      <c r="BV228" s="0" t="n">
        <v>1</v>
      </c>
      <c r="BW228" s="0" t="n">
        <v>2.6466</v>
      </c>
      <c r="BX228" s="0" t="n">
        <v>2.336436333</v>
      </c>
      <c r="BY228" s="0" t="n">
        <v>1.17465</v>
      </c>
      <c r="BZ228" s="0" t="n">
        <v>1.2885</v>
      </c>
      <c r="CA228" s="0" t="n">
        <v>2.001</v>
      </c>
      <c r="CB228" s="0" t="n">
        <v>1.576005</v>
      </c>
      <c r="CC228" s="0" t="n">
        <v>1.576005</v>
      </c>
      <c r="CD228" s="0" t="n">
        <v>1.299105</v>
      </c>
      <c r="CE228" s="0" t="n">
        <v>1.108905</v>
      </c>
      <c r="CF228" s="0" t="n">
        <v>1.475005</v>
      </c>
      <c r="CG228" s="188"/>
      <c r="CH228" s="0" t="n">
        <v>1.10562</v>
      </c>
      <c r="CI228" s="188"/>
      <c r="CJ228" s="188"/>
      <c r="CK228" s="188"/>
      <c r="CL228" s="188"/>
      <c r="CM228" s="188"/>
      <c r="CN228" s="188"/>
      <c r="CO228" s="188"/>
      <c r="CP228" s="0" t="n">
        <v>0.975</v>
      </c>
      <c r="CV228" s="0" t="n">
        <v>0.52</v>
      </c>
      <c r="CW228" s="0" t="n">
        <v>0.925</v>
      </c>
      <c r="CX228" s="0" t="n">
        <v>0.855</v>
      </c>
      <c r="CZ228" s="0" t="n">
        <v>0.89</v>
      </c>
      <c r="DA228" s="0" t="n">
        <v>0.9225</v>
      </c>
      <c r="DB228" s="0" t="n">
        <v>0.915</v>
      </c>
      <c r="DC228" s="0" t="n">
        <v>0.9275</v>
      </c>
      <c r="DD228" s="0" t="n">
        <v>0.915</v>
      </c>
      <c r="DE228" s="0" t="n">
        <v>0.89</v>
      </c>
      <c r="DN228" s="188" t="n">
        <v>0.000285</v>
      </c>
      <c r="DO228" s="188" t="n">
        <v>0.0002</v>
      </c>
      <c r="DP228" s="188" t="n">
        <v>0</v>
      </c>
      <c r="DQ228" s="188" t="n">
        <v>0.0001</v>
      </c>
      <c r="DR228" s="188" t="n">
        <v>0</v>
      </c>
      <c r="DS228" s="188" t="n">
        <v>0.0036</v>
      </c>
      <c r="DT228" s="188" t="n">
        <v>0.00047</v>
      </c>
      <c r="DU228" s="188" t="n">
        <v>0.0007</v>
      </c>
      <c r="DV228" s="188" t="n">
        <v>0</v>
      </c>
      <c r="DW228" s="188" t="n">
        <v>0</v>
      </c>
      <c r="DX228" s="188" t="n">
        <v>0.0005</v>
      </c>
      <c r="DY228" s="188" t="n">
        <v>0.0005</v>
      </c>
      <c r="DZ228" s="188" t="n">
        <v>0.0003</v>
      </c>
      <c r="EA228" s="188" t="n">
        <v>0.000275</v>
      </c>
      <c r="EB228" s="188" t="n">
        <v>0.0004</v>
      </c>
      <c r="ED228" s="188" t="n">
        <v>6.5E-005</v>
      </c>
      <c r="EF228" s="0" t="n">
        <v>1</v>
      </c>
    </row>
    <row r="229" customFormat="false" ht="12.75" hidden="false" customHeight="false" outlineLevel="0" collapsed="false">
      <c r="A229" s="149" t="n">
        <v>43344</v>
      </c>
      <c r="B229" s="0" t="n">
        <v>0.98</v>
      </c>
      <c r="C229" s="0" t="n">
        <v>0</v>
      </c>
      <c r="E229" s="0" t="n">
        <v>0</v>
      </c>
      <c r="F229" s="0" t="n">
        <v>0</v>
      </c>
      <c r="G229" s="0" t="n">
        <v>0</v>
      </c>
      <c r="H229" s="0" t="n">
        <v>0.9875</v>
      </c>
      <c r="I229" s="0" t="n">
        <v>0.9875</v>
      </c>
      <c r="J229" s="0" t="n">
        <v>0.9805</v>
      </c>
      <c r="K229" s="0" t="n">
        <v>0</v>
      </c>
      <c r="L229" s="176" t="n">
        <v>0.9875</v>
      </c>
      <c r="M229" s="176" t="n">
        <v>0.9875</v>
      </c>
      <c r="N229" s="0" t="n">
        <v>0.98</v>
      </c>
      <c r="O229" s="0" t="n">
        <v>0.9875</v>
      </c>
      <c r="P229" s="0" t="n">
        <v>0.98</v>
      </c>
      <c r="Q229" s="177" t="n">
        <v>0.9875</v>
      </c>
      <c r="R229" s="0" t="n">
        <v>0.9875</v>
      </c>
      <c r="S229" s="176" t="n">
        <v>0.9875</v>
      </c>
      <c r="T229" s="0" t="n">
        <v>0.98</v>
      </c>
      <c r="U229" s="0" t="n">
        <v>0.98</v>
      </c>
      <c r="V229" s="0" t="n">
        <v>0.98</v>
      </c>
      <c r="W229" s="0" t="n">
        <v>0.98</v>
      </c>
      <c r="X229" s="0" t="n">
        <v>0.9875</v>
      </c>
      <c r="Y229" s="0" t="n">
        <v>0.9875</v>
      </c>
      <c r="Z229" s="0" t="n">
        <v>0.9875</v>
      </c>
      <c r="AA229" s="0" t="n">
        <v>0.9875</v>
      </c>
      <c r="AB229" s="0" t="n">
        <v>0.98</v>
      </c>
      <c r="AC229" s="0" t="n">
        <v>0.98</v>
      </c>
      <c r="AD229" s="0" t="n">
        <v>0.9875</v>
      </c>
      <c r="AE229" s="0" t="n">
        <v>0.9875</v>
      </c>
      <c r="AF229" s="0" t="n">
        <v>0.98</v>
      </c>
      <c r="AG229" s="0" t="n">
        <v>0.99</v>
      </c>
      <c r="AH229" s="0" t="n">
        <v>0.98405965</v>
      </c>
      <c r="AI229" s="0" t="n">
        <v>0.98405965</v>
      </c>
      <c r="AJ229" s="0" t="n">
        <v>0.98</v>
      </c>
      <c r="AK229" s="0" t="n">
        <v>1</v>
      </c>
      <c r="AL229" s="0" t="n">
        <v>0</v>
      </c>
      <c r="AM229" s="0" t="n">
        <v>0</v>
      </c>
      <c r="BB229" s="187" t="n">
        <v>1</v>
      </c>
      <c r="BC229" s="0" t="n">
        <v>1</v>
      </c>
      <c r="BD229" s="0" t="n">
        <v>1</v>
      </c>
      <c r="BE229" s="0" t="n">
        <v>1</v>
      </c>
      <c r="BF229" s="0" t="n">
        <v>0.9999</v>
      </c>
      <c r="BG229" s="0" t="n">
        <v>1</v>
      </c>
      <c r="BH229" s="0" t="n">
        <v>1</v>
      </c>
      <c r="BI229" s="0" t="n">
        <v>0.99</v>
      </c>
      <c r="BJ229" s="0" t="n">
        <v>0.999</v>
      </c>
      <c r="BK229" s="0" t="n">
        <v>0.998</v>
      </c>
      <c r="BL229" s="0" t="n">
        <v>0.9985</v>
      </c>
      <c r="BM229" s="0" t="n">
        <v>0.9985</v>
      </c>
      <c r="BN229" s="0" t="n">
        <v>0.972</v>
      </c>
      <c r="BO229" s="0" t="n">
        <v>0.9999</v>
      </c>
      <c r="BP229" s="0" t="n">
        <v>0.9999</v>
      </c>
      <c r="BQ229" s="0" t="n">
        <v>1</v>
      </c>
      <c r="BR229" s="0" t="n">
        <v>1.1277026</v>
      </c>
      <c r="BS229" s="0" t="n">
        <v>1.1338</v>
      </c>
      <c r="BT229" s="0" t="n">
        <v>1.0827</v>
      </c>
      <c r="BU229" s="0" t="n">
        <v>1.0272</v>
      </c>
      <c r="BV229" s="0" t="n">
        <v>1</v>
      </c>
      <c r="BW229" s="0" t="n">
        <v>2.6502</v>
      </c>
      <c r="BX229" s="0" t="n">
        <v>2.336906333</v>
      </c>
      <c r="BY229" s="0" t="n">
        <v>1.17535</v>
      </c>
      <c r="BZ229" s="0" t="n">
        <v>1.2885</v>
      </c>
      <c r="CA229" s="0" t="n">
        <v>2.001</v>
      </c>
      <c r="CB229" s="0" t="n">
        <v>1.576505</v>
      </c>
      <c r="CC229" s="0" t="n">
        <v>1.576505</v>
      </c>
      <c r="CD229" s="0" t="n">
        <v>1.299405</v>
      </c>
      <c r="CE229" s="0" t="n">
        <v>1.10918</v>
      </c>
      <c r="CF229" s="0" t="n">
        <v>1.475405</v>
      </c>
      <c r="CG229" s="188"/>
      <c r="CH229" s="0" t="n">
        <v>1.105685</v>
      </c>
      <c r="CI229" s="188"/>
      <c r="CJ229" s="188"/>
      <c r="CK229" s="188"/>
      <c r="CL229" s="188"/>
      <c r="CM229" s="188"/>
      <c r="CN229" s="188"/>
      <c r="CO229" s="188"/>
      <c r="CP229" s="0" t="n">
        <v>0.975</v>
      </c>
      <c r="CV229" s="0" t="n">
        <v>0.55</v>
      </c>
      <c r="CW229" s="0" t="n">
        <v>0.925</v>
      </c>
      <c r="CX229" s="0" t="n">
        <v>0.715</v>
      </c>
      <c r="CZ229" s="0" t="n">
        <v>0.945</v>
      </c>
      <c r="DA229" s="0" t="n">
        <v>0.9775</v>
      </c>
      <c r="DB229" s="0" t="n">
        <v>0.945</v>
      </c>
      <c r="DC229" s="0" t="n">
        <v>0.92</v>
      </c>
      <c r="DD229" s="0" t="n">
        <v>0.915</v>
      </c>
      <c r="DE229" s="0" t="n">
        <v>0.89</v>
      </c>
      <c r="DN229" s="188" t="n">
        <v>0.000285</v>
      </c>
      <c r="DO229" s="188" t="n">
        <v>0.0002</v>
      </c>
      <c r="DP229" s="188" t="n">
        <v>0</v>
      </c>
      <c r="DQ229" s="188" t="n">
        <v>0.0001</v>
      </c>
      <c r="DR229" s="188" t="n">
        <v>0</v>
      </c>
      <c r="DS229" s="188" t="n">
        <v>0.0036</v>
      </c>
      <c r="DT229" s="188" t="n">
        <v>0.00047</v>
      </c>
      <c r="DU229" s="188" t="n">
        <v>0.0007</v>
      </c>
      <c r="DV229" s="188" t="n">
        <v>0</v>
      </c>
      <c r="DW229" s="188" t="n">
        <v>0</v>
      </c>
      <c r="DX229" s="188" t="n">
        <v>0.0005</v>
      </c>
      <c r="DY229" s="188" t="n">
        <v>0.0005</v>
      </c>
      <c r="DZ229" s="188" t="n">
        <v>0.0003</v>
      </c>
      <c r="EA229" s="188" t="n">
        <v>0.000275</v>
      </c>
      <c r="EB229" s="188" t="n">
        <v>0.0004</v>
      </c>
      <c r="ED229" s="188" t="n">
        <v>6.5E-005</v>
      </c>
      <c r="EF229" s="0" t="n">
        <v>1</v>
      </c>
    </row>
    <row r="230" customFormat="false" ht="12.75" hidden="false" customHeight="false" outlineLevel="0" collapsed="false">
      <c r="A230" s="149" t="n">
        <v>43374</v>
      </c>
      <c r="B230" s="0" t="n">
        <v>0.98</v>
      </c>
      <c r="C230" s="0" t="n">
        <v>0</v>
      </c>
      <c r="E230" s="0" t="n">
        <v>0</v>
      </c>
      <c r="F230" s="0" t="n">
        <v>0</v>
      </c>
      <c r="G230" s="0" t="n">
        <v>0</v>
      </c>
      <c r="H230" s="0" t="n">
        <v>0.9875</v>
      </c>
      <c r="I230" s="0" t="n">
        <v>0.9875</v>
      </c>
      <c r="J230" s="0" t="n">
        <v>0.9805</v>
      </c>
      <c r="K230" s="0" t="n">
        <v>0</v>
      </c>
      <c r="L230" s="176" t="n">
        <v>0.9875</v>
      </c>
      <c r="M230" s="176" t="n">
        <v>0.9875</v>
      </c>
      <c r="N230" s="0" t="n">
        <v>0.98</v>
      </c>
      <c r="O230" s="0" t="n">
        <v>0.9875</v>
      </c>
      <c r="P230" s="0" t="n">
        <v>0.98</v>
      </c>
      <c r="Q230" s="177" t="n">
        <v>0.9875</v>
      </c>
      <c r="R230" s="0" t="n">
        <v>0.9875</v>
      </c>
      <c r="S230" s="176" t="n">
        <v>0.9875</v>
      </c>
      <c r="T230" s="0" t="n">
        <v>0.98</v>
      </c>
      <c r="U230" s="0" t="n">
        <v>0.98</v>
      </c>
      <c r="V230" s="0" t="n">
        <v>0.98</v>
      </c>
      <c r="W230" s="0" t="n">
        <v>0.98</v>
      </c>
      <c r="X230" s="0" t="n">
        <v>0.9875</v>
      </c>
      <c r="Y230" s="0" t="n">
        <v>0.9875</v>
      </c>
      <c r="Z230" s="0" t="n">
        <v>0.9875</v>
      </c>
      <c r="AA230" s="0" t="n">
        <v>0.9875</v>
      </c>
      <c r="AB230" s="0" t="n">
        <v>0.98</v>
      </c>
      <c r="AC230" s="0" t="n">
        <v>0.98</v>
      </c>
      <c r="AD230" s="0" t="n">
        <v>0.9875</v>
      </c>
      <c r="AE230" s="0" t="n">
        <v>0.9875</v>
      </c>
      <c r="AF230" s="0" t="n">
        <v>0.98</v>
      </c>
      <c r="AG230" s="0" t="n">
        <v>0.99</v>
      </c>
      <c r="AH230" s="0" t="n">
        <v>0.9841175</v>
      </c>
      <c r="AI230" s="0" t="n">
        <v>0.9841175</v>
      </c>
      <c r="AJ230" s="0" t="n">
        <v>0.98</v>
      </c>
      <c r="AK230" s="0" t="n">
        <v>1</v>
      </c>
      <c r="AL230" s="0" t="n">
        <v>0</v>
      </c>
      <c r="AM230" s="0" t="n">
        <v>0</v>
      </c>
      <c r="BB230" s="187" t="n">
        <v>1</v>
      </c>
      <c r="BC230" s="0" t="n">
        <v>1</v>
      </c>
      <c r="BD230" s="0" t="n">
        <v>1</v>
      </c>
      <c r="BE230" s="0" t="n">
        <v>1</v>
      </c>
      <c r="BF230" s="0" t="n">
        <v>0.9999</v>
      </c>
      <c r="BG230" s="0" t="n">
        <v>1</v>
      </c>
      <c r="BH230" s="0" t="n">
        <v>1</v>
      </c>
      <c r="BI230" s="0" t="n">
        <v>0.99</v>
      </c>
      <c r="BJ230" s="0" t="n">
        <v>0.999</v>
      </c>
      <c r="BK230" s="0" t="n">
        <v>0.998</v>
      </c>
      <c r="BL230" s="0" t="n">
        <v>0.9985</v>
      </c>
      <c r="BM230" s="0" t="n">
        <v>0.9985</v>
      </c>
      <c r="BN230" s="0" t="n">
        <v>0.972</v>
      </c>
      <c r="BO230" s="0" t="n">
        <v>0.9999</v>
      </c>
      <c r="BP230" s="0" t="n">
        <v>0.9999</v>
      </c>
      <c r="BQ230" s="0" t="n">
        <v>1</v>
      </c>
      <c r="BR230" s="0" t="n">
        <v>1.1279876</v>
      </c>
      <c r="BS230" s="0" t="n">
        <v>1.134</v>
      </c>
      <c r="BT230" s="0" t="n">
        <v>1.0827</v>
      </c>
      <c r="BU230" s="0" t="n">
        <v>1.0273</v>
      </c>
      <c r="BV230" s="0" t="n">
        <v>1</v>
      </c>
      <c r="BW230" s="0" t="n">
        <v>2.6538</v>
      </c>
      <c r="BX230" s="0" t="n">
        <v>2.337376333</v>
      </c>
      <c r="BY230" s="0" t="n">
        <v>1.17605</v>
      </c>
      <c r="BZ230" s="0" t="n">
        <v>1.2885</v>
      </c>
      <c r="CA230" s="0" t="n">
        <v>2.001</v>
      </c>
      <c r="CB230" s="0" t="n">
        <v>1.577005</v>
      </c>
      <c r="CC230" s="0" t="n">
        <v>1.577005</v>
      </c>
      <c r="CD230" s="0" t="n">
        <v>1.299705</v>
      </c>
      <c r="CE230" s="0" t="n">
        <v>1.109455</v>
      </c>
      <c r="CF230" s="0" t="n">
        <v>1.475805</v>
      </c>
      <c r="CG230" s="188"/>
      <c r="CH230" s="0" t="n">
        <v>1.10575</v>
      </c>
      <c r="CI230" s="188"/>
      <c r="CJ230" s="188"/>
      <c r="CK230" s="188"/>
      <c r="CL230" s="188"/>
      <c r="CM230" s="188"/>
      <c r="CN230" s="188"/>
      <c r="CO230" s="188"/>
      <c r="CP230" s="0" t="n">
        <v>0.955</v>
      </c>
      <c r="CV230" s="0" t="n">
        <v>0.45</v>
      </c>
      <c r="CW230" s="0" t="n">
        <v>0.925</v>
      </c>
      <c r="CX230" s="0" t="n">
        <v>0.705</v>
      </c>
      <c r="CZ230" s="0" t="n">
        <v>0.805</v>
      </c>
      <c r="DA230" s="0" t="n">
        <v>0.8375</v>
      </c>
      <c r="DB230" s="0" t="n">
        <v>0.875</v>
      </c>
      <c r="DC230" s="0" t="n">
        <v>0.9025</v>
      </c>
      <c r="DD230" s="0" t="n">
        <v>0.82</v>
      </c>
      <c r="DE230" s="0" t="n">
        <v>0.89</v>
      </c>
      <c r="DN230" s="188" t="n">
        <v>0.000285</v>
      </c>
      <c r="DO230" s="188" t="n">
        <v>0.0002</v>
      </c>
      <c r="DP230" s="188" t="n">
        <v>0</v>
      </c>
      <c r="DQ230" s="188" t="n">
        <v>0.0001</v>
      </c>
      <c r="DR230" s="188" t="n">
        <v>0</v>
      </c>
      <c r="DS230" s="188" t="n">
        <v>0.0036</v>
      </c>
      <c r="DT230" s="188" t="n">
        <v>0.00047</v>
      </c>
      <c r="DU230" s="188" t="n">
        <v>0.0007</v>
      </c>
      <c r="DV230" s="188" t="n">
        <v>0</v>
      </c>
      <c r="DW230" s="188" t="n">
        <v>0</v>
      </c>
      <c r="DX230" s="188" t="n">
        <v>0.0005</v>
      </c>
      <c r="DY230" s="188" t="n">
        <v>0.0005</v>
      </c>
      <c r="DZ230" s="188" t="n">
        <v>0.0003</v>
      </c>
      <c r="EA230" s="188" t="n">
        <v>0.000275</v>
      </c>
      <c r="EB230" s="188" t="n">
        <v>0.0004</v>
      </c>
      <c r="ED230" s="188" t="n">
        <v>6.5E-005</v>
      </c>
      <c r="EF230" s="0" t="n">
        <v>1</v>
      </c>
    </row>
    <row r="231" customFormat="false" ht="12.75" hidden="false" customHeight="false" outlineLevel="0" collapsed="false">
      <c r="A231" s="149" t="n">
        <v>43405</v>
      </c>
      <c r="B231" s="0" t="n">
        <v>0.98</v>
      </c>
      <c r="C231" s="0" t="n">
        <v>0</v>
      </c>
      <c r="E231" s="0" t="n">
        <v>0</v>
      </c>
      <c r="F231" s="0" t="n">
        <v>0</v>
      </c>
      <c r="G231" s="0" t="n">
        <v>0</v>
      </c>
      <c r="H231" s="0" t="n">
        <v>0.9875</v>
      </c>
      <c r="I231" s="0" t="n">
        <v>0.9875</v>
      </c>
      <c r="J231" s="0" t="n">
        <v>0.9805</v>
      </c>
      <c r="K231" s="0" t="n">
        <v>0</v>
      </c>
      <c r="L231" s="176" t="n">
        <v>0.9875</v>
      </c>
      <c r="M231" s="176" t="n">
        <v>0.9875</v>
      </c>
      <c r="N231" s="0" t="n">
        <v>0.98</v>
      </c>
      <c r="O231" s="0" t="n">
        <v>0.9875</v>
      </c>
      <c r="P231" s="0" t="n">
        <v>0.98</v>
      </c>
      <c r="Q231" s="177" t="n">
        <v>0.9875</v>
      </c>
      <c r="R231" s="0" t="n">
        <v>0.9875</v>
      </c>
      <c r="S231" s="176" t="n">
        <v>0.9875</v>
      </c>
      <c r="T231" s="0" t="n">
        <v>0.98</v>
      </c>
      <c r="U231" s="0" t="n">
        <v>0.98</v>
      </c>
      <c r="V231" s="0" t="n">
        <v>0.98</v>
      </c>
      <c r="W231" s="0" t="n">
        <v>0.98</v>
      </c>
      <c r="X231" s="0" t="n">
        <v>0.9875</v>
      </c>
      <c r="Y231" s="0" t="n">
        <v>0.9875</v>
      </c>
      <c r="Z231" s="0" t="n">
        <v>0.9875</v>
      </c>
      <c r="AA231" s="0" t="n">
        <v>0.9875</v>
      </c>
      <c r="AB231" s="0" t="n">
        <v>0.98</v>
      </c>
      <c r="AC231" s="0" t="n">
        <v>0.98</v>
      </c>
      <c r="AD231" s="0" t="n">
        <v>0.9875</v>
      </c>
      <c r="AE231" s="0" t="n">
        <v>0.9875</v>
      </c>
      <c r="AF231" s="0" t="n">
        <v>0.98</v>
      </c>
      <c r="AG231" s="0" t="n">
        <v>0.99</v>
      </c>
      <c r="AH231" s="0" t="n">
        <v>0.98417535</v>
      </c>
      <c r="AI231" s="0" t="n">
        <v>0.98417535</v>
      </c>
      <c r="AJ231" s="0" t="n">
        <v>0.98</v>
      </c>
      <c r="AK231" s="0" t="n">
        <v>1</v>
      </c>
      <c r="AL231" s="0" t="n">
        <v>0</v>
      </c>
      <c r="AM231" s="0" t="n">
        <v>0</v>
      </c>
      <c r="BB231" s="187" t="n">
        <v>1</v>
      </c>
      <c r="BC231" s="0" t="n">
        <v>1</v>
      </c>
      <c r="BD231" s="0" t="n">
        <v>1</v>
      </c>
      <c r="BE231" s="0" t="n">
        <v>1</v>
      </c>
      <c r="BF231" s="0" t="n">
        <v>0.9999</v>
      </c>
      <c r="BG231" s="0" t="n">
        <v>1</v>
      </c>
      <c r="BH231" s="0" t="n">
        <v>1</v>
      </c>
      <c r="BI231" s="0" t="n">
        <v>0.99</v>
      </c>
      <c r="BJ231" s="0" t="n">
        <v>0.999</v>
      </c>
      <c r="BK231" s="0" t="n">
        <v>0.998</v>
      </c>
      <c r="BL231" s="0" t="n">
        <v>0.9985</v>
      </c>
      <c r="BM231" s="0" t="n">
        <v>0.9985</v>
      </c>
      <c r="BN231" s="0" t="n">
        <v>0.972</v>
      </c>
      <c r="BO231" s="0" t="n">
        <v>0.9999</v>
      </c>
      <c r="BP231" s="0" t="n">
        <v>0.9999</v>
      </c>
      <c r="BQ231" s="0" t="n">
        <v>1</v>
      </c>
      <c r="BR231" s="0" t="n">
        <v>1.1282726</v>
      </c>
      <c r="BS231" s="0" t="n">
        <v>1.1342</v>
      </c>
      <c r="BT231" s="0" t="n">
        <v>1.0827</v>
      </c>
      <c r="BU231" s="0" t="n">
        <v>1.0274</v>
      </c>
      <c r="BV231" s="0" t="n">
        <v>1</v>
      </c>
      <c r="BW231" s="0" t="n">
        <v>2.6574</v>
      </c>
      <c r="BX231" s="0" t="n">
        <v>2.337846333</v>
      </c>
      <c r="BY231" s="0" t="n">
        <v>1.17675</v>
      </c>
      <c r="BZ231" s="0" t="n">
        <v>1.2885</v>
      </c>
      <c r="CA231" s="0" t="n">
        <v>2.001</v>
      </c>
      <c r="CB231" s="0" t="n">
        <v>1.577505</v>
      </c>
      <c r="CC231" s="0" t="n">
        <v>1.577505</v>
      </c>
      <c r="CD231" s="0" t="n">
        <v>1.300005</v>
      </c>
      <c r="CE231" s="0" t="n">
        <v>1.10973</v>
      </c>
      <c r="CF231" s="0" t="n">
        <v>1.476205</v>
      </c>
      <c r="CG231" s="188"/>
      <c r="CH231" s="0" t="n">
        <v>1.105815</v>
      </c>
      <c r="CI231" s="188"/>
      <c r="CJ231" s="188"/>
      <c r="CK231" s="188"/>
      <c r="CL231" s="188"/>
      <c r="CM231" s="188"/>
      <c r="CN231" s="188"/>
      <c r="CO231" s="188"/>
      <c r="CP231" s="0" t="n">
        <v>0.955</v>
      </c>
      <c r="CV231" s="0" t="n">
        <v>0.46</v>
      </c>
      <c r="CW231" s="0" t="n">
        <v>0.905</v>
      </c>
      <c r="CX231" s="0" t="n">
        <v>0.665</v>
      </c>
      <c r="CZ231" s="0" t="n">
        <v>0.795</v>
      </c>
      <c r="DA231" s="0" t="n">
        <v>0.8275</v>
      </c>
      <c r="DB231" s="0" t="n">
        <v>0.85</v>
      </c>
      <c r="DC231" s="0" t="n">
        <v>0.9025</v>
      </c>
      <c r="DD231" s="0" t="n">
        <v>0.82</v>
      </c>
      <c r="DE231" s="0" t="n">
        <v>0.89</v>
      </c>
      <c r="DN231" s="188" t="n">
        <v>0.000285</v>
      </c>
      <c r="DO231" s="188" t="n">
        <v>0.0002</v>
      </c>
      <c r="DP231" s="188" t="n">
        <v>0</v>
      </c>
      <c r="DQ231" s="188" t="n">
        <v>0.0001</v>
      </c>
      <c r="DR231" s="188" t="n">
        <v>0</v>
      </c>
      <c r="DS231" s="188" t="n">
        <v>0.0036</v>
      </c>
      <c r="DT231" s="188" t="n">
        <v>0.00047</v>
      </c>
      <c r="DU231" s="188" t="n">
        <v>0.0007</v>
      </c>
      <c r="DV231" s="188" t="n">
        <v>0</v>
      </c>
      <c r="DW231" s="188" t="n">
        <v>0</v>
      </c>
      <c r="DX231" s="188" t="n">
        <v>0.0005</v>
      </c>
      <c r="DY231" s="188" t="n">
        <v>0.0005</v>
      </c>
      <c r="DZ231" s="188" t="n">
        <v>0.0003</v>
      </c>
      <c r="EA231" s="188" t="n">
        <v>0.000275</v>
      </c>
      <c r="EB231" s="188" t="n">
        <v>0.0004</v>
      </c>
      <c r="ED231" s="188" t="n">
        <v>6.5E-005</v>
      </c>
      <c r="EF231" s="0" t="n">
        <v>1</v>
      </c>
    </row>
    <row r="232" customFormat="false" ht="12.75" hidden="false" customHeight="false" outlineLevel="0" collapsed="false">
      <c r="A232" s="149" t="n">
        <v>43435</v>
      </c>
      <c r="B232" s="0" t="n">
        <v>0.98</v>
      </c>
      <c r="C232" s="0" t="n">
        <v>0</v>
      </c>
      <c r="E232" s="0" t="n">
        <v>0</v>
      </c>
      <c r="F232" s="0" t="n">
        <v>0</v>
      </c>
      <c r="G232" s="0" t="n">
        <v>0</v>
      </c>
      <c r="H232" s="0" t="n">
        <v>0.9875</v>
      </c>
      <c r="I232" s="0" t="n">
        <v>0.9875</v>
      </c>
      <c r="J232" s="0" t="n">
        <v>0.9805</v>
      </c>
      <c r="K232" s="0" t="n">
        <v>0</v>
      </c>
      <c r="L232" s="176" t="n">
        <v>0.93102295</v>
      </c>
      <c r="M232" s="176" t="n">
        <v>0.982308112</v>
      </c>
      <c r="N232" s="0" t="n">
        <v>0.89721045</v>
      </c>
      <c r="O232" s="0" t="n">
        <v>0.9875</v>
      </c>
      <c r="P232" s="0" t="n">
        <v>0.89721045</v>
      </c>
      <c r="Q232" s="177" t="n">
        <v>0.93102295</v>
      </c>
      <c r="R232" s="0" t="n">
        <v>0.93102295</v>
      </c>
      <c r="S232" s="176" t="n">
        <v>0.93102295</v>
      </c>
      <c r="T232" s="0" t="n">
        <v>0.89721045</v>
      </c>
      <c r="U232" s="0" t="n">
        <v>0.89721045</v>
      </c>
      <c r="V232" s="0" t="n">
        <v>0.89721045</v>
      </c>
      <c r="W232" s="0" t="n">
        <v>0.89721045</v>
      </c>
      <c r="X232" s="0" t="n">
        <v>0.9875</v>
      </c>
      <c r="Y232" s="0" t="n">
        <v>0.9875</v>
      </c>
      <c r="Z232" s="0" t="n">
        <v>0.9875</v>
      </c>
      <c r="AA232" s="0" t="n">
        <v>0.9875</v>
      </c>
      <c r="AB232" s="0" t="n">
        <v>0.89721045</v>
      </c>
      <c r="AC232" s="0" t="n">
        <v>0.89721045</v>
      </c>
      <c r="AD232" s="0" t="n">
        <v>0.9875</v>
      </c>
      <c r="AE232" s="0" t="n">
        <v>0.9875</v>
      </c>
      <c r="AF232" s="0" t="n">
        <v>0.89721045</v>
      </c>
      <c r="AG232" s="0" t="n">
        <v>0.98</v>
      </c>
      <c r="AH232" s="0" t="n">
        <v>0.9842332</v>
      </c>
      <c r="AI232" s="0" t="n">
        <v>0.9842332</v>
      </c>
      <c r="AJ232" s="0" t="n">
        <v>0.89721045</v>
      </c>
      <c r="AK232" s="0" t="n">
        <v>1</v>
      </c>
      <c r="AL232" s="0" t="n">
        <v>0</v>
      </c>
      <c r="AM232" s="0" t="n">
        <v>0</v>
      </c>
      <c r="BB232" s="187" t="n">
        <v>1</v>
      </c>
      <c r="BC232" s="0" t="n">
        <v>1</v>
      </c>
      <c r="BD232" s="0" t="n">
        <v>1</v>
      </c>
      <c r="BE232" s="0" t="n">
        <v>1</v>
      </c>
      <c r="BF232" s="0" t="n">
        <v>0.9999</v>
      </c>
      <c r="BG232" s="0" t="n">
        <v>1</v>
      </c>
      <c r="BH232" s="0" t="n">
        <v>1</v>
      </c>
      <c r="BI232" s="0" t="n">
        <v>0.99</v>
      </c>
      <c r="BJ232" s="0" t="n">
        <v>0.999</v>
      </c>
      <c r="BK232" s="0" t="n">
        <v>0.998</v>
      </c>
      <c r="BL232" s="0" t="n">
        <v>0.9985</v>
      </c>
      <c r="BM232" s="0" t="n">
        <v>0.9985</v>
      </c>
      <c r="BN232" s="0" t="n">
        <v>0.972</v>
      </c>
      <c r="BO232" s="0" t="n">
        <v>0.9999</v>
      </c>
      <c r="BP232" s="0" t="n">
        <v>0.9999</v>
      </c>
      <c r="BQ232" s="0" t="n">
        <v>1</v>
      </c>
      <c r="BR232" s="0" t="n">
        <v>1.1285576</v>
      </c>
      <c r="BS232" s="0" t="n">
        <v>1.1344</v>
      </c>
      <c r="BT232" s="0" t="n">
        <v>1.0827</v>
      </c>
      <c r="BU232" s="0" t="n">
        <v>1.0275</v>
      </c>
      <c r="BV232" s="0" t="n">
        <v>1</v>
      </c>
      <c r="BW232" s="0" t="n">
        <v>2.661</v>
      </c>
      <c r="BX232" s="0" t="n">
        <v>2.338316333</v>
      </c>
      <c r="BY232" s="0" t="n">
        <v>1.17745</v>
      </c>
      <c r="BZ232" s="0" t="n">
        <v>1.2885</v>
      </c>
      <c r="CA232" s="0" t="n">
        <v>2.001</v>
      </c>
      <c r="CB232" s="0" t="n">
        <v>1.578005</v>
      </c>
      <c r="CC232" s="0" t="n">
        <v>1.578005</v>
      </c>
      <c r="CD232" s="0" t="n">
        <v>1.300305</v>
      </c>
      <c r="CE232" s="0" t="n">
        <v>1.110005</v>
      </c>
      <c r="CF232" s="0" t="n">
        <v>1.476605</v>
      </c>
      <c r="CG232" s="188"/>
      <c r="CH232" s="0" t="n">
        <v>1.10588</v>
      </c>
      <c r="CI232" s="188"/>
      <c r="CJ232" s="188"/>
      <c r="CK232" s="188"/>
      <c r="CL232" s="188"/>
      <c r="CM232" s="188"/>
      <c r="CN232" s="188"/>
      <c r="CO232" s="188"/>
      <c r="CP232" s="0" t="n">
        <v>0.935</v>
      </c>
      <c r="CV232" s="0" t="n">
        <v>0.48</v>
      </c>
      <c r="CW232" s="0" t="n">
        <v>0.875</v>
      </c>
      <c r="CX232" s="0" t="n">
        <v>0.67</v>
      </c>
      <c r="CZ232" s="0" t="n">
        <v>0.59</v>
      </c>
      <c r="DA232" s="0" t="n">
        <v>0.6225</v>
      </c>
      <c r="DB232" s="0" t="n">
        <v>0.69</v>
      </c>
      <c r="DC232" s="0" t="n">
        <v>0.8925</v>
      </c>
      <c r="DD232" s="0" t="n">
        <v>0.715</v>
      </c>
      <c r="DE232" s="0" t="n">
        <v>0.89</v>
      </c>
      <c r="DN232" s="188" t="n">
        <v>0.000285</v>
      </c>
      <c r="DO232" s="188" t="n">
        <v>0.0002</v>
      </c>
      <c r="DP232" s="188" t="n">
        <v>0</v>
      </c>
      <c r="DQ232" s="188" t="n">
        <v>0.0001</v>
      </c>
      <c r="DR232" s="188" t="n">
        <v>0</v>
      </c>
      <c r="DS232" s="188" t="n">
        <v>0.0036</v>
      </c>
      <c r="DT232" s="188" t="n">
        <v>0.00047</v>
      </c>
      <c r="DU232" s="188" t="n">
        <v>0.0007</v>
      </c>
      <c r="DV232" s="188" t="n">
        <v>0</v>
      </c>
      <c r="DW232" s="188" t="n">
        <v>0</v>
      </c>
      <c r="DX232" s="188" t="n">
        <v>0.0005</v>
      </c>
      <c r="DY232" s="188" t="n">
        <v>0.0005</v>
      </c>
      <c r="DZ232" s="188" t="n">
        <v>0.0003</v>
      </c>
      <c r="EA232" s="188" t="n">
        <v>0.000275</v>
      </c>
      <c r="EB232" s="188" t="n">
        <v>0.0004</v>
      </c>
      <c r="ED232" s="188" t="n">
        <v>6.5E-005</v>
      </c>
      <c r="EF232" s="0" t="n">
        <v>1</v>
      </c>
    </row>
    <row r="233" customFormat="false" ht="12.75" hidden="false" customHeight="false" outlineLevel="0" collapsed="false">
      <c r="A233" s="149" t="n">
        <v>43466</v>
      </c>
      <c r="B233" s="0" t="n">
        <v>0.98</v>
      </c>
      <c r="C233" s="0" t="n">
        <v>0</v>
      </c>
      <c r="E233" s="0" t="n">
        <v>0</v>
      </c>
      <c r="F233" s="0" t="n">
        <v>0</v>
      </c>
      <c r="G233" s="0" t="n">
        <v>0</v>
      </c>
      <c r="H233" s="0" t="n">
        <v>0.9875</v>
      </c>
      <c r="I233" s="0" t="n">
        <v>0.94841075</v>
      </c>
      <c r="J233" s="0" t="n">
        <v>0.9805</v>
      </c>
      <c r="K233" s="0" t="n">
        <v>0</v>
      </c>
      <c r="L233" s="176" t="n">
        <v>0.954995525</v>
      </c>
      <c r="M233" s="176" t="n">
        <v>0.9875</v>
      </c>
      <c r="N233" s="0" t="n">
        <v>0.89741745</v>
      </c>
      <c r="O233" s="0" t="n">
        <v>0.9770464</v>
      </c>
      <c r="P233" s="0" t="n">
        <v>0.89741745</v>
      </c>
      <c r="Q233" s="177" t="n">
        <v>0.954995525</v>
      </c>
      <c r="R233" s="0" t="n">
        <v>0.954995525</v>
      </c>
      <c r="S233" s="176" t="n">
        <v>0.954995525</v>
      </c>
      <c r="T233" s="0" t="n">
        <v>0.89741745</v>
      </c>
      <c r="U233" s="0" t="n">
        <v>0.89741745</v>
      </c>
      <c r="V233" s="0" t="n">
        <v>0.89741745</v>
      </c>
      <c r="W233" s="0" t="n">
        <v>0.89741745</v>
      </c>
      <c r="X233" s="0" t="n">
        <v>0.9770464</v>
      </c>
      <c r="Y233" s="0" t="n">
        <v>0.9770464</v>
      </c>
      <c r="Z233" s="0" t="n">
        <v>0.9770464</v>
      </c>
      <c r="AA233" s="0" t="n">
        <v>0.9770464</v>
      </c>
      <c r="AB233" s="0" t="n">
        <v>0.89741745</v>
      </c>
      <c r="AC233" s="0" t="n">
        <v>0.89741745</v>
      </c>
      <c r="AD233" s="0" t="n">
        <v>0.9770464</v>
      </c>
      <c r="AE233" s="0" t="n">
        <v>0.9770464</v>
      </c>
      <c r="AF233" s="0" t="n">
        <v>0.89741745</v>
      </c>
      <c r="AG233" s="0" t="n">
        <v>0.98</v>
      </c>
      <c r="AH233" s="0" t="n">
        <v>0.98429105</v>
      </c>
      <c r="AI233" s="0" t="n">
        <v>0.98429105</v>
      </c>
      <c r="AJ233" s="0" t="n">
        <v>0.89741745</v>
      </c>
      <c r="AK233" s="0" t="n">
        <v>1</v>
      </c>
      <c r="AL233" s="0" t="n">
        <v>0</v>
      </c>
      <c r="AM233" s="0" t="n">
        <v>0</v>
      </c>
      <c r="BB233" s="187" t="n">
        <v>1</v>
      </c>
      <c r="BC233" s="0" t="n">
        <v>1</v>
      </c>
      <c r="BD233" s="0" t="n">
        <v>1</v>
      </c>
      <c r="BE233" s="0" t="n">
        <v>1</v>
      </c>
      <c r="BF233" s="0" t="n">
        <v>0.9999</v>
      </c>
      <c r="BG233" s="0" t="n">
        <v>1</v>
      </c>
      <c r="BH233" s="0" t="n">
        <v>1</v>
      </c>
      <c r="BI233" s="0" t="n">
        <v>0.99</v>
      </c>
      <c r="BJ233" s="0" t="n">
        <v>0.999</v>
      </c>
      <c r="BK233" s="0" t="n">
        <v>0.998</v>
      </c>
      <c r="BL233" s="0" t="n">
        <v>0.9985</v>
      </c>
      <c r="BM233" s="0" t="n">
        <v>0.9985</v>
      </c>
      <c r="BN233" s="0" t="n">
        <v>0.972</v>
      </c>
      <c r="BO233" s="0" t="n">
        <v>0.9999</v>
      </c>
      <c r="BP233" s="0" t="n">
        <v>0.9999</v>
      </c>
      <c r="BQ233" s="0" t="n">
        <v>1</v>
      </c>
      <c r="BR233" s="0" t="n">
        <v>1.1288426</v>
      </c>
      <c r="BS233" s="0" t="n">
        <v>1.1346</v>
      </c>
      <c r="BT233" s="0" t="n">
        <v>1.0827</v>
      </c>
      <c r="BU233" s="0" t="n">
        <v>1.0276</v>
      </c>
      <c r="BV233" s="0" t="n">
        <v>1</v>
      </c>
      <c r="BW233" s="0" t="n">
        <v>2.6646</v>
      </c>
      <c r="BX233" s="0" t="n">
        <v>2.338786333</v>
      </c>
      <c r="BY233" s="0" t="n">
        <v>1.17815</v>
      </c>
      <c r="BZ233" s="0" t="n">
        <v>1.2885</v>
      </c>
      <c r="CA233" s="0" t="n">
        <v>2.001</v>
      </c>
      <c r="CB233" s="0" t="n">
        <v>1.578505</v>
      </c>
      <c r="CC233" s="0" t="n">
        <v>1.578505</v>
      </c>
      <c r="CD233" s="0" t="n">
        <v>1.300605</v>
      </c>
      <c r="CE233" s="0" t="n">
        <v>1.11028</v>
      </c>
      <c r="CF233" s="0" t="n">
        <v>1.477005</v>
      </c>
      <c r="CG233" s="188"/>
      <c r="CH233" s="0" t="n">
        <v>1.105945</v>
      </c>
      <c r="CI233" s="188"/>
      <c r="CJ233" s="188"/>
      <c r="CK233" s="188"/>
      <c r="CL233" s="188"/>
      <c r="CM233" s="188"/>
      <c r="CN233" s="188"/>
      <c r="CO233" s="188"/>
      <c r="CP233" s="0" t="n">
        <v>0.895</v>
      </c>
      <c r="CV233" s="0" t="n">
        <v>0.45</v>
      </c>
      <c r="CW233" s="0" t="n">
        <v>0.805</v>
      </c>
      <c r="CX233" s="0" t="n">
        <v>0.68</v>
      </c>
      <c r="CZ233" s="0" t="n">
        <v>0.605</v>
      </c>
      <c r="DA233" s="0" t="n">
        <v>0.6375</v>
      </c>
      <c r="DB233" s="0" t="n">
        <v>0.69</v>
      </c>
      <c r="DC233" s="0" t="n">
        <v>0.88</v>
      </c>
      <c r="DD233" s="0" t="n">
        <v>0.64</v>
      </c>
      <c r="DE233" s="0" t="n">
        <v>0.89</v>
      </c>
      <c r="DN233" s="188" t="n">
        <v>0.000285</v>
      </c>
      <c r="DO233" s="188" t="n">
        <v>0.0002</v>
      </c>
      <c r="DP233" s="188" t="n">
        <v>0</v>
      </c>
      <c r="DQ233" s="188" t="n">
        <v>0.0001</v>
      </c>
      <c r="DR233" s="188" t="n">
        <v>0</v>
      </c>
      <c r="DS233" s="188" t="n">
        <v>0.0036</v>
      </c>
      <c r="DT233" s="188" t="n">
        <v>0.00047</v>
      </c>
      <c r="DU233" s="188" t="n">
        <v>0.0007</v>
      </c>
      <c r="DV233" s="188" t="n">
        <v>0</v>
      </c>
      <c r="DW233" s="188" t="n">
        <v>0</v>
      </c>
      <c r="DX233" s="188" t="n">
        <v>0.0005</v>
      </c>
      <c r="DY233" s="188" t="n">
        <v>0.0005</v>
      </c>
      <c r="DZ233" s="188" t="n">
        <v>0.0003</v>
      </c>
      <c r="EA233" s="188" t="n">
        <v>0.000275</v>
      </c>
      <c r="EB233" s="188" t="n">
        <v>0.0004</v>
      </c>
      <c r="ED233" s="188" t="n">
        <v>6.5E-005</v>
      </c>
      <c r="EF233" s="0" t="n">
        <v>1</v>
      </c>
    </row>
    <row r="234" customFormat="false" ht="12.75" hidden="false" customHeight="false" outlineLevel="0" collapsed="false">
      <c r="A234" s="149" t="n">
        <v>43497</v>
      </c>
      <c r="B234" s="0" t="n">
        <v>0.98</v>
      </c>
      <c r="C234" s="0" t="n">
        <v>0</v>
      </c>
      <c r="E234" s="0" t="n">
        <v>0</v>
      </c>
      <c r="F234" s="0" t="n">
        <v>0</v>
      </c>
      <c r="G234" s="0" t="n">
        <v>0</v>
      </c>
      <c r="H234" s="0" t="n">
        <v>0.9875</v>
      </c>
      <c r="I234" s="0" t="n">
        <v>0.9875</v>
      </c>
      <c r="J234" s="0" t="n">
        <v>0.9805</v>
      </c>
      <c r="K234" s="0" t="n">
        <v>0</v>
      </c>
      <c r="L234" s="176" t="n">
        <v>0.9875</v>
      </c>
      <c r="M234" s="176" t="n">
        <v>0.9875</v>
      </c>
      <c r="N234" s="0" t="n">
        <v>0.92364255</v>
      </c>
      <c r="O234" s="0" t="n">
        <v>0.974512013</v>
      </c>
      <c r="P234" s="0" t="n">
        <v>0.92364255</v>
      </c>
      <c r="Q234" s="177" t="n">
        <v>0.9875</v>
      </c>
      <c r="R234" s="0" t="n">
        <v>0.9875</v>
      </c>
      <c r="S234" s="176" t="n">
        <v>0.9875</v>
      </c>
      <c r="T234" s="0" t="n">
        <v>0.92364255</v>
      </c>
      <c r="U234" s="0" t="n">
        <v>0.92364255</v>
      </c>
      <c r="V234" s="0" t="n">
        <v>0.92364255</v>
      </c>
      <c r="W234" s="0" t="n">
        <v>0.92364255</v>
      </c>
      <c r="X234" s="0" t="n">
        <v>0.974512013</v>
      </c>
      <c r="Y234" s="0" t="n">
        <v>0.974512013</v>
      </c>
      <c r="Z234" s="0" t="n">
        <v>0.974512013</v>
      </c>
      <c r="AA234" s="0" t="n">
        <v>0.974512013</v>
      </c>
      <c r="AB234" s="0" t="n">
        <v>0.92364255</v>
      </c>
      <c r="AC234" s="0" t="n">
        <v>0.92364255</v>
      </c>
      <c r="AD234" s="0" t="n">
        <v>0.974512013</v>
      </c>
      <c r="AE234" s="0" t="n">
        <v>0.974512013</v>
      </c>
      <c r="AF234" s="0" t="n">
        <v>0.92364255</v>
      </c>
      <c r="AG234" s="0" t="n">
        <v>0.98</v>
      </c>
      <c r="AH234" s="0" t="n">
        <v>0.9843489</v>
      </c>
      <c r="AI234" s="0" t="n">
        <v>0.9843489</v>
      </c>
      <c r="AJ234" s="0" t="n">
        <v>0.92364255</v>
      </c>
      <c r="AK234" s="0" t="n">
        <v>1</v>
      </c>
      <c r="AL234" s="0" t="n">
        <v>0</v>
      </c>
      <c r="AM234" s="0" t="n">
        <v>0</v>
      </c>
      <c r="BB234" s="187" t="n">
        <v>1</v>
      </c>
      <c r="BC234" s="0" t="n">
        <v>1</v>
      </c>
      <c r="BD234" s="0" t="n">
        <v>1</v>
      </c>
      <c r="BE234" s="0" t="n">
        <v>1</v>
      </c>
      <c r="BF234" s="0" t="n">
        <v>0.9999</v>
      </c>
      <c r="BG234" s="0" t="n">
        <v>1</v>
      </c>
      <c r="BH234" s="0" t="n">
        <v>1</v>
      </c>
      <c r="BI234" s="0" t="n">
        <v>0.99</v>
      </c>
      <c r="BJ234" s="0" t="n">
        <v>0.999</v>
      </c>
      <c r="BK234" s="0" t="n">
        <v>0.998</v>
      </c>
      <c r="BL234" s="0" t="n">
        <v>0.9985</v>
      </c>
      <c r="BM234" s="0" t="n">
        <v>0.9985</v>
      </c>
      <c r="BN234" s="0" t="n">
        <v>0.972</v>
      </c>
      <c r="BO234" s="0" t="n">
        <v>0.9999</v>
      </c>
      <c r="BP234" s="0" t="n">
        <v>0.9999</v>
      </c>
      <c r="BQ234" s="0" t="n">
        <v>1</v>
      </c>
      <c r="BR234" s="0" t="n">
        <v>1.1291276</v>
      </c>
      <c r="BS234" s="0" t="n">
        <v>1.1348</v>
      </c>
      <c r="BT234" s="0" t="n">
        <v>1.0827</v>
      </c>
      <c r="BU234" s="0" t="n">
        <v>1.0277</v>
      </c>
      <c r="BV234" s="0" t="n">
        <v>1</v>
      </c>
      <c r="BW234" s="0" t="n">
        <v>2.6682</v>
      </c>
      <c r="BX234" s="0" t="n">
        <v>2.339256333</v>
      </c>
      <c r="BY234" s="0" t="n">
        <v>1.17885</v>
      </c>
      <c r="BZ234" s="0" t="n">
        <v>1.2885</v>
      </c>
      <c r="CA234" s="0" t="n">
        <v>2.001</v>
      </c>
      <c r="CB234" s="0" t="n">
        <v>1.579005</v>
      </c>
      <c r="CC234" s="0" t="n">
        <v>1.579005</v>
      </c>
      <c r="CD234" s="0" t="n">
        <v>1.300905</v>
      </c>
      <c r="CE234" s="0" t="n">
        <v>1.110555</v>
      </c>
      <c r="CF234" s="0" t="n">
        <v>1.477405</v>
      </c>
      <c r="CG234" s="188"/>
      <c r="CH234" s="0" t="n">
        <v>1.10601</v>
      </c>
      <c r="CI234" s="188"/>
      <c r="CJ234" s="188"/>
      <c r="CK234" s="188"/>
      <c r="CL234" s="188"/>
      <c r="CM234" s="188"/>
      <c r="CN234" s="188"/>
      <c r="CO234" s="188"/>
      <c r="CP234" s="0" t="n">
        <v>0.865</v>
      </c>
      <c r="CV234" s="0" t="n">
        <v>0.45</v>
      </c>
      <c r="CW234" s="0" t="n">
        <v>0.845</v>
      </c>
      <c r="CX234" s="0" t="n">
        <v>0.785</v>
      </c>
      <c r="CZ234" s="0" t="n">
        <v>0.635</v>
      </c>
      <c r="DA234" s="0" t="n">
        <v>0.6675</v>
      </c>
      <c r="DB234" s="0" t="n">
        <v>0.71</v>
      </c>
      <c r="DC234" s="0" t="n">
        <v>0.8775</v>
      </c>
      <c r="DD234" s="0" t="n">
        <v>0.67</v>
      </c>
      <c r="DE234" s="0" t="n">
        <v>0.89</v>
      </c>
      <c r="DN234" s="188" t="n">
        <v>0.000285</v>
      </c>
      <c r="DO234" s="188" t="n">
        <v>0.0002</v>
      </c>
      <c r="DP234" s="188" t="n">
        <v>0</v>
      </c>
      <c r="DQ234" s="188" t="n">
        <v>0.0001</v>
      </c>
      <c r="DR234" s="188" t="n">
        <v>0</v>
      </c>
      <c r="DS234" s="188" t="n">
        <v>0.0036</v>
      </c>
      <c r="DT234" s="188" t="n">
        <v>0.00047</v>
      </c>
      <c r="DU234" s="188" t="n">
        <v>0.0007</v>
      </c>
      <c r="DV234" s="188" t="n">
        <v>0</v>
      </c>
      <c r="DW234" s="188" t="n">
        <v>0</v>
      </c>
      <c r="DX234" s="188" t="n">
        <v>0.0005</v>
      </c>
      <c r="DY234" s="188" t="n">
        <v>0.0005</v>
      </c>
      <c r="DZ234" s="188" t="n">
        <v>0.0003</v>
      </c>
      <c r="EA234" s="188" t="n">
        <v>0.000275</v>
      </c>
      <c r="EB234" s="188" t="n">
        <v>0.0004</v>
      </c>
      <c r="ED234" s="188" t="n">
        <v>6.5E-005</v>
      </c>
      <c r="EF234" s="0" t="n">
        <v>1</v>
      </c>
    </row>
    <row r="235" customFormat="false" ht="12.75" hidden="false" customHeight="false" outlineLevel="0" collapsed="false">
      <c r="A235" s="149" t="n">
        <v>43525</v>
      </c>
      <c r="B235" s="0" t="n">
        <v>0.98</v>
      </c>
      <c r="C235" s="0" t="n">
        <v>0</v>
      </c>
      <c r="E235" s="0" t="n">
        <v>0</v>
      </c>
      <c r="F235" s="0" t="n">
        <v>0</v>
      </c>
      <c r="G235" s="0" t="n">
        <v>0</v>
      </c>
      <c r="H235" s="0" t="n">
        <v>0.9875</v>
      </c>
      <c r="I235" s="0" t="n">
        <v>0.9875</v>
      </c>
      <c r="J235" s="0" t="n">
        <v>0.9805</v>
      </c>
      <c r="K235" s="0" t="n">
        <v>0</v>
      </c>
      <c r="L235" s="176" t="n">
        <v>0.9875</v>
      </c>
      <c r="M235" s="176" t="n">
        <v>0.9875</v>
      </c>
      <c r="N235" s="0" t="n">
        <v>0.98</v>
      </c>
      <c r="O235" s="0" t="n">
        <v>0.9875</v>
      </c>
      <c r="P235" s="0" t="n">
        <v>0.98</v>
      </c>
      <c r="Q235" s="177" t="n">
        <v>0.9875</v>
      </c>
      <c r="R235" s="0" t="n">
        <v>0.9875</v>
      </c>
      <c r="S235" s="176" t="n">
        <v>0.9875</v>
      </c>
      <c r="T235" s="0" t="n">
        <v>0.98</v>
      </c>
      <c r="U235" s="0" t="n">
        <v>0.98</v>
      </c>
      <c r="V235" s="0" t="n">
        <v>0.98</v>
      </c>
      <c r="W235" s="0" t="n">
        <v>0.98</v>
      </c>
      <c r="X235" s="0" t="n">
        <v>0.9875</v>
      </c>
      <c r="Y235" s="0" t="n">
        <v>0.9875</v>
      </c>
      <c r="Z235" s="0" t="n">
        <v>0.9875</v>
      </c>
      <c r="AA235" s="0" t="n">
        <v>0.9875</v>
      </c>
      <c r="AB235" s="0" t="n">
        <v>0.98</v>
      </c>
      <c r="AC235" s="0" t="n">
        <v>0.98</v>
      </c>
      <c r="AD235" s="0" t="n">
        <v>0.9875</v>
      </c>
      <c r="AE235" s="0" t="n">
        <v>0.9875</v>
      </c>
      <c r="AF235" s="0" t="n">
        <v>0.98</v>
      </c>
      <c r="AG235" s="0" t="n">
        <v>0.99</v>
      </c>
      <c r="AH235" s="0" t="n">
        <v>0.98440675</v>
      </c>
      <c r="AI235" s="0" t="n">
        <v>0.98440675</v>
      </c>
      <c r="AJ235" s="0" t="n">
        <v>0.98</v>
      </c>
      <c r="AK235" s="0" t="n">
        <v>1</v>
      </c>
      <c r="AL235" s="0" t="n">
        <v>0</v>
      </c>
      <c r="AM235" s="0" t="n">
        <v>0</v>
      </c>
      <c r="BB235" s="187" t="n">
        <v>1</v>
      </c>
      <c r="BC235" s="0" t="n">
        <v>1</v>
      </c>
      <c r="BD235" s="0" t="n">
        <v>1</v>
      </c>
      <c r="BE235" s="0" t="n">
        <v>1</v>
      </c>
      <c r="BF235" s="0" t="n">
        <v>0.9999</v>
      </c>
      <c r="BG235" s="0" t="n">
        <v>1</v>
      </c>
      <c r="BH235" s="0" t="n">
        <v>1</v>
      </c>
      <c r="BI235" s="0" t="n">
        <v>0.99</v>
      </c>
      <c r="BJ235" s="0" t="n">
        <v>0.999</v>
      </c>
      <c r="BK235" s="0" t="n">
        <v>0.998</v>
      </c>
      <c r="BL235" s="0" t="n">
        <v>0.9985</v>
      </c>
      <c r="BM235" s="0" t="n">
        <v>0.9985</v>
      </c>
      <c r="BN235" s="0" t="n">
        <v>0.972</v>
      </c>
      <c r="BO235" s="0" t="n">
        <v>0.9999</v>
      </c>
      <c r="BP235" s="0" t="n">
        <v>0.9999</v>
      </c>
      <c r="BQ235" s="0" t="n">
        <v>1</v>
      </c>
      <c r="BR235" s="0" t="n">
        <v>1.1294126</v>
      </c>
      <c r="BS235" s="0" t="n">
        <v>1.135</v>
      </c>
      <c r="BT235" s="0" t="n">
        <v>1.0827</v>
      </c>
      <c r="BU235" s="0" t="n">
        <v>1.0278</v>
      </c>
      <c r="BV235" s="0" t="n">
        <v>1</v>
      </c>
      <c r="BW235" s="0" t="n">
        <v>2.6718</v>
      </c>
      <c r="BX235" s="0" t="n">
        <v>2.339726333</v>
      </c>
      <c r="BY235" s="0" t="n">
        <v>1.17955</v>
      </c>
      <c r="BZ235" s="0" t="n">
        <v>1.2885</v>
      </c>
      <c r="CA235" s="0" t="n">
        <v>2.001</v>
      </c>
      <c r="CB235" s="0" t="n">
        <v>1.579505</v>
      </c>
      <c r="CC235" s="0" t="n">
        <v>1.579505</v>
      </c>
      <c r="CD235" s="0" t="n">
        <v>1.301205</v>
      </c>
      <c r="CE235" s="0" t="n">
        <v>1.11083</v>
      </c>
      <c r="CF235" s="0" t="n">
        <v>1.477805</v>
      </c>
      <c r="CG235" s="188"/>
      <c r="CH235" s="0" t="n">
        <v>1.106075</v>
      </c>
      <c r="CI235" s="188"/>
      <c r="CJ235" s="188"/>
      <c r="CK235" s="188"/>
      <c r="CL235" s="188"/>
      <c r="CM235" s="188"/>
      <c r="CN235" s="188"/>
      <c r="CO235" s="188"/>
      <c r="CP235" s="0" t="n">
        <v>0.865</v>
      </c>
      <c r="CV235" s="0" t="n">
        <v>0.45</v>
      </c>
      <c r="CW235" s="0" t="n">
        <v>0.875</v>
      </c>
      <c r="CX235" s="0" t="n">
        <v>0.955</v>
      </c>
      <c r="CZ235" s="0" t="n">
        <v>0.785</v>
      </c>
      <c r="DA235" s="0" t="n">
        <v>0.8175</v>
      </c>
      <c r="DB235" s="0" t="n">
        <v>0.8</v>
      </c>
      <c r="DC235" s="0" t="n">
        <v>0.9</v>
      </c>
      <c r="DD235" s="0" t="n">
        <v>0.83</v>
      </c>
      <c r="DE235" s="0" t="n">
        <v>0.89</v>
      </c>
      <c r="DN235" s="188" t="n">
        <v>0.000285</v>
      </c>
      <c r="DO235" s="188" t="n">
        <v>0.0002</v>
      </c>
      <c r="DP235" s="188" t="n">
        <v>0</v>
      </c>
      <c r="DQ235" s="188" t="n">
        <v>0.0001</v>
      </c>
      <c r="DR235" s="188" t="n">
        <v>0</v>
      </c>
      <c r="DS235" s="188" t="n">
        <v>0.0036</v>
      </c>
      <c r="DT235" s="188" t="n">
        <v>0.00047</v>
      </c>
      <c r="DU235" s="188" t="n">
        <v>0.0007</v>
      </c>
      <c r="DV235" s="188" t="n">
        <v>0</v>
      </c>
      <c r="DW235" s="188" t="n">
        <v>0</v>
      </c>
      <c r="DX235" s="188" t="n">
        <v>0.0005</v>
      </c>
      <c r="DY235" s="188" t="n">
        <v>0.0005</v>
      </c>
      <c r="DZ235" s="188" t="n">
        <v>0.0003</v>
      </c>
      <c r="EA235" s="188" t="n">
        <v>0.000275</v>
      </c>
      <c r="EB235" s="188" t="n">
        <v>0.0004</v>
      </c>
      <c r="ED235" s="188" t="n">
        <v>6.5E-005</v>
      </c>
      <c r="EF235" s="0" t="n">
        <v>1</v>
      </c>
    </row>
    <row r="236" customFormat="false" ht="12.75" hidden="false" customHeight="false" outlineLevel="0" collapsed="false">
      <c r="A236" s="149" t="n">
        <v>43556</v>
      </c>
      <c r="B236" s="0" t="n">
        <v>0.98</v>
      </c>
      <c r="C236" s="0" t="n">
        <v>0</v>
      </c>
      <c r="E236" s="0" t="n">
        <v>0</v>
      </c>
      <c r="F236" s="0" t="n">
        <v>0</v>
      </c>
      <c r="G236" s="0" t="n">
        <v>0</v>
      </c>
      <c r="H236" s="0" t="n">
        <v>0.98288246</v>
      </c>
      <c r="I236" s="0" t="n">
        <v>0.9875</v>
      </c>
      <c r="J236" s="0" t="n">
        <v>0.9805</v>
      </c>
      <c r="K236" s="0" t="n">
        <v>0</v>
      </c>
      <c r="L236" s="176" t="n">
        <v>0.9875</v>
      </c>
      <c r="M236" s="176" t="n">
        <v>0.9875</v>
      </c>
      <c r="N236" s="0" t="n">
        <v>0.98</v>
      </c>
      <c r="O236" s="0" t="n">
        <v>0.9875</v>
      </c>
      <c r="P236" s="0" t="n">
        <v>0.98</v>
      </c>
      <c r="Q236" s="177" t="n">
        <v>0.9875</v>
      </c>
      <c r="R236" s="0" t="n">
        <v>0.9875</v>
      </c>
      <c r="S236" s="176" t="n">
        <v>0.9875</v>
      </c>
      <c r="T236" s="0" t="n">
        <v>0.98</v>
      </c>
      <c r="U236" s="0" t="n">
        <v>0.98</v>
      </c>
      <c r="V236" s="0" t="n">
        <v>0.98</v>
      </c>
      <c r="W236" s="0" t="n">
        <v>0.98</v>
      </c>
      <c r="X236" s="0" t="n">
        <v>0.9875</v>
      </c>
      <c r="Y236" s="0" t="n">
        <v>0.9875</v>
      </c>
      <c r="Z236" s="0" t="n">
        <v>0.9875</v>
      </c>
      <c r="AA236" s="0" t="n">
        <v>0.9875</v>
      </c>
      <c r="AB236" s="0" t="n">
        <v>0.98</v>
      </c>
      <c r="AC236" s="0" t="n">
        <v>0.98</v>
      </c>
      <c r="AD236" s="0" t="n">
        <v>0.9875</v>
      </c>
      <c r="AE236" s="0" t="n">
        <v>0.9875</v>
      </c>
      <c r="AF236" s="0" t="n">
        <v>0.98</v>
      </c>
      <c r="AG236" s="0" t="n">
        <v>0.99</v>
      </c>
      <c r="AH236" s="0" t="n">
        <v>0.9844646</v>
      </c>
      <c r="AI236" s="0" t="n">
        <v>0.9844646</v>
      </c>
      <c r="AJ236" s="0" t="n">
        <v>0.98</v>
      </c>
      <c r="AK236" s="0" t="n">
        <v>1</v>
      </c>
      <c r="AL236" s="0" t="n">
        <v>0</v>
      </c>
      <c r="AM236" s="0" t="n">
        <v>0</v>
      </c>
      <c r="BB236" s="187" t="n">
        <v>1</v>
      </c>
      <c r="BC236" s="0" t="n">
        <v>1</v>
      </c>
      <c r="BD236" s="0" t="n">
        <v>1</v>
      </c>
      <c r="BE236" s="0" t="n">
        <v>1</v>
      </c>
      <c r="BF236" s="0" t="n">
        <v>0.9999</v>
      </c>
      <c r="BG236" s="0" t="n">
        <v>1</v>
      </c>
      <c r="BH236" s="0" t="n">
        <v>1</v>
      </c>
      <c r="BI236" s="0" t="n">
        <v>0.99</v>
      </c>
      <c r="BJ236" s="0" t="n">
        <v>0.999</v>
      </c>
      <c r="BK236" s="0" t="n">
        <v>0.998</v>
      </c>
      <c r="BL236" s="0" t="n">
        <v>0.9985</v>
      </c>
      <c r="BM236" s="0" t="n">
        <v>0.9985</v>
      </c>
      <c r="BN236" s="0" t="n">
        <v>0.972</v>
      </c>
      <c r="BO236" s="0" t="n">
        <v>0.9999</v>
      </c>
      <c r="BP236" s="0" t="n">
        <v>0.9999</v>
      </c>
      <c r="BQ236" s="0" t="n">
        <v>1</v>
      </c>
      <c r="BR236" s="0" t="n">
        <v>1.1296976</v>
      </c>
      <c r="BS236" s="0" t="n">
        <v>1.1352</v>
      </c>
      <c r="BT236" s="0" t="n">
        <v>1.0827</v>
      </c>
      <c r="BU236" s="0" t="n">
        <v>1.0279</v>
      </c>
      <c r="BV236" s="0" t="n">
        <v>1</v>
      </c>
      <c r="BW236" s="0" t="n">
        <v>2.6754</v>
      </c>
      <c r="BX236" s="0" t="n">
        <v>2.340196333</v>
      </c>
      <c r="BY236" s="0" t="n">
        <v>1.18025</v>
      </c>
      <c r="BZ236" s="0" t="n">
        <v>1.2885</v>
      </c>
      <c r="CA236" s="0" t="n">
        <v>2.001</v>
      </c>
      <c r="CB236" s="0" t="n">
        <v>1.580005</v>
      </c>
      <c r="CC236" s="0" t="n">
        <v>1.580005</v>
      </c>
      <c r="CD236" s="0" t="n">
        <v>1.301505</v>
      </c>
      <c r="CE236" s="0" t="n">
        <v>1.111105</v>
      </c>
      <c r="CF236" s="0" t="n">
        <v>1.478205</v>
      </c>
      <c r="CG236" s="188"/>
      <c r="CH236" s="0" t="n">
        <v>1.10614</v>
      </c>
      <c r="CI236" s="188"/>
      <c r="CJ236" s="188"/>
      <c r="CK236" s="188"/>
      <c r="CL236" s="188"/>
      <c r="CM236" s="188"/>
      <c r="CN236" s="188"/>
      <c r="CO236" s="188"/>
      <c r="CP236" s="0" t="n">
        <v>0.895</v>
      </c>
      <c r="CV236" s="0" t="n">
        <v>0.42</v>
      </c>
      <c r="CW236" s="0" t="n">
        <v>0.935</v>
      </c>
      <c r="CX236" s="0" t="n">
        <v>0.945</v>
      </c>
      <c r="CZ236" s="0" t="n">
        <v>0.895</v>
      </c>
      <c r="DA236" s="0" t="n">
        <v>0.9275</v>
      </c>
      <c r="DB236" s="0" t="n">
        <v>0.85</v>
      </c>
      <c r="DC236" s="0" t="n">
        <v>0.903</v>
      </c>
      <c r="DD236" s="0" t="n">
        <v>0.92</v>
      </c>
      <c r="DE236" s="0" t="n">
        <v>0.89</v>
      </c>
      <c r="DN236" s="188" t="n">
        <v>0.000285</v>
      </c>
      <c r="DO236" s="188" t="n">
        <v>0.0002</v>
      </c>
      <c r="DP236" s="188" t="n">
        <v>0</v>
      </c>
      <c r="DQ236" s="188" t="n">
        <v>0.0001</v>
      </c>
      <c r="DR236" s="188" t="n">
        <v>0</v>
      </c>
      <c r="DS236" s="188" t="n">
        <v>0.0036</v>
      </c>
      <c r="DT236" s="188" t="n">
        <v>0.00047</v>
      </c>
      <c r="DU236" s="188" t="n">
        <v>0.0007</v>
      </c>
      <c r="DV236" s="188" t="n">
        <v>0</v>
      </c>
      <c r="DW236" s="188" t="n">
        <v>0</v>
      </c>
      <c r="DX236" s="188" t="n">
        <v>0.0005</v>
      </c>
      <c r="DY236" s="188" t="n">
        <v>0.0005</v>
      </c>
      <c r="DZ236" s="188" t="n">
        <v>0.0003</v>
      </c>
      <c r="EA236" s="188" t="n">
        <v>0.000275</v>
      </c>
      <c r="EB236" s="188" t="n">
        <v>0.0004</v>
      </c>
      <c r="ED236" s="188" t="n">
        <v>6.5E-005</v>
      </c>
      <c r="EF236" s="0" t="n">
        <v>1</v>
      </c>
    </row>
    <row r="237" customFormat="false" ht="12.75" hidden="false" customHeight="false" outlineLevel="0" collapsed="false">
      <c r="A237" s="149" t="n">
        <v>43586</v>
      </c>
      <c r="B237" s="0" t="n">
        <v>0.98</v>
      </c>
      <c r="C237" s="0" t="n">
        <v>0</v>
      </c>
      <c r="E237" s="0" t="n">
        <v>0</v>
      </c>
      <c r="F237" s="0" t="n">
        <v>0</v>
      </c>
      <c r="G237" s="0" t="n">
        <v>0</v>
      </c>
      <c r="H237" s="0" t="n">
        <v>0.98307986</v>
      </c>
      <c r="I237" s="0" t="n">
        <v>0.9875</v>
      </c>
      <c r="J237" s="0" t="n">
        <v>0.9805</v>
      </c>
      <c r="K237" s="0" t="n">
        <v>0</v>
      </c>
      <c r="L237" s="176" t="n">
        <v>0.9875</v>
      </c>
      <c r="M237" s="176" t="n">
        <v>0.9875</v>
      </c>
      <c r="N237" s="0" t="n">
        <v>0.98</v>
      </c>
      <c r="O237" s="0" t="n">
        <v>0.9875</v>
      </c>
      <c r="P237" s="0" t="n">
        <v>0.98</v>
      </c>
      <c r="Q237" s="177" t="n">
        <v>0.9875</v>
      </c>
      <c r="R237" s="0" t="n">
        <v>0.9875</v>
      </c>
      <c r="S237" s="176" t="n">
        <v>0.9875</v>
      </c>
      <c r="T237" s="0" t="n">
        <v>0.98</v>
      </c>
      <c r="U237" s="0" t="n">
        <v>0.98</v>
      </c>
      <c r="V237" s="0" t="n">
        <v>0.98</v>
      </c>
      <c r="W237" s="0" t="n">
        <v>0.98</v>
      </c>
      <c r="X237" s="0" t="n">
        <v>0.9875</v>
      </c>
      <c r="Y237" s="0" t="n">
        <v>0.9875</v>
      </c>
      <c r="Z237" s="0" t="n">
        <v>0.9875</v>
      </c>
      <c r="AA237" s="0" t="n">
        <v>0.9875</v>
      </c>
      <c r="AB237" s="0" t="n">
        <v>0.98</v>
      </c>
      <c r="AC237" s="0" t="n">
        <v>0.98</v>
      </c>
      <c r="AD237" s="0" t="n">
        <v>0.9875</v>
      </c>
      <c r="AE237" s="0" t="n">
        <v>0.9875</v>
      </c>
      <c r="AF237" s="0" t="n">
        <v>0.98</v>
      </c>
      <c r="AG237" s="0" t="n">
        <v>0.99</v>
      </c>
      <c r="AH237" s="0" t="n">
        <v>0.98452245</v>
      </c>
      <c r="AI237" s="0" t="n">
        <v>0.98452245</v>
      </c>
      <c r="AJ237" s="0" t="n">
        <v>0.98</v>
      </c>
      <c r="AK237" s="0" t="n">
        <v>1</v>
      </c>
      <c r="AL237" s="0" t="n">
        <v>0</v>
      </c>
      <c r="AM237" s="0" t="n">
        <v>0</v>
      </c>
      <c r="BB237" s="187" t="n">
        <v>1</v>
      </c>
      <c r="BC237" s="0" t="n">
        <v>1</v>
      </c>
      <c r="BD237" s="0" t="n">
        <v>1</v>
      </c>
      <c r="BE237" s="0" t="n">
        <v>1</v>
      </c>
      <c r="BF237" s="0" t="n">
        <v>0.9999</v>
      </c>
      <c r="BG237" s="0" t="n">
        <v>1</v>
      </c>
      <c r="BH237" s="0" t="n">
        <v>1</v>
      </c>
      <c r="BI237" s="0" t="n">
        <v>0.99</v>
      </c>
      <c r="BJ237" s="0" t="n">
        <v>0.999</v>
      </c>
      <c r="BK237" s="0" t="n">
        <v>0.998</v>
      </c>
      <c r="BL237" s="0" t="n">
        <v>0.9985</v>
      </c>
      <c r="BM237" s="0" t="n">
        <v>0.9985</v>
      </c>
      <c r="BN237" s="0" t="n">
        <v>0.972</v>
      </c>
      <c r="BO237" s="0" t="n">
        <v>0.9999</v>
      </c>
      <c r="BP237" s="0" t="n">
        <v>0.9999</v>
      </c>
      <c r="BQ237" s="0" t="n">
        <v>1</v>
      </c>
      <c r="BR237" s="0" t="n">
        <v>1.1299826</v>
      </c>
      <c r="BS237" s="0" t="n">
        <v>1.1354</v>
      </c>
      <c r="BT237" s="0" t="n">
        <v>1.0827</v>
      </c>
      <c r="BU237" s="0" t="n">
        <v>1.028</v>
      </c>
      <c r="BV237" s="0" t="n">
        <v>1</v>
      </c>
      <c r="BW237" s="0" t="n">
        <v>2.679</v>
      </c>
      <c r="BX237" s="0" t="n">
        <v>2.340666333</v>
      </c>
      <c r="BY237" s="0" t="n">
        <v>1.18095</v>
      </c>
      <c r="BZ237" s="0" t="n">
        <v>1.2885</v>
      </c>
      <c r="CA237" s="0" t="n">
        <v>2.001</v>
      </c>
      <c r="CB237" s="0" t="n">
        <v>1.580505</v>
      </c>
      <c r="CC237" s="0" t="n">
        <v>1.580505</v>
      </c>
      <c r="CD237" s="0" t="n">
        <v>1.301805</v>
      </c>
      <c r="CE237" s="0" t="n">
        <v>1.11138</v>
      </c>
      <c r="CF237" s="0" t="n">
        <v>1.478605</v>
      </c>
      <c r="CG237" s="188"/>
      <c r="CH237" s="0" t="n">
        <v>1.106205</v>
      </c>
      <c r="CI237" s="188"/>
      <c r="CJ237" s="188"/>
      <c r="CK237" s="188"/>
      <c r="CL237" s="188"/>
      <c r="CM237" s="188"/>
      <c r="CN237" s="188"/>
      <c r="CO237" s="188"/>
      <c r="CP237" s="0" t="n">
        <v>0.965</v>
      </c>
      <c r="CV237" s="0" t="n">
        <v>0.42</v>
      </c>
      <c r="CW237" s="0" t="n">
        <v>0.935</v>
      </c>
      <c r="CX237" s="0" t="n">
        <v>0.845</v>
      </c>
      <c r="CZ237" s="0" t="n">
        <v>0.9175</v>
      </c>
      <c r="DA237" s="0" t="n">
        <v>0.95</v>
      </c>
      <c r="DB237" s="0" t="n">
        <v>0.88</v>
      </c>
      <c r="DC237" s="0" t="n">
        <v>0.9</v>
      </c>
      <c r="DD237" s="0" t="n">
        <v>0.935</v>
      </c>
      <c r="DE237" s="0" t="n">
        <v>0.89</v>
      </c>
      <c r="DN237" s="188" t="n">
        <v>0.000285</v>
      </c>
      <c r="DO237" s="188" t="n">
        <v>0.0002</v>
      </c>
      <c r="DP237" s="188" t="n">
        <v>0</v>
      </c>
      <c r="DQ237" s="188" t="n">
        <v>0.0001</v>
      </c>
      <c r="DR237" s="188" t="n">
        <v>0</v>
      </c>
      <c r="DS237" s="188" t="n">
        <v>0.0036</v>
      </c>
      <c r="DT237" s="188" t="n">
        <v>0.00047</v>
      </c>
      <c r="DU237" s="188" t="n">
        <v>0.0007</v>
      </c>
      <c r="DV237" s="188" t="n">
        <v>0</v>
      </c>
      <c r="DW237" s="188" t="n">
        <v>0</v>
      </c>
      <c r="DX237" s="188" t="n">
        <v>0.0005</v>
      </c>
      <c r="DY237" s="188" t="n">
        <v>0.0005</v>
      </c>
      <c r="DZ237" s="188" t="n">
        <v>0.0003</v>
      </c>
      <c r="EA237" s="188" t="n">
        <v>0.000275</v>
      </c>
      <c r="EB237" s="188" t="n">
        <v>0.0004</v>
      </c>
      <c r="ED237" s="188" t="n">
        <v>6.5E-005</v>
      </c>
      <c r="EF237" s="0" t="n">
        <v>1</v>
      </c>
    </row>
    <row r="238" customFormat="false" ht="12.75" hidden="false" customHeight="false" outlineLevel="0" collapsed="false">
      <c r="A238" s="149" t="n">
        <v>43617</v>
      </c>
      <c r="B238" s="0" t="n">
        <v>0.98</v>
      </c>
      <c r="C238" s="0" t="n">
        <v>0</v>
      </c>
      <c r="E238" s="0" t="n">
        <v>0</v>
      </c>
      <c r="F238" s="0" t="n">
        <v>0</v>
      </c>
      <c r="G238" s="0" t="n">
        <v>0</v>
      </c>
      <c r="H238" s="0" t="n">
        <v>0.9875</v>
      </c>
      <c r="I238" s="0" t="n">
        <v>0.9875</v>
      </c>
      <c r="J238" s="0" t="n">
        <v>0.9805</v>
      </c>
      <c r="K238" s="0" t="n">
        <v>0</v>
      </c>
      <c r="L238" s="176" t="n">
        <v>0.9875</v>
      </c>
      <c r="M238" s="176" t="n">
        <v>0.9875</v>
      </c>
      <c r="N238" s="0" t="n">
        <v>0.98</v>
      </c>
      <c r="O238" s="0" t="n">
        <v>0.9875</v>
      </c>
      <c r="P238" s="0" t="n">
        <v>0.98</v>
      </c>
      <c r="Q238" s="177" t="n">
        <v>0.9875</v>
      </c>
      <c r="R238" s="0" t="n">
        <v>0.9875</v>
      </c>
      <c r="S238" s="176" t="n">
        <v>0.9875</v>
      </c>
      <c r="T238" s="0" t="n">
        <v>0.98</v>
      </c>
      <c r="U238" s="0" t="n">
        <v>0.98</v>
      </c>
      <c r="V238" s="0" t="n">
        <v>0.98</v>
      </c>
      <c r="W238" s="0" t="n">
        <v>0.98</v>
      </c>
      <c r="X238" s="0" t="n">
        <v>0.9875</v>
      </c>
      <c r="Y238" s="0" t="n">
        <v>0.9875</v>
      </c>
      <c r="Z238" s="0" t="n">
        <v>0.9875</v>
      </c>
      <c r="AA238" s="0" t="n">
        <v>0.9875</v>
      </c>
      <c r="AB238" s="0" t="n">
        <v>0.98</v>
      </c>
      <c r="AC238" s="0" t="n">
        <v>0.98</v>
      </c>
      <c r="AD238" s="0" t="n">
        <v>0.9875</v>
      </c>
      <c r="AE238" s="0" t="n">
        <v>0.9875</v>
      </c>
      <c r="AF238" s="0" t="n">
        <v>0.98</v>
      </c>
      <c r="AG238" s="0" t="n">
        <v>0.99</v>
      </c>
      <c r="AH238" s="0" t="n">
        <v>0.9845803</v>
      </c>
      <c r="AI238" s="0" t="n">
        <v>0.9845803</v>
      </c>
      <c r="AJ238" s="0" t="n">
        <v>0.98</v>
      </c>
      <c r="AK238" s="0" t="n">
        <v>1</v>
      </c>
      <c r="AL238" s="0" t="n">
        <v>0</v>
      </c>
      <c r="AM238" s="0" t="n">
        <v>0</v>
      </c>
      <c r="BB238" s="187" t="n">
        <v>1</v>
      </c>
      <c r="BC238" s="0" t="n">
        <v>1</v>
      </c>
      <c r="BD238" s="0" t="n">
        <v>1</v>
      </c>
      <c r="BE238" s="0" t="n">
        <v>1</v>
      </c>
      <c r="BF238" s="0" t="n">
        <v>0.9999</v>
      </c>
      <c r="BG238" s="0" t="n">
        <v>1</v>
      </c>
      <c r="BH238" s="0" t="n">
        <v>1</v>
      </c>
      <c r="BI238" s="0" t="n">
        <v>0.99</v>
      </c>
      <c r="BJ238" s="0" t="n">
        <v>0.999</v>
      </c>
      <c r="BK238" s="0" t="n">
        <v>0.998</v>
      </c>
      <c r="BL238" s="0" t="n">
        <v>0.9985</v>
      </c>
      <c r="BM238" s="0" t="n">
        <v>0.9985</v>
      </c>
      <c r="BN238" s="0" t="n">
        <v>0.972</v>
      </c>
      <c r="BO238" s="0" t="n">
        <v>0.9999</v>
      </c>
      <c r="BP238" s="0" t="n">
        <v>0.9999</v>
      </c>
      <c r="BQ238" s="0" t="n">
        <v>1</v>
      </c>
      <c r="BR238" s="0" t="n">
        <v>1.1302676</v>
      </c>
      <c r="BS238" s="0" t="n">
        <v>1.1356</v>
      </c>
      <c r="BT238" s="0" t="n">
        <v>1.0827</v>
      </c>
      <c r="BU238" s="0" t="n">
        <v>1.0281</v>
      </c>
      <c r="BV238" s="0" t="n">
        <v>1</v>
      </c>
      <c r="BW238" s="0" t="n">
        <v>2.6826</v>
      </c>
      <c r="BX238" s="0" t="n">
        <v>2.341136333</v>
      </c>
      <c r="BY238" s="0" t="n">
        <v>1.18165</v>
      </c>
      <c r="BZ238" s="0" t="n">
        <v>1.2885</v>
      </c>
      <c r="CA238" s="0" t="n">
        <v>2.001</v>
      </c>
      <c r="CB238" s="0" t="n">
        <v>1.581005</v>
      </c>
      <c r="CC238" s="0" t="n">
        <v>1.581005</v>
      </c>
      <c r="CD238" s="0" t="n">
        <v>1.302105</v>
      </c>
      <c r="CE238" s="0" t="n">
        <v>1.111655</v>
      </c>
      <c r="CF238" s="0" t="n">
        <v>1.479005</v>
      </c>
      <c r="CG238" s="188"/>
      <c r="CH238" s="0" t="n">
        <v>1.10627</v>
      </c>
      <c r="CI238" s="188"/>
      <c r="CJ238" s="188"/>
      <c r="CK238" s="188"/>
      <c r="CL238" s="188"/>
      <c r="CM238" s="188"/>
      <c r="CN238" s="188"/>
      <c r="CO238" s="188"/>
      <c r="CP238" s="0" t="n">
        <v>0.965</v>
      </c>
      <c r="CV238" s="0" t="n">
        <v>0.47</v>
      </c>
      <c r="CW238" s="0" t="n">
        <v>0.935</v>
      </c>
      <c r="CX238" s="0" t="n">
        <v>0.755</v>
      </c>
      <c r="CZ238" s="0" t="n">
        <v>0.8825</v>
      </c>
      <c r="DA238" s="0" t="n">
        <v>0.915</v>
      </c>
      <c r="DB238" s="0" t="n">
        <v>0.88</v>
      </c>
      <c r="DC238" s="0" t="n">
        <v>0.9025</v>
      </c>
      <c r="DD238" s="0" t="n">
        <v>0.915</v>
      </c>
      <c r="DE238" s="0" t="n">
        <v>0.89</v>
      </c>
      <c r="DN238" s="188" t="n">
        <v>0.000285</v>
      </c>
      <c r="DO238" s="188" t="n">
        <v>0.0002</v>
      </c>
      <c r="DP238" s="188" t="n">
        <v>0</v>
      </c>
      <c r="DQ238" s="188" t="n">
        <v>0.0001</v>
      </c>
      <c r="DR238" s="188" t="n">
        <v>0</v>
      </c>
      <c r="DS238" s="188" t="n">
        <v>0.0036</v>
      </c>
      <c r="DT238" s="188" t="n">
        <v>0.00047</v>
      </c>
      <c r="DU238" s="188" t="n">
        <v>0.0007</v>
      </c>
      <c r="DV238" s="188" t="n">
        <v>0</v>
      </c>
      <c r="DW238" s="188" t="n">
        <v>0</v>
      </c>
      <c r="DX238" s="188" t="n">
        <v>0.0005</v>
      </c>
      <c r="DY238" s="188" t="n">
        <v>0.0005</v>
      </c>
      <c r="DZ238" s="188" t="n">
        <v>0.0003</v>
      </c>
      <c r="EA238" s="188" t="n">
        <v>0.000275</v>
      </c>
      <c r="EB238" s="188" t="n">
        <v>0.0004</v>
      </c>
      <c r="ED238" s="188" t="n">
        <v>6.5E-005</v>
      </c>
      <c r="EF238" s="0" t="n">
        <v>1</v>
      </c>
    </row>
    <row r="239" customFormat="false" ht="12.75" hidden="false" customHeight="false" outlineLevel="0" collapsed="false">
      <c r="A239" s="149" t="n">
        <v>43647</v>
      </c>
      <c r="B239" s="0" t="n">
        <v>0.98</v>
      </c>
      <c r="C239" s="0" t="n">
        <v>0</v>
      </c>
      <c r="E239" s="0" t="n">
        <v>0</v>
      </c>
      <c r="F239" s="0" t="n">
        <v>0</v>
      </c>
      <c r="G239" s="0" t="n">
        <v>0</v>
      </c>
      <c r="H239" s="0" t="n">
        <v>0.9875</v>
      </c>
      <c r="I239" s="0" t="n">
        <v>0.9875</v>
      </c>
      <c r="J239" s="0" t="n">
        <v>0.9805</v>
      </c>
      <c r="K239" s="0" t="n">
        <v>0</v>
      </c>
      <c r="L239" s="176" t="n">
        <v>0.9875</v>
      </c>
      <c r="M239" s="176" t="n">
        <v>0.9875</v>
      </c>
      <c r="N239" s="0" t="n">
        <v>0.98</v>
      </c>
      <c r="O239" s="0" t="n">
        <v>0.9875</v>
      </c>
      <c r="P239" s="0" t="n">
        <v>0.98</v>
      </c>
      <c r="Q239" s="177" t="n">
        <v>0.9875</v>
      </c>
      <c r="R239" s="0" t="n">
        <v>0.9875</v>
      </c>
      <c r="S239" s="176" t="n">
        <v>0.9875</v>
      </c>
      <c r="T239" s="0" t="n">
        <v>0.98</v>
      </c>
      <c r="U239" s="0" t="n">
        <v>0.98</v>
      </c>
      <c r="V239" s="0" t="n">
        <v>0.98</v>
      </c>
      <c r="W239" s="0" t="n">
        <v>0.98</v>
      </c>
      <c r="X239" s="0" t="n">
        <v>0.9875</v>
      </c>
      <c r="Y239" s="0" t="n">
        <v>0.9875</v>
      </c>
      <c r="Z239" s="0" t="n">
        <v>0.9875</v>
      </c>
      <c r="AA239" s="0" t="n">
        <v>0.9875</v>
      </c>
      <c r="AB239" s="0" t="n">
        <v>0.98</v>
      </c>
      <c r="AC239" s="0" t="n">
        <v>0.98</v>
      </c>
      <c r="AD239" s="0" t="n">
        <v>0.9875</v>
      </c>
      <c r="AE239" s="0" t="n">
        <v>0.9875</v>
      </c>
      <c r="AF239" s="0" t="n">
        <v>0.98</v>
      </c>
      <c r="AG239" s="0" t="n">
        <v>0.99</v>
      </c>
      <c r="AH239" s="0" t="n">
        <v>0.98463815</v>
      </c>
      <c r="AI239" s="0" t="n">
        <v>0.98463815</v>
      </c>
      <c r="AJ239" s="0" t="n">
        <v>0.98</v>
      </c>
      <c r="AK239" s="0" t="n">
        <v>1</v>
      </c>
      <c r="AL239" s="0" t="n">
        <v>0</v>
      </c>
      <c r="AM239" s="0" t="n">
        <v>0</v>
      </c>
      <c r="BB239" s="187" t="n">
        <v>1</v>
      </c>
      <c r="BC239" s="0" t="n">
        <v>1</v>
      </c>
      <c r="BD239" s="0" t="n">
        <v>1</v>
      </c>
      <c r="BE239" s="0" t="n">
        <v>1</v>
      </c>
      <c r="BF239" s="0" t="n">
        <v>0.9999</v>
      </c>
      <c r="BG239" s="0" t="n">
        <v>1</v>
      </c>
      <c r="BH239" s="0" t="n">
        <v>1</v>
      </c>
      <c r="BI239" s="0" t="n">
        <v>0.99</v>
      </c>
      <c r="BJ239" s="0" t="n">
        <v>0.999</v>
      </c>
      <c r="BK239" s="0" t="n">
        <v>0.998</v>
      </c>
      <c r="BL239" s="0" t="n">
        <v>0.9985</v>
      </c>
      <c r="BM239" s="0" t="n">
        <v>0.9985</v>
      </c>
      <c r="BN239" s="0" t="n">
        <v>0.972</v>
      </c>
      <c r="BO239" s="0" t="n">
        <v>0.9999</v>
      </c>
      <c r="BP239" s="0" t="n">
        <v>0.9999</v>
      </c>
      <c r="BQ239" s="0" t="n">
        <v>1</v>
      </c>
      <c r="BR239" s="0" t="n">
        <v>1.1305526</v>
      </c>
      <c r="BS239" s="0" t="n">
        <v>1.1358</v>
      </c>
      <c r="BT239" s="0" t="n">
        <v>1.0827</v>
      </c>
      <c r="BU239" s="0" t="n">
        <v>1.0282</v>
      </c>
      <c r="BV239" s="0" t="n">
        <v>1</v>
      </c>
      <c r="BW239" s="0" t="n">
        <v>2.6862</v>
      </c>
      <c r="BX239" s="0" t="n">
        <v>2.341606333</v>
      </c>
      <c r="BY239" s="0" t="n">
        <v>1.18235</v>
      </c>
      <c r="BZ239" s="0" t="n">
        <v>1.2885</v>
      </c>
      <c r="CA239" s="0" t="n">
        <v>2.001</v>
      </c>
      <c r="CB239" s="0" t="n">
        <v>1.581505</v>
      </c>
      <c r="CC239" s="0" t="n">
        <v>1.581505</v>
      </c>
      <c r="CD239" s="0" t="n">
        <v>1.302405</v>
      </c>
      <c r="CE239" s="0" t="n">
        <v>1.11193</v>
      </c>
      <c r="CF239" s="0" t="n">
        <v>1.479405</v>
      </c>
      <c r="CG239" s="188"/>
      <c r="CH239" s="0" t="n">
        <v>1.106335</v>
      </c>
      <c r="CI239" s="188"/>
      <c r="CJ239" s="188"/>
      <c r="CK239" s="188"/>
      <c r="CL239" s="188"/>
      <c r="CM239" s="188"/>
      <c r="CN239" s="188"/>
      <c r="CO239" s="188"/>
      <c r="CP239" s="0" t="n">
        <v>0.975</v>
      </c>
      <c r="CV239" s="0" t="n">
        <v>0.47</v>
      </c>
      <c r="CW239" s="0" t="n">
        <v>0.935</v>
      </c>
      <c r="CX239" s="0" t="n">
        <v>0.775</v>
      </c>
      <c r="CZ239" s="0" t="n">
        <v>0.8775</v>
      </c>
      <c r="DA239" s="0" t="n">
        <v>0.91</v>
      </c>
      <c r="DB239" s="0" t="n">
        <v>0.89</v>
      </c>
      <c r="DC239" s="0" t="n">
        <v>0.9075</v>
      </c>
      <c r="DD239" s="0" t="n">
        <v>0.915</v>
      </c>
      <c r="DE239" s="0" t="n">
        <v>0.89</v>
      </c>
      <c r="DN239" s="188" t="n">
        <v>0.000285</v>
      </c>
      <c r="DO239" s="188" t="n">
        <v>0.0002</v>
      </c>
      <c r="DP239" s="188" t="n">
        <v>0</v>
      </c>
      <c r="DQ239" s="188" t="n">
        <v>0.0001</v>
      </c>
      <c r="DR239" s="188" t="n">
        <v>0</v>
      </c>
      <c r="DS239" s="188" t="n">
        <v>0.0036</v>
      </c>
      <c r="DT239" s="188" t="n">
        <v>0.00047</v>
      </c>
      <c r="DU239" s="188" t="n">
        <v>0.0007</v>
      </c>
      <c r="DV239" s="188" t="n">
        <v>0</v>
      </c>
      <c r="DW239" s="188" t="n">
        <v>0</v>
      </c>
      <c r="DX239" s="188" t="n">
        <v>0.0005</v>
      </c>
      <c r="DY239" s="188" t="n">
        <v>0.0005</v>
      </c>
      <c r="DZ239" s="188" t="n">
        <v>0.0003</v>
      </c>
      <c r="EA239" s="188" t="n">
        <v>0.000275</v>
      </c>
      <c r="EB239" s="188" t="n">
        <v>0.0004</v>
      </c>
      <c r="ED239" s="188" t="n">
        <v>6.5E-005</v>
      </c>
      <c r="EF239" s="0" t="n">
        <v>1</v>
      </c>
    </row>
    <row r="240" customFormat="false" ht="12.75" hidden="false" customHeight="false" outlineLevel="0" collapsed="false">
      <c r="A240" s="149" t="n">
        <v>43678</v>
      </c>
      <c r="B240" s="0" t="n">
        <v>0.98</v>
      </c>
      <c r="C240" s="0" t="n">
        <v>0</v>
      </c>
      <c r="E240" s="0" t="n">
        <v>0</v>
      </c>
      <c r="F240" s="0" t="n">
        <v>0</v>
      </c>
      <c r="G240" s="0" t="n">
        <v>0</v>
      </c>
      <c r="H240" s="0" t="n">
        <v>0.9875</v>
      </c>
      <c r="I240" s="0" t="n">
        <v>0.9875</v>
      </c>
      <c r="J240" s="0" t="n">
        <v>0.9805</v>
      </c>
      <c r="K240" s="0" t="n">
        <v>0</v>
      </c>
      <c r="L240" s="176" t="n">
        <v>0.9875</v>
      </c>
      <c r="M240" s="176" t="n">
        <v>0.9875</v>
      </c>
      <c r="N240" s="0" t="n">
        <v>0.98</v>
      </c>
      <c r="O240" s="0" t="n">
        <v>0.9875</v>
      </c>
      <c r="P240" s="0" t="n">
        <v>0.98</v>
      </c>
      <c r="Q240" s="177" t="n">
        <v>0.9875</v>
      </c>
      <c r="R240" s="0" t="n">
        <v>0.9875</v>
      </c>
      <c r="S240" s="176" t="n">
        <v>0.9875</v>
      </c>
      <c r="T240" s="0" t="n">
        <v>0.98</v>
      </c>
      <c r="U240" s="0" t="n">
        <v>0.98</v>
      </c>
      <c r="V240" s="0" t="n">
        <v>0.98</v>
      </c>
      <c r="W240" s="0" t="n">
        <v>0.98</v>
      </c>
      <c r="X240" s="0" t="n">
        <v>0.9875</v>
      </c>
      <c r="Y240" s="0" t="n">
        <v>0.9875</v>
      </c>
      <c r="Z240" s="0" t="n">
        <v>0.9875</v>
      </c>
      <c r="AA240" s="0" t="n">
        <v>0.9875</v>
      </c>
      <c r="AB240" s="0" t="n">
        <v>0.98</v>
      </c>
      <c r="AC240" s="0" t="n">
        <v>0.98</v>
      </c>
      <c r="AD240" s="0" t="n">
        <v>0.9875</v>
      </c>
      <c r="AE240" s="0" t="n">
        <v>0.9875</v>
      </c>
      <c r="AF240" s="0" t="n">
        <v>0.98</v>
      </c>
      <c r="AG240" s="0" t="n">
        <v>0.99</v>
      </c>
      <c r="AH240" s="0" t="n">
        <v>0.984696</v>
      </c>
      <c r="AI240" s="0" t="n">
        <v>0.984696</v>
      </c>
      <c r="AJ240" s="0" t="n">
        <v>0.98</v>
      </c>
      <c r="AK240" s="0" t="n">
        <v>1</v>
      </c>
      <c r="AL240" s="0" t="n">
        <v>0</v>
      </c>
      <c r="AM240" s="0" t="n">
        <v>0</v>
      </c>
      <c r="BB240" s="187" t="n">
        <v>1</v>
      </c>
      <c r="BC240" s="0" t="n">
        <v>1</v>
      </c>
      <c r="BD240" s="0" t="n">
        <v>1</v>
      </c>
      <c r="BE240" s="0" t="n">
        <v>1</v>
      </c>
      <c r="BF240" s="0" t="n">
        <v>0.9999</v>
      </c>
      <c r="BG240" s="0" t="n">
        <v>1</v>
      </c>
      <c r="BH240" s="0" t="n">
        <v>1</v>
      </c>
      <c r="BI240" s="0" t="n">
        <v>0.99</v>
      </c>
      <c r="BJ240" s="0" t="n">
        <v>0.999</v>
      </c>
      <c r="BK240" s="0" t="n">
        <v>0.998</v>
      </c>
      <c r="BL240" s="0" t="n">
        <v>0.9985</v>
      </c>
      <c r="BM240" s="0" t="n">
        <v>0.9985</v>
      </c>
      <c r="BN240" s="0" t="n">
        <v>0.972</v>
      </c>
      <c r="BO240" s="0" t="n">
        <v>0.9999</v>
      </c>
      <c r="BP240" s="0" t="n">
        <v>0.9999</v>
      </c>
      <c r="BQ240" s="0" t="n">
        <v>1</v>
      </c>
      <c r="BR240" s="0" t="n">
        <v>1.1308376</v>
      </c>
      <c r="BS240" s="0" t="n">
        <v>1.136</v>
      </c>
      <c r="BT240" s="0" t="n">
        <v>1.0827</v>
      </c>
      <c r="BU240" s="0" t="n">
        <v>1.0283</v>
      </c>
      <c r="BV240" s="0" t="n">
        <v>1</v>
      </c>
      <c r="BW240" s="0" t="n">
        <v>2.6898</v>
      </c>
      <c r="BX240" s="0" t="n">
        <v>2.342076333</v>
      </c>
      <c r="BY240" s="0" t="n">
        <v>1.18305</v>
      </c>
      <c r="BZ240" s="0" t="n">
        <v>1.2885</v>
      </c>
      <c r="CA240" s="0" t="n">
        <v>2.001</v>
      </c>
      <c r="CB240" s="0" t="n">
        <v>1.582005</v>
      </c>
      <c r="CC240" s="0" t="n">
        <v>1.582005</v>
      </c>
      <c r="CD240" s="0" t="n">
        <v>1.302705</v>
      </c>
      <c r="CE240" s="0" t="n">
        <v>1.112205</v>
      </c>
      <c r="CF240" s="0" t="n">
        <v>1.479805</v>
      </c>
      <c r="CG240" s="188"/>
      <c r="CH240" s="0" t="n">
        <v>1.1064</v>
      </c>
      <c r="CI240" s="188"/>
      <c r="CJ240" s="188"/>
      <c r="CK240" s="188"/>
      <c r="CL240" s="188"/>
      <c r="CM240" s="188"/>
      <c r="CN240" s="188"/>
      <c r="CO240" s="188"/>
      <c r="CP240" s="0" t="n">
        <v>0.975</v>
      </c>
      <c r="CV240" s="0" t="n">
        <v>0.52</v>
      </c>
      <c r="CW240" s="0" t="n">
        <v>0.925</v>
      </c>
      <c r="CX240" s="0" t="n">
        <v>0.865</v>
      </c>
      <c r="CZ240" s="0" t="n">
        <v>0.89</v>
      </c>
      <c r="DA240" s="0" t="n">
        <v>0.9225</v>
      </c>
      <c r="DB240" s="0" t="n">
        <v>0.915</v>
      </c>
      <c r="DC240" s="0" t="n">
        <v>0.9275</v>
      </c>
      <c r="DD240" s="0" t="n">
        <v>0.915</v>
      </c>
      <c r="DE240" s="0" t="n">
        <v>0.89</v>
      </c>
      <c r="DN240" s="188" t="n">
        <v>0.000285</v>
      </c>
      <c r="DO240" s="188" t="n">
        <v>0.0002</v>
      </c>
      <c r="DP240" s="188" t="n">
        <v>0</v>
      </c>
      <c r="DQ240" s="188" t="n">
        <v>0.0001</v>
      </c>
      <c r="DR240" s="188" t="n">
        <v>0</v>
      </c>
      <c r="DS240" s="188" t="n">
        <v>0.0036</v>
      </c>
      <c r="DT240" s="188" t="n">
        <v>0.00047</v>
      </c>
      <c r="DU240" s="188" t="n">
        <v>0.0007</v>
      </c>
      <c r="DV240" s="188" t="n">
        <v>0</v>
      </c>
      <c r="DW240" s="188" t="n">
        <v>0</v>
      </c>
      <c r="DX240" s="188" t="n">
        <v>0.0005</v>
      </c>
      <c r="DY240" s="188" t="n">
        <v>0.0005</v>
      </c>
      <c r="DZ240" s="188" t="n">
        <v>0.0003</v>
      </c>
      <c r="EA240" s="188" t="n">
        <v>0.000275</v>
      </c>
      <c r="EB240" s="188" t="n">
        <v>0.0004</v>
      </c>
      <c r="ED240" s="188" t="n">
        <v>6.5E-005</v>
      </c>
      <c r="EF240" s="0" t="n">
        <v>1</v>
      </c>
    </row>
    <row r="241" customFormat="false" ht="12.75" hidden="false" customHeight="false" outlineLevel="0" collapsed="false">
      <c r="A241" s="149" t="n">
        <v>43709</v>
      </c>
      <c r="B241" s="0" t="n">
        <v>0.98</v>
      </c>
      <c r="C241" s="0" t="n">
        <v>0</v>
      </c>
      <c r="E241" s="0" t="n">
        <v>0</v>
      </c>
      <c r="F241" s="0" t="n">
        <v>0</v>
      </c>
      <c r="G241" s="0" t="n">
        <v>0</v>
      </c>
      <c r="H241" s="0" t="n">
        <v>0.9875</v>
      </c>
      <c r="I241" s="0" t="n">
        <v>0.9875</v>
      </c>
      <c r="J241" s="0" t="n">
        <v>0.9805</v>
      </c>
      <c r="K241" s="0" t="n">
        <v>0</v>
      </c>
      <c r="L241" s="176" t="n">
        <v>0.9875</v>
      </c>
      <c r="M241" s="176" t="n">
        <v>0.9875</v>
      </c>
      <c r="N241" s="0" t="n">
        <v>0.98</v>
      </c>
      <c r="O241" s="0" t="n">
        <v>0.9875</v>
      </c>
      <c r="P241" s="0" t="n">
        <v>0.98</v>
      </c>
      <c r="Q241" s="177" t="n">
        <v>0.9875</v>
      </c>
      <c r="R241" s="0" t="n">
        <v>0.9875</v>
      </c>
      <c r="S241" s="176" t="n">
        <v>0.9875</v>
      </c>
      <c r="T241" s="0" t="n">
        <v>0.98</v>
      </c>
      <c r="U241" s="0" t="n">
        <v>0.98</v>
      </c>
      <c r="V241" s="0" t="n">
        <v>0.98</v>
      </c>
      <c r="W241" s="0" t="n">
        <v>0.98</v>
      </c>
      <c r="X241" s="0" t="n">
        <v>0.9875</v>
      </c>
      <c r="Y241" s="0" t="n">
        <v>0.9875</v>
      </c>
      <c r="Z241" s="0" t="n">
        <v>0.9875</v>
      </c>
      <c r="AA241" s="0" t="n">
        <v>0.9875</v>
      </c>
      <c r="AB241" s="0" t="n">
        <v>0.98</v>
      </c>
      <c r="AC241" s="0" t="n">
        <v>0.98</v>
      </c>
      <c r="AD241" s="0" t="n">
        <v>0.9875</v>
      </c>
      <c r="AE241" s="0" t="n">
        <v>0.9875</v>
      </c>
      <c r="AF241" s="0" t="n">
        <v>0.98</v>
      </c>
      <c r="AG241" s="0" t="n">
        <v>0.99</v>
      </c>
      <c r="AH241" s="0" t="n">
        <v>0.98475385</v>
      </c>
      <c r="AI241" s="0" t="n">
        <v>0.98475385</v>
      </c>
      <c r="AJ241" s="0" t="n">
        <v>0.98</v>
      </c>
      <c r="AK241" s="0" t="n">
        <v>1</v>
      </c>
      <c r="AL241" s="0" t="n">
        <v>0</v>
      </c>
      <c r="AM241" s="0" t="n">
        <v>0</v>
      </c>
      <c r="BB241" s="187" t="n">
        <v>1</v>
      </c>
      <c r="BC241" s="0" t="n">
        <v>1</v>
      </c>
      <c r="BD241" s="0" t="n">
        <v>1</v>
      </c>
      <c r="BE241" s="0" t="n">
        <v>1</v>
      </c>
      <c r="BF241" s="0" t="n">
        <v>0.9999</v>
      </c>
      <c r="BG241" s="0" t="n">
        <v>1</v>
      </c>
      <c r="BH241" s="0" t="n">
        <v>1</v>
      </c>
      <c r="BI241" s="0" t="n">
        <v>0.99</v>
      </c>
      <c r="BJ241" s="0" t="n">
        <v>0.999</v>
      </c>
      <c r="BK241" s="0" t="n">
        <v>0.998</v>
      </c>
      <c r="BL241" s="0" t="n">
        <v>0.9985</v>
      </c>
      <c r="BM241" s="0" t="n">
        <v>0.9985</v>
      </c>
      <c r="BN241" s="0" t="n">
        <v>0.972</v>
      </c>
      <c r="BO241" s="0" t="n">
        <v>0.9999</v>
      </c>
      <c r="BP241" s="0" t="n">
        <v>0.9999</v>
      </c>
      <c r="BQ241" s="0" t="n">
        <v>1</v>
      </c>
      <c r="BR241" s="0" t="n">
        <v>1.1311226</v>
      </c>
      <c r="BS241" s="0" t="n">
        <v>1.1362</v>
      </c>
      <c r="BT241" s="0" t="n">
        <v>1.0827</v>
      </c>
      <c r="BU241" s="0" t="n">
        <v>1.0284</v>
      </c>
      <c r="BV241" s="0" t="n">
        <v>1</v>
      </c>
      <c r="BW241" s="0" t="n">
        <v>2.6934</v>
      </c>
      <c r="BX241" s="0" t="n">
        <v>2.342546333</v>
      </c>
      <c r="BY241" s="0" t="n">
        <v>1.18375</v>
      </c>
      <c r="BZ241" s="0" t="n">
        <v>1.2885</v>
      </c>
      <c r="CA241" s="0" t="n">
        <v>2.001</v>
      </c>
      <c r="CB241" s="0" t="n">
        <v>1.582505</v>
      </c>
      <c r="CC241" s="0" t="n">
        <v>1.582505</v>
      </c>
      <c r="CD241" s="0" t="n">
        <v>1.303005</v>
      </c>
      <c r="CE241" s="0" t="n">
        <v>1.11248</v>
      </c>
      <c r="CF241" s="0" t="n">
        <v>1.480205</v>
      </c>
      <c r="CG241" s="188"/>
      <c r="CH241" s="0" t="n">
        <v>1.106465</v>
      </c>
      <c r="CI241" s="188"/>
      <c r="CJ241" s="188"/>
      <c r="CK241" s="188"/>
      <c r="CL241" s="188"/>
      <c r="CM241" s="188"/>
      <c r="CN241" s="188"/>
      <c r="CO241" s="188"/>
      <c r="CP241" s="0" t="n">
        <v>0.975</v>
      </c>
      <c r="CV241" s="0" t="n">
        <v>0.55</v>
      </c>
      <c r="CW241" s="0" t="n">
        <v>0.925</v>
      </c>
      <c r="CX241" s="0" t="n">
        <v>0.725</v>
      </c>
      <c r="CZ241" s="0" t="n">
        <v>0.945</v>
      </c>
      <c r="DA241" s="0" t="n">
        <v>0.9775</v>
      </c>
      <c r="DB241" s="0" t="n">
        <v>0.945</v>
      </c>
      <c r="DC241" s="0" t="n">
        <v>0.92</v>
      </c>
      <c r="DD241" s="0" t="n">
        <v>0.915</v>
      </c>
      <c r="DE241" s="0" t="n">
        <v>0.89</v>
      </c>
      <c r="DN241" s="188" t="n">
        <v>0.000285</v>
      </c>
      <c r="DO241" s="188" t="n">
        <v>0.0002</v>
      </c>
      <c r="DP241" s="188" t="n">
        <v>0</v>
      </c>
      <c r="DQ241" s="188" t="n">
        <v>0.0001</v>
      </c>
      <c r="DR241" s="188" t="n">
        <v>0</v>
      </c>
      <c r="DS241" s="188" t="n">
        <v>0.0036</v>
      </c>
      <c r="DT241" s="188" t="n">
        <v>0.00047</v>
      </c>
      <c r="DU241" s="188" t="n">
        <v>0.0007</v>
      </c>
      <c r="DV241" s="188" t="n">
        <v>0</v>
      </c>
      <c r="DW241" s="188" t="n">
        <v>0</v>
      </c>
      <c r="DX241" s="188" t="n">
        <v>0.0005</v>
      </c>
      <c r="DY241" s="188" t="n">
        <v>0.0005</v>
      </c>
      <c r="DZ241" s="188" t="n">
        <v>0.0003</v>
      </c>
      <c r="EA241" s="188" t="n">
        <v>0.000275</v>
      </c>
      <c r="EB241" s="188" t="n">
        <v>0.0004</v>
      </c>
      <c r="ED241" s="188" t="n">
        <v>6.5E-005</v>
      </c>
      <c r="EF241" s="0" t="n">
        <v>1</v>
      </c>
    </row>
    <row r="242" customFormat="false" ht="12.75" hidden="false" customHeight="false" outlineLevel="0" collapsed="false">
      <c r="A242" s="149" t="n">
        <v>43739</v>
      </c>
      <c r="B242" s="0" t="n">
        <v>0.98</v>
      </c>
      <c r="C242" s="0" t="n">
        <v>0</v>
      </c>
      <c r="E242" s="0" t="n">
        <v>0</v>
      </c>
      <c r="F242" s="0" t="n">
        <v>0</v>
      </c>
      <c r="G242" s="0" t="n">
        <v>0</v>
      </c>
      <c r="H242" s="0" t="n">
        <v>0.9875</v>
      </c>
      <c r="I242" s="0" t="n">
        <v>0.9875</v>
      </c>
      <c r="J242" s="0" t="n">
        <v>0.9805</v>
      </c>
      <c r="K242" s="0" t="n">
        <v>0</v>
      </c>
      <c r="L242" s="176" t="n">
        <v>0.9875</v>
      </c>
      <c r="M242" s="176" t="n">
        <v>0.9875</v>
      </c>
      <c r="N242" s="0" t="n">
        <v>0.98</v>
      </c>
      <c r="O242" s="0" t="n">
        <v>0.9875</v>
      </c>
      <c r="P242" s="0" t="n">
        <v>0.98</v>
      </c>
      <c r="Q242" s="177" t="n">
        <v>0.9875</v>
      </c>
      <c r="R242" s="0" t="n">
        <v>0.9875</v>
      </c>
      <c r="S242" s="176" t="n">
        <v>0.9875</v>
      </c>
      <c r="T242" s="0" t="n">
        <v>0.98</v>
      </c>
      <c r="U242" s="0" t="n">
        <v>0.98</v>
      </c>
      <c r="V242" s="0" t="n">
        <v>0.98</v>
      </c>
      <c r="W242" s="0" t="n">
        <v>0.98</v>
      </c>
      <c r="X242" s="0" t="n">
        <v>0.9875</v>
      </c>
      <c r="Y242" s="0" t="n">
        <v>0.9875</v>
      </c>
      <c r="Z242" s="0" t="n">
        <v>0.9875</v>
      </c>
      <c r="AA242" s="0" t="n">
        <v>0.9875</v>
      </c>
      <c r="AB242" s="0" t="n">
        <v>0.98</v>
      </c>
      <c r="AC242" s="0" t="n">
        <v>0.98</v>
      </c>
      <c r="AD242" s="0" t="n">
        <v>0.9875</v>
      </c>
      <c r="AE242" s="0" t="n">
        <v>0.9875</v>
      </c>
      <c r="AF242" s="0" t="n">
        <v>0.98</v>
      </c>
      <c r="AG242" s="0" t="n">
        <v>0.99</v>
      </c>
      <c r="AH242" s="0" t="n">
        <v>0.9848117</v>
      </c>
      <c r="AI242" s="0" t="n">
        <v>0.9848117</v>
      </c>
      <c r="AJ242" s="0" t="n">
        <v>0.98</v>
      </c>
      <c r="AK242" s="0" t="n">
        <v>1</v>
      </c>
      <c r="AL242" s="0" t="n">
        <v>0</v>
      </c>
      <c r="AM242" s="0" t="n">
        <v>0</v>
      </c>
      <c r="BB242" s="187" t="n">
        <v>1</v>
      </c>
      <c r="BC242" s="0" t="n">
        <v>1</v>
      </c>
      <c r="BD242" s="0" t="n">
        <v>1</v>
      </c>
      <c r="BE242" s="0" t="n">
        <v>1</v>
      </c>
      <c r="BF242" s="0" t="n">
        <v>0.9999</v>
      </c>
      <c r="BG242" s="0" t="n">
        <v>1</v>
      </c>
      <c r="BH242" s="0" t="n">
        <v>1</v>
      </c>
      <c r="BI242" s="0" t="n">
        <v>0.99</v>
      </c>
      <c r="BJ242" s="0" t="n">
        <v>0.999</v>
      </c>
      <c r="BK242" s="0" t="n">
        <v>0.998</v>
      </c>
      <c r="BL242" s="0" t="n">
        <v>0.9985</v>
      </c>
      <c r="BM242" s="0" t="n">
        <v>0.9985</v>
      </c>
      <c r="BN242" s="0" t="n">
        <v>0.972</v>
      </c>
      <c r="BO242" s="0" t="n">
        <v>0.9999</v>
      </c>
      <c r="BP242" s="0" t="n">
        <v>0.9999</v>
      </c>
      <c r="BQ242" s="0" t="n">
        <v>1</v>
      </c>
      <c r="BR242" s="0" t="n">
        <v>1.1314076</v>
      </c>
      <c r="BS242" s="0" t="n">
        <v>1.1364</v>
      </c>
      <c r="BT242" s="0" t="n">
        <v>1.0827</v>
      </c>
      <c r="BU242" s="0" t="n">
        <v>1.0285</v>
      </c>
      <c r="BV242" s="0" t="n">
        <v>1</v>
      </c>
      <c r="BW242" s="0" t="n">
        <v>2.697</v>
      </c>
      <c r="BX242" s="0" t="n">
        <v>2.343016333</v>
      </c>
      <c r="BY242" s="0" t="n">
        <v>1.18445</v>
      </c>
      <c r="BZ242" s="0" t="n">
        <v>1.2885</v>
      </c>
      <c r="CA242" s="0" t="n">
        <v>2.001</v>
      </c>
      <c r="CB242" s="0" t="n">
        <v>1.583005</v>
      </c>
      <c r="CC242" s="0" t="n">
        <v>1.583005</v>
      </c>
      <c r="CD242" s="0" t="n">
        <v>1.303305</v>
      </c>
      <c r="CE242" s="0" t="n">
        <v>1.112755</v>
      </c>
      <c r="CF242" s="0" t="n">
        <v>1.480605</v>
      </c>
      <c r="CG242" s="188"/>
      <c r="CH242" s="0" t="n">
        <v>1.10653</v>
      </c>
      <c r="CI242" s="188"/>
      <c r="CJ242" s="188"/>
      <c r="CK242" s="188"/>
      <c r="CL242" s="188"/>
      <c r="CM242" s="188"/>
      <c r="CN242" s="188"/>
      <c r="CO242" s="188"/>
      <c r="CP242" s="0" t="n">
        <v>0.955</v>
      </c>
      <c r="CV242" s="0" t="n">
        <v>0.45</v>
      </c>
      <c r="CW242" s="0" t="n">
        <v>0.925</v>
      </c>
      <c r="CX242" s="0" t="n">
        <v>0.715</v>
      </c>
      <c r="CZ242" s="0" t="n">
        <v>0.805</v>
      </c>
      <c r="DA242" s="0" t="n">
        <v>0.8375</v>
      </c>
      <c r="DB242" s="0" t="n">
        <v>0.875</v>
      </c>
      <c r="DC242" s="0" t="n">
        <v>0.9025</v>
      </c>
      <c r="DD242" s="0" t="n">
        <v>0.82</v>
      </c>
      <c r="DE242" s="0" t="n">
        <v>0.89</v>
      </c>
      <c r="DN242" s="188" t="n">
        <v>0.000285</v>
      </c>
      <c r="DO242" s="188" t="n">
        <v>0.0002</v>
      </c>
      <c r="DP242" s="188" t="n">
        <v>0</v>
      </c>
      <c r="DQ242" s="188" t="n">
        <v>0.0001</v>
      </c>
      <c r="DR242" s="188" t="n">
        <v>0</v>
      </c>
      <c r="DS242" s="188" t="n">
        <v>0.0036</v>
      </c>
      <c r="DT242" s="188" t="n">
        <v>0.00047</v>
      </c>
      <c r="DU242" s="188" t="n">
        <v>0.0007</v>
      </c>
      <c r="DV242" s="188" t="n">
        <v>0</v>
      </c>
      <c r="DW242" s="188" t="n">
        <v>0</v>
      </c>
      <c r="DX242" s="188" t="n">
        <v>0.0005</v>
      </c>
      <c r="DY242" s="188" t="n">
        <v>0.0005</v>
      </c>
      <c r="DZ242" s="188" t="n">
        <v>0.0003</v>
      </c>
      <c r="EA242" s="188" t="n">
        <v>0.000275</v>
      </c>
      <c r="EB242" s="188" t="n">
        <v>0.0004</v>
      </c>
      <c r="ED242" s="188" t="n">
        <v>6.5E-005</v>
      </c>
      <c r="EF242" s="0" t="n">
        <v>1</v>
      </c>
    </row>
    <row r="243" customFormat="false" ht="12.75" hidden="false" customHeight="false" outlineLevel="0" collapsed="false">
      <c r="A243" s="149" t="n">
        <v>43770</v>
      </c>
      <c r="B243" s="0" t="n">
        <v>0.98</v>
      </c>
      <c r="C243" s="0" t="n">
        <v>0</v>
      </c>
      <c r="E243" s="0" t="n">
        <v>0</v>
      </c>
      <c r="F243" s="0" t="n">
        <v>0</v>
      </c>
      <c r="G243" s="0" t="n">
        <v>0</v>
      </c>
      <c r="H243" s="0" t="n">
        <v>0.9875</v>
      </c>
      <c r="I243" s="0" t="n">
        <v>0.9875</v>
      </c>
      <c r="J243" s="0" t="n">
        <v>0.9805</v>
      </c>
      <c r="K243" s="0" t="n">
        <v>0</v>
      </c>
      <c r="L243" s="176" t="n">
        <v>0.9875</v>
      </c>
      <c r="M243" s="176" t="n">
        <v>0.9875</v>
      </c>
      <c r="N243" s="0" t="n">
        <v>0.98</v>
      </c>
      <c r="O243" s="0" t="n">
        <v>0.9875</v>
      </c>
      <c r="P243" s="0" t="n">
        <v>0.98</v>
      </c>
      <c r="Q243" s="177" t="n">
        <v>0.9875</v>
      </c>
      <c r="R243" s="0" t="n">
        <v>0.9875</v>
      </c>
      <c r="S243" s="176" t="n">
        <v>0.9875</v>
      </c>
      <c r="T243" s="0" t="n">
        <v>0.98</v>
      </c>
      <c r="U243" s="0" t="n">
        <v>0.98</v>
      </c>
      <c r="V243" s="0" t="n">
        <v>0.98</v>
      </c>
      <c r="W243" s="0" t="n">
        <v>0.98</v>
      </c>
      <c r="X243" s="0" t="n">
        <v>0.9875</v>
      </c>
      <c r="Y243" s="0" t="n">
        <v>0.9875</v>
      </c>
      <c r="Z243" s="0" t="n">
        <v>0.9875</v>
      </c>
      <c r="AA243" s="0" t="n">
        <v>0.9875</v>
      </c>
      <c r="AB243" s="0" t="n">
        <v>0.98</v>
      </c>
      <c r="AC243" s="0" t="n">
        <v>0.98</v>
      </c>
      <c r="AD243" s="0" t="n">
        <v>0.9875</v>
      </c>
      <c r="AE243" s="0" t="n">
        <v>0.9875</v>
      </c>
      <c r="AF243" s="0" t="n">
        <v>0.98</v>
      </c>
      <c r="AG243" s="0" t="n">
        <v>0.99</v>
      </c>
      <c r="AH243" s="0" t="n">
        <v>0.98486955</v>
      </c>
      <c r="AI243" s="0" t="n">
        <v>0.98486955</v>
      </c>
      <c r="AJ243" s="0" t="n">
        <v>0.98</v>
      </c>
      <c r="AK243" s="0" t="n">
        <v>1</v>
      </c>
      <c r="AL243" s="0" t="n">
        <v>0</v>
      </c>
      <c r="AM243" s="0" t="n">
        <v>0</v>
      </c>
      <c r="BB243" s="187" t="n">
        <v>1</v>
      </c>
      <c r="BC243" s="0" t="n">
        <v>1</v>
      </c>
      <c r="BD243" s="0" t="n">
        <v>1</v>
      </c>
      <c r="BE243" s="0" t="n">
        <v>1</v>
      </c>
      <c r="BF243" s="0" t="n">
        <v>0.9999</v>
      </c>
      <c r="BG243" s="0" t="n">
        <v>1</v>
      </c>
      <c r="BH243" s="0" t="n">
        <v>1</v>
      </c>
      <c r="BI243" s="0" t="n">
        <v>0.99</v>
      </c>
      <c r="BJ243" s="0" t="n">
        <v>0.999</v>
      </c>
      <c r="BK243" s="0" t="n">
        <v>0.998</v>
      </c>
      <c r="BL243" s="0" t="n">
        <v>0.9985</v>
      </c>
      <c r="BM243" s="0" t="n">
        <v>0.9985</v>
      </c>
      <c r="BN243" s="0" t="n">
        <v>0.972</v>
      </c>
      <c r="BO243" s="0" t="n">
        <v>0.9999</v>
      </c>
      <c r="BP243" s="0" t="n">
        <v>0.9999</v>
      </c>
      <c r="BQ243" s="0" t="n">
        <v>1</v>
      </c>
      <c r="BR243" s="0" t="n">
        <v>1.1316926</v>
      </c>
      <c r="BS243" s="0" t="n">
        <v>1.1366</v>
      </c>
      <c r="BT243" s="0" t="n">
        <v>1.0827</v>
      </c>
      <c r="BU243" s="0" t="n">
        <v>1.0286</v>
      </c>
      <c r="BV243" s="0" t="n">
        <v>1</v>
      </c>
      <c r="BW243" s="0" t="n">
        <v>2.7006</v>
      </c>
      <c r="BX243" s="0" t="n">
        <v>2.343486333</v>
      </c>
      <c r="BY243" s="0" t="n">
        <v>1.18515</v>
      </c>
      <c r="BZ243" s="0" t="n">
        <v>1.2885</v>
      </c>
      <c r="CA243" s="0" t="n">
        <v>2.001</v>
      </c>
      <c r="CB243" s="0" t="n">
        <v>1.583505</v>
      </c>
      <c r="CC243" s="0" t="n">
        <v>1.583505</v>
      </c>
      <c r="CD243" s="0" t="n">
        <v>1.303605</v>
      </c>
      <c r="CE243" s="0" t="n">
        <v>1.11303</v>
      </c>
      <c r="CF243" s="0" t="n">
        <v>1.481005</v>
      </c>
      <c r="CG243" s="188"/>
      <c r="CH243" s="0" t="n">
        <v>1.106595</v>
      </c>
      <c r="CI243" s="188"/>
      <c r="CJ243" s="188"/>
      <c r="CK243" s="188"/>
      <c r="CL243" s="188"/>
      <c r="CM243" s="188"/>
      <c r="CN243" s="188"/>
      <c r="CO243" s="188"/>
      <c r="CP243" s="0" t="n">
        <v>0.955</v>
      </c>
      <c r="CV243" s="0" t="n">
        <v>0.46</v>
      </c>
      <c r="CW243" s="0" t="n">
        <v>0.905</v>
      </c>
      <c r="CX243" s="0" t="n">
        <v>0.675</v>
      </c>
      <c r="CZ243" s="0" t="n">
        <v>0.795</v>
      </c>
      <c r="DA243" s="0" t="n">
        <v>0.8275</v>
      </c>
      <c r="DB243" s="0" t="n">
        <v>0.85</v>
      </c>
      <c r="DC243" s="0" t="n">
        <v>0.9025</v>
      </c>
      <c r="DD243" s="0" t="n">
        <v>0.82</v>
      </c>
      <c r="DE243" s="0" t="n">
        <v>0.89</v>
      </c>
      <c r="DN243" s="188" t="n">
        <v>0.000285</v>
      </c>
      <c r="DO243" s="188" t="n">
        <v>0.0002</v>
      </c>
      <c r="DP243" s="188" t="n">
        <v>0</v>
      </c>
      <c r="DQ243" s="188" t="n">
        <v>0.0001</v>
      </c>
      <c r="DR243" s="188" t="n">
        <v>0</v>
      </c>
      <c r="DS243" s="188" t="n">
        <v>0.0036</v>
      </c>
      <c r="DT243" s="188" t="n">
        <v>0.00047</v>
      </c>
      <c r="DU243" s="188" t="n">
        <v>0.0007</v>
      </c>
      <c r="DV243" s="188" t="n">
        <v>0</v>
      </c>
      <c r="DW243" s="188" t="n">
        <v>0</v>
      </c>
      <c r="DX243" s="188" t="n">
        <v>0.0005</v>
      </c>
      <c r="DY243" s="188" t="n">
        <v>0.0005</v>
      </c>
      <c r="DZ243" s="188" t="n">
        <v>0.0003</v>
      </c>
      <c r="EA243" s="188" t="n">
        <v>0.000275</v>
      </c>
      <c r="EB243" s="188" t="n">
        <v>0.0004</v>
      </c>
      <c r="ED243" s="188" t="n">
        <v>6.5E-005</v>
      </c>
      <c r="EF243" s="0" t="n">
        <v>1</v>
      </c>
    </row>
    <row r="244" customFormat="false" ht="12.75" hidden="false" customHeight="false" outlineLevel="0" collapsed="false">
      <c r="A244" s="149" t="n">
        <v>43800</v>
      </c>
      <c r="B244" s="0" t="n">
        <v>0.98</v>
      </c>
      <c r="C244" s="0" t="n">
        <v>0</v>
      </c>
      <c r="E244" s="0" t="n">
        <v>0</v>
      </c>
      <c r="F244" s="0" t="n">
        <v>0</v>
      </c>
      <c r="G244" s="0" t="n">
        <v>0</v>
      </c>
      <c r="H244" s="0" t="n">
        <v>0.9875</v>
      </c>
      <c r="I244" s="0" t="n">
        <v>0.9875</v>
      </c>
      <c r="J244" s="0" t="n">
        <v>0.9805</v>
      </c>
      <c r="K244" s="0" t="n">
        <v>0</v>
      </c>
      <c r="L244" s="176" t="n">
        <v>0.93456295</v>
      </c>
      <c r="M244" s="176" t="n">
        <v>0.986043112</v>
      </c>
      <c r="N244" s="0" t="n">
        <v>0.89969445</v>
      </c>
      <c r="O244" s="0" t="n">
        <v>0.9875</v>
      </c>
      <c r="P244" s="0" t="n">
        <v>0.89969445</v>
      </c>
      <c r="Q244" s="177" t="n">
        <v>0.93456295</v>
      </c>
      <c r="R244" s="0" t="n">
        <v>0.93456295</v>
      </c>
      <c r="S244" s="176" t="n">
        <v>0.93456295</v>
      </c>
      <c r="T244" s="0" t="n">
        <v>0.89969445</v>
      </c>
      <c r="U244" s="0" t="n">
        <v>0.89969445</v>
      </c>
      <c r="V244" s="0" t="n">
        <v>0.89969445</v>
      </c>
      <c r="W244" s="0" t="n">
        <v>0.89969445</v>
      </c>
      <c r="X244" s="0" t="n">
        <v>0.9875</v>
      </c>
      <c r="Y244" s="0" t="n">
        <v>0.9875</v>
      </c>
      <c r="Z244" s="0" t="n">
        <v>0.9875</v>
      </c>
      <c r="AA244" s="0" t="n">
        <v>0.9875</v>
      </c>
      <c r="AB244" s="0" t="n">
        <v>0.89969445</v>
      </c>
      <c r="AC244" s="0" t="n">
        <v>0.89969445</v>
      </c>
      <c r="AD244" s="0" t="n">
        <v>0.9875</v>
      </c>
      <c r="AE244" s="0" t="n">
        <v>0.9875</v>
      </c>
      <c r="AF244" s="0" t="n">
        <v>0.89969445</v>
      </c>
      <c r="AG244" s="0" t="n">
        <v>0.98</v>
      </c>
      <c r="AH244" s="0" t="n">
        <v>0.9849274</v>
      </c>
      <c r="AI244" s="0" t="n">
        <v>0.9849274</v>
      </c>
      <c r="AJ244" s="0" t="n">
        <v>0.89969445</v>
      </c>
      <c r="AK244" s="0" t="n">
        <v>1</v>
      </c>
      <c r="AL244" s="0" t="n">
        <v>0</v>
      </c>
      <c r="AM244" s="0" t="n">
        <v>0</v>
      </c>
      <c r="BB244" s="187" t="n">
        <v>1</v>
      </c>
      <c r="BC244" s="0" t="n">
        <v>1</v>
      </c>
      <c r="BD244" s="0" t="n">
        <v>1</v>
      </c>
      <c r="BE244" s="0" t="n">
        <v>1</v>
      </c>
      <c r="BF244" s="0" t="n">
        <v>0.9999</v>
      </c>
      <c r="BG244" s="0" t="n">
        <v>1</v>
      </c>
      <c r="BH244" s="0" t="n">
        <v>1</v>
      </c>
      <c r="BI244" s="0" t="n">
        <v>0.99</v>
      </c>
      <c r="BJ244" s="0" t="n">
        <v>0.999</v>
      </c>
      <c r="BK244" s="0" t="n">
        <v>0.998</v>
      </c>
      <c r="BL244" s="0" t="n">
        <v>0.9985</v>
      </c>
      <c r="BM244" s="0" t="n">
        <v>0.9985</v>
      </c>
      <c r="BN244" s="0" t="n">
        <v>0.972</v>
      </c>
      <c r="BO244" s="0" t="n">
        <v>0.9999</v>
      </c>
      <c r="BP244" s="0" t="n">
        <v>0.9999</v>
      </c>
      <c r="BQ244" s="0" t="n">
        <v>1</v>
      </c>
      <c r="BR244" s="0" t="n">
        <v>1.1319776</v>
      </c>
      <c r="BS244" s="0" t="n">
        <v>1.1368</v>
      </c>
      <c r="BT244" s="0" t="n">
        <v>1.0827</v>
      </c>
      <c r="BU244" s="0" t="n">
        <v>1.0287</v>
      </c>
      <c r="BV244" s="0" t="n">
        <v>1</v>
      </c>
      <c r="BW244" s="0" t="n">
        <v>2.7042</v>
      </c>
      <c r="BX244" s="0" t="n">
        <v>2.343956333</v>
      </c>
      <c r="BY244" s="0" t="n">
        <v>1.18585</v>
      </c>
      <c r="BZ244" s="0" t="n">
        <v>1.2885</v>
      </c>
      <c r="CA244" s="0" t="n">
        <v>2.001</v>
      </c>
      <c r="CB244" s="0" t="n">
        <v>1.584005</v>
      </c>
      <c r="CC244" s="0" t="n">
        <v>1.584005</v>
      </c>
      <c r="CD244" s="0" t="n">
        <v>1.303905</v>
      </c>
      <c r="CE244" s="0" t="n">
        <v>1.113305</v>
      </c>
      <c r="CF244" s="0" t="n">
        <v>1.481405</v>
      </c>
      <c r="CG244" s="188"/>
      <c r="CH244" s="0" t="n">
        <v>1.10666</v>
      </c>
      <c r="CI244" s="188"/>
      <c r="CJ244" s="188"/>
      <c r="CK244" s="188"/>
      <c r="CL244" s="188"/>
      <c r="CM244" s="188"/>
      <c r="CN244" s="188"/>
      <c r="CO244" s="188"/>
      <c r="CP244" s="0" t="n">
        <v>0.935</v>
      </c>
      <c r="CV244" s="0" t="n">
        <v>0.48</v>
      </c>
      <c r="CW244" s="0" t="n">
        <v>0.875</v>
      </c>
      <c r="CX244" s="0" t="n">
        <v>0.68</v>
      </c>
      <c r="CZ244" s="0" t="n">
        <v>0.59</v>
      </c>
      <c r="DA244" s="0" t="n">
        <v>0.6225</v>
      </c>
      <c r="DB244" s="0" t="n">
        <v>0.69</v>
      </c>
      <c r="DC244" s="0" t="n">
        <v>0.8925</v>
      </c>
      <c r="DD244" s="0" t="n">
        <v>0.715</v>
      </c>
      <c r="DE244" s="0" t="n">
        <v>0.89</v>
      </c>
      <c r="DN244" s="188" t="n">
        <v>0.000285</v>
      </c>
      <c r="DO244" s="188" t="n">
        <v>0.0002</v>
      </c>
      <c r="DP244" s="188" t="n">
        <v>0</v>
      </c>
      <c r="DQ244" s="188" t="n">
        <v>0.0001</v>
      </c>
      <c r="DR244" s="188" t="n">
        <v>0</v>
      </c>
      <c r="DS244" s="188" t="n">
        <v>0.0036</v>
      </c>
      <c r="DT244" s="188" t="n">
        <v>0.00047</v>
      </c>
      <c r="DU244" s="188" t="n">
        <v>0.0007</v>
      </c>
      <c r="DV244" s="188" t="n">
        <v>0</v>
      </c>
      <c r="DW244" s="188" t="n">
        <v>0</v>
      </c>
      <c r="DX244" s="188" t="n">
        <v>0.0005</v>
      </c>
      <c r="DY244" s="188" t="n">
        <v>0.0005</v>
      </c>
      <c r="DZ244" s="188" t="n">
        <v>0.0003</v>
      </c>
      <c r="EA244" s="188" t="n">
        <v>0.000275</v>
      </c>
      <c r="EB244" s="188" t="n">
        <v>0.0004</v>
      </c>
      <c r="ED244" s="188" t="n">
        <v>6.5E-005</v>
      </c>
      <c r="EF244" s="0" t="n">
        <v>1</v>
      </c>
    </row>
    <row r="245" customFormat="false" ht="12.75" hidden="false" customHeight="false" outlineLevel="0" collapsed="false">
      <c r="A245" s="149" t="n">
        <v>43831</v>
      </c>
      <c r="B245" s="0" t="n">
        <v>0.98</v>
      </c>
      <c r="C245" s="0" t="n">
        <v>0</v>
      </c>
      <c r="E245" s="0" t="n">
        <v>0</v>
      </c>
      <c r="F245" s="0" t="n">
        <v>0</v>
      </c>
      <c r="G245" s="0" t="n">
        <v>0</v>
      </c>
      <c r="H245" s="0" t="n">
        <v>0.9875</v>
      </c>
      <c r="I245" s="0" t="n">
        <v>0.95517275</v>
      </c>
      <c r="J245" s="0" t="n">
        <v>0.9805</v>
      </c>
      <c r="K245" s="0" t="n">
        <v>0</v>
      </c>
      <c r="L245" s="176" t="n">
        <v>0.958625525</v>
      </c>
      <c r="M245" s="176" t="n">
        <v>0.9875</v>
      </c>
      <c r="N245" s="0" t="n">
        <v>0.89990145</v>
      </c>
      <c r="O245" s="0" t="n">
        <v>0.9799504</v>
      </c>
      <c r="P245" s="0" t="n">
        <v>0.89990145</v>
      </c>
      <c r="Q245" s="177" t="n">
        <v>0.958625525</v>
      </c>
      <c r="R245" s="0" t="n">
        <v>0.958625525</v>
      </c>
      <c r="S245" s="176" t="n">
        <v>0.958625525</v>
      </c>
      <c r="T245" s="0" t="n">
        <v>0.89990145</v>
      </c>
      <c r="U245" s="0" t="n">
        <v>0.89990145</v>
      </c>
      <c r="V245" s="0" t="n">
        <v>0.89990145</v>
      </c>
      <c r="W245" s="0" t="n">
        <v>0.89990145</v>
      </c>
      <c r="X245" s="0" t="n">
        <v>0.9799504</v>
      </c>
      <c r="Y245" s="0" t="n">
        <v>0.9799504</v>
      </c>
      <c r="Z245" s="0" t="n">
        <v>0.9799504</v>
      </c>
      <c r="AA245" s="0" t="n">
        <v>0.9799504</v>
      </c>
      <c r="AB245" s="0" t="n">
        <v>0.89990145</v>
      </c>
      <c r="AC245" s="0" t="n">
        <v>0.89990145</v>
      </c>
      <c r="AD245" s="0" t="n">
        <v>0.9799504</v>
      </c>
      <c r="AE245" s="0" t="n">
        <v>0.9799504</v>
      </c>
      <c r="AF245" s="0" t="n">
        <v>0.89990145</v>
      </c>
      <c r="AG245" s="0" t="n">
        <v>0.98</v>
      </c>
      <c r="AH245" s="0" t="n">
        <v>0.98498525</v>
      </c>
      <c r="AI245" s="0" t="n">
        <v>0.98498525</v>
      </c>
      <c r="AJ245" s="0" t="n">
        <v>0.89990145</v>
      </c>
      <c r="AK245" s="0" t="n">
        <v>1</v>
      </c>
      <c r="AL245" s="0" t="n">
        <v>0</v>
      </c>
      <c r="AM245" s="0" t="n">
        <v>0</v>
      </c>
      <c r="BB245" s="187" t="n">
        <v>1</v>
      </c>
      <c r="BC245" s="0" t="n">
        <v>1</v>
      </c>
      <c r="BD245" s="0" t="n">
        <v>1</v>
      </c>
      <c r="BE245" s="0" t="n">
        <v>1</v>
      </c>
      <c r="BF245" s="0" t="n">
        <v>0.9999</v>
      </c>
      <c r="BG245" s="0" t="n">
        <v>1</v>
      </c>
      <c r="BH245" s="0" t="n">
        <v>1</v>
      </c>
      <c r="BI245" s="0" t="n">
        <v>0.99</v>
      </c>
      <c r="BJ245" s="0" t="n">
        <v>0.999</v>
      </c>
      <c r="BK245" s="0" t="n">
        <v>0.998</v>
      </c>
      <c r="BL245" s="0" t="n">
        <v>0.9985</v>
      </c>
      <c r="BM245" s="0" t="n">
        <v>0.9985</v>
      </c>
      <c r="BN245" s="0" t="n">
        <v>0.972</v>
      </c>
      <c r="BO245" s="0" t="n">
        <v>0.9999</v>
      </c>
      <c r="BP245" s="0" t="n">
        <v>0.9999</v>
      </c>
      <c r="BQ245" s="0" t="n">
        <v>1</v>
      </c>
      <c r="BR245" s="0" t="n">
        <v>1.1322626</v>
      </c>
      <c r="BS245" s="0" t="n">
        <v>1.137</v>
      </c>
      <c r="BT245" s="0" t="n">
        <v>1.0827</v>
      </c>
      <c r="BU245" s="0" t="n">
        <v>1.0288</v>
      </c>
      <c r="BV245" s="0" t="n">
        <v>1</v>
      </c>
      <c r="BW245" s="0" t="n">
        <v>2.7078</v>
      </c>
      <c r="BX245" s="0" t="n">
        <v>2.344426333</v>
      </c>
      <c r="BY245" s="0" t="n">
        <v>1.18655</v>
      </c>
      <c r="BZ245" s="0" t="n">
        <v>1.2885</v>
      </c>
      <c r="CA245" s="0" t="n">
        <v>2.001</v>
      </c>
      <c r="CB245" s="0" t="n">
        <v>1.584505</v>
      </c>
      <c r="CC245" s="0" t="n">
        <v>1.584505</v>
      </c>
      <c r="CD245" s="0" t="n">
        <v>1.304205</v>
      </c>
      <c r="CE245" s="0" t="n">
        <v>1.11358</v>
      </c>
      <c r="CF245" s="0" t="n">
        <v>1.481805</v>
      </c>
      <c r="CG245" s="188"/>
      <c r="CH245" s="0" t="n">
        <v>1.106725</v>
      </c>
      <c r="CI245" s="188"/>
      <c r="CJ245" s="188"/>
      <c r="CK245" s="188"/>
      <c r="CL245" s="188"/>
      <c r="CM245" s="188"/>
      <c r="CN245" s="188"/>
      <c r="CO245" s="188"/>
      <c r="CP245" s="0" t="n">
        <v>0.895</v>
      </c>
      <c r="CV245" s="0" t="n">
        <v>0.45</v>
      </c>
      <c r="CW245" s="0" t="n">
        <v>0.805</v>
      </c>
      <c r="CX245" s="0" t="n">
        <v>0.69</v>
      </c>
      <c r="CZ245" s="0" t="n">
        <v>0.605</v>
      </c>
      <c r="DA245" s="0" t="n">
        <v>0.6375</v>
      </c>
      <c r="DB245" s="0" t="n">
        <v>0.69</v>
      </c>
      <c r="DC245" s="0" t="n">
        <v>0.88</v>
      </c>
      <c r="DD245" s="0" t="n">
        <v>0.64</v>
      </c>
      <c r="DE245" s="0" t="n">
        <v>0.89</v>
      </c>
      <c r="DN245" s="188" t="n">
        <v>0.000285</v>
      </c>
      <c r="DO245" s="188" t="n">
        <v>0.0002</v>
      </c>
      <c r="DP245" s="188" t="n">
        <v>0</v>
      </c>
      <c r="DQ245" s="188" t="n">
        <v>0.0001</v>
      </c>
      <c r="DR245" s="188" t="n">
        <v>0</v>
      </c>
      <c r="DS245" s="188" t="n">
        <v>0.0036</v>
      </c>
      <c r="DT245" s="188" t="n">
        <v>0.00047</v>
      </c>
      <c r="DU245" s="188" t="n">
        <v>0.0007</v>
      </c>
      <c r="DV245" s="188" t="n">
        <v>0</v>
      </c>
      <c r="DW245" s="188" t="n">
        <v>0</v>
      </c>
      <c r="DX245" s="188" t="n">
        <v>0.0005</v>
      </c>
      <c r="DY245" s="188" t="n">
        <v>0.0005</v>
      </c>
      <c r="DZ245" s="188" t="n">
        <v>0.0003</v>
      </c>
      <c r="EA245" s="188" t="n">
        <v>0.000275</v>
      </c>
      <c r="EB245" s="188" t="n">
        <v>0.0004</v>
      </c>
      <c r="ED245" s="188" t="n">
        <v>6.5E-005</v>
      </c>
      <c r="EF245" s="0" t="n">
        <v>1</v>
      </c>
    </row>
    <row r="246" customFormat="false" ht="12.75" hidden="false" customHeight="false" outlineLevel="0" collapsed="false">
      <c r="A246" s="149" t="n">
        <v>43862</v>
      </c>
      <c r="B246" s="0" t="n">
        <v>0.98</v>
      </c>
      <c r="C246" s="0" t="n">
        <v>0</v>
      </c>
      <c r="E246" s="0" t="n">
        <v>0</v>
      </c>
      <c r="F246" s="0" t="n">
        <v>0</v>
      </c>
      <c r="G246" s="0" t="n">
        <v>0</v>
      </c>
      <c r="H246" s="0" t="n">
        <v>0.9875</v>
      </c>
      <c r="I246" s="0" t="n">
        <v>0.9875</v>
      </c>
      <c r="J246" s="0" t="n">
        <v>0.9805</v>
      </c>
      <c r="K246" s="0" t="n">
        <v>0</v>
      </c>
      <c r="L246" s="176" t="n">
        <v>0.9875</v>
      </c>
      <c r="M246" s="176" t="n">
        <v>0.9875</v>
      </c>
      <c r="N246" s="0" t="n">
        <v>0.92619855</v>
      </c>
      <c r="O246" s="0" t="n">
        <v>0.977407763</v>
      </c>
      <c r="P246" s="0" t="n">
        <v>0.92619855</v>
      </c>
      <c r="Q246" s="177" t="n">
        <v>0.9875</v>
      </c>
      <c r="R246" s="0" t="n">
        <v>0.9875</v>
      </c>
      <c r="S246" s="176" t="n">
        <v>0.9875</v>
      </c>
      <c r="T246" s="0" t="n">
        <v>0.92619855</v>
      </c>
      <c r="U246" s="0" t="n">
        <v>0.92619855</v>
      </c>
      <c r="V246" s="0" t="n">
        <v>0.92619855</v>
      </c>
      <c r="W246" s="0" t="n">
        <v>0.92619855</v>
      </c>
      <c r="X246" s="0" t="n">
        <v>0.977407763</v>
      </c>
      <c r="Y246" s="0" t="n">
        <v>0.977407763</v>
      </c>
      <c r="Z246" s="0" t="n">
        <v>0.977407763</v>
      </c>
      <c r="AA246" s="0" t="n">
        <v>0.977407763</v>
      </c>
      <c r="AB246" s="0" t="n">
        <v>0.92619855</v>
      </c>
      <c r="AC246" s="0" t="n">
        <v>0.92619855</v>
      </c>
      <c r="AD246" s="0" t="n">
        <v>0.977407763</v>
      </c>
      <c r="AE246" s="0" t="n">
        <v>0.977407763</v>
      </c>
      <c r="AF246" s="0" t="n">
        <v>0.92619855</v>
      </c>
      <c r="AG246" s="0" t="n">
        <v>0.98</v>
      </c>
      <c r="AH246" s="0" t="n">
        <v>0.985</v>
      </c>
      <c r="AI246" s="0" t="n">
        <v>0.985</v>
      </c>
      <c r="AJ246" s="0" t="n">
        <v>0.92619855</v>
      </c>
      <c r="AK246" s="0" t="n">
        <v>1</v>
      </c>
      <c r="AL246" s="0" t="n">
        <v>0</v>
      </c>
      <c r="AM246" s="0" t="n">
        <v>0</v>
      </c>
      <c r="BB246" s="187" t="n">
        <v>1</v>
      </c>
      <c r="BC246" s="0" t="n">
        <v>1</v>
      </c>
      <c r="BD246" s="0" t="n">
        <v>1</v>
      </c>
      <c r="BE246" s="0" t="n">
        <v>1</v>
      </c>
      <c r="BF246" s="0" t="n">
        <v>0.9999</v>
      </c>
      <c r="BG246" s="0" t="n">
        <v>1</v>
      </c>
      <c r="BH246" s="0" t="n">
        <v>1</v>
      </c>
      <c r="BI246" s="0" t="n">
        <v>0.99</v>
      </c>
      <c r="BJ246" s="0" t="n">
        <v>0.999</v>
      </c>
      <c r="BK246" s="0" t="n">
        <v>0.998</v>
      </c>
      <c r="BL246" s="0" t="n">
        <v>0.9985</v>
      </c>
      <c r="BM246" s="0" t="n">
        <v>0.9985</v>
      </c>
      <c r="BN246" s="0" t="n">
        <v>0.972</v>
      </c>
      <c r="BO246" s="0" t="n">
        <v>0.9999</v>
      </c>
      <c r="BP246" s="0" t="n">
        <v>0.9999</v>
      </c>
      <c r="BQ246" s="0" t="n">
        <v>1</v>
      </c>
      <c r="BR246" s="0" t="n">
        <v>1.1325476</v>
      </c>
      <c r="BS246" s="0" t="n">
        <v>1.1372</v>
      </c>
      <c r="BT246" s="0" t="n">
        <v>1.0827</v>
      </c>
      <c r="BU246" s="0" t="n">
        <v>1.0289</v>
      </c>
      <c r="BV246" s="0" t="n">
        <v>1</v>
      </c>
      <c r="BW246" s="0" t="n">
        <v>2.7114</v>
      </c>
      <c r="BX246" s="0" t="n">
        <v>2.344896333</v>
      </c>
      <c r="BY246" s="0" t="n">
        <v>1.18725</v>
      </c>
      <c r="BZ246" s="0" t="n">
        <v>1.2885</v>
      </c>
      <c r="CA246" s="0" t="n">
        <v>2.001</v>
      </c>
      <c r="CB246" s="0" t="n">
        <v>1.585005</v>
      </c>
      <c r="CC246" s="0" t="n">
        <v>1.585005</v>
      </c>
      <c r="CD246" s="0" t="n">
        <v>1.304505</v>
      </c>
      <c r="CE246" s="0" t="n">
        <v>1.113855</v>
      </c>
      <c r="CF246" s="0" t="n">
        <v>1.482205</v>
      </c>
      <c r="CG246" s="188"/>
      <c r="CH246" s="0" t="n">
        <v>1.10679</v>
      </c>
      <c r="CI246" s="188"/>
      <c r="CJ246" s="188"/>
      <c r="CK246" s="188"/>
      <c r="CL246" s="188"/>
      <c r="CM246" s="188"/>
      <c r="CN246" s="188"/>
      <c r="CO246" s="188"/>
      <c r="CP246" s="0" t="n">
        <v>0.865</v>
      </c>
      <c r="CV246" s="0" t="n">
        <v>0.45</v>
      </c>
      <c r="CW246" s="0" t="n">
        <v>0.845</v>
      </c>
      <c r="CX246" s="0" t="n">
        <v>0.795</v>
      </c>
      <c r="CZ246" s="0" t="n">
        <v>0.635</v>
      </c>
      <c r="DA246" s="0" t="n">
        <v>0.6675</v>
      </c>
      <c r="DB246" s="0" t="n">
        <v>0.71</v>
      </c>
      <c r="DC246" s="0" t="n">
        <v>0.8775</v>
      </c>
      <c r="DD246" s="0" t="n">
        <v>0.67</v>
      </c>
      <c r="DE246" s="0" t="n">
        <v>0.89</v>
      </c>
      <c r="DN246" s="188" t="n">
        <v>0.000285</v>
      </c>
      <c r="DO246" s="188" t="n">
        <v>0.0002</v>
      </c>
      <c r="DP246" s="188" t="n">
        <v>0</v>
      </c>
      <c r="DQ246" s="188" t="n">
        <v>0.0001</v>
      </c>
      <c r="DR246" s="188" t="n">
        <v>0</v>
      </c>
      <c r="DS246" s="188" t="n">
        <v>0.0036</v>
      </c>
      <c r="DT246" s="188" t="n">
        <v>0.00047</v>
      </c>
      <c r="DU246" s="188" t="n">
        <v>0.0007</v>
      </c>
      <c r="DV246" s="188" t="n">
        <v>0</v>
      </c>
      <c r="DW246" s="188" t="n">
        <v>0</v>
      </c>
      <c r="DX246" s="188" t="n">
        <v>0.0005</v>
      </c>
      <c r="DY246" s="188" t="n">
        <v>0.0005</v>
      </c>
      <c r="DZ246" s="188" t="n">
        <v>0.0003</v>
      </c>
      <c r="EA246" s="188" t="n">
        <v>0.000275</v>
      </c>
      <c r="EB246" s="188" t="n">
        <v>0.0004</v>
      </c>
      <c r="ED246" s="188" t="n">
        <v>6.5E-005</v>
      </c>
      <c r="EF246" s="0" t="n">
        <v>1</v>
      </c>
    </row>
    <row r="247" customFormat="false" ht="12.75" hidden="false" customHeight="false" outlineLevel="0" collapsed="false">
      <c r="A247" s="149" t="n">
        <v>43891</v>
      </c>
      <c r="B247" s="0" t="n">
        <v>0.98</v>
      </c>
      <c r="C247" s="0" t="n">
        <v>0</v>
      </c>
      <c r="E247" s="0" t="n">
        <v>0</v>
      </c>
      <c r="F247" s="0" t="n">
        <v>0</v>
      </c>
      <c r="G247" s="0" t="n">
        <v>0</v>
      </c>
      <c r="H247" s="0" t="n">
        <v>0.9875</v>
      </c>
      <c r="I247" s="0" t="n">
        <v>0.9875</v>
      </c>
      <c r="J247" s="0" t="n">
        <v>0.9805</v>
      </c>
      <c r="K247" s="0" t="n">
        <v>0</v>
      </c>
      <c r="L247" s="176" t="n">
        <v>0.9875</v>
      </c>
      <c r="M247" s="176" t="n">
        <v>0.9875</v>
      </c>
      <c r="N247" s="0" t="n">
        <v>0.98</v>
      </c>
      <c r="O247" s="0" t="n">
        <v>0.9875</v>
      </c>
      <c r="P247" s="0" t="n">
        <v>0.98</v>
      </c>
      <c r="Q247" s="177" t="n">
        <v>0.9875</v>
      </c>
      <c r="R247" s="0" t="n">
        <v>0.9875</v>
      </c>
      <c r="S247" s="176" t="n">
        <v>0.9875</v>
      </c>
      <c r="T247" s="0" t="n">
        <v>0.98</v>
      </c>
      <c r="U247" s="0" t="n">
        <v>0.98</v>
      </c>
      <c r="V247" s="0" t="n">
        <v>0.98</v>
      </c>
      <c r="W247" s="0" t="n">
        <v>0.98</v>
      </c>
      <c r="X247" s="0" t="n">
        <v>0.9875</v>
      </c>
      <c r="Y247" s="0" t="n">
        <v>0.9875</v>
      </c>
      <c r="Z247" s="0" t="n">
        <v>0.9875</v>
      </c>
      <c r="AA247" s="0" t="n">
        <v>0.9875</v>
      </c>
      <c r="AB247" s="0" t="n">
        <v>0.98</v>
      </c>
      <c r="AC247" s="0" t="n">
        <v>0.98</v>
      </c>
      <c r="AD247" s="0" t="n">
        <v>0.9875</v>
      </c>
      <c r="AE247" s="0" t="n">
        <v>0.9875</v>
      </c>
      <c r="AF247" s="0" t="n">
        <v>0.98</v>
      </c>
      <c r="AG247" s="0" t="n">
        <v>0.99</v>
      </c>
      <c r="AH247" s="0" t="n">
        <v>0.985</v>
      </c>
      <c r="AI247" s="0" t="n">
        <v>0.985</v>
      </c>
      <c r="AJ247" s="0" t="n">
        <v>0.98</v>
      </c>
      <c r="AK247" s="0" t="n">
        <v>1</v>
      </c>
      <c r="AL247" s="0" t="n">
        <v>0</v>
      </c>
      <c r="AM247" s="0" t="n">
        <v>0</v>
      </c>
      <c r="BB247" s="187" t="n">
        <v>1</v>
      </c>
      <c r="BC247" s="0" t="n">
        <v>1</v>
      </c>
      <c r="BD247" s="0" t="n">
        <v>1</v>
      </c>
      <c r="BE247" s="0" t="n">
        <v>1</v>
      </c>
      <c r="BF247" s="0" t="n">
        <v>0.9999</v>
      </c>
      <c r="BG247" s="0" t="n">
        <v>1</v>
      </c>
      <c r="BH247" s="0" t="n">
        <v>1</v>
      </c>
      <c r="BI247" s="0" t="n">
        <v>0.99</v>
      </c>
      <c r="BJ247" s="0" t="n">
        <v>0.999</v>
      </c>
      <c r="BK247" s="0" t="n">
        <v>0.998</v>
      </c>
      <c r="BL247" s="0" t="n">
        <v>0.9985</v>
      </c>
      <c r="BM247" s="0" t="n">
        <v>0.9985</v>
      </c>
      <c r="BN247" s="0" t="n">
        <v>0.972</v>
      </c>
      <c r="BO247" s="0" t="n">
        <v>0.9999</v>
      </c>
      <c r="BP247" s="0" t="n">
        <v>0.9999</v>
      </c>
      <c r="BQ247" s="0" t="n">
        <v>1</v>
      </c>
      <c r="BR247" s="0" t="n">
        <v>1.1328326</v>
      </c>
      <c r="BS247" s="0" t="n">
        <v>1.1374</v>
      </c>
      <c r="BT247" s="0" t="n">
        <v>1.0827</v>
      </c>
      <c r="BU247" s="0" t="n">
        <v>1.029</v>
      </c>
      <c r="BV247" s="0" t="n">
        <v>1</v>
      </c>
      <c r="BW247" s="0" t="n">
        <v>2.715</v>
      </c>
      <c r="BX247" s="0" t="n">
        <v>2.345366333</v>
      </c>
      <c r="BY247" s="0" t="n">
        <v>1.18795</v>
      </c>
      <c r="BZ247" s="0" t="n">
        <v>1.2885</v>
      </c>
      <c r="CA247" s="0" t="n">
        <v>2.001</v>
      </c>
      <c r="CB247" s="0" t="n">
        <v>1.585505</v>
      </c>
      <c r="CC247" s="0" t="n">
        <v>1.585505</v>
      </c>
      <c r="CD247" s="0" t="n">
        <v>1.304805</v>
      </c>
      <c r="CE247" s="0" t="n">
        <v>1.11413</v>
      </c>
      <c r="CF247" s="0" t="n">
        <v>1.482605</v>
      </c>
      <c r="CG247" s="188"/>
      <c r="CH247" s="0" t="n">
        <v>1.106855</v>
      </c>
      <c r="CI247" s="188"/>
      <c r="CJ247" s="188"/>
      <c r="CK247" s="188"/>
      <c r="CL247" s="188"/>
      <c r="CM247" s="188"/>
      <c r="CN247" s="188"/>
      <c r="CO247" s="188"/>
      <c r="CP247" s="0" t="n">
        <v>0.865</v>
      </c>
      <c r="CV247" s="0" t="n">
        <v>0.45</v>
      </c>
      <c r="CW247" s="0" t="n">
        <v>0.875</v>
      </c>
      <c r="CX247" s="0" t="n">
        <v>0.965</v>
      </c>
      <c r="CZ247" s="0" t="n">
        <v>0.785</v>
      </c>
      <c r="DA247" s="0" t="n">
        <v>0.8175</v>
      </c>
      <c r="DB247" s="0" t="n">
        <v>0.8</v>
      </c>
      <c r="DC247" s="0" t="n">
        <v>0.9</v>
      </c>
      <c r="DD247" s="0" t="n">
        <v>0.83</v>
      </c>
      <c r="DE247" s="0" t="n">
        <v>0.89</v>
      </c>
      <c r="DN247" s="188" t="n">
        <v>0.000285</v>
      </c>
      <c r="DO247" s="188" t="n">
        <v>0.0002</v>
      </c>
      <c r="DP247" s="188" t="n">
        <v>0</v>
      </c>
      <c r="DQ247" s="188" t="n">
        <v>0.0001</v>
      </c>
      <c r="DR247" s="188" t="n">
        <v>0</v>
      </c>
      <c r="DS247" s="188" t="n">
        <v>0.0036</v>
      </c>
      <c r="DT247" s="188" t="n">
        <v>0.00047</v>
      </c>
      <c r="DU247" s="188" t="n">
        <v>0.0007</v>
      </c>
      <c r="DV247" s="188" t="n">
        <v>0</v>
      </c>
      <c r="DW247" s="188" t="n">
        <v>0</v>
      </c>
      <c r="DX247" s="188" t="n">
        <v>0.0005</v>
      </c>
      <c r="DY247" s="188" t="n">
        <v>0.0005</v>
      </c>
      <c r="DZ247" s="188" t="n">
        <v>0.0003</v>
      </c>
      <c r="EA247" s="188" t="n">
        <v>0.000275</v>
      </c>
      <c r="EB247" s="188" t="n">
        <v>0.0004</v>
      </c>
      <c r="ED247" s="188" t="n">
        <v>6.5E-005</v>
      </c>
      <c r="EF247" s="0" t="n">
        <v>1</v>
      </c>
    </row>
    <row r="248" customFormat="false" ht="12.75" hidden="false" customHeight="false" outlineLevel="0" collapsed="false">
      <c r="A248" s="149" t="n">
        <v>43922</v>
      </c>
      <c r="B248" s="0" t="n">
        <v>0.98</v>
      </c>
      <c r="C248" s="0" t="n">
        <v>0</v>
      </c>
      <c r="E248" s="0" t="n">
        <v>0</v>
      </c>
      <c r="F248" s="0" t="n">
        <v>0</v>
      </c>
      <c r="G248" s="0" t="n">
        <v>0</v>
      </c>
      <c r="H248" s="0" t="n">
        <v>0.98525126</v>
      </c>
      <c r="I248" s="0" t="n">
        <v>0.9875</v>
      </c>
      <c r="J248" s="0" t="n">
        <v>0.9805</v>
      </c>
      <c r="K248" s="0" t="n">
        <v>0</v>
      </c>
      <c r="L248" s="176" t="n">
        <v>0.9875</v>
      </c>
      <c r="M248" s="176" t="n">
        <v>0.9875</v>
      </c>
      <c r="N248" s="0" t="n">
        <v>0.98</v>
      </c>
      <c r="O248" s="0" t="n">
        <v>0.9875</v>
      </c>
      <c r="P248" s="0" t="n">
        <v>0.98</v>
      </c>
      <c r="Q248" s="177" t="n">
        <v>0.9875</v>
      </c>
      <c r="R248" s="0" t="n">
        <v>0.9875</v>
      </c>
      <c r="S248" s="176" t="n">
        <v>0.9875</v>
      </c>
      <c r="T248" s="0" t="n">
        <v>0.98</v>
      </c>
      <c r="U248" s="0" t="n">
        <v>0.98</v>
      </c>
      <c r="V248" s="0" t="n">
        <v>0.98</v>
      </c>
      <c r="W248" s="0" t="n">
        <v>0.98</v>
      </c>
      <c r="X248" s="0" t="n">
        <v>0.9875</v>
      </c>
      <c r="Y248" s="0" t="n">
        <v>0.9875</v>
      </c>
      <c r="Z248" s="0" t="n">
        <v>0.9875</v>
      </c>
      <c r="AA248" s="0" t="n">
        <v>0.9875</v>
      </c>
      <c r="AB248" s="0" t="n">
        <v>0.98</v>
      </c>
      <c r="AC248" s="0" t="n">
        <v>0.98</v>
      </c>
      <c r="AD248" s="0" t="n">
        <v>0.9875</v>
      </c>
      <c r="AE248" s="0" t="n">
        <v>0.9875</v>
      </c>
      <c r="AF248" s="0" t="n">
        <v>0.98</v>
      </c>
      <c r="AG248" s="0" t="n">
        <v>0.99</v>
      </c>
      <c r="AH248" s="0" t="n">
        <v>0.985</v>
      </c>
      <c r="AI248" s="0" t="n">
        <v>0.985</v>
      </c>
      <c r="AJ248" s="0" t="n">
        <v>0.98</v>
      </c>
      <c r="AK248" s="0" t="n">
        <v>1</v>
      </c>
      <c r="AL248" s="0" t="n">
        <v>0</v>
      </c>
      <c r="AM248" s="0" t="n">
        <v>0</v>
      </c>
      <c r="BB248" s="187" t="n">
        <v>1</v>
      </c>
      <c r="BC248" s="0" t="n">
        <v>1</v>
      </c>
      <c r="BD248" s="0" t="n">
        <v>1</v>
      </c>
      <c r="BE248" s="0" t="n">
        <v>1</v>
      </c>
      <c r="BF248" s="0" t="n">
        <v>0.9999</v>
      </c>
      <c r="BG248" s="0" t="n">
        <v>1</v>
      </c>
      <c r="BH248" s="0" t="n">
        <v>1</v>
      </c>
      <c r="BI248" s="0" t="n">
        <v>0.99</v>
      </c>
      <c r="BJ248" s="0" t="n">
        <v>0.999</v>
      </c>
      <c r="BK248" s="0" t="n">
        <v>0.998</v>
      </c>
      <c r="BL248" s="0" t="n">
        <v>0.9985</v>
      </c>
      <c r="BM248" s="0" t="n">
        <v>0.9985</v>
      </c>
      <c r="BN248" s="0" t="n">
        <v>0.972</v>
      </c>
      <c r="BO248" s="0" t="n">
        <v>0.9999</v>
      </c>
      <c r="BP248" s="0" t="n">
        <v>0.9999</v>
      </c>
      <c r="BQ248" s="0" t="n">
        <v>1</v>
      </c>
      <c r="BR248" s="0" t="n">
        <v>1.1331176</v>
      </c>
      <c r="BS248" s="0" t="n">
        <v>1.1376</v>
      </c>
      <c r="BT248" s="0" t="n">
        <v>1.0827</v>
      </c>
      <c r="BU248" s="0" t="n">
        <v>1.0291</v>
      </c>
      <c r="BV248" s="0" t="n">
        <v>1</v>
      </c>
      <c r="BW248" s="0" t="n">
        <v>2.7186</v>
      </c>
      <c r="BX248" s="0" t="n">
        <v>2.345836333</v>
      </c>
      <c r="BY248" s="0" t="n">
        <v>1.18865</v>
      </c>
      <c r="BZ248" s="0" t="n">
        <v>1.2885</v>
      </c>
      <c r="CA248" s="0" t="n">
        <v>2.001</v>
      </c>
      <c r="CB248" s="0" t="n">
        <v>1.586005</v>
      </c>
      <c r="CC248" s="0" t="n">
        <v>1.586005</v>
      </c>
      <c r="CD248" s="0" t="n">
        <v>1.305105</v>
      </c>
      <c r="CE248" s="0" t="n">
        <v>1.114405</v>
      </c>
      <c r="CF248" s="0" t="n">
        <v>1.483005</v>
      </c>
      <c r="CG248" s="188"/>
      <c r="CH248" s="0" t="n">
        <v>1.10692</v>
      </c>
      <c r="CI248" s="188"/>
      <c r="CJ248" s="188"/>
      <c r="CK248" s="188"/>
      <c r="CL248" s="188"/>
      <c r="CM248" s="188"/>
      <c r="CN248" s="188"/>
      <c r="CO248" s="188"/>
      <c r="CP248" s="0" t="n">
        <v>0.895</v>
      </c>
      <c r="CV248" s="0" t="n">
        <v>0.42</v>
      </c>
      <c r="CW248" s="0" t="n">
        <v>0.935</v>
      </c>
      <c r="CX248" s="0" t="n">
        <v>0.955</v>
      </c>
      <c r="CZ248" s="0" t="n">
        <v>0.895</v>
      </c>
      <c r="DA248" s="0" t="n">
        <v>0.9275</v>
      </c>
      <c r="DB248" s="0" t="n">
        <v>0.85</v>
      </c>
      <c r="DC248" s="0" t="n">
        <v>0.903</v>
      </c>
      <c r="DD248" s="0" t="n">
        <v>0.92</v>
      </c>
      <c r="DE248" s="0" t="n">
        <v>0.89</v>
      </c>
      <c r="DN248" s="188" t="n">
        <v>0.000285</v>
      </c>
      <c r="DO248" s="188" t="n">
        <v>0.0002</v>
      </c>
      <c r="DP248" s="188" t="n">
        <v>0</v>
      </c>
      <c r="DQ248" s="188" t="n">
        <v>0.0001</v>
      </c>
      <c r="DR248" s="188" t="n">
        <v>0</v>
      </c>
      <c r="DS248" s="188" t="n">
        <v>0.0036</v>
      </c>
      <c r="DT248" s="188" t="n">
        <v>0.00047</v>
      </c>
      <c r="DU248" s="188" t="n">
        <v>0.0007</v>
      </c>
      <c r="DV248" s="188" t="n">
        <v>0</v>
      </c>
      <c r="DW248" s="188" t="n">
        <v>0</v>
      </c>
      <c r="DX248" s="188" t="n">
        <v>0.0005</v>
      </c>
      <c r="DY248" s="188" t="n">
        <v>0.0005</v>
      </c>
      <c r="DZ248" s="188" t="n">
        <v>0.0003</v>
      </c>
      <c r="EA248" s="188" t="n">
        <v>0.000275</v>
      </c>
      <c r="EB248" s="188" t="n">
        <v>0.0004</v>
      </c>
      <c r="ED248" s="188" t="n">
        <v>6.5E-005</v>
      </c>
      <c r="EF248" s="0" t="n">
        <v>1</v>
      </c>
    </row>
    <row r="249" customFormat="false" ht="12.75" hidden="false" customHeight="false" outlineLevel="0" collapsed="false">
      <c r="A249" s="149" t="n">
        <v>43952</v>
      </c>
      <c r="B249" s="0" t="n">
        <v>0.98</v>
      </c>
      <c r="C249" s="0" t="n">
        <v>0</v>
      </c>
      <c r="E249" s="0" t="n">
        <v>0</v>
      </c>
      <c r="F249" s="0" t="n">
        <v>0</v>
      </c>
      <c r="G249" s="0" t="n">
        <v>0</v>
      </c>
      <c r="H249" s="0" t="n">
        <v>0.98544866</v>
      </c>
      <c r="I249" s="0" t="n">
        <v>0.9875</v>
      </c>
      <c r="J249" s="0" t="n">
        <v>0.9805</v>
      </c>
      <c r="K249" s="0" t="n">
        <v>0</v>
      </c>
      <c r="L249" s="176" t="n">
        <v>0.9875</v>
      </c>
      <c r="M249" s="176" t="n">
        <v>0.9875</v>
      </c>
      <c r="N249" s="0" t="n">
        <v>0.98</v>
      </c>
      <c r="O249" s="0" t="n">
        <v>0.9875</v>
      </c>
      <c r="P249" s="0" t="n">
        <v>0.98</v>
      </c>
      <c r="Q249" s="177" t="n">
        <v>0.9875</v>
      </c>
      <c r="R249" s="0" t="n">
        <v>0.9875</v>
      </c>
      <c r="S249" s="176" t="n">
        <v>0.9875</v>
      </c>
      <c r="T249" s="0" t="n">
        <v>0.98</v>
      </c>
      <c r="U249" s="0" t="n">
        <v>0.98</v>
      </c>
      <c r="V249" s="0" t="n">
        <v>0.98</v>
      </c>
      <c r="W249" s="0" t="n">
        <v>0.98</v>
      </c>
      <c r="X249" s="0" t="n">
        <v>0.9875</v>
      </c>
      <c r="Y249" s="0" t="n">
        <v>0.9875</v>
      </c>
      <c r="Z249" s="0" t="n">
        <v>0.9875</v>
      </c>
      <c r="AA249" s="0" t="n">
        <v>0.9875</v>
      </c>
      <c r="AB249" s="0" t="n">
        <v>0.98</v>
      </c>
      <c r="AC249" s="0" t="n">
        <v>0.98</v>
      </c>
      <c r="AD249" s="0" t="n">
        <v>0.9875</v>
      </c>
      <c r="AE249" s="0" t="n">
        <v>0.9875</v>
      </c>
      <c r="AF249" s="0" t="n">
        <v>0.98</v>
      </c>
      <c r="AG249" s="0" t="n">
        <v>0.99</v>
      </c>
      <c r="AH249" s="0" t="n">
        <v>0.985</v>
      </c>
      <c r="AI249" s="0" t="n">
        <v>0.985</v>
      </c>
      <c r="AJ249" s="0" t="n">
        <v>0.98</v>
      </c>
      <c r="AK249" s="0" t="n">
        <v>1</v>
      </c>
      <c r="AL249" s="0" t="n">
        <v>0</v>
      </c>
      <c r="AM249" s="0" t="n">
        <v>0</v>
      </c>
      <c r="BB249" s="187" t="n">
        <v>1</v>
      </c>
      <c r="BC249" s="0" t="n">
        <v>1</v>
      </c>
      <c r="BD249" s="0" t="n">
        <v>1</v>
      </c>
      <c r="BE249" s="0" t="n">
        <v>1</v>
      </c>
      <c r="BF249" s="0" t="n">
        <v>0.9999</v>
      </c>
      <c r="BG249" s="0" t="n">
        <v>1</v>
      </c>
      <c r="BH249" s="0" t="n">
        <v>1</v>
      </c>
      <c r="BI249" s="0" t="n">
        <v>0.99</v>
      </c>
      <c r="BJ249" s="0" t="n">
        <v>0.999</v>
      </c>
      <c r="BK249" s="0" t="n">
        <v>0.998</v>
      </c>
      <c r="BL249" s="0" t="n">
        <v>0.9985</v>
      </c>
      <c r="BM249" s="0" t="n">
        <v>0.9985</v>
      </c>
      <c r="BN249" s="0" t="n">
        <v>0.972</v>
      </c>
      <c r="BO249" s="0" t="n">
        <v>0.9999</v>
      </c>
      <c r="BP249" s="0" t="n">
        <v>0.9999</v>
      </c>
      <c r="BQ249" s="0" t="n">
        <v>1</v>
      </c>
      <c r="BR249" s="0" t="n">
        <v>1.1334026</v>
      </c>
      <c r="BS249" s="0" t="n">
        <v>1.1378</v>
      </c>
      <c r="BT249" s="0" t="n">
        <v>1.0827</v>
      </c>
      <c r="BU249" s="0" t="n">
        <v>1.0292</v>
      </c>
      <c r="BV249" s="0" t="n">
        <v>1</v>
      </c>
      <c r="BW249" s="0" t="n">
        <v>2.7222</v>
      </c>
      <c r="BX249" s="0" t="n">
        <v>2.346306333</v>
      </c>
      <c r="BY249" s="0" t="n">
        <v>1.18935</v>
      </c>
      <c r="BZ249" s="0" t="n">
        <v>1.2885</v>
      </c>
      <c r="CA249" s="0" t="n">
        <v>2.001</v>
      </c>
      <c r="CB249" s="0" t="n">
        <v>1.586505</v>
      </c>
      <c r="CC249" s="0" t="n">
        <v>1.586505</v>
      </c>
      <c r="CD249" s="0" t="n">
        <v>1.305405</v>
      </c>
      <c r="CE249" s="0" t="n">
        <v>1.11468</v>
      </c>
      <c r="CF249" s="0" t="n">
        <v>1.483405</v>
      </c>
      <c r="CG249" s="188"/>
      <c r="CH249" s="0" t="n">
        <v>1.106985</v>
      </c>
      <c r="CI249" s="188"/>
      <c r="CJ249" s="188"/>
      <c r="CK249" s="188"/>
      <c r="CL249" s="188"/>
      <c r="CM249" s="188"/>
      <c r="CN249" s="188"/>
      <c r="CO249" s="188"/>
      <c r="CP249" s="0" t="n">
        <v>0.965</v>
      </c>
      <c r="CV249" s="0" t="n">
        <v>0.42</v>
      </c>
      <c r="CW249" s="0" t="n">
        <v>0.935</v>
      </c>
      <c r="CX249" s="0" t="n">
        <v>0.855</v>
      </c>
      <c r="CZ249" s="0" t="n">
        <v>0.9175</v>
      </c>
      <c r="DA249" s="0" t="n">
        <v>0.95</v>
      </c>
      <c r="DB249" s="0" t="n">
        <v>0.88</v>
      </c>
      <c r="DC249" s="0" t="n">
        <v>0.9</v>
      </c>
      <c r="DD249" s="0" t="n">
        <v>0.935</v>
      </c>
      <c r="DE249" s="0" t="n">
        <v>0.89</v>
      </c>
      <c r="DN249" s="188" t="n">
        <v>0.000285</v>
      </c>
      <c r="DO249" s="188" t="n">
        <v>0.0002</v>
      </c>
      <c r="DP249" s="188" t="n">
        <v>0</v>
      </c>
      <c r="DQ249" s="188" t="n">
        <v>0.0001</v>
      </c>
      <c r="DR249" s="188" t="n">
        <v>0</v>
      </c>
      <c r="DS249" s="188" t="n">
        <v>0.0036</v>
      </c>
      <c r="DT249" s="188" t="n">
        <v>0.00047</v>
      </c>
      <c r="DU249" s="188" t="n">
        <v>0.0007</v>
      </c>
      <c r="DV249" s="188" t="n">
        <v>0</v>
      </c>
      <c r="DW249" s="188" t="n">
        <v>0</v>
      </c>
      <c r="DX249" s="188" t="n">
        <v>0.0005</v>
      </c>
      <c r="DY249" s="188" t="n">
        <v>0.0005</v>
      </c>
      <c r="DZ249" s="188" t="n">
        <v>0.0003</v>
      </c>
      <c r="EA249" s="188" t="n">
        <v>0.000275</v>
      </c>
      <c r="EB249" s="188" t="n">
        <v>0.0004</v>
      </c>
      <c r="ED249" s="188" t="n">
        <v>6.5E-005</v>
      </c>
      <c r="EF249" s="0" t="n">
        <v>1</v>
      </c>
    </row>
    <row r="250" customFormat="false" ht="12.75" hidden="false" customHeight="false" outlineLevel="0" collapsed="false">
      <c r="A250" s="149" t="n">
        <v>43983</v>
      </c>
      <c r="B250" s="0" t="n">
        <v>0.98</v>
      </c>
      <c r="C250" s="0" t="n">
        <v>0</v>
      </c>
      <c r="E250" s="0" t="n">
        <v>0</v>
      </c>
      <c r="F250" s="0" t="n">
        <v>0</v>
      </c>
      <c r="G250" s="0" t="n">
        <v>0</v>
      </c>
      <c r="H250" s="0" t="n">
        <v>0.9875</v>
      </c>
      <c r="I250" s="0" t="n">
        <v>0.9875</v>
      </c>
      <c r="J250" s="0" t="n">
        <v>0.9805</v>
      </c>
      <c r="K250" s="0" t="n">
        <v>0</v>
      </c>
      <c r="L250" s="176" t="n">
        <v>0.9875</v>
      </c>
      <c r="M250" s="176" t="n">
        <v>0.9875</v>
      </c>
      <c r="N250" s="0" t="n">
        <v>0.98</v>
      </c>
      <c r="O250" s="0" t="n">
        <v>0.9875</v>
      </c>
      <c r="P250" s="0" t="n">
        <v>0.98</v>
      </c>
      <c r="Q250" s="177" t="n">
        <v>0.9875</v>
      </c>
      <c r="R250" s="0" t="n">
        <v>0.9875</v>
      </c>
      <c r="S250" s="176" t="n">
        <v>0.9875</v>
      </c>
      <c r="T250" s="0" t="n">
        <v>0.98</v>
      </c>
      <c r="U250" s="0" t="n">
        <v>0.98</v>
      </c>
      <c r="V250" s="0" t="n">
        <v>0.98</v>
      </c>
      <c r="W250" s="0" t="n">
        <v>0.98</v>
      </c>
      <c r="X250" s="0" t="n">
        <v>0.9875</v>
      </c>
      <c r="Y250" s="0" t="n">
        <v>0.9875</v>
      </c>
      <c r="Z250" s="0" t="n">
        <v>0.9875</v>
      </c>
      <c r="AA250" s="0" t="n">
        <v>0.9875</v>
      </c>
      <c r="AB250" s="0" t="n">
        <v>0.98</v>
      </c>
      <c r="AC250" s="0" t="n">
        <v>0.98</v>
      </c>
      <c r="AD250" s="0" t="n">
        <v>0.9875</v>
      </c>
      <c r="AE250" s="0" t="n">
        <v>0.9875</v>
      </c>
      <c r="AF250" s="0" t="n">
        <v>0.98</v>
      </c>
      <c r="AG250" s="0" t="n">
        <v>0.99</v>
      </c>
      <c r="AH250" s="0" t="n">
        <v>0.985</v>
      </c>
      <c r="AI250" s="0" t="n">
        <v>0.985</v>
      </c>
      <c r="AJ250" s="0" t="n">
        <v>0.98</v>
      </c>
      <c r="AK250" s="0" t="n">
        <v>1</v>
      </c>
      <c r="AL250" s="0" t="n">
        <v>0</v>
      </c>
      <c r="AM250" s="0" t="n">
        <v>0</v>
      </c>
      <c r="BB250" s="187" t="n">
        <v>1</v>
      </c>
      <c r="BC250" s="0" t="n">
        <v>1</v>
      </c>
      <c r="BD250" s="0" t="n">
        <v>1</v>
      </c>
      <c r="BE250" s="0" t="n">
        <v>1</v>
      </c>
      <c r="BF250" s="0" t="n">
        <v>0.9999</v>
      </c>
      <c r="BG250" s="0" t="n">
        <v>1</v>
      </c>
      <c r="BH250" s="0" t="n">
        <v>1</v>
      </c>
      <c r="BI250" s="0" t="n">
        <v>0.99</v>
      </c>
      <c r="BJ250" s="0" t="n">
        <v>0.999</v>
      </c>
      <c r="BK250" s="0" t="n">
        <v>0.998</v>
      </c>
      <c r="BL250" s="0" t="n">
        <v>0.9985</v>
      </c>
      <c r="BM250" s="0" t="n">
        <v>0.9985</v>
      </c>
      <c r="BN250" s="0" t="n">
        <v>0.972</v>
      </c>
      <c r="BO250" s="0" t="n">
        <v>0.9999</v>
      </c>
      <c r="BP250" s="0" t="n">
        <v>0.9999</v>
      </c>
      <c r="BQ250" s="0" t="n">
        <v>1</v>
      </c>
      <c r="BR250" s="0" t="n">
        <v>1.1336876</v>
      </c>
      <c r="BS250" s="0" t="n">
        <v>1.138</v>
      </c>
      <c r="BT250" s="0" t="n">
        <v>1.0827</v>
      </c>
      <c r="BU250" s="0" t="n">
        <v>1.0293</v>
      </c>
      <c r="BV250" s="0" t="n">
        <v>1</v>
      </c>
      <c r="BW250" s="0" t="n">
        <v>2.7258</v>
      </c>
      <c r="BX250" s="0" t="n">
        <v>2.346776333</v>
      </c>
      <c r="BY250" s="0" t="n">
        <v>1.19005</v>
      </c>
      <c r="BZ250" s="0" t="n">
        <v>1.2885</v>
      </c>
      <c r="CA250" s="0" t="n">
        <v>2.001</v>
      </c>
      <c r="CB250" s="0" t="n">
        <v>1.587005</v>
      </c>
      <c r="CC250" s="0" t="n">
        <v>1.587005</v>
      </c>
      <c r="CD250" s="0" t="n">
        <v>1.305705</v>
      </c>
      <c r="CE250" s="0" t="n">
        <v>1.114955</v>
      </c>
      <c r="CF250" s="0" t="n">
        <v>1.483805</v>
      </c>
      <c r="CG250" s="188"/>
      <c r="CH250" s="0" t="n">
        <v>1.10705</v>
      </c>
      <c r="CI250" s="188"/>
      <c r="CJ250" s="188"/>
      <c r="CK250" s="188"/>
      <c r="CL250" s="188"/>
      <c r="CM250" s="188"/>
      <c r="CN250" s="188"/>
      <c r="CO250" s="188"/>
      <c r="CP250" s="0" t="n">
        <v>0.965</v>
      </c>
      <c r="CV250" s="0" t="n">
        <v>0.47</v>
      </c>
      <c r="CW250" s="0" t="n">
        <v>0.935</v>
      </c>
      <c r="CX250" s="0" t="n">
        <v>0.765</v>
      </c>
      <c r="CZ250" s="0" t="n">
        <v>0.8825</v>
      </c>
      <c r="DA250" s="0" t="n">
        <v>0.915</v>
      </c>
      <c r="DB250" s="0" t="n">
        <v>0.88</v>
      </c>
      <c r="DC250" s="0" t="n">
        <v>0.9025</v>
      </c>
      <c r="DD250" s="0" t="n">
        <v>0.915</v>
      </c>
      <c r="DE250" s="0" t="n">
        <v>0.89</v>
      </c>
      <c r="DN250" s="188" t="n">
        <v>0.000285</v>
      </c>
      <c r="DO250" s="188" t="n">
        <v>0.0002</v>
      </c>
      <c r="DP250" s="188" t="n">
        <v>0</v>
      </c>
      <c r="DQ250" s="188" t="n">
        <v>0.0001</v>
      </c>
      <c r="DR250" s="188" t="n">
        <v>0</v>
      </c>
      <c r="DS250" s="188" t="n">
        <v>0.0036</v>
      </c>
      <c r="DT250" s="188" t="n">
        <v>0.00047</v>
      </c>
      <c r="DU250" s="188" t="n">
        <v>0.0007</v>
      </c>
      <c r="DV250" s="188" t="n">
        <v>0</v>
      </c>
      <c r="DW250" s="188" t="n">
        <v>0</v>
      </c>
      <c r="DX250" s="188" t="n">
        <v>0.0005</v>
      </c>
      <c r="DY250" s="188" t="n">
        <v>0.0005</v>
      </c>
      <c r="DZ250" s="188" t="n">
        <v>0.0003</v>
      </c>
      <c r="EA250" s="188" t="n">
        <v>0.000275</v>
      </c>
      <c r="EB250" s="188" t="n">
        <v>0.0004</v>
      </c>
      <c r="ED250" s="188" t="n">
        <v>6.5E-005</v>
      </c>
      <c r="EF250" s="0" t="n">
        <v>1</v>
      </c>
    </row>
    <row r="251" customFormat="false" ht="12.75" hidden="false" customHeight="false" outlineLevel="0" collapsed="false">
      <c r="A251" s="149" t="n">
        <v>44013</v>
      </c>
      <c r="B251" s="0" t="n">
        <v>0.98</v>
      </c>
      <c r="C251" s="0" t="n">
        <v>0</v>
      </c>
      <c r="E251" s="0" t="n">
        <v>0</v>
      </c>
      <c r="F251" s="0" t="n">
        <v>0</v>
      </c>
      <c r="G251" s="0" t="n">
        <v>0</v>
      </c>
      <c r="H251" s="0" t="n">
        <v>0.9875</v>
      </c>
      <c r="I251" s="0" t="n">
        <v>0.9875</v>
      </c>
      <c r="J251" s="0" t="n">
        <v>0.9805</v>
      </c>
      <c r="K251" s="0" t="n">
        <v>0</v>
      </c>
      <c r="L251" s="176" t="n">
        <v>0.9875</v>
      </c>
      <c r="M251" s="176" t="n">
        <v>0.9875</v>
      </c>
      <c r="N251" s="0" t="n">
        <v>0.98</v>
      </c>
      <c r="O251" s="0" t="n">
        <v>0.9875</v>
      </c>
      <c r="P251" s="0" t="n">
        <v>0.98</v>
      </c>
      <c r="Q251" s="177" t="n">
        <v>0.9875</v>
      </c>
      <c r="R251" s="0" t="n">
        <v>0.9875</v>
      </c>
      <c r="S251" s="176" t="n">
        <v>0.9875</v>
      </c>
      <c r="T251" s="0" t="n">
        <v>0.98</v>
      </c>
      <c r="U251" s="0" t="n">
        <v>0.98</v>
      </c>
      <c r="V251" s="0" t="n">
        <v>0.98</v>
      </c>
      <c r="W251" s="0" t="n">
        <v>0.98</v>
      </c>
      <c r="X251" s="0" t="n">
        <v>0.9875</v>
      </c>
      <c r="Y251" s="0" t="n">
        <v>0.9875</v>
      </c>
      <c r="Z251" s="0" t="n">
        <v>0.9875</v>
      </c>
      <c r="AA251" s="0" t="n">
        <v>0.9875</v>
      </c>
      <c r="AB251" s="0" t="n">
        <v>0.98</v>
      </c>
      <c r="AC251" s="0" t="n">
        <v>0.98</v>
      </c>
      <c r="AD251" s="0" t="n">
        <v>0.9875</v>
      </c>
      <c r="AE251" s="0" t="n">
        <v>0.9875</v>
      </c>
      <c r="AF251" s="0" t="n">
        <v>0.98</v>
      </c>
      <c r="AG251" s="0" t="n">
        <v>0.99</v>
      </c>
      <c r="AH251" s="0" t="n">
        <v>0.985</v>
      </c>
      <c r="AI251" s="0" t="n">
        <v>0.985</v>
      </c>
      <c r="AJ251" s="0" t="n">
        <v>0.98</v>
      </c>
      <c r="AK251" s="0" t="n">
        <v>1</v>
      </c>
      <c r="AL251" s="0" t="n">
        <v>0</v>
      </c>
      <c r="AM251" s="0" t="n">
        <v>0</v>
      </c>
      <c r="BB251" s="187" t="n">
        <v>1</v>
      </c>
      <c r="BC251" s="0" t="n">
        <v>1</v>
      </c>
      <c r="BD251" s="0" t="n">
        <v>1</v>
      </c>
      <c r="BE251" s="0" t="n">
        <v>1</v>
      </c>
      <c r="BF251" s="0" t="n">
        <v>0.9999</v>
      </c>
      <c r="BG251" s="0" t="n">
        <v>1</v>
      </c>
      <c r="BH251" s="0" t="n">
        <v>1</v>
      </c>
      <c r="BI251" s="0" t="n">
        <v>0.99</v>
      </c>
      <c r="BJ251" s="0" t="n">
        <v>0.999</v>
      </c>
      <c r="BK251" s="0" t="n">
        <v>0.998</v>
      </c>
      <c r="BL251" s="0" t="n">
        <v>0.9985</v>
      </c>
      <c r="BM251" s="0" t="n">
        <v>0.9985</v>
      </c>
      <c r="BN251" s="0" t="n">
        <v>0.972</v>
      </c>
      <c r="BO251" s="0" t="n">
        <v>0.9999</v>
      </c>
      <c r="BP251" s="0" t="n">
        <v>0.9999</v>
      </c>
      <c r="BQ251" s="0" t="n">
        <v>1</v>
      </c>
      <c r="BR251" s="0" t="n">
        <v>1.1339726</v>
      </c>
      <c r="BS251" s="0" t="n">
        <v>1.1382</v>
      </c>
      <c r="BT251" s="0" t="n">
        <v>1.0827</v>
      </c>
      <c r="BU251" s="0" t="n">
        <v>1.0294</v>
      </c>
      <c r="BV251" s="0" t="n">
        <v>1</v>
      </c>
      <c r="BW251" s="0" t="n">
        <v>2.7294</v>
      </c>
      <c r="BX251" s="0" t="n">
        <v>2.347246333</v>
      </c>
      <c r="BY251" s="0" t="n">
        <v>1.19075</v>
      </c>
      <c r="BZ251" s="0" t="n">
        <v>1.2885</v>
      </c>
      <c r="CA251" s="0" t="n">
        <v>2.001</v>
      </c>
      <c r="CB251" s="0" t="n">
        <v>1.587505</v>
      </c>
      <c r="CC251" s="0" t="n">
        <v>1.587505</v>
      </c>
      <c r="CD251" s="0" t="n">
        <v>1.306005</v>
      </c>
      <c r="CE251" s="0" t="n">
        <v>1.11523</v>
      </c>
      <c r="CF251" s="0" t="n">
        <v>1.484205</v>
      </c>
      <c r="CG251" s="188"/>
      <c r="CH251" s="0" t="n">
        <v>1.107115</v>
      </c>
      <c r="CI251" s="188"/>
      <c r="CJ251" s="188"/>
      <c r="CK251" s="188"/>
      <c r="CL251" s="188"/>
      <c r="CM251" s="188"/>
      <c r="CN251" s="188"/>
      <c r="CO251" s="188"/>
      <c r="CP251" s="0" t="n">
        <v>0.975</v>
      </c>
      <c r="CV251" s="0" t="n">
        <v>0.47</v>
      </c>
      <c r="CW251" s="0" t="n">
        <v>0.935</v>
      </c>
      <c r="CX251" s="0" t="n">
        <v>0.785</v>
      </c>
      <c r="CZ251" s="0" t="n">
        <v>0.8775</v>
      </c>
      <c r="DA251" s="0" t="n">
        <v>0.91</v>
      </c>
      <c r="DB251" s="0" t="n">
        <v>0.89</v>
      </c>
      <c r="DC251" s="0" t="n">
        <v>0.9075</v>
      </c>
      <c r="DD251" s="0" t="n">
        <v>0.915</v>
      </c>
      <c r="DE251" s="0" t="n">
        <v>0.89</v>
      </c>
      <c r="DN251" s="188" t="n">
        <v>0.000285</v>
      </c>
      <c r="DO251" s="188" t="n">
        <v>0.0002</v>
      </c>
      <c r="DP251" s="188" t="n">
        <v>0</v>
      </c>
      <c r="DQ251" s="188" t="n">
        <v>0.0001</v>
      </c>
      <c r="DR251" s="188" t="n">
        <v>0</v>
      </c>
      <c r="DS251" s="188" t="n">
        <v>0.0036</v>
      </c>
      <c r="DT251" s="188" t="n">
        <v>0.00047</v>
      </c>
      <c r="DU251" s="188" t="n">
        <v>0.0007</v>
      </c>
      <c r="DV251" s="188" t="n">
        <v>0</v>
      </c>
      <c r="DW251" s="188" t="n">
        <v>0</v>
      </c>
      <c r="DX251" s="188" t="n">
        <v>0.0005</v>
      </c>
      <c r="DY251" s="188" t="n">
        <v>0.0005</v>
      </c>
      <c r="DZ251" s="188" t="n">
        <v>0.0003</v>
      </c>
      <c r="EA251" s="188" t="n">
        <v>0.000275</v>
      </c>
      <c r="EB251" s="188" t="n">
        <v>0.0004</v>
      </c>
      <c r="ED251" s="188" t="n">
        <v>6.5E-005</v>
      </c>
      <c r="EF251" s="0" t="n">
        <v>1</v>
      </c>
    </row>
    <row r="252" customFormat="false" ht="12.75" hidden="false" customHeight="false" outlineLevel="0" collapsed="false">
      <c r="A252" s="149" t="n">
        <v>44044</v>
      </c>
      <c r="B252" s="0" t="n">
        <v>0.98</v>
      </c>
      <c r="C252" s="0" t="n">
        <v>0</v>
      </c>
      <c r="E252" s="0" t="n">
        <v>0</v>
      </c>
      <c r="F252" s="0" t="n">
        <v>0</v>
      </c>
      <c r="G252" s="0" t="n">
        <v>0</v>
      </c>
      <c r="H252" s="0" t="n">
        <v>0.9875</v>
      </c>
      <c r="I252" s="0" t="n">
        <v>0.9875</v>
      </c>
      <c r="J252" s="0" t="n">
        <v>0.9805</v>
      </c>
      <c r="K252" s="0" t="n">
        <v>0</v>
      </c>
      <c r="L252" s="176" t="n">
        <v>0.9875</v>
      </c>
      <c r="M252" s="176" t="n">
        <v>0.9875</v>
      </c>
      <c r="N252" s="0" t="n">
        <v>0.98</v>
      </c>
      <c r="O252" s="0" t="n">
        <v>0.9875</v>
      </c>
      <c r="P252" s="0" t="n">
        <v>0.98</v>
      </c>
      <c r="Q252" s="177" t="n">
        <v>0.9875</v>
      </c>
      <c r="R252" s="0" t="n">
        <v>0.9875</v>
      </c>
      <c r="S252" s="176" t="n">
        <v>0.9875</v>
      </c>
      <c r="T252" s="0" t="n">
        <v>0.98</v>
      </c>
      <c r="U252" s="0" t="n">
        <v>0.98</v>
      </c>
      <c r="V252" s="0" t="n">
        <v>0.98</v>
      </c>
      <c r="W252" s="0" t="n">
        <v>0.98</v>
      </c>
      <c r="X252" s="0" t="n">
        <v>0.9875</v>
      </c>
      <c r="Y252" s="0" t="n">
        <v>0.9875</v>
      </c>
      <c r="Z252" s="0" t="n">
        <v>0.9875</v>
      </c>
      <c r="AA252" s="0" t="n">
        <v>0.9875</v>
      </c>
      <c r="AB252" s="0" t="n">
        <v>0.98</v>
      </c>
      <c r="AC252" s="0" t="n">
        <v>0.98</v>
      </c>
      <c r="AD252" s="0" t="n">
        <v>0.9875</v>
      </c>
      <c r="AE252" s="0" t="n">
        <v>0.9875</v>
      </c>
      <c r="AF252" s="0" t="n">
        <v>0.98</v>
      </c>
      <c r="AG252" s="0" t="n">
        <v>0.99</v>
      </c>
      <c r="AH252" s="0" t="n">
        <v>0.985</v>
      </c>
      <c r="AI252" s="0" t="n">
        <v>0.985</v>
      </c>
      <c r="AJ252" s="0" t="n">
        <v>0.98</v>
      </c>
      <c r="AK252" s="0" t="n">
        <v>1</v>
      </c>
      <c r="AL252" s="0" t="n">
        <v>0</v>
      </c>
      <c r="AM252" s="0" t="n">
        <v>0</v>
      </c>
      <c r="BB252" s="187" t="n">
        <v>1</v>
      </c>
      <c r="BC252" s="0" t="n">
        <v>1</v>
      </c>
      <c r="BD252" s="0" t="n">
        <v>1</v>
      </c>
      <c r="BE252" s="0" t="n">
        <v>1</v>
      </c>
      <c r="BF252" s="0" t="n">
        <v>0.9999</v>
      </c>
      <c r="BG252" s="0" t="n">
        <v>1</v>
      </c>
      <c r="BH252" s="0" t="n">
        <v>1</v>
      </c>
      <c r="BI252" s="0" t="n">
        <v>0.99</v>
      </c>
      <c r="BJ252" s="0" t="n">
        <v>0.999</v>
      </c>
      <c r="BK252" s="0" t="n">
        <v>0.998</v>
      </c>
      <c r="BL252" s="0" t="n">
        <v>0.9985</v>
      </c>
      <c r="BM252" s="0" t="n">
        <v>0.9985</v>
      </c>
      <c r="BN252" s="0" t="n">
        <v>0.972</v>
      </c>
      <c r="BO252" s="0" t="n">
        <v>0.9999</v>
      </c>
      <c r="BP252" s="0" t="n">
        <v>0.9999</v>
      </c>
      <c r="BQ252" s="0" t="n">
        <v>1</v>
      </c>
      <c r="BR252" s="0" t="n">
        <v>1.1342576</v>
      </c>
      <c r="BS252" s="0" t="n">
        <v>1.1384</v>
      </c>
      <c r="BT252" s="0" t="n">
        <v>1.0827</v>
      </c>
      <c r="BU252" s="0" t="n">
        <v>1.0295</v>
      </c>
      <c r="BV252" s="0" t="n">
        <v>1</v>
      </c>
      <c r="BW252" s="0" t="n">
        <v>2.733</v>
      </c>
      <c r="BX252" s="0" t="n">
        <v>2.347716333</v>
      </c>
      <c r="BY252" s="0" t="n">
        <v>1.19145</v>
      </c>
      <c r="BZ252" s="0" t="n">
        <v>1.2885</v>
      </c>
      <c r="CA252" s="0" t="n">
        <v>2.001</v>
      </c>
      <c r="CB252" s="0" t="n">
        <v>1.588005</v>
      </c>
      <c r="CC252" s="0" t="n">
        <v>1.588005</v>
      </c>
      <c r="CD252" s="0" t="n">
        <v>1.306305</v>
      </c>
      <c r="CE252" s="0" t="n">
        <v>1.115505</v>
      </c>
      <c r="CF252" s="0" t="n">
        <v>1.484605</v>
      </c>
      <c r="CG252" s="188"/>
      <c r="CH252" s="0" t="n">
        <v>1.10718</v>
      </c>
      <c r="CI252" s="188"/>
      <c r="CJ252" s="188"/>
      <c r="CK252" s="188"/>
      <c r="CL252" s="188"/>
      <c r="CM252" s="188"/>
      <c r="CN252" s="188"/>
      <c r="CO252" s="188"/>
      <c r="CP252" s="0" t="n">
        <v>0.975</v>
      </c>
      <c r="CV252" s="0" t="n">
        <v>0.52</v>
      </c>
      <c r="CW252" s="0" t="n">
        <v>0.925</v>
      </c>
      <c r="CX252" s="0" t="n">
        <v>0.875</v>
      </c>
      <c r="CZ252" s="0" t="n">
        <v>0.89</v>
      </c>
      <c r="DA252" s="0" t="n">
        <v>0.9225</v>
      </c>
      <c r="DB252" s="0" t="n">
        <v>0.915</v>
      </c>
      <c r="DC252" s="0" t="n">
        <v>0.9275</v>
      </c>
      <c r="DD252" s="0" t="n">
        <v>0.915</v>
      </c>
      <c r="DE252" s="0" t="n">
        <v>0.89</v>
      </c>
      <c r="DN252" s="188" t="n">
        <v>0.000285</v>
      </c>
      <c r="DO252" s="188" t="n">
        <v>0.0002</v>
      </c>
      <c r="DP252" s="188" t="n">
        <v>0</v>
      </c>
      <c r="DQ252" s="188" t="n">
        <v>0.0001</v>
      </c>
      <c r="DR252" s="188" t="n">
        <v>0</v>
      </c>
      <c r="DS252" s="188" t="n">
        <v>0.0036</v>
      </c>
      <c r="DT252" s="188" t="n">
        <v>0.00047</v>
      </c>
      <c r="DU252" s="188" t="n">
        <v>0.0007</v>
      </c>
      <c r="DV252" s="188" t="n">
        <v>0</v>
      </c>
      <c r="DW252" s="188" t="n">
        <v>0</v>
      </c>
      <c r="DX252" s="188" t="n">
        <v>0.0005</v>
      </c>
      <c r="DY252" s="188" t="n">
        <v>0.0005</v>
      </c>
      <c r="DZ252" s="188" t="n">
        <v>0.0003</v>
      </c>
      <c r="EA252" s="188" t="n">
        <v>0.000275</v>
      </c>
      <c r="EB252" s="188" t="n">
        <v>0.0004</v>
      </c>
      <c r="ED252" s="188" t="n">
        <v>6.5E-005</v>
      </c>
      <c r="EF252" s="0" t="n">
        <v>1</v>
      </c>
    </row>
    <row r="253" customFormat="false" ht="12.75" hidden="false" customHeight="false" outlineLevel="0" collapsed="false">
      <c r="A253" s="149" t="n">
        <v>44075</v>
      </c>
      <c r="B253" s="0" t="n">
        <v>0.98</v>
      </c>
      <c r="C253" s="0" t="n">
        <v>0</v>
      </c>
      <c r="E253" s="0" t="n">
        <v>0</v>
      </c>
      <c r="F253" s="0" t="n">
        <v>0</v>
      </c>
      <c r="G253" s="0" t="n">
        <v>0</v>
      </c>
      <c r="H253" s="0" t="n">
        <v>0.9875</v>
      </c>
      <c r="I253" s="0" t="n">
        <v>0.9875</v>
      </c>
      <c r="J253" s="0" t="n">
        <v>0.9805</v>
      </c>
      <c r="K253" s="0" t="n">
        <v>0</v>
      </c>
      <c r="L253" s="176" t="n">
        <v>0.9875</v>
      </c>
      <c r="M253" s="176" t="n">
        <v>0.9875</v>
      </c>
      <c r="N253" s="0" t="n">
        <v>0.98</v>
      </c>
      <c r="O253" s="0" t="n">
        <v>0.9875</v>
      </c>
      <c r="P253" s="0" t="n">
        <v>0.98</v>
      </c>
      <c r="Q253" s="177" t="n">
        <v>0.9875</v>
      </c>
      <c r="R253" s="0" t="n">
        <v>0.9875</v>
      </c>
      <c r="S253" s="176" t="n">
        <v>0.9875</v>
      </c>
      <c r="T253" s="0" t="n">
        <v>0.98</v>
      </c>
      <c r="U253" s="0" t="n">
        <v>0.98</v>
      </c>
      <c r="V253" s="0" t="n">
        <v>0.98</v>
      </c>
      <c r="W253" s="0" t="n">
        <v>0.98</v>
      </c>
      <c r="X253" s="0" t="n">
        <v>0.9875</v>
      </c>
      <c r="Y253" s="0" t="n">
        <v>0.9875</v>
      </c>
      <c r="Z253" s="0" t="n">
        <v>0.9875</v>
      </c>
      <c r="AA253" s="0" t="n">
        <v>0.9875</v>
      </c>
      <c r="AB253" s="0" t="n">
        <v>0.98</v>
      </c>
      <c r="AC253" s="0" t="n">
        <v>0.98</v>
      </c>
      <c r="AD253" s="0" t="n">
        <v>0.9875</v>
      </c>
      <c r="AE253" s="0" t="n">
        <v>0.9875</v>
      </c>
      <c r="AF253" s="0" t="n">
        <v>0.98</v>
      </c>
      <c r="AG253" s="0" t="n">
        <v>0.99</v>
      </c>
      <c r="AH253" s="0" t="n">
        <v>0.985</v>
      </c>
      <c r="AI253" s="0" t="n">
        <v>0.985</v>
      </c>
      <c r="AJ253" s="0" t="n">
        <v>0.98</v>
      </c>
      <c r="AK253" s="0" t="n">
        <v>1</v>
      </c>
      <c r="AL253" s="0" t="n">
        <v>0</v>
      </c>
      <c r="AM253" s="0" t="n">
        <v>0</v>
      </c>
      <c r="BB253" s="187" t="n">
        <v>1</v>
      </c>
      <c r="BC253" s="0" t="n">
        <v>1</v>
      </c>
      <c r="BD253" s="0" t="n">
        <v>1</v>
      </c>
      <c r="BE253" s="0" t="n">
        <v>1</v>
      </c>
      <c r="BF253" s="0" t="n">
        <v>0.9999</v>
      </c>
      <c r="BG253" s="0" t="n">
        <v>1</v>
      </c>
      <c r="BH253" s="0" t="n">
        <v>1</v>
      </c>
      <c r="BI253" s="0" t="n">
        <v>0.99</v>
      </c>
      <c r="BJ253" s="0" t="n">
        <v>0.999</v>
      </c>
      <c r="BK253" s="0" t="n">
        <v>0.998</v>
      </c>
      <c r="BL253" s="0" t="n">
        <v>0.9985</v>
      </c>
      <c r="BM253" s="0" t="n">
        <v>0.9985</v>
      </c>
      <c r="BN253" s="0" t="n">
        <v>0.972</v>
      </c>
      <c r="BO253" s="0" t="n">
        <v>0.9999</v>
      </c>
      <c r="BP253" s="0" t="n">
        <v>0.9999</v>
      </c>
      <c r="BQ253" s="0" t="n">
        <v>1</v>
      </c>
      <c r="BR253" s="0" t="n">
        <v>1.1345426</v>
      </c>
      <c r="BS253" s="0" t="n">
        <v>1.1386</v>
      </c>
      <c r="BT253" s="0" t="n">
        <v>1.0827</v>
      </c>
      <c r="BU253" s="0" t="n">
        <v>1.0296</v>
      </c>
      <c r="BV253" s="0" t="n">
        <v>1</v>
      </c>
      <c r="BW253" s="0" t="n">
        <v>2.7366</v>
      </c>
      <c r="BX253" s="0" t="n">
        <v>2.348186333</v>
      </c>
      <c r="BY253" s="0" t="n">
        <v>1.19215</v>
      </c>
      <c r="BZ253" s="0" t="n">
        <v>1.2885</v>
      </c>
      <c r="CA253" s="0" t="n">
        <v>2.001</v>
      </c>
      <c r="CB253" s="0" t="n">
        <v>1.588505</v>
      </c>
      <c r="CC253" s="0" t="n">
        <v>1.588505</v>
      </c>
      <c r="CD253" s="0" t="n">
        <v>1.306605</v>
      </c>
      <c r="CE253" s="0" t="n">
        <v>1.11578</v>
      </c>
      <c r="CF253" s="0" t="n">
        <v>1.485005</v>
      </c>
      <c r="CG253" s="188"/>
      <c r="CH253" s="0" t="n">
        <v>1.107245</v>
      </c>
      <c r="CI253" s="188"/>
      <c r="CJ253" s="188"/>
      <c r="CK253" s="188"/>
      <c r="CL253" s="188"/>
      <c r="CM253" s="188"/>
      <c r="CN253" s="188"/>
      <c r="CO253" s="188"/>
      <c r="CP253" s="0" t="n">
        <v>0.975</v>
      </c>
      <c r="CV253" s="0" t="n">
        <v>0.55</v>
      </c>
      <c r="CW253" s="0" t="n">
        <v>0.925</v>
      </c>
      <c r="CX253" s="0" t="n">
        <v>0.735</v>
      </c>
      <c r="CZ253" s="0" t="n">
        <v>0.945</v>
      </c>
      <c r="DA253" s="0" t="n">
        <v>0.9775</v>
      </c>
      <c r="DB253" s="0" t="n">
        <v>0.945</v>
      </c>
      <c r="DC253" s="0" t="n">
        <v>0.92</v>
      </c>
      <c r="DD253" s="0" t="n">
        <v>0.915</v>
      </c>
      <c r="DE253" s="0" t="n">
        <v>0.89</v>
      </c>
      <c r="DN253" s="188" t="n">
        <v>0.000285</v>
      </c>
      <c r="DO253" s="188" t="n">
        <v>0.0002</v>
      </c>
      <c r="DP253" s="188" t="n">
        <v>0</v>
      </c>
      <c r="DQ253" s="188" t="n">
        <v>0.0001</v>
      </c>
      <c r="DR253" s="188" t="n">
        <v>0</v>
      </c>
      <c r="DS253" s="188" t="n">
        <v>0.0036</v>
      </c>
      <c r="DT253" s="188" t="n">
        <v>0.00047</v>
      </c>
      <c r="DU253" s="188" t="n">
        <v>0.0007</v>
      </c>
      <c r="DV253" s="188" t="n">
        <v>0</v>
      </c>
      <c r="DW253" s="188" t="n">
        <v>0</v>
      </c>
      <c r="DX253" s="188" t="n">
        <v>0.0005</v>
      </c>
      <c r="DY253" s="188" t="n">
        <v>0.0005</v>
      </c>
      <c r="DZ253" s="188" t="n">
        <v>0.0003</v>
      </c>
      <c r="EA253" s="188" t="n">
        <v>0.000275</v>
      </c>
      <c r="EB253" s="188" t="n">
        <v>0.0004</v>
      </c>
      <c r="ED253" s="188" t="n">
        <v>6.5E-005</v>
      </c>
      <c r="EF253" s="0" t="n">
        <v>1</v>
      </c>
    </row>
    <row r="254" customFormat="false" ht="12.75" hidden="false" customHeight="false" outlineLevel="0" collapsed="false">
      <c r="A254" s="149" t="n">
        <v>44105</v>
      </c>
      <c r="B254" s="0" t="n">
        <v>0.98</v>
      </c>
      <c r="C254" s="0" t="n">
        <v>0</v>
      </c>
      <c r="E254" s="0" t="n">
        <v>0</v>
      </c>
      <c r="F254" s="0" t="n">
        <v>0</v>
      </c>
      <c r="G254" s="0" t="n">
        <v>0</v>
      </c>
      <c r="H254" s="0" t="n">
        <v>0.9875</v>
      </c>
      <c r="I254" s="0" t="n">
        <v>0.9875</v>
      </c>
      <c r="J254" s="0" t="n">
        <v>0.9805</v>
      </c>
      <c r="K254" s="0" t="n">
        <v>0</v>
      </c>
      <c r="L254" s="176" t="n">
        <v>0.9875</v>
      </c>
      <c r="M254" s="176" t="n">
        <v>0.9875</v>
      </c>
      <c r="N254" s="0" t="n">
        <v>0.98</v>
      </c>
      <c r="O254" s="0" t="n">
        <v>0.9875</v>
      </c>
      <c r="P254" s="0" t="n">
        <v>0.98</v>
      </c>
      <c r="Q254" s="177" t="n">
        <v>0.9875</v>
      </c>
      <c r="R254" s="0" t="n">
        <v>0.9875</v>
      </c>
      <c r="S254" s="176" t="n">
        <v>0.9875</v>
      </c>
      <c r="T254" s="0" t="n">
        <v>0.98</v>
      </c>
      <c r="U254" s="0" t="n">
        <v>0.98</v>
      </c>
      <c r="V254" s="0" t="n">
        <v>0.98</v>
      </c>
      <c r="W254" s="0" t="n">
        <v>0.98</v>
      </c>
      <c r="X254" s="0" t="n">
        <v>0.9875</v>
      </c>
      <c r="Y254" s="0" t="n">
        <v>0.9875</v>
      </c>
      <c r="Z254" s="0" t="n">
        <v>0.9875</v>
      </c>
      <c r="AA254" s="0" t="n">
        <v>0.9875</v>
      </c>
      <c r="AB254" s="0" t="n">
        <v>0.98</v>
      </c>
      <c r="AC254" s="0" t="n">
        <v>0.98</v>
      </c>
      <c r="AD254" s="0" t="n">
        <v>0.9875</v>
      </c>
      <c r="AE254" s="0" t="n">
        <v>0.9875</v>
      </c>
      <c r="AF254" s="0" t="n">
        <v>0.98</v>
      </c>
      <c r="AG254" s="0" t="n">
        <v>0.99</v>
      </c>
      <c r="AH254" s="0" t="n">
        <v>0.985</v>
      </c>
      <c r="AI254" s="0" t="n">
        <v>0.985</v>
      </c>
      <c r="AJ254" s="0" t="n">
        <v>0.98</v>
      </c>
      <c r="AK254" s="0" t="n">
        <v>1</v>
      </c>
      <c r="AL254" s="0" t="n">
        <v>0</v>
      </c>
      <c r="AM254" s="0" t="n">
        <v>0</v>
      </c>
      <c r="BB254" s="187" t="n">
        <v>1</v>
      </c>
      <c r="BC254" s="0" t="n">
        <v>1</v>
      </c>
      <c r="BD254" s="0" t="n">
        <v>1</v>
      </c>
      <c r="BE254" s="0" t="n">
        <v>1</v>
      </c>
      <c r="BF254" s="0" t="n">
        <v>0.9999</v>
      </c>
      <c r="BG254" s="0" t="n">
        <v>1</v>
      </c>
      <c r="BH254" s="0" t="n">
        <v>1</v>
      </c>
      <c r="BI254" s="0" t="n">
        <v>0.99</v>
      </c>
      <c r="BJ254" s="0" t="n">
        <v>0.999</v>
      </c>
      <c r="BK254" s="0" t="n">
        <v>0.998</v>
      </c>
      <c r="BL254" s="0" t="n">
        <v>0.9985</v>
      </c>
      <c r="BM254" s="0" t="n">
        <v>0.9985</v>
      </c>
      <c r="BN254" s="0" t="n">
        <v>0.972</v>
      </c>
      <c r="BO254" s="0" t="n">
        <v>0.9999</v>
      </c>
      <c r="BP254" s="0" t="n">
        <v>0.9999</v>
      </c>
      <c r="BQ254" s="0" t="n">
        <v>1</v>
      </c>
      <c r="BR254" s="0" t="n">
        <v>1.1348276</v>
      </c>
      <c r="BS254" s="0" t="n">
        <v>1.1388</v>
      </c>
      <c r="BT254" s="0" t="n">
        <v>1.0827</v>
      </c>
      <c r="BU254" s="0" t="n">
        <v>1.0297</v>
      </c>
      <c r="BV254" s="0" t="n">
        <v>1</v>
      </c>
      <c r="BW254" s="0" t="n">
        <v>2.7402</v>
      </c>
      <c r="BX254" s="0" t="n">
        <v>2.348656333</v>
      </c>
      <c r="BY254" s="0" t="n">
        <v>1.19285</v>
      </c>
      <c r="BZ254" s="0" t="n">
        <v>1.2885</v>
      </c>
      <c r="CA254" s="0" t="n">
        <v>2.001</v>
      </c>
      <c r="CB254" s="0" t="n">
        <v>1.589005</v>
      </c>
      <c r="CC254" s="0" t="n">
        <v>1.589005</v>
      </c>
      <c r="CD254" s="0" t="n">
        <v>1.306905</v>
      </c>
      <c r="CE254" s="0" t="n">
        <v>1.116055</v>
      </c>
      <c r="CF254" s="0" t="n">
        <v>1.485405</v>
      </c>
      <c r="CG254" s="188"/>
      <c r="CH254" s="0" t="n">
        <v>1.10731</v>
      </c>
      <c r="CI254" s="188"/>
      <c r="CJ254" s="188"/>
      <c r="CK254" s="188"/>
      <c r="CL254" s="188"/>
      <c r="CM254" s="188"/>
      <c r="CN254" s="188"/>
      <c r="CO254" s="188"/>
      <c r="CP254" s="0" t="n">
        <v>0.955</v>
      </c>
      <c r="CV254" s="0" t="n">
        <v>0.45</v>
      </c>
      <c r="CW254" s="0" t="n">
        <v>0.925</v>
      </c>
      <c r="CX254" s="0" t="n">
        <v>0.725</v>
      </c>
      <c r="CZ254" s="0" t="n">
        <v>0.805</v>
      </c>
      <c r="DA254" s="0" t="n">
        <v>0.8375</v>
      </c>
      <c r="DB254" s="0" t="n">
        <v>0.875</v>
      </c>
      <c r="DC254" s="0" t="n">
        <v>0.9025</v>
      </c>
      <c r="DD254" s="0" t="n">
        <v>0.82</v>
      </c>
      <c r="DE254" s="0" t="n">
        <v>0.89</v>
      </c>
      <c r="DN254" s="188" t="n">
        <v>0.000285</v>
      </c>
      <c r="DO254" s="188" t="n">
        <v>0.0002</v>
      </c>
      <c r="DP254" s="188" t="n">
        <v>0</v>
      </c>
      <c r="DQ254" s="188" t="n">
        <v>0.0001</v>
      </c>
      <c r="DR254" s="188" t="n">
        <v>0</v>
      </c>
      <c r="DS254" s="188" t="n">
        <v>0.0036</v>
      </c>
      <c r="DT254" s="188" t="n">
        <v>0.00047</v>
      </c>
      <c r="DU254" s="188" t="n">
        <v>0.0007</v>
      </c>
      <c r="DV254" s="188" t="n">
        <v>0</v>
      </c>
      <c r="DW254" s="188" t="n">
        <v>0</v>
      </c>
      <c r="DX254" s="188" t="n">
        <v>0.0005</v>
      </c>
      <c r="DY254" s="188" t="n">
        <v>0.0005</v>
      </c>
      <c r="DZ254" s="188" t="n">
        <v>0.0003</v>
      </c>
      <c r="EA254" s="188" t="n">
        <v>0.000275</v>
      </c>
      <c r="EB254" s="188" t="n">
        <v>0.0004</v>
      </c>
      <c r="ED254" s="188" t="n">
        <v>6.5E-005</v>
      </c>
      <c r="EF254" s="0" t="n">
        <v>1</v>
      </c>
    </row>
    <row r="255" customFormat="false" ht="12.75" hidden="false" customHeight="false" outlineLevel="0" collapsed="false">
      <c r="A255" s="149" t="n">
        <v>44136</v>
      </c>
      <c r="B255" s="0" t="n">
        <v>0.98</v>
      </c>
      <c r="C255" s="0" t="n">
        <v>0</v>
      </c>
      <c r="E255" s="0" t="n">
        <v>0</v>
      </c>
      <c r="F255" s="0" t="n">
        <v>0</v>
      </c>
      <c r="G255" s="0" t="n">
        <v>0</v>
      </c>
      <c r="H255" s="0" t="n">
        <v>0.9875</v>
      </c>
      <c r="I255" s="0" t="n">
        <v>0.9875</v>
      </c>
      <c r="J255" s="0" t="n">
        <v>0.9805</v>
      </c>
      <c r="K255" s="0" t="n">
        <v>0</v>
      </c>
      <c r="L255" s="176" t="n">
        <v>0.9875</v>
      </c>
      <c r="M255" s="176" t="n">
        <v>0.9875</v>
      </c>
      <c r="N255" s="0" t="n">
        <v>0.98</v>
      </c>
      <c r="O255" s="0" t="n">
        <v>0.9875</v>
      </c>
      <c r="P255" s="0" t="n">
        <v>0.98</v>
      </c>
      <c r="Q255" s="177" t="n">
        <v>0.9875</v>
      </c>
      <c r="R255" s="0" t="n">
        <v>0.9875</v>
      </c>
      <c r="S255" s="176" t="n">
        <v>0.9875</v>
      </c>
      <c r="T255" s="0" t="n">
        <v>0.98</v>
      </c>
      <c r="U255" s="0" t="n">
        <v>0.98</v>
      </c>
      <c r="V255" s="0" t="n">
        <v>0.98</v>
      </c>
      <c r="W255" s="0" t="n">
        <v>0.98</v>
      </c>
      <c r="X255" s="0" t="n">
        <v>0.9875</v>
      </c>
      <c r="Y255" s="0" t="n">
        <v>0.9875</v>
      </c>
      <c r="Z255" s="0" t="n">
        <v>0.9875</v>
      </c>
      <c r="AA255" s="0" t="n">
        <v>0.9875</v>
      </c>
      <c r="AB255" s="0" t="n">
        <v>0.98</v>
      </c>
      <c r="AC255" s="0" t="n">
        <v>0.98</v>
      </c>
      <c r="AD255" s="0" t="n">
        <v>0.9875</v>
      </c>
      <c r="AE255" s="0" t="n">
        <v>0.9875</v>
      </c>
      <c r="AF255" s="0" t="n">
        <v>0.98</v>
      </c>
      <c r="AG255" s="0" t="n">
        <v>0.99</v>
      </c>
      <c r="AH255" s="0" t="n">
        <v>0.985</v>
      </c>
      <c r="AI255" s="0" t="n">
        <v>0.985</v>
      </c>
      <c r="AJ255" s="0" t="n">
        <v>0.98</v>
      </c>
      <c r="AK255" s="0" t="n">
        <v>1</v>
      </c>
      <c r="AL255" s="0" t="n">
        <v>0</v>
      </c>
      <c r="AM255" s="0" t="n">
        <v>0</v>
      </c>
      <c r="BB255" s="187" t="n">
        <v>1</v>
      </c>
      <c r="BC255" s="0" t="n">
        <v>1</v>
      </c>
      <c r="BD255" s="0" t="n">
        <v>1</v>
      </c>
      <c r="BE255" s="0" t="n">
        <v>1</v>
      </c>
      <c r="BF255" s="0" t="n">
        <v>0.9999</v>
      </c>
      <c r="BG255" s="0" t="n">
        <v>1</v>
      </c>
      <c r="BH255" s="0" t="n">
        <v>1</v>
      </c>
      <c r="BI255" s="0" t="n">
        <v>0.99</v>
      </c>
      <c r="BJ255" s="0" t="n">
        <v>0.999</v>
      </c>
      <c r="BK255" s="0" t="n">
        <v>0.998</v>
      </c>
      <c r="BL255" s="0" t="n">
        <v>0.9985</v>
      </c>
      <c r="BM255" s="0" t="n">
        <v>0.9985</v>
      </c>
      <c r="BN255" s="0" t="n">
        <v>0.972</v>
      </c>
      <c r="BO255" s="0" t="n">
        <v>0.9999</v>
      </c>
      <c r="BP255" s="0" t="n">
        <v>0.9999</v>
      </c>
      <c r="BQ255" s="0" t="n">
        <v>1</v>
      </c>
      <c r="BR255" s="0" t="n">
        <v>1.1351126</v>
      </c>
      <c r="BS255" s="0" t="n">
        <v>1.139</v>
      </c>
      <c r="BT255" s="0" t="n">
        <v>1.0827</v>
      </c>
      <c r="BU255" s="0" t="n">
        <v>1.0298</v>
      </c>
      <c r="BV255" s="0" t="n">
        <v>1</v>
      </c>
      <c r="BW255" s="0" t="n">
        <v>2.7438</v>
      </c>
      <c r="BX255" s="0" t="n">
        <v>2.349126333</v>
      </c>
      <c r="BY255" s="0" t="n">
        <v>1.19355</v>
      </c>
      <c r="BZ255" s="0" t="n">
        <v>1.2885</v>
      </c>
      <c r="CA255" s="0" t="n">
        <v>2.001</v>
      </c>
      <c r="CB255" s="0" t="n">
        <v>1.589505</v>
      </c>
      <c r="CC255" s="0" t="n">
        <v>1.589505</v>
      </c>
      <c r="CD255" s="0" t="n">
        <v>1.307205</v>
      </c>
      <c r="CE255" s="0" t="n">
        <v>1.11633</v>
      </c>
      <c r="CF255" s="0" t="n">
        <v>1.485805</v>
      </c>
      <c r="CG255" s="188"/>
      <c r="CH255" s="0" t="n">
        <v>1.107375</v>
      </c>
      <c r="CI255" s="188"/>
      <c r="CJ255" s="188"/>
      <c r="CK255" s="188"/>
      <c r="CL255" s="188"/>
      <c r="CM255" s="188"/>
      <c r="CN255" s="188"/>
      <c r="CO255" s="188"/>
      <c r="CP255" s="0" t="n">
        <v>0.955</v>
      </c>
      <c r="CV255" s="0" t="n">
        <v>0.46</v>
      </c>
      <c r="CW255" s="0" t="n">
        <v>0.905</v>
      </c>
      <c r="CX255" s="0" t="n">
        <v>0.685</v>
      </c>
      <c r="CZ255" s="0" t="n">
        <v>0.795</v>
      </c>
      <c r="DA255" s="0" t="n">
        <v>0.8275</v>
      </c>
      <c r="DB255" s="0" t="n">
        <v>0.85</v>
      </c>
      <c r="DC255" s="0" t="n">
        <v>0.9025</v>
      </c>
      <c r="DD255" s="0" t="n">
        <v>0.82</v>
      </c>
      <c r="DE255" s="0" t="n">
        <v>0.89</v>
      </c>
      <c r="DN255" s="188" t="n">
        <v>0.000285</v>
      </c>
      <c r="DO255" s="188" t="n">
        <v>0.0002</v>
      </c>
      <c r="DP255" s="188" t="n">
        <v>0</v>
      </c>
      <c r="DQ255" s="188" t="n">
        <v>0.0001</v>
      </c>
      <c r="DR255" s="188" t="n">
        <v>0</v>
      </c>
      <c r="DS255" s="188" t="n">
        <v>0.0036</v>
      </c>
      <c r="DT255" s="188" t="n">
        <v>0.00047</v>
      </c>
      <c r="DU255" s="188" t="n">
        <v>0.0007</v>
      </c>
      <c r="DV255" s="188" t="n">
        <v>0</v>
      </c>
      <c r="DW255" s="188" t="n">
        <v>0</v>
      </c>
      <c r="DX255" s="188" t="n">
        <v>0.0005</v>
      </c>
      <c r="DY255" s="188" t="n">
        <v>0.0005</v>
      </c>
      <c r="DZ255" s="188" t="n">
        <v>0.0003</v>
      </c>
      <c r="EA255" s="188" t="n">
        <v>0.000275</v>
      </c>
      <c r="EB255" s="188" t="n">
        <v>0.0004</v>
      </c>
      <c r="ED255" s="188" t="n">
        <v>6.5E-005</v>
      </c>
      <c r="EF255" s="0" t="n">
        <v>1</v>
      </c>
    </row>
    <row r="256" customFormat="false" ht="12.75" hidden="false" customHeight="false" outlineLevel="0" collapsed="false">
      <c r="A256" s="149" t="n">
        <v>44166</v>
      </c>
      <c r="B256" s="0" t="n">
        <v>0.98</v>
      </c>
      <c r="C256" s="0" t="n">
        <v>0</v>
      </c>
      <c r="E256" s="0" t="n">
        <v>0</v>
      </c>
      <c r="F256" s="0" t="n">
        <v>0</v>
      </c>
      <c r="G256" s="0" t="n">
        <v>0</v>
      </c>
      <c r="H256" s="0" t="n">
        <v>0.9875</v>
      </c>
      <c r="I256" s="0" t="n">
        <v>0.9875</v>
      </c>
      <c r="J256" s="0" t="n">
        <v>0.9805</v>
      </c>
      <c r="K256" s="0" t="n">
        <v>0</v>
      </c>
      <c r="L256" s="176" t="n">
        <v>0.93810295</v>
      </c>
      <c r="M256" s="176" t="n">
        <v>0.9875</v>
      </c>
      <c r="N256" s="0" t="n">
        <v>0.90217845</v>
      </c>
      <c r="O256" s="0" t="n">
        <v>0.9875</v>
      </c>
      <c r="P256" s="0" t="n">
        <v>0.90217845</v>
      </c>
      <c r="Q256" s="177" t="n">
        <v>0.93810295</v>
      </c>
      <c r="R256" s="0" t="n">
        <v>0.93810295</v>
      </c>
      <c r="S256" s="176" t="n">
        <v>0.93810295</v>
      </c>
      <c r="T256" s="0" t="n">
        <v>0.90217845</v>
      </c>
      <c r="U256" s="0" t="n">
        <v>0.90217845</v>
      </c>
      <c r="V256" s="0" t="n">
        <v>0.90217845</v>
      </c>
      <c r="W256" s="0" t="n">
        <v>0.90217845</v>
      </c>
      <c r="X256" s="0" t="n">
        <v>0.9875</v>
      </c>
      <c r="Y256" s="0" t="n">
        <v>0.9875</v>
      </c>
      <c r="Z256" s="0" t="n">
        <v>0.9875</v>
      </c>
      <c r="AA256" s="0" t="n">
        <v>0.9875</v>
      </c>
      <c r="AB256" s="0" t="n">
        <v>0.90217845</v>
      </c>
      <c r="AC256" s="0" t="n">
        <v>0.90217845</v>
      </c>
      <c r="AD256" s="0" t="n">
        <v>0.9875</v>
      </c>
      <c r="AE256" s="0" t="n">
        <v>0.9875</v>
      </c>
      <c r="AF256" s="0" t="n">
        <v>0.90217845</v>
      </c>
      <c r="AG256" s="0" t="n">
        <v>0.98</v>
      </c>
      <c r="AH256" s="0" t="n">
        <v>0.985</v>
      </c>
      <c r="AI256" s="0" t="n">
        <v>0.985</v>
      </c>
      <c r="AJ256" s="0" t="n">
        <v>0.90217845</v>
      </c>
      <c r="AK256" s="0" t="n">
        <v>1</v>
      </c>
      <c r="AL256" s="0" t="n">
        <v>0</v>
      </c>
      <c r="AM256" s="0" t="n">
        <v>0</v>
      </c>
      <c r="BB256" s="187" t="n">
        <v>1</v>
      </c>
      <c r="BC256" s="0" t="n">
        <v>1</v>
      </c>
      <c r="BD256" s="0" t="n">
        <v>1</v>
      </c>
      <c r="BE256" s="0" t="n">
        <v>1</v>
      </c>
      <c r="BF256" s="0" t="n">
        <v>0.9999</v>
      </c>
      <c r="BG256" s="0" t="n">
        <v>1</v>
      </c>
      <c r="BH256" s="0" t="n">
        <v>1</v>
      </c>
      <c r="BI256" s="0" t="n">
        <v>0.99</v>
      </c>
      <c r="BJ256" s="0" t="n">
        <v>0.999</v>
      </c>
      <c r="BK256" s="0" t="n">
        <v>0.998</v>
      </c>
      <c r="BL256" s="0" t="n">
        <v>0.9985</v>
      </c>
      <c r="BM256" s="0" t="n">
        <v>0.9985</v>
      </c>
      <c r="BN256" s="0" t="n">
        <v>0.972</v>
      </c>
      <c r="BO256" s="0" t="n">
        <v>0.9999</v>
      </c>
      <c r="BP256" s="0" t="n">
        <v>0.9999</v>
      </c>
      <c r="BQ256" s="0" t="n">
        <v>1</v>
      </c>
      <c r="BR256" s="0" t="n">
        <v>1.1353976</v>
      </c>
      <c r="BS256" s="0" t="n">
        <v>1.1392</v>
      </c>
      <c r="BT256" s="0" t="n">
        <v>1.0827</v>
      </c>
      <c r="BU256" s="0" t="n">
        <v>1.0299</v>
      </c>
      <c r="BV256" s="0" t="n">
        <v>1</v>
      </c>
      <c r="BW256" s="0" t="n">
        <v>2.7474</v>
      </c>
      <c r="BX256" s="0" t="n">
        <v>2.349596333</v>
      </c>
      <c r="BY256" s="0" t="n">
        <v>1.19425</v>
      </c>
      <c r="BZ256" s="0" t="n">
        <v>1.2885</v>
      </c>
      <c r="CA256" s="0" t="n">
        <v>2.001</v>
      </c>
      <c r="CB256" s="0" t="n">
        <v>1.590005</v>
      </c>
      <c r="CC256" s="0" t="n">
        <v>1.590005</v>
      </c>
      <c r="CD256" s="0" t="n">
        <v>1.307505</v>
      </c>
      <c r="CE256" s="0" t="n">
        <v>1.116605</v>
      </c>
      <c r="CF256" s="0" t="n">
        <v>1.486205</v>
      </c>
      <c r="CG256" s="188"/>
      <c r="CH256" s="0" t="n">
        <v>1.10744</v>
      </c>
      <c r="CI256" s="188"/>
      <c r="CJ256" s="188"/>
      <c r="CK256" s="188"/>
      <c r="CL256" s="188"/>
      <c r="CM256" s="188"/>
      <c r="CN256" s="188"/>
      <c r="CO256" s="188"/>
      <c r="CP256" s="0" t="n">
        <v>0.935</v>
      </c>
      <c r="CV256" s="0" t="n">
        <v>0.48</v>
      </c>
      <c r="CW256" s="0" t="n">
        <v>0.875</v>
      </c>
      <c r="CX256" s="0" t="n">
        <v>0.69</v>
      </c>
      <c r="CZ256" s="0" t="n">
        <v>0.59</v>
      </c>
      <c r="DA256" s="0" t="n">
        <v>0.6225</v>
      </c>
      <c r="DB256" s="0" t="n">
        <v>0.69</v>
      </c>
      <c r="DC256" s="0" t="n">
        <v>0.8925</v>
      </c>
      <c r="DD256" s="0" t="n">
        <v>0.715</v>
      </c>
      <c r="DE256" s="0" t="n">
        <v>0.89</v>
      </c>
      <c r="DN256" s="188" t="n">
        <v>0.000285</v>
      </c>
      <c r="DO256" s="188" t="n">
        <v>0.0002</v>
      </c>
      <c r="DP256" s="188" t="n">
        <v>0</v>
      </c>
      <c r="DQ256" s="188" t="n">
        <v>0.0001</v>
      </c>
      <c r="DR256" s="188" t="n">
        <v>0</v>
      </c>
      <c r="DS256" s="188" t="n">
        <v>0.0036</v>
      </c>
      <c r="DT256" s="188" t="n">
        <v>0.00047</v>
      </c>
      <c r="DU256" s="188" t="n">
        <v>0.0007</v>
      </c>
      <c r="DV256" s="188" t="n">
        <v>0</v>
      </c>
      <c r="DW256" s="188" t="n">
        <v>0</v>
      </c>
      <c r="DX256" s="188" t="n">
        <v>0.0005</v>
      </c>
      <c r="DY256" s="188" t="n">
        <v>0.0005</v>
      </c>
      <c r="DZ256" s="188" t="n">
        <v>0.0003</v>
      </c>
      <c r="EA256" s="188" t="n">
        <v>0.000275</v>
      </c>
      <c r="EB256" s="188" t="n">
        <v>0.0004</v>
      </c>
      <c r="ED256" s="188" t="n">
        <v>6.5E-005</v>
      </c>
      <c r="EF256" s="0" t="n">
        <v>1</v>
      </c>
    </row>
    <row r="257" customFormat="false" ht="12.75" hidden="false" customHeight="false" outlineLevel="0" collapsed="false">
      <c r="A257" s="149" t="n">
        <v>44197</v>
      </c>
      <c r="B257" s="0" t="n">
        <v>0.98</v>
      </c>
      <c r="C257" s="0" t="n">
        <v>0</v>
      </c>
      <c r="E257" s="0" t="n">
        <v>0</v>
      </c>
      <c r="F257" s="0" t="n">
        <v>0</v>
      </c>
      <c r="G257" s="0" t="n">
        <v>0</v>
      </c>
      <c r="H257" s="0" t="n">
        <v>0.9875</v>
      </c>
      <c r="I257" s="0" t="n">
        <v>0.96193475</v>
      </c>
      <c r="J257" s="0" t="n">
        <v>0.9805</v>
      </c>
      <c r="K257" s="0" t="n">
        <v>0</v>
      </c>
      <c r="L257" s="176" t="n">
        <v>0.962255525</v>
      </c>
      <c r="M257" s="176" t="n">
        <v>0.9875</v>
      </c>
      <c r="N257" s="0" t="n">
        <v>0.90238545</v>
      </c>
      <c r="O257" s="0" t="n">
        <v>0.9828544</v>
      </c>
      <c r="P257" s="0" t="n">
        <v>0.90238545</v>
      </c>
      <c r="Q257" s="177" t="n">
        <v>0.962255525</v>
      </c>
      <c r="R257" s="0" t="n">
        <v>0.962255525</v>
      </c>
      <c r="S257" s="176" t="n">
        <v>0.962255525</v>
      </c>
      <c r="T257" s="0" t="n">
        <v>0.90238545</v>
      </c>
      <c r="U257" s="0" t="n">
        <v>0.90238545</v>
      </c>
      <c r="V257" s="0" t="n">
        <v>0.90238545</v>
      </c>
      <c r="W257" s="0" t="n">
        <v>0.90238545</v>
      </c>
      <c r="X257" s="0" t="n">
        <v>0.9828544</v>
      </c>
      <c r="Y257" s="0" t="n">
        <v>0.9828544</v>
      </c>
      <c r="Z257" s="0" t="n">
        <v>0.9828544</v>
      </c>
      <c r="AA257" s="0" t="n">
        <v>0.9828544</v>
      </c>
      <c r="AB257" s="0" t="n">
        <v>0.90238545</v>
      </c>
      <c r="AC257" s="0" t="n">
        <v>0.90238545</v>
      </c>
      <c r="AD257" s="0" t="n">
        <v>0.9828544</v>
      </c>
      <c r="AE257" s="0" t="n">
        <v>0.9828544</v>
      </c>
      <c r="AF257" s="0" t="n">
        <v>0.90238545</v>
      </c>
      <c r="AG257" s="0" t="n">
        <v>0.98</v>
      </c>
      <c r="AH257" s="0" t="n">
        <v>0.985</v>
      </c>
      <c r="AI257" s="0" t="n">
        <v>0.985</v>
      </c>
      <c r="AJ257" s="0" t="n">
        <v>0.90238545</v>
      </c>
      <c r="AK257" s="0" t="n">
        <v>1</v>
      </c>
      <c r="AL257" s="0" t="n">
        <v>0</v>
      </c>
      <c r="AM257" s="0" t="n">
        <v>0</v>
      </c>
      <c r="BB257" s="187" t="n">
        <v>1</v>
      </c>
      <c r="BC257" s="0" t="n">
        <v>1</v>
      </c>
      <c r="BD257" s="0" t="n">
        <v>1</v>
      </c>
      <c r="BE257" s="0" t="n">
        <v>1</v>
      </c>
      <c r="BF257" s="0" t="n">
        <v>0.9999</v>
      </c>
      <c r="BG257" s="0" t="n">
        <v>1</v>
      </c>
      <c r="BH257" s="0" t="n">
        <v>1</v>
      </c>
      <c r="BI257" s="0" t="n">
        <v>0.99</v>
      </c>
      <c r="BJ257" s="0" t="n">
        <v>0.999</v>
      </c>
      <c r="BK257" s="0" t="n">
        <v>0.998</v>
      </c>
      <c r="BL257" s="0" t="n">
        <v>0.9985</v>
      </c>
      <c r="BM257" s="0" t="n">
        <v>0.9985</v>
      </c>
      <c r="BN257" s="0" t="n">
        <v>0.972</v>
      </c>
      <c r="BO257" s="0" t="n">
        <v>0.9999</v>
      </c>
      <c r="BP257" s="0" t="n">
        <v>0.9999</v>
      </c>
      <c r="BQ257" s="0" t="n">
        <v>1</v>
      </c>
      <c r="BR257" s="0" t="n">
        <v>1.1356826</v>
      </c>
      <c r="BS257" s="0" t="n">
        <v>1.1394</v>
      </c>
      <c r="BT257" s="0" t="n">
        <v>1.0827</v>
      </c>
      <c r="BU257" s="0" t="n">
        <v>1.03</v>
      </c>
      <c r="BV257" s="0" t="n">
        <v>1</v>
      </c>
      <c r="BW257" s="0" t="n">
        <v>2.751</v>
      </c>
      <c r="BX257" s="0" t="n">
        <v>2.350066333</v>
      </c>
      <c r="BY257" s="0" t="n">
        <v>1.19495</v>
      </c>
      <c r="BZ257" s="0" t="n">
        <v>1.2885</v>
      </c>
      <c r="CA257" s="0" t="n">
        <v>2.001</v>
      </c>
      <c r="CB257" s="0" t="n">
        <v>1.590505</v>
      </c>
      <c r="CC257" s="0" t="n">
        <v>1.590505</v>
      </c>
      <c r="CD257" s="0" t="n">
        <v>1.307805</v>
      </c>
      <c r="CE257" s="0" t="n">
        <v>1.11688</v>
      </c>
      <c r="CF257" s="0" t="n">
        <v>1.486605</v>
      </c>
      <c r="CG257" s="188"/>
      <c r="CH257" s="0" t="n">
        <v>1.107505</v>
      </c>
      <c r="CI257" s="188"/>
      <c r="CJ257" s="188"/>
      <c r="CK257" s="188"/>
      <c r="CL257" s="188"/>
      <c r="CM257" s="188"/>
      <c r="CN257" s="188"/>
      <c r="CO257" s="188"/>
      <c r="CP257" s="0" t="n">
        <v>0.895</v>
      </c>
      <c r="CV257" s="0" t="n">
        <v>0.45</v>
      </c>
      <c r="CW257" s="0" t="n">
        <v>0.805</v>
      </c>
      <c r="CX257" s="0" t="n">
        <v>0.7</v>
      </c>
      <c r="CZ257" s="0" t="n">
        <v>0.605</v>
      </c>
      <c r="DA257" s="0" t="n">
        <v>0.6375</v>
      </c>
      <c r="DB257" s="0" t="n">
        <v>0.69</v>
      </c>
      <c r="DC257" s="0" t="n">
        <v>0.88</v>
      </c>
      <c r="DD257" s="0" t="n">
        <v>0.64</v>
      </c>
      <c r="DE257" s="0" t="n">
        <v>0.89</v>
      </c>
      <c r="DN257" s="188" t="n">
        <v>0.000285</v>
      </c>
      <c r="DO257" s="188" t="n">
        <v>0.0002</v>
      </c>
      <c r="DP257" s="188" t="n">
        <v>0</v>
      </c>
      <c r="DQ257" s="188" t="n">
        <v>0.0001</v>
      </c>
      <c r="DR257" s="188" t="n">
        <v>0</v>
      </c>
      <c r="DS257" s="188" t="n">
        <v>0.0036</v>
      </c>
      <c r="DT257" s="188" t="n">
        <v>0.00047</v>
      </c>
      <c r="DU257" s="188" t="n">
        <v>0.0007</v>
      </c>
      <c r="DV257" s="188" t="n">
        <v>0</v>
      </c>
      <c r="DW257" s="188" t="n">
        <v>0</v>
      </c>
      <c r="DX257" s="188" t="n">
        <v>0.0005</v>
      </c>
      <c r="DY257" s="188" t="n">
        <v>0.0005</v>
      </c>
      <c r="DZ257" s="188" t="n">
        <v>0.0003</v>
      </c>
      <c r="EA257" s="188" t="n">
        <v>0.000275</v>
      </c>
      <c r="EB257" s="188" t="n">
        <v>0.0004</v>
      </c>
      <c r="ED257" s="188" t="n">
        <v>6.5E-005</v>
      </c>
      <c r="EF257" s="0" t="n">
        <v>1</v>
      </c>
    </row>
    <row r="258" customFormat="false" ht="12.75" hidden="false" customHeight="false" outlineLevel="0" collapsed="false">
      <c r="A258" s="149" t="n">
        <v>44228</v>
      </c>
      <c r="B258" s="0" t="n">
        <v>0.98</v>
      </c>
      <c r="C258" s="0" t="n">
        <v>0</v>
      </c>
      <c r="E258" s="0" t="n">
        <v>0</v>
      </c>
      <c r="F258" s="0" t="n">
        <v>0</v>
      </c>
      <c r="G258" s="0" t="n">
        <v>0</v>
      </c>
      <c r="H258" s="0" t="n">
        <v>0.9875</v>
      </c>
      <c r="I258" s="0" t="n">
        <v>0.9875</v>
      </c>
      <c r="J258" s="0" t="n">
        <v>0.9805</v>
      </c>
      <c r="K258" s="0" t="n">
        <v>0</v>
      </c>
      <c r="L258" s="176" t="n">
        <v>0.9875</v>
      </c>
      <c r="M258" s="176" t="n">
        <v>0.9875</v>
      </c>
      <c r="N258" s="0" t="n">
        <v>0.92875455</v>
      </c>
      <c r="O258" s="0" t="n">
        <v>0.980303513</v>
      </c>
      <c r="P258" s="0" t="n">
        <v>0.92875455</v>
      </c>
      <c r="Q258" s="177" t="n">
        <v>0.9875</v>
      </c>
      <c r="R258" s="0" t="n">
        <v>0.9875</v>
      </c>
      <c r="S258" s="176" t="n">
        <v>0.9875</v>
      </c>
      <c r="T258" s="0" t="n">
        <v>0.92875455</v>
      </c>
      <c r="U258" s="0" t="n">
        <v>0.92875455</v>
      </c>
      <c r="V258" s="0" t="n">
        <v>0.92875455</v>
      </c>
      <c r="W258" s="0" t="n">
        <v>0.92875455</v>
      </c>
      <c r="X258" s="0" t="n">
        <v>0.980303513</v>
      </c>
      <c r="Y258" s="0" t="n">
        <v>0.980303513</v>
      </c>
      <c r="Z258" s="0" t="n">
        <v>0.980303513</v>
      </c>
      <c r="AA258" s="0" t="n">
        <v>0.980303513</v>
      </c>
      <c r="AB258" s="0" t="n">
        <v>0.92875455</v>
      </c>
      <c r="AC258" s="0" t="n">
        <v>0.92875455</v>
      </c>
      <c r="AD258" s="0" t="n">
        <v>0.980303513</v>
      </c>
      <c r="AE258" s="0" t="n">
        <v>0.980303513</v>
      </c>
      <c r="AF258" s="0" t="n">
        <v>0.92875455</v>
      </c>
      <c r="AG258" s="0" t="n">
        <v>0.98</v>
      </c>
      <c r="AH258" s="0" t="n">
        <v>0.985</v>
      </c>
      <c r="AI258" s="0" t="n">
        <v>0.985</v>
      </c>
      <c r="AJ258" s="0" t="n">
        <v>0.92875455</v>
      </c>
      <c r="AK258" s="0" t="n">
        <v>1</v>
      </c>
      <c r="AL258" s="0" t="n">
        <v>0</v>
      </c>
      <c r="AM258" s="0" t="n">
        <v>0</v>
      </c>
      <c r="BB258" s="187" t="n">
        <v>1</v>
      </c>
      <c r="BC258" s="0" t="n">
        <v>1</v>
      </c>
      <c r="BD258" s="0" t="n">
        <v>1</v>
      </c>
      <c r="BE258" s="0" t="n">
        <v>1</v>
      </c>
      <c r="BF258" s="0" t="n">
        <v>0.9999</v>
      </c>
      <c r="BG258" s="0" t="n">
        <v>1</v>
      </c>
      <c r="BH258" s="0" t="n">
        <v>1</v>
      </c>
      <c r="BI258" s="0" t="n">
        <v>0.99</v>
      </c>
      <c r="BJ258" s="0" t="n">
        <v>0.999</v>
      </c>
      <c r="BK258" s="0" t="n">
        <v>0.998</v>
      </c>
      <c r="BL258" s="0" t="n">
        <v>0.9985</v>
      </c>
      <c r="BM258" s="0" t="n">
        <v>0.9985</v>
      </c>
      <c r="BN258" s="0" t="n">
        <v>0.972</v>
      </c>
      <c r="BO258" s="0" t="n">
        <v>0.9999</v>
      </c>
      <c r="BP258" s="0" t="n">
        <v>0.9999</v>
      </c>
      <c r="BQ258" s="0" t="n">
        <v>1</v>
      </c>
      <c r="BR258" s="0" t="n">
        <v>1.1359676</v>
      </c>
      <c r="BS258" s="0" t="n">
        <v>1.1396</v>
      </c>
      <c r="BT258" s="0" t="n">
        <v>1.0827</v>
      </c>
      <c r="BU258" s="0" t="n">
        <v>1.0301</v>
      </c>
      <c r="BV258" s="0" t="n">
        <v>1</v>
      </c>
      <c r="BW258" s="0" t="n">
        <v>2.7546</v>
      </c>
      <c r="BX258" s="0" t="n">
        <v>2.350536333</v>
      </c>
      <c r="BY258" s="0" t="n">
        <v>1.19565</v>
      </c>
      <c r="BZ258" s="0" t="n">
        <v>1.2885</v>
      </c>
      <c r="CA258" s="0" t="n">
        <v>2.001</v>
      </c>
      <c r="CB258" s="0" t="n">
        <v>1.591005</v>
      </c>
      <c r="CC258" s="0" t="n">
        <v>1.591005</v>
      </c>
      <c r="CD258" s="0" t="n">
        <v>1.308105</v>
      </c>
      <c r="CE258" s="0" t="n">
        <v>1.117155</v>
      </c>
      <c r="CF258" s="0" t="n">
        <v>1.487005</v>
      </c>
      <c r="CG258" s="188"/>
      <c r="CH258" s="0" t="n">
        <v>1.10757</v>
      </c>
      <c r="CI258" s="188"/>
      <c r="CJ258" s="188"/>
      <c r="CK258" s="188"/>
      <c r="CL258" s="188"/>
      <c r="CM258" s="188"/>
      <c r="CN258" s="188"/>
      <c r="CO258" s="188"/>
      <c r="CP258" s="0" t="n">
        <v>0.865</v>
      </c>
      <c r="CV258" s="0" t="n">
        <v>0.45</v>
      </c>
      <c r="CW258" s="0" t="n">
        <v>0.845</v>
      </c>
      <c r="CX258" s="0" t="n">
        <v>0.805</v>
      </c>
      <c r="CZ258" s="0" t="n">
        <v>0.635</v>
      </c>
      <c r="DA258" s="0" t="n">
        <v>0.6675</v>
      </c>
      <c r="DB258" s="0" t="n">
        <v>0.71</v>
      </c>
      <c r="DC258" s="0" t="n">
        <v>0.8775</v>
      </c>
      <c r="DD258" s="0" t="n">
        <v>0.67</v>
      </c>
      <c r="DE258" s="0" t="n">
        <v>0.89</v>
      </c>
      <c r="DN258" s="188" t="n">
        <v>0.000285</v>
      </c>
      <c r="DO258" s="188" t="n">
        <v>0.0002</v>
      </c>
      <c r="DP258" s="188" t="n">
        <v>0</v>
      </c>
      <c r="DQ258" s="188" t="n">
        <v>0.0001</v>
      </c>
      <c r="DR258" s="188" t="n">
        <v>0</v>
      </c>
      <c r="DS258" s="188" t="n">
        <v>0.0036</v>
      </c>
      <c r="DT258" s="188" t="n">
        <v>0.00047</v>
      </c>
      <c r="DU258" s="188" t="n">
        <v>0.0007</v>
      </c>
      <c r="DV258" s="188" t="n">
        <v>0</v>
      </c>
      <c r="DW258" s="188" t="n">
        <v>0</v>
      </c>
      <c r="DX258" s="188" t="n">
        <v>0.0005</v>
      </c>
      <c r="DY258" s="188" t="n">
        <v>0.0005</v>
      </c>
      <c r="DZ258" s="188" t="n">
        <v>0.0003</v>
      </c>
      <c r="EA258" s="188" t="n">
        <v>0.000275</v>
      </c>
      <c r="EB258" s="188" t="n">
        <v>0.0004</v>
      </c>
      <c r="ED258" s="188" t="n">
        <v>6.5E-005</v>
      </c>
      <c r="EF258" s="0" t="n">
        <v>1</v>
      </c>
    </row>
    <row r="259" customFormat="false" ht="12.75" hidden="false" customHeight="false" outlineLevel="0" collapsed="false">
      <c r="A259" s="149" t="n">
        <v>44256</v>
      </c>
      <c r="B259" s="0" t="n">
        <v>0.98</v>
      </c>
      <c r="C259" s="0" t="n">
        <v>0</v>
      </c>
      <c r="E259" s="0" t="n">
        <v>0</v>
      </c>
      <c r="F259" s="0" t="n">
        <v>0</v>
      </c>
      <c r="G259" s="0" t="n">
        <v>0</v>
      </c>
      <c r="H259" s="0" t="n">
        <v>0.9875</v>
      </c>
      <c r="I259" s="0" t="n">
        <v>0.9875</v>
      </c>
      <c r="J259" s="0" t="n">
        <v>0.9805</v>
      </c>
      <c r="K259" s="0" t="n">
        <v>0</v>
      </c>
      <c r="L259" s="176" t="n">
        <v>0.9875</v>
      </c>
      <c r="M259" s="176" t="n">
        <v>0.9875</v>
      </c>
      <c r="N259" s="0" t="n">
        <v>0.98</v>
      </c>
      <c r="O259" s="0" t="n">
        <v>0.9875</v>
      </c>
      <c r="P259" s="0" t="n">
        <v>0.98</v>
      </c>
      <c r="Q259" s="177" t="n">
        <v>0.9875</v>
      </c>
      <c r="R259" s="0" t="n">
        <v>0.9875</v>
      </c>
      <c r="S259" s="176" t="n">
        <v>0.9875</v>
      </c>
      <c r="T259" s="0" t="n">
        <v>0.98</v>
      </c>
      <c r="U259" s="0" t="n">
        <v>0.98</v>
      </c>
      <c r="V259" s="0" t="n">
        <v>0.98</v>
      </c>
      <c r="W259" s="0" t="n">
        <v>0.98</v>
      </c>
      <c r="X259" s="0" t="n">
        <v>0.9875</v>
      </c>
      <c r="Y259" s="0" t="n">
        <v>0.9875</v>
      </c>
      <c r="Z259" s="0" t="n">
        <v>0.9875</v>
      </c>
      <c r="AA259" s="0" t="n">
        <v>0.9875</v>
      </c>
      <c r="AB259" s="0" t="n">
        <v>0.98</v>
      </c>
      <c r="AC259" s="0" t="n">
        <v>0.98</v>
      </c>
      <c r="AD259" s="0" t="n">
        <v>0.9875</v>
      </c>
      <c r="AE259" s="0" t="n">
        <v>0.9875</v>
      </c>
      <c r="AF259" s="0" t="n">
        <v>0.98</v>
      </c>
      <c r="AG259" s="0" t="n">
        <v>0.99</v>
      </c>
      <c r="AH259" s="0" t="n">
        <v>0.985</v>
      </c>
      <c r="AI259" s="0" t="n">
        <v>0.985</v>
      </c>
      <c r="AJ259" s="0" t="n">
        <v>0.98</v>
      </c>
      <c r="AK259" s="0" t="n">
        <v>1</v>
      </c>
      <c r="AL259" s="0" t="n">
        <v>0</v>
      </c>
      <c r="AM259" s="0" t="n">
        <v>0</v>
      </c>
      <c r="BB259" s="187" t="n">
        <v>1</v>
      </c>
      <c r="BC259" s="0" t="n">
        <v>1</v>
      </c>
      <c r="BD259" s="0" t="n">
        <v>1</v>
      </c>
      <c r="BE259" s="0" t="n">
        <v>1</v>
      </c>
      <c r="BF259" s="0" t="n">
        <v>0.9999</v>
      </c>
      <c r="BG259" s="0" t="n">
        <v>1</v>
      </c>
      <c r="BH259" s="0" t="n">
        <v>1</v>
      </c>
      <c r="BI259" s="0" t="n">
        <v>0.99</v>
      </c>
      <c r="BJ259" s="0" t="n">
        <v>0.999</v>
      </c>
      <c r="BK259" s="0" t="n">
        <v>0.998</v>
      </c>
      <c r="BL259" s="0" t="n">
        <v>0.9985</v>
      </c>
      <c r="BM259" s="0" t="n">
        <v>0.9985</v>
      </c>
      <c r="BN259" s="0" t="n">
        <v>0.972</v>
      </c>
      <c r="BO259" s="0" t="n">
        <v>0.9999</v>
      </c>
      <c r="BP259" s="0" t="n">
        <v>0.9999</v>
      </c>
      <c r="BQ259" s="0" t="n">
        <v>1</v>
      </c>
      <c r="BR259" s="0" t="n">
        <v>1.1362526</v>
      </c>
      <c r="BS259" s="0" t="n">
        <v>1.1398</v>
      </c>
      <c r="BT259" s="0" t="n">
        <v>1.0827</v>
      </c>
      <c r="BU259" s="0" t="n">
        <v>1.0302</v>
      </c>
      <c r="BV259" s="0" t="n">
        <v>1</v>
      </c>
      <c r="BW259" s="0" t="n">
        <v>2.7582</v>
      </c>
      <c r="BX259" s="0" t="n">
        <v>2.351006333</v>
      </c>
      <c r="BY259" s="0" t="n">
        <v>1.19635</v>
      </c>
      <c r="BZ259" s="0" t="n">
        <v>1.2885</v>
      </c>
      <c r="CA259" s="0" t="n">
        <v>2.001</v>
      </c>
      <c r="CB259" s="0" t="n">
        <v>1.591505</v>
      </c>
      <c r="CC259" s="0" t="n">
        <v>1.591505</v>
      </c>
      <c r="CD259" s="0" t="n">
        <v>1.308405</v>
      </c>
      <c r="CE259" s="0" t="n">
        <v>1.11743</v>
      </c>
      <c r="CF259" s="0" t="n">
        <v>1.487405</v>
      </c>
      <c r="CG259" s="188"/>
      <c r="CH259" s="0" t="n">
        <v>1.107635</v>
      </c>
      <c r="CI259" s="188"/>
      <c r="CJ259" s="188"/>
      <c r="CK259" s="188"/>
      <c r="CL259" s="188"/>
      <c r="CM259" s="188"/>
      <c r="CN259" s="188"/>
      <c r="CO259" s="188"/>
      <c r="CP259" s="0" t="n">
        <v>0.865</v>
      </c>
      <c r="CV259" s="0" t="n">
        <v>0.45</v>
      </c>
      <c r="CW259" s="0" t="n">
        <v>0.875</v>
      </c>
      <c r="CX259" s="0" t="n">
        <v>0.975</v>
      </c>
      <c r="CZ259" s="0" t="n">
        <v>0.785</v>
      </c>
      <c r="DA259" s="0" t="n">
        <v>0.8175</v>
      </c>
      <c r="DB259" s="0" t="n">
        <v>0.8</v>
      </c>
      <c r="DC259" s="0" t="n">
        <v>0.9</v>
      </c>
      <c r="DD259" s="0" t="n">
        <v>0.83</v>
      </c>
      <c r="DE259" s="0" t="n">
        <v>0.89</v>
      </c>
      <c r="DN259" s="188" t="n">
        <v>0.000285</v>
      </c>
      <c r="DO259" s="188" t="n">
        <v>0.0002</v>
      </c>
      <c r="DP259" s="188" t="n">
        <v>0</v>
      </c>
      <c r="DQ259" s="188" t="n">
        <v>0.0001</v>
      </c>
      <c r="DR259" s="188" t="n">
        <v>0</v>
      </c>
      <c r="DS259" s="188" t="n">
        <v>0.0036</v>
      </c>
      <c r="DT259" s="188" t="n">
        <v>0.00047</v>
      </c>
      <c r="DU259" s="188" t="n">
        <v>0.0007</v>
      </c>
      <c r="DV259" s="188" t="n">
        <v>0</v>
      </c>
      <c r="DW259" s="188" t="n">
        <v>0</v>
      </c>
      <c r="DX259" s="188" t="n">
        <v>0.0005</v>
      </c>
      <c r="DY259" s="188" t="n">
        <v>0.0005</v>
      </c>
      <c r="DZ259" s="188" t="n">
        <v>0.0003</v>
      </c>
      <c r="EA259" s="188" t="n">
        <v>0.000275</v>
      </c>
      <c r="EB259" s="188" t="n">
        <v>0.0004</v>
      </c>
      <c r="ED259" s="188" t="n">
        <v>6.5E-005</v>
      </c>
      <c r="EF259" s="0" t="n">
        <v>1</v>
      </c>
    </row>
    <row r="260" customFormat="false" ht="12.75" hidden="false" customHeight="false" outlineLevel="0" collapsed="false">
      <c r="A260" s="149" t="n">
        <v>44287</v>
      </c>
      <c r="B260" s="0" t="n">
        <v>0.98</v>
      </c>
      <c r="C260" s="0" t="n">
        <v>0</v>
      </c>
      <c r="E260" s="0" t="n">
        <v>0</v>
      </c>
      <c r="F260" s="0" t="n">
        <v>0</v>
      </c>
      <c r="G260" s="0" t="n">
        <v>0</v>
      </c>
      <c r="H260" s="0" t="n">
        <v>0.9875</v>
      </c>
      <c r="I260" s="0" t="n">
        <v>0.9875</v>
      </c>
      <c r="J260" s="0" t="n">
        <v>0.9805</v>
      </c>
      <c r="K260" s="0" t="n">
        <v>0</v>
      </c>
      <c r="L260" s="176" t="n">
        <v>0.9875</v>
      </c>
      <c r="M260" s="176" t="n">
        <v>0.9875</v>
      </c>
      <c r="N260" s="0" t="n">
        <v>0.98</v>
      </c>
      <c r="O260" s="0" t="n">
        <v>0.9875</v>
      </c>
      <c r="P260" s="0" t="n">
        <v>0.98</v>
      </c>
      <c r="Q260" s="177" t="n">
        <v>0.9875</v>
      </c>
      <c r="R260" s="0" t="n">
        <v>0.9875</v>
      </c>
      <c r="S260" s="176" t="n">
        <v>0.9875</v>
      </c>
      <c r="T260" s="0" t="n">
        <v>0.98</v>
      </c>
      <c r="U260" s="0" t="n">
        <v>0.98</v>
      </c>
      <c r="V260" s="0" t="n">
        <v>0.98</v>
      </c>
      <c r="W260" s="0" t="n">
        <v>0.98</v>
      </c>
      <c r="X260" s="0" t="n">
        <v>0.9875</v>
      </c>
      <c r="Y260" s="0" t="n">
        <v>0.9875</v>
      </c>
      <c r="Z260" s="0" t="n">
        <v>0.9875</v>
      </c>
      <c r="AA260" s="0" t="n">
        <v>0.9875</v>
      </c>
      <c r="AB260" s="0" t="n">
        <v>0.98</v>
      </c>
      <c r="AC260" s="0" t="n">
        <v>0.98</v>
      </c>
      <c r="AD260" s="0" t="n">
        <v>0.9875</v>
      </c>
      <c r="AE260" s="0" t="n">
        <v>0.9875</v>
      </c>
      <c r="AF260" s="0" t="n">
        <v>0.98</v>
      </c>
      <c r="AG260" s="0" t="n">
        <v>0.99</v>
      </c>
      <c r="AH260" s="0" t="n">
        <v>0.985</v>
      </c>
      <c r="AI260" s="0" t="n">
        <v>0.985</v>
      </c>
      <c r="AJ260" s="0" t="n">
        <v>0.98</v>
      </c>
      <c r="AK260" s="0" t="n">
        <v>1</v>
      </c>
      <c r="AL260" s="0" t="n">
        <v>0</v>
      </c>
      <c r="AM260" s="0" t="n">
        <v>0</v>
      </c>
      <c r="BB260" s="187" t="n">
        <v>1</v>
      </c>
      <c r="BC260" s="0" t="n">
        <v>1</v>
      </c>
      <c r="BD260" s="0" t="n">
        <v>1</v>
      </c>
      <c r="BE260" s="0" t="n">
        <v>1</v>
      </c>
      <c r="BF260" s="0" t="n">
        <v>0.9999</v>
      </c>
      <c r="BG260" s="0" t="n">
        <v>1</v>
      </c>
      <c r="BH260" s="0" t="n">
        <v>1</v>
      </c>
      <c r="BI260" s="0" t="n">
        <v>0.99</v>
      </c>
      <c r="BJ260" s="0" t="n">
        <v>0.999</v>
      </c>
      <c r="BK260" s="0" t="n">
        <v>0.998</v>
      </c>
      <c r="BL260" s="0" t="n">
        <v>0.9985</v>
      </c>
      <c r="BM260" s="0" t="n">
        <v>0.9985</v>
      </c>
      <c r="BN260" s="0" t="n">
        <v>0.972</v>
      </c>
      <c r="BO260" s="0" t="n">
        <v>0.9999</v>
      </c>
      <c r="BP260" s="0" t="n">
        <v>0.9999</v>
      </c>
      <c r="BQ260" s="0" t="n">
        <v>1</v>
      </c>
      <c r="BR260" s="0" t="n">
        <v>1.1365376</v>
      </c>
      <c r="BS260" s="0" t="n">
        <v>1.14</v>
      </c>
      <c r="BT260" s="0" t="n">
        <v>1.0827</v>
      </c>
      <c r="BU260" s="0" t="n">
        <v>1.0303</v>
      </c>
      <c r="BV260" s="0" t="n">
        <v>1</v>
      </c>
      <c r="BW260" s="0" t="n">
        <v>2.7618</v>
      </c>
      <c r="BX260" s="0" t="n">
        <v>2.351476333</v>
      </c>
      <c r="BY260" s="0" t="n">
        <v>1.19705</v>
      </c>
      <c r="BZ260" s="0" t="n">
        <v>1.2885</v>
      </c>
      <c r="CA260" s="0" t="n">
        <v>2.001</v>
      </c>
      <c r="CB260" s="0" t="n">
        <v>1.592005</v>
      </c>
      <c r="CC260" s="0" t="n">
        <v>1.592005</v>
      </c>
      <c r="CD260" s="0" t="n">
        <v>1.308705</v>
      </c>
      <c r="CE260" s="0" t="n">
        <v>1.117705</v>
      </c>
      <c r="CF260" s="0" t="n">
        <v>1.487805</v>
      </c>
      <c r="CG260" s="188"/>
      <c r="CH260" s="0" t="n">
        <v>1.1077</v>
      </c>
      <c r="CI260" s="188"/>
      <c r="CJ260" s="188"/>
      <c r="CK260" s="188"/>
      <c r="CL260" s="188"/>
      <c r="CM260" s="188"/>
      <c r="CN260" s="188"/>
      <c r="CO260" s="188"/>
      <c r="CP260" s="0" t="n">
        <v>0.895</v>
      </c>
      <c r="CV260" s="0" t="n">
        <v>0.42</v>
      </c>
      <c r="CW260" s="0" t="n">
        <v>0.935</v>
      </c>
      <c r="CX260" s="0" t="n">
        <v>0.965</v>
      </c>
      <c r="CZ260" s="0" t="n">
        <v>0.895</v>
      </c>
      <c r="DA260" s="0" t="n">
        <v>0.9275</v>
      </c>
      <c r="DB260" s="0" t="n">
        <v>0.85</v>
      </c>
      <c r="DC260" s="0" t="n">
        <v>0.903</v>
      </c>
      <c r="DD260" s="0" t="n">
        <v>0.92</v>
      </c>
      <c r="DE260" s="0" t="n">
        <v>0.89</v>
      </c>
      <c r="DN260" s="188" t="n">
        <v>0.000285</v>
      </c>
      <c r="DO260" s="188" t="n">
        <v>0.0002</v>
      </c>
      <c r="DP260" s="188" t="n">
        <v>0</v>
      </c>
      <c r="DQ260" s="188" t="n">
        <v>0.0001</v>
      </c>
      <c r="DR260" s="188" t="n">
        <v>0</v>
      </c>
      <c r="DS260" s="188" t="n">
        <v>0.0036</v>
      </c>
      <c r="DT260" s="188" t="n">
        <v>0.00047</v>
      </c>
      <c r="DU260" s="188" t="n">
        <v>0.0007</v>
      </c>
      <c r="DV260" s="188" t="n">
        <v>0</v>
      </c>
      <c r="DW260" s="188" t="n">
        <v>0</v>
      </c>
      <c r="DX260" s="188" t="n">
        <v>0.0005</v>
      </c>
      <c r="DY260" s="188" t="n">
        <v>0.0005</v>
      </c>
      <c r="DZ260" s="188" t="n">
        <v>0.0003</v>
      </c>
      <c r="EA260" s="188" t="n">
        <v>0.000275</v>
      </c>
      <c r="EB260" s="188" t="n">
        <v>0.0004</v>
      </c>
      <c r="ED260" s="188" t="n">
        <v>6.5E-005</v>
      </c>
      <c r="EF260" s="0" t="n">
        <v>1</v>
      </c>
    </row>
    <row r="261" customFormat="false" ht="12.75" hidden="false" customHeight="false" outlineLevel="0" collapsed="false">
      <c r="A261" s="149" t="n">
        <v>44317</v>
      </c>
      <c r="B261" s="0" t="n">
        <v>0.98</v>
      </c>
      <c r="C261" s="0" t="n">
        <v>0</v>
      </c>
      <c r="E261" s="0" t="n">
        <v>0</v>
      </c>
      <c r="F261" s="0" t="n">
        <v>0</v>
      </c>
      <c r="G261" s="0" t="n">
        <v>0</v>
      </c>
      <c r="H261" s="0" t="n">
        <v>0.9875</v>
      </c>
      <c r="I261" s="0" t="n">
        <v>0.9875</v>
      </c>
      <c r="J261" s="0" t="n">
        <v>0.9805</v>
      </c>
      <c r="K261" s="0" t="n">
        <v>0</v>
      </c>
      <c r="L261" s="176" t="n">
        <v>0.9875</v>
      </c>
      <c r="M261" s="176" t="n">
        <v>0.9875</v>
      </c>
      <c r="N261" s="0" t="n">
        <v>0.98</v>
      </c>
      <c r="O261" s="0" t="n">
        <v>0.9875</v>
      </c>
      <c r="P261" s="0" t="n">
        <v>0.98</v>
      </c>
      <c r="Q261" s="177" t="n">
        <v>0.9875</v>
      </c>
      <c r="R261" s="0" t="n">
        <v>0.9875</v>
      </c>
      <c r="S261" s="176" t="n">
        <v>0.9875</v>
      </c>
      <c r="T261" s="0" t="n">
        <v>0.98</v>
      </c>
      <c r="U261" s="0" t="n">
        <v>0.98</v>
      </c>
      <c r="V261" s="0" t="n">
        <v>0.98</v>
      </c>
      <c r="W261" s="0" t="n">
        <v>0.98</v>
      </c>
      <c r="X261" s="0" t="n">
        <v>0.9875</v>
      </c>
      <c r="Y261" s="0" t="n">
        <v>0.9875</v>
      </c>
      <c r="Z261" s="0" t="n">
        <v>0.9875</v>
      </c>
      <c r="AA261" s="0" t="n">
        <v>0.9875</v>
      </c>
      <c r="AB261" s="0" t="n">
        <v>0.98</v>
      </c>
      <c r="AC261" s="0" t="n">
        <v>0.98</v>
      </c>
      <c r="AD261" s="0" t="n">
        <v>0.9875</v>
      </c>
      <c r="AE261" s="0" t="n">
        <v>0.9875</v>
      </c>
      <c r="AF261" s="0" t="n">
        <v>0.98</v>
      </c>
      <c r="AG261" s="0" t="n">
        <v>0.99</v>
      </c>
      <c r="AH261" s="0" t="n">
        <v>0.985</v>
      </c>
      <c r="AI261" s="0" t="n">
        <v>0.985</v>
      </c>
      <c r="AJ261" s="0" t="n">
        <v>0.98</v>
      </c>
      <c r="AK261" s="0" t="n">
        <v>1</v>
      </c>
      <c r="AL261" s="0" t="n">
        <v>0</v>
      </c>
      <c r="AM261" s="0" t="n">
        <v>0</v>
      </c>
      <c r="BB261" s="187" t="n">
        <v>1</v>
      </c>
      <c r="BC261" s="0" t="n">
        <v>1</v>
      </c>
      <c r="BD261" s="0" t="n">
        <v>1</v>
      </c>
      <c r="BE261" s="0" t="n">
        <v>1</v>
      </c>
      <c r="BF261" s="0" t="n">
        <v>0.9999</v>
      </c>
      <c r="BG261" s="0" t="n">
        <v>1</v>
      </c>
      <c r="BH261" s="0" t="n">
        <v>1</v>
      </c>
      <c r="BI261" s="0" t="n">
        <v>0.99</v>
      </c>
      <c r="BJ261" s="0" t="n">
        <v>0.999</v>
      </c>
      <c r="BK261" s="0" t="n">
        <v>0.998</v>
      </c>
      <c r="BL261" s="0" t="n">
        <v>0.9985</v>
      </c>
      <c r="BM261" s="0" t="n">
        <v>0.9985</v>
      </c>
      <c r="BN261" s="0" t="n">
        <v>0.972</v>
      </c>
      <c r="BO261" s="0" t="n">
        <v>0.9999</v>
      </c>
      <c r="BP261" s="0" t="n">
        <v>0.9999</v>
      </c>
      <c r="BQ261" s="0" t="n">
        <v>1</v>
      </c>
      <c r="BR261" s="0" t="n">
        <v>1.1368226</v>
      </c>
      <c r="BS261" s="0" t="n">
        <v>1.1402</v>
      </c>
      <c r="BT261" s="0" t="n">
        <v>1.0827</v>
      </c>
      <c r="BU261" s="0" t="n">
        <v>1.0304</v>
      </c>
      <c r="BV261" s="0" t="n">
        <v>1</v>
      </c>
      <c r="BW261" s="0" t="n">
        <v>2.7654</v>
      </c>
      <c r="BX261" s="0" t="n">
        <v>2.351946333</v>
      </c>
      <c r="BY261" s="0" t="n">
        <v>1.19775</v>
      </c>
      <c r="BZ261" s="0" t="n">
        <v>1.2885</v>
      </c>
      <c r="CA261" s="0" t="n">
        <v>2.001</v>
      </c>
      <c r="CB261" s="0" t="n">
        <v>1.592505</v>
      </c>
      <c r="CC261" s="0" t="n">
        <v>1.592505</v>
      </c>
      <c r="CD261" s="0" t="n">
        <v>1.309005</v>
      </c>
      <c r="CE261" s="0" t="n">
        <v>1.11798</v>
      </c>
      <c r="CF261" s="0" t="n">
        <v>1.488205</v>
      </c>
      <c r="CG261" s="188"/>
      <c r="CH261" s="0" t="n">
        <v>1.107765</v>
      </c>
      <c r="CI261" s="188"/>
      <c r="CJ261" s="188"/>
      <c r="CK261" s="188"/>
      <c r="CL261" s="188"/>
      <c r="CM261" s="188"/>
      <c r="CN261" s="188"/>
      <c r="CO261" s="188"/>
      <c r="CP261" s="0" t="n">
        <v>0.965</v>
      </c>
      <c r="CV261" s="0" t="n">
        <v>0.42</v>
      </c>
      <c r="CW261" s="0" t="n">
        <v>0.935</v>
      </c>
      <c r="CX261" s="0" t="n">
        <v>0.865</v>
      </c>
      <c r="CZ261" s="0" t="n">
        <v>0.9175</v>
      </c>
      <c r="DA261" s="0" t="n">
        <v>0.95</v>
      </c>
      <c r="DB261" s="0" t="n">
        <v>0.88</v>
      </c>
      <c r="DC261" s="0" t="n">
        <v>0.9</v>
      </c>
      <c r="DD261" s="0" t="n">
        <v>0.935</v>
      </c>
      <c r="DE261" s="0" t="n">
        <v>0.89</v>
      </c>
      <c r="DN261" s="188" t="n">
        <v>0.000285</v>
      </c>
      <c r="DO261" s="188" t="n">
        <v>0.0002</v>
      </c>
      <c r="DP261" s="188" t="n">
        <v>0</v>
      </c>
      <c r="DQ261" s="188" t="n">
        <v>0.0001</v>
      </c>
      <c r="DR261" s="188" t="n">
        <v>0</v>
      </c>
      <c r="DS261" s="188" t="n">
        <v>0.0036</v>
      </c>
      <c r="DT261" s="188" t="n">
        <v>0.00047</v>
      </c>
      <c r="DU261" s="188" t="n">
        <v>0.0007</v>
      </c>
      <c r="DV261" s="188" t="n">
        <v>0</v>
      </c>
      <c r="DW261" s="188" t="n">
        <v>0</v>
      </c>
      <c r="DX261" s="188" t="n">
        <v>0.0005</v>
      </c>
      <c r="DY261" s="188" t="n">
        <v>0.0005</v>
      </c>
      <c r="DZ261" s="188" t="n">
        <v>0.0003</v>
      </c>
      <c r="EA261" s="188" t="n">
        <v>0.000275</v>
      </c>
      <c r="EB261" s="188" t="n">
        <v>0.0004</v>
      </c>
      <c r="ED261" s="188" t="n">
        <v>6.5E-005</v>
      </c>
      <c r="EF261" s="0" t="n">
        <v>1</v>
      </c>
    </row>
    <row r="262" customFormat="false" ht="12.75" hidden="false" customHeight="false" outlineLevel="0" collapsed="false">
      <c r="A262" s="149" t="n">
        <v>44348</v>
      </c>
      <c r="B262" s="0" t="n">
        <v>0.98</v>
      </c>
      <c r="C262" s="0" t="n">
        <v>0</v>
      </c>
      <c r="E262" s="0" t="n">
        <v>0</v>
      </c>
      <c r="F262" s="0" t="n">
        <v>0</v>
      </c>
      <c r="G262" s="0" t="n">
        <v>0</v>
      </c>
      <c r="H262" s="0" t="n">
        <v>0.9875</v>
      </c>
      <c r="I262" s="0" t="n">
        <v>0.9875</v>
      </c>
      <c r="J262" s="0" t="n">
        <v>0.9805</v>
      </c>
      <c r="K262" s="0" t="n">
        <v>0</v>
      </c>
      <c r="L262" s="176" t="n">
        <v>0.9875</v>
      </c>
      <c r="M262" s="176" t="n">
        <v>0.9875</v>
      </c>
      <c r="N262" s="0" t="n">
        <v>0.98</v>
      </c>
      <c r="O262" s="0" t="n">
        <v>0.9875</v>
      </c>
      <c r="P262" s="0" t="n">
        <v>0.98</v>
      </c>
      <c r="Q262" s="177" t="n">
        <v>0.9875</v>
      </c>
      <c r="R262" s="0" t="n">
        <v>0.9875</v>
      </c>
      <c r="S262" s="176" t="n">
        <v>0.9875</v>
      </c>
      <c r="T262" s="0" t="n">
        <v>0.98</v>
      </c>
      <c r="U262" s="0" t="n">
        <v>0.98</v>
      </c>
      <c r="V262" s="0" t="n">
        <v>0.98</v>
      </c>
      <c r="W262" s="0" t="n">
        <v>0.98</v>
      </c>
      <c r="X262" s="0" t="n">
        <v>0.9875</v>
      </c>
      <c r="Y262" s="0" t="n">
        <v>0.9875</v>
      </c>
      <c r="Z262" s="0" t="n">
        <v>0.9875</v>
      </c>
      <c r="AA262" s="0" t="n">
        <v>0.9875</v>
      </c>
      <c r="AB262" s="0" t="n">
        <v>0.98</v>
      </c>
      <c r="AC262" s="0" t="n">
        <v>0.98</v>
      </c>
      <c r="AD262" s="0" t="n">
        <v>0.9875</v>
      </c>
      <c r="AE262" s="0" t="n">
        <v>0.9875</v>
      </c>
      <c r="AF262" s="0" t="n">
        <v>0.98</v>
      </c>
      <c r="AG262" s="0" t="n">
        <v>0.99</v>
      </c>
      <c r="AH262" s="0" t="n">
        <v>0.985</v>
      </c>
      <c r="AI262" s="0" t="n">
        <v>0.985</v>
      </c>
      <c r="AJ262" s="0" t="n">
        <v>0.98</v>
      </c>
      <c r="AK262" s="0" t="n">
        <v>1</v>
      </c>
      <c r="AL262" s="0" t="n">
        <v>0</v>
      </c>
      <c r="AM262" s="0" t="n">
        <v>0</v>
      </c>
      <c r="BB262" s="187" t="n">
        <v>1</v>
      </c>
      <c r="BC262" s="0" t="n">
        <v>1</v>
      </c>
      <c r="BD262" s="0" t="n">
        <v>1</v>
      </c>
      <c r="BE262" s="0" t="n">
        <v>1</v>
      </c>
      <c r="BF262" s="0" t="n">
        <v>0.9999</v>
      </c>
      <c r="BG262" s="0" t="n">
        <v>1</v>
      </c>
      <c r="BH262" s="0" t="n">
        <v>1</v>
      </c>
      <c r="BI262" s="0" t="n">
        <v>0.99</v>
      </c>
      <c r="BJ262" s="0" t="n">
        <v>0.999</v>
      </c>
      <c r="BK262" s="0" t="n">
        <v>0.998</v>
      </c>
      <c r="BL262" s="0" t="n">
        <v>0.9985</v>
      </c>
      <c r="BM262" s="0" t="n">
        <v>0.9985</v>
      </c>
      <c r="BN262" s="0" t="n">
        <v>0.972</v>
      </c>
      <c r="BO262" s="0" t="n">
        <v>0.9999</v>
      </c>
      <c r="BP262" s="0" t="n">
        <v>0.9999</v>
      </c>
      <c r="BQ262" s="0" t="n">
        <v>1</v>
      </c>
      <c r="BR262" s="0" t="n">
        <v>1.1371076</v>
      </c>
      <c r="BS262" s="0" t="n">
        <v>1.1404</v>
      </c>
      <c r="BT262" s="0" t="n">
        <v>1.0827</v>
      </c>
      <c r="BU262" s="0" t="n">
        <v>1.0305</v>
      </c>
      <c r="BV262" s="0" t="n">
        <v>1</v>
      </c>
      <c r="BW262" s="0" t="n">
        <v>2.769</v>
      </c>
      <c r="BX262" s="0" t="n">
        <v>2.352416333</v>
      </c>
      <c r="BY262" s="0" t="n">
        <v>1.19845</v>
      </c>
      <c r="BZ262" s="0" t="n">
        <v>1.2885</v>
      </c>
      <c r="CA262" s="0" t="n">
        <v>2.001</v>
      </c>
      <c r="CB262" s="0" t="n">
        <v>1.593005</v>
      </c>
      <c r="CC262" s="0" t="n">
        <v>1.593005</v>
      </c>
      <c r="CD262" s="0" t="n">
        <v>1.309305</v>
      </c>
      <c r="CE262" s="0" t="n">
        <v>1.118255</v>
      </c>
      <c r="CF262" s="0" t="n">
        <v>1.488605</v>
      </c>
      <c r="CG262" s="188"/>
      <c r="CH262" s="0" t="n">
        <v>1.10783</v>
      </c>
      <c r="CI262" s="188"/>
      <c r="CJ262" s="188"/>
      <c r="CK262" s="188"/>
      <c r="CL262" s="188"/>
      <c r="CM262" s="188"/>
      <c r="CN262" s="188"/>
      <c r="CO262" s="188"/>
      <c r="CP262" s="0" t="n">
        <v>0.965</v>
      </c>
      <c r="CV262" s="0" t="n">
        <v>0.47</v>
      </c>
      <c r="CW262" s="0" t="n">
        <v>0.935</v>
      </c>
      <c r="CX262" s="0" t="n">
        <v>0.775</v>
      </c>
      <c r="CZ262" s="0" t="n">
        <v>0.8825</v>
      </c>
      <c r="DA262" s="0" t="n">
        <v>0.915</v>
      </c>
      <c r="DB262" s="0" t="n">
        <v>0.88</v>
      </c>
      <c r="DC262" s="0" t="n">
        <v>0.9025</v>
      </c>
      <c r="DD262" s="0" t="n">
        <v>0.915</v>
      </c>
      <c r="DE262" s="0" t="n">
        <v>0.89</v>
      </c>
      <c r="DN262" s="188" t="n">
        <v>0.000285</v>
      </c>
      <c r="DO262" s="188" t="n">
        <v>0.0002</v>
      </c>
      <c r="DP262" s="188" t="n">
        <v>0</v>
      </c>
      <c r="DQ262" s="188" t="n">
        <v>0.0001</v>
      </c>
      <c r="DR262" s="188" t="n">
        <v>0</v>
      </c>
      <c r="DS262" s="188" t="n">
        <v>0.0036</v>
      </c>
      <c r="DT262" s="188" t="n">
        <v>0.00047</v>
      </c>
      <c r="DU262" s="188" t="n">
        <v>0.0007</v>
      </c>
      <c r="DV262" s="188" t="n">
        <v>0</v>
      </c>
      <c r="DW262" s="188" t="n">
        <v>0</v>
      </c>
      <c r="DX262" s="188" t="n">
        <v>0.0005</v>
      </c>
      <c r="DY262" s="188" t="n">
        <v>0.0005</v>
      </c>
      <c r="DZ262" s="188" t="n">
        <v>0.0003</v>
      </c>
      <c r="EA262" s="188" t="n">
        <v>0.000275</v>
      </c>
      <c r="EB262" s="188" t="n">
        <v>0.0004</v>
      </c>
      <c r="ED262" s="188" t="n">
        <v>6.5E-005</v>
      </c>
      <c r="EF262" s="0" t="n">
        <v>1</v>
      </c>
    </row>
    <row r="263" customFormat="false" ht="12.75" hidden="false" customHeight="false" outlineLevel="0" collapsed="false">
      <c r="A263" s="149" t="n">
        <v>44378</v>
      </c>
      <c r="B263" s="0" t="n">
        <v>0.98</v>
      </c>
      <c r="C263" s="0" t="n">
        <v>0</v>
      </c>
      <c r="E263" s="0" t="n">
        <v>0</v>
      </c>
      <c r="F263" s="0" t="n">
        <v>0</v>
      </c>
      <c r="G263" s="0" t="n">
        <v>0</v>
      </c>
      <c r="H263" s="0" t="n">
        <v>0.9875</v>
      </c>
      <c r="I263" s="0" t="n">
        <v>0.9875</v>
      </c>
      <c r="J263" s="0" t="n">
        <v>0.9805</v>
      </c>
      <c r="K263" s="0" t="n">
        <v>0</v>
      </c>
      <c r="L263" s="176" t="n">
        <v>0.9875</v>
      </c>
      <c r="M263" s="176" t="n">
        <v>0.9875</v>
      </c>
      <c r="N263" s="0" t="n">
        <v>0.98</v>
      </c>
      <c r="O263" s="0" t="n">
        <v>0.9875</v>
      </c>
      <c r="P263" s="0" t="n">
        <v>0.98</v>
      </c>
      <c r="Q263" s="177" t="n">
        <v>0.9875</v>
      </c>
      <c r="R263" s="0" t="n">
        <v>0.9875</v>
      </c>
      <c r="S263" s="176" t="n">
        <v>0.9875</v>
      </c>
      <c r="T263" s="0" t="n">
        <v>0.98</v>
      </c>
      <c r="U263" s="0" t="n">
        <v>0.98</v>
      </c>
      <c r="V263" s="0" t="n">
        <v>0.98</v>
      </c>
      <c r="W263" s="0" t="n">
        <v>0.98</v>
      </c>
      <c r="X263" s="0" t="n">
        <v>0.9875</v>
      </c>
      <c r="Y263" s="0" t="n">
        <v>0.9875</v>
      </c>
      <c r="Z263" s="0" t="n">
        <v>0.9875</v>
      </c>
      <c r="AA263" s="0" t="n">
        <v>0.9875</v>
      </c>
      <c r="AB263" s="0" t="n">
        <v>0.98</v>
      </c>
      <c r="AC263" s="0" t="n">
        <v>0.98</v>
      </c>
      <c r="AD263" s="0" t="n">
        <v>0.9875</v>
      </c>
      <c r="AE263" s="0" t="n">
        <v>0.9875</v>
      </c>
      <c r="AF263" s="0" t="n">
        <v>0.98</v>
      </c>
      <c r="AG263" s="0" t="n">
        <v>0.99</v>
      </c>
      <c r="AH263" s="0" t="n">
        <v>0.985</v>
      </c>
      <c r="AI263" s="0" t="n">
        <v>0.985</v>
      </c>
      <c r="AJ263" s="0" t="n">
        <v>0.98</v>
      </c>
      <c r="AK263" s="0" t="n">
        <v>1</v>
      </c>
      <c r="AL263" s="0" t="n">
        <v>0</v>
      </c>
      <c r="AM263" s="0" t="n">
        <v>0</v>
      </c>
      <c r="BB263" s="187" t="n">
        <v>1</v>
      </c>
      <c r="BC263" s="0" t="n">
        <v>1</v>
      </c>
      <c r="BD263" s="0" t="n">
        <v>1</v>
      </c>
      <c r="BE263" s="0" t="n">
        <v>1</v>
      </c>
      <c r="BF263" s="0" t="n">
        <v>0.9999</v>
      </c>
      <c r="BG263" s="0" t="n">
        <v>1</v>
      </c>
      <c r="BH263" s="0" t="n">
        <v>1</v>
      </c>
      <c r="BI263" s="0" t="n">
        <v>0.99</v>
      </c>
      <c r="BJ263" s="0" t="n">
        <v>0.999</v>
      </c>
      <c r="BK263" s="0" t="n">
        <v>0.998</v>
      </c>
      <c r="BL263" s="0" t="n">
        <v>0.9985</v>
      </c>
      <c r="BM263" s="0" t="n">
        <v>0.9985</v>
      </c>
      <c r="BN263" s="0" t="n">
        <v>0.972</v>
      </c>
      <c r="BO263" s="0" t="n">
        <v>0.9999</v>
      </c>
      <c r="BP263" s="0" t="n">
        <v>0.9999</v>
      </c>
      <c r="BQ263" s="0" t="n">
        <v>1</v>
      </c>
      <c r="BR263" s="0" t="n">
        <v>1.1373926</v>
      </c>
      <c r="BS263" s="0" t="n">
        <v>1.1406</v>
      </c>
      <c r="BT263" s="0" t="n">
        <v>1.0827</v>
      </c>
      <c r="BU263" s="0" t="n">
        <v>1.0306</v>
      </c>
      <c r="BV263" s="0" t="n">
        <v>1</v>
      </c>
      <c r="BW263" s="0" t="n">
        <v>2.7726</v>
      </c>
      <c r="BX263" s="0" t="n">
        <v>2.352886333</v>
      </c>
      <c r="BY263" s="0" t="n">
        <v>1.19915</v>
      </c>
      <c r="BZ263" s="0" t="n">
        <v>1.2885</v>
      </c>
      <c r="CA263" s="0" t="n">
        <v>2.001</v>
      </c>
      <c r="CB263" s="0" t="n">
        <v>1.593505</v>
      </c>
      <c r="CC263" s="0" t="n">
        <v>1.593505</v>
      </c>
      <c r="CD263" s="0" t="n">
        <v>1.309605</v>
      </c>
      <c r="CE263" s="0" t="n">
        <v>1.11853</v>
      </c>
      <c r="CF263" s="0" t="n">
        <v>1.489005</v>
      </c>
      <c r="CG263" s="188"/>
      <c r="CH263" s="0" t="n">
        <v>1.107895</v>
      </c>
      <c r="CI263" s="188"/>
      <c r="CJ263" s="188"/>
      <c r="CK263" s="188"/>
      <c r="CL263" s="188"/>
      <c r="CM263" s="188"/>
      <c r="CN263" s="188"/>
      <c r="CO263" s="188"/>
      <c r="CP263" s="0" t="n">
        <v>0.975</v>
      </c>
      <c r="CV263" s="0" t="n">
        <v>0.47</v>
      </c>
      <c r="CW263" s="0" t="n">
        <v>0.935</v>
      </c>
      <c r="CX263" s="0" t="n">
        <v>0.795</v>
      </c>
      <c r="CZ263" s="0" t="n">
        <v>0.8775</v>
      </c>
      <c r="DA263" s="0" t="n">
        <v>0.91</v>
      </c>
      <c r="DB263" s="0" t="n">
        <v>0.89</v>
      </c>
      <c r="DC263" s="0" t="n">
        <v>0.9075</v>
      </c>
      <c r="DD263" s="0" t="n">
        <v>0.915</v>
      </c>
      <c r="DE263" s="0" t="n">
        <v>0.89</v>
      </c>
      <c r="DN263" s="188" t="n">
        <v>0.000285</v>
      </c>
      <c r="DO263" s="188" t="n">
        <v>0.0002</v>
      </c>
      <c r="DP263" s="188" t="n">
        <v>0</v>
      </c>
      <c r="DQ263" s="188" t="n">
        <v>0.0001</v>
      </c>
      <c r="DR263" s="188" t="n">
        <v>0</v>
      </c>
      <c r="DS263" s="188" t="n">
        <v>0.0036</v>
      </c>
      <c r="DT263" s="188" t="n">
        <v>0.00047</v>
      </c>
      <c r="DU263" s="188" t="n">
        <v>0.0007</v>
      </c>
      <c r="DV263" s="188" t="n">
        <v>0</v>
      </c>
      <c r="DW263" s="188" t="n">
        <v>0</v>
      </c>
      <c r="DX263" s="188" t="n">
        <v>0.0005</v>
      </c>
      <c r="DY263" s="188" t="n">
        <v>0.0005</v>
      </c>
      <c r="DZ263" s="188" t="n">
        <v>0.0003</v>
      </c>
      <c r="EA263" s="188" t="n">
        <v>0.000275</v>
      </c>
      <c r="EB263" s="188" t="n">
        <v>0.0004</v>
      </c>
      <c r="ED263" s="188" t="n">
        <v>6.5E-005</v>
      </c>
      <c r="EF263" s="0" t="n">
        <v>1</v>
      </c>
    </row>
    <row r="264" customFormat="false" ht="12.75" hidden="false" customHeight="false" outlineLevel="0" collapsed="false">
      <c r="A264" s="149" t="n">
        <v>44409</v>
      </c>
      <c r="B264" s="0" t="n">
        <v>0.98</v>
      </c>
      <c r="C264" s="0" t="n">
        <v>0</v>
      </c>
      <c r="E264" s="0" t="n">
        <v>0</v>
      </c>
      <c r="F264" s="0" t="n">
        <v>0</v>
      </c>
      <c r="G264" s="0" t="n">
        <v>0</v>
      </c>
      <c r="H264" s="0" t="n">
        <v>0.9875</v>
      </c>
      <c r="I264" s="0" t="n">
        <v>0.9875</v>
      </c>
      <c r="J264" s="0" t="n">
        <v>0.9805</v>
      </c>
      <c r="K264" s="0" t="n">
        <v>0</v>
      </c>
      <c r="L264" s="176" t="n">
        <v>0.9875</v>
      </c>
      <c r="M264" s="176" t="n">
        <v>0.9875</v>
      </c>
      <c r="N264" s="0" t="n">
        <v>0.98</v>
      </c>
      <c r="O264" s="0" t="n">
        <v>0.9875</v>
      </c>
      <c r="P264" s="0" t="n">
        <v>0.98</v>
      </c>
      <c r="Q264" s="177" t="n">
        <v>0.9875</v>
      </c>
      <c r="R264" s="0" t="n">
        <v>0.9875</v>
      </c>
      <c r="S264" s="176" t="n">
        <v>0.9875</v>
      </c>
      <c r="T264" s="0" t="n">
        <v>0.98</v>
      </c>
      <c r="U264" s="0" t="n">
        <v>0.98</v>
      </c>
      <c r="V264" s="0" t="n">
        <v>0.98</v>
      </c>
      <c r="W264" s="0" t="n">
        <v>0.98</v>
      </c>
      <c r="X264" s="0" t="n">
        <v>0.9875</v>
      </c>
      <c r="Y264" s="0" t="n">
        <v>0.9875</v>
      </c>
      <c r="Z264" s="0" t="n">
        <v>0.9875</v>
      </c>
      <c r="AA264" s="0" t="n">
        <v>0.9875</v>
      </c>
      <c r="AB264" s="0" t="n">
        <v>0.98</v>
      </c>
      <c r="AC264" s="0" t="n">
        <v>0.98</v>
      </c>
      <c r="AD264" s="0" t="n">
        <v>0.9875</v>
      </c>
      <c r="AE264" s="0" t="n">
        <v>0.9875</v>
      </c>
      <c r="AF264" s="0" t="n">
        <v>0.98</v>
      </c>
      <c r="AG264" s="0" t="n">
        <v>0.99</v>
      </c>
      <c r="AH264" s="0" t="n">
        <v>0.985</v>
      </c>
      <c r="AI264" s="0" t="n">
        <v>0.985</v>
      </c>
      <c r="AJ264" s="0" t="n">
        <v>0.98</v>
      </c>
      <c r="AK264" s="0" t="n">
        <v>1</v>
      </c>
      <c r="AL264" s="0" t="n">
        <v>0</v>
      </c>
      <c r="AM264" s="0" t="n">
        <v>0</v>
      </c>
      <c r="BB264" s="187" t="n">
        <v>1</v>
      </c>
      <c r="BC264" s="0" t="n">
        <v>1</v>
      </c>
      <c r="BD264" s="0" t="n">
        <v>1</v>
      </c>
      <c r="BE264" s="0" t="n">
        <v>1</v>
      </c>
      <c r="BF264" s="0" t="n">
        <v>0.9999</v>
      </c>
      <c r="BG264" s="0" t="n">
        <v>1</v>
      </c>
      <c r="BH264" s="0" t="n">
        <v>1</v>
      </c>
      <c r="BI264" s="0" t="n">
        <v>0.99</v>
      </c>
      <c r="BJ264" s="0" t="n">
        <v>0.999</v>
      </c>
      <c r="BK264" s="0" t="n">
        <v>0.998</v>
      </c>
      <c r="BL264" s="0" t="n">
        <v>0.9985</v>
      </c>
      <c r="BM264" s="0" t="n">
        <v>0.9985</v>
      </c>
      <c r="BN264" s="0" t="n">
        <v>0.972</v>
      </c>
      <c r="BO264" s="0" t="n">
        <v>0.9999</v>
      </c>
      <c r="BP264" s="0" t="n">
        <v>0.9999</v>
      </c>
      <c r="BQ264" s="0" t="n">
        <v>1</v>
      </c>
      <c r="BR264" s="0" t="n">
        <v>1.1376776</v>
      </c>
      <c r="BS264" s="0" t="n">
        <v>1.1408</v>
      </c>
      <c r="BT264" s="0" t="n">
        <v>1.0827</v>
      </c>
      <c r="BU264" s="0" t="n">
        <v>1.0307</v>
      </c>
      <c r="BV264" s="0" t="n">
        <v>1</v>
      </c>
      <c r="BW264" s="0" t="n">
        <v>2.7762</v>
      </c>
      <c r="BX264" s="0" t="n">
        <v>2.353356333</v>
      </c>
      <c r="BY264" s="0" t="n">
        <v>1.19985</v>
      </c>
      <c r="BZ264" s="0" t="n">
        <v>1.2885</v>
      </c>
      <c r="CA264" s="0" t="n">
        <v>2.001</v>
      </c>
      <c r="CB264" s="0" t="n">
        <v>1.594005</v>
      </c>
      <c r="CC264" s="0" t="n">
        <v>1.594005</v>
      </c>
      <c r="CD264" s="0" t="n">
        <v>1.309905</v>
      </c>
      <c r="CE264" s="0" t="n">
        <v>1.118805</v>
      </c>
      <c r="CF264" s="0" t="n">
        <v>1.489405</v>
      </c>
      <c r="CG264" s="188"/>
      <c r="CH264" s="0" t="n">
        <v>1.10796</v>
      </c>
      <c r="CI264" s="188"/>
      <c r="CJ264" s="188"/>
      <c r="CK264" s="188"/>
      <c r="CL264" s="188"/>
      <c r="CM264" s="188"/>
      <c r="CN264" s="188"/>
      <c r="CO264" s="188"/>
      <c r="CP264" s="0" t="n">
        <v>0.975</v>
      </c>
      <c r="CV264" s="0" t="n">
        <v>0.52</v>
      </c>
      <c r="CW264" s="0" t="n">
        <v>0.925</v>
      </c>
      <c r="CX264" s="0" t="n">
        <v>0.885</v>
      </c>
      <c r="CZ264" s="0" t="n">
        <v>0.89</v>
      </c>
      <c r="DA264" s="0" t="n">
        <v>0.9225</v>
      </c>
      <c r="DB264" s="0" t="n">
        <v>0.915</v>
      </c>
      <c r="DC264" s="0" t="n">
        <v>0.9275</v>
      </c>
      <c r="DD264" s="0" t="n">
        <v>0.915</v>
      </c>
      <c r="DE264" s="0" t="n">
        <v>0.89</v>
      </c>
      <c r="DN264" s="188" t="n">
        <v>0.000285</v>
      </c>
      <c r="DO264" s="188" t="n">
        <v>0.0002</v>
      </c>
      <c r="DP264" s="188" t="n">
        <v>0</v>
      </c>
      <c r="DQ264" s="188" t="n">
        <v>0.0001</v>
      </c>
      <c r="DR264" s="188" t="n">
        <v>0</v>
      </c>
      <c r="DS264" s="188" t="n">
        <v>0.0036</v>
      </c>
      <c r="DT264" s="188" t="n">
        <v>0.00047</v>
      </c>
      <c r="DU264" s="188" t="n">
        <v>0.0007</v>
      </c>
      <c r="DV264" s="188" t="n">
        <v>0</v>
      </c>
      <c r="DW264" s="188" t="n">
        <v>0</v>
      </c>
      <c r="DX264" s="188" t="n">
        <v>0.0005</v>
      </c>
      <c r="DY264" s="188" t="n">
        <v>0.0005</v>
      </c>
      <c r="DZ264" s="188" t="n">
        <v>0.0003</v>
      </c>
      <c r="EA264" s="188" t="n">
        <v>0.000275</v>
      </c>
      <c r="EB264" s="188" t="n">
        <v>0.0004</v>
      </c>
      <c r="ED264" s="188" t="n">
        <v>6.5E-005</v>
      </c>
      <c r="EF264" s="0" t="n">
        <v>1</v>
      </c>
    </row>
    <row r="265" customFormat="false" ht="12.75" hidden="false" customHeight="false" outlineLevel="0" collapsed="false">
      <c r="A265" s="149" t="n">
        <v>44440</v>
      </c>
      <c r="B265" s="0" t="n">
        <v>0.98</v>
      </c>
      <c r="C265" s="0" t="n">
        <v>0</v>
      </c>
      <c r="E265" s="0" t="n">
        <v>0</v>
      </c>
      <c r="F265" s="0" t="n">
        <v>0</v>
      </c>
      <c r="G265" s="0" t="n">
        <v>0</v>
      </c>
      <c r="H265" s="0" t="n">
        <v>0.9875</v>
      </c>
      <c r="I265" s="0" t="n">
        <v>0.9875</v>
      </c>
      <c r="J265" s="0" t="n">
        <v>0.9805</v>
      </c>
      <c r="K265" s="0" t="n">
        <v>0</v>
      </c>
      <c r="L265" s="176" t="n">
        <v>0.9875</v>
      </c>
      <c r="M265" s="176" t="n">
        <v>0.9875</v>
      </c>
      <c r="N265" s="0" t="n">
        <v>0.98</v>
      </c>
      <c r="O265" s="0" t="n">
        <v>0.9875</v>
      </c>
      <c r="P265" s="0" t="n">
        <v>0.98</v>
      </c>
      <c r="Q265" s="177" t="n">
        <v>0.9875</v>
      </c>
      <c r="R265" s="0" t="n">
        <v>0.9875</v>
      </c>
      <c r="S265" s="176" t="n">
        <v>0.9875</v>
      </c>
      <c r="T265" s="0" t="n">
        <v>0.98</v>
      </c>
      <c r="U265" s="0" t="n">
        <v>0.98</v>
      </c>
      <c r="V265" s="0" t="n">
        <v>0.98</v>
      </c>
      <c r="W265" s="0" t="n">
        <v>0.98</v>
      </c>
      <c r="X265" s="0" t="n">
        <v>0.9875</v>
      </c>
      <c r="Y265" s="0" t="n">
        <v>0.9875</v>
      </c>
      <c r="Z265" s="0" t="n">
        <v>0.9875</v>
      </c>
      <c r="AA265" s="0" t="n">
        <v>0.9875</v>
      </c>
      <c r="AB265" s="0" t="n">
        <v>0.98</v>
      </c>
      <c r="AC265" s="0" t="n">
        <v>0.98</v>
      </c>
      <c r="AD265" s="0" t="n">
        <v>0.9875</v>
      </c>
      <c r="AE265" s="0" t="n">
        <v>0.9875</v>
      </c>
      <c r="AF265" s="0" t="n">
        <v>0.98</v>
      </c>
      <c r="AG265" s="0" t="n">
        <v>0.99</v>
      </c>
      <c r="AH265" s="0" t="n">
        <v>0.985</v>
      </c>
      <c r="AI265" s="0" t="n">
        <v>0.985</v>
      </c>
      <c r="AJ265" s="0" t="n">
        <v>0.98</v>
      </c>
      <c r="AK265" s="0" t="n">
        <v>1</v>
      </c>
      <c r="AL265" s="0" t="n">
        <v>0</v>
      </c>
      <c r="AM265" s="0" t="n">
        <v>0</v>
      </c>
      <c r="BB265" s="187" t="n">
        <v>1</v>
      </c>
      <c r="BC265" s="0" t="n">
        <v>1</v>
      </c>
      <c r="BD265" s="0" t="n">
        <v>1</v>
      </c>
      <c r="BE265" s="0" t="n">
        <v>1</v>
      </c>
      <c r="BF265" s="0" t="n">
        <v>0.9999</v>
      </c>
      <c r="BG265" s="0" t="n">
        <v>1</v>
      </c>
      <c r="BH265" s="0" t="n">
        <v>1</v>
      </c>
      <c r="BI265" s="0" t="n">
        <v>0.99</v>
      </c>
      <c r="BJ265" s="0" t="n">
        <v>0.999</v>
      </c>
      <c r="BK265" s="0" t="n">
        <v>0.998</v>
      </c>
      <c r="BL265" s="0" t="n">
        <v>0.9985</v>
      </c>
      <c r="BM265" s="0" t="n">
        <v>0.9985</v>
      </c>
      <c r="BN265" s="0" t="n">
        <v>0.972</v>
      </c>
      <c r="BO265" s="0" t="n">
        <v>0.9999</v>
      </c>
      <c r="BP265" s="0" t="n">
        <v>0.9999</v>
      </c>
      <c r="BQ265" s="0" t="n">
        <v>1</v>
      </c>
      <c r="BR265" s="0" t="n">
        <v>1.1379626</v>
      </c>
      <c r="BS265" s="0" t="n">
        <v>1.141</v>
      </c>
      <c r="BT265" s="0" t="n">
        <v>1.0827</v>
      </c>
      <c r="BU265" s="0" t="n">
        <v>1.0308</v>
      </c>
      <c r="BV265" s="0" t="n">
        <v>1</v>
      </c>
      <c r="BW265" s="0" t="n">
        <v>2.7798</v>
      </c>
      <c r="BX265" s="0" t="n">
        <v>2.353826333</v>
      </c>
      <c r="BY265" s="0" t="n">
        <v>1.20055</v>
      </c>
      <c r="BZ265" s="0" t="n">
        <v>1.2885</v>
      </c>
      <c r="CA265" s="0" t="n">
        <v>2.001</v>
      </c>
      <c r="CB265" s="0" t="n">
        <v>1.594505</v>
      </c>
      <c r="CC265" s="0" t="n">
        <v>1.594505</v>
      </c>
      <c r="CD265" s="0" t="n">
        <v>1.310205</v>
      </c>
      <c r="CE265" s="0" t="n">
        <v>1.11908</v>
      </c>
      <c r="CF265" s="0" t="n">
        <v>1.489805</v>
      </c>
      <c r="CG265" s="188"/>
      <c r="CH265" s="0" t="n">
        <v>1.108025</v>
      </c>
      <c r="CI265" s="188"/>
      <c r="CJ265" s="188"/>
      <c r="CK265" s="188"/>
      <c r="CL265" s="188"/>
      <c r="CM265" s="188"/>
      <c r="CN265" s="188"/>
      <c r="CO265" s="188"/>
      <c r="CP265" s="0" t="n">
        <v>0.975</v>
      </c>
      <c r="CV265" s="0" t="n">
        <v>0.55</v>
      </c>
      <c r="CW265" s="0" t="n">
        <v>0.925</v>
      </c>
      <c r="CX265" s="0" t="n">
        <v>0.745</v>
      </c>
      <c r="CZ265" s="0" t="n">
        <v>0.945</v>
      </c>
      <c r="DA265" s="0" t="n">
        <v>0.9775</v>
      </c>
      <c r="DB265" s="0" t="n">
        <v>0.945</v>
      </c>
      <c r="DC265" s="0" t="n">
        <v>0.92</v>
      </c>
      <c r="DD265" s="0" t="n">
        <v>0.915</v>
      </c>
      <c r="DE265" s="0" t="n">
        <v>0.89</v>
      </c>
      <c r="DN265" s="188" t="n">
        <v>0.000285</v>
      </c>
      <c r="DO265" s="188" t="n">
        <v>0.0002</v>
      </c>
      <c r="DP265" s="188" t="n">
        <v>0</v>
      </c>
      <c r="DQ265" s="188" t="n">
        <v>0.0001</v>
      </c>
      <c r="DR265" s="188" t="n">
        <v>0</v>
      </c>
      <c r="DS265" s="188" t="n">
        <v>0.0036</v>
      </c>
      <c r="DT265" s="188" t="n">
        <v>0.00047</v>
      </c>
      <c r="DU265" s="188" t="n">
        <v>0.0007</v>
      </c>
      <c r="DV265" s="188" t="n">
        <v>0</v>
      </c>
      <c r="DW265" s="188" t="n">
        <v>0</v>
      </c>
      <c r="DX265" s="188" t="n">
        <v>0.0005</v>
      </c>
      <c r="DY265" s="188" t="n">
        <v>0.0005</v>
      </c>
      <c r="DZ265" s="188" t="n">
        <v>0.0003</v>
      </c>
      <c r="EA265" s="188" t="n">
        <v>0.000275</v>
      </c>
      <c r="EB265" s="188" t="n">
        <v>0.0004</v>
      </c>
      <c r="ED265" s="188" t="n">
        <v>6.5E-005</v>
      </c>
      <c r="EF265" s="0" t="n">
        <v>1</v>
      </c>
    </row>
    <row r="266" customFormat="false" ht="12.75" hidden="false" customHeight="false" outlineLevel="0" collapsed="false">
      <c r="A266" s="149" t="n">
        <v>44470</v>
      </c>
      <c r="B266" s="0" t="n">
        <v>0.98</v>
      </c>
      <c r="C266" s="0" t="n">
        <v>0</v>
      </c>
      <c r="E266" s="0" t="n">
        <v>0</v>
      </c>
      <c r="F266" s="0" t="n">
        <v>0</v>
      </c>
      <c r="G266" s="0" t="n">
        <v>0</v>
      </c>
      <c r="H266" s="0" t="n">
        <v>0.9875</v>
      </c>
      <c r="I266" s="0" t="n">
        <v>0.9875</v>
      </c>
      <c r="J266" s="0" t="n">
        <v>0.9805</v>
      </c>
      <c r="K266" s="0" t="n">
        <v>0</v>
      </c>
      <c r="L266" s="176" t="n">
        <v>0.9875</v>
      </c>
      <c r="M266" s="176" t="n">
        <v>0.9875</v>
      </c>
      <c r="N266" s="0" t="n">
        <v>0.98</v>
      </c>
      <c r="O266" s="0" t="n">
        <v>0.9875</v>
      </c>
      <c r="P266" s="0" t="n">
        <v>0.98</v>
      </c>
      <c r="Q266" s="177" t="n">
        <v>0.9875</v>
      </c>
      <c r="R266" s="0" t="n">
        <v>0.9875</v>
      </c>
      <c r="S266" s="176" t="n">
        <v>0.9875</v>
      </c>
      <c r="T266" s="0" t="n">
        <v>0.98</v>
      </c>
      <c r="U266" s="0" t="n">
        <v>0.98</v>
      </c>
      <c r="V266" s="0" t="n">
        <v>0.98</v>
      </c>
      <c r="W266" s="0" t="n">
        <v>0.98</v>
      </c>
      <c r="X266" s="0" t="n">
        <v>0.9875</v>
      </c>
      <c r="Y266" s="0" t="n">
        <v>0.9875</v>
      </c>
      <c r="Z266" s="0" t="n">
        <v>0.9875</v>
      </c>
      <c r="AA266" s="0" t="n">
        <v>0.9875</v>
      </c>
      <c r="AB266" s="0" t="n">
        <v>0.98</v>
      </c>
      <c r="AC266" s="0" t="n">
        <v>0.98</v>
      </c>
      <c r="AD266" s="0" t="n">
        <v>0.9875</v>
      </c>
      <c r="AE266" s="0" t="n">
        <v>0.9875</v>
      </c>
      <c r="AF266" s="0" t="n">
        <v>0.98</v>
      </c>
      <c r="AG266" s="0" t="n">
        <v>0.99</v>
      </c>
      <c r="AH266" s="0" t="n">
        <v>0.985</v>
      </c>
      <c r="AI266" s="0" t="n">
        <v>0.985</v>
      </c>
      <c r="AJ266" s="0" t="n">
        <v>0.98</v>
      </c>
      <c r="AK266" s="0" t="n">
        <v>1</v>
      </c>
      <c r="AL266" s="0" t="n">
        <v>0</v>
      </c>
      <c r="AM266" s="0" t="n">
        <v>0</v>
      </c>
      <c r="BB266" s="187" t="n">
        <v>1</v>
      </c>
      <c r="BC266" s="0" t="n">
        <v>1</v>
      </c>
      <c r="BD266" s="0" t="n">
        <v>1</v>
      </c>
      <c r="BE266" s="0" t="n">
        <v>1</v>
      </c>
      <c r="BF266" s="0" t="n">
        <v>0.9999</v>
      </c>
      <c r="BG266" s="0" t="n">
        <v>1</v>
      </c>
      <c r="BH266" s="0" t="n">
        <v>1</v>
      </c>
      <c r="BI266" s="0" t="n">
        <v>0.99</v>
      </c>
      <c r="BJ266" s="0" t="n">
        <v>0.999</v>
      </c>
      <c r="BK266" s="0" t="n">
        <v>0.998</v>
      </c>
      <c r="BL266" s="0" t="n">
        <v>0.9985</v>
      </c>
      <c r="BM266" s="0" t="n">
        <v>0.9985</v>
      </c>
      <c r="BN266" s="0" t="n">
        <v>0.972</v>
      </c>
      <c r="BO266" s="0" t="n">
        <v>0.9999</v>
      </c>
      <c r="BP266" s="0" t="n">
        <v>0.9999</v>
      </c>
      <c r="BQ266" s="0" t="n">
        <v>1</v>
      </c>
      <c r="BR266" s="0" t="n">
        <v>1.1382476</v>
      </c>
      <c r="BS266" s="0" t="n">
        <v>1.1412</v>
      </c>
      <c r="BT266" s="0" t="n">
        <v>1.0827</v>
      </c>
      <c r="BU266" s="0" t="n">
        <v>1.0309</v>
      </c>
      <c r="BV266" s="0" t="n">
        <v>1</v>
      </c>
      <c r="BW266" s="0" t="n">
        <v>2.7834</v>
      </c>
      <c r="BX266" s="0" t="n">
        <v>2.354296333</v>
      </c>
      <c r="BY266" s="0" t="n">
        <v>1.20125</v>
      </c>
      <c r="BZ266" s="0" t="n">
        <v>1.2885</v>
      </c>
      <c r="CA266" s="0" t="n">
        <v>2.001</v>
      </c>
      <c r="CB266" s="0" t="n">
        <v>1.595005</v>
      </c>
      <c r="CC266" s="0" t="n">
        <v>1.595005</v>
      </c>
      <c r="CD266" s="0" t="n">
        <v>1.310505</v>
      </c>
      <c r="CE266" s="0" t="n">
        <v>1.119355</v>
      </c>
      <c r="CF266" s="0" t="n">
        <v>1.490205</v>
      </c>
      <c r="CG266" s="188"/>
      <c r="CH266" s="0" t="n">
        <v>1.10809</v>
      </c>
      <c r="CI266" s="188"/>
      <c r="CJ266" s="188"/>
      <c r="CK266" s="188"/>
      <c r="CL266" s="188"/>
      <c r="CM266" s="188"/>
      <c r="CN266" s="188"/>
      <c r="CO266" s="188"/>
      <c r="CP266" s="0" t="n">
        <v>0.955</v>
      </c>
      <c r="CV266" s="0" t="n">
        <v>0.45</v>
      </c>
      <c r="CW266" s="0" t="n">
        <v>0.925</v>
      </c>
      <c r="CX266" s="0" t="n">
        <v>0.735</v>
      </c>
      <c r="CZ266" s="0" t="n">
        <v>0.805</v>
      </c>
      <c r="DA266" s="0" t="n">
        <v>0.8375</v>
      </c>
      <c r="DB266" s="0" t="n">
        <v>0.875</v>
      </c>
      <c r="DC266" s="0" t="n">
        <v>0.9025</v>
      </c>
      <c r="DD266" s="0" t="n">
        <v>0.82</v>
      </c>
      <c r="DE266" s="0" t="n">
        <v>0.89</v>
      </c>
      <c r="DN266" s="188" t="n">
        <v>0.000285</v>
      </c>
      <c r="DO266" s="188" t="n">
        <v>0.0002</v>
      </c>
      <c r="DP266" s="188" t="n">
        <v>0</v>
      </c>
      <c r="DQ266" s="188" t="n">
        <v>0.0001</v>
      </c>
      <c r="DR266" s="188" t="n">
        <v>0</v>
      </c>
      <c r="DS266" s="188" t="n">
        <v>0.0036</v>
      </c>
      <c r="DT266" s="188" t="n">
        <v>0.00047</v>
      </c>
      <c r="DU266" s="188" t="n">
        <v>0.0007</v>
      </c>
      <c r="DV266" s="188" t="n">
        <v>0</v>
      </c>
      <c r="DW266" s="188" t="n">
        <v>0</v>
      </c>
      <c r="DX266" s="188" t="n">
        <v>0.0005</v>
      </c>
      <c r="DY266" s="188" t="n">
        <v>0.0005</v>
      </c>
      <c r="DZ266" s="188" t="n">
        <v>0.0003</v>
      </c>
      <c r="EA266" s="188" t="n">
        <v>0.000275</v>
      </c>
      <c r="EB266" s="188" t="n">
        <v>0.0004</v>
      </c>
      <c r="ED266" s="188" t="n">
        <v>6.5E-005</v>
      </c>
      <c r="EF266" s="0" t="n">
        <v>1</v>
      </c>
    </row>
    <row r="267" customFormat="false" ht="12.75" hidden="false" customHeight="false" outlineLevel="0" collapsed="false">
      <c r="A267" s="149" t="n">
        <v>44501</v>
      </c>
      <c r="B267" s="0" t="n">
        <v>0.98</v>
      </c>
      <c r="C267" s="0" t="n">
        <v>0</v>
      </c>
      <c r="E267" s="0" t="n">
        <v>0</v>
      </c>
      <c r="F267" s="0" t="n">
        <v>0</v>
      </c>
      <c r="G267" s="0" t="n">
        <v>0</v>
      </c>
      <c r="H267" s="0" t="n">
        <v>0.9875</v>
      </c>
      <c r="I267" s="0" t="n">
        <v>0.9875</v>
      </c>
      <c r="J267" s="0" t="n">
        <v>0.9805</v>
      </c>
      <c r="K267" s="0" t="n">
        <v>0</v>
      </c>
      <c r="L267" s="176" t="n">
        <v>0.9875</v>
      </c>
      <c r="M267" s="176" t="n">
        <v>0.9875</v>
      </c>
      <c r="N267" s="0" t="n">
        <v>0.98</v>
      </c>
      <c r="O267" s="0" t="n">
        <v>0.9875</v>
      </c>
      <c r="P267" s="0" t="n">
        <v>0.98</v>
      </c>
      <c r="Q267" s="177" t="n">
        <v>0.9875</v>
      </c>
      <c r="R267" s="0" t="n">
        <v>0.9875</v>
      </c>
      <c r="S267" s="176" t="n">
        <v>0.9875</v>
      </c>
      <c r="T267" s="0" t="n">
        <v>0.98</v>
      </c>
      <c r="U267" s="0" t="n">
        <v>0.98</v>
      </c>
      <c r="V267" s="0" t="n">
        <v>0.98</v>
      </c>
      <c r="W267" s="0" t="n">
        <v>0.98</v>
      </c>
      <c r="X267" s="0" t="n">
        <v>0.9875</v>
      </c>
      <c r="Y267" s="0" t="n">
        <v>0.9875</v>
      </c>
      <c r="Z267" s="0" t="n">
        <v>0.9875</v>
      </c>
      <c r="AA267" s="0" t="n">
        <v>0.9875</v>
      </c>
      <c r="AB267" s="0" t="n">
        <v>0.98</v>
      </c>
      <c r="AC267" s="0" t="n">
        <v>0.98</v>
      </c>
      <c r="AD267" s="0" t="n">
        <v>0.9875</v>
      </c>
      <c r="AE267" s="0" t="n">
        <v>0.9875</v>
      </c>
      <c r="AF267" s="0" t="n">
        <v>0.98</v>
      </c>
      <c r="AG267" s="0" t="n">
        <v>0.99</v>
      </c>
      <c r="AH267" s="0" t="n">
        <v>0.985</v>
      </c>
      <c r="AI267" s="0" t="n">
        <v>0.985</v>
      </c>
      <c r="AJ267" s="0" t="n">
        <v>0.98</v>
      </c>
      <c r="AK267" s="0" t="n">
        <v>1</v>
      </c>
      <c r="AL267" s="0" t="n">
        <v>0</v>
      </c>
      <c r="AM267" s="0" t="n">
        <v>0</v>
      </c>
      <c r="BB267" s="187" t="n">
        <v>1</v>
      </c>
      <c r="BC267" s="0" t="n">
        <v>1</v>
      </c>
      <c r="BD267" s="0" t="n">
        <v>1</v>
      </c>
      <c r="BE267" s="0" t="n">
        <v>1</v>
      </c>
      <c r="BF267" s="0" t="n">
        <v>0.9999</v>
      </c>
      <c r="BG267" s="0" t="n">
        <v>1</v>
      </c>
      <c r="BH267" s="0" t="n">
        <v>1</v>
      </c>
      <c r="BI267" s="0" t="n">
        <v>0.99</v>
      </c>
      <c r="BJ267" s="0" t="n">
        <v>0.999</v>
      </c>
      <c r="BK267" s="0" t="n">
        <v>0.998</v>
      </c>
      <c r="BL267" s="0" t="n">
        <v>0.9985</v>
      </c>
      <c r="BM267" s="0" t="n">
        <v>0.9985</v>
      </c>
      <c r="BN267" s="0" t="n">
        <v>0.972</v>
      </c>
      <c r="BO267" s="0" t="n">
        <v>0.9999</v>
      </c>
      <c r="BP267" s="0" t="n">
        <v>0.9999</v>
      </c>
      <c r="BQ267" s="0" t="n">
        <v>1</v>
      </c>
      <c r="BR267" s="0" t="n">
        <v>1.1385326</v>
      </c>
      <c r="BS267" s="0" t="n">
        <v>1.1414</v>
      </c>
      <c r="BT267" s="0" t="n">
        <v>1.0827</v>
      </c>
      <c r="BU267" s="0" t="n">
        <v>1.031</v>
      </c>
      <c r="BV267" s="0" t="n">
        <v>1</v>
      </c>
      <c r="BW267" s="0" t="n">
        <v>2.787</v>
      </c>
      <c r="BX267" s="0" t="n">
        <v>2.354766333</v>
      </c>
      <c r="BY267" s="0" t="n">
        <v>1.20195</v>
      </c>
      <c r="BZ267" s="0" t="n">
        <v>1.2885</v>
      </c>
      <c r="CA267" s="0" t="n">
        <v>2.001</v>
      </c>
      <c r="CB267" s="0" t="n">
        <v>1.595505</v>
      </c>
      <c r="CC267" s="0" t="n">
        <v>1.595505</v>
      </c>
      <c r="CD267" s="0" t="n">
        <v>1.310805</v>
      </c>
      <c r="CE267" s="0" t="n">
        <v>1.11963</v>
      </c>
      <c r="CF267" s="0" t="n">
        <v>1.490605</v>
      </c>
      <c r="CG267" s="188"/>
      <c r="CH267" s="0" t="n">
        <v>1.108155</v>
      </c>
      <c r="CI267" s="188"/>
      <c r="CJ267" s="188"/>
      <c r="CK267" s="188"/>
      <c r="CL267" s="188"/>
      <c r="CM267" s="188"/>
      <c r="CN267" s="188"/>
      <c r="CO267" s="188"/>
      <c r="CP267" s="0" t="n">
        <v>0.955</v>
      </c>
      <c r="CV267" s="0" t="n">
        <v>0.46</v>
      </c>
      <c r="CW267" s="0" t="n">
        <v>0.905</v>
      </c>
      <c r="CX267" s="0" t="n">
        <v>0.695</v>
      </c>
      <c r="CZ267" s="0" t="n">
        <v>0.795</v>
      </c>
      <c r="DA267" s="0" t="n">
        <v>0.8275</v>
      </c>
      <c r="DB267" s="0" t="n">
        <v>0.85</v>
      </c>
      <c r="DC267" s="0" t="n">
        <v>0.9025</v>
      </c>
      <c r="DD267" s="0" t="n">
        <v>0.82</v>
      </c>
      <c r="DE267" s="0" t="n">
        <v>0.89</v>
      </c>
      <c r="DN267" s="188" t="n">
        <v>0.000285</v>
      </c>
      <c r="DO267" s="188" t="n">
        <v>0.0002</v>
      </c>
      <c r="DP267" s="188" t="n">
        <v>0</v>
      </c>
      <c r="DQ267" s="188" t="n">
        <v>0.0001</v>
      </c>
      <c r="DR267" s="188" t="n">
        <v>0</v>
      </c>
      <c r="DS267" s="188" t="n">
        <v>0.0036</v>
      </c>
      <c r="DT267" s="188" t="n">
        <v>0.00047</v>
      </c>
      <c r="DU267" s="188" t="n">
        <v>0.0007</v>
      </c>
      <c r="DV267" s="188" t="n">
        <v>0</v>
      </c>
      <c r="DW267" s="188" t="n">
        <v>0</v>
      </c>
      <c r="DX267" s="188" t="n">
        <v>0.0005</v>
      </c>
      <c r="DY267" s="188" t="n">
        <v>0.0005</v>
      </c>
      <c r="DZ267" s="188" t="n">
        <v>0.0003</v>
      </c>
      <c r="EA267" s="188" t="n">
        <v>0.000275</v>
      </c>
      <c r="EB267" s="188" t="n">
        <v>0.0004</v>
      </c>
      <c r="ED267" s="188" t="n">
        <v>6.5E-005</v>
      </c>
      <c r="EF267" s="0" t="n">
        <v>1</v>
      </c>
    </row>
    <row r="268" customFormat="false" ht="12.75" hidden="false" customHeight="false" outlineLevel="0" collapsed="false">
      <c r="A268" s="149" t="n">
        <v>44531</v>
      </c>
      <c r="B268" s="0" t="n">
        <v>0.98</v>
      </c>
      <c r="C268" s="0" t="n">
        <v>0</v>
      </c>
      <c r="E268" s="0" t="n">
        <v>0</v>
      </c>
      <c r="F268" s="0" t="n">
        <v>0</v>
      </c>
      <c r="G268" s="0" t="n">
        <v>0</v>
      </c>
      <c r="H268" s="0" t="n">
        <v>0.9875</v>
      </c>
      <c r="I268" s="0" t="n">
        <v>0.9875</v>
      </c>
      <c r="J268" s="0" t="n">
        <v>0.9805</v>
      </c>
      <c r="K268" s="0" t="n">
        <v>0</v>
      </c>
      <c r="L268" s="176" t="n">
        <v>0.94164295</v>
      </c>
      <c r="M268" s="176" t="n">
        <v>0.9875</v>
      </c>
      <c r="N268" s="0" t="n">
        <v>0.90466245</v>
      </c>
      <c r="O268" s="0" t="n">
        <v>0.9875</v>
      </c>
      <c r="P268" s="0" t="n">
        <v>0.90466245</v>
      </c>
      <c r="Q268" s="177" t="n">
        <v>0.94164295</v>
      </c>
      <c r="R268" s="0" t="n">
        <v>0.94164295</v>
      </c>
      <c r="S268" s="176" t="n">
        <v>0.94164295</v>
      </c>
      <c r="T268" s="0" t="n">
        <v>0.90466245</v>
      </c>
      <c r="U268" s="0" t="n">
        <v>0.90466245</v>
      </c>
      <c r="V268" s="0" t="n">
        <v>0.90466245</v>
      </c>
      <c r="W268" s="0" t="n">
        <v>0.90466245</v>
      </c>
      <c r="X268" s="0" t="n">
        <v>0.9875</v>
      </c>
      <c r="Y268" s="0" t="n">
        <v>0.9875</v>
      </c>
      <c r="Z268" s="0" t="n">
        <v>0.9875</v>
      </c>
      <c r="AA268" s="0" t="n">
        <v>0.9875</v>
      </c>
      <c r="AB268" s="0" t="n">
        <v>0.90466245</v>
      </c>
      <c r="AC268" s="0" t="n">
        <v>0.90466245</v>
      </c>
      <c r="AD268" s="0" t="n">
        <v>0.9875</v>
      </c>
      <c r="AE268" s="0" t="n">
        <v>0.9875</v>
      </c>
      <c r="AF268" s="0" t="n">
        <v>0.90466245</v>
      </c>
      <c r="AG268" s="0" t="n">
        <v>0.98</v>
      </c>
      <c r="AH268" s="0" t="n">
        <v>0.985</v>
      </c>
      <c r="AI268" s="0" t="n">
        <v>0.985</v>
      </c>
      <c r="AJ268" s="0" t="n">
        <v>0.90466245</v>
      </c>
      <c r="AK268" s="0" t="n">
        <v>1</v>
      </c>
      <c r="AL268" s="0" t="n">
        <v>0</v>
      </c>
      <c r="AM268" s="0" t="n">
        <v>0</v>
      </c>
      <c r="BB268" s="187" t="n">
        <v>1</v>
      </c>
      <c r="BC268" s="0" t="n">
        <v>1</v>
      </c>
      <c r="BD268" s="0" t="n">
        <v>1</v>
      </c>
      <c r="BE268" s="0" t="n">
        <v>1</v>
      </c>
      <c r="BF268" s="0" t="n">
        <v>0.9999</v>
      </c>
      <c r="BG268" s="0" t="n">
        <v>1</v>
      </c>
      <c r="BH268" s="0" t="n">
        <v>1</v>
      </c>
      <c r="BI268" s="0" t="n">
        <v>0.99</v>
      </c>
      <c r="BJ268" s="0" t="n">
        <v>0.999</v>
      </c>
      <c r="BK268" s="0" t="n">
        <v>0.998</v>
      </c>
      <c r="BL268" s="0" t="n">
        <v>0.9985</v>
      </c>
      <c r="BM268" s="0" t="n">
        <v>0.9985</v>
      </c>
      <c r="BN268" s="0" t="n">
        <v>0.972</v>
      </c>
      <c r="BO268" s="0" t="n">
        <v>0.9999</v>
      </c>
      <c r="BP268" s="0" t="n">
        <v>0.9999</v>
      </c>
      <c r="BQ268" s="0" t="n">
        <v>1</v>
      </c>
      <c r="BR268" s="0" t="n">
        <v>1.1388176</v>
      </c>
      <c r="BS268" s="0" t="n">
        <v>1.1416</v>
      </c>
      <c r="BT268" s="0" t="n">
        <v>1.0827</v>
      </c>
      <c r="BU268" s="0" t="n">
        <v>1.0311</v>
      </c>
      <c r="BV268" s="0" t="n">
        <v>1</v>
      </c>
      <c r="BW268" s="0" t="n">
        <v>2.7906</v>
      </c>
      <c r="BX268" s="0" t="n">
        <v>2.355236333</v>
      </c>
      <c r="BY268" s="0" t="n">
        <v>1.20265</v>
      </c>
      <c r="BZ268" s="0" t="n">
        <v>1.2885</v>
      </c>
      <c r="CA268" s="0" t="n">
        <v>2.001</v>
      </c>
      <c r="CB268" s="0" t="n">
        <v>1.596005</v>
      </c>
      <c r="CC268" s="0" t="n">
        <v>1.596005</v>
      </c>
      <c r="CD268" s="0" t="n">
        <v>1.311105</v>
      </c>
      <c r="CE268" s="0" t="n">
        <v>1.119905</v>
      </c>
      <c r="CF268" s="0" t="n">
        <v>1.491005</v>
      </c>
      <c r="CG268" s="188"/>
      <c r="CH268" s="0" t="n">
        <v>1.10822</v>
      </c>
      <c r="CI268" s="188"/>
      <c r="CJ268" s="188"/>
      <c r="CK268" s="188"/>
      <c r="CL268" s="188"/>
      <c r="CM268" s="188"/>
      <c r="CN268" s="188"/>
      <c r="CO268" s="188"/>
      <c r="CP268" s="0" t="n">
        <v>0.935</v>
      </c>
      <c r="CV268" s="0" t="n">
        <v>0.48</v>
      </c>
      <c r="CW268" s="0" t="n">
        <v>0.875</v>
      </c>
      <c r="CX268" s="0" t="n">
        <v>0.7</v>
      </c>
      <c r="CZ268" s="0" t="n">
        <v>0.59</v>
      </c>
      <c r="DA268" s="0" t="n">
        <v>0.6225</v>
      </c>
      <c r="DB268" s="0" t="n">
        <v>0.69</v>
      </c>
      <c r="DC268" s="0" t="n">
        <v>0.8925</v>
      </c>
      <c r="DD268" s="0" t="n">
        <v>0.715</v>
      </c>
      <c r="DE268" s="0" t="n">
        <v>0.89</v>
      </c>
      <c r="DN268" s="188" t="n">
        <v>0.000285</v>
      </c>
      <c r="DO268" s="188" t="n">
        <v>0.0002</v>
      </c>
      <c r="DP268" s="188" t="n">
        <v>0</v>
      </c>
      <c r="DQ268" s="188" t="n">
        <v>0.0001</v>
      </c>
      <c r="DR268" s="188" t="n">
        <v>0</v>
      </c>
      <c r="DS268" s="188" t="n">
        <v>0.0036</v>
      </c>
      <c r="DT268" s="188" t="n">
        <v>0.00047</v>
      </c>
      <c r="DU268" s="188" t="n">
        <v>0.0007</v>
      </c>
      <c r="DV268" s="188" t="n">
        <v>0</v>
      </c>
      <c r="DW268" s="188" t="n">
        <v>0</v>
      </c>
      <c r="DX268" s="188" t="n">
        <v>0.0005</v>
      </c>
      <c r="DY268" s="188" t="n">
        <v>0.0005</v>
      </c>
      <c r="DZ268" s="188" t="n">
        <v>0.0003</v>
      </c>
      <c r="EA268" s="188" t="n">
        <v>0.000275</v>
      </c>
      <c r="EB268" s="188" t="n">
        <v>0.0004</v>
      </c>
      <c r="ED268" s="188" t="n">
        <v>6.5E-005</v>
      </c>
      <c r="EF268" s="0" t="n">
        <v>1</v>
      </c>
    </row>
    <row r="269" customFormat="false" ht="12.75" hidden="false" customHeight="false" outlineLevel="0" collapsed="false">
      <c r="A269" s="149" t="n">
        <v>44562</v>
      </c>
      <c r="B269" s="0" t="n">
        <v>0.98</v>
      </c>
      <c r="C269" s="0" t="n">
        <v>0</v>
      </c>
      <c r="E269" s="0" t="n">
        <v>0</v>
      </c>
      <c r="F269" s="0" t="n">
        <v>0</v>
      </c>
      <c r="G269" s="0" t="n">
        <v>0</v>
      </c>
      <c r="H269" s="0" t="n">
        <v>0.9875</v>
      </c>
      <c r="I269" s="0" t="n">
        <v>0.96869675</v>
      </c>
      <c r="J269" s="0" t="n">
        <v>0.9805</v>
      </c>
      <c r="K269" s="0" t="n">
        <v>0</v>
      </c>
      <c r="L269" s="176" t="n">
        <v>0.965885525</v>
      </c>
      <c r="M269" s="176" t="n">
        <v>0.9875</v>
      </c>
      <c r="N269" s="0" t="n">
        <v>0.90486945</v>
      </c>
      <c r="O269" s="0" t="n">
        <v>0.9857584</v>
      </c>
      <c r="P269" s="0" t="n">
        <v>0.90486945</v>
      </c>
      <c r="Q269" s="177" t="n">
        <v>0.965885525</v>
      </c>
      <c r="R269" s="0" t="n">
        <v>0.965885525</v>
      </c>
      <c r="S269" s="176" t="n">
        <v>0.965885525</v>
      </c>
      <c r="T269" s="0" t="n">
        <v>0.90486945</v>
      </c>
      <c r="U269" s="0" t="n">
        <v>0.90486945</v>
      </c>
      <c r="V269" s="0" t="n">
        <v>0.90486945</v>
      </c>
      <c r="W269" s="0" t="n">
        <v>0.90486945</v>
      </c>
      <c r="X269" s="0" t="n">
        <v>0.9857584</v>
      </c>
      <c r="Y269" s="0" t="n">
        <v>0.9857584</v>
      </c>
      <c r="Z269" s="0" t="n">
        <v>0.9857584</v>
      </c>
      <c r="AA269" s="0" t="n">
        <v>0.9857584</v>
      </c>
      <c r="AB269" s="0" t="n">
        <v>0.90486945</v>
      </c>
      <c r="AC269" s="0" t="n">
        <v>0.90486945</v>
      </c>
      <c r="AD269" s="0" t="n">
        <v>0.9857584</v>
      </c>
      <c r="AE269" s="0" t="n">
        <v>0.9857584</v>
      </c>
      <c r="AF269" s="0" t="n">
        <v>0.90486945</v>
      </c>
      <c r="AG269" s="0" t="n">
        <v>0.98</v>
      </c>
      <c r="AH269" s="0" t="n">
        <v>0.985</v>
      </c>
      <c r="AI269" s="0" t="n">
        <v>0.985</v>
      </c>
      <c r="AJ269" s="0" t="n">
        <v>0.90486945</v>
      </c>
      <c r="AK269" s="0" t="n">
        <v>1</v>
      </c>
      <c r="AL269" s="0" t="n">
        <v>0</v>
      </c>
      <c r="AM269" s="0" t="n">
        <v>0</v>
      </c>
      <c r="BB269" s="187" t="n">
        <v>1</v>
      </c>
      <c r="BC269" s="0" t="n">
        <v>1</v>
      </c>
      <c r="BD269" s="0" t="n">
        <v>1</v>
      </c>
      <c r="BE269" s="0" t="n">
        <v>1</v>
      </c>
      <c r="BF269" s="0" t="n">
        <v>0.9999</v>
      </c>
      <c r="BG269" s="0" t="n">
        <v>1</v>
      </c>
      <c r="BH269" s="0" t="n">
        <v>1</v>
      </c>
      <c r="BI269" s="0" t="n">
        <v>0.99</v>
      </c>
      <c r="BJ269" s="0" t="n">
        <v>0.999</v>
      </c>
      <c r="BK269" s="0" t="n">
        <v>0.998</v>
      </c>
      <c r="BL269" s="0" t="n">
        <v>0.9985</v>
      </c>
      <c r="BM269" s="0" t="n">
        <v>0.9985</v>
      </c>
      <c r="BN269" s="0" t="n">
        <v>0.972</v>
      </c>
      <c r="BO269" s="0" t="n">
        <v>0.9999</v>
      </c>
      <c r="BP269" s="0" t="n">
        <v>0.9999</v>
      </c>
      <c r="BQ269" s="0" t="n">
        <v>1</v>
      </c>
      <c r="BR269" s="0" t="n">
        <v>1.1391026</v>
      </c>
      <c r="BS269" s="0" t="n">
        <v>1.1418</v>
      </c>
      <c r="BT269" s="0" t="n">
        <v>1.0827</v>
      </c>
      <c r="BU269" s="0" t="n">
        <v>1.0312</v>
      </c>
      <c r="BV269" s="0" t="n">
        <v>1</v>
      </c>
      <c r="BW269" s="0" t="n">
        <v>2.7942</v>
      </c>
      <c r="BX269" s="0" t="n">
        <v>2.355706333</v>
      </c>
      <c r="BY269" s="0" t="n">
        <v>1.20335</v>
      </c>
      <c r="BZ269" s="0" t="n">
        <v>1.2885</v>
      </c>
      <c r="CA269" s="0" t="n">
        <v>2.001</v>
      </c>
      <c r="CB269" s="0" t="n">
        <v>1.596505</v>
      </c>
      <c r="CC269" s="0" t="n">
        <v>1.596505</v>
      </c>
      <c r="CD269" s="0" t="n">
        <v>1.311405</v>
      </c>
      <c r="CE269" s="0" t="n">
        <v>1.12018</v>
      </c>
      <c r="CF269" s="0" t="n">
        <v>1.491405</v>
      </c>
      <c r="CG269" s="188"/>
      <c r="CH269" s="0" t="n">
        <v>1.108285</v>
      </c>
      <c r="CI269" s="188"/>
      <c r="CJ269" s="188"/>
      <c r="CK269" s="188"/>
      <c r="CL269" s="188"/>
      <c r="CM269" s="188"/>
      <c r="CN269" s="188"/>
      <c r="CO269" s="188"/>
      <c r="CP269" s="0" t="n">
        <v>0.895</v>
      </c>
      <c r="CV269" s="0" t="n">
        <v>0.45</v>
      </c>
      <c r="CW269" s="0" t="n">
        <v>0.805</v>
      </c>
      <c r="CX269" s="0" t="n">
        <v>0.71</v>
      </c>
      <c r="CZ269" s="0" t="n">
        <v>0.605</v>
      </c>
      <c r="DA269" s="0" t="n">
        <v>0.6375</v>
      </c>
      <c r="DB269" s="0" t="n">
        <v>0.69</v>
      </c>
      <c r="DC269" s="0" t="n">
        <v>0.88</v>
      </c>
      <c r="DD269" s="0" t="n">
        <v>0.64</v>
      </c>
      <c r="DE269" s="0" t="n">
        <v>0.89</v>
      </c>
      <c r="DN269" s="188" t="n">
        <v>0.000285</v>
      </c>
      <c r="DO269" s="188" t="n">
        <v>0.0002</v>
      </c>
      <c r="DP269" s="188" t="n">
        <v>0</v>
      </c>
      <c r="DQ269" s="188" t="n">
        <v>0.0001</v>
      </c>
      <c r="DR269" s="188" t="n">
        <v>0</v>
      </c>
      <c r="DS269" s="188" t="n">
        <v>0.0036</v>
      </c>
      <c r="DT269" s="188" t="n">
        <v>0.00047</v>
      </c>
      <c r="DU269" s="188" t="n">
        <v>0.0007</v>
      </c>
      <c r="DV269" s="188" t="n">
        <v>0</v>
      </c>
      <c r="DW269" s="188" t="n">
        <v>0</v>
      </c>
      <c r="DX269" s="188" t="n">
        <v>0.0005</v>
      </c>
      <c r="DY269" s="188" t="n">
        <v>0.0005</v>
      </c>
      <c r="DZ269" s="188" t="n">
        <v>0.0003</v>
      </c>
      <c r="EA269" s="188" t="n">
        <v>0.000275</v>
      </c>
      <c r="EB269" s="188" t="n">
        <v>0.0004</v>
      </c>
      <c r="ED269" s="188" t="n">
        <v>6.5E-005</v>
      </c>
      <c r="EF269" s="0" t="n">
        <v>1</v>
      </c>
    </row>
    <row r="270" customFormat="false" ht="12.75" hidden="false" customHeight="false" outlineLevel="0" collapsed="false">
      <c r="A270" s="149" t="n">
        <v>44593</v>
      </c>
      <c r="B270" s="0" t="n">
        <v>0.98</v>
      </c>
      <c r="C270" s="0" t="n">
        <v>0</v>
      </c>
      <c r="E270" s="0" t="n">
        <v>0</v>
      </c>
      <c r="F270" s="0" t="n">
        <v>0</v>
      </c>
      <c r="G270" s="0" t="n">
        <v>0</v>
      </c>
      <c r="H270" s="0" t="n">
        <v>0.9875</v>
      </c>
      <c r="I270" s="0" t="n">
        <v>0.9875</v>
      </c>
      <c r="J270" s="0" t="n">
        <v>0.9805</v>
      </c>
      <c r="K270" s="0" t="n">
        <v>0</v>
      </c>
      <c r="L270" s="176" t="n">
        <v>0.9875</v>
      </c>
      <c r="M270" s="176" t="n">
        <v>0.9875</v>
      </c>
      <c r="N270" s="0" t="n">
        <v>0.93131055</v>
      </c>
      <c r="O270" s="0" t="n">
        <v>0.983199263</v>
      </c>
      <c r="P270" s="0" t="n">
        <v>0.93131055</v>
      </c>
      <c r="Q270" s="177" t="n">
        <v>0.9875</v>
      </c>
      <c r="R270" s="0" t="n">
        <v>0.9875</v>
      </c>
      <c r="S270" s="176" t="n">
        <v>0.9875</v>
      </c>
      <c r="T270" s="0" t="n">
        <v>0.93131055</v>
      </c>
      <c r="U270" s="0" t="n">
        <v>0.93131055</v>
      </c>
      <c r="V270" s="0" t="n">
        <v>0.93131055</v>
      </c>
      <c r="W270" s="0" t="n">
        <v>0.93131055</v>
      </c>
      <c r="X270" s="0" t="n">
        <v>0.983199263</v>
      </c>
      <c r="Y270" s="0" t="n">
        <v>0.983199263</v>
      </c>
      <c r="Z270" s="0" t="n">
        <v>0.983199263</v>
      </c>
      <c r="AA270" s="0" t="n">
        <v>0.983199263</v>
      </c>
      <c r="AB270" s="0" t="n">
        <v>0.93131055</v>
      </c>
      <c r="AC270" s="0" t="n">
        <v>0.93131055</v>
      </c>
      <c r="AD270" s="0" t="n">
        <v>0.983199263</v>
      </c>
      <c r="AE270" s="0" t="n">
        <v>0.983199263</v>
      </c>
      <c r="AF270" s="0" t="n">
        <v>0.93131055</v>
      </c>
      <c r="AG270" s="0" t="n">
        <v>0.98</v>
      </c>
      <c r="AH270" s="0" t="n">
        <v>0.985</v>
      </c>
      <c r="AI270" s="0" t="n">
        <v>0.985</v>
      </c>
      <c r="AJ270" s="0" t="n">
        <v>0.93131055</v>
      </c>
      <c r="AK270" s="0" t="n">
        <v>1</v>
      </c>
      <c r="AL270" s="0" t="n">
        <v>0</v>
      </c>
      <c r="AM270" s="0" t="n">
        <v>0</v>
      </c>
      <c r="BB270" s="187" t="n">
        <v>1</v>
      </c>
      <c r="BC270" s="0" t="n">
        <v>1</v>
      </c>
      <c r="BD270" s="0" t="n">
        <v>1</v>
      </c>
      <c r="BE270" s="0" t="n">
        <v>1</v>
      </c>
      <c r="BF270" s="0" t="n">
        <v>0.9999</v>
      </c>
      <c r="BG270" s="0" t="n">
        <v>1</v>
      </c>
      <c r="BH270" s="0" t="n">
        <v>1</v>
      </c>
      <c r="BI270" s="0" t="n">
        <v>0.99</v>
      </c>
      <c r="BJ270" s="0" t="n">
        <v>0.999</v>
      </c>
      <c r="BK270" s="0" t="n">
        <v>0.998</v>
      </c>
      <c r="BL270" s="0" t="n">
        <v>0.9985</v>
      </c>
      <c r="BM270" s="0" t="n">
        <v>0.9985</v>
      </c>
      <c r="BN270" s="0" t="n">
        <v>0.972</v>
      </c>
      <c r="BO270" s="0" t="n">
        <v>0.9999</v>
      </c>
      <c r="BP270" s="0" t="n">
        <v>0.9999</v>
      </c>
      <c r="BQ270" s="0" t="n">
        <v>1</v>
      </c>
      <c r="BR270" s="0" t="n">
        <v>1.1393876</v>
      </c>
      <c r="BS270" s="0" t="n">
        <v>1.142</v>
      </c>
      <c r="BT270" s="0" t="n">
        <v>1.0827</v>
      </c>
      <c r="BU270" s="0" t="n">
        <v>1.0313</v>
      </c>
      <c r="BV270" s="0" t="n">
        <v>1</v>
      </c>
      <c r="BW270" s="0" t="n">
        <v>2.7978</v>
      </c>
      <c r="BX270" s="0" t="n">
        <v>2.356176333</v>
      </c>
      <c r="BY270" s="0" t="n">
        <v>1.20405</v>
      </c>
      <c r="BZ270" s="0" t="n">
        <v>1.2885</v>
      </c>
      <c r="CA270" s="0" t="n">
        <v>2.001</v>
      </c>
      <c r="CB270" s="0" t="n">
        <v>1.597005</v>
      </c>
      <c r="CC270" s="0" t="n">
        <v>1.597005</v>
      </c>
      <c r="CD270" s="0" t="n">
        <v>1.311705</v>
      </c>
      <c r="CE270" s="0" t="n">
        <v>1.120455</v>
      </c>
      <c r="CF270" s="0" t="n">
        <v>1.491805</v>
      </c>
      <c r="CG270" s="188"/>
      <c r="CH270" s="0" t="n">
        <v>1.10835</v>
      </c>
      <c r="CI270" s="188"/>
      <c r="CJ270" s="188"/>
      <c r="CK270" s="188"/>
      <c r="CL270" s="188"/>
      <c r="CM270" s="188"/>
      <c r="CN270" s="188"/>
      <c r="CO270" s="188"/>
      <c r="CP270" s="0" t="n">
        <v>0.865</v>
      </c>
      <c r="CV270" s="0" t="n">
        <v>0.45</v>
      </c>
      <c r="CW270" s="0" t="n">
        <v>0.845</v>
      </c>
      <c r="CX270" s="0" t="n">
        <v>0.815</v>
      </c>
      <c r="CZ270" s="0" t="n">
        <v>0.635</v>
      </c>
      <c r="DA270" s="0" t="n">
        <v>0.6675</v>
      </c>
      <c r="DB270" s="0" t="n">
        <v>0.71</v>
      </c>
      <c r="DC270" s="0" t="n">
        <v>0.8775</v>
      </c>
      <c r="DD270" s="0" t="n">
        <v>0.67</v>
      </c>
      <c r="DE270" s="0" t="n">
        <v>0.89</v>
      </c>
      <c r="DN270" s="188" t="n">
        <v>0.000285</v>
      </c>
      <c r="DO270" s="188" t="n">
        <v>0.0002</v>
      </c>
      <c r="DP270" s="188" t="n">
        <v>0</v>
      </c>
      <c r="DQ270" s="188" t="n">
        <v>0.0001</v>
      </c>
      <c r="DR270" s="188" t="n">
        <v>0</v>
      </c>
      <c r="DS270" s="188" t="n">
        <v>0.0036</v>
      </c>
      <c r="DT270" s="188" t="n">
        <v>0.00047</v>
      </c>
      <c r="DU270" s="188" t="n">
        <v>0.0007</v>
      </c>
      <c r="DV270" s="188" t="n">
        <v>0</v>
      </c>
      <c r="DW270" s="188" t="n">
        <v>0</v>
      </c>
      <c r="DX270" s="188" t="n">
        <v>0.0005</v>
      </c>
      <c r="DY270" s="188" t="n">
        <v>0.0005</v>
      </c>
      <c r="DZ270" s="188" t="n">
        <v>0.0003</v>
      </c>
      <c r="EA270" s="188" t="n">
        <v>0.000275</v>
      </c>
      <c r="EB270" s="188" t="n">
        <v>0.0004</v>
      </c>
      <c r="ED270" s="188" t="n">
        <v>6.5E-005</v>
      </c>
      <c r="EF270" s="0" t="n">
        <v>1</v>
      </c>
    </row>
    <row r="271" customFormat="false" ht="12.75" hidden="false" customHeight="false" outlineLevel="0" collapsed="false">
      <c r="A271" s="149" t="n">
        <v>44621</v>
      </c>
      <c r="B271" s="0" t="n">
        <v>0.98</v>
      </c>
      <c r="C271" s="0" t="n">
        <v>0</v>
      </c>
      <c r="E271" s="0" t="n">
        <v>0</v>
      </c>
      <c r="F271" s="0" t="n">
        <v>0</v>
      </c>
      <c r="G271" s="0" t="n">
        <v>0</v>
      </c>
      <c r="H271" s="0" t="n">
        <v>0.9875</v>
      </c>
      <c r="I271" s="0" t="n">
        <v>0.9875</v>
      </c>
      <c r="J271" s="0" t="n">
        <v>0.9805</v>
      </c>
      <c r="K271" s="0" t="n">
        <v>0</v>
      </c>
      <c r="L271" s="176" t="n">
        <v>0.9875</v>
      </c>
      <c r="M271" s="176" t="n">
        <v>0.9875</v>
      </c>
      <c r="N271" s="0" t="n">
        <v>0.98</v>
      </c>
      <c r="O271" s="0" t="n">
        <v>0.9875</v>
      </c>
      <c r="P271" s="0" t="n">
        <v>0.98</v>
      </c>
      <c r="Q271" s="177" t="n">
        <v>0.9875</v>
      </c>
      <c r="R271" s="0" t="n">
        <v>0.9875</v>
      </c>
      <c r="S271" s="176" t="n">
        <v>0.9875</v>
      </c>
      <c r="T271" s="0" t="n">
        <v>0.98</v>
      </c>
      <c r="U271" s="0" t="n">
        <v>0.98</v>
      </c>
      <c r="V271" s="0" t="n">
        <v>0.98</v>
      </c>
      <c r="W271" s="0" t="n">
        <v>0.98</v>
      </c>
      <c r="X271" s="0" t="n">
        <v>0.9875</v>
      </c>
      <c r="Y271" s="0" t="n">
        <v>0.9875</v>
      </c>
      <c r="Z271" s="0" t="n">
        <v>0.9875</v>
      </c>
      <c r="AA271" s="0" t="n">
        <v>0.9875</v>
      </c>
      <c r="AB271" s="0" t="n">
        <v>0.98</v>
      </c>
      <c r="AC271" s="0" t="n">
        <v>0.98</v>
      </c>
      <c r="AD271" s="0" t="n">
        <v>0.9875</v>
      </c>
      <c r="AE271" s="0" t="n">
        <v>0.9875</v>
      </c>
      <c r="AF271" s="0" t="n">
        <v>0.98</v>
      </c>
      <c r="AG271" s="0" t="n">
        <v>0.99</v>
      </c>
      <c r="AH271" s="0" t="n">
        <v>0.985</v>
      </c>
      <c r="AI271" s="0" t="n">
        <v>0.985</v>
      </c>
      <c r="AJ271" s="0" t="n">
        <v>0.98</v>
      </c>
      <c r="AK271" s="0" t="n">
        <v>1</v>
      </c>
      <c r="AL271" s="0" t="n">
        <v>0</v>
      </c>
      <c r="AM271" s="0" t="n">
        <v>0</v>
      </c>
      <c r="BB271" s="187" t="n">
        <v>1</v>
      </c>
      <c r="BC271" s="0" t="n">
        <v>1</v>
      </c>
      <c r="BD271" s="0" t="n">
        <v>1</v>
      </c>
      <c r="BE271" s="0" t="n">
        <v>1</v>
      </c>
      <c r="BF271" s="0" t="n">
        <v>0.9999</v>
      </c>
      <c r="BG271" s="0" t="n">
        <v>1</v>
      </c>
      <c r="BH271" s="0" t="n">
        <v>1</v>
      </c>
      <c r="BI271" s="0" t="n">
        <v>0.99</v>
      </c>
      <c r="BJ271" s="0" t="n">
        <v>0.999</v>
      </c>
      <c r="BK271" s="0" t="n">
        <v>0.998</v>
      </c>
      <c r="BL271" s="0" t="n">
        <v>0.9985</v>
      </c>
      <c r="BM271" s="0" t="n">
        <v>0.9985</v>
      </c>
      <c r="BN271" s="0" t="n">
        <v>0.972</v>
      </c>
      <c r="BO271" s="0" t="n">
        <v>0.9999</v>
      </c>
      <c r="BP271" s="0" t="n">
        <v>0.9999</v>
      </c>
      <c r="BQ271" s="0" t="n">
        <v>1</v>
      </c>
      <c r="BR271" s="0" t="n">
        <v>1.1396726</v>
      </c>
      <c r="BS271" s="0" t="n">
        <v>1.1422</v>
      </c>
      <c r="BT271" s="0" t="n">
        <v>1.0827</v>
      </c>
      <c r="BU271" s="0" t="n">
        <v>1.0314</v>
      </c>
      <c r="BV271" s="0" t="n">
        <v>1</v>
      </c>
      <c r="BW271" s="0" t="n">
        <v>2.8014</v>
      </c>
      <c r="BX271" s="0" t="n">
        <v>2.356646333</v>
      </c>
      <c r="BY271" s="0" t="n">
        <v>1.20475</v>
      </c>
      <c r="BZ271" s="0" t="n">
        <v>1.2885</v>
      </c>
      <c r="CA271" s="0" t="n">
        <v>2.001</v>
      </c>
      <c r="CB271" s="0" t="n">
        <v>1.597505</v>
      </c>
      <c r="CC271" s="0" t="n">
        <v>1.597505</v>
      </c>
      <c r="CD271" s="0" t="n">
        <v>1.312005</v>
      </c>
      <c r="CE271" s="0" t="n">
        <v>1.12073</v>
      </c>
      <c r="CF271" s="0" t="n">
        <v>1.492205</v>
      </c>
      <c r="CG271" s="188"/>
      <c r="CH271" s="0" t="n">
        <v>1.108415</v>
      </c>
      <c r="CI271" s="188"/>
      <c r="CJ271" s="188"/>
      <c r="CK271" s="188"/>
      <c r="CL271" s="188"/>
      <c r="CM271" s="188"/>
      <c r="CN271" s="188"/>
      <c r="CO271" s="188"/>
      <c r="CP271" s="0" t="n">
        <v>0.865</v>
      </c>
      <c r="CV271" s="0" t="n">
        <v>0.45</v>
      </c>
      <c r="CW271" s="0" t="n">
        <v>0.875</v>
      </c>
      <c r="CX271" s="0" t="n">
        <v>0.985</v>
      </c>
      <c r="CZ271" s="0" t="n">
        <v>0.785</v>
      </c>
      <c r="DA271" s="0" t="n">
        <v>0.8175</v>
      </c>
      <c r="DB271" s="0" t="n">
        <v>0.8</v>
      </c>
      <c r="DC271" s="0" t="n">
        <v>0.9</v>
      </c>
      <c r="DD271" s="0" t="n">
        <v>0.83</v>
      </c>
      <c r="DE271" s="0" t="n">
        <v>0.89</v>
      </c>
      <c r="DN271" s="188" t="n">
        <v>0.000285</v>
      </c>
      <c r="DO271" s="188" t="n">
        <v>0.0002</v>
      </c>
      <c r="DP271" s="188" t="n">
        <v>0</v>
      </c>
      <c r="DQ271" s="188" t="n">
        <v>0.0001</v>
      </c>
      <c r="DR271" s="188" t="n">
        <v>0</v>
      </c>
      <c r="DS271" s="188" t="n">
        <v>0.0036</v>
      </c>
      <c r="DT271" s="188" t="n">
        <v>0.00047</v>
      </c>
      <c r="DU271" s="188" t="n">
        <v>0.0007</v>
      </c>
      <c r="DV271" s="188" t="n">
        <v>0</v>
      </c>
      <c r="DW271" s="188" t="n">
        <v>0</v>
      </c>
      <c r="DX271" s="188" t="n">
        <v>0.0005</v>
      </c>
      <c r="DY271" s="188" t="n">
        <v>0.0005</v>
      </c>
      <c r="DZ271" s="188" t="n">
        <v>0.0003</v>
      </c>
      <c r="EA271" s="188" t="n">
        <v>0.000275</v>
      </c>
      <c r="EB271" s="188" t="n">
        <v>0.0004</v>
      </c>
      <c r="ED271" s="188" t="n">
        <v>6.5E-005</v>
      </c>
      <c r="EF271" s="0" t="n">
        <v>1</v>
      </c>
    </row>
    <row r="272" customFormat="false" ht="12.75" hidden="false" customHeight="false" outlineLevel="0" collapsed="false">
      <c r="A272" s="149" t="n">
        <v>44652</v>
      </c>
      <c r="B272" s="0" t="n">
        <v>0.98</v>
      </c>
      <c r="C272" s="0" t="n">
        <v>0</v>
      </c>
      <c r="E272" s="0" t="n">
        <v>0</v>
      </c>
      <c r="F272" s="0" t="n">
        <v>0</v>
      </c>
      <c r="G272" s="0" t="n">
        <v>0</v>
      </c>
      <c r="H272" s="0" t="n">
        <v>0.9875</v>
      </c>
      <c r="I272" s="0" t="n">
        <v>0.9875</v>
      </c>
      <c r="J272" s="0" t="n">
        <v>0.9805</v>
      </c>
      <c r="K272" s="0" t="n">
        <v>0</v>
      </c>
      <c r="L272" s="176" t="n">
        <v>0.9875</v>
      </c>
      <c r="M272" s="176" t="n">
        <v>0.9875</v>
      </c>
      <c r="N272" s="0" t="n">
        <v>0.98</v>
      </c>
      <c r="O272" s="0" t="n">
        <v>0.9875</v>
      </c>
      <c r="P272" s="0" t="n">
        <v>0.98</v>
      </c>
      <c r="Q272" s="177" t="n">
        <v>0.9875</v>
      </c>
      <c r="R272" s="0" t="n">
        <v>0.9875</v>
      </c>
      <c r="S272" s="176" t="n">
        <v>0.9875</v>
      </c>
      <c r="T272" s="0" t="n">
        <v>0.98</v>
      </c>
      <c r="U272" s="0" t="n">
        <v>0.98</v>
      </c>
      <c r="V272" s="0" t="n">
        <v>0.98</v>
      </c>
      <c r="W272" s="0" t="n">
        <v>0.98</v>
      </c>
      <c r="X272" s="0" t="n">
        <v>0.9875</v>
      </c>
      <c r="Y272" s="0" t="n">
        <v>0.9875</v>
      </c>
      <c r="Z272" s="0" t="n">
        <v>0.9875</v>
      </c>
      <c r="AA272" s="0" t="n">
        <v>0.9875</v>
      </c>
      <c r="AB272" s="0" t="n">
        <v>0.98</v>
      </c>
      <c r="AC272" s="0" t="n">
        <v>0.98</v>
      </c>
      <c r="AD272" s="0" t="n">
        <v>0.9875</v>
      </c>
      <c r="AE272" s="0" t="n">
        <v>0.9875</v>
      </c>
      <c r="AF272" s="0" t="n">
        <v>0.98</v>
      </c>
      <c r="AG272" s="0" t="n">
        <v>0.99</v>
      </c>
      <c r="AH272" s="0" t="n">
        <v>0.985</v>
      </c>
      <c r="AI272" s="0" t="n">
        <v>0.985</v>
      </c>
      <c r="AJ272" s="0" t="n">
        <v>0.98</v>
      </c>
      <c r="AK272" s="0" t="n">
        <v>1</v>
      </c>
      <c r="AL272" s="0" t="n">
        <v>0</v>
      </c>
      <c r="AM272" s="0" t="n">
        <v>0</v>
      </c>
      <c r="BB272" s="187" t="n">
        <v>1</v>
      </c>
      <c r="BC272" s="0" t="n">
        <v>1</v>
      </c>
      <c r="BD272" s="0" t="n">
        <v>1</v>
      </c>
      <c r="BE272" s="0" t="n">
        <v>1</v>
      </c>
      <c r="BF272" s="0" t="n">
        <v>0.9999</v>
      </c>
      <c r="BG272" s="0" t="n">
        <v>1</v>
      </c>
      <c r="BH272" s="0" t="n">
        <v>1</v>
      </c>
      <c r="BI272" s="0" t="n">
        <v>0.99</v>
      </c>
      <c r="BJ272" s="0" t="n">
        <v>0.999</v>
      </c>
      <c r="BK272" s="0" t="n">
        <v>0.998</v>
      </c>
      <c r="BL272" s="0" t="n">
        <v>0.9985</v>
      </c>
      <c r="BM272" s="0" t="n">
        <v>0.9985</v>
      </c>
      <c r="BN272" s="0" t="n">
        <v>0.972</v>
      </c>
      <c r="BO272" s="0" t="n">
        <v>0.9999</v>
      </c>
      <c r="BP272" s="0" t="n">
        <v>0.9999</v>
      </c>
      <c r="BQ272" s="0" t="n">
        <v>1</v>
      </c>
      <c r="BR272" s="0" t="n">
        <v>1.1399576</v>
      </c>
      <c r="BS272" s="0" t="n">
        <v>1.1424</v>
      </c>
      <c r="BT272" s="0" t="n">
        <v>1.0827</v>
      </c>
      <c r="BU272" s="0" t="n">
        <v>1.0315</v>
      </c>
      <c r="BV272" s="0" t="n">
        <v>1</v>
      </c>
      <c r="BW272" s="0" t="n">
        <v>2.805</v>
      </c>
      <c r="BX272" s="0" t="n">
        <v>2.357116333</v>
      </c>
      <c r="BY272" s="0" t="n">
        <v>1.20545</v>
      </c>
      <c r="BZ272" s="0" t="n">
        <v>1.2885</v>
      </c>
      <c r="CA272" s="0" t="n">
        <v>2.001</v>
      </c>
      <c r="CB272" s="0" t="n">
        <v>1.598005</v>
      </c>
      <c r="CC272" s="0" t="n">
        <v>1.598005</v>
      </c>
      <c r="CD272" s="0" t="n">
        <v>1.312305</v>
      </c>
      <c r="CE272" s="0" t="n">
        <v>1.121005</v>
      </c>
      <c r="CF272" s="0" t="n">
        <v>1.492605</v>
      </c>
      <c r="CG272" s="188"/>
      <c r="CH272" s="0" t="n">
        <v>1.10848</v>
      </c>
      <c r="CI272" s="188"/>
      <c r="CJ272" s="188"/>
      <c r="CK272" s="188"/>
      <c r="CL272" s="188"/>
      <c r="CM272" s="188"/>
      <c r="CN272" s="188"/>
      <c r="CO272" s="188"/>
      <c r="CP272" s="0" t="n">
        <v>0.895</v>
      </c>
      <c r="CV272" s="0" t="n">
        <v>0.42</v>
      </c>
      <c r="CW272" s="0" t="n">
        <v>0.935</v>
      </c>
      <c r="CX272" s="0" t="n">
        <v>0.975</v>
      </c>
      <c r="CZ272" s="0" t="n">
        <v>0.895</v>
      </c>
      <c r="DA272" s="0" t="n">
        <v>0.9275</v>
      </c>
      <c r="DB272" s="0" t="n">
        <v>0.85</v>
      </c>
      <c r="DC272" s="0" t="n">
        <v>0.903</v>
      </c>
      <c r="DD272" s="0" t="n">
        <v>0.92</v>
      </c>
      <c r="DE272" s="0" t="n">
        <v>0.89</v>
      </c>
      <c r="DN272" s="188" t="n">
        <v>0.000285</v>
      </c>
      <c r="DO272" s="188" t="n">
        <v>0.0002</v>
      </c>
      <c r="DP272" s="188" t="n">
        <v>0</v>
      </c>
      <c r="DQ272" s="188" t="n">
        <v>0.0001</v>
      </c>
      <c r="DR272" s="188" t="n">
        <v>0</v>
      </c>
      <c r="DS272" s="188" t="n">
        <v>0.0036</v>
      </c>
      <c r="DT272" s="188" t="n">
        <v>0.00047</v>
      </c>
      <c r="DU272" s="188" t="n">
        <v>0.0007</v>
      </c>
      <c r="DV272" s="188" t="n">
        <v>0</v>
      </c>
      <c r="DW272" s="188" t="n">
        <v>0</v>
      </c>
      <c r="DX272" s="188" t="n">
        <v>0.0005</v>
      </c>
      <c r="DY272" s="188" t="n">
        <v>0.0005</v>
      </c>
      <c r="DZ272" s="188" t="n">
        <v>0.0003</v>
      </c>
      <c r="EA272" s="188" t="n">
        <v>0.000275</v>
      </c>
      <c r="EB272" s="188" t="n">
        <v>0.0004</v>
      </c>
      <c r="ED272" s="188" t="n">
        <v>6.5E-005</v>
      </c>
      <c r="EF272" s="0" t="n">
        <v>1</v>
      </c>
    </row>
    <row r="273" customFormat="false" ht="12.75" hidden="false" customHeight="false" outlineLevel="0" collapsed="false">
      <c r="A273" s="149" t="n">
        <v>44682</v>
      </c>
      <c r="B273" s="0" t="n">
        <v>0.98</v>
      </c>
      <c r="C273" s="0" t="n">
        <v>0</v>
      </c>
      <c r="E273" s="0" t="n">
        <v>0</v>
      </c>
      <c r="F273" s="0" t="n">
        <v>0</v>
      </c>
      <c r="G273" s="0" t="n">
        <v>0</v>
      </c>
      <c r="H273" s="0" t="n">
        <v>0.9875</v>
      </c>
      <c r="I273" s="0" t="n">
        <v>0.9875</v>
      </c>
      <c r="J273" s="0" t="n">
        <v>0.9805</v>
      </c>
      <c r="K273" s="0" t="n">
        <v>0</v>
      </c>
      <c r="L273" s="176" t="n">
        <v>0.9875</v>
      </c>
      <c r="M273" s="176" t="n">
        <v>0.9875</v>
      </c>
      <c r="N273" s="0" t="n">
        <v>0.98</v>
      </c>
      <c r="O273" s="0" t="n">
        <v>0.9875</v>
      </c>
      <c r="P273" s="0" t="n">
        <v>0.98</v>
      </c>
      <c r="Q273" s="177" t="n">
        <v>0.9875</v>
      </c>
      <c r="R273" s="0" t="n">
        <v>0.9875</v>
      </c>
      <c r="S273" s="176" t="n">
        <v>0.9875</v>
      </c>
      <c r="T273" s="0" t="n">
        <v>0.98</v>
      </c>
      <c r="U273" s="0" t="n">
        <v>0.98</v>
      </c>
      <c r="V273" s="0" t="n">
        <v>0.98</v>
      </c>
      <c r="W273" s="0" t="n">
        <v>0.98</v>
      </c>
      <c r="X273" s="0" t="n">
        <v>0.9875</v>
      </c>
      <c r="Y273" s="0" t="n">
        <v>0.9875</v>
      </c>
      <c r="Z273" s="0" t="n">
        <v>0.9875</v>
      </c>
      <c r="AA273" s="0" t="n">
        <v>0.9875</v>
      </c>
      <c r="AB273" s="0" t="n">
        <v>0.98</v>
      </c>
      <c r="AC273" s="0" t="n">
        <v>0.98</v>
      </c>
      <c r="AD273" s="0" t="n">
        <v>0.9875</v>
      </c>
      <c r="AE273" s="0" t="n">
        <v>0.9875</v>
      </c>
      <c r="AF273" s="0" t="n">
        <v>0.98</v>
      </c>
      <c r="AG273" s="0" t="n">
        <v>0.99</v>
      </c>
      <c r="AH273" s="0" t="n">
        <v>0.985</v>
      </c>
      <c r="AI273" s="0" t="n">
        <v>0.985</v>
      </c>
      <c r="AJ273" s="0" t="n">
        <v>0.98</v>
      </c>
      <c r="AK273" s="0" t="n">
        <v>1</v>
      </c>
      <c r="AL273" s="0" t="n">
        <v>0</v>
      </c>
      <c r="AM273" s="0" t="n">
        <v>0</v>
      </c>
      <c r="BB273" s="187" t="n">
        <v>1</v>
      </c>
      <c r="BC273" s="0" t="n">
        <v>1</v>
      </c>
      <c r="BD273" s="0" t="n">
        <v>1</v>
      </c>
      <c r="BE273" s="0" t="n">
        <v>1</v>
      </c>
      <c r="BF273" s="0" t="n">
        <v>0.9999</v>
      </c>
      <c r="BG273" s="0" t="n">
        <v>1</v>
      </c>
      <c r="BH273" s="0" t="n">
        <v>1</v>
      </c>
      <c r="BI273" s="0" t="n">
        <v>0.99</v>
      </c>
      <c r="BJ273" s="0" t="n">
        <v>0.999</v>
      </c>
      <c r="BK273" s="0" t="n">
        <v>0.998</v>
      </c>
      <c r="BL273" s="0" t="n">
        <v>0.9985</v>
      </c>
      <c r="BM273" s="0" t="n">
        <v>0.9985</v>
      </c>
      <c r="BN273" s="0" t="n">
        <v>0.972</v>
      </c>
      <c r="BO273" s="0" t="n">
        <v>0.9999</v>
      </c>
      <c r="BP273" s="0" t="n">
        <v>0.9999</v>
      </c>
      <c r="BQ273" s="0" t="n">
        <v>1</v>
      </c>
      <c r="BR273" s="0" t="n">
        <v>1.1402426</v>
      </c>
      <c r="BS273" s="0" t="n">
        <v>1.1426</v>
      </c>
      <c r="BT273" s="0" t="n">
        <v>1.0827</v>
      </c>
      <c r="BU273" s="0" t="n">
        <v>1.0316</v>
      </c>
      <c r="BV273" s="0" t="n">
        <v>1</v>
      </c>
      <c r="BW273" s="0" t="n">
        <v>2.8086</v>
      </c>
      <c r="BX273" s="0" t="n">
        <v>2.357586333</v>
      </c>
      <c r="BY273" s="0" t="n">
        <v>1.20615</v>
      </c>
      <c r="BZ273" s="0" t="n">
        <v>1.2885</v>
      </c>
      <c r="CA273" s="0" t="n">
        <v>2.001</v>
      </c>
      <c r="CB273" s="0" t="n">
        <v>1.598505</v>
      </c>
      <c r="CC273" s="0" t="n">
        <v>1.598505</v>
      </c>
      <c r="CD273" s="0" t="n">
        <v>1.312605</v>
      </c>
      <c r="CE273" s="0" t="n">
        <v>1.12128</v>
      </c>
      <c r="CF273" s="0" t="n">
        <v>1.493005</v>
      </c>
      <c r="CG273" s="188"/>
      <c r="CH273" s="0" t="n">
        <v>1.108545</v>
      </c>
      <c r="CI273" s="188"/>
      <c r="CJ273" s="188"/>
      <c r="CK273" s="188"/>
      <c r="CL273" s="188"/>
      <c r="CM273" s="188"/>
      <c r="CN273" s="188"/>
      <c r="CO273" s="188"/>
      <c r="CP273" s="0" t="n">
        <v>0.965</v>
      </c>
      <c r="CV273" s="0" t="n">
        <v>0.42</v>
      </c>
      <c r="CW273" s="0" t="n">
        <v>0.935</v>
      </c>
      <c r="CX273" s="0" t="n">
        <v>0.875</v>
      </c>
      <c r="CZ273" s="0" t="n">
        <v>0.9175</v>
      </c>
      <c r="DA273" s="0" t="n">
        <v>0.95</v>
      </c>
      <c r="DB273" s="0" t="n">
        <v>0.88</v>
      </c>
      <c r="DC273" s="0" t="n">
        <v>0.9</v>
      </c>
      <c r="DD273" s="0" t="n">
        <v>0.935</v>
      </c>
      <c r="DE273" s="0" t="n">
        <v>0.89</v>
      </c>
      <c r="DN273" s="188" t="n">
        <v>0.000285</v>
      </c>
      <c r="DO273" s="188" t="n">
        <v>0.0002</v>
      </c>
      <c r="DP273" s="188" t="n">
        <v>0</v>
      </c>
      <c r="DQ273" s="188" t="n">
        <v>0.0001</v>
      </c>
      <c r="DR273" s="188" t="n">
        <v>0</v>
      </c>
      <c r="DS273" s="188" t="n">
        <v>0.0036</v>
      </c>
      <c r="DT273" s="188" t="n">
        <v>0.00047</v>
      </c>
      <c r="DU273" s="188" t="n">
        <v>0.0007</v>
      </c>
      <c r="DV273" s="188" t="n">
        <v>0</v>
      </c>
      <c r="DW273" s="188" t="n">
        <v>0</v>
      </c>
      <c r="DX273" s="188" t="n">
        <v>0.0005</v>
      </c>
      <c r="DY273" s="188" t="n">
        <v>0.0005</v>
      </c>
      <c r="DZ273" s="188" t="n">
        <v>0.0003</v>
      </c>
      <c r="EA273" s="188" t="n">
        <v>0.000275</v>
      </c>
      <c r="EB273" s="188" t="n">
        <v>0.0004</v>
      </c>
      <c r="ED273" s="188" t="n">
        <v>6.5E-005</v>
      </c>
      <c r="EF273" s="0" t="n">
        <v>1</v>
      </c>
    </row>
    <row r="274" customFormat="false" ht="12.75" hidden="false" customHeight="false" outlineLevel="0" collapsed="false">
      <c r="A274" s="149" t="n">
        <v>44713</v>
      </c>
      <c r="B274" s="0" t="n">
        <v>0.98</v>
      </c>
      <c r="C274" s="0" t="n">
        <v>0</v>
      </c>
      <c r="E274" s="0" t="n">
        <v>0</v>
      </c>
      <c r="F274" s="0" t="n">
        <v>0</v>
      </c>
      <c r="G274" s="0" t="n">
        <v>0</v>
      </c>
      <c r="H274" s="0" t="n">
        <v>0.9875</v>
      </c>
      <c r="I274" s="0" t="n">
        <v>0.9875</v>
      </c>
      <c r="J274" s="0" t="n">
        <v>0.9805</v>
      </c>
      <c r="K274" s="0" t="n">
        <v>0</v>
      </c>
      <c r="L274" s="176" t="n">
        <v>0.9875</v>
      </c>
      <c r="M274" s="176" t="n">
        <v>0.9875</v>
      </c>
      <c r="N274" s="0" t="n">
        <v>0.98</v>
      </c>
      <c r="O274" s="0" t="n">
        <v>0.9875</v>
      </c>
      <c r="P274" s="0" t="n">
        <v>0.98</v>
      </c>
      <c r="Q274" s="177" t="n">
        <v>0.9875</v>
      </c>
      <c r="R274" s="0" t="n">
        <v>0.9875</v>
      </c>
      <c r="S274" s="176" t="n">
        <v>0.9875</v>
      </c>
      <c r="T274" s="0" t="n">
        <v>0.98</v>
      </c>
      <c r="U274" s="0" t="n">
        <v>0.98</v>
      </c>
      <c r="V274" s="0" t="n">
        <v>0.98</v>
      </c>
      <c r="W274" s="0" t="n">
        <v>0.98</v>
      </c>
      <c r="X274" s="0" t="n">
        <v>0.9875</v>
      </c>
      <c r="Y274" s="0" t="n">
        <v>0.9875</v>
      </c>
      <c r="Z274" s="0" t="n">
        <v>0.9875</v>
      </c>
      <c r="AA274" s="0" t="n">
        <v>0.9875</v>
      </c>
      <c r="AB274" s="0" t="n">
        <v>0.98</v>
      </c>
      <c r="AC274" s="0" t="n">
        <v>0.98</v>
      </c>
      <c r="AD274" s="0" t="n">
        <v>0.9875</v>
      </c>
      <c r="AE274" s="0" t="n">
        <v>0.9875</v>
      </c>
      <c r="AF274" s="0" t="n">
        <v>0.98</v>
      </c>
      <c r="AG274" s="0" t="n">
        <v>0.99</v>
      </c>
      <c r="AH274" s="0" t="n">
        <v>0.985</v>
      </c>
      <c r="AI274" s="0" t="n">
        <v>0.985</v>
      </c>
      <c r="AJ274" s="0" t="n">
        <v>0.98</v>
      </c>
      <c r="AK274" s="0" t="n">
        <v>1</v>
      </c>
      <c r="AL274" s="0" t="n">
        <v>0</v>
      </c>
      <c r="AM274" s="0" t="n">
        <v>0</v>
      </c>
      <c r="BB274" s="187" t="n">
        <v>1</v>
      </c>
      <c r="BC274" s="0" t="n">
        <v>1</v>
      </c>
      <c r="BD274" s="0" t="n">
        <v>1</v>
      </c>
      <c r="BE274" s="0" t="n">
        <v>1</v>
      </c>
      <c r="BF274" s="0" t="n">
        <v>0.9999</v>
      </c>
      <c r="BG274" s="0" t="n">
        <v>1</v>
      </c>
      <c r="BH274" s="0" t="n">
        <v>1</v>
      </c>
      <c r="BI274" s="0" t="n">
        <v>0.99</v>
      </c>
      <c r="BJ274" s="0" t="n">
        <v>0.999</v>
      </c>
      <c r="BK274" s="0" t="n">
        <v>0.998</v>
      </c>
      <c r="BL274" s="0" t="n">
        <v>0.9985</v>
      </c>
      <c r="BM274" s="0" t="n">
        <v>0.9985</v>
      </c>
      <c r="BN274" s="0" t="n">
        <v>0.972</v>
      </c>
      <c r="BO274" s="0" t="n">
        <v>0.9999</v>
      </c>
      <c r="BP274" s="0" t="n">
        <v>0.9999</v>
      </c>
      <c r="BQ274" s="0" t="n">
        <v>1</v>
      </c>
      <c r="BR274" s="0" t="n">
        <v>1.1405276</v>
      </c>
      <c r="BS274" s="0" t="n">
        <v>1.1428</v>
      </c>
      <c r="BT274" s="0" t="n">
        <v>1.0827</v>
      </c>
      <c r="BU274" s="0" t="n">
        <v>1.0317</v>
      </c>
      <c r="BV274" s="0" t="n">
        <v>1</v>
      </c>
      <c r="BW274" s="0" t="n">
        <v>2.8122</v>
      </c>
      <c r="BX274" s="0" t="n">
        <v>2.358056333</v>
      </c>
      <c r="BY274" s="0" t="n">
        <v>1.20685</v>
      </c>
      <c r="BZ274" s="0" t="n">
        <v>1.2885</v>
      </c>
      <c r="CA274" s="0" t="n">
        <v>2.001</v>
      </c>
      <c r="CB274" s="0" t="n">
        <v>1.599005</v>
      </c>
      <c r="CC274" s="0" t="n">
        <v>1.599005</v>
      </c>
      <c r="CD274" s="0" t="n">
        <v>1.312905</v>
      </c>
      <c r="CE274" s="0" t="n">
        <v>1.121555</v>
      </c>
      <c r="CF274" s="0" t="n">
        <v>1.493405</v>
      </c>
      <c r="CG274" s="188"/>
      <c r="CH274" s="0" t="n">
        <v>1.10861</v>
      </c>
      <c r="CI274" s="188"/>
      <c r="CJ274" s="188"/>
      <c r="CK274" s="188"/>
      <c r="CL274" s="188"/>
      <c r="CM274" s="188"/>
      <c r="CN274" s="188"/>
      <c r="CO274" s="188"/>
      <c r="CP274" s="0" t="n">
        <v>0.965</v>
      </c>
      <c r="CV274" s="0" t="n">
        <v>0.47</v>
      </c>
      <c r="CW274" s="0" t="n">
        <v>0.935</v>
      </c>
      <c r="CX274" s="0" t="n">
        <v>0.785</v>
      </c>
      <c r="CZ274" s="0" t="n">
        <v>0.8825</v>
      </c>
      <c r="DA274" s="0" t="n">
        <v>0.915</v>
      </c>
      <c r="DB274" s="0" t="n">
        <v>0.88</v>
      </c>
      <c r="DC274" s="0" t="n">
        <v>0.9025</v>
      </c>
      <c r="DD274" s="0" t="n">
        <v>0.915</v>
      </c>
      <c r="DE274" s="0" t="n">
        <v>0.89</v>
      </c>
      <c r="DN274" s="188" t="n">
        <v>0.000285</v>
      </c>
      <c r="DO274" s="188" t="n">
        <v>0.0002</v>
      </c>
      <c r="DP274" s="188" t="n">
        <v>0</v>
      </c>
      <c r="DQ274" s="188" t="n">
        <v>0.0001</v>
      </c>
      <c r="DR274" s="188" t="n">
        <v>0</v>
      </c>
      <c r="DS274" s="188" t="n">
        <v>0.0036</v>
      </c>
      <c r="DT274" s="188" t="n">
        <v>0.00047</v>
      </c>
      <c r="DU274" s="188" t="n">
        <v>0.0007</v>
      </c>
      <c r="DV274" s="188" t="n">
        <v>0</v>
      </c>
      <c r="DW274" s="188" t="n">
        <v>0</v>
      </c>
      <c r="DX274" s="188" t="n">
        <v>0.0005</v>
      </c>
      <c r="DY274" s="188" t="n">
        <v>0.0005</v>
      </c>
      <c r="DZ274" s="188" t="n">
        <v>0.0003</v>
      </c>
      <c r="EA274" s="188" t="n">
        <v>0.000275</v>
      </c>
      <c r="EB274" s="188" t="n">
        <v>0.0004</v>
      </c>
      <c r="ED274" s="188" t="n">
        <v>6.5E-005</v>
      </c>
      <c r="EF274" s="0" t="n">
        <v>1</v>
      </c>
    </row>
    <row r="275" customFormat="false" ht="12.75" hidden="false" customHeight="false" outlineLevel="0" collapsed="false">
      <c r="A275" s="149" t="n">
        <v>44743</v>
      </c>
      <c r="B275" s="0" t="n">
        <v>0.98</v>
      </c>
      <c r="C275" s="0" t="n">
        <v>0</v>
      </c>
      <c r="E275" s="0" t="n">
        <v>0</v>
      </c>
      <c r="F275" s="0" t="n">
        <v>0</v>
      </c>
      <c r="G275" s="0" t="n">
        <v>0</v>
      </c>
      <c r="H275" s="0" t="n">
        <v>0.9875</v>
      </c>
      <c r="I275" s="0" t="n">
        <v>0.9875</v>
      </c>
      <c r="J275" s="0" t="n">
        <v>0.9805</v>
      </c>
      <c r="K275" s="0" t="n">
        <v>0</v>
      </c>
      <c r="L275" s="176" t="n">
        <v>0.9875</v>
      </c>
      <c r="M275" s="176" t="n">
        <v>0.9875</v>
      </c>
      <c r="N275" s="0" t="n">
        <v>0.98</v>
      </c>
      <c r="O275" s="0" t="n">
        <v>0.9875</v>
      </c>
      <c r="P275" s="0" t="n">
        <v>0.98</v>
      </c>
      <c r="Q275" s="177" t="n">
        <v>0.9875</v>
      </c>
      <c r="R275" s="0" t="n">
        <v>0.9875</v>
      </c>
      <c r="S275" s="176" t="n">
        <v>0.9875</v>
      </c>
      <c r="T275" s="0" t="n">
        <v>0.98</v>
      </c>
      <c r="U275" s="0" t="n">
        <v>0.98</v>
      </c>
      <c r="V275" s="0" t="n">
        <v>0.98</v>
      </c>
      <c r="W275" s="0" t="n">
        <v>0.98</v>
      </c>
      <c r="X275" s="0" t="n">
        <v>0.9875</v>
      </c>
      <c r="Y275" s="0" t="n">
        <v>0.9875</v>
      </c>
      <c r="Z275" s="0" t="n">
        <v>0.9875</v>
      </c>
      <c r="AA275" s="0" t="n">
        <v>0.9875</v>
      </c>
      <c r="AB275" s="0" t="n">
        <v>0.98</v>
      </c>
      <c r="AC275" s="0" t="n">
        <v>0.98</v>
      </c>
      <c r="AD275" s="0" t="n">
        <v>0.9875</v>
      </c>
      <c r="AE275" s="0" t="n">
        <v>0.9875</v>
      </c>
      <c r="AF275" s="0" t="n">
        <v>0.98</v>
      </c>
      <c r="AG275" s="0" t="n">
        <v>0.99</v>
      </c>
      <c r="AH275" s="0" t="n">
        <v>0.985</v>
      </c>
      <c r="AI275" s="0" t="n">
        <v>0.985</v>
      </c>
      <c r="AJ275" s="0" t="n">
        <v>0.98</v>
      </c>
      <c r="AK275" s="0" t="n">
        <v>1</v>
      </c>
      <c r="AL275" s="0" t="n">
        <v>0</v>
      </c>
      <c r="AM275" s="0" t="n">
        <v>0</v>
      </c>
      <c r="BB275" s="187" t="n">
        <v>1</v>
      </c>
      <c r="BC275" s="0" t="n">
        <v>1</v>
      </c>
      <c r="BD275" s="0" t="n">
        <v>1</v>
      </c>
      <c r="BE275" s="0" t="n">
        <v>1</v>
      </c>
      <c r="BF275" s="0" t="n">
        <v>0.9999</v>
      </c>
      <c r="BG275" s="0" t="n">
        <v>1</v>
      </c>
      <c r="BH275" s="0" t="n">
        <v>1</v>
      </c>
      <c r="BI275" s="0" t="n">
        <v>0.99</v>
      </c>
      <c r="BJ275" s="0" t="n">
        <v>0.999</v>
      </c>
      <c r="BK275" s="0" t="n">
        <v>0.998</v>
      </c>
      <c r="BL275" s="0" t="n">
        <v>0.9985</v>
      </c>
      <c r="BM275" s="0" t="n">
        <v>0.9985</v>
      </c>
      <c r="BN275" s="0" t="n">
        <v>0.972</v>
      </c>
      <c r="BO275" s="0" t="n">
        <v>0.9999</v>
      </c>
      <c r="BP275" s="0" t="n">
        <v>0.9999</v>
      </c>
      <c r="BQ275" s="0" t="n">
        <v>1</v>
      </c>
      <c r="BR275" s="0" t="n">
        <v>1.1408126</v>
      </c>
      <c r="BS275" s="0" t="n">
        <v>1.143</v>
      </c>
      <c r="BT275" s="0" t="n">
        <v>1.0827</v>
      </c>
      <c r="BU275" s="0" t="n">
        <v>1.0318</v>
      </c>
      <c r="BV275" s="0" t="n">
        <v>1</v>
      </c>
      <c r="BW275" s="0" t="n">
        <v>2.8158</v>
      </c>
      <c r="BX275" s="0" t="n">
        <v>2.358526333</v>
      </c>
      <c r="BY275" s="0" t="n">
        <v>1.20755</v>
      </c>
      <c r="BZ275" s="0" t="n">
        <v>1.2885</v>
      </c>
      <c r="CA275" s="0" t="n">
        <v>2.001</v>
      </c>
      <c r="CB275" s="0" t="n">
        <v>1.599505</v>
      </c>
      <c r="CC275" s="0" t="n">
        <v>1.599505</v>
      </c>
      <c r="CD275" s="0" t="n">
        <v>1.313205</v>
      </c>
      <c r="CE275" s="0" t="n">
        <v>1.12183</v>
      </c>
      <c r="CF275" s="0" t="n">
        <v>1.493805</v>
      </c>
      <c r="CG275" s="188"/>
      <c r="CH275" s="0" t="n">
        <v>1.108675</v>
      </c>
      <c r="CI275" s="188"/>
      <c r="CJ275" s="188"/>
      <c r="CK275" s="188"/>
      <c r="CL275" s="188"/>
      <c r="CM275" s="188"/>
      <c r="CN275" s="188"/>
      <c r="CO275" s="188"/>
      <c r="CP275" s="0" t="n">
        <v>0.975</v>
      </c>
      <c r="CV275" s="0" t="n">
        <v>0.47</v>
      </c>
      <c r="CW275" s="0" t="n">
        <v>0.935</v>
      </c>
      <c r="CX275" s="0" t="n">
        <v>0.805</v>
      </c>
      <c r="CZ275" s="0" t="n">
        <v>0.8775</v>
      </c>
      <c r="DA275" s="0" t="n">
        <v>0.91</v>
      </c>
      <c r="DB275" s="0" t="n">
        <v>0.89</v>
      </c>
      <c r="DC275" s="0" t="n">
        <v>0.9075</v>
      </c>
      <c r="DD275" s="0" t="n">
        <v>0.915</v>
      </c>
      <c r="DE275" s="0" t="n">
        <v>0.89</v>
      </c>
      <c r="DN275" s="188" t="n">
        <v>0.000285</v>
      </c>
      <c r="DO275" s="188" t="n">
        <v>0.0002</v>
      </c>
      <c r="DP275" s="188" t="n">
        <v>0</v>
      </c>
      <c r="DQ275" s="188" t="n">
        <v>0.0001</v>
      </c>
      <c r="DR275" s="188" t="n">
        <v>0</v>
      </c>
      <c r="DS275" s="188" t="n">
        <v>0.0036</v>
      </c>
      <c r="DT275" s="188" t="n">
        <v>0.00047</v>
      </c>
      <c r="DU275" s="188" t="n">
        <v>0.0007</v>
      </c>
      <c r="DV275" s="188" t="n">
        <v>0</v>
      </c>
      <c r="DW275" s="188" t="n">
        <v>0</v>
      </c>
      <c r="DX275" s="188" t="n">
        <v>0.0005</v>
      </c>
      <c r="DY275" s="188" t="n">
        <v>0.0005</v>
      </c>
      <c r="DZ275" s="188" t="n">
        <v>0.0003</v>
      </c>
      <c r="EA275" s="188" t="n">
        <v>0.000275</v>
      </c>
      <c r="EB275" s="188" t="n">
        <v>0.0004</v>
      </c>
      <c r="ED275" s="188" t="n">
        <v>6.5E-005</v>
      </c>
      <c r="EF275" s="0" t="n">
        <v>1</v>
      </c>
    </row>
    <row r="276" customFormat="false" ht="12.75" hidden="false" customHeight="false" outlineLevel="0" collapsed="false">
      <c r="A276" s="149" t="n">
        <v>44774</v>
      </c>
      <c r="B276" s="0" t="n">
        <v>0.98</v>
      </c>
      <c r="C276" s="0" t="n">
        <v>0</v>
      </c>
      <c r="E276" s="0" t="n">
        <v>0</v>
      </c>
      <c r="F276" s="0" t="n">
        <v>0</v>
      </c>
      <c r="G276" s="0" t="n">
        <v>0</v>
      </c>
      <c r="H276" s="0" t="n">
        <v>0.9875</v>
      </c>
      <c r="I276" s="0" t="n">
        <v>0.9875</v>
      </c>
      <c r="J276" s="0" t="n">
        <v>0.9805</v>
      </c>
      <c r="K276" s="0" t="n">
        <v>0</v>
      </c>
      <c r="L276" s="176" t="n">
        <v>0.9875</v>
      </c>
      <c r="M276" s="176" t="n">
        <v>0.9875</v>
      </c>
      <c r="N276" s="0" t="n">
        <v>0.98</v>
      </c>
      <c r="O276" s="0" t="n">
        <v>0.9875</v>
      </c>
      <c r="P276" s="0" t="n">
        <v>0.98</v>
      </c>
      <c r="Q276" s="177" t="n">
        <v>0.9875</v>
      </c>
      <c r="R276" s="0" t="n">
        <v>0.9875</v>
      </c>
      <c r="S276" s="176" t="n">
        <v>0.9875</v>
      </c>
      <c r="T276" s="0" t="n">
        <v>0.98</v>
      </c>
      <c r="U276" s="0" t="n">
        <v>0.98</v>
      </c>
      <c r="V276" s="0" t="n">
        <v>0.98</v>
      </c>
      <c r="W276" s="0" t="n">
        <v>0.98</v>
      </c>
      <c r="X276" s="0" t="n">
        <v>0.9875</v>
      </c>
      <c r="Y276" s="0" t="n">
        <v>0.9875</v>
      </c>
      <c r="Z276" s="0" t="n">
        <v>0.9875</v>
      </c>
      <c r="AA276" s="0" t="n">
        <v>0.9875</v>
      </c>
      <c r="AB276" s="0" t="n">
        <v>0.98</v>
      </c>
      <c r="AC276" s="0" t="n">
        <v>0.98</v>
      </c>
      <c r="AD276" s="0" t="n">
        <v>0.9875</v>
      </c>
      <c r="AE276" s="0" t="n">
        <v>0.9875</v>
      </c>
      <c r="AF276" s="0" t="n">
        <v>0.98</v>
      </c>
      <c r="AG276" s="0" t="n">
        <v>0.99</v>
      </c>
      <c r="AH276" s="0" t="n">
        <v>0.985</v>
      </c>
      <c r="AI276" s="0" t="n">
        <v>0.985</v>
      </c>
      <c r="AJ276" s="0" t="n">
        <v>0.98</v>
      </c>
      <c r="AK276" s="0" t="n">
        <v>1</v>
      </c>
      <c r="AL276" s="0" t="n">
        <v>0</v>
      </c>
      <c r="AM276" s="0" t="n">
        <v>0</v>
      </c>
      <c r="BB276" s="187" t="n">
        <v>1</v>
      </c>
      <c r="BC276" s="0" t="n">
        <v>1</v>
      </c>
      <c r="BD276" s="0" t="n">
        <v>1</v>
      </c>
      <c r="BE276" s="0" t="n">
        <v>1</v>
      </c>
      <c r="BF276" s="0" t="n">
        <v>0.9999</v>
      </c>
      <c r="BG276" s="0" t="n">
        <v>1</v>
      </c>
      <c r="BH276" s="0" t="n">
        <v>1</v>
      </c>
      <c r="BI276" s="0" t="n">
        <v>0.99</v>
      </c>
      <c r="BJ276" s="0" t="n">
        <v>0.999</v>
      </c>
      <c r="BK276" s="0" t="n">
        <v>0.998</v>
      </c>
      <c r="BL276" s="0" t="n">
        <v>0.9985</v>
      </c>
      <c r="BM276" s="0" t="n">
        <v>0.9985</v>
      </c>
      <c r="BN276" s="0" t="n">
        <v>0.972</v>
      </c>
      <c r="BO276" s="0" t="n">
        <v>0.9999</v>
      </c>
      <c r="BP276" s="0" t="n">
        <v>0.9999</v>
      </c>
      <c r="BQ276" s="0" t="n">
        <v>1</v>
      </c>
      <c r="BR276" s="0" t="n">
        <v>1.1410976</v>
      </c>
      <c r="BS276" s="0" t="n">
        <v>1.1432</v>
      </c>
      <c r="BT276" s="0" t="n">
        <v>1.0827</v>
      </c>
      <c r="BU276" s="0" t="n">
        <v>1.0319</v>
      </c>
      <c r="BV276" s="0" t="n">
        <v>1</v>
      </c>
      <c r="BW276" s="0" t="n">
        <v>2.8194</v>
      </c>
      <c r="BX276" s="0" t="n">
        <v>2.358996333</v>
      </c>
      <c r="BY276" s="0" t="n">
        <v>1.20825</v>
      </c>
      <c r="BZ276" s="0" t="n">
        <v>1.2885</v>
      </c>
      <c r="CA276" s="0" t="n">
        <v>2.001</v>
      </c>
      <c r="CB276" s="0" t="n">
        <v>1.600005</v>
      </c>
      <c r="CC276" s="0" t="n">
        <v>1.600005</v>
      </c>
      <c r="CD276" s="0" t="n">
        <v>1.313505</v>
      </c>
      <c r="CE276" s="0" t="n">
        <v>1.122105</v>
      </c>
      <c r="CF276" s="0" t="n">
        <v>1.494205</v>
      </c>
      <c r="CG276" s="188"/>
      <c r="CH276" s="0" t="n">
        <v>1.10874</v>
      </c>
      <c r="CI276" s="188"/>
      <c r="CJ276" s="188"/>
      <c r="CK276" s="188"/>
      <c r="CL276" s="188"/>
      <c r="CM276" s="188"/>
      <c r="CN276" s="188"/>
      <c r="CO276" s="188"/>
      <c r="CP276" s="0" t="n">
        <v>0.975</v>
      </c>
      <c r="CV276" s="0" t="n">
        <v>0.52</v>
      </c>
      <c r="CW276" s="0" t="n">
        <v>0.925</v>
      </c>
      <c r="CX276" s="0" t="n">
        <v>0.895</v>
      </c>
      <c r="CZ276" s="0" t="n">
        <v>0.89</v>
      </c>
      <c r="DA276" s="0" t="n">
        <v>0.9225</v>
      </c>
      <c r="DB276" s="0" t="n">
        <v>0.915</v>
      </c>
      <c r="DC276" s="0" t="n">
        <v>0.9275</v>
      </c>
      <c r="DD276" s="0" t="n">
        <v>0.915</v>
      </c>
      <c r="DE276" s="0" t="n">
        <v>0.89</v>
      </c>
      <c r="DN276" s="188" t="n">
        <v>0.000285</v>
      </c>
      <c r="DO276" s="188" t="n">
        <v>0.0002</v>
      </c>
      <c r="DP276" s="188" t="n">
        <v>0</v>
      </c>
      <c r="DQ276" s="188" t="n">
        <v>0.0001</v>
      </c>
      <c r="DR276" s="188" t="n">
        <v>0</v>
      </c>
      <c r="DS276" s="188" t="n">
        <v>0.0036</v>
      </c>
      <c r="DT276" s="188" t="n">
        <v>0.00047</v>
      </c>
      <c r="DU276" s="188" t="n">
        <v>0.0007</v>
      </c>
      <c r="DV276" s="188" t="n">
        <v>0</v>
      </c>
      <c r="DW276" s="188" t="n">
        <v>0</v>
      </c>
      <c r="DX276" s="188" t="n">
        <v>0.0005</v>
      </c>
      <c r="DY276" s="188" t="n">
        <v>0.0005</v>
      </c>
      <c r="DZ276" s="188" t="n">
        <v>0.0003</v>
      </c>
      <c r="EA276" s="188" t="n">
        <v>0.000275</v>
      </c>
      <c r="EB276" s="188" t="n">
        <v>0.0004</v>
      </c>
      <c r="ED276" s="188" t="n">
        <v>6.5E-005</v>
      </c>
      <c r="EF276" s="0" t="n">
        <v>1</v>
      </c>
    </row>
    <row r="277" customFormat="false" ht="12.75" hidden="false" customHeight="false" outlineLevel="0" collapsed="false">
      <c r="A277" s="149" t="n">
        <v>44805</v>
      </c>
      <c r="B277" s="0" t="n">
        <v>0.98</v>
      </c>
      <c r="C277" s="0" t="n">
        <v>0</v>
      </c>
      <c r="E277" s="0" t="n">
        <v>0</v>
      </c>
      <c r="F277" s="0" t="n">
        <v>0</v>
      </c>
      <c r="G277" s="0" t="n">
        <v>0</v>
      </c>
      <c r="H277" s="0" t="n">
        <v>0.9875</v>
      </c>
      <c r="I277" s="0" t="n">
        <v>0.9875</v>
      </c>
      <c r="J277" s="0" t="n">
        <v>0.9805</v>
      </c>
      <c r="K277" s="0" t="n">
        <v>0</v>
      </c>
      <c r="L277" s="176" t="n">
        <v>0.9875</v>
      </c>
      <c r="M277" s="176" t="n">
        <v>0.9875</v>
      </c>
      <c r="N277" s="0" t="n">
        <v>0.98</v>
      </c>
      <c r="O277" s="0" t="n">
        <v>0.9875</v>
      </c>
      <c r="P277" s="0" t="n">
        <v>0.98</v>
      </c>
      <c r="Q277" s="177" t="n">
        <v>0.9875</v>
      </c>
      <c r="R277" s="0" t="n">
        <v>0.9875</v>
      </c>
      <c r="S277" s="176" t="n">
        <v>0.9875</v>
      </c>
      <c r="T277" s="0" t="n">
        <v>0.98</v>
      </c>
      <c r="U277" s="0" t="n">
        <v>0.98</v>
      </c>
      <c r="V277" s="0" t="n">
        <v>0.98</v>
      </c>
      <c r="W277" s="0" t="n">
        <v>0.98</v>
      </c>
      <c r="X277" s="0" t="n">
        <v>0.9875</v>
      </c>
      <c r="Y277" s="0" t="n">
        <v>0.9875</v>
      </c>
      <c r="Z277" s="0" t="n">
        <v>0.9875</v>
      </c>
      <c r="AA277" s="0" t="n">
        <v>0.9875</v>
      </c>
      <c r="AB277" s="0" t="n">
        <v>0.98</v>
      </c>
      <c r="AC277" s="0" t="n">
        <v>0.98</v>
      </c>
      <c r="AD277" s="0" t="n">
        <v>0.9875</v>
      </c>
      <c r="AE277" s="0" t="n">
        <v>0.9875</v>
      </c>
      <c r="AF277" s="0" t="n">
        <v>0.98</v>
      </c>
      <c r="AG277" s="0" t="n">
        <v>0.99</v>
      </c>
      <c r="AH277" s="0" t="n">
        <v>0.985</v>
      </c>
      <c r="AI277" s="0" t="n">
        <v>0.985</v>
      </c>
      <c r="AJ277" s="0" t="n">
        <v>0.98</v>
      </c>
      <c r="AK277" s="0" t="n">
        <v>1</v>
      </c>
      <c r="AL277" s="0" t="n">
        <v>0</v>
      </c>
      <c r="AM277" s="0" t="n">
        <v>0</v>
      </c>
      <c r="BB277" s="187" t="n">
        <v>1</v>
      </c>
      <c r="BC277" s="0" t="n">
        <v>1</v>
      </c>
      <c r="BD277" s="0" t="n">
        <v>1</v>
      </c>
      <c r="BE277" s="0" t="n">
        <v>1</v>
      </c>
      <c r="BF277" s="0" t="n">
        <v>0.9999</v>
      </c>
      <c r="BG277" s="0" t="n">
        <v>1</v>
      </c>
      <c r="BH277" s="0" t="n">
        <v>1</v>
      </c>
      <c r="BI277" s="0" t="n">
        <v>0.99</v>
      </c>
      <c r="BJ277" s="0" t="n">
        <v>0.999</v>
      </c>
      <c r="BK277" s="0" t="n">
        <v>0.998</v>
      </c>
      <c r="BL277" s="0" t="n">
        <v>0.9985</v>
      </c>
      <c r="BM277" s="0" t="n">
        <v>0.9985</v>
      </c>
      <c r="BN277" s="0" t="n">
        <v>0.972</v>
      </c>
      <c r="BO277" s="0" t="n">
        <v>0.9999</v>
      </c>
      <c r="BP277" s="0" t="n">
        <v>0.9999</v>
      </c>
      <c r="BQ277" s="0" t="n">
        <v>1</v>
      </c>
      <c r="BR277" s="0" t="n">
        <v>1.1413826</v>
      </c>
      <c r="BS277" s="0" t="n">
        <v>1.1434</v>
      </c>
      <c r="BT277" s="0" t="n">
        <v>1.0827</v>
      </c>
      <c r="BU277" s="0" t="n">
        <v>1.032</v>
      </c>
      <c r="BV277" s="0" t="n">
        <v>1</v>
      </c>
      <c r="BW277" s="0" t="n">
        <v>2.823</v>
      </c>
      <c r="BX277" s="0" t="n">
        <v>2.359466333</v>
      </c>
      <c r="BY277" s="0" t="n">
        <v>1.20895</v>
      </c>
      <c r="BZ277" s="0" t="n">
        <v>1.2885</v>
      </c>
      <c r="CA277" s="0" t="n">
        <v>2.001</v>
      </c>
      <c r="CB277" s="0" t="n">
        <v>1.600505</v>
      </c>
      <c r="CC277" s="0" t="n">
        <v>1.600505</v>
      </c>
      <c r="CD277" s="0" t="n">
        <v>1.313805</v>
      </c>
      <c r="CE277" s="0" t="n">
        <v>1.12238</v>
      </c>
      <c r="CF277" s="0" t="n">
        <v>1.494605</v>
      </c>
      <c r="CG277" s="188"/>
      <c r="CH277" s="0" t="n">
        <v>1.108805</v>
      </c>
      <c r="CI277" s="188"/>
      <c r="CJ277" s="188"/>
      <c r="CK277" s="188"/>
      <c r="CL277" s="188"/>
      <c r="CM277" s="188"/>
      <c r="CN277" s="188"/>
      <c r="CO277" s="188"/>
      <c r="CP277" s="0" t="n">
        <v>0.975</v>
      </c>
      <c r="CV277" s="0" t="n">
        <v>0.55</v>
      </c>
      <c r="CW277" s="0" t="n">
        <v>0.925</v>
      </c>
      <c r="CX277" s="0" t="n">
        <v>0.755</v>
      </c>
      <c r="CZ277" s="0" t="n">
        <v>0.945</v>
      </c>
      <c r="DA277" s="0" t="n">
        <v>0.9775</v>
      </c>
      <c r="DB277" s="0" t="n">
        <v>0.945</v>
      </c>
      <c r="DC277" s="0" t="n">
        <v>0.92</v>
      </c>
      <c r="DD277" s="0" t="n">
        <v>0.915</v>
      </c>
      <c r="DE277" s="0" t="n">
        <v>0.89</v>
      </c>
      <c r="DN277" s="188" t="n">
        <v>0.000285</v>
      </c>
      <c r="DO277" s="188" t="n">
        <v>0.0002</v>
      </c>
      <c r="DP277" s="188" t="n">
        <v>0</v>
      </c>
      <c r="DQ277" s="188" t="n">
        <v>0.0001</v>
      </c>
      <c r="DR277" s="188" t="n">
        <v>0</v>
      </c>
      <c r="DS277" s="188" t="n">
        <v>0.0036</v>
      </c>
      <c r="DT277" s="188" t="n">
        <v>0.00047</v>
      </c>
      <c r="DU277" s="188" t="n">
        <v>0.0007</v>
      </c>
      <c r="DV277" s="188" t="n">
        <v>0</v>
      </c>
      <c r="DW277" s="188" t="n">
        <v>0</v>
      </c>
      <c r="DX277" s="188" t="n">
        <v>0.0005</v>
      </c>
      <c r="DY277" s="188" t="n">
        <v>0.0005</v>
      </c>
      <c r="DZ277" s="188" t="n">
        <v>0.0003</v>
      </c>
      <c r="EA277" s="188" t="n">
        <v>0.000275</v>
      </c>
      <c r="EB277" s="188" t="n">
        <v>0.0004</v>
      </c>
      <c r="ED277" s="188" t="n">
        <v>6.5E-005</v>
      </c>
      <c r="EF277" s="0" t="n">
        <v>1</v>
      </c>
    </row>
    <row r="278" customFormat="false" ht="12.75" hidden="false" customHeight="false" outlineLevel="0" collapsed="false">
      <c r="A278" s="149" t="n">
        <v>44835</v>
      </c>
      <c r="B278" s="0" t="n">
        <v>0.98</v>
      </c>
      <c r="C278" s="0" t="n">
        <v>0</v>
      </c>
      <c r="E278" s="0" t="n">
        <v>0</v>
      </c>
      <c r="F278" s="0" t="n">
        <v>0</v>
      </c>
      <c r="G278" s="0" t="n">
        <v>0</v>
      </c>
      <c r="H278" s="0" t="n">
        <v>0.9875</v>
      </c>
      <c r="I278" s="0" t="n">
        <v>0.9875</v>
      </c>
      <c r="J278" s="0" t="n">
        <v>0.9805</v>
      </c>
      <c r="K278" s="0" t="n">
        <v>0</v>
      </c>
      <c r="L278" s="176" t="n">
        <v>0.9875</v>
      </c>
      <c r="M278" s="176" t="n">
        <v>0.9875</v>
      </c>
      <c r="N278" s="0" t="n">
        <v>0.98</v>
      </c>
      <c r="O278" s="0" t="n">
        <v>0.9875</v>
      </c>
      <c r="P278" s="0" t="n">
        <v>0.98</v>
      </c>
      <c r="Q278" s="177" t="n">
        <v>0.9875</v>
      </c>
      <c r="R278" s="0" t="n">
        <v>0.9875</v>
      </c>
      <c r="S278" s="176" t="n">
        <v>0.9875</v>
      </c>
      <c r="T278" s="0" t="n">
        <v>0.98</v>
      </c>
      <c r="U278" s="0" t="n">
        <v>0.98</v>
      </c>
      <c r="V278" s="0" t="n">
        <v>0.98</v>
      </c>
      <c r="W278" s="0" t="n">
        <v>0.98</v>
      </c>
      <c r="X278" s="0" t="n">
        <v>0.9875</v>
      </c>
      <c r="Y278" s="0" t="n">
        <v>0.9875</v>
      </c>
      <c r="Z278" s="0" t="n">
        <v>0.9875</v>
      </c>
      <c r="AA278" s="0" t="n">
        <v>0.9875</v>
      </c>
      <c r="AB278" s="0" t="n">
        <v>0.98</v>
      </c>
      <c r="AC278" s="0" t="n">
        <v>0.98</v>
      </c>
      <c r="AD278" s="0" t="n">
        <v>0.9875</v>
      </c>
      <c r="AE278" s="0" t="n">
        <v>0.9875</v>
      </c>
      <c r="AF278" s="0" t="n">
        <v>0.98</v>
      </c>
      <c r="AG278" s="0" t="n">
        <v>0.99</v>
      </c>
      <c r="AH278" s="0" t="n">
        <v>0.985</v>
      </c>
      <c r="AI278" s="0" t="n">
        <v>0.985</v>
      </c>
      <c r="AJ278" s="0" t="n">
        <v>0.98</v>
      </c>
      <c r="AK278" s="0" t="n">
        <v>1</v>
      </c>
      <c r="AL278" s="0" t="n">
        <v>0</v>
      </c>
      <c r="AM278" s="0" t="n">
        <v>0</v>
      </c>
      <c r="BB278" s="187" t="n">
        <v>1</v>
      </c>
      <c r="BC278" s="0" t="n">
        <v>1</v>
      </c>
      <c r="BD278" s="0" t="n">
        <v>1</v>
      </c>
      <c r="BE278" s="0" t="n">
        <v>1</v>
      </c>
      <c r="BF278" s="0" t="n">
        <v>0.9999</v>
      </c>
      <c r="BG278" s="0" t="n">
        <v>1</v>
      </c>
      <c r="BH278" s="0" t="n">
        <v>1</v>
      </c>
      <c r="BI278" s="0" t="n">
        <v>0.99</v>
      </c>
      <c r="BJ278" s="0" t="n">
        <v>0.999</v>
      </c>
      <c r="BK278" s="0" t="n">
        <v>0.998</v>
      </c>
      <c r="BL278" s="0" t="n">
        <v>0.9985</v>
      </c>
      <c r="BM278" s="0" t="n">
        <v>0.9985</v>
      </c>
      <c r="BN278" s="0" t="n">
        <v>0.972</v>
      </c>
      <c r="BO278" s="0" t="n">
        <v>0.9999</v>
      </c>
      <c r="BP278" s="0" t="n">
        <v>0.9999</v>
      </c>
      <c r="BQ278" s="0" t="n">
        <v>1</v>
      </c>
      <c r="BR278" s="0" t="n">
        <v>1.1416676</v>
      </c>
      <c r="BS278" s="0" t="n">
        <v>1.1436</v>
      </c>
      <c r="BT278" s="0" t="n">
        <v>1.0827</v>
      </c>
      <c r="BU278" s="0" t="n">
        <v>1.0321</v>
      </c>
      <c r="BV278" s="0" t="n">
        <v>1</v>
      </c>
      <c r="BW278" s="0" t="n">
        <v>2.8266</v>
      </c>
      <c r="BX278" s="0" t="n">
        <v>2.359936333</v>
      </c>
      <c r="BY278" s="0" t="n">
        <v>1.20965</v>
      </c>
      <c r="BZ278" s="0" t="n">
        <v>1.2885</v>
      </c>
      <c r="CA278" s="0" t="n">
        <v>2.001</v>
      </c>
      <c r="CB278" s="0" t="n">
        <v>1.601005</v>
      </c>
      <c r="CC278" s="0" t="n">
        <v>1.601005</v>
      </c>
      <c r="CD278" s="0" t="n">
        <v>1.314105</v>
      </c>
      <c r="CE278" s="0" t="n">
        <v>1.122655</v>
      </c>
      <c r="CF278" s="0" t="n">
        <v>1.495005</v>
      </c>
      <c r="CG278" s="188"/>
      <c r="CH278" s="0" t="n">
        <v>1.10887</v>
      </c>
      <c r="CI278" s="188"/>
      <c r="CJ278" s="188"/>
      <c r="CK278" s="188"/>
      <c r="CL278" s="188"/>
      <c r="CM278" s="188"/>
      <c r="CN278" s="188"/>
      <c r="CO278" s="188"/>
      <c r="CP278" s="0" t="n">
        <v>0.955</v>
      </c>
      <c r="CV278" s="0" t="n">
        <v>0.45</v>
      </c>
      <c r="CW278" s="0" t="n">
        <v>0.925</v>
      </c>
      <c r="CX278" s="0" t="n">
        <v>0.745</v>
      </c>
      <c r="CZ278" s="0" t="n">
        <v>0.805</v>
      </c>
      <c r="DA278" s="0" t="n">
        <v>0.8375</v>
      </c>
      <c r="DB278" s="0" t="n">
        <v>0.875</v>
      </c>
      <c r="DC278" s="0" t="n">
        <v>0.9025</v>
      </c>
      <c r="DD278" s="0" t="n">
        <v>0.82</v>
      </c>
      <c r="DE278" s="0" t="n">
        <v>0.89</v>
      </c>
      <c r="DN278" s="188" t="n">
        <v>0.000285</v>
      </c>
      <c r="DO278" s="188" t="n">
        <v>0.0002</v>
      </c>
      <c r="DP278" s="188" t="n">
        <v>0</v>
      </c>
      <c r="DQ278" s="188" t="n">
        <v>0.0001</v>
      </c>
      <c r="DR278" s="188" t="n">
        <v>0</v>
      </c>
      <c r="DS278" s="188" t="n">
        <v>0.0036</v>
      </c>
      <c r="DT278" s="188" t="n">
        <v>0.00047</v>
      </c>
      <c r="DU278" s="188" t="n">
        <v>0.0007</v>
      </c>
      <c r="DV278" s="188" t="n">
        <v>0</v>
      </c>
      <c r="DW278" s="188" t="n">
        <v>0</v>
      </c>
      <c r="DX278" s="188" t="n">
        <v>0.0005</v>
      </c>
      <c r="DY278" s="188" t="n">
        <v>0.0005</v>
      </c>
      <c r="DZ278" s="188" t="n">
        <v>0.0003</v>
      </c>
      <c r="EA278" s="188" t="n">
        <v>0.000275</v>
      </c>
      <c r="EB278" s="188" t="n">
        <v>0.0004</v>
      </c>
      <c r="ED278" s="188" t="n">
        <v>6.5E-005</v>
      </c>
      <c r="EF278" s="0" t="n">
        <v>1</v>
      </c>
    </row>
    <row r="279" customFormat="false" ht="12.75" hidden="false" customHeight="false" outlineLevel="0" collapsed="false">
      <c r="A279" s="149" t="n">
        <v>44866</v>
      </c>
      <c r="B279" s="0" t="n">
        <v>0.98</v>
      </c>
      <c r="C279" s="0" t="n">
        <v>0</v>
      </c>
      <c r="E279" s="0" t="n">
        <v>0</v>
      </c>
      <c r="F279" s="0" t="n">
        <v>0</v>
      </c>
      <c r="G279" s="0" t="n">
        <v>0</v>
      </c>
      <c r="H279" s="0" t="n">
        <v>0.9875</v>
      </c>
      <c r="I279" s="0" t="n">
        <v>0.9875</v>
      </c>
      <c r="J279" s="0" t="n">
        <v>0.9805</v>
      </c>
      <c r="K279" s="0" t="n">
        <v>0</v>
      </c>
      <c r="L279" s="176" t="n">
        <v>0.9875</v>
      </c>
      <c r="M279" s="176" t="n">
        <v>0.9875</v>
      </c>
      <c r="N279" s="0" t="n">
        <v>0.98</v>
      </c>
      <c r="O279" s="0" t="n">
        <v>0.9875</v>
      </c>
      <c r="P279" s="0" t="n">
        <v>0.98</v>
      </c>
      <c r="Q279" s="177" t="n">
        <v>0.9875</v>
      </c>
      <c r="R279" s="0" t="n">
        <v>0.9875</v>
      </c>
      <c r="S279" s="176" t="n">
        <v>0.9875</v>
      </c>
      <c r="T279" s="0" t="n">
        <v>0.98</v>
      </c>
      <c r="U279" s="0" t="n">
        <v>0.98</v>
      </c>
      <c r="V279" s="0" t="n">
        <v>0.98</v>
      </c>
      <c r="W279" s="0" t="n">
        <v>0.98</v>
      </c>
      <c r="X279" s="0" t="n">
        <v>0.9875</v>
      </c>
      <c r="Y279" s="0" t="n">
        <v>0.9875</v>
      </c>
      <c r="Z279" s="0" t="n">
        <v>0.9875</v>
      </c>
      <c r="AA279" s="0" t="n">
        <v>0.9875</v>
      </c>
      <c r="AB279" s="0" t="n">
        <v>0.98</v>
      </c>
      <c r="AC279" s="0" t="n">
        <v>0.98</v>
      </c>
      <c r="AD279" s="0" t="n">
        <v>0.9875</v>
      </c>
      <c r="AE279" s="0" t="n">
        <v>0.9875</v>
      </c>
      <c r="AF279" s="0" t="n">
        <v>0.98</v>
      </c>
      <c r="AG279" s="0" t="n">
        <v>0.99</v>
      </c>
      <c r="AH279" s="0" t="n">
        <v>0.985</v>
      </c>
      <c r="AI279" s="0" t="n">
        <v>0.985</v>
      </c>
      <c r="AJ279" s="0" t="n">
        <v>0.98</v>
      </c>
      <c r="AK279" s="0" t="n">
        <v>1</v>
      </c>
      <c r="AL279" s="0" t="n">
        <v>0</v>
      </c>
      <c r="AM279" s="0" t="n">
        <v>0</v>
      </c>
      <c r="BB279" s="187" t="n">
        <v>1</v>
      </c>
      <c r="BC279" s="0" t="n">
        <v>1</v>
      </c>
      <c r="BD279" s="0" t="n">
        <v>1</v>
      </c>
      <c r="BE279" s="0" t="n">
        <v>1</v>
      </c>
      <c r="BF279" s="0" t="n">
        <v>0.9999</v>
      </c>
      <c r="BG279" s="0" t="n">
        <v>1</v>
      </c>
      <c r="BH279" s="0" t="n">
        <v>1</v>
      </c>
      <c r="BI279" s="0" t="n">
        <v>0.99</v>
      </c>
      <c r="BJ279" s="0" t="n">
        <v>0.999</v>
      </c>
      <c r="BK279" s="0" t="n">
        <v>0.998</v>
      </c>
      <c r="BL279" s="0" t="n">
        <v>0.9985</v>
      </c>
      <c r="BM279" s="0" t="n">
        <v>0.9985</v>
      </c>
      <c r="BN279" s="0" t="n">
        <v>0.972</v>
      </c>
      <c r="BO279" s="0" t="n">
        <v>0.9999</v>
      </c>
      <c r="BP279" s="0" t="n">
        <v>0.9999</v>
      </c>
      <c r="BQ279" s="0" t="n">
        <v>1</v>
      </c>
      <c r="BR279" s="0" t="n">
        <v>1.1419526</v>
      </c>
      <c r="BS279" s="0" t="n">
        <v>1.1438</v>
      </c>
      <c r="BT279" s="0" t="n">
        <v>1.0827</v>
      </c>
      <c r="BU279" s="0" t="n">
        <v>1.0322</v>
      </c>
      <c r="BV279" s="0" t="n">
        <v>1</v>
      </c>
      <c r="BW279" s="0" t="n">
        <v>2.8302</v>
      </c>
      <c r="BX279" s="0" t="n">
        <v>2.360406333</v>
      </c>
      <c r="BY279" s="0" t="n">
        <v>1.21035</v>
      </c>
      <c r="BZ279" s="0" t="n">
        <v>1.2885</v>
      </c>
      <c r="CA279" s="0" t="n">
        <v>2.001</v>
      </c>
      <c r="CB279" s="0" t="n">
        <v>1.601505</v>
      </c>
      <c r="CC279" s="0" t="n">
        <v>1.601505</v>
      </c>
      <c r="CD279" s="0" t="n">
        <v>1.314405</v>
      </c>
      <c r="CE279" s="0" t="n">
        <v>1.12293</v>
      </c>
      <c r="CF279" s="0" t="n">
        <v>1.495405</v>
      </c>
      <c r="CG279" s="188"/>
      <c r="CH279" s="0" t="n">
        <v>1.108935</v>
      </c>
      <c r="CI279" s="188"/>
      <c r="CJ279" s="188"/>
      <c r="CK279" s="188"/>
      <c r="CL279" s="188"/>
      <c r="CM279" s="188"/>
      <c r="CN279" s="188"/>
      <c r="CO279" s="188"/>
      <c r="CP279" s="0" t="n">
        <v>0.955</v>
      </c>
      <c r="CV279" s="0" t="n">
        <v>0.46</v>
      </c>
      <c r="CW279" s="0" t="n">
        <v>0.905</v>
      </c>
      <c r="CX279" s="0" t="n">
        <v>0.705</v>
      </c>
      <c r="CZ279" s="0" t="n">
        <v>0.795</v>
      </c>
      <c r="DA279" s="0" t="n">
        <v>0.8275</v>
      </c>
      <c r="DB279" s="0" t="n">
        <v>0.85</v>
      </c>
      <c r="DC279" s="0" t="n">
        <v>0.9025</v>
      </c>
      <c r="DD279" s="0" t="n">
        <v>0.82</v>
      </c>
      <c r="DE279" s="0" t="n">
        <v>0.89</v>
      </c>
      <c r="DN279" s="188" t="n">
        <v>0.000285</v>
      </c>
      <c r="DO279" s="188" t="n">
        <v>0.0002</v>
      </c>
      <c r="DP279" s="188" t="n">
        <v>0</v>
      </c>
      <c r="DQ279" s="188" t="n">
        <v>0.0001</v>
      </c>
      <c r="DR279" s="188" t="n">
        <v>0</v>
      </c>
      <c r="DS279" s="188" t="n">
        <v>0.0036</v>
      </c>
      <c r="DT279" s="188" t="n">
        <v>0.00047</v>
      </c>
      <c r="DU279" s="188" t="n">
        <v>0.0007</v>
      </c>
      <c r="DV279" s="188" t="n">
        <v>0</v>
      </c>
      <c r="DW279" s="188" t="n">
        <v>0</v>
      </c>
      <c r="DX279" s="188" t="n">
        <v>0.0005</v>
      </c>
      <c r="DY279" s="188" t="n">
        <v>0.0005</v>
      </c>
      <c r="DZ279" s="188" t="n">
        <v>0.0003</v>
      </c>
      <c r="EA279" s="188" t="n">
        <v>0.000275</v>
      </c>
      <c r="EB279" s="188" t="n">
        <v>0.0004</v>
      </c>
      <c r="ED279" s="188" t="n">
        <v>6.5E-005</v>
      </c>
      <c r="EF279" s="0" t="n">
        <v>1</v>
      </c>
    </row>
    <row r="280" customFormat="false" ht="12.75" hidden="false" customHeight="false" outlineLevel="0" collapsed="false">
      <c r="A280" s="149" t="n">
        <v>44896</v>
      </c>
      <c r="B280" s="0" t="n">
        <v>0.98</v>
      </c>
      <c r="C280" s="0" t="n">
        <v>0</v>
      </c>
      <c r="E280" s="0" t="n">
        <v>0</v>
      </c>
      <c r="F280" s="0" t="n">
        <v>0</v>
      </c>
      <c r="G280" s="0" t="n">
        <v>0</v>
      </c>
      <c r="H280" s="0" t="n">
        <v>0.9875</v>
      </c>
      <c r="I280" s="0" t="n">
        <v>0.9875</v>
      </c>
      <c r="J280" s="0" t="n">
        <v>0.9805</v>
      </c>
      <c r="K280" s="0" t="n">
        <v>0</v>
      </c>
      <c r="L280" s="176" t="n">
        <v>0.94518295</v>
      </c>
      <c r="M280" s="176" t="n">
        <v>0.9875</v>
      </c>
      <c r="N280" s="0" t="n">
        <v>0.90714645</v>
      </c>
      <c r="O280" s="0" t="n">
        <v>0.9875</v>
      </c>
      <c r="P280" s="0" t="n">
        <v>0.90714645</v>
      </c>
      <c r="Q280" s="177" t="n">
        <v>0.94518295</v>
      </c>
      <c r="R280" s="0" t="n">
        <v>0.94518295</v>
      </c>
      <c r="S280" s="176" t="n">
        <v>0.94518295</v>
      </c>
      <c r="T280" s="0" t="n">
        <v>0.90714645</v>
      </c>
      <c r="U280" s="0" t="n">
        <v>0.90714645</v>
      </c>
      <c r="V280" s="0" t="n">
        <v>0.90714645</v>
      </c>
      <c r="W280" s="0" t="n">
        <v>0.90714645</v>
      </c>
      <c r="X280" s="0" t="n">
        <v>0.9875</v>
      </c>
      <c r="Y280" s="0" t="n">
        <v>0.9875</v>
      </c>
      <c r="Z280" s="0" t="n">
        <v>0.9875</v>
      </c>
      <c r="AA280" s="0" t="n">
        <v>0.9875</v>
      </c>
      <c r="AB280" s="0" t="n">
        <v>0.90714645</v>
      </c>
      <c r="AC280" s="0" t="n">
        <v>0.90714645</v>
      </c>
      <c r="AD280" s="0" t="n">
        <v>0.9875</v>
      </c>
      <c r="AE280" s="0" t="n">
        <v>0.9875</v>
      </c>
      <c r="AF280" s="0" t="n">
        <v>0.90714645</v>
      </c>
      <c r="AG280" s="0" t="n">
        <v>0.98</v>
      </c>
      <c r="AH280" s="0" t="n">
        <v>0.985</v>
      </c>
      <c r="AI280" s="0" t="n">
        <v>0.985</v>
      </c>
      <c r="AJ280" s="0" t="n">
        <v>0.90714645</v>
      </c>
      <c r="AK280" s="0" t="n">
        <v>1</v>
      </c>
      <c r="AL280" s="0" t="n">
        <v>0</v>
      </c>
      <c r="AM280" s="0" t="n">
        <v>0</v>
      </c>
      <c r="BB280" s="187" t="n">
        <v>1</v>
      </c>
      <c r="BC280" s="0" t="n">
        <v>1</v>
      </c>
      <c r="BD280" s="0" t="n">
        <v>1</v>
      </c>
      <c r="BE280" s="0" t="n">
        <v>1</v>
      </c>
      <c r="BF280" s="0" t="n">
        <v>0.9999</v>
      </c>
      <c r="BG280" s="0" t="n">
        <v>1</v>
      </c>
      <c r="BH280" s="0" t="n">
        <v>1</v>
      </c>
      <c r="BI280" s="0" t="n">
        <v>0.99</v>
      </c>
      <c r="BJ280" s="0" t="n">
        <v>0.999</v>
      </c>
      <c r="BK280" s="0" t="n">
        <v>0.998</v>
      </c>
      <c r="BL280" s="0" t="n">
        <v>0.9985</v>
      </c>
      <c r="BM280" s="0" t="n">
        <v>0.9985</v>
      </c>
      <c r="BN280" s="0" t="n">
        <v>0.972</v>
      </c>
      <c r="BO280" s="0" t="n">
        <v>0.9999</v>
      </c>
      <c r="BP280" s="0" t="n">
        <v>0.9999</v>
      </c>
      <c r="BQ280" s="0" t="n">
        <v>1</v>
      </c>
      <c r="BR280" s="0" t="n">
        <v>1.1422376</v>
      </c>
      <c r="BS280" s="0" t="n">
        <v>1.144</v>
      </c>
      <c r="BT280" s="0" t="n">
        <v>1.0827</v>
      </c>
      <c r="BU280" s="0" t="n">
        <v>1.0323</v>
      </c>
      <c r="BV280" s="0" t="n">
        <v>1</v>
      </c>
      <c r="BW280" s="0" t="n">
        <v>2.8338</v>
      </c>
      <c r="BX280" s="0" t="n">
        <v>2.360876333</v>
      </c>
      <c r="BY280" s="0" t="n">
        <v>1.21105</v>
      </c>
      <c r="BZ280" s="0" t="n">
        <v>1.2885</v>
      </c>
      <c r="CA280" s="0" t="n">
        <v>2.001</v>
      </c>
      <c r="CB280" s="0" t="n">
        <v>1.602005</v>
      </c>
      <c r="CC280" s="0" t="n">
        <v>1.602005</v>
      </c>
      <c r="CD280" s="0" t="n">
        <v>1.314705</v>
      </c>
      <c r="CE280" s="0" t="n">
        <v>1.123205</v>
      </c>
      <c r="CF280" s="0" t="n">
        <v>1.495805</v>
      </c>
      <c r="CG280" s="188"/>
      <c r="CH280" s="0" t="n">
        <v>1.109</v>
      </c>
      <c r="CI280" s="188"/>
      <c r="CJ280" s="188"/>
      <c r="CK280" s="188"/>
      <c r="CL280" s="188"/>
      <c r="CM280" s="188"/>
      <c r="CN280" s="188"/>
      <c r="CO280" s="188"/>
      <c r="CP280" s="0" t="n">
        <v>0.935</v>
      </c>
      <c r="CV280" s="0" t="n">
        <v>0.48</v>
      </c>
      <c r="CW280" s="0" t="n">
        <v>0.875</v>
      </c>
      <c r="CX280" s="0" t="n">
        <v>0.71</v>
      </c>
      <c r="CZ280" s="0" t="n">
        <v>0.59</v>
      </c>
      <c r="DA280" s="0" t="n">
        <v>0.6225</v>
      </c>
      <c r="DB280" s="0" t="n">
        <v>0.69</v>
      </c>
      <c r="DC280" s="0" t="n">
        <v>0.8925</v>
      </c>
      <c r="DD280" s="0" t="n">
        <v>0.715</v>
      </c>
      <c r="DE280" s="0" t="n">
        <v>0.89</v>
      </c>
      <c r="DN280" s="188" t="n">
        <v>0.000285</v>
      </c>
      <c r="DO280" s="188" t="n">
        <v>0.0002</v>
      </c>
      <c r="DP280" s="188" t="n">
        <v>0</v>
      </c>
      <c r="DQ280" s="188" t="n">
        <v>0.0001</v>
      </c>
      <c r="DR280" s="188" t="n">
        <v>0</v>
      </c>
      <c r="DS280" s="188" t="n">
        <v>0.0036</v>
      </c>
      <c r="DT280" s="188" t="n">
        <v>0.00047</v>
      </c>
      <c r="DU280" s="188" t="n">
        <v>0.0007</v>
      </c>
      <c r="DV280" s="188" t="n">
        <v>0</v>
      </c>
      <c r="DW280" s="188" t="n">
        <v>0</v>
      </c>
      <c r="DX280" s="188" t="n">
        <v>0.0005</v>
      </c>
      <c r="DY280" s="188" t="n">
        <v>0.0005</v>
      </c>
      <c r="DZ280" s="188" t="n">
        <v>0.0003</v>
      </c>
      <c r="EA280" s="188" t="n">
        <v>0.000275</v>
      </c>
      <c r="EB280" s="188" t="n">
        <v>0.0004</v>
      </c>
      <c r="ED280" s="188" t="n">
        <v>6.5E-005</v>
      </c>
      <c r="EF280" s="0" t="n">
        <v>1</v>
      </c>
    </row>
    <row r="281" customFormat="false" ht="12.75" hidden="false" customHeight="false" outlineLevel="0" collapsed="false">
      <c r="A281" s="149" t="n">
        <v>44927</v>
      </c>
      <c r="B281" s="0" t="n">
        <v>0.98</v>
      </c>
      <c r="C281" s="0" t="n">
        <v>0</v>
      </c>
      <c r="E281" s="0" t="n">
        <v>0</v>
      </c>
      <c r="F281" s="0" t="n">
        <v>0</v>
      </c>
      <c r="G281" s="0" t="n">
        <v>0</v>
      </c>
      <c r="H281" s="0" t="n">
        <v>0.9875</v>
      </c>
      <c r="I281" s="0" t="n">
        <v>0.97545875</v>
      </c>
      <c r="J281" s="0" t="n">
        <v>0.9805</v>
      </c>
      <c r="K281" s="0" t="n">
        <v>0</v>
      </c>
      <c r="L281" s="176" t="n">
        <v>0.969515525</v>
      </c>
      <c r="M281" s="176" t="n">
        <v>0.9875</v>
      </c>
      <c r="N281" s="0" t="n">
        <v>0.90735345</v>
      </c>
      <c r="O281" s="0" t="n">
        <v>0.9875</v>
      </c>
      <c r="P281" s="0" t="n">
        <v>0.90735345</v>
      </c>
      <c r="Q281" s="177" t="n">
        <v>0.969515525</v>
      </c>
      <c r="R281" s="0" t="n">
        <v>0.969515525</v>
      </c>
      <c r="S281" s="176" t="n">
        <v>0.969515525</v>
      </c>
      <c r="T281" s="0" t="n">
        <v>0.90735345</v>
      </c>
      <c r="U281" s="0" t="n">
        <v>0.90735345</v>
      </c>
      <c r="V281" s="0" t="n">
        <v>0.90735345</v>
      </c>
      <c r="W281" s="0" t="n">
        <v>0.90735345</v>
      </c>
      <c r="X281" s="0" t="n">
        <v>0.9875</v>
      </c>
      <c r="Y281" s="0" t="n">
        <v>0.9875</v>
      </c>
      <c r="Z281" s="0" t="n">
        <v>0.9875</v>
      </c>
      <c r="AA281" s="0" t="n">
        <v>0.9875</v>
      </c>
      <c r="AB281" s="0" t="n">
        <v>0.90735345</v>
      </c>
      <c r="AC281" s="0" t="n">
        <v>0.90735345</v>
      </c>
      <c r="AD281" s="0" t="n">
        <v>0.9875</v>
      </c>
      <c r="AE281" s="0" t="n">
        <v>0.9875</v>
      </c>
      <c r="AF281" s="0" t="n">
        <v>0.90735345</v>
      </c>
      <c r="AG281" s="0" t="n">
        <v>0.98</v>
      </c>
      <c r="AH281" s="0" t="n">
        <v>0.985</v>
      </c>
      <c r="AI281" s="0" t="n">
        <v>0.985</v>
      </c>
      <c r="AJ281" s="0" t="n">
        <v>0.90735345</v>
      </c>
      <c r="AK281" s="0" t="n">
        <v>1</v>
      </c>
      <c r="AL281" s="0" t="n">
        <v>0</v>
      </c>
      <c r="AM281" s="0" t="n">
        <v>0</v>
      </c>
      <c r="BB281" s="187" t="n">
        <v>1</v>
      </c>
      <c r="BC281" s="0" t="n">
        <v>1</v>
      </c>
      <c r="BD281" s="0" t="n">
        <v>1</v>
      </c>
      <c r="BE281" s="0" t="n">
        <v>1</v>
      </c>
      <c r="BF281" s="0" t="n">
        <v>0.9999</v>
      </c>
      <c r="BG281" s="0" t="n">
        <v>1</v>
      </c>
      <c r="BH281" s="0" t="n">
        <v>1</v>
      </c>
      <c r="BI281" s="0" t="n">
        <v>0.99</v>
      </c>
      <c r="BJ281" s="0" t="n">
        <v>0.999</v>
      </c>
      <c r="BK281" s="0" t="n">
        <v>0.998</v>
      </c>
      <c r="BL281" s="0" t="n">
        <v>0.9985</v>
      </c>
      <c r="BM281" s="0" t="n">
        <v>0.9985</v>
      </c>
      <c r="BN281" s="0" t="n">
        <v>0.972</v>
      </c>
      <c r="BO281" s="0" t="n">
        <v>0.9999</v>
      </c>
      <c r="BP281" s="0" t="n">
        <v>0.9999</v>
      </c>
      <c r="BQ281" s="0" t="n">
        <v>1</v>
      </c>
      <c r="BR281" s="0" t="n">
        <v>1.1425226</v>
      </c>
      <c r="BS281" s="0" t="n">
        <v>1.1442</v>
      </c>
      <c r="BT281" s="0" t="n">
        <v>1.0827</v>
      </c>
      <c r="BU281" s="0" t="n">
        <v>1.0324</v>
      </c>
      <c r="BV281" s="0" t="n">
        <v>1</v>
      </c>
      <c r="BW281" s="0" t="n">
        <v>2.8374</v>
      </c>
      <c r="BX281" s="0" t="n">
        <v>2.361346333</v>
      </c>
      <c r="BY281" s="0" t="n">
        <v>1.21175</v>
      </c>
      <c r="BZ281" s="0" t="n">
        <v>1.2885</v>
      </c>
      <c r="CA281" s="0" t="n">
        <v>2.001</v>
      </c>
      <c r="CB281" s="0" t="n">
        <v>1.602505</v>
      </c>
      <c r="CC281" s="0" t="n">
        <v>1.602505</v>
      </c>
      <c r="CD281" s="0" t="n">
        <v>1.315005</v>
      </c>
      <c r="CE281" s="0" t="n">
        <v>1.12348</v>
      </c>
      <c r="CF281" s="0" t="n">
        <v>1.496205</v>
      </c>
      <c r="CG281" s="188"/>
      <c r="CH281" s="0" t="n">
        <v>1.109065</v>
      </c>
      <c r="CI281" s="188"/>
      <c r="CJ281" s="188"/>
      <c r="CK281" s="188"/>
      <c r="CL281" s="188"/>
      <c r="CM281" s="188"/>
      <c r="CN281" s="188"/>
      <c r="CO281" s="188"/>
      <c r="CP281" s="0" t="n">
        <v>0.895</v>
      </c>
      <c r="CV281" s="0" t="n">
        <v>0.45</v>
      </c>
      <c r="CW281" s="0" t="n">
        <v>0.805</v>
      </c>
      <c r="CX281" s="0" t="n">
        <v>0.72</v>
      </c>
      <c r="CZ281" s="0" t="n">
        <v>0.605</v>
      </c>
      <c r="DA281" s="0" t="n">
        <v>0.6375</v>
      </c>
      <c r="DB281" s="0" t="n">
        <v>0.69</v>
      </c>
      <c r="DC281" s="0" t="n">
        <v>0.88</v>
      </c>
      <c r="DD281" s="0" t="n">
        <v>0.64</v>
      </c>
      <c r="DE281" s="0" t="n">
        <v>0.89</v>
      </c>
      <c r="DN281" s="188" t="n">
        <v>0.000285</v>
      </c>
      <c r="DO281" s="188" t="n">
        <v>0.0002</v>
      </c>
      <c r="DP281" s="188" t="n">
        <v>0</v>
      </c>
      <c r="DQ281" s="188" t="n">
        <v>0.0001</v>
      </c>
      <c r="DR281" s="188" t="n">
        <v>0</v>
      </c>
      <c r="DS281" s="188" t="n">
        <v>0.0036</v>
      </c>
      <c r="DT281" s="188" t="n">
        <v>0.00047</v>
      </c>
      <c r="DU281" s="188" t="n">
        <v>0.0007</v>
      </c>
      <c r="DV281" s="188" t="n">
        <v>0</v>
      </c>
      <c r="DW281" s="188" t="n">
        <v>0</v>
      </c>
      <c r="DX281" s="188" t="n">
        <v>0.0005</v>
      </c>
      <c r="DY281" s="188" t="n">
        <v>0.0005</v>
      </c>
      <c r="DZ281" s="188" t="n">
        <v>0.0003</v>
      </c>
      <c r="EA281" s="188" t="n">
        <v>0.000275</v>
      </c>
      <c r="EB281" s="188" t="n">
        <v>0.0004</v>
      </c>
      <c r="ED281" s="188" t="n">
        <v>6.5E-005</v>
      </c>
      <c r="EF281" s="0" t="n">
        <v>1</v>
      </c>
    </row>
    <row r="282" customFormat="false" ht="12.75" hidden="false" customHeight="false" outlineLevel="0" collapsed="false">
      <c r="A282" s="149" t="n">
        <v>44958</v>
      </c>
      <c r="B282" s="0" t="n">
        <v>0.98</v>
      </c>
      <c r="C282" s="0" t="n">
        <v>0</v>
      </c>
      <c r="E282" s="0" t="n">
        <v>0</v>
      </c>
      <c r="F282" s="0" t="n">
        <v>0</v>
      </c>
      <c r="G282" s="0" t="n">
        <v>0</v>
      </c>
      <c r="H282" s="0" t="n">
        <v>0.9875</v>
      </c>
      <c r="I282" s="0" t="n">
        <v>0.9875</v>
      </c>
      <c r="J282" s="0" t="n">
        <v>0.9805</v>
      </c>
      <c r="K282" s="0" t="n">
        <v>0</v>
      </c>
      <c r="L282" s="176" t="n">
        <v>0.9875</v>
      </c>
      <c r="M282" s="176" t="n">
        <v>0.9875</v>
      </c>
      <c r="N282" s="0" t="n">
        <v>0.93386655</v>
      </c>
      <c r="O282" s="0" t="n">
        <v>0.986095013</v>
      </c>
      <c r="P282" s="0" t="n">
        <v>0.93386655</v>
      </c>
      <c r="Q282" s="177" t="n">
        <v>0.9875</v>
      </c>
      <c r="R282" s="0" t="n">
        <v>0.9875</v>
      </c>
      <c r="S282" s="176" t="n">
        <v>0.9875</v>
      </c>
      <c r="T282" s="0" t="n">
        <v>0.93386655</v>
      </c>
      <c r="U282" s="0" t="n">
        <v>0.93386655</v>
      </c>
      <c r="V282" s="0" t="n">
        <v>0.93386655</v>
      </c>
      <c r="W282" s="0" t="n">
        <v>0.93386655</v>
      </c>
      <c r="X282" s="0" t="n">
        <v>0.986095013</v>
      </c>
      <c r="Y282" s="0" t="n">
        <v>0.986095013</v>
      </c>
      <c r="Z282" s="0" t="n">
        <v>0.986095013</v>
      </c>
      <c r="AA282" s="0" t="n">
        <v>0.986095013</v>
      </c>
      <c r="AB282" s="0" t="n">
        <v>0.93386655</v>
      </c>
      <c r="AC282" s="0" t="n">
        <v>0.93386655</v>
      </c>
      <c r="AD282" s="0" t="n">
        <v>0.986095013</v>
      </c>
      <c r="AE282" s="0" t="n">
        <v>0.986095013</v>
      </c>
      <c r="AF282" s="0" t="n">
        <v>0.93386655</v>
      </c>
      <c r="AG282" s="0" t="n">
        <v>0.98</v>
      </c>
      <c r="AH282" s="0" t="n">
        <v>0.985</v>
      </c>
      <c r="AI282" s="0" t="n">
        <v>0.985</v>
      </c>
      <c r="AJ282" s="0" t="n">
        <v>0.93386655</v>
      </c>
      <c r="AK282" s="0" t="n">
        <v>1</v>
      </c>
      <c r="AL282" s="0" t="n">
        <v>0</v>
      </c>
      <c r="AM282" s="0" t="n">
        <v>0</v>
      </c>
      <c r="BB282" s="187" t="n">
        <v>1</v>
      </c>
      <c r="BC282" s="0" t="n">
        <v>1</v>
      </c>
      <c r="BD282" s="0" t="n">
        <v>1</v>
      </c>
      <c r="BE282" s="0" t="n">
        <v>1</v>
      </c>
      <c r="BF282" s="0" t="n">
        <v>0.9999</v>
      </c>
      <c r="BG282" s="0" t="n">
        <v>1</v>
      </c>
      <c r="BH282" s="0" t="n">
        <v>1</v>
      </c>
      <c r="BI282" s="0" t="n">
        <v>0.99</v>
      </c>
      <c r="BJ282" s="0" t="n">
        <v>0.999</v>
      </c>
      <c r="BK282" s="0" t="n">
        <v>0.998</v>
      </c>
      <c r="BL282" s="0" t="n">
        <v>0.9985</v>
      </c>
      <c r="BM282" s="0" t="n">
        <v>0.9985</v>
      </c>
      <c r="BN282" s="0" t="n">
        <v>0.972</v>
      </c>
      <c r="BO282" s="0" t="n">
        <v>0.9999</v>
      </c>
      <c r="BP282" s="0" t="n">
        <v>0.9999</v>
      </c>
      <c r="BQ282" s="0" t="n">
        <v>1</v>
      </c>
      <c r="BR282" s="0" t="n">
        <v>1.1428076</v>
      </c>
      <c r="BS282" s="0" t="n">
        <v>1.1444</v>
      </c>
      <c r="BT282" s="0" t="n">
        <v>1.0827</v>
      </c>
      <c r="BU282" s="0" t="n">
        <v>1.0325</v>
      </c>
      <c r="BV282" s="0" t="n">
        <v>1</v>
      </c>
      <c r="BW282" s="0" t="n">
        <v>2.841</v>
      </c>
      <c r="BX282" s="0" t="n">
        <v>2.361816333</v>
      </c>
      <c r="BY282" s="0" t="n">
        <v>1.21245</v>
      </c>
      <c r="BZ282" s="0" t="n">
        <v>1.2885</v>
      </c>
      <c r="CA282" s="0" t="n">
        <v>2.001</v>
      </c>
      <c r="CB282" s="0" t="n">
        <v>1.603005</v>
      </c>
      <c r="CC282" s="0" t="n">
        <v>1.603005</v>
      </c>
      <c r="CD282" s="0" t="n">
        <v>1.315305</v>
      </c>
      <c r="CE282" s="0" t="n">
        <v>1.123755</v>
      </c>
      <c r="CF282" s="0" t="n">
        <v>1.496605</v>
      </c>
      <c r="CG282" s="188"/>
      <c r="CH282" s="0" t="n">
        <v>1.10913</v>
      </c>
      <c r="CI282" s="188"/>
      <c r="CJ282" s="188"/>
      <c r="CK282" s="188"/>
      <c r="CL282" s="188"/>
      <c r="CM282" s="188"/>
      <c r="CN282" s="188"/>
      <c r="CO282" s="188"/>
      <c r="CP282" s="0" t="n">
        <v>0.865</v>
      </c>
      <c r="CV282" s="0" t="n">
        <v>0.45</v>
      </c>
      <c r="CW282" s="0" t="n">
        <v>0.845</v>
      </c>
      <c r="CX282" s="0" t="n">
        <v>0.825</v>
      </c>
      <c r="CZ282" s="0" t="n">
        <v>0.635</v>
      </c>
      <c r="DA282" s="0" t="n">
        <v>0.6675</v>
      </c>
      <c r="DB282" s="0" t="n">
        <v>0.71</v>
      </c>
      <c r="DC282" s="0" t="n">
        <v>0.8775</v>
      </c>
      <c r="DD282" s="0" t="n">
        <v>0.67</v>
      </c>
      <c r="DE282" s="0" t="n">
        <v>0.89</v>
      </c>
      <c r="DN282" s="188" t="n">
        <v>0.000285</v>
      </c>
      <c r="DO282" s="188" t="n">
        <v>0.0002</v>
      </c>
      <c r="DP282" s="188" t="n">
        <v>0</v>
      </c>
      <c r="DQ282" s="188" t="n">
        <v>0.0001</v>
      </c>
      <c r="DR282" s="188" t="n">
        <v>0</v>
      </c>
      <c r="DS282" s="188" t="n">
        <v>0.0036</v>
      </c>
      <c r="DT282" s="188" t="n">
        <v>0.00047</v>
      </c>
      <c r="DU282" s="188" t="n">
        <v>0.0007</v>
      </c>
      <c r="DV282" s="188" t="n">
        <v>0</v>
      </c>
      <c r="DW282" s="188" t="n">
        <v>0</v>
      </c>
      <c r="DX282" s="188" t="n">
        <v>0.0005</v>
      </c>
      <c r="DY282" s="188" t="n">
        <v>0.0005</v>
      </c>
      <c r="DZ282" s="188" t="n">
        <v>0.0003</v>
      </c>
      <c r="EA282" s="188" t="n">
        <v>0.000275</v>
      </c>
      <c r="EB282" s="188" t="n">
        <v>0.0004</v>
      </c>
      <c r="ED282" s="188" t="n">
        <v>6.5E-005</v>
      </c>
      <c r="EF282" s="0" t="n">
        <v>1</v>
      </c>
    </row>
    <row r="283" customFormat="false" ht="12.75" hidden="false" customHeight="false" outlineLevel="0" collapsed="false">
      <c r="A283" s="149" t="n">
        <v>44986</v>
      </c>
      <c r="B283" s="0" t="n">
        <v>0.98</v>
      </c>
      <c r="C283" s="0" t="n">
        <v>0</v>
      </c>
      <c r="E283" s="0" t="n">
        <v>0</v>
      </c>
      <c r="F283" s="0" t="n">
        <v>0</v>
      </c>
      <c r="G283" s="0" t="n">
        <v>0</v>
      </c>
      <c r="H283" s="0" t="n">
        <v>0.9875</v>
      </c>
      <c r="I283" s="0" t="n">
        <v>0.9875</v>
      </c>
      <c r="J283" s="0" t="n">
        <v>0.9805</v>
      </c>
      <c r="K283" s="0" t="n">
        <v>0</v>
      </c>
      <c r="L283" s="176" t="n">
        <v>0.9875</v>
      </c>
      <c r="M283" s="176" t="n">
        <v>0.9875</v>
      </c>
      <c r="N283" s="0" t="n">
        <v>0.98</v>
      </c>
      <c r="O283" s="0" t="n">
        <v>0.9875</v>
      </c>
      <c r="P283" s="0" t="n">
        <v>0.98</v>
      </c>
      <c r="Q283" s="177" t="n">
        <v>0.9875</v>
      </c>
      <c r="R283" s="0" t="n">
        <v>0.9875</v>
      </c>
      <c r="S283" s="176" t="n">
        <v>0.9875</v>
      </c>
      <c r="T283" s="0" t="n">
        <v>0.98</v>
      </c>
      <c r="U283" s="0" t="n">
        <v>0.98</v>
      </c>
      <c r="V283" s="0" t="n">
        <v>0.98</v>
      </c>
      <c r="W283" s="0" t="n">
        <v>0.98</v>
      </c>
      <c r="X283" s="0" t="n">
        <v>0.9875</v>
      </c>
      <c r="Y283" s="0" t="n">
        <v>0.9875</v>
      </c>
      <c r="Z283" s="0" t="n">
        <v>0.9875</v>
      </c>
      <c r="AA283" s="0" t="n">
        <v>0.9875</v>
      </c>
      <c r="AB283" s="0" t="n">
        <v>0.98</v>
      </c>
      <c r="AC283" s="0" t="n">
        <v>0.98</v>
      </c>
      <c r="AD283" s="0" t="n">
        <v>0.9875</v>
      </c>
      <c r="AE283" s="0" t="n">
        <v>0.9875</v>
      </c>
      <c r="AF283" s="0" t="n">
        <v>0.98</v>
      </c>
      <c r="AG283" s="0" t="n">
        <v>0.99</v>
      </c>
      <c r="AH283" s="0" t="n">
        <v>0.985</v>
      </c>
      <c r="AI283" s="0" t="n">
        <v>0.985</v>
      </c>
      <c r="AJ283" s="0" t="n">
        <v>0.98</v>
      </c>
      <c r="AK283" s="0" t="n">
        <v>1</v>
      </c>
      <c r="AL283" s="0" t="n">
        <v>0</v>
      </c>
      <c r="AM283" s="0" t="n">
        <v>0</v>
      </c>
      <c r="BB283" s="187" t="n">
        <v>1</v>
      </c>
      <c r="BC283" s="0" t="n">
        <v>1</v>
      </c>
      <c r="BD283" s="0" t="n">
        <v>1</v>
      </c>
      <c r="BE283" s="0" t="n">
        <v>1</v>
      </c>
      <c r="BF283" s="0" t="n">
        <v>0.9999</v>
      </c>
      <c r="BG283" s="0" t="n">
        <v>1</v>
      </c>
      <c r="BH283" s="0" t="n">
        <v>1</v>
      </c>
      <c r="BI283" s="0" t="n">
        <v>0.99</v>
      </c>
      <c r="BJ283" s="0" t="n">
        <v>0.999</v>
      </c>
      <c r="BK283" s="0" t="n">
        <v>0.998</v>
      </c>
      <c r="BL283" s="0" t="n">
        <v>0.9985</v>
      </c>
      <c r="BM283" s="0" t="n">
        <v>0.9985</v>
      </c>
      <c r="BN283" s="0" t="n">
        <v>0.972</v>
      </c>
      <c r="BO283" s="0" t="n">
        <v>0.9999</v>
      </c>
      <c r="BP283" s="0" t="n">
        <v>0.9999</v>
      </c>
      <c r="BQ283" s="0" t="n">
        <v>1</v>
      </c>
      <c r="BR283" s="0" t="n">
        <v>1.1430926</v>
      </c>
      <c r="BS283" s="0" t="n">
        <v>1.1446</v>
      </c>
      <c r="BT283" s="0" t="n">
        <v>1.0827</v>
      </c>
      <c r="BU283" s="0" t="n">
        <v>1.0326</v>
      </c>
      <c r="BV283" s="0" t="n">
        <v>1</v>
      </c>
      <c r="BW283" s="0" t="n">
        <v>2.8446</v>
      </c>
      <c r="BX283" s="0" t="n">
        <v>2.362286333</v>
      </c>
      <c r="BY283" s="0" t="n">
        <v>1.21315</v>
      </c>
      <c r="BZ283" s="0" t="n">
        <v>1.2885</v>
      </c>
      <c r="CA283" s="0" t="n">
        <v>2.001</v>
      </c>
      <c r="CB283" s="0" t="n">
        <v>1.603505</v>
      </c>
      <c r="CC283" s="0" t="n">
        <v>1.603505</v>
      </c>
      <c r="CD283" s="0" t="n">
        <v>1.315605</v>
      </c>
      <c r="CE283" s="0" t="n">
        <v>1.12403</v>
      </c>
      <c r="CF283" s="0" t="n">
        <v>1.497005</v>
      </c>
      <c r="CG283" s="188"/>
      <c r="CH283" s="0" t="n">
        <v>1.109195</v>
      </c>
      <c r="CI283" s="188"/>
      <c r="CJ283" s="188"/>
      <c r="CK283" s="188"/>
      <c r="CL283" s="188"/>
      <c r="CM283" s="188"/>
      <c r="CN283" s="188"/>
      <c r="CO283" s="188"/>
      <c r="CP283" s="0" t="n">
        <v>0.865</v>
      </c>
      <c r="CV283" s="0" t="n">
        <v>0.45</v>
      </c>
      <c r="CW283" s="0" t="n">
        <v>0.875</v>
      </c>
      <c r="CX283" s="0" t="n">
        <v>0.995</v>
      </c>
      <c r="CZ283" s="0" t="n">
        <v>0.785</v>
      </c>
      <c r="DA283" s="0" t="n">
        <v>0.8175</v>
      </c>
      <c r="DB283" s="0" t="n">
        <v>0.8</v>
      </c>
      <c r="DC283" s="0" t="n">
        <v>0.9</v>
      </c>
      <c r="DD283" s="0" t="n">
        <v>0.83</v>
      </c>
      <c r="DE283" s="0" t="n">
        <v>0.89</v>
      </c>
      <c r="DN283" s="188" t="n">
        <v>0.000285</v>
      </c>
      <c r="DO283" s="188" t="n">
        <v>0.0002</v>
      </c>
      <c r="DP283" s="188" t="n">
        <v>0</v>
      </c>
      <c r="DQ283" s="188" t="n">
        <v>0.0001</v>
      </c>
      <c r="DR283" s="188" t="n">
        <v>0</v>
      </c>
      <c r="DS283" s="188" t="n">
        <v>0.0036</v>
      </c>
      <c r="DT283" s="188" t="n">
        <v>0.00047</v>
      </c>
      <c r="DU283" s="188" t="n">
        <v>0.0007</v>
      </c>
      <c r="DV283" s="188" t="n">
        <v>0</v>
      </c>
      <c r="DW283" s="188" t="n">
        <v>0</v>
      </c>
      <c r="DX283" s="188" t="n">
        <v>0.0005</v>
      </c>
      <c r="DY283" s="188" t="n">
        <v>0.0005</v>
      </c>
      <c r="DZ283" s="188" t="n">
        <v>0.0003</v>
      </c>
      <c r="EA283" s="188" t="n">
        <v>0.000275</v>
      </c>
      <c r="EB283" s="188" t="n">
        <v>0.0004</v>
      </c>
      <c r="ED283" s="188" t="n">
        <v>6.5E-005</v>
      </c>
      <c r="EF283" s="0" t="n">
        <v>1</v>
      </c>
    </row>
    <row r="284" customFormat="false" ht="12.75" hidden="false" customHeight="false" outlineLevel="0" collapsed="false">
      <c r="A284" s="149" t="n">
        <v>45017</v>
      </c>
      <c r="B284" s="0" t="n">
        <v>0.98</v>
      </c>
      <c r="C284" s="0" t="n">
        <v>0</v>
      </c>
      <c r="E284" s="0" t="n">
        <v>0</v>
      </c>
      <c r="F284" s="0" t="n">
        <v>0</v>
      </c>
      <c r="G284" s="0" t="n">
        <v>0</v>
      </c>
      <c r="H284" s="0" t="n">
        <v>0.9875</v>
      </c>
      <c r="I284" s="0" t="n">
        <v>0.9875</v>
      </c>
      <c r="J284" s="0" t="n">
        <v>0.9805</v>
      </c>
      <c r="K284" s="0" t="n">
        <v>0</v>
      </c>
      <c r="L284" s="176" t="n">
        <v>0.9875</v>
      </c>
      <c r="M284" s="176" t="n">
        <v>0.9875</v>
      </c>
      <c r="N284" s="0" t="n">
        <v>0.98</v>
      </c>
      <c r="O284" s="0" t="n">
        <v>0.9875</v>
      </c>
      <c r="P284" s="0" t="n">
        <v>0.98</v>
      </c>
      <c r="Q284" s="177" t="n">
        <v>0.9875</v>
      </c>
      <c r="R284" s="0" t="n">
        <v>0.9875</v>
      </c>
      <c r="S284" s="176" t="n">
        <v>0.9875</v>
      </c>
      <c r="T284" s="0" t="n">
        <v>0.98</v>
      </c>
      <c r="U284" s="0" t="n">
        <v>0.98</v>
      </c>
      <c r="V284" s="0" t="n">
        <v>0.98</v>
      </c>
      <c r="W284" s="0" t="n">
        <v>0.98</v>
      </c>
      <c r="X284" s="0" t="n">
        <v>0.9875</v>
      </c>
      <c r="Y284" s="0" t="n">
        <v>0.9875</v>
      </c>
      <c r="Z284" s="0" t="n">
        <v>0.9875</v>
      </c>
      <c r="AA284" s="0" t="n">
        <v>0.9875</v>
      </c>
      <c r="AB284" s="0" t="n">
        <v>0.98</v>
      </c>
      <c r="AC284" s="0" t="n">
        <v>0.98</v>
      </c>
      <c r="AD284" s="0" t="n">
        <v>0.9875</v>
      </c>
      <c r="AE284" s="0" t="n">
        <v>0.9875</v>
      </c>
      <c r="AF284" s="0" t="n">
        <v>0.98</v>
      </c>
      <c r="AG284" s="0" t="n">
        <v>0.99</v>
      </c>
      <c r="AH284" s="0" t="n">
        <v>0.985</v>
      </c>
      <c r="AI284" s="0" t="n">
        <v>0.985</v>
      </c>
      <c r="AJ284" s="0" t="n">
        <v>0.98</v>
      </c>
      <c r="AK284" s="0" t="n">
        <v>1</v>
      </c>
      <c r="AL284" s="0" t="n">
        <v>0</v>
      </c>
      <c r="AM284" s="0" t="n">
        <v>0</v>
      </c>
      <c r="BB284" s="187" t="n">
        <v>1</v>
      </c>
      <c r="BC284" s="0" t="n">
        <v>1</v>
      </c>
      <c r="BD284" s="0" t="n">
        <v>1</v>
      </c>
      <c r="BE284" s="0" t="n">
        <v>1</v>
      </c>
      <c r="BF284" s="0" t="n">
        <v>0.9999</v>
      </c>
      <c r="BG284" s="0" t="n">
        <v>1</v>
      </c>
      <c r="BH284" s="0" t="n">
        <v>1</v>
      </c>
      <c r="BI284" s="0" t="n">
        <v>0.99</v>
      </c>
      <c r="BJ284" s="0" t="n">
        <v>0.999</v>
      </c>
      <c r="BK284" s="0" t="n">
        <v>0.998</v>
      </c>
      <c r="BL284" s="0" t="n">
        <v>0.9985</v>
      </c>
      <c r="BM284" s="0" t="n">
        <v>0.9985</v>
      </c>
      <c r="BN284" s="0" t="n">
        <v>0.972</v>
      </c>
      <c r="BO284" s="0" t="n">
        <v>0.9999</v>
      </c>
      <c r="BP284" s="0" t="n">
        <v>0.9999</v>
      </c>
      <c r="BQ284" s="0" t="n">
        <v>1</v>
      </c>
      <c r="BR284" s="0" t="n">
        <v>1.1433776</v>
      </c>
      <c r="BS284" s="0" t="n">
        <v>1.1448</v>
      </c>
      <c r="BT284" s="0" t="n">
        <v>1.0827</v>
      </c>
      <c r="BU284" s="0" t="n">
        <v>1.0327</v>
      </c>
      <c r="BV284" s="0" t="n">
        <v>1</v>
      </c>
      <c r="BW284" s="0" t="n">
        <v>2.8482</v>
      </c>
      <c r="BX284" s="0" t="n">
        <v>2.362756333</v>
      </c>
      <c r="BY284" s="0" t="n">
        <v>1.21385</v>
      </c>
      <c r="BZ284" s="0" t="n">
        <v>1.2885</v>
      </c>
      <c r="CA284" s="0" t="n">
        <v>2.001</v>
      </c>
      <c r="CB284" s="0" t="n">
        <v>1.604005</v>
      </c>
      <c r="CC284" s="0" t="n">
        <v>1.604005</v>
      </c>
      <c r="CD284" s="0" t="n">
        <v>1.315905</v>
      </c>
      <c r="CE284" s="0" t="n">
        <v>1.124305</v>
      </c>
      <c r="CF284" s="0" t="n">
        <v>1.497405</v>
      </c>
      <c r="CG284" s="188"/>
      <c r="CH284" s="0" t="n">
        <v>1.10926</v>
      </c>
      <c r="CI284" s="188"/>
      <c r="CJ284" s="188"/>
      <c r="CK284" s="188"/>
      <c r="CL284" s="188"/>
      <c r="CM284" s="188"/>
      <c r="CN284" s="188"/>
      <c r="CO284" s="188"/>
      <c r="CP284" s="0" t="n">
        <v>0.895</v>
      </c>
      <c r="CV284" s="0" t="n">
        <v>0.42</v>
      </c>
      <c r="CW284" s="0" t="n">
        <v>0.935</v>
      </c>
      <c r="CX284" s="0" t="n">
        <v>0.985</v>
      </c>
      <c r="CZ284" s="0" t="n">
        <v>0.895</v>
      </c>
      <c r="DA284" s="0" t="n">
        <v>0.9275</v>
      </c>
      <c r="DB284" s="0" t="n">
        <v>0.85</v>
      </c>
      <c r="DC284" s="0" t="n">
        <v>0.903</v>
      </c>
      <c r="DD284" s="0" t="n">
        <v>0.92</v>
      </c>
      <c r="DE284" s="0" t="n">
        <v>0.89</v>
      </c>
      <c r="DN284" s="188" t="n">
        <v>0.000285</v>
      </c>
      <c r="DO284" s="188" t="n">
        <v>0.0002</v>
      </c>
      <c r="DP284" s="188" t="n">
        <v>0</v>
      </c>
      <c r="DQ284" s="188" t="n">
        <v>0.0001</v>
      </c>
      <c r="DR284" s="188" t="n">
        <v>0</v>
      </c>
      <c r="DS284" s="188" t="n">
        <v>0.0036</v>
      </c>
      <c r="DT284" s="188" t="n">
        <v>0.00047</v>
      </c>
      <c r="DU284" s="188" t="n">
        <v>0.0007</v>
      </c>
      <c r="DV284" s="188" t="n">
        <v>0</v>
      </c>
      <c r="DW284" s="188" t="n">
        <v>0</v>
      </c>
      <c r="DX284" s="188" t="n">
        <v>0.0005</v>
      </c>
      <c r="DY284" s="188" t="n">
        <v>0.0005</v>
      </c>
      <c r="DZ284" s="188" t="n">
        <v>0.0003</v>
      </c>
      <c r="EA284" s="188" t="n">
        <v>0.000275</v>
      </c>
      <c r="EB284" s="188" t="n">
        <v>0.0004</v>
      </c>
      <c r="ED284" s="188" t="n">
        <v>6.5E-005</v>
      </c>
      <c r="EF284" s="0" t="n">
        <v>1</v>
      </c>
    </row>
    <row r="285" customFormat="false" ht="12.75" hidden="false" customHeight="false" outlineLevel="0" collapsed="false">
      <c r="A285" s="149" t="n">
        <v>45047</v>
      </c>
      <c r="B285" s="0" t="n">
        <v>0.98</v>
      </c>
      <c r="C285" s="0" t="n">
        <v>0</v>
      </c>
      <c r="E285" s="0" t="n">
        <v>0</v>
      </c>
      <c r="F285" s="0" t="n">
        <v>0</v>
      </c>
      <c r="G285" s="0" t="n">
        <v>0</v>
      </c>
      <c r="H285" s="0" t="n">
        <v>0.9875</v>
      </c>
      <c r="I285" s="0" t="n">
        <v>0.9875</v>
      </c>
      <c r="J285" s="0" t="n">
        <v>0.9805</v>
      </c>
      <c r="K285" s="0" t="n">
        <v>0</v>
      </c>
      <c r="L285" s="176" t="n">
        <v>0.9875</v>
      </c>
      <c r="M285" s="176" t="n">
        <v>0.9875</v>
      </c>
      <c r="N285" s="0" t="n">
        <v>0.98</v>
      </c>
      <c r="O285" s="0" t="n">
        <v>0.9875</v>
      </c>
      <c r="P285" s="0" t="n">
        <v>0.98</v>
      </c>
      <c r="Q285" s="177" t="n">
        <v>0.9875</v>
      </c>
      <c r="R285" s="0" t="n">
        <v>0.9875</v>
      </c>
      <c r="S285" s="176" t="n">
        <v>0.9875</v>
      </c>
      <c r="T285" s="0" t="n">
        <v>0.98</v>
      </c>
      <c r="U285" s="0" t="n">
        <v>0.98</v>
      </c>
      <c r="V285" s="0" t="n">
        <v>0.98</v>
      </c>
      <c r="W285" s="0" t="n">
        <v>0.98</v>
      </c>
      <c r="X285" s="0" t="n">
        <v>0.9875</v>
      </c>
      <c r="Y285" s="0" t="n">
        <v>0.9875</v>
      </c>
      <c r="Z285" s="0" t="n">
        <v>0.9875</v>
      </c>
      <c r="AA285" s="0" t="n">
        <v>0.9875</v>
      </c>
      <c r="AB285" s="0" t="n">
        <v>0.98</v>
      </c>
      <c r="AC285" s="0" t="n">
        <v>0.98</v>
      </c>
      <c r="AD285" s="0" t="n">
        <v>0.9875</v>
      </c>
      <c r="AE285" s="0" t="n">
        <v>0.9875</v>
      </c>
      <c r="AF285" s="0" t="n">
        <v>0.98</v>
      </c>
      <c r="AG285" s="0" t="n">
        <v>0.99</v>
      </c>
      <c r="AH285" s="0" t="n">
        <v>0.985</v>
      </c>
      <c r="AI285" s="0" t="n">
        <v>0.985</v>
      </c>
      <c r="AJ285" s="0" t="n">
        <v>0.98</v>
      </c>
      <c r="AK285" s="0" t="n">
        <v>1</v>
      </c>
      <c r="AL285" s="0" t="n">
        <v>0</v>
      </c>
      <c r="AM285" s="0" t="n">
        <v>0</v>
      </c>
      <c r="BB285" s="187" t="n">
        <v>1</v>
      </c>
      <c r="BC285" s="0" t="n">
        <v>1</v>
      </c>
      <c r="BD285" s="0" t="n">
        <v>1</v>
      </c>
      <c r="BE285" s="0" t="n">
        <v>1</v>
      </c>
      <c r="BF285" s="0" t="n">
        <v>0.9999</v>
      </c>
      <c r="BG285" s="0" t="n">
        <v>1</v>
      </c>
      <c r="BH285" s="0" t="n">
        <v>1</v>
      </c>
      <c r="BI285" s="0" t="n">
        <v>0.99</v>
      </c>
      <c r="BJ285" s="0" t="n">
        <v>0.999</v>
      </c>
      <c r="BK285" s="0" t="n">
        <v>0.998</v>
      </c>
      <c r="BL285" s="0" t="n">
        <v>0.9985</v>
      </c>
      <c r="BM285" s="0" t="n">
        <v>0.9985</v>
      </c>
      <c r="BN285" s="0" t="n">
        <v>0.972</v>
      </c>
      <c r="BO285" s="0" t="n">
        <v>0.9999</v>
      </c>
      <c r="BP285" s="0" t="n">
        <v>0.9999</v>
      </c>
      <c r="BQ285" s="0" t="n">
        <v>1</v>
      </c>
      <c r="BR285" s="0" t="n">
        <v>1.1436626</v>
      </c>
      <c r="BS285" s="0" t="n">
        <v>1.145</v>
      </c>
      <c r="BT285" s="0" t="n">
        <v>1.0827</v>
      </c>
      <c r="BU285" s="0" t="n">
        <v>1.0328</v>
      </c>
      <c r="BV285" s="0" t="n">
        <v>1</v>
      </c>
      <c r="BW285" s="0" t="n">
        <v>2.8518</v>
      </c>
      <c r="BX285" s="0" t="n">
        <v>2.363226333</v>
      </c>
      <c r="BY285" s="0" t="n">
        <v>1.21455</v>
      </c>
      <c r="BZ285" s="0" t="n">
        <v>1.2885</v>
      </c>
      <c r="CA285" s="0" t="n">
        <v>2.001</v>
      </c>
      <c r="CB285" s="0" t="n">
        <v>1.604505</v>
      </c>
      <c r="CC285" s="0" t="n">
        <v>1.604505</v>
      </c>
      <c r="CD285" s="0" t="n">
        <v>1.316205</v>
      </c>
      <c r="CE285" s="0" t="n">
        <v>1.12458</v>
      </c>
      <c r="CF285" s="0" t="n">
        <v>1.497805</v>
      </c>
      <c r="CG285" s="188"/>
      <c r="CH285" s="0" t="n">
        <v>1.109325</v>
      </c>
      <c r="CI285" s="188"/>
      <c r="CJ285" s="188"/>
      <c r="CK285" s="188"/>
      <c r="CL285" s="188"/>
      <c r="CM285" s="188"/>
      <c r="CN285" s="188"/>
      <c r="CO285" s="188"/>
      <c r="CP285" s="0" t="n">
        <v>0.965</v>
      </c>
      <c r="CV285" s="0" t="n">
        <v>0.42</v>
      </c>
      <c r="CW285" s="0" t="n">
        <v>0.935</v>
      </c>
      <c r="CX285" s="0" t="n">
        <v>0.885</v>
      </c>
      <c r="CZ285" s="0" t="n">
        <v>0.9175</v>
      </c>
      <c r="DA285" s="0" t="n">
        <v>0.95</v>
      </c>
      <c r="DB285" s="0" t="n">
        <v>0.88</v>
      </c>
      <c r="DC285" s="0" t="n">
        <v>0.9</v>
      </c>
      <c r="DD285" s="0" t="n">
        <v>0.935</v>
      </c>
      <c r="DE285" s="0" t="n">
        <v>0.89</v>
      </c>
      <c r="DN285" s="188" t="n">
        <v>0.000285</v>
      </c>
      <c r="DO285" s="188" t="n">
        <v>0.0002</v>
      </c>
      <c r="DP285" s="188" t="n">
        <v>0</v>
      </c>
      <c r="DQ285" s="188" t="n">
        <v>0.0001</v>
      </c>
      <c r="DR285" s="188" t="n">
        <v>0</v>
      </c>
      <c r="DS285" s="188" t="n">
        <v>0.0036</v>
      </c>
      <c r="DT285" s="188" t="n">
        <v>0.00047</v>
      </c>
      <c r="DU285" s="188" t="n">
        <v>0.0007</v>
      </c>
      <c r="DV285" s="188" t="n">
        <v>0</v>
      </c>
      <c r="DW285" s="188" t="n">
        <v>0</v>
      </c>
      <c r="DX285" s="188" t="n">
        <v>0.0005</v>
      </c>
      <c r="DY285" s="188" t="n">
        <v>0.0005</v>
      </c>
      <c r="DZ285" s="188" t="n">
        <v>0.0003</v>
      </c>
      <c r="EA285" s="188" t="n">
        <v>0.000275</v>
      </c>
      <c r="EB285" s="188" t="n">
        <v>0.0004</v>
      </c>
      <c r="ED285" s="188" t="n">
        <v>6.5E-005</v>
      </c>
      <c r="EF285" s="0" t="n">
        <v>1</v>
      </c>
    </row>
    <row r="286" customFormat="false" ht="12.75" hidden="false" customHeight="false" outlineLevel="0" collapsed="false">
      <c r="A286" s="149" t="n">
        <v>45078</v>
      </c>
      <c r="B286" s="0" t="n">
        <v>0.98</v>
      </c>
      <c r="C286" s="0" t="n">
        <v>0</v>
      </c>
      <c r="E286" s="0" t="n">
        <v>0</v>
      </c>
      <c r="F286" s="0" t="n">
        <v>0</v>
      </c>
      <c r="G286" s="0" t="n">
        <v>0</v>
      </c>
      <c r="H286" s="0" t="n">
        <v>0.9875</v>
      </c>
      <c r="I286" s="0" t="n">
        <v>0.9875</v>
      </c>
      <c r="J286" s="0" t="n">
        <v>0.9805</v>
      </c>
      <c r="K286" s="0" t="n">
        <v>0</v>
      </c>
      <c r="L286" s="176" t="n">
        <v>0.9875</v>
      </c>
      <c r="M286" s="176" t="n">
        <v>0.9875</v>
      </c>
      <c r="N286" s="0" t="n">
        <v>0.98</v>
      </c>
      <c r="O286" s="0" t="n">
        <v>0.9875</v>
      </c>
      <c r="P286" s="0" t="n">
        <v>0.98</v>
      </c>
      <c r="Q286" s="177" t="n">
        <v>0.9875</v>
      </c>
      <c r="R286" s="0" t="n">
        <v>0.9875</v>
      </c>
      <c r="S286" s="176" t="n">
        <v>0.9875</v>
      </c>
      <c r="T286" s="0" t="n">
        <v>0.98</v>
      </c>
      <c r="U286" s="0" t="n">
        <v>0.98</v>
      </c>
      <c r="V286" s="0" t="n">
        <v>0.98</v>
      </c>
      <c r="W286" s="0" t="n">
        <v>0.98</v>
      </c>
      <c r="X286" s="0" t="n">
        <v>0.9875</v>
      </c>
      <c r="Y286" s="0" t="n">
        <v>0.9875</v>
      </c>
      <c r="Z286" s="0" t="n">
        <v>0.9875</v>
      </c>
      <c r="AA286" s="0" t="n">
        <v>0.9875</v>
      </c>
      <c r="AB286" s="0" t="n">
        <v>0.98</v>
      </c>
      <c r="AC286" s="0" t="n">
        <v>0.98</v>
      </c>
      <c r="AD286" s="0" t="n">
        <v>0.9875</v>
      </c>
      <c r="AE286" s="0" t="n">
        <v>0.9875</v>
      </c>
      <c r="AF286" s="0" t="n">
        <v>0.98</v>
      </c>
      <c r="AG286" s="0" t="n">
        <v>0.99</v>
      </c>
      <c r="AH286" s="0" t="n">
        <v>0.985</v>
      </c>
      <c r="AI286" s="0" t="n">
        <v>0.985</v>
      </c>
      <c r="AJ286" s="0" t="n">
        <v>0.98</v>
      </c>
      <c r="AK286" s="0" t="n">
        <v>1</v>
      </c>
      <c r="AL286" s="0" t="n">
        <v>0</v>
      </c>
      <c r="AM286" s="0" t="n">
        <v>0</v>
      </c>
      <c r="BB286" s="187" t="n">
        <v>1</v>
      </c>
      <c r="BC286" s="0" t="n">
        <v>1</v>
      </c>
      <c r="BD286" s="0" t="n">
        <v>1</v>
      </c>
      <c r="BE286" s="0" t="n">
        <v>1</v>
      </c>
      <c r="BF286" s="0" t="n">
        <v>0.9999</v>
      </c>
      <c r="BG286" s="0" t="n">
        <v>1</v>
      </c>
      <c r="BH286" s="0" t="n">
        <v>1</v>
      </c>
      <c r="BI286" s="0" t="n">
        <v>0.99</v>
      </c>
      <c r="BJ286" s="0" t="n">
        <v>0.999</v>
      </c>
      <c r="BK286" s="0" t="n">
        <v>0.998</v>
      </c>
      <c r="BL286" s="0" t="n">
        <v>0.9985</v>
      </c>
      <c r="BM286" s="0" t="n">
        <v>0.9985</v>
      </c>
      <c r="BN286" s="0" t="n">
        <v>0.972</v>
      </c>
      <c r="BO286" s="0" t="n">
        <v>0.9999</v>
      </c>
      <c r="BP286" s="0" t="n">
        <v>0.9999</v>
      </c>
      <c r="BQ286" s="0" t="n">
        <v>1</v>
      </c>
      <c r="BR286" s="0" t="n">
        <v>1.1439476</v>
      </c>
      <c r="BS286" s="0" t="n">
        <v>1.1452</v>
      </c>
      <c r="BT286" s="0" t="n">
        <v>1.0827</v>
      </c>
      <c r="BU286" s="0" t="n">
        <v>1.0329</v>
      </c>
      <c r="BV286" s="0" t="n">
        <v>1</v>
      </c>
      <c r="BW286" s="0" t="n">
        <v>2.8554</v>
      </c>
      <c r="BX286" s="0" t="n">
        <v>2.363696333</v>
      </c>
      <c r="BY286" s="0" t="n">
        <v>1.21525</v>
      </c>
      <c r="BZ286" s="0" t="n">
        <v>1.2885</v>
      </c>
      <c r="CA286" s="0" t="n">
        <v>2.001</v>
      </c>
      <c r="CB286" s="0" t="n">
        <v>1.605005</v>
      </c>
      <c r="CC286" s="0" t="n">
        <v>1.605005</v>
      </c>
      <c r="CD286" s="0" t="n">
        <v>1.316505</v>
      </c>
      <c r="CE286" s="0" t="n">
        <v>1.124855</v>
      </c>
      <c r="CF286" s="0" t="n">
        <v>1.498205</v>
      </c>
      <c r="CG286" s="188"/>
      <c r="CH286" s="0" t="n">
        <v>1.10939</v>
      </c>
      <c r="CI286" s="188"/>
      <c r="CJ286" s="188"/>
      <c r="CK286" s="188"/>
      <c r="CL286" s="188"/>
      <c r="CM286" s="188"/>
      <c r="CN286" s="188"/>
      <c r="CO286" s="188"/>
      <c r="CP286" s="0" t="n">
        <v>0.965</v>
      </c>
      <c r="CV286" s="0" t="n">
        <v>0.47</v>
      </c>
      <c r="CW286" s="0" t="n">
        <v>0.935</v>
      </c>
      <c r="CX286" s="0" t="n">
        <v>0.795</v>
      </c>
      <c r="CZ286" s="0" t="n">
        <v>0.8825</v>
      </c>
      <c r="DA286" s="0" t="n">
        <v>0.915</v>
      </c>
      <c r="DB286" s="0" t="n">
        <v>0.88</v>
      </c>
      <c r="DC286" s="0" t="n">
        <v>0.9025</v>
      </c>
      <c r="DD286" s="0" t="n">
        <v>0.915</v>
      </c>
      <c r="DE286" s="0" t="n">
        <v>0.89</v>
      </c>
      <c r="DN286" s="188" t="n">
        <v>0.000285</v>
      </c>
      <c r="DO286" s="188" t="n">
        <v>0.0002</v>
      </c>
      <c r="DP286" s="188" t="n">
        <v>0</v>
      </c>
      <c r="DQ286" s="188" t="n">
        <v>0.0001</v>
      </c>
      <c r="DR286" s="188" t="n">
        <v>0</v>
      </c>
      <c r="DS286" s="188" t="n">
        <v>0.0036</v>
      </c>
      <c r="DT286" s="188" t="n">
        <v>0.00047</v>
      </c>
      <c r="DU286" s="188" t="n">
        <v>0.0007</v>
      </c>
      <c r="DV286" s="188" t="n">
        <v>0</v>
      </c>
      <c r="DW286" s="188" t="n">
        <v>0</v>
      </c>
      <c r="DX286" s="188" t="n">
        <v>0.0005</v>
      </c>
      <c r="DY286" s="188" t="n">
        <v>0.0005</v>
      </c>
      <c r="DZ286" s="188" t="n">
        <v>0.0003</v>
      </c>
      <c r="EA286" s="188" t="n">
        <v>0.000275</v>
      </c>
      <c r="EB286" s="188" t="n">
        <v>0.0004</v>
      </c>
      <c r="ED286" s="188" t="n">
        <v>6.5E-005</v>
      </c>
      <c r="EF286" s="0" t="n">
        <v>1</v>
      </c>
    </row>
    <row r="287" customFormat="false" ht="12.75" hidden="false" customHeight="false" outlineLevel="0" collapsed="false">
      <c r="A287" s="149" t="n">
        <v>45108</v>
      </c>
      <c r="B287" s="0" t="n">
        <v>0.98</v>
      </c>
      <c r="C287" s="0" t="n">
        <v>0</v>
      </c>
      <c r="E287" s="0" t="n">
        <v>0</v>
      </c>
      <c r="F287" s="0" t="n">
        <v>0</v>
      </c>
      <c r="G287" s="0" t="n">
        <v>0</v>
      </c>
      <c r="H287" s="0" t="n">
        <v>0.9875</v>
      </c>
      <c r="I287" s="0" t="n">
        <v>0.9875</v>
      </c>
      <c r="J287" s="0" t="n">
        <v>0.9805</v>
      </c>
      <c r="K287" s="0" t="n">
        <v>0</v>
      </c>
      <c r="L287" s="176" t="n">
        <v>0.9875</v>
      </c>
      <c r="M287" s="176" t="n">
        <v>0.9875</v>
      </c>
      <c r="N287" s="0" t="n">
        <v>0.98</v>
      </c>
      <c r="O287" s="0" t="n">
        <v>0.9875</v>
      </c>
      <c r="P287" s="0" t="n">
        <v>0.98</v>
      </c>
      <c r="Q287" s="177" t="n">
        <v>0.9875</v>
      </c>
      <c r="R287" s="0" t="n">
        <v>0.9875</v>
      </c>
      <c r="S287" s="176" t="n">
        <v>0.9875</v>
      </c>
      <c r="T287" s="0" t="n">
        <v>0.98</v>
      </c>
      <c r="U287" s="0" t="n">
        <v>0.98</v>
      </c>
      <c r="V287" s="0" t="n">
        <v>0.98</v>
      </c>
      <c r="W287" s="0" t="n">
        <v>0.98</v>
      </c>
      <c r="X287" s="0" t="n">
        <v>0.9875</v>
      </c>
      <c r="Y287" s="0" t="n">
        <v>0.9875</v>
      </c>
      <c r="Z287" s="0" t="n">
        <v>0.9875</v>
      </c>
      <c r="AA287" s="0" t="n">
        <v>0.9875</v>
      </c>
      <c r="AB287" s="0" t="n">
        <v>0.98</v>
      </c>
      <c r="AC287" s="0" t="n">
        <v>0.98</v>
      </c>
      <c r="AD287" s="0" t="n">
        <v>0.9875</v>
      </c>
      <c r="AE287" s="0" t="n">
        <v>0.9875</v>
      </c>
      <c r="AF287" s="0" t="n">
        <v>0.98</v>
      </c>
      <c r="AG287" s="0" t="n">
        <v>0.99</v>
      </c>
      <c r="AH287" s="0" t="n">
        <v>0.985</v>
      </c>
      <c r="AI287" s="0" t="n">
        <v>0.985</v>
      </c>
      <c r="AJ287" s="0" t="n">
        <v>0.98</v>
      </c>
      <c r="AK287" s="0" t="n">
        <v>1</v>
      </c>
      <c r="AL287" s="0" t="n">
        <v>0</v>
      </c>
      <c r="AM287" s="0" t="n">
        <v>0</v>
      </c>
      <c r="BB287" s="187" t="n">
        <v>1</v>
      </c>
      <c r="BC287" s="0" t="n">
        <v>1</v>
      </c>
      <c r="BD287" s="0" t="n">
        <v>1</v>
      </c>
      <c r="BE287" s="0" t="n">
        <v>1</v>
      </c>
      <c r="BF287" s="0" t="n">
        <v>0.9999</v>
      </c>
      <c r="BG287" s="0" t="n">
        <v>1</v>
      </c>
      <c r="BH287" s="0" t="n">
        <v>1</v>
      </c>
      <c r="BI287" s="0" t="n">
        <v>0.99</v>
      </c>
      <c r="BJ287" s="0" t="n">
        <v>0.999</v>
      </c>
      <c r="BK287" s="0" t="n">
        <v>0.998</v>
      </c>
      <c r="BL287" s="0" t="n">
        <v>0.9985</v>
      </c>
      <c r="BM287" s="0" t="n">
        <v>0.9985</v>
      </c>
      <c r="BN287" s="0" t="n">
        <v>0.972</v>
      </c>
      <c r="BO287" s="0" t="n">
        <v>0.9999</v>
      </c>
      <c r="BP287" s="0" t="n">
        <v>0.9999</v>
      </c>
      <c r="BQ287" s="0" t="n">
        <v>1</v>
      </c>
      <c r="BR287" s="0" t="n">
        <v>1.1442326</v>
      </c>
      <c r="BS287" s="0" t="n">
        <v>1.1454</v>
      </c>
      <c r="BT287" s="0" t="n">
        <v>1.0827</v>
      </c>
      <c r="BU287" s="0" t="n">
        <v>1.033</v>
      </c>
      <c r="BV287" s="0" t="n">
        <v>1</v>
      </c>
      <c r="BW287" s="0" t="n">
        <v>2.859</v>
      </c>
      <c r="BX287" s="0" t="n">
        <v>2.364166333</v>
      </c>
      <c r="BY287" s="0" t="n">
        <v>1.21595</v>
      </c>
      <c r="BZ287" s="0" t="n">
        <v>1.2885</v>
      </c>
      <c r="CA287" s="0" t="n">
        <v>2.001</v>
      </c>
      <c r="CB287" s="0" t="n">
        <v>1.605505</v>
      </c>
      <c r="CC287" s="0" t="n">
        <v>1.605505</v>
      </c>
      <c r="CD287" s="0" t="n">
        <v>1.316805</v>
      </c>
      <c r="CE287" s="0" t="n">
        <v>1.12513</v>
      </c>
      <c r="CF287" s="0" t="n">
        <v>1.498605</v>
      </c>
      <c r="CG287" s="188"/>
      <c r="CH287" s="0" t="n">
        <v>1.109455</v>
      </c>
      <c r="CI287" s="188"/>
      <c r="CJ287" s="188"/>
      <c r="CK287" s="188"/>
      <c r="CL287" s="188"/>
      <c r="CM287" s="188"/>
      <c r="CN287" s="188"/>
      <c r="CO287" s="188"/>
      <c r="CP287" s="0" t="n">
        <v>0.975</v>
      </c>
      <c r="CV287" s="0" t="n">
        <v>0.47</v>
      </c>
      <c r="CW287" s="0" t="n">
        <v>0.935</v>
      </c>
      <c r="CX287" s="0" t="n">
        <v>0.815</v>
      </c>
      <c r="CZ287" s="0" t="n">
        <v>0.8775</v>
      </c>
      <c r="DA287" s="0" t="n">
        <v>0.91</v>
      </c>
      <c r="DB287" s="0" t="n">
        <v>0.89</v>
      </c>
      <c r="DC287" s="0" t="n">
        <v>0.9075</v>
      </c>
      <c r="DD287" s="0" t="n">
        <v>0.915</v>
      </c>
      <c r="DE287" s="0" t="n">
        <v>0.89</v>
      </c>
      <c r="DN287" s="188" t="n">
        <v>0.000285</v>
      </c>
      <c r="DO287" s="188" t="n">
        <v>0.0002</v>
      </c>
      <c r="DP287" s="188" t="n">
        <v>0</v>
      </c>
      <c r="DQ287" s="188" t="n">
        <v>0.0001</v>
      </c>
      <c r="DR287" s="188" t="n">
        <v>0</v>
      </c>
      <c r="DS287" s="188" t="n">
        <v>0.0036</v>
      </c>
      <c r="DT287" s="188" t="n">
        <v>0.00047</v>
      </c>
      <c r="DU287" s="188" t="n">
        <v>0.0007</v>
      </c>
      <c r="DV287" s="188" t="n">
        <v>0</v>
      </c>
      <c r="DW287" s="188" t="n">
        <v>0</v>
      </c>
      <c r="DX287" s="188" t="n">
        <v>0.0005</v>
      </c>
      <c r="DY287" s="188" t="n">
        <v>0.0005</v>
      </c>
      <c r="DZ287" s="188" t="n">
        <v>0.0003</v>
      </c>
      <c r="EA287" s="188" t="n">
        <v>0.000275</v>
      </c>
      <c r="EB287" s="188" t="n">
        <v>0.0004</v>
      </c>
      <c r="ED287" s="188" t="n">
        <v>6.5E-005</v>
      </c>
      <c r="EF287" s="0" t="n">
        <v>1</v>
      </c>
    </row>
    <row r="288" customFormat="false" ht="12.75" hidden="false" customHeight="false" outlineLevel="0" collapsed="false">
      <c r="A288" s="149" t="n">
        <v>45139</v>
      </c>
      <c r="B288" s="0" t="n">
        <v>0.98</v>
      </c>
      <c r="C288" s="0" t="n">
        <v>0</v>
      </c>
      <c r="E288" s="0" t="n">
        <v>0</v>
      </c>
      <c r="F288" s="0" t="n">
        <v>0</v>
      </c>
      <c r="G288" s="0" t="n">
        <v>0</v>
      </c>
      <c r="H288" s="0" t="n">
        <v>0.9875</v>
      </c>
      <c r="I288" s="0" t="n">
        <v>0.9875</v>
      </c>
      <c r="J288" s="0" t="n">
        <v>0.9805</v>
      </c>
      <c r="K288" s="0" t="n">
        <v>0</v>
      </c>
      <c r="L288" s="176" t="n">
        <v>0.9875</v>
      </c>
      <c r="M288" s="176" t="n">
        <v>0.9875</v>
      </c>
      <c r="N288" s="0" t="n">
        <v>0.98</v>
      </c>
      <c r="O288" s="0" t="n">
        <v>0.9875</v>
      </c>
      <c r="P288" s="0" t="n">
        <v>0.98</v>
      </c>
      <c r="Q288" s="177" t="n">
        <v>0.9875</v>
      </c>
      <c r="R288" s="0" t="n">
        <v>0.9875</v>
      </c>
      <c r="S288" s="176" t="n">
        <v>0.9875</v>
      </c>
      <c r="T288" s="0" t="n">
        <v>0.98</v>
      </c>
      <c r="U288" s="0" t="n">
        <v>0.98</v>
      </c>
      <c r="V288" s="0" t="n">
        <v>0.98</v>
      </c>
      <c r="W288" s="0" t="n">
        <v>0.98</v>
      </c>
      <c r="X288" s="0" t="n">
        <v>0.9875</v>
      </c>
      <c r="Y288" s="0" t="n">
        <v>0.9875</v>
      </c>
      <c r="Z288" s="0" t="n">
        <v>0.9875</v>
      </c>
      <c r="AA288" s="0" t="n">
        <v>0.9875</v>
      </c>
      <c r="AB288" s="0" t="n">
        <v>0.98</v>
      </c>
      <c r="AC288" s="0" t="n">
        <v>0.98</v>
      </c>
      <c r="AD288" s="0" t="n">
        <v>0.9875</v>
      </c>
      <c r="AE288" s="0" t="n">
        <v>0.9875</v>
      </c>
      <c r="AF288" s="0" t="n">
        <v>0.98</v>
      </c>
      <c r="AG288" s="0" t="n">
        <v>0.99</v>
      </c>
      <c r="AH288" s="0" t="n">
        <v>0.985</v>
      </c>
      <c r="AI288" s="0" t="n">
        <v>0.985</v>
      </c>
      <c r="AJ288" s="0" t="n">
        <v>0.98</v>
      </c>
      <c r="AK288" s="0" t="n">
        <v>1</v>
      </c>
      <c r="AL288" s="0" t="n">
        <v>0</v>
      </c>
      <c r="AM288" s="0" t="n">
        <v>0</v>
      </c>
      <c r="BB288" s="187" t="n">
        <v>1</v>
      </c>
      <c r="BC288" s="0" t="n">
        <v>1</v>
      </c>
      <c r="BD288" s="0" t="n">
        <v>1</v>
      </c>
      <c r="BE288" s="0" t="n">
        <v>1</v>
      </c>
      <c r="BF288" s="0" t="n">
        <v>0.9999</v>
      </c>
      <c r="BG288" s="0" t="n">
        <v>1</v>
      </c>
      <c r="BH288" s="0" t="n">
        <v>1</v>
      </c>
      <c r="BI288" s="0" t="n">
        <v>0.99</v>
      </c>
      <c r="BJ288" s="0" t="n">
        <v>0.999</v>
      </c>
      <c r="BK288" s="0" t="n">
        <v>0.998</v>
      </c>
      <c r="BL288" s="0" t="n">
        <v>0.9985</v>
      </c>
      <c r="BM288" s="0" t="n">
        <v>0.9985</v>
      </c>
      <c r="BN288" s="0" t="n">
        <v>0.972</v>
      </c>
      <c r="BO288" s="0" t="n">
        <v>0.9999</v>
      </c>
      <c r="BP288" s="0" t="n">
        <v>0.9999</v>
      </c>
      <c r="BQ288" s="0" t="n">
        <v>1</v>
      </c>
      <c r="BR288" s="0" t="n">
        <v>1.1445176</v>
      </c>
      <c r="BS288" s="0" t="n">
        <v>1.1456</v>
      </c>
      <c r="BT288" s="0" t="n">
        <v>1.0827</v>
      </c>
      <c r="BU288" s="0" t="n">
        <v>1.0331</v>
      </c>
      <c r="BV288" s="0" t="n">
        <v>1</v>
      </c>
      <c r="BW288" s="0" t="n">
        <v>2.8626</v>
      </c>
      <c r="BX288" s="0" t="n">
        <v>2.364636333</v>
      </c>
      <c r="BY288" s="0" t="n">
        <v>1.21665</v>
      </c>
      <c r="BZ288" s="0" t="n">
        <v>1.2885</v>
      </c>
      <c r="CA288" s="0" t="n">
        <v>2.001</v>
      </c>
      <c r="CB288" s="0" t="n">
        <v>1.606005</v>
      </c>
      <c r="CC288" s="0" t="n">
        <v>1.606005</v>
      </c>
      <c r="CD288" s="0" t="n">
        <v>1.317105</v>
      </c>
      <c r="CE288" s="0" t="n">
        <v>1.125405</v>
      </c>
      <c r="CF288" s="0" t="n">
        <v>1.499005</v>
      </c>
      <c r="CG288" s="188"/>
      <c r="CH288" s="0" t="n">
        <v>1.10952</v>
      </c>
      <c r="CI288" s="188"/>
      <c r="CJ288" s="188"/>
      <c r="CK288" s="188"/>
      <c r="CL288" s="188"/>
      <c r="CM288" s="188"/>
      <c r="CN288" s="188"/>
      <c r="CO288" s="188"/>
      <c r="CP288" s="0" t="n">
        <v>0.975</v>
      </c>
      <c r="CV288" s="0" t="n">
        <v>0.52</v>
      </c>
      <c r="CW288" s="0" t="n">
        <v>0.925</v>
      </c>
      <c r="CX288" s="0" t="n">
        <v>0.905</v>
      </c>
      <c r="CZ288" s="0" t="n">
        <v>0.89</v>
      </c>
      <c r="DA288" s="0" t="n">
        <v>0.9225</v>
      </c>
      <c r="DB288" s="0" t="n">
        <v>0.915</v>
      </c>
      <c r="DC288" s="0" t="n">
        <v>0.9275</v>
      </c>
      <c r="DD288" s="0" t="n">
        <v>0.915</v>
      </c>
      <c r="DE288" s="0" t="n">
        <v>0.89</v>
      </c>
      <c r="DN288" s="188" t="n">
        <v>0.000285</v>
      </c>
      <c r="DO288" s="188" t="n">
        <v>0.0002</v>
      </c>
      <c r="DP288" s="188" t="n">
        <v>0</v>
      </c>
      <c r="DQ288" s="188" t="n">
        <v>0.0001</v>
      </c>
      <c r="DR288" s="188" t="n">
        <v>0</v>
      </c>
      <c r="DS288" s="188" t="n">
        <v>0.0036</v>
      </c>
      <c r="DT288" s="188" t="n">
        <v>0.00047</v>
      </c>
      <c r="DU288" s="188" t="n">
        <v>0.0007</v>
      </c>
      <c r="DV288" s="188" t="n">
        <v>0</v>
      </c>
      <c r="DW288" s="188" t="n">
        <v>0</v>
      </c>
      <c r="DX288" s="188" t="n">
        <v>0.0005</v>
      </c>
      <c r="DY288" s="188" t="n">
        <v>0.0005</v>
      </c>
      <c r="DZ288" s="188" t="n">
        <v>0.0003</v>
      </c>
      <c r="EA288" s="188" t="n">
        <v>0.000275</v>
      </c>
      <c r="EB288" s="188" t="n">
        <v>0.0004</v>
      </c>
      <c r="ED288" s="188" t="n">
        <v>6.5E-005</v>
      </c>
      <c r="EF288" s="0" t="n">
        <v>1</v>
      </c>
    </row>
    <row r="289" customFormat="false" ht="12.75" hidden="false" customHeight="false" outlineLevel="0" collapsed="false">
      <c r="A289" s="149" t="n">
        <v>45170</v>
      </c>
      <c r="B289" s="0" t="n">
        <v>0.98</v>
      </c>
      <c r="C289" s="0" t="n">
        <v>0</v>
      </c>
      <c r="E289" s="0" t="n">
        <v>0</v>
      </c>
      <c r="F289" s="0" t="n">
        <v>0</v>
      </c>
      <c r="G289" s="0" t="n">
        <v>0</v>
      </c>
      <c r="H289" s="0" t="n">
        <v>0.9875</v>
      </c>
      <c r="I289" s="0" t="n">
        <v>0.9875</v>
      </c>
      <c r="J289" s="0" t="n">
        <v>0.9805</v>
      </c>
      <c r="K289" s="0" t="n">
        <v>0</v>
      </c>
      <c r="L289" s="176" t="n">
        <v>0.9875</v>
      </c>
      <c r="M289" s="176" t="n">
        <v>0.9875</v>
      </c>
      <c r="N289" s="0" t="n">
        <v>0.98</v>
      </c>
      <c r="O289" s="0" t="n">
        <v>0.9875</v>
      </c>
      <c r="P289" s="0" t="n">
        <v>0.98</v>
      </c>
      <c r="Q289" s="177" t="n">
        <v>0.9875</v>
      </c>
      <c r="R289" s="0" t="n">
        <v>0.9875</v>
      </c>
      <c r="S289" s="176" t="n">
        <v>0.9875</v>
      </c>
      <c r="T289" s="0" t="n">
        <v>0.98</v>
      </c>
      <c r="U289" s="0" t="n">
        <v>0.98</v>
      </c>
      <c r="V289" s="0" t="n">
        <v>0.98</v>
      </c>
      <c r="W289" s="0" t="n">
        <v>0.98</v>
      </c>
      <c r="X289" s="0" t="n">
        <v>0.9875</v>
      </c>
      <c r="Y289" s="0" t="n">
        <v>0.9875</v>
      </c>
      <c r="Z289" s="0" t="n">
        <v>0.9875</v>
      </c>
      <c r="AA289" s="0" t="n">
        <v>0.9875</v>
      </c>
      <c r="AB289" s="0" t="n">
        <v>0.98</v>
      </c>
      <c r="AC289" s="0" t="n">
        <v>0.98</v>
      </c>
      <c r="AD289" s="0" t="n">
        <v>0.9875</v>
      </c>
      <c r="AE289" s="0" t="n">
        <v>0.9875</v>
      </c>
      <c r="AF289" s="0" t="n">
        <v>0.98</v>
      </c>
      <c r="AG289" s="0" t="n">
        <v>0.99</v>
      </c>
      <c r="AH289" s="0" t="n">
        <v>0.985</v>
      </c>
      <c r="AI289" s="0" t="n">
        <v>0.985</v>
      </c>
      <c r="AJ289" s="0" t="n">
        <v>0.98</v>
      </c>
      <c r="AK289" s="0" t="n">
        <v>1</v>
      </c>
      <c r="AL289" s="0" t="n">
        <v>0</v>
      </c>
      <c r="AM289" s="0" t="n">
        <v>0</v>
      </c>
      <c r="BB289" s="187" t="n">
        <v>1</v>
      </c>
      <c r="BC289" s="0" t="n">
        <v>1</v>
      </c>
      <c r="BD289" s="0" t="n">
        <v>1</v>
      </c>
      <c r="BE289" s="0" t="n">
        <v>1</v>
      </c>
      <c r="BF289" s="0" t="n">
        <v>0.9999</v>
      </c>
      <c r="BG289" s="0" t="n">
        <v>1</v>
      </c>
      <c r="BH289" s="0" t="n">
        <v>1</v>
      </c>
      <c r="BI289" s="0" t="n">
        <v>0.99</v>
      </c>
      <c r="BJ289" s="0" t="n">
        <v>0.999</v>
      </c>
      <c r="BK289" s="0" t="n">
        <v>0.998</v>
      </c>
      <c r="BL289" s="0" t="n">
        <v>0.9985</v>
      </c>
      <c r="BM289" s="0" t="n">
        <v>0.9985</v>
      </c>
      <c r="BN289" s="0" t="n">
        <v>0.972</v>
      </c>
      <c r="BO289" s="0" t="n">
        <v>0.9999</v>
      </c>
      <c r="BP289" s="0" t="n">
        <v>0.9999</v>
      </c>
      <c r="BQ289" s="0" t="n">
        <v>1</v>
      </c>
      <c r="BR289" s="0" t="n">
        <v>1.1448026</v>
      </c>
      <c r="BS289" s="0" t="n">
        <v>1.1458</v>
      </c>
      <c r="BT289" s="0" t="n">
        <v>1.0827</v>
      </c>
      <c r="BU289" s="0" t="n">
        <v>1.0332</v>
      </c>
      <c r="BV289" s="0" t="n">
        <v>1</v>
      </c>
      <c r="BW289" s="0" t="n">
        <v>2.8662</v>
      </c>
      <c r="BX289" s="0" t="n">
        <v>2.365106333</v>
      </c>
      <c r="BY289" s="0" t="n">
        <v>1.21735</v>
      </c>
      <c r="BZ289" s="0" t="n">
        <v>1.2885</v>
      </c>
      <c r="CA289" s="0" t="n">
        <v>2.001</v>
      </c>
      <c r="CB289" s="0" t="n">
        <v>1.606505</v>
      </c>
      <c r="CC289" s="0" t="n">
        <v>1.606505</v>
      </c>
      <c r="CD289" s="0" t="n">
        <v>1.317405</v>
      </c>
      <c r="CE289" s="0" t="n">
        <v>1.12568</v>
      </c>
      <c r="CF289" s="0" t="n">
        <v>1.499405</v>
      </c>
      <c r="CG289" s="188"/>
      <c r="CH289" s="0" t="n">
        <v>1.109585</v>
      </c>
      <c r="CI289" s="188"/>
      <c r="CJ289" s="188"/>
      <c r="CK289" s="188"/>
      <c r="CL289" s="188"/>
      <c r="CM289" s="188"/>
      <c r="CN289" s="188"/>
      <c r="CO289" s="188"/>
      <c r="CP289" s="0" t="n">
        <v>0.975</v>
      </c>
      <c r="CV289" s="0" t="n">
        <v>0.55</v>
      </c>
      <c r="CW289" s="0" t="n">
        <v>0.925</v>
      </c>
      <c r="CX289" s="0" t="n">
        <v>0.765</v>
      </c>
      <c r="CZ289" s="0" t="n">
        <v>0.945</v>
      </c>
      <c r="DA289" s="0" t="n">
        <v>0.9775</v>
      </c>
      <c r="DB289" s="0" t="n">
        <v>0.945</v>
      </c>
      <c r="DC289" s="0" t="n">
        <v>0.92</v>
      </c>
      <c r="DD289" s="0" t="n">
        <v>0.915</v>
      </c>
      <c r="DE289" s="0" t="n">
        <v>0.89</v>
      </c>
      <c r="DN289" s="188" t="n">
        <v>0.000285</v>
      </c>
      <c r="DO289" s="188" t="n">
        <v>0.0002</v>
      </c>
      <c r="DP289" s="188" t="n">
        <v>0</v>
      </c>
      <c r="DQ289" s="188" t="n">
        <v>0.0001</v>
      </c>
      <c r="DR289" s="188" t="n">
        <v>0</v>
      </c>
      <c r="DS289" s="188" t="n">
        <v>0.0036</v>
      </c>
      <c r="DT289" s="188" t="n">
        <v>0.00047</v>
      </c>
      <c r="DU289" s="188" t="n">
        <v>0.0007</v>
      </c>
      <c r="DV289" s="188" t="n">
        <v>0</v>
      </c>
      <c r="DW289" s="188" t="n">
        <v>0</v>
      </c>
      <c r="DX289" s="188" t="n">
        <v>0.0005</v>
      </c>
      <c r="DY289" s="188" t="n">
        <v>0.0005</v>
      </c>
      <c r="DZ289" s="188" t="n">
        <v>0.0003</v>
      </c>
      <c r="EA289" s="188" t="n">
        <v>0.000275</v>
      </c>
      <c r="EB289" s="188" t="n">
        <v>0.0004</v>
      </c>
      <c r="ED289" s="188" t="n">
        <v>6.5E-005</v>
      </c>
      <c r="EF289" s="0" t="n">
        <v>1</v>
      </c>
    </row>
    <row r="290" customFormat="false" ht="12.75" hidden="false" customHeight="false" outlineLevel="0" collapsed="false">
      <c r="A290" s="149" t="n">
        <v>45200</v>
      </c>
      <c r="B290" s="0" t="n">
        <v>0.98</v>
      </c>
      <c r="C290" s="0" t="n">
        <v>0</v>
      </c>
      <c r="E290" s="0" t="n">
        <v>0</v>
      </c>
      <c r="F290" s="0" t="n">
        <v>0</v>
      </c>
      <c r="G290" s="0" t="n">
        <v>0</v>
      </c>
      <c r="H290" s="0" t="n">
        <v>0.9875</v>
      </c>
      <c r="I290" s="0" t="n">
        <v>0.9875</v>
      </c>
      <c r="J290" s="0" t="n">
        <v>0.9805</v>
      </c>
      <c r="K290" s="0" t="n">
        <v>0</v>
      </c>
      <c r="L290" s="176" t="n">
        <v>0.9875</v>
      </c>
      <c r="M290" s="176" t="n">
        <v>0.9875</v>
      </c>
      <c r="N290" s="0" t="n">
        <v>0.98</v>
      </c>
      <c r="O290" s="0" t="n">
        <v>0.9875</v>
      </c>
      <c r="P290" s="0" t="n">
        <v>0.98</v>
      </c>
      <c r="Q290" s="177" t="n">
        <v>0.9875</v>
      </c>
      <c r="R290" s="0" t="n">
        <v>0.9875</v>
      </c>
      <c r="S290" s="176" t="n">
        <v>0.9875</v>
      </c>
      <c r="T290" s="0" t="n">
        <v>0.98</v>
      </c>
      <c r="U290" s="0" t="n">
        <v>0.98</v>
      </c>
      <c r="V290" s="0" t="n">
        <v>0.98</v>
      </c>
      <c r="W290" s="0" t="n">
        <v>0.98</v>
      </c>
      <c r="X290" s="0" t="n">
        <v>0.9875</v>
      </c>
      <c r="Y290" s="0" t="n">
        <v>0.9875</v>
      </c>
      <c r="Z290" s="0" t="n">
        <v>0.9875</v>
      </c>
      <c r="AA290" s="0" t="n">
        <v>0.9875</v>
      </c>
      <c r="AB290" s="0" t="n">
        <v>0.98</v>
      </c>
      <c r="AC290" s="0" t="n">
        <v>0.98</v>
      </c>
      <c r="AD290" s="0" t="n">
        <v>0.9875</v>
      </c>
      <c r="AE290" s="0" t="n">
        <v>0.9875</v>
      </c>
      <c r="AF290" s="0" t="n">
        <v>0.98</v>
      </c>
      <c r="AG290" s="0" t="n">
        <v>0.99</v>
      </c>
      <c r="AH290" s="0" t="n">
        <v>0.985</v>
      </c>
      <c r="AI290" s="0" t="n">
        <v>0.985</v>
      </c>
      <c r="AJ290" s="0" t="n">
        <v>0.98</v>
      </c>
      <c r="AK290" s="0" t="n">
        <v>1</v>
      </c>
      <c r="AL290" s="0" t="n">
        <v>0</v>
      </c>
      <c r="AM290" s="0" t="n">
        <v>0</v>
      </c>
      <c r="BB290" s="187" t="n">
        <v>1</v>
      </c>
      <c r="BC290" s="0" t="n">
        <v>1</v>
      </c>
      <c r="BD290" s="0" t="n">
        <v>1</v>
      </c>
      <c r="BE290" s="0" t="n">
        <v>1</v>
      </c>
      <c r="BF290" s="0" t="n">
        <v>0.9999</v>
      </c>
      <c r="BG290" s="0" t="n">
        <v>1</v>
      </c>
      <c r="BH290" s="0" t="n">
        <v>1</v>
      </c>
      <c r="BI290" s="0" t="n">
        <v>0.99</v>
      </c>
      <c r="BJ290" s="0" t="n">
        <v>0.999</v>
      </c>
      <c r="BK290" s="0" t="n">
        <v>0.998</v>
      </c>
      <c r="BL290" s="0" t="n">
        <v>0.9985</v>
      </c>
      <c r="BM290" s="0" t="n">
        <v>0.9985</v>
      </c>
      <c r="BN290" s="0" t="n">
        <v>0.972</v>
      </c>
      <c r="BO290" s="0" t="n">
        <v>0.9999</v>
      </c>
      <c r="BP290" s="0" t="n">
        <v>0.9999</v>
      </c>
      <c r="BQ290" s="0" t="n">
        <v>1</v>
      </c>
      <c r="BR290" s="0" t="n">
        <v>1.1450876</v>
      </c>
      <c r="BS290" s="0" t="n">
        <v>1.146</v>
      </c>
      <c r="BT290" s="0" t="n">
        <v>1.0827</v>
      </c>
      <c r="BU290" s="0" t="n">
        <v>1.0333</v>
      </c>
      <c r="BV290" s="0" t="n">
        <v>1</v>
      </c>
      <c r="BW290" s="0" t="n">
        <v>2.8698</v>
      </c>
      <c r="BX290" s="0" t="n">
        <v>2.365576333</v>
      </c>
      <c r="BY290" s="0" t="n">
        <v>1.21805</v>
      </c>
      <c r="BZ290" s="0" t="n">
        <v>1.2885</v>
      </c>
      <c r="CA290" s="0" t="n">
        <v>2.001</v>
      </c>
      <c r="CB290" s="0" t="n">
        <v>1.607005</v>
      </c>
      <c r="CC290" s="0" t="n">
        <v>1.607005</v>
      </c>
      <c r="CD290" s="0" t="n">
        <v>1.317705</v>
      </c>
      <c r="CE290" s="0" t="n">
        <v>1.125955</v>
      </c>
      <c r="CF290" s="0" t="n">
        <v>1.499805</v>
      </c>
      <c r="CG290" s="188"/>
      <c r="CH290" s="0" t="n">
        <v>1.10965</v>
      </c>
      <c r="CI290" s="188"/>
      <c r="CJ290" s="188"/>
      <c r="CK290" s="188"/>
      <c r="CL290" s="188"/>
      <c r="CM290" s="188"/>
      <c r="CN290" s="188"/>
      <c r="CO290" s="188"/>
      <c r="CP290" s="0" t="n">
        <v>0.955</v>
      </c>
      <c r="CV290" s="0" t="n">
        <v>0.45</v>
      </c>
      <c r="CW290" s="0" t="n">
        <v>0.925</v>
      </c>
      <c r="CX290" s="0" t="n">
        <v>0.755</v>
      </c>
      <c r="CZ290" s="0" t="n">
        <v>0.805</v>
      </c>
      <c r="DA290" s="0" t="n">
        <v>0.8375</v>
      </c>
      <c r="DB290" s="0" t="n">
        <v>0.875</v>
      </c>
      <c r="DC290" s="0" t="n">
        <v>0.9025</v>
      </c>
      <c r="DD290" s="0" t="n">
        <v>0.82</v>
      </c>
      <c r="DE290" s="0" t="n">
        <v>0.89</v>
      </c>
      <c r="DN290" s="188" t="n">
        <v>0.000285</v>
      </c>
      <c r="DO290" s="188" t="n">
        <v>0.0002</v>
      </c>
      <c r="DP290" s="188" t="n">
        <v>0</v>
      </c>
      <c r="DQ290" s="188" t="n">
        <v>0.0001</v>
      </c>
      <c r="DR290" s="188" t="n">
        <v>0</v>
      </c>
      <c r="DS290" s="188" t="n">
        <v>0.0036</v>
      </c>
      <c r="DT290" s="188" t="n">
        <v>0.00047</v>
      </c>
      <c r="DU290" s="188" t="n">
        <v>0.0007</v>
      </c>
      <c r="DV290" s="188" t="n">
        <v>0</v>
      </c>
      <c r="DW290" s="188" t="n">
        <v>0</v>
      </c>
      <c r="DX290" s="188" t="n">
        <v>0.0005</v>
      </c>
      <c r="DY290" s="188" t="n">
        <v>0.0005</v>
      </c>
      <c r="DZ290" s="188" t="n">
        <v>0.0003</v>
      </c>
      <c r="EA290" s="188" t="n">
        <v>0.000275</v>
      </c>
      <c r="EB290" s="188" t="n">
        <v>0.0004</v>
      </c>
      <c r="ED290" s="188" t="n">
        <v>6.5E-005</v>
      </c>
      <c r="EF290" s="0" t="n">
        <v>1</v>
      </c>
    </row>
    <row r="291" customFormat="false" ht="12.75" hidden="false" customHeight="false" outlineLevel="0" collapsed="false">
      <c r="A291" s="149" t="n">
        <v>45231</v>
      </c>
      <c r="B291" s="0" t="n">
        <v>0.98</v>
      </c>
      <c r="C291" s="0" t="n">
        <v>0</v>
      </c>
      <c r="E291" s="0" t="n">
        <v>0</v>
      </c>
      <c r="F291" s="0" t="n">
        <v>0</v>
      </c>
      <c r="G291" s="0" t="n">
        <v>0</v>
      </c>
      <c r="H291" s="0" t="n">
        <v>0.9875</v>
      </c>
      <c r="I291" s="0" t="n">
        <v>0.9875</v>
      </c>
      <c r="J291" s="0" t="n">
        <v>0.9805</v>
      </c>
      <c r="K291" s="0" t="n">
        <v>0</v>
      </c>
      <c r="L291" s="176" t="n">
        <v>0.9875</v>
      </c>
      <c r="M291" s="176" t="n">
        <v>0.9875</v>
      </c>
      <c r="N291" s="0" t="n">
        <v>0.98</v>
      </c>
      <c r="O291" s="0" t="n">
        <v>0.9875</v>
      </c>
      <c r="P291" s="0" t="n">
        <v>0.98</v>
      </c>
      <c r="Q291" s="177" t="n">
        <v>0.9875</v>
      </c>
      <c r="R291" s="0" t="n">
        <v>0.9875</v>
      </c>
      <c r="S291" s="176" t="n">
        <v>0.9875</v>
      </c>
      <c r="T291" s="0" t="n">
        <v>0.98</v>
      </c>
      <c r="U291" s="0" t="n">
        <v>0.98</v>
      </c>
      <c r="V291" s="0" t="n">
        <v>0.98</v>
      </c>
      <c r="W291" s="0" t="n">
        <v>0.98</v>
      </c>
      <c r="X291" s="0" t="n">
        <v>0.9875</v>
      </c>
      <c r="Y291" s="0" t="n">
        <v>0.9875</v>
      </c>
      <c r="Z291" s="0" t="n">
        <v>0.9875</v>
      </c>
      <c r="AA291" s="0" t="n">
        <v>0.9875</v>
      </c>
      <c r="AB291" s="0" t="n">
        <v>0.98</v>
      </c>
      <c r="AC291" s="0" t="n">
        <v>0.98</v>
      </c>
      <c r="AD291" s="0" t="n">
        <v>0.9875</v>
      </c>
      <c r="AE291" s="0" t="n">
        <v>0.9875</v>
      </c>
      <c r="AF291" s="0" t="n">
        <v>0.98</v>
      </c>
      <c r="AG291" s="0" t="n">
        <v>0.99</v>
      </c>
      <c r="AH291" s="0" t="n">
        <v>0.985</v>
      </c>
      <c r="AI291" s="0" t="n">
        <v>0.985</v>
      </c>
      <c r="AJ291" s="0" t="n">
        <v>0.98</v>
      </c>
      <c r="AK291" s="0" t="n">
        <v>1</v>
      </c>
      <c r="AL291" s="0" t="n">
        <v>0</v>
      </c>
      <c r="AM291" s="0" t="n">
        <v>0</v>
      </c>
      <c r="BB291" s="187" t="n">
        <v>1</v>
      </c>
      <c r="BC291" s="0" t="n">
        <v>1</v>
      </c>
      <c r="BD291" s="0" t="n">
        <v>1</v>
      </c>
      <c r="BE291" s="0" t="n">
        <v>1</v>
      </c>
      <c r="BF291" s="0" t="n">
        <v>0.9999</v>
      </c>
      <c r="BG291" s="0" t="n">
        <v>1</v>
      </c>
      <c r="BH291" s="0" t="n">
        <v>1</v>
      </c>
      <c r="BI291" s="0" t="n">
        <v>0.99</v>
      </c>
      <c r="BJ291" s="0" t="n">
        <v>0.999</v>
      </c>
      <c r="BK291" s="0" t="n">
        <v>0.998</v>
      </c>
      <c r="BL291" s="0" t="n">
        <v>0.9985</v>
      </c>
      <c r="BM291" s="0" t="n">
        <v>0.9985</v>
      </c>
      <c r="BN291" s="0" t="n">
        <v>0.972</v>
      </c>
      <c r="BO291" s="0" t="n">
        <v>0.9999</v>
      </c>
      <c r="BP291" s="0" t="n">
        <v>0.9999</v>
      </c>
      <c r="BQ291" s="0" t="n">
        <v>1</v>
      </c>
      <c r="BR291" s="0" t="n">
        <v>1.1453726</v>
      </c>
      <c r="BS291" s="0" t="n">
        <v>1.1462</v>
      </c>
      <c r="BT291" s="0" t="n">
        <v>1.0827</v>
      </c>
      <c r="BU291" s="0" t="n">
        <v>1.0334</v>
      </c>
      <c r="BV291" s="0" t="n">
        <v>1</v>
      </c>
      <c r="BW291" s="0" t="n">
        <v>2.8734</v>
      </c>
      <c r="BX291" s="0" t="n">
        <v>2.366046333</v>
      </c>
      <c r="BY291" s="0" t="n">
        <v>1.21875</v>
      </c>
      <c r="BZ291" s="0" t="n">
        <v>1.2885</v>
      </c>
      <c r="CA291" s="0" t="n">
        <v>2.001</v>
      </c>
      <c r="CB291" s="0" t="n">
        <v>1.607505</v>
      </c>
      <c r="CC291" s="0" t="n">
        <v>1.607505</v>
      </c>
      <c r="CD291" s="0" t="n">
        <v>1.318005</v>
      </c>
      <c r="CE291" s="0" t="n">
        <v>1.12623</v>
      </c>
      <c r="CF291" s="0" t="n">
        <v>1.500205</v>
      </c>
      <c r="CG291" s="188"/>
      <c r="CH291" s="0" t="n">
        <v>1.109715</v>
      </c>
      <c r="CI291" s="188"/>
      <c r="CJ291" s="188"/>
      <c r="CK291" s="188"/>
      <c r="CL291" s="188"/>
      <c r="CM291" s="188"/>
      <c r="CN291" s="188"/>
      <c r="CO291" s="188"/>
      <c r="CP291" s="0" t="n">
        <v>0.955</v>
      </c>
      <c r="CV291" s="0" t="n">
        <v>0.46</v>
      </c>
      <c r="CW291" s="0" t="n">
        <v>0.905</v>
      </c>
      <c r="CX291" s="0" t="n">
        <v>0.715</v>
      </c>
      <c r="CZ291" s="0" t="n">
        <v>0.795</v>
      </c>
      <c r="DA291" s="0" t="n">
        <v>0.8275</v>
      </c>
      <c r="DB291" s="0" t="n">
        <v>0.85</v>
      </c>
      <c r="DC291" s="0" t="n">
        <v>0.9025</v>
      </c>
      <c r="DD291" s="0" t="n">
        <v>0.82</v>
      </c>
      <c r="DE291" s="0" t="n">
        <v>0.89</v>
      </c>
      <c r="DN291" s="188" t="n">
        <v>0.000285</v>
      </c>
      <c r="DO291" s="188" t="n">
        <v>0.0002</v>
      </c>
      <c r="DP291" s="188" t="n">
        <v>0</v>
      </c>
      <c r="DQ291" s="188" t="n">
        <v>0.0001</v>
      </c>
      <c r="DR291" s="188" t="n">
        <v>0</v>
      </c>
      <c r="DS291" s="188" t="n">
        <v>0.0036</v>
      </c>
      <c r="DT291" s="188" t="n">
        <v>0.00047</v>
      </c>
      <c r="DU291" s="188" t="n">
        <v>0.0007</v>
      </c>
      <c r="DV291" s="188" t="n">
        <v>0</v>
      </c>
      <c r="DW291" s="188" t="n">
        <v>0</v>
      </c>
      <c r="DX291" s="188" t="n">
        <v>0.0005</v>
      </c>
      <c r="DY291" s="188" t="n">
        <v>0.0005</v>
      </c>
      <c r="DZ291" s="188" t="n">
        <v>0.0003</v>
      </c>
      <c r="EA291" s="188" t="n">
        <v>0.000275</v>
      </c>
      <c r="EB291" s="188" t="n">
        <v>0.0004</v>
      </c>
      <c r="ED291" s="188" t="n">
        <v>6.5E-005</v>
      </c>
      <c r="EF291" s="0" t="n">
        <v>1</v>
      </c>
    </row>
    <row r="292" customFormat="false" ht="12.75" hidden="false" customHeight="false" outlineLevel="0" collapsed="false">
      <c r="A292" s="149" t="n">
        <v>45261</v>
      </c>
      <c r="B292" s="0" t="n">
        <v>0.98</v>
      </c>
      <c r="C292" s="0" t="n">
        <v>0</v>
      </c>
      <c r="E292" s="0" t="n">
        <v>0</v>
      </c>
      <c r="F292" s="0" t="n">
        <v>0</v>
      </c>
      <c r="G292" s="0" t="n">
        <v>0</v>
      </c>
      <c r="H292" s="0" t="n">
        <v>0.9875</v>
      </c>
      <c r="I292" s="0" t="n">
        <v>0.9875</v>
      </c>
      <c r="J292" s="0" t="n">
        <v>0.9805</v>
      </c>
      <c r="K292" s="0" t="n">
        <v>0</v>
      </c>
      <c r="L292" s="176" t="n">
        <v>0.94872295</v>
      </c>
      <c r="M292" s="176" t="n">
        <v>0.9875</v>
      </c>
      <c r="N292" s="0" t="n">
        <v>0.90963045</v>
      </c>
      <c r="O292" s="0" t="n">
        <v>0.9875</v>
      </c>
      <c r="P292" s="0" t="n">
        <v>0.90963045</v>
      </c>
      <c r="Q292" s="177" t="n">
        <v>0.94872295</v>
      </c>
      <c r="R292" s="0" t="n">
        <v>0.94872295</v>
      </c>
      <c r="S292" s="176" t="n">
        <v>0.94872295</v>
      </c>
      <c r="T292" s="0" t="n">
        <v>0.90963045</v>
      </c>
      <c r="U292" s="0" t="n">
        <v>0.90963045</v>
      </c>
      <c r="V292" s="0" t="n">
        <v>0.90963045</v>
      </c>
      <c r="W292" s="0" t="n">
        <v>0.90963045</v>
      </c>
      <c r="X292" s="0" t="n">
        <v>0.9875</v>
      </c>
      <c r="Y292" s="0" t="n">
        <v>0.9875</v>
      </c>
      <c r="Z292" s="0" t="n">
        <v>0.9875</v>
      </c>
      <c r="AA292" s="0" t="n">
        <v>0.9875</v>
      </c>
      <c r="AB292" s="0" t="n">
        <v>0.90963045</v>
      </c>
      <c r="AC292" s="0" t="n">
        <v>0.90963045</v>
      </c>
      <c r="AD292" s="0" t="n">
        <v>0.9875</v>
      </c>
      <c r="AE292" s="0" t="n">
        <v>0.9875</v>
      </c>
      <c r="AF292" s="0" t="n">
        <v>0.90963045</v>
      </c>
      <c r="AG292" s="0" t="n">
        <v>0.98</v>
      </c>
      <c r="AH292" s="0" t="n">
        <v>0.985</v>
      </c>
      <c r="AI292" s="0" t="n">
        <v>0.985</v>
      </c>
      <c r="AJ292" s="0" t="n">
        <v>0.90963045</v>
      </c>
      <c r="AK292" s="0" t="n">
        <v>1</v>
      </c>
      <c r="AL292" s="0" t="n">
        <v>0</v>
      </c>
      <c r="AM292" s="0" t="n">
        <v>0</v>
      </c>
      <c r="BB292" s="187" t="n">
        <v>1</v>
      </c>
      <c r="BC292" s="0" t="n">
        <v>1</v>
      </c>
      <c r="BD292" s="0" t="n">
        <v>1</v>
      </c>
      <c r="BE292" s="0" t="n">
        <v>1</v>
      </c>
      <c r="BF292" s="0" t="n">
        <v>0.9999</v>
      </c>
      <c r="BG292" s="0" t="n">
        <v>1</v>
      </c>
      <c r="BH292" s="0" t="n">
        <v>1</v>
      </c>
      <c r="BI292" s="0" t="n">
        <v>0.99</v>
      </c>
      <c r="BJ292" s="0" t="n">
        <v>0.999</v>
      </c>
      <c r="BK292" s="0" t="n">
        <v>0.998</v>
      </c>
      <c r="BL292" s="0" t="n">
        <v>0.9985</v>
      </c>
      <c r="BM292" s="0" t="n">
        <v>0.9985</v>
      </c>
      <c r="BN292" s="0" t="n">
        <v>0.972</v>
      </c>
      <c r="BO292" s="0" t="n">
        <v>0.9999</v>
      </c>
      <c r="BP292" s="0" t="n">
        <v>0.9999</v>
      </c>
      <c r="BQ292" s="0" t="n">
        <v>1</v>
      </c>
      <c r="BR292" s="0" t="n">
        <v>1.1456576</v>
      </c>
      <c r="BS292" s="0" t="n">
        <v>1.1464</v>
      </c>
      <c r="BT292" s="0" t="n">
        <v>1.0827</v>
      </c>
      <c r="BU292" s="0" t="n">
        <v>1.0335</v>
      </c>
      <c r="BV292" s="0" t="n">
        <v>1</v>
      </c>
      <c r="BW292" s="0" t="n">
        <v>2.877</v>
      </c>
      <c r="BX292" s="0" t="n">
        <v>2.366516333</v>
      </c>
      <c r="BY292" s="0" t="n">
        <v>1.21945</v>
      </c>
      <c r="BZ292" s="0" t="n">
        <v>1.2885</v>
      </c>
      <c r="CA292" s="0" t="n">
        <v>2.001</v>
      </c>
      <c r="CB292" s="0" t="n">
        <v>1.608005</v>
      </c>
      <c r="CC292" s="0" t="n">
        <v>1.608005</v>
      </c>
      <c r="CD292" s="0" t="n">
        <v>1.318305</v>
      </c>
      <c r="CE292" s="0" t="n">
        <v>1.126505</v>
      </c>
      <c r="CF292" s="0" t="n">
        <v>1.500605</v>
      </c>
      <c r="CG292" s="188"/>
      <c r="CH292" s="0" t="n">
        <v>1.10978</v>
      </c>
      <c r="CI292" s="188"/>
      <c r="CJ292" s="188"/>
      <c r="CK292" s="188"/>
      <c r="CL292" s="188"/>
      <c r="CM292" s="188"/>
      <c r="CN292" s="188"/>
      <c r="CO292" s="188"/>
      <c r="CP292" s="0" t="n">
        <v>0.935</v>
      </c>
      <c r="CV292" s="0" t="n">
        <v>0.48</v>
      </c>
      <c r="CW292" s="0" t="n">
        <v>0.875</v>
      </c>
      <c r="CX292" s="0" t="n">
        <v>0.72</v>
      </c>
      <c r="CZ292" s="0" t="n">
        <v>0.59</v>
      </c>
      <c r="DA292" s="0" t="n">
        <v>0.6225</v>
      </c>
      <c r="DB292" s="0" t="n">
        <v>0.69</v>
      </c>
      <c r="DC292" s="0" t="n">
        <v>0.8925</v>
      </c>
      <c r="DD292" s="0" t="n">
        <v>0.715</v>
      </c>
      <c r="DE292" s="0" t="n">
        <v>0.89</v>
      </c>
      <c r="DN292" s="188" t="n">
        <v>0.000285</v>
      </c>
      <c r="DO292" s="188" t="n">
        <v>0.0002</v>
      </c>
      <c r="DP292" s="188" t="n">
        <v>0</v>
      </c>
      <c r="DQ292" s="188" t="n">
        <v>0.0001</v>
      </c>
      <c r="DR292" s="188" t="n">
        <v>0</v>
      </c>
      <c r="DS292" s="188" t="n">
        <v>0.0036</v>
      </c>
      <c r="DT292" s="188" t="n">
        <v>0.00047</v>
      </c>
      <c r="DU292" s="188" t="n">
        <v>0.0007</v>
      </c>
      <c r="DV292" s="188" t="n">
        <v>0</v>
      </c>
      <c r="DW292" s="188" t="n">
        <v>0</v>
      </c>
      <c r="DX292" s="188" t="n">
        <v>0.0005</v>
      </c>
      <c r="DY292" s="188" t="n">
        <v>0.0005</v>
      </c>
      <c r="DZ292" s="188" t="n">
        <v>0.0003</v>
      </c>
      <c r="EA292" s="188" t="n">
        <v>0.000275</v>
      </c>
      <c r="EB292" s="188" t="n">
        <v>0.0004</v>
      </c>
      <c r="ED292" s="188" t="n">
        <v>6.5E-005</v>
      </c>
      <c r="EF292" s="0" t="n">
        <v>1</v>
      </c>
    </row>
    <row r="293" customFormat="false" ht="12.75" hidden="false" customHeight="false" outlineLevel="0" collapsed="false">
      <c r="A293" s="149" t="n">
        <v>45292</v>
      </c>
      <c r="B293" s="0" t="n">
        <v>0.98</v>
      </c>
      <c r="C293" s="0" t="n">
        <v>0</v>
      </c>
      <c r="E293" s="0" t="n">
        <v>0</v>
      </c>
      <c r="F293" s="0" t="n">
        <v>0</v>
      </c>
      <c r="G293" s="0" t="n">
        <v>0</v>
      </c>
      <c r="H293" s="0" t="n">
        <v>0.9875</v>
      </c>
      <c r="I293" s="0" t="n">
        <v>0.98222075</v>
      </c>
      <c r="J293" s="0" t="n">
        <v>0.9805</v>
      </c>
      <c r="K293" s="0" t="n">
        <v>0</v>
      </c>
      <c r="L293" s="176" t="n">
        <v>0.973145525</v>
      </c>
      <c r="M293" s="176" t="n">
        <v>0.9875</v>
      </c>
      <c r="N293" s="0" t="n">
        <v>0.90983745</v>
      </c>
      <c r="O293" s="0" t="n">
        <v>0.9875</v>
      </c>
      <c r="P293" s="0" t="n">
        <v>0.90983745</v>
      </c>
      <c r="Q293" s="177" t="n">
        <v>0.973145525</v>
      </c>
      <c r="R293" s="0" t="n">
        <v>0.973145525</v>
      </c>
      <c r="S293" s="176" t="n">
        <v>0.973145525</v>
      </c>
      <c r="T293" s="0" t="n">
        <v>0.90983745</v>
      </c>
      <c r="U293" s="0" t="n">
        <v>0.90983745</v>
      </c>
      <c r="V293" s="0" t="n">
        <v>0.90983745</v>
      </c>
      <c r="W293" s="0" t="n">
        <v>0.90983745</v>
      </c>
      <c r="X293" s="0" t="n">
        <v>0.9875</v>
      </c>
      <c r="Y293" s="0" t="n">
        <v>0.9875</v>
      </c>
      <c r="Z293" s="0" t="n">
        <v>0.9875</v>
      </c>
      <c r="AA293" s="0" t="n">
        <v>0.9875</v>
      </c>
      <c r="AB293" s="0" t="n">
        <v>0.90983745</v>
      </c>
      <c r="AC293" s="0" t="n">
        <v>0.90983745</v>
      </c>
      <c r="AD293" s="0" t="n">
        <v>0.9875</v>
      </c>
      <c r="AE293" s="0" t="n">
        <v>0.9875</v>
      </c>
      <c r="AF293" s="0" t="n">
        <v>0.90983745</v>
      </c>
      <c r="AG293" s="0" t="n">
        <v>0.98</v>
      </c>
      <c r="AH293" s="0" t="n">
        <v>0.985</v>
      </c>
      <c r="AI293" s="0" t="n">
        <v>0.985</v>
      </c>
      <c r="AJ293" s="0" t="n">
        <v>0.90983745</v>
      </c>
      <c r="AK293" s="0" t="n">
        <v>1</v>
      </c>
      <c r="AL293" s="0" t="n">
        <v>0</v>
      </c>
      <c r="AM293" s="0" t="n">
        <v>0</v>
      </c>
      <c r="BB293" s="187" t="n">
        <v>1</v>
      </c>
      <c r="BC293" s="0" t="n">
        <v>1</v>
      </c>
      <c r="BD293" s="0" t="n">
        <v>1</v>
      </c>
      <c r="BE293" s="0" t="n">
        <v>1</v>
      </c>
      <c r="BF293" s="0" t="n">
        <v>0.9999</v>
      </c>
      <c r="BG293" s="0" t="n">
        <v>1</v>
      </c>
      <c r="BH293" s="0" t="n">
        <v>1</v>
      </c>
      <c r="BI293" s="0" t="n">
        <v>0.99</v>
      </c>
      <c r="BJ293" s="0" t="n">
        <v>0.999</v>
      </c>
      <c r="BK293" s="0" t="n">
        <v>0.998</v>
      </c>
      <c r="BL293" s="0" t="n">
        <v>0.9985</v>
      </c>
      <c r="BM293" s="0" t="n">
        <v>0.9985</v>
      </c>
      <c r="BN293" s="0" t="n">
        <v>0.972</v>
      </c>
      <c r="BO293" s="0" t="n">
        <v>0.9999</v>
      </c>
      <c r="BP293" s="0" t="n">
        <v>0.9999</v>
      </c>
      <c r="BQ293" s="0" t="n">
        <v>1</v>
      </c>
      <c r="BR293" s="0" t="n">
        <v>1.1459426</v>
      </c>
      <c r="BS293" s="0" t="n">
        <v>1.1466</v>
      </c>
      <c r="BT293" s="0" t="n">
        <v>1.0827</v>
      </c>
      <c r="BU293" s="0" t="n">
        <v>1.0336</v>
      </c>
      <c r="BV293" s="0" t="n">
        <v>1</v>
      </c>
      <c r="BW293" s="0" t="n">
        <v>2.8806</v>
      </c>
      <c r="BX293" s="0" t="n">
        <v>2.366986333</v>
      </c>
      <c r="BY293" s="0" t="n">
        <v>1.22015</v>
      </c>
      <c r="BZ293" s="0" t="n">
        <v>1.2885</v>
      </c>
      <c r="CA293" s="0" t="n">
        <v>2.001</v>
      </c>
      <c r="CB293" s="0" t="n">
        <v>1.608505</v>
      </c>
      <c r="CC293" s="0" t="n">
        <v>1.608505</v>
      </c>
      <c r="CD293" s="0" t="n">
        <v>1.318605</v>
      </c>
      <c r="CE293" s="0" t="n">
        <v>1.12678</v>
      </c>
      <c r="CF293" s="0" t="n">
        <v>1.501005</v>
      </c>
      <c r="CG293" s="188"/>
      <c r="CH293" s="0" t="n">
        <v>1.109845</v>
      </c>
      <c r="CI293" s="188"/>
      <c r="CJ293" s="188"/>
      <c r="CK293" s="188"/>
      <c r="CL293" s="188"/>
      <c r="CM293" s="188"/>
      <c r="CN293" s="188"/>
      <c r="CO293" s="188"/>
      <c r="CP293" s="0" t="n">
        <v>0.895</v>
      </c>
      <c r="CV293" s="0" t="n">
        <v>0.45</v>
      </c>
      <c r="CW293" s="0" t="n">
        <v>0.805</v>
      </c>
      <c r="CX293" s="0" t="n">
        <v>0.73</v>
      </c>
      <c r="CZ293" s="0" t="n">
        <v>0.605</v>
      </c>
      <c r="DA293" s="0" t="n">
        <v>0.6375</v>
      </c>
      <c r="DB293" s="0" t="n">
        <v>0.69</v>
      </c>
      <c r="DC293" s="0" t="n">
        <v>0.88</v>
      </c>
      <c r="DD293" s="0" t="n">
        <v>0.64</v>
      </c>
      <c r="DE293" s="0" t="n">
        <v>0.89</v>
      </c>
      <c r="DN293" s="188" t="n">
        <v>0.000285</v>
      </c>
      <c r="DO293" s="188" t="n">
        <v>0.0002</v>
      </c>
      <c r="DP293" s="188" t="n">
        <v>0</v>
      </c>
      <c r="DQ293" s="188" t="n">
        <v>0.0001</v>
      </c>
      <c r="DR293" s="188" t="n">
        <v>0</v>
      </c>
      <c r="DS293" s="188" t="n">
        <v>0.0036</v>
      </c>
      <c r="DT293" s="188" t="n">
        <v>0.00047</v>
      </c>
      <c r="DU293" s="188" t="n">
        <v>0.0007</v>
      </c>
      <c r="DV293" s="188" t="n">
        <v>0</v>
      </c>
      <c r="DW293" s="188" t="n">
        <v>0</v>
      </c>
      <c r="DX293" s="188" t="n">
        <v>0.0005</v>
      </c>
      <c r="DY293" s="188" t="n">
        <v>0.0005</v>
      </c>
      <c r="DZ293" s="188" t="n">
        <v>0.0003</v>
      </c>
      <c r="EA293" s="188" t="n">
        <v>0.000275</v>
      </c>
      <c r="EB293" s="188" t="n">
        <v>0.0004</v>
      </c>
      <c r="ED293" s="188" t="n">
        <v>6.5E-005</v>
      </c>
      <c r="EF293" s="0" t="n">
        <v>1</v>
      </c>
    </row>
    <row r="294" customFormat="false" ht="12.75" hidden="false" customHeight="false" outlineLevel="0" collapsed="false">
      <c r="A294" s="149" t="n">
        <v>45323</v>
      </c>
      <c r="B294" s="0" t="n">
        <v>0.98</v>
      </c>
      <c r="C294" s="0" t="n">
        <v>0</v>
      </c>
      <c r="E294" s="0" t="n">
        <v>0</v>
      </c>
      <c r="F294" s="0" t="n">
        <v>0</v>
      </c>
      <c r="G294" s="0" t="n">
        <v>0</v>
      </c>
      <c r="H294" s="0" t="n">
        <v>0.9875</v>
      </c>
      <c r="I294" s="0" t="n">
        <v>0.9875</v>
      </c>
      <c r="J294" s="0" t="n">
        <v>0.9805</v>
      </c>
      <c r="K294" s="0" t="n">
        <v>0</v>
      </c>
      <c r="L294" s="176" t="n">
        <v>0.9875</v>
      </c>
      <c r="M294" s="176" t="n">
        <v>0.9875</v>
      </c>
      <c r="N294" s="0" t="n">
        <v>0.93642255</v>
      </c>
      <c r="O294" s="0" t="n">
        <v>0.9875</v>
      </c>
      <c r="P294" s="0" t="n">
        <v>0.93642255</v>
      </c>
      <c r="Q294" s="177" t="n">
        <v>0.9875</v>
      </c>
      <c r="R294" s="0" t="n">
        <v>0.9875</v>
      </c>
      <c r="S294" s="176" t="n">
        <v>0.9875</v>
      </c>
      <c r="T294" s="0" t="n">
        <v>0.93642255</v>
      </c>
      <c r="U294" s="0" t="n">
        <v>0.93642255</v>
      </c>
      <c r="V294" s="0" t="n">
        <v>0.93642255</v>
      </c>
      <c r="W294" s="0" t="n">
        <v>0.93642255</v>
      </c>
      <c r="X294" s="0" t="n">
        <v>0.9875</v>
      </c>
      <c r="Y294" s="0" t="n">
        <v>0.9875</v>
      </c>
      <c r="Z294" s="0" t="n">
        <v>0.9875</v>
      </c>
      <c r="AA294" s="0" t="n">
        <v>0.9875</v>
      </c>
      <c r="AB294" s="0" t="n">
        <v>0.93642255</v>
      </c>
      <c r="AC294" s="0" t="n">
        <v>0.93642255</v>
      </c>
      <c r="AD294" s="0" t="n">
        <v>0.9875</v>
      </c>
      <c r="AE294" s="0" t="n">
        <v>0.9875</v>
      </c>
      <c r="AF294" s="0" t="n">
        <v>0.93642255</v>
      </c>
      <c r="AG294" s="0" t="n">
        <v>0.98</v>
      </c>
      <c r="AH294" s="0" t="n">
        <v>0.985</v>
      </c>
      <c r="AI294" s="0" t="n">
        <v>0.985</v>
      </c>
      <c r="AJ294" s="0" t="n">
        <v>0.93642255</v>
      </c>
      <c r="AK294" s="0" t="n">
        <v>1</v>
      </c>
      <c r="AL294" s="0" t="n">
        <v>0</v>
      </c>
      <c r="AM294" s="0" t="n">
        <v>0</v>
      </c>
      <c r="BB294" s="187" t="n">
        <v>1</v>
      </c>
      <c r="BC294" s="0" t="n">
        <v>1</v>
      </c>
      <c r="BD294" s="0" t="n">
        <v>1</v>
      </c>
      <c r="BE294" s="0" t="n">
        <v>1</v>
      </c>
      <c r="BF294" s="0" t="n">
        <v>0.9999</v>
      </c>
      <c r="BG294" s="0" t="n">
        <v>1</v>
      </c>
      <c r="BH294" s="0" t="n">
        <v>1</v>
      </c>
      <c r="BI294" s="0" t="n">
        <v>0.99</v>
      </c>
      <c r="BJ294" s="0" t="n">
        <v>0.999</v>
      </c>
      <c r="BK294" s="0" t="n">
        <v>0.998</v>
      </c>
      <c r="BL294" s="0" t="n">
        <v>0.9985</v>
      </c>
      <c r="BM294" s="0" t="n">
        <v>0.9985</v>
      </c>
      <c r="BN294" s="0" t="n">
        <v>0.972</v>
      </c>
      <c r="BO294" s="0" t="n">
        <v>0.9999</v>
      </c>
      <c r="BP294" s="0" t="n">
        <v>0.9999</v>
      </c>
      <c r="BQ294" s="0" t="n">
        <v>1</v>
      </c>
      <c r="BR294" s="0" t="n">
        <v>1.1462276</v>
      </c>
      <c r="BS294" s="0" t="n">
        <v>1.1468</v>
      </c>
      <c r="BT294" s="0" t="n">
        <v>1.0827</v>
      </c>
      <c r="BU294" s="0" t="n">
        <v>1.0337</v>
      </c>
      <c r="BV294" s="0" t="n">
        <v>1</v>
      </c>
      <c r="BW294" s="0" t="n">
        <v>2.8842</v>
      </c>
      <c r="BX294" s="0" t="n">
        <v>2.367456333</v>
      </c>
      <c r="BY294" s="0" t="n">
        <v>1.22085</v>
      </c>
      <c r="BZ294" s="0" t="n">
        <v>1.2885</v>
      </c>
      <c r="CA294" s="0" t="n">
        <v>2.001</v>
      </c>
      <c r="CB294" s="0" t="n">
        <v>1.609005</v>
      </c>
      <c r="CC294" s="0" t="n">
        <v>1.609005</v>
      </c>
      <c r="CD294" s="0" t="n">
        <v>1.318905</v>
      </c>
      <c r="CE294" s="0" t="n">
        <v>1.127055</v>
      </c>
      <c r="CF294" s="0" t="n">
        <v>1.501405</v>
      </c>
      <c r="CG294" s="188"/>
      <c r="CH294" s="0" t="n">
        <v>1.10991</v>
      </c>
      <c r="CI294" s="188"/>
      <c r="CJ294" s="188"/>
      <c r="CK294" s="188"/>
      <c r="CL294" s="188"/>
      <c r="CM294" s="188"/>
      <c r="CN294" s="188"/>
      <c r="CO294" s="188"/>
      <c r="CP294" s="0" t="n">
        <v>0.865</v>
      </c>
      <c r="CV294" s="0" t="n">
        <v>0.45</v>
      </c>
      <c r="CW294" s="0" t="n">
        <v>0.845</v>
      </c>
      <c r="CX294" s="0" t="n">
        <v>0.835</v>
      </c>
      <c r="CZ294" s="0" t="n">
        <v>0.635</v>
      </c>
      <c r="DA294" s="0" t="n">
        <v>0.6675</v>
      </c>
      <c r="DB294" s="0" t="n">
        <v>0.71</v>
      </c>
      <c r="DC294" s="0" t="n">
        <v>0.8775</v>
      </c>
      <c r="DD294" s="0" t="n">
        <v>0.67</v>
      </c>
      <c r="DE294" s="0" t="n">
        <v>0.89</v>
      </c>
      <c r="DN294" s="188" t="n">
        <v>0.000285</v>
      </c>
      <c r="DO294" s="188" t="n">
        <v>0.0002</v>
      </c>
      <c r="DP294" s="188" t="n">
        <v>0</v>
      </c>
      <c r="DQ294" s="188" t="n">
        <v>0.0001</v>
      </c>
      <c r="DR294" s="188" t="n">
        <v>0</v>
      </c>
      <c r="DS294" s="188" t="n">
        <v>0.0036</v>
      </c>
      <c r="DT294" s="188" t="n">
        <v>0.00047</v>
      </c>
      <c r="DU294" s="188" t="n">
        <v>0.0007</v>
      </c>
      <c r="DV294" s="188" t="n">
        <v>0</v>
      </c>
      <c r="DW294" s="188" t="n">
        <v>0</v>
      </c>
      <c r="DX294" s="188" t="n">
        <v>0.0005</v>
      </c>
      <c r="DY294" s="188" t="n">
        <v>0.0005</v>
      </c>
      <c r="DZ294" s="188" t="n">
        <v>0.0003</v>
      </c>
      <c r="EA294" s="188" t="n">
        <v>0.000275</v>
      </c>
      <c r="EB294" s="188" t="n">
        <v>0.0004</v>
      </c>
      <c r="ED294" s="188" t="n">
        <v>6.5E-005</v>
      </c>
      <c r="EF294" s="0" t="n">
        <v>1</v>
      </c>
    </row>
    <row r="295" customFormat="false" ht="12.75" hidden="false" customHeight="false" outlineLevel="0" collapsed="false">
      <c r="A295" s="149" t="n">
        <v>45352</v>
      </c>
      <c r="B295" s="0" t="n">
        <v>0.98</v>
      </c>
      <c r="C295" s="0" t="n">
        <v>0</v>
      </c>
      <c r="E295" s="0" t="n">
        <v>0</v>
      </c>
      <c r="F295" s="0" t="n">
        <v>0</v>
      </c>
      <c r="G295" s="0" t="n">
        <v>0</v>
      </c>
      <c r="H295" s="0" t="n">
        <v>0.9875</v>
      </c>
      <c r="I295" s="0" t="n">
        <v>0.9875</v>
      </c>
      <c r="J295" s="0" t="n">
        <v>0.9805</v>
      </c>
      <c r="K295" s="0" t="n">
        <v>0</v>
      </c>
      <c r="L295" s="176" t="n">
        <v>0.9875</v>
      </c>
      <c r="M295" s="176" t="n">
        <v>0.9875</v>
      </c>
      <c r="N295" s="0" t="n">
        <v>0.98</v>
      </c>
      <c r="O295" s="0" t="n">
        <v>0.9875</v>
      </c>
      <c r="P295" s="0" t="n">
        <v>0.98</v>
      </c>
      <c r="Q295" s="177" t="n">
        <v>0.9875</v>
      </c>
      <c r="R295" s="0" t="n">
        <v>0.9875</v>
      </c>
      <c r="S295" s="176" t="n">
        <v>0.9875</v>
      </c>
      <c r="T295" s="0" t="n">
        <v>0.98</v>
      </c>
      <c r="U295" s="0" t="n">
        <v>0.98</v>
      </c>
      <c r="V295" s="0" t="n">
        <v>0.98</v>
      </c>
      <c r="W295" s="0" t="n">
        <v>0.98</v>
      </c>
      <c r="X295" s="0" t="n">
        <v>0.9875</v>
      </c>
      <c r="Y295" s="0" t="n">
        <v>0.9875</v>
      </c>
      <c r="Z295" s="0" t="n">
        <v>0.9875</v>
      </c>
      <c r="AA295" s="0" t="n">
        <v>0.9875</v>
      </c>
      <c r="AB295" s="0" t="n">
        <v>0.98</v>
      </c>
      <c r="AC295" s="0" t="n">
        <v>0.98</v>
      </c>
      <c r="AD295" s="0" t="n">
        <v>0.9875</v>
      </c>
      <c r="AE295" s="0" t="n">
        <v>0.9875</v>
      </c>
      <c r="AF295" s="0" t="n">
        <v>0.98</v>
      </c>
      <c r="AG295" s="0" t="n">
        <v>0.99</v>
      </c>
      <c r="AH295" s="0" t="n">
        <v>0.985</v>
      </c>
      <c r="AI295" s="0" t="n">
        <v>0.985</v>
      </c>
      <c r="AJ295" s="0" t="n">
        <v>0.98</v>
      </c>
      <c r="AK295" s="0" t="n">
        <v>1</v>
      </c>
      <c r="AL295" s="0" t="n">
        <v>0</v>
      </c>
      <c r="AM295" s="0" t="n">
        <v>0</v>
      </c>
      <c r="BB295" s="187" t="n">
        <v>1</v>
      </c>
      <c r="BC295" s="0" t="n">
        <v>1</v>
      </c>
      <c r="BD295" s="0" t="n">
        <v>1</v>
      </c>
      <c r="BE295" s="0" t="n">
        <v>1</v>
      </c>
      <c r="BF295" s="0" t="n">
        <v>0.9999</v>
      </c>
      <c r="BG295" s="0" t="n">
        <v>1</v>
      </c>
      <c r="BH295" s="0" t="n">
        <v>1</v>
      </c>
      <c r="BI295" s="0" t="n">
        <v>0.99</v>
      </c>
      <c r="BJ295" s="0" t="n">
        <v>0.999</v>
      </c>
      <c r="BK295" s="0" t="n">
        <v>0.998</v>
      </c>
      <c r="BL295" s="0" t="n">
        <v>0.9985</v>
      </c>
      <c r="BM295" s="0" t="n">
        <v>0.9985</v>
      </c>
      <c r="BN295" s="0" t="n">
        <v>0.972</v>
      </c>
      <c r="BO295" s="0" t="n">
        <v>0.9999</v>
      </c>
      <c r="BP295" s="0" t="n">
        <v>0.9999</v>
      </c>
      <c r="BQ295" s="0" t="n">
        <v>1</v>
      </c>
      <c r="BR295" s="0" t="n">
        <v>1.1465126</v>
      </c>
      <c r="BS295" s="0" t="n">
        <v>1.147</v>
      </c>
      <c r="BT295" s="0" t="n">
        <v>1.0827</v>
      </c>
      <c r="BU295" s="0" t="n">
        <v>1.0338</v>
      </c>
      <c r="BV295" s="0" t="n">
        <v>1</v>
      </c>
      <c r="BW295" s="0" t="n">
        <v>2.8878</v>
      </c>
      <c r="BX295" s="0" t="n">
        <v>2.367926333</v>
      </c>
      <c r="BY295" s="0" t="n">
        <v>1.22155</v>
      </c>
      <c r="BZ295" s="0" t="n">
        <v>1.2885</v>
      </c>
      <c r="CA295" s="0" t="n">
        <v>2.001</v>
      </c>
      <c r="CB295" s="0" t="n">
        <v>1.609505</v>
      </c>
      <c r="CC295" s="0" t="n">
        <v>1.609505</v>
      </c>
      <c r="CD295" s="0" t="n">
        <v>1.319205</v>
      </c>
      <c r="CE295" s="0" t="n">
        <v>1.12733</v>
      </c>
      <c r="CF295" s="0" t="n">
        <v>1.501805</v>
      </c>
      <c r="CG295" s="188"/>
      <c r="CH295" s="0" t="n">
        <v>1.109975</v>
      </c>
      <c r="CI295" s="188"/>
      <c r="CJ295" s="188"/>
      <c r="CK295" s="188"/>
      <c r="CL295" s="188"/>
      <c r="CM295" s="188"/>
      <c r="CN295" s="188"/>
      <c r="CO295" s="188"/>
      <c r="CP295" s="0" t="n">
        <v>0.865</v>
      </c>
      <c r="CV295" s="0" t="n">
        <v>0.45</v>
      </c>
      <c r="CW295" s="0" t="n">
        <v>0.875</v>
      </c>
      <c r="CX295" s="0" t="n">
        <v>1</v>
      </c>
      <c r="CZ295" s="0" t="n">
        <v>0.785</v>
      </c>
      <c r="DA295" s="0" t="n">
        <v>0.8175</v>
      </c>
      <c r="DB295" s="0" t="n">
        <v>0.8</v>
      </c>
      <c r="DC295" s="0" t="n">
        <v>0.9</v>
      </c>
      <c r="DD295" s="0" t="n">
        <v>0.83</v>
      </c>
      <c r="DE295" s="0" t="n">
        <v>0.89</v>
      </c>
      <c r="DN295" s="188" t="n">
        <v>0.000285</v>
      </c>
      <c r="DO295" s="188" t="n">
        <v>0.0002</v>
      </c>
      <c r="DP295" s="188" t="n">
        <v>0</v>
      </c>
      <c r="DQ295" s="188" t="n">
        <v>0.0001</v>
      </c>
      <c r="DR295" s="188" t="n">
        <v>0</v>
      </c>
      <c r="DS295" s="188" t="n">
        <v>0.0036</v>
      </c>
      <c r="DT295" s="188" t="n">
        <v>0.00047</v>
      </c>
      <c r="DU295" s="188" t="n">
        <v>0.0007</v>
      </c>
      <c r="DV295" s="188" t="n">
        <v>0</v>
      </c>
      <c r="DW295" s="188" t="n">
        <v>0</v>
      </c>
      <c r="DX295" s="188" t="n">
        <v>0.0005</v>
      </c>
      <c r="DY295" s="188" t="n">
        <v>0.0005</v>
      </c>
      <c r="DZ295" s="188" t="n">
        <v>0.0003</v>
      </c>
      <c r="EA295" s="188" t="n">
        <v>0.000275</v>
      </c>
      <c r="EB295" s="188" t="n">
        <v>0.0004</v>
      </c>
      <c r="ED295" s="188" t="n">
        <v>6.5E-005</v>
      </c>
      <c r="EF295" s="0" t="n">
        <v>1</v>
      </c>
    </row>
    <row r="296" customFormat="false" ht="12.75" hidden="false" customHeight="false" outlineLevel="0" collapsed="false">
      <c r="A296" s="149" t="n">
        <v>45383</v>
      </c>
      <c r="B296" s="0" t="n">
        <v>0.98</v>
      </c>
      <c r="C296" s="0" t="n">
        <v>0</v>
      </c>
      <c r="E296" s="0" t="n">
        <v>0</v>
      </c>
      <c r="F296" s="0" t="n">
        <v>0</v>
      </c>
      <c r="G296" s="0" t="n">
        <v>0</v>
      </c>
      <c r="H296" s="0" t="n">
        <v>0.9875</v>
      </c>
      <c r="I296" s="0" t="n">
        <v>0.9875</v>
      </c>
      <c r="J296" s="0" t="n">
        <v>0.9805</v>
      </c>
      <c r="K296" s="0" t="n">
        <v>0</v>
      </c>
      <c r="L296" s="176" t="n">
        <v>0.9875</v>
      </c>
      <c r="M296" s="176" t="n">
        <v>0.9875</v>
      </c>
      <c r="N296" s="0" t="n">
        <v>0.98</v>
      </c>
      <c r="O296" s="0" t="n">
        <v>0.9875</v>
      </c>
      <c r="P296" s="0" t="n">
        <v>0.98</v>
      </c>
      <c r="Q296" s="177" t="n">
        <v>0.9875</v>
      </c>
      <c r="R296" s="0" t="n">
        <v>0.9875</v>
      </c>
      <c r="S296" s="176" t="n">
        <v>0.9875</v>
      </c>
      <c r="T296" s="0" t="n">
        <v>0.98</v>
      </c>
      <c r="U296" s="0" t="n">
        <v>0.98</v>
      </c>
      <c r="V296" s="0" t="n">
        <v>0.98</v>
      </c>
      <c r="W296" s="0" t="n">
        <v>0.98</v>
      </c>
      <c r="X296" s="0" t="n">
        <v>0.9875</v>
      </c>
      <c r="Y296" s="0" t="n">
        <v>0.9875</v>
      </c>
      <c r="Z296" s="0" t="n">
        <v>0.9875</v>
      </c>
      <c r="AA296" s="0" t="n">
        <v>0.9875</v>
      </c>
      <c r="AB296" s="0" t="n">
        <v>0.98</v>
      </c>
      <c r="AC296" s="0" t="n">
        <v>0.98</v>
      </c>
      <c r="AD296" s="0" t="n">
        <v>0.9875</v>
      </c>
      <c r="AE296" s="0" t="n">
        <v>0.9875</v>
      </c>
      <c r="AF296" s="0" t="n">
        <v>0.98</v>
      </c>
      <c r="AG296" s="0" t="n">
        <v>0.99</v>
      </c>
      <c r="AH296" s="0" t="n">
        <v>0.985</v>
      </c>
      <c r="AI296" s="0" t="n">
        <v>0.985</v>
      </c>
      <c r="AJ296" s="0" t="n">
        <v>0.98</v>
      </c>
      <c r="AK296" s="0" t="n">
        <v>1</v>
      </c>
      <c r="AL296" s="0" t="n">
        <v>0</v>
      </c>
      <c r="AM296" s="0" t="n">
        <v>0</v>
      </c>
      <c r="BB296" s="187" t="n">
        <v>1</v>
      </c>
      <c r="BC296" s="0" t="n">
        <v>1</v>
      </c>
      <c r="BD296" s="0" t="n">
        <v>1</v>
      </c>
      <c r="BE296" s="0" t="n">
        <v>1</v>
      </c>
      <c r="BF296" s="0" t="n">
        <v>0.9999</v>
      </c>
      <c r="BG296" s="0" t="n">
        <v>1</v>
      </c>
      <c r="BH296" s="0" t="n">
        <v>1</v>
      </c>
      <c r="BI296" s="0" t="n">
        <v>0.99</v>
      </c>
      <c r="BJ296" s="0" t="n">
        <v>0.999</v>
      </c>
      <c r="BK296" s="0" t="n">
        <v>0.998</v>
      </c>
      <c r="BL296" s="0" t="n">
        <v>0.9985</v>
      </c>
      <c r="BM296" s="0" t="n">
        <v>0.9985</v>
      </c>
      <c r="BN296" s="0" t="n">
        <v>0.972</v>
      </c>
      <c r="BO296" s="0" t="n">
        <v>0.9999</v>
      </c>
      <c r="BP296" s="0" t="n">
        <v>0.9999</v>
      </c>
      <c r="BQ296" s="0" t="n">
        <v>1</v>
      </c>
      <c r="BR296" s="0" t="n">
        <v>1.1467976</v>
      </c>
      <c r="BS296" s="0" t="n">
        <v>1.1472</v>
      </c>
      <c r="BT296" s="0" t="n">
        <v>1.0827</v>
      </c>
      <c r="BU296" s="0" t="n">
        <v>1.0339</v>
      </c>
      <c r="BV296" s="0" t="n">
        <v>1</v>
      </c>
      <c r="BW296" s="0" t="n">
        <v>2.8914</v>
      </c>
      <c r="BX296" s="0" t="n">
        <v>2.368396333</v>
      </c>
      <c r="BY296" s="0" t="n">
        <v>1.22225</v>
      </c>
      <c r="BZ296" s="0" t="n">
        <v>1.2885</v>
      </c>
      <c r="CA296" s="0" t="n">
        <v>2.001</v>
      </c>
      <c r="CB296" s="0" t="n">
        <v>1.610005</v>
      </c>
      <c r="CC296" s="0" t="n">
        <v>1.610005</v>
      </c>
      <c r="CD296" s="0" t="n">
        <v>1.319505</v>
      </c>
      <c r="CE296" s="0" t="n">
        <v>1.127605</v>
      </c>
      <c r="CF296" s="0" t="n">
        <v>1.502205</v>
      </c>
      <c r="CG296" s="188"/>
      <c r="CH296" s="0" t="n">
        <v>1.11004</v>
      </c>
      <c r="CI296" s="188"/>
      <c r="CJ296" s="188"/>
      <c r="CK296" s="188"/>
      <c r="CL296" s="188"/>
      <c r="CM296" s="188"/>
      <c r="CN296" s="188"/>
      <c r="CO296" s="188"/>
      <c r="CP296" s="0" t="n">
        <v>0.895</v>
      </c>
      <c r="CV296" s="0" t="n">
        <v>0.42</v>
      </c>
      <c r="CW296" s="0" t="n">
        <v>0.935</v>
      </c>
      <c r="CX296" s="0" t="n">
        <v>0.995</v>
      </c>
      <c r="CZ296" s="0" t="n">
        <v>0.895</v>
      </c>
      <c r="DA296" s="0" t="n">
        <v>0.9275</v>
      </c>
      <c r="DB296" s="0" t="n">
        <v>0.85</v>
      </c>
      <c r="DC296" s="0" t="n">
        <v>0.903</v>
      </c>
      <c r="DD296" s="0" t="n">
        <v>0.92</v>
      </c>
      <c r="DE296" s="0" t="n">
        <v>0.89</v>
      </c>
      <c r="DN296" s="188" t="n">
        <v>0.000285</v>
      </c>
      <c r="DO296" s="188" t="n">
        <v>0.0002</v>
      </c>
      <c r="DP296" s="188" t="n">
        <v>0</v>
      </c>
      <c r="DQ296" s="188" t="n">
        <v>0.0001</v>
      </c>
      <c r="DR296" s="188" t="n">
        <v>0</v>
      </c>
      <c r="DS296" s="188" t="n">
        <v>0.0036</v>
      </c>
      <c r="DT296" s="188" t="n">
        <v>0.00047</v>
      </c>
      <c r="DU296" s="188" t="n">
        <v>0.0007</v>
      </c>
      <c r="DV296" s="188" t="n">
        <v>0</v>
      </c>
      <c r="DW296" s="188" t="n">
        <v>0</v>
      </c>
      <c r="DX296" s="188" t="n">
        <v>0.0005</v>
      </c>
      <c r="DY296" s="188" t="n">
        <v>0.0005</v>
      </c>
      <c r="DZ296" s="188" t="n">
        <v>0.0003</v>
      </c>
      <c r="EA296" s="188" t="n">
        <v>0.000275</v>
      </c>
      <c r="EB296" s="188" t="n">
        <v>0.0004</v>
      </c>
      <c r="ED296" s="188" t="n">
        <v>6.5E-005</v>
      </c>
      <c r="EF296" s="0" t="n">
        <v>1</v>
      </c>
    </row>
    <row r="297" customFormat="false" ht="12.75" hidden="false" customHeight="false" outlineLevel="0" collapsed="false">
      <c r="A297" s="149" t="n">
        <v>45413</v>
      </c>
      <c r="B297" s="0" t="n">
        <v>0.98</v>
      </c>
      <c r="C297" s="0" t="n">
        <v>0</v>
      </c>
      <c r="E297" s="0" t="n">
        <v>0</v>
      </c>
      <c r="F297" s="0" t="n">
        <v>0</v>
      </c>
      <c r="G297" s="0" t="n">
        <v>0</v>
      </c>
      <c r="H297" s="0" t="n">
        <v>0.9875</v>
      </c>
      <c r="I297" s="0" t="n">
        <v>0.9875</v>
      </c>
      <c r="J297" s="0" t="n">
        <v>0.9805</v>
      </c>
      <c r="K297" s="0" t="n">
        <v>0</v>
      </c>
      <c r="L297" s="176" t="n">
        <v>0.9875</v>
      </c>
      <c r="M297" s="176" t="n">
        <v>0.9875</v>
      </c>
      <c r="N297" s="0" t="n">
        <v>0.98</v>
      </c>
      <c r="O297" s="0" t="n">
        <v>0.9875</v>
      </c>
      <c r="P297" s="0" t="n">
        <v>0.98</v>
      </c>
      <c r="Q297" s="177" t="n">
        <v>0.9875</v>
      </c>
      <c r="R297" s="0" t="n">
        <v>0.9875</v>
      </c>
      <c r="S297" s="176" t="n">
        <v>0.9875</v>
      </c>
      <c r="T297" s="0" t="n">
        <v>0.98</v>
      </c>
      <c r="U297" s="0" t="n">
        <v>0.98</v>
      </c>
      <c r="V297" s="0" t="n">
        <v>0.98</v>
      </c>
      <c r="W297" s="0" t="n">
        <v>0.98</v>
      </c>
      <c r="X297" s="0" t="n">
        <v>0.9875</v>
      </c>
      <c r="Y297" s="0" t="n">
        <v>0.9875</v>
      </c>
      <c r="Z297" s="0" t="n">
        <v>0.9875</v>
      </c>
      <c r="AA297" s="0" t="n">
        <v>0.9875</v>
      </c>
      <c r="AB297" s="0" t="n">
        <v>0.98</v>
      </c>
      <c r="AC297" s="0" t="n">
        <v>0.98</v>
      </c>
      <c r="AD297" s="0" t="n">
        <v>0.9875</v>
      </c>
      <c r="AE297" s="0" t="n">
        <v>0.9875</v>
      </c>
      <c r="AF297" s="0" t="n">
        <v>0.98</v>
      </c>
      <c r="AG297" s="0" t="n">
        <v>0.99</v>
      </c>
      <c r="AH297" s="0" t="n">
        <v>0.985</v>
      </c>
      <c r="AI297" s="0" t="n">
        <v>0.985</v>
      </c>
      <c r="AJ297" s="0" t="n">
        <v>0.98</v>
      </c>
      <c r="AK297" s="0" t="n">
        <v>1</v>
      </c>
      <c r="AL297" s="0" t="n">
        <v>0</v>
      </c>
      <c r="AM297" s="0" t="n">
        <v>0</v>
      </c>
      <c r="BB297" s="187" t="n">
        <v>1</v>
      </c>
      <c r="BC297" s="0" t="n">
        <v>1</v>
      </c>
      <c r="BD297" s="0" t="n">
        <v>1</v>
      </c>
      <c r="BE297" s="0" t="n">
        <v>1</v>
      </c>
      <c r="BF297" s="0" t="n">
        <v>0.9999</v>
      </c>
      <c r="BG297" s="0" t="n">
        <v>1</v>
      </c>
      <c r="BH297" s="0" t="n">
        <v>1</v>
      </c>
      <c r="BI297" s="0" t="n">
        <v>0.99</v>
      </c>
      <c r="BJ297" s="0" t="n">
        <v>0.999</v>
      </c>
      <c r="BK297" s="0" t="n">
        <v>0.998</v>
      </c>
      <c r="BL297" s="0" t="n">
        <v>0.9985</v>
      </c>
      <c r="BM297" s="0" t="n">
        <v>0.9985</v>
      </c>
      <c r="BN297" s="0" t="n">
        <v>0.972</v>
      </c>
      <c r="BO297" s="0" t="n">
        <v>0.9999</v>
      </c>
      <c r="BP297" s="0" t="n">
        <v>0.9999</v>
      </c>
      <c r="BQ297" s="0" t="n">
        <v>1</v>
      </c>
      <c r="BR297" s="0" t="n">
        <v>1.1470826</v>
      </c>
      <c r="BS297" s="0" t="n">
        <v>1.1474</v>
      </c>
      <c r="BT297" s="0" t="n">
        <v>1.0827</v>
      </c>
      <c r="BU297" s="0" t="n">
        <v>1.034</v>
      </c>
      <c r="BV297" s="0" t="n">
        <v>1</v>
      </c>
      <c r="BW297" s="0" t="n">
        <v>2.895</v>
      </c>
      <c r="BX297" s="0" t="n">
        <v>2.368866333</v>
      </c>
      <c r="BY297" s="0" t="n">
        <v>1.22295</v>
      </c>
      <c r="BZ297" s="0" t="n">
        <v>1.2885</v>
      </c>
      <c r="CA297" s="0" t="n">
        <v>2.001</v>
      </c>
      <c r="CB297" s="0" t="n">
        <v>1.610505</v>
      </c>
      <c r="CC297" s="0" t="n">
        <v>1.610505</v>
      </c>
      <c r="CD297" s="0" t="n">
        <v>1.319805</v>
      </c>
      <c r="CE297" s="0" t="n">
        <v>1.12788</v>
      </c>
      <c r="CF297" s="0" t="n">
        <v>1.502605</v>
      </c>
      <c r="CG297" s="188"/>
      <c r="CH297" s="0" t="n">
        <v>1.110105</v>
      </c>
      <c r="CI297" s="188"/>
      <c r="CJ297" s="188"/>
      <c r="CK297" s="188"/>
      <c r="CL297" s="188"/>
      <c r="CM297" s="188"/>
      <c r="CN297" s="188"/>
      <c r="CO297" s="188"/>
      <c r="CP297" s="0" t="n">
        <v>0.965</v>
      </c>
      <c r="CV297" s="0" t="n">
        <v>0.42</v>
      </c>
      <c r="CW297" s="0" t="n">
        <v>0.935</v>
      </c>
      <c r="CX297" s="0" t="n">
        <v>0.895</v>
      </c>
      <c r="CZ297" s="0" t="n">
        <v>0.9175</v>
      </c>
      <c r="DA297" s="0" t="n">
        <v>0.95</v>
      </c>
      <c r="DB297" s="0" t="n">
        <v>0.88</v>
      </c>
      <c r="DC297" s="0" t="n">
        <v>0.9</v>
      </c>
      <c r="DD297" s="0" t="n">
        <v>0.935</v>
      </c>
      <c r="DE297" s="0" t="n">
        <v>0.89</v>
      </c>
      <c r="DN297" s="188" t="n">
        <v>0.000285</v>
      </c>
      <c r="DO297" s="188" t="n">
        <v>0.0002</v>
      </c>
      <c r="DP297" s="188" t="n">
        <v>0</v>
      </c>
      <c r="DQ297" s="188" t="n">
        <v>0.0001</v>
      </c>
      <c r="DR297" s="188" t="n">
        <v>0</v>
      </c>
      <c r="DS297" s="188" t="n">
        <v>0.0036</v>
      </c>
      <c r="DT297" s="188" t="n">
        <v>0.00047</v>
      </c>
      <c r="DU297" s="188" t="n">
        <v>0.0007</v>
      </c>
      <c r="DV297" s="188" t="n">
        <v>0</v>
      </c>
      <c r="DW297" s="188" t="n">
        <v>0</v>
      </c>
      <c r="DX297" s="188" t="n">
        <v>0.0005</v>
      </c>
      <c r="DY297" s="188" t="n">
        <v>0.0005</v>
      </c>
      <c r="DZ297" s="188" t="n">
        <v>0.0003</v>
      </c>
      <c r="EA297" s="188" t="n">
        <v>0.000275</v>
      </c>
      <c r="EB297" s="188" t="n">
        <v>0.0004</v>
      </c>
      <c r="ED297" s="188" t="n">
        <v>6.5E-005</v>
      </c>
      <c r="EF297" s="0" t="n">
        <v>1</v>
      </c>
    </row>
    <row r="298" customFormat="false" ht="12.75" hidden="false" customHeight="false" outlineLevel="0" collapsed="false">
      <c r="A298" s="149" t="n">
        <v>45444</v>
      </c>
      <c r="B298" s="0" t="n">
        <v>0.98</v>
      </c>
      <c r="C298" s="0" t="n">
        <v>0</v>
      </c>
      <c r="E298" s="0" t="n">
        <v>0</v>
      </c>
      <c r="F298" s="0" t="n">
        <v>0</v>
      </c>
      <c r="G298" s="0" t="n">
        <v>0</v>
      </c>
      <c r="H298" s="0" t="n">
        <v>0.9875</v>
      </c>
      <c r="I298" s="0" t="n">
        <v>0.9875</v>
      </c>
      <c r="J298" s="0" t="n">
        <v>0.9805</v>
      </c>
      <c r="K298" s="0" t="n">
        <v>0</v>
      </c>
      <c r="L298" s="176" t="n">
        <v>0.9875</v>
      </c>
      <c r="M298" s="176" t="n">
        <v>0.9875</v>
      </c>
      <c r="N298" s="0" t="n">
        <v>0.98</v>
      </c>
      <c r="O298" s="0" t="n">
        <v>0.9875</v>
      </c>
      <c r="P298" s="0" t="n">
        <v>0.98</v>
      </c>
      <c r="Q298" s="177" t="n">
        <v>0.9875</v>
      </c>
      <c r="R298" s="0" t="n">
        <v>0.9875</v>
      </c>
      <c r="S298" s="176" t="n">
        <v>0.9875</v>
      </c>
      <c r="T298" s="0" t="n">
        <v>0.98</v>
      </c>
      <c r="U298" s="0" t="n">
        <v>0.98</v>
      </c>
      <c r="V298" s="0" t="n">
        <v>0.98</v>
      </c>
      <c r="W298" s="0" t="n">
        <v>0.98</v>
      </c>
      <c r="X298" s="0" t="n">
        <v>0.9875</v>
      </c>
      <c r="Y298" s="0" t="n">
        <v>0.9875</v>
      </c>
      <c r="Z298" s="0" t="n">
        <v>0.9875</v>
      </c>
      <c r="AA298" s="0" t="n">
        <v>0.9875</v>
      </c>
      <c r="AB298" s="0" t="n">
        <v>0.98</v>
      </c>
      <c r="AC298" s="0" t="n">
        <v>0.98</v>
      </c>
      <c r="AD298" s="0" t="n">
        <v>0.9875</v>
      </c>
      <c r="AE298" s="0" t="n">
        <v>0.9875</v>
      </c>
      <c r="AF298" s="0" t="n">
        <v>0.98</v>
      </c>
      <c r="AG298" s="0" t="n">
        <v>0.99</v>
      </c>
      <c r="AH298" s="0" t="n">
        <v>0.985</v>
      </c>
      <c r="AI298" s="0" t="n">
        <v>0.985</v>
      </c>
      <c r="AJ298" s="0" t="n">
        <v>0.98</v>
      </c>
      <c r="AK298" s="0" t="n">
        <v>1</v>
      </c>
      <c r="AL298" s="0" t="n">
        <v>0</v>
      </c>
      <c r="AM298" s="0" t="n">
        <v>0</v>
      </c>
      <c r="BB298" s="187" t="n">
        <v>1</v>
      </c>
      <c r="BC298" s="0" t="n">
        <v>1</v>
      </c>
      <c r="BD298" s="0" t="n">
        <v>1</v>
      </c>
      <c r="BE298" s="0" t="n">
        <v>1</v>
      </c>
      <c r="BF298" s="0" t="n">
        <v>0.9999</v>
      </c>
      <c r="BG298" s="0" t="n">
        <v>1</v>
      </c>
      <c r="BH298" s="0" t="n">
        <v>1</v>
      </c>
      <c r="BI298" s="0" t="n">
        <v>0.99</v>
      </c>
      <c r="BJ298" s="0" t="n">
        <v>0.999</v>
      </c>
      <c r="BK298" s="0" t="n">
        <v>0.998</v>
      </c>
      <c r="BL298" s="0" t="n">
        <v>0.9985</v>
      </c>
      <c r="BM298" s="0" t="n">
        <v>0.9985</v>
      </c>
      <c r="BN298" s="0" t="n">
        <v>0.972</v>
      </c>
      <c r="BO298" s="0" t="n">
        <v>0.9999</v>
      </c>
      <c r="BP298" s="0" t="n">
        <v>0.9999</v>
      </c>
      <c r="BQ298" s="0" t="n">
        <v>1</v>
      </c>
      <c r="BR298" s="0" t="n">
        <v>1.1473676</v>
      </c>
      <c r="BS298" s="0" t="n">
        <v>1.1476</v>
      </c>
      <c r="BT298" s="0" t="n">
        <v>1.0827</v>
      </c>
      <c r="BU298" s="0" t="n">
        <v>1.0341</v>
      </c>
      <c r="BV298" s="0" t="n">
        <v>1</v>
      </c>
      <c r="BW298" s="0" t="n">
        <v>2.8986</v>
      </c>
      <c r="BX298" s="0" t="n">
        <v>2.369336333</v>
      </c>
      <c r="BY298" s="0" t="n">
        <v>1.22365</v>
      </c>
      <c r="BZ298" s="0" t="n">
        <v>1.2885</v>
      </c>
      <c r="CA298" s="0" t="n">
        <v>2.001</v>
      </c>
      <c r="CB298" s="0" t="n">
        <v>1.611005</v>
      </c>
      <c r="CC298" s="0" t="n">
        <v>1.611005</v>
      </c>
      <c r="CD298" s="0" t="n">
        <v>1.320105</v>
      </c>
      <c r="CE298" s="0" t="n">
        <v>1.128155</v>
      </c>
      <c r="CF298" s="0" t="n">
        <v>1.503005</v>
      </c>
      <c r="CG298" s="188"/>
      <c r="CH298" s="0" t="n">
        <v>1.11017</v>
      </c>
      <c r="CI298" s="188"/>
      <c r="CJ298" s="188"/>
      <c r="CK298" s="188"/>
      <c r="CL298" s="188"/>
      <c r="CM298" s="188"/>
      <c r="CN298" s="188"/>
      <c r="CO298" s="188"/>
      <c r="CP298" s="0" t="n">
        <v>0.965</v>
      </c>
      <c r="CV298" s="0" t="n">
        <v>0.47</v>
      </c>
      <c r="CW298" s="0" t="n">
        <v>0.935</v>
      </c>
      <c r="CX298" s="0" t="n">
        <v>0.805</v>
      </c>
      <c r="CZ298" s="0" t="n">
        <v>0.8825</v>
      </c>
      <c r="DA298" s="0" t="n">
        <v>0.915</v>
      </c>
      <c r="DB298" s="0" t="n">
        <v>0.88</v>
      </c>
      <c r="DC298" s="0" t="n">
        <v>0.9025</v>
      </c>
      <c r="DD298" s="0" t="n">
        <v>0.915</v>
      </c>
      <c r="DE298" s="0" t="n">
        <v>0.89</v>
      </c>
      <c r="DN298" s="188" t="n">
        <v>0.000285</v>
      </c>
      <c r="DO298" s="188" t="n">
        <v>0.0002</v>
      </c>
      <c r="DP298" s="188" t="n">
        <v>0</v>
      </c>
      <c r="DQ298" s="188" t="n">
        <v>0.0001</v>
      </c>
      <c r="DR298" s="188" t="n">
        <v>0</v>
      </c>
      <c r="DS298" s="188" t="n">
        <v>0.0036</v>
      </c>
      <c r="DT298" s="188" t="n">
        <v>0.00047</v>
      </c>
      <c r="DU298" s="188" t="n">
        <v>0.0007</v>
      </c>
      <c r="DV298" s="188" t="n">
        <v>0</v>
      </c>
      <c r="DW298" s="188" t="n">
        <v>0</v>
      </c>
      <c r="DX298" s="188" t="n">
        <v>0.0005</v>
      </c>
      <c r="DY298" s="188" t="n">
        <v>0.0005</v>
      </c>
      <c r="DZ298" s="188" t="n">
        <v>0.0003</v>
      </c>
      <c r="EA298" s="188" t="n">
        <v>0.000275</v>
      </c>
      <c r="EB298" s="188" t="n">
        <v>0.0004</v>
      </c>
      <c r="ED298" s="188" t="n">
        <v>6.5E-005</v>
      </c>
      <c r="EF298" s="0" t="n">
        <v>1</v>
      </c>
    </row>
    <row r="299" customFormat="false" ht="12.75" hidden="false" customHeight="false" outlineLevel="0" collapsed="false">
      <c r="A299" s="149" t="n">
        <v>45474</v>
      </c>
      <c r="B299" s="0" t="n">
        <v>0.98</v>
      </c>
      <c r="C299" s="0" t="n">
        <v>0</v>
      </c>
      <c r="E299" s="0" t="n">
        <v>0</v>
      </c>
      <c r="F299" s="0" t="n">
        <v>0</v>
      </c>
      <c r="G299" s="0" t="n">
        <v>0</v>
      </c>
      <c r="H299" s="0" t="n">
        <v>0.9875</v>
      </c>
      <c r="I299" s="0" t="n">
        <v>0.9875</v>
      </c>
      <c r="J299" s="0" t="n">
        <v>0.9805</v>
      </c>
      <c r="K299" s="0" t="n">
        <v>0</v>
      </c>
      <c r="L299" s="176" t="n">
        <v>0.9875</v>
      </c>
      <c r="M299" s="176" t="n">
        <v>0.9875</v>
      </c>
      <c r="N299" s="0" t="n">
        <v>0.98</v>
      </c>
      <c r="O299" s="0" t="n">
        <v>0.9875</v>
      </c>
      <c r="P299" s="0" t="n">
        <v>0.98</v>
      </c>
      <c r="Q299" s="177" t="n">
        <v>0.9875</v>
      </c>
      <c r="AG299" s="0" t="n">
        <v>0.99</v>
      </c>
      <c r="AH299" s="0" t="n">
        <v>0.985</v>
      </c>
      <c r="AI299" s="0" t="n">
        <v>0.985</v>
      </c>
      <c r="AJ299" s="0" t="n">
        <v>0</v>
      </c>
      <c r="AK299" s="0" t="n">
        <v>1</v>
      </c>
      <c r="AL299" s="0" t="n">
        <v>0</v>
      </c>
      <c r="AM299" s="0" t="n">
        <v>0</v>
      </c>
      <c r="BB299" s="187" t="n">
        <v>1</v>
      </c>
      <c r="BC299" s="0" t="n">
        <v>1</v>
      </c>
      <c r="BD299" s="0" t="n">
        <v>1</v>
      </c>
      <c r="BE299" s="0" t="n">
        <v>1</v>
      </c>
      <c r="BF299" s="0" t="n">
        <v>0.9999</v>
      </c>
      <c r="BG299" s="0" t="n">
        <v>1</v>
      </c>
      <c r="BH299" s="0" t="n">
        <v>1</v>
      </c>
      <c r="BI299" s="0" t="n">
        <v>0.99</v>
      </c>
      <c r="BJ299" s="0" t="n">
        <v>0.999</v>
      </c>
      <c r="BK299" s="0" t="n">
        <v>0.998</v>
      </c>
      <c r="BL299" s="0" t="n">
        <v>0.9985</v>
      </c>
      <c r="BM299" s="0" t="n">
        <v>0.9985</v>
      </c>
      <c r="BN299" s="0" t="n">
        <v>0.972</v>
      </c>
      <c r="BO299" s="0" t="n">
        <v>0.9999</v>
      </c>
      <c r="BP299" s="0" t="n">
        <v>0.9999</v>
      </c>
      <c r="BQ299" s="0" t="n">
        <v>1</v>
      </c>
      <c r="BR299" s="0" t="n">
        <v>1.1476526</v>
      </c>
      <c r="BS299" s="0" t="n">
        <v>1.1478</v>
      </c>
      <c r="BT299" s="0" t="n">
        <v>1.0827</v>
      </c>
      <c r="BU299" s="0" t="n">
        <v>1.0342</v>
      </c>
      <c r="BV299" s="0" t="n">
        <v>1</v>
      </c>
      <c r="BW299" s="0" t="n">
        <v>2.9022</v>
      </c>
      <c r="BX299" s="0" t="n">
        <v>2.369806333</v>
      </c>
      <c r="BY299" s="0" t="n">
        <v>1.22435</v>
      </c>
      <c r="BZ299" s="0" t="n">
        <v>1.2885</v>
      </c>
      <c r="CA299" s="0" t="n">
        <v>2.001</v>
      </c>
      <c r="CB299" s="0" t="n">
        <v>1.611505</v>
      </c>
      <c r="CC299" s="0" t="n">
        <v>1.611505</v>
      </c>
      <c r="CD299" s="0" t="n">
        <v>1.320405</v>
      </c>
      <c r="CE299" s="0" t="n">
        <v>1.12843</v>
      </c>
      <c r="CF299" s="0" t="n">
        <v>1.503405</v>
      </c>
      <c r="CH299" s="0" t="n">
        <v>1.110235</v>
      </c>
      <c r="CP299" s="0" t="n">
        <v>0.975</v>
      </c>
      <c r="CV299" s="0" t="n">
        <v>0.47</v>
      </c>
      <c r="CW299" s="0" t="n">
        <v>0.935</v>
      </c>
      <c r="CZ299" s="0" t="n">
        <v>0.8775</v>
      </c>
      <c r="DA299" s="0" t="n">
        <v>0.91</v>
      </c>
      <c r="DB299" s="0" t="n">
        <v>0.89</v>
      </c>
      <c r="DC299" s="0" t="n">
        <v>0.9075</v>
      </c>
      <c r="DD299" s="0" t="n">
        <v>0.915</v>
      </c>
      <c r="DE299" s="0" t="n">
        <v>0.89</v>
      </c>
      <c r="DN299" s="188" t="n">
        <v>0.000285</v>
      </c>
      <c r="DO299" s="188" t="n">
        <v>0.0002</v>
      </c>
      <c r="DP299" s="188" t="n">
        <v>0</v>
      </c>
      <c r="DQ299" s="188" t="n">
        <v>0.0001</v>
      </c>
      <c r="DR299" s="188" t="n">
        <v>0</v>
      </c>
      <c r="DS299" s="188" t="n">
        <v>0.0036</v>
      </c>
      <c r="DT299" s="188" t="n">
        <v>0.00047</v>
      </c>
      <c r="DU299" s="188" t="n">
        <v>0.0007</v>
      </c>
      <c r="DV299" s="188" t="n">
        <v>0</v>
      </c>
      <c r="DW299" s="188" t="n">
        <v>0</v>
      </c>
      <c r="DX299" s="188" t="n">
        <v>0.0005</v>
      </c>
      <c r="DY299" s="188" t="n">
        <v>0.0005</v>
      </c>
      <c r="DZ299" s="188" t="n">
        <v>0.0003</v>
      </c>
      <c r="EA299" s="188" t="n">
        <v>0.000275</v>
      </c>
      <c r="EB299" s="188" t="n">
        <v>0.0004</v>
      </c>
      <c r="ED299" s="188" t="n">
        <v>6.5E-005</v>
      </c>
      <c r="EF299" s="0" t="n">
        <v>1</v>
      </c>
    </row>
    <row r="300" customFormat="false" ht="12.75" hidden="false" customHeight="false" outlineLevel="0" collapsed="false">
      <c r="A300" s="149" t="n">
        <v>45505</v>
      </c>
      <c r="B300" s="0" t="n">
        <v>0.98</v>
      </c>
      <c r="C300" s="0" t="n">
        <v>0</v>
      </c>
      <c r="E300" s="0" t="n">
        <v>0</v>
      </c>
      <c r="F300" s="0" t="n">
        <v>0</v>
      </c>
      <c r="G300" s="0" t="n">
        <v>0</v>
      </c>
      <c r="H300" s="0" t="n">
        <v>0.9875</v>
      </c>
      <c r="I300" s="0" t="n">
        <v>0.9875</v>
      </c>
      <c r="J300" s="0" t="n">
        <v>0.9805</v>
      </c>
      <c r="K300" s="0" t="n">
        <v>0</v>
      </c>
      <c r="L300" s="176" t="n">
        <v>0.9875</v>
      </c>
      <c r="M300" s="176" t="n">
        <v>0.9875</v>
      </c>
      <c r="N300" s="0" t="n">
        <v>0.98</v>
      </c>
      <c r="O300" s="0" t="n">
        <v>0.9875</v>
      </c>
      <c r="P300" s="0" t="n">
        <v>0.98</v>
      </c>
      <c r="Q300" s="177" t="n">
        <v>0.9875</v>
      </c>
      <c r="AG300" s="0" t="n">
        <v>0.99</v>
      </c>
      <c r="AH300" s="0" t="n">
        <v>0.985</v>
      </c>
      <c r="AI300" s="0" t="n">
        <v>0.985</v>
      </c>
      <c r="AJ300" s="0" t="n">
        <v>0</v>
      </c>
      <c r="AK300" s="0" t="n">
        <v>1</v>
      </c>
      <c r="AL300" s="0" t="n">
        <v>0</v>
      </c>
      <c r="AM300" s="0" t="n">
        <v>0</v>
      </c>
      <c r="BB300" s="187" t="n">
        <v>1</v>
      </c>
      <c r="BC300" s="0" t="n">
        <v>1</v>
      </c>
      <c r="BD300" s="0" t="n">
        <v>1</v>
      </c>
      <c r="BE300" s="0" t="n">
        <v>1</v>
      </c>
      <c r="BF300" s="0" t="n">
        <v>0.9999</v>
      </c>
      <c r="BG300" s="0" t="n">
        <v>1</v>
      </c>
      <c r="BH300" s="0" t="n">
        <v>1</v>
      </c>
      <c r="BI300" s="0" t="n">
        <v>0.99</v>
      </c>
      <c r="BJ300" s="0" t="n">
        <v>0.999</v>
      </c>
      <c r="BK300" s="0" t="n">
        <v>0.998</v>
      </c>
      <c r="BL300" s="0" t="n">
        <v>0.9985</v>
      </c>
      <c r="BM300" s="0" t="n">
        <v>0.9985</v>
      </c>
      <c r="BN300" s="0" t="n">
        <v>0.972</v>
      </c>
      <c r="BO300" s="0" t="n">
        <v>0.9999</v>
      </c>
      <c r="BP300" s="0" t="n">
        <v>0.9999</v>
      </c>
      <c r="BQ300" s="0" t="n">
        <v>1</v>
      </c>
      <c r="BR300" s="0" t="n">
        <v>1.1479376</v>
      </c>
      <c r="BS300" s="0" t="n">
        <v>1.148</v>
      </c>
      <c r="BT300" s="0" t="n">
        <v>1.0827</v>
      </c>
      <c r="BU300" s="0" t="n">
        <v>1.0343</v>
      </c>
      <c r="BV300" s="0" t="n">
        <v>1</v>
      </c>
      <c r="BW300" s="0" t="n">
        <v>2.9058</v>
      </c>
      <c r="BX300" s="0" t="n">
        <v>2.370276333</v>
      </c>
      <c r="BY300" s="0" t="n">
        <v>1.22505</v>
      </c>
      <c r="BZ300" s="0" t="n">
        <v>1.2885</v>
      </c>
      <c r="CA300" s="0" t="n">
        <v>2.001</v>
      </c>
      <c r="CB300" s="0" t="n">
        <v>1.612005</v>
      </c>
      <c r="CC300" s="0" t="n">
        <v>1.612005</v>
      </c>
      <c r="CD300" s="0" t="n">
        <v>1.320705</v>
      </c>
      <c r="CE300" s="0" t="n">
        <v>1.128705</v>
      </c>
      <c r="CF300" s="0" t="n">
        <v>1.503805</v>
      </c>
      <c r="CH300" s="0" t="n">
        <v>1.1103</v>
      </c>
      <c r="CP300" s="0" t="n">
        <v>0.975</v>
      </c>
      <c r="CV300" s="0" t="n">
        <v>0.52</v>
      </c>
      <c r="CW300" s="0" t="n">
        <v>0.925</v>
      </c>
      <c r="CZ300" s="0" t="n">
        <v>0.89</v>
      </c>
      <c r="DA300" s="0" t="n">
        <v>0.9225</v>
      </c>
      <c r="DB300" s="0" t="n">
        <v>0.915</v>
      </c>
      <c r="DC300" s="0" t="n">
        <v>0.9275</v>
      </c>
      <c r="DD300" s="0" t="n">
        <v>0.915</v>
      </c>
      <c r="DE300" s="0" t="n">
        <v>0.89</v>
      </c>
      <c r="DN300" s="188" t="n">
        <v>0.000285</v>
      </c>
      <c r="DO300" s="188" t="n">
        <v>0.0002</v>
      </c>
      <c r="DP300" s="188" t="n">
        <v>0</v>
      </c>
      <c r="DQ300" s="188" t="n">
        <v>0.0001</v>
      </c>
      <c r="DR300" s="188" t="n">
        <v>0</v>
      </c>
      <c r="DS300" s="188" t="n">
        <v>0.0036</v>
      </c>
      <c r="DT300" s="188" t="n">
        <v>0.00047</v>
      </c>
      <c r="DU300" s="188" t="n">
        <v>0.0007</v>
      </c>
      <c r="DV300" s="188" t="n">
        <v>0</v>
      </c>
      <c r="DW300" s="188" t="n">
        <v>0</v>
      </c>
      <c r="DX300" s="188" t="n">
        <v>0.0005</v>
      </c>
      <c r="DY300" s="188" t="n">
        <v>0.0005</v>
      </c>
      <c r="DZ300" s="188" t="n">
        <v>0.0003</v>
      </c>
      <c r="EA300" s="188" t="n">
        <v>0.000275</v>
      </c>
      <c r="EB300" s="188" t="n">
        <v>0.0004</v>
      </c>
      <c r="ED300" s="188" t="n">
        <v>6.5E-005</v>
      </c>
      <c r="EF300" s="0" t="n">
        <v>1</v>
      </c>
    </row>
    <row r="301" customFormat="false" ht="12.75" hidden="false" customHeight="false" outlineLevel="0" collapsed="false">
      <c r="A301" s="149" t="n">
        <v>45536</v>
      </c>
      <c r="B301" s="0" t="n">
        <v>0.98</v>
      </c>
      <c r="C301" s="0" t="n">
        <v>0</v>
      </c>
      <c r="E301" s="0" t="n">
        <v>0</v>
      </c>
      <c r="F301" s="0" t="n">
        <v>0</v>
      </c>
      <c r="G301" s="0" t="n">
        <v>0</v>
      </c>
      <c r="H301" s="0" t="n">
        <v>0.9875</v>
      </c>
      <c r="I301" s="0" t="n">
        <v>0.9875</v>
      </c>
      <c r="J301" s="0" t="n">
        <v>0.9805</v>
      </c>
      <c r="K301" s="0" t="n">
        <v>0</v>
      </c>
      <c r="L301" s="176" t="n">
        <v>0.9875</v>
      </c>
      <c r="M301" s="176" t="n">
        <v>0.9875</v>
      </c>
      <c r="N301" s="0" t="n">
        <v>0.98</v>
      </c>
      <c r="O301" s="0" t="n">
        <v>0.9875</v>
      </c>
      <c r="P301" s="0" t="n">
        <v>0.98</v>
      </c>
      <c r="Q301" s="177" t="n">
        <v>0.9875</v>
      </c>
      <c r="AG301" s="0" t="n">
        <v>0.99</v>
      </c>
      <c r="AH301" s="0" t="n">
        <v>0.985</v>
      </c>
      <c r="AI301" s="0" t="n">
        <v>0.985</v>
      </c>
      <c r="AJ301" s="0" t="n">
        <v>0</v>
      </c>
      <c r="AK301" s="0" t="n">
        <v>1</v>
      </c>
      <c r="AL301" s="0" t="n">
        <v>0</v>
      </c>
      <c r="AM301" s="0" t="n">
        <v>0</v>
      </c>
      <c r="BB301" s="187" t="n">
        <v>1</v>
      </c>
      <c r="BC301" s="0" t="n">
        <v>1</v>
      </c>
      <c r="BD301" s="0" t="n">
        <v>1</v>
      </c>
      <c r="BE301" s="0" t="n">
        <v>1</v>
      </c>
      <c r="BF301" s="0" t="n">
        <v>0.9999</v>
      </c>
      <c r="BG301" s="0" t="n">
        <v>1</v>
      </c>
      <c r="BH301" s="0" t="n">
        <v>1</v>
      </c>
      <c r="BI301" s="0" t="n">
        <v>0.99</v>
      </c>
      <c r="BJ301" s="0" t="n">
        <v>0.999</v>
      </c>
      <c r="BK301" s="0" t="n">
        <v>0.998</v>
      </c>
      <c r="BL301" s="0" t="n">
        <v>0.9985</v>
      </c>
      <c r="BM301" s="0" t="n">
        <v>0.9985</v>
      </c>
      <c r="BN301" s="0" t="n">
        <v>0.972</v>
      </c>
      <c r="BO301" s="0" t="n">
        <v>0.9999</v>
      </c>
      <c r="BP301" s="0" t="n">
        <v>0.9999</v>
      </c>
      <c r="BQ301" s="0" t="n">
        <v>1</v>
      </c>
      <c r="BR301" s="0" t="n">
        <v>1.1482226</v>
      </c>
      <c r="BS301" s="0" t="n">
        <v>1.1482</v>
      </c>
      <c r="BT301" s="0" t="n">
        <v>1.0827</v>
      </c>
      <c r="BU301" s="0" t="n">
        <v>1.0344</v>
      </c>
      <c r="BV301" s="0" t="n">
        <v>1</v>
      </c>
      <c r="BW301" s="0" t="n">
        <v>2.9094</v>
      </c>
      <c r="BX301" s="0" t="n">
        <v>2.370746333</v>
      </c>
      <c r="BY301" s="0" t="n">
        <v>1.22575</v>
      </c>
      <c r="BZ301" s="0" t="n">
        <v>1.2885</v>
      </c>
      <c r="CA301" s="0" t="n">
        <v>2.001</v>
      </c>
      <c r="CB301" s="0" t="n">
        <v>1.612505</v>
      </c>
      <c r="CC301" s="0" t="n">
        <v>1.612505</v>
      </c>
      <c r="CD301" s="0" t="n">
        <v>1.321005</v>
      </c>
      <c r="CE301" s="0" t="n">
        <v>1.12898</v>
      </c>
      <c r="CF301" s="0" t="n">
        <v>1.504205</v>
      </c>
      <c r="CH301" s="0" t="n">
        <v>1.110365</v>
      </c>
      <c r="CP301" s="0" t="n">
        <v>0.975</v>
      </c>
      <c r="CV301" s="0" t="n">
        <v>0.55</v>
      </c>
      <c r="CW301" s="0" t="n">
        <v>0.925</v>
      </c>
      <c r="CZ301" s="0" t="n">
        <v>0.945</v>
      </c>
      <c r="DA301" s="0" t="n">
        <v>0.9775</v>
      </c>
      <c r="DB301" s="0" t="n">
        <v>0.945</v>
      </c>
      <c r="DC301" s="0" t="n">
        <v>0.92</v>
      </c>
      <c r="DD301" s="0" t="n">
        <v>0.915</v>
      </c>
      <c r="DE301" s="0" t="n">
        <v>0.89</v>
      </c>
      <c r="DN301" s="188" t="n">
        <v>0.000285</v>
      </c>
      <c r="DO301" s="188" t="n">
        <v>0.0002</v>
      </c>
      <c r="DP301" s="188" t="n">
        <v>0</v>
      </c>
      <c r="DQ301" s="188" t="n">
        <v>0.0001</v>
      </c>
      <c r="DR301" s="188" t="n">
        <v>0</v>
      </c>
      <c r="DS301" s="188" t="n">
        <v>0.0036</v>
      </c>
      <c r="DT301" s="188" t="n">
        <v>0.00047</v>
      </c>
      <c r="DU301" s="188" t="n">
        <v>0.0007</v>
      </c>
      <c r="DV301" s="188" t="n">
        <v>0</v>
      </c>
      <c r="DW301" s="188" t="n">
        <v>0</v>
      </c>
      <c r="DX301" s="188" t="n">
        <v>0.0005</v>
      </c>
      <c r="DY301" s="188" t="n">
        <v>0.0005</v>
      </c>
      <c r="DZ301" s="188" t="n">
        <v>0.0003</v>
      </c>
      <c r="EA301" s="188" t="n">
        <v>0.000275</v>
      </c>
      <c r="EB301" s="188" t="n">
        <v>0.0004</v>
      </c>
      <c r="ED301" s="188" t="n">
        <v>6.5E-005</v>
      </c>
      <c r="EF301" s="0" t="n">
        <v>1</v>
      </c>
    </row>
    <row r="302" customFormat="false" ht="12.75" hidden="false" customHeight="false" outlineLevel="0" collapsed="false">
      <c r="A302" s="149" t="n">
        <v>45566</v>
      </c>
      <c r="B302" s="0" t="n">
        <v>0.98</v>
      </c>
      <c r="C302" s="0" t="n">
        <v>0</v>
      </c>
      <c r="E302" s="0" t="n">
        <v>0</v>
      </c>
      <c r="F302" s="0" t="n">
        <v>0</v>
      </c>
      <c r="G302" s="0" t="n">
        <v>0</v>
      </c>
      <c r="H302" s="0" t="n">
        <v>0.9875</v>
      </c>
      <c r="I302" s="0" t="n">
        <v>0.9875</v>
      </c>
      <c r="J302" s="0" t="n">
        <v>0.9805</v>
      </c>
      <c r="K302" s="0" t="n">
        <v>0</v>
      </c>
      <c r="L302" s="176" t="n">
        <v>0.9875</v>
      </c>
      <c r="M302" s="176" t="n">
        <v>0.9875</v>
      </c>
      <c r="N302" s="0" t="n">
        <v>0.98</v>
      </c>
      <c r="O302" s="0" t="n">
        <v>0.9875</v>
      </c>
      <c r="P302" s="0" t="n">
        <v>0.98</v>
      </c>
      <c r="Q302" s="177" t="n">
        <v>0.9875</v>
      </c>
      <c r="AG302" s="0" t="n">
        <v>0.99</v>
      </c>
      <c r="AH302" s="0" t="n">
        <v>0.985</v>
      </c>
      <c r="AI302" s="0" t="n">
        <v>0.985</v>
      </c>
      <c r="AJ302" s="0" t="n">
        <v>0</v>
      </c>
      <c r="AK302" s="0" t="n">
        <v>1</v>
      </c>
      <c r="AL302" s="0" t="n">
        <v>0</v>
      </c>
      <c r="AM302" s="0" t="n">
        <v>0</v>
      </c>
      <c r="BB302" s="187" t="n">
        <v>1</v>
      </c>
      <c r="BC302" s="0" t="n">
        <v>1</v>
      </c>
      <c r="BD302" s="0" t="n">
        <v>1</v>
      </c>
      <c r="BE302" s="0" t="n">
        <v>1</v>
      </c>
      <c r="BF302" s="0" t="n">
        <v>0.9999</v>
      </c>
      <c r="BG302" s="0" t="n">
        <v>1</v>
      </c>
      <c r="BH302" s="0" t="n">
        <v>1</v>
      </c>
      <c r="BI302" s="0" t="n">
        <v>0.99</v>
      </c>
      <c r="BJ302" s="0" t="n">
        <v>0.999</v>
      </c>
      <c r="BK302" s="0" t="n">
        <v>0.998</v>
      </c>
      <c r="BL302" s="0" t="n">
        <v>0.9985</v>
      </c>
      <c r="BM302" s="0" t="n">
        <v>0.9985</v>
      </c>
      <c r="BN302" s="0" t="n">
        <v>0.972</v>
      </c>
      <c r="BO302" s="0" t="n">
        <v>0.9999</v>
      </c>
      <c r="BP302" s="0" t="n">
        <v>0.9999</v>
      </c>
      <c r="BQ302" s="0" t="n">
        <v>1</v>
      </c>
      <c r="BR302" s="0" t="n">
        <v>1.1485076</v>
      </c>
      <c r="BS302" s="0" t="n">
        <v>1.1484</v>
      </c>
      <c r="BT302" s="0" t="n">
        <v>1.0827</v>
      </c>
      <c r="BU302" s="0" t="n">
        <v>1.0345</v>
      </c>
      <c r="BV302" s="0" t="n">
        <v>1</v>
      </c>
      <c r="BW302" s="0" t="n">
        <v>2.913</v>
      </c>
      <c r="BX302" s="0" t="n">
        <v>2.371216333</v>
      </c>
      <c r="BY302" s="0" t="n">
        <v>1.22645</v>
      </c>
      <c r="BZ302" s="0" t="n">
        <v>1.2885</v>
      </c>
      <c r="CA302" s="0" t="n">
        <v>2.001</v>
      </c>
      <c r="CB302" s="0" t="n">
        <v>1.613005</v>
      </c>
      <c r="CC302" s="0" t="n">
        <v>1.613005</v>
      </c>
      <c r="CD302" s="0" t="n">
        <v>1.321305</v>
      </c>
      <c r="CE302" s="0" t="n">
        <v>1.129255</v>
      </c>
      <c r="CF302" s="0" t="n">
        <v>1.504605</v>
      </c>
      <c r="CH302" s="0" t="n">
        <v>1.11043</v>
      </c>
      <c r="CP302" s="0" t="n">
        <v>0.955</v>
      </c>
      <c r="CV302" s="0" t="n">
        <v>0.45</v>
      </c>
      <c r="CW302" s="0" t="n">
        <v>0.925</v>
      </c>
      <c r="CZ302" s="0" t="n">
        <v>0.805</v>
      </c>
      <c r="DA302" s="0" t="n">
        <v>0.8375</v>
      </c>
      <c r="DB302" s="0" t="n">
        <v>0.875</v>
      </c>
      <c r="DC302" s="0" t="n">
        <v>0.9025</v>
      </c>
      <c r="DD302" s="0" t="n">
        <v>0.82</v>
      </c>
      <c r="DE302" s="0" t="n">
        <v>0.89</v>
      </c>
      <c r="DN302" s="188" t="n">
        <v>0.000285</v>
      </c>
      <c r="DO302" s="188" t="n">
        <v>0.0002</v>
      </c>
      <c r="DP302" s="188" t="n">
        <v>0</v>
      </c>
      <c r="DQ302" s="188" t="n">
        <v>0.0001</v>
      </c>
      <c r="DR302" s="188" t="n">
        <v>0</v>
      </c>
      <c r="DS302" s="188" t="n">
        <v>0.0036</v>
      </c>
      <c r="DT302" s="188" t="n">
        <v>0.00047</v>
      </c>
      <c r="DU302" s="188" t="n">
        <v>0.0007</v>
      </c>
      <c r="DV302" s="188" t="n">
        <v>0</v>
      </c>
      <c r="DW302" s="188" t="n">
        <v>0</v>
      </c>
      <c r="DX302" s="188" t="n">
        <v>0.0005</v>
      </c>
      <c r="DY302" s="188" t="n">
        <v>0.0005</v>
      </c>
      <c r="DZ302" s="188" t="n">
        <v>0.0003</v>
      </c>
      <c r="EA302" s="188" t="n">
        <v>0.000275</v>
      </c>
      <c r="EB302" s="188" t="n">
        <v>0.0004</v>
      </c>
      <c r="ED302" s="188" t="n">
        <v>6.5E-005</v>
      </c>
      <c r="EF302" s="0" t="n">
        <v>1</v>
      </c>
    </row>
    <row r="303" customFormat="false" ht="12.75" hidden="false" customHeight="false" outlineLevel="0" collapsed="false">
      <c r="A303" s="149" t="n">
        <v>45597</v>
      </c>
      <c r="B303" s="0" t="n">
        <v>0.98</v>
      </c>
      <c r="C303" s="0" t="n">
        <v>0</v>
      </c>
      <c r="E303" s="0" t="n">
        <v>0</v>
      </c>
      <c r="F303" s="0" t="n">
        <v>0</v>
      </c>
      <c r="G303" s="0" t="n">
        <v>0</v>
      </c>
      <c r="H303" s="0" t="n">
        <v>0.9875</v>
      </c>
      <c r="I303" s="0" t="n">
        <v>0.9875</v>
      </c>
      <c r="J303" s="0" t="n">
        <v>0.9805</v>
      </c>
      <c r="K303" s="0" t="n">
        <v>0</v>
      </c>
      <c r="L303" s="176" t="n">
        <v>0.9875</v>
      </c>
      <c r="M303" s="176" t="n">
        <v>0.9875</v>
      </c>
      <c r="N303" s="0" t="n">
        <v>0.98</v>
      </c>
      <c r="O303" s="0" t="n">
        <v>0.9875</v>
      </c>
      <c r="P303" s="0" t="n">
        <v>0.98</v>
      </c>
      <c r="Q303" s="177" t="n">
        <v>0.9875</v>
      </c>
      <c r="AG303" s="0" t="n">
        <v>0.99</v>
      </c>
      <c r="AH303" s="0" t="n">
        <v>0.985</v>
      </c>
      <c r="AI303" s="0" t="n">
        <v>0.985</v>
      </c>
      <c r="AJ303" s="0" t="n">
        <v>0</v>
      </c>
      <c r="AK303" s="0" t="n">
        <v>1</v>
      </c>
      <c r="AL303" s="0" t="n">
        <v>0</v>
      </c>
      <c r="AM303" s="0" t="n">
        <v>0</v>
      </c>
      <c r="BB303" s="187" t="n">
        <v>1</v>
      </c>
      <c r="BC303" s="0" t="n">
        <v>1</v>
      </c>
      <c r="BD303" s="0" t="n">
        <v>1</v>
      </c>
      <c r="BE303" s="0" t="n">
        <v>1</v>
      </c>
      <c r="BF303" s="0" t="n">
        <v>0.9999</v>
      </c>
      <c r="BG303" s="0" t="n">
        <v>1</v>
      </c>
      <c r="BH303" s="0" t="n">
        <v>1</v>
      </c>
      <c r="BI303" s="0" t="n">
        <v>0.99</v>
      </c>
      <c r="BJ303" s="0" t="n">
        <v>0.999</v>
      </c>
      <c r="BK303" s="0" t="n">
        <v>0.998</v>
      </c>
      <c r="BL303" s="0" t="n">
        <v>0.9985</v>
      </c>
      <c r="BM303" s="0" t="n">
        <v>0.9985</v>
      </c>
      <c r="BN303" s="0" t="n">
        <v>0.972</v>
      </c>
      <c r="BO303" s="0" t="n">
        <v>0.9999</v>
      </c>
      <c r="BP303" s="0" t="n">
        <v>0.9999</v>
      </c>
      <c r="BQ303" s="0" t="n">
        <v>1</v>
      </c>
      <c r="BR303" s="0" t="n">
        <v>1.1487926</v>
      </c>
      <c r="BS303" s="0" t="n">
        <v>1.1486</v>
      </c>
      <c r="BT303" s="0" t="n">
        <v>1.0827</v>
      </c>
      <c r="BU303" s="0" t="n">
        <v>1.0346</v>
      </c>
      <c r="BV303" s="0" t="n">
        <v>1</v>
      </c>
      <c r="BW303" s="0" t="n">
        <v>2.9166</v>
      </c>
      <c r="BX303" s="0" t="n">
        <v>2.371686333</v>
      </c>
      <c r="BY303" s="0" t="n">
        <v>1.22715</v>
      </c>
      <c r="BZ303" s="0" t="n">
        <v>1.2885</v>
      </c>
      <c r="CA303" s="0" t="n">
        <v>2.001</v>
      </c>
      <c r="CB303" s="0" t="n">
        <v>1.613505</v>
      </c>
      <c r="CC303" s="0" t="n">
        <v>1.613505</v>
      </c>
      <c r="CD303" s="0" t="n">
        <v>1.321605</v>
      </c>
      <c r="CE303" s="0" t="n">
        <v>1.12953</v>
      </c>
      <c r="CF303" s="0" t="n">
        <v>1.505005</v>
      </c>
      <c r="CH303" s="0" t="n">
        <v>1.110495</v>
      </c>
      <c r="CP303" s="0" t="n">
        <v>0.955</v>
      </c>
      <c r="CV303" s="0" t="n">
        <v>0.46</v>
      </c>
      <c r="CW303" s="0" t="n">
        <v>0.905</v>
      </c>
      <c r="CZ303" s="0" t="n">
        <v>0.795</v>
      </c>
      <c r="DA303" s="0" t="n">
        <v>0.8275</v>
      </c>
      <c r="DB303" s="0" t="n">
        <v>0.85</v>
      </c>
      <c r="DC303" s="0" t="n">
        <v>0.9025</v>
      </c>
      <c r="DD303" s="0" t="n">
        <v>0.82</v>
      </c>
      <c r="DE303" s="0" t="n">
        <v>0.89</v>
      </c>
      <c r="DN303" s="188" t="n">
        <v>0.000285</v>
      </c>
      <c r="DO303" s="188" t="n">
        <v>0.0002</v>
      </c>
      <c r="DP303" s="188" t="n">
        <v>0</v>
      </c>
      <c r="DQ303" s="188" t="n">
        <v>0.0001</v>
      </c>
      <c r="DR303" s="188" t="n">
        <v>0</v>
      </c>
      <c r="DS303" s="188" t="n">
        <v>0.0036</v>
      </c>
      <c r="DT303" s="188" t="n">
        <v>0.00047</v>
      </c>
      <c r="DU303" s="188" t="n">
        <v>0.0007</v>
      </c>
      <c r="DV303" s="188" t="n">
        <v>0</v>
      </c>
      <c r="DW303" s="188" t="n">
        <v>0</v>
      </c>
      <c r="DX303" s="188" t="n">
        <v>0.0005</v>
      </c>
      <c r="DY303" s="188" t="n">
        <v>0.0005</v>
      </c>
      <c r="DZ303" s="188" t="n">
        <v>0.0003</v>
      </c>
      <c r="EA303" s="188" t="n">
        <v>0.000275</v>
      </c>
      <c r="EB303" s="188" t="n">
        <v>0.0004</v>
      </c>
      <c r="ED303" s="188" t="n">
        <v>6.5E-005</v>
      </c>
      <c r="EF303" s="0" t="n">
        <v>1</v>
      </c>
    </row>
    <row r="304" customFormat="false" ht="12.75" hidden="false" customHeight="false" outlineLevel="0" collapsed="false">
      <c r="A304" s="149" t="n">
        <v>45627</v>
      </c>
      <c r="B304" s="0" t="n">
        <v>0.98</v>
      </c>
      <c r="C304" s="0" t="n">
        <v>0</v>
      </c>
      <c r="E304" s="0" t="n">
        <v>0</v>
      </c>
      <c r="F304" s="0" t="n">
        <v>0</v>
      </c>
      <c r="G304" s="0" t="n">
        <v>0</v>
      </c>
      <c r="H304" s="0" t="n">
        <v>0.9875</v>
      </c>
      <c r="I304" s="0" t="n">
        <v>0.9875</v>
      </c>
      <c r="J304" s="0" t="n">
        <v>0.9805</v>
      </c>
      <c r="K304" s="0" t="n">
        <v>0</v>
      </c>
      <c r="L304" s="176" t="n">
        <v>0.95226295</v>
      </c>
      <c r="M304" s="176" t="n">
        <v>0.9875</v>
      </c>
      <c r="N304" s="0" t="n">
        <v>0.91211445</v>
      </c>
      <c r="O304" s="0" t="n">
        <v>0.9875</v>
      </c>
      <c r="P304" s="0" t="n">
        <v>0.91211445</v>
      </c>
      <c r="Q304" s="177" t="n">
        <v>0.95226295</v>
      </c>
      <c r="AG304" s="0" t="n">
        <v>0.98</v>
      </c>
      <c r="AH304" s="0" t="n">
        <v>0.985</v>
      </c>
      <c r="AI304" s="0" t="n">
        <v>0.985</v>
      </c>
      <c r="AJ304" s="0" t="n">
        <v>0</v>
      </c>
      <c r="AK304" s="0" t="n">
        <v>1</v>
      </c>
      <c r="AL304" s="0" t="n">
        <v>0</v>
      </c>
      <c r="AM304" s="0" t="n">
        <v>0</v>
      </c>
      <c r="BB304" s="187" t="n">
        <v>1</v>
      </c>
      <c r="BC304" s="0" t="n">
        <v>1</v>
      </c>
      <c r="BD304" s="0" t="n">
        <v>1</v>
      </c>
      <c r="BE304" s="0" t="n">
        <v>1</v>
      </c>
      <c r="BF304" s="0" t="n">
        <v>0.9999</v>
      </c>
      <c r="BG304" s="0" t="n">
        <v>1</v>
      </c>
      <c r="BH304" s="0" t="n">
        <v>1</v>
      </c>
      <c r="BI304" s="0" t="n">
        <v>0.99</v>
      </c>
      <c r="BJ304" s="0" t="n">
        <v>0.999</v>
      </c>
      <c r="BK304" s="0" t="n">
        <v>0.998</v>
      </c>
      <c r="BL304" s="0" t="n">
        <v>0.9985</v>
      </c>
      <c r="BM304" s="0" t="n">
        <v>0.9985</v>
      </c>
      <c r="BN304" s="0" t="n">
        <v>0.972</v>
      </c>
      <c r="BO304" s="0" t="n">
        <v>0.9999</v>
      </c>
      <c r="BP304" s="0" t="n">
        <v>0.9999</v>
      </c>
      <c r="BQ304" s="0" t="n">
        <v>1</v>
      </c>
      <c r="BR304" s="0" t="n">
        <v>1.1490776</v>
      </c>
      <c r="BS304" s="0" t="n">
        <v>1.1488</v>
      </c>
      <c r="BT304" s="0" t="n">
        <v>1.0827</v>
      </c>
      <c r="BU304" s="0" t="n">
        <v>1.0347</v>
      </c>
      <c r="BV304" s="0" t="n">
        <v>1</v>
      </c>
      <c r="BW304" s="0" t="n">
        <v>2.9202</v>
      </c>
      <c r="BX304" s="0" t="n">
        <v>2.372156333</v>
      </c>
      <c r="BY304" s="0" t="n">
        <v>1.22785</v>
      </c>
      <c r="BZ304" s="0" t="n">
        <v>1.2885</v>
      </c>
      <c r="CA304" s="0" t="n">
        <v>2.001</v>
      </c>
      <c r="CB304" s="0" t="n">
        <v>1.614005</v>
      </c>
      <c r="CC304" s="0" t="n">
        <v>1.614005</v>
      </c>
      <c r="CD304" s="0" t="n">
        <v>1.321905</v>
      </c>
      <c r="CE304" s="0" t="n">
        <v>1.129805</v>
      </c>
      <c r="CF304" s="0" t="n">
        <v>1.505405</v>
      </c>
      <c r="CH304" s="0" t="n">
        <v>1.11056</v>
      </c>
      <c r="CP304" s="0" t="n">
        <v>0.935</v>
      </c>
      <c r="CV304" s="0" t="n">
        <v>0.48</v>
      </c>
      <c r="CW304" s="0" t="n">
        <v>0.875</v>
      </c>
      <c r="CZ304" s="0" t="n">
        <v>0.59</v>
      </c>
      <c r="DA304" s="0" t="n">
        <v>0.6225</v>
      </c>
      <c r="DB304" s="0" t="n">
        <v>0.69</v>
      </c>
      <c r="DC304" s="0" t="n">
        <v>0.8925</v>
      </c>
      <c r="DD304" s="0" t="n">
        <v>0.715</v>
      </c>
      <c r="DE304" s="0" t="n">
        <v>0.89</v>
      </c>
      <c r="DN304" s="188" t="n">
        <v>0.000285</v>
      </c>
      <c r="DO304" s="188" t="n">
        <v>0.0002</v>
      </c>
      <c r="DP304" s="188" t="n">
        <v>0</v>
      </c>
      <c r="DQ304" s="188" t="n">
        <v>0.0001</v>
      </c>
      <c r="DR304" s="188" t="n">
        <v>0</v>
      </c>
      <c r="DS304" s="188" t="n">
        <v>0.0036</v>
      </c>
      <c r="DT304" s="188" t="n">
        <v>0.00047</v>
      </c>
      <c r="DU304" s="188" t="n">
        <v>0.0007</v>
      </c>
      <c r="DV304" s="188" t="n">
        <v>0</v>
      </c>
      <c r="DW304" s="188" t="n">
        <v>0</v>
      </c>
      <c r="DX304" s="188" t="n">
        <v>0.0005</v>
      </c>
      <c r="DY304" s="188" t="n">
        <v>0.0005</v>
      </c>
      <c r="DZ304" s="188" t="n">
        <v>0.0003</v>
      </c>
      <c r="EA304" s="188" t="n">
        <v>0.000275</v>
      </c>
      <c r="EB304" s="188" t="n">
        <v>0.0004</v>
      </c>
      <c r="ED304" s="188" t="n">
        <v>6.5E-005</v>
      </c>
      <c r="EF304" s="0" t="n">
        <v>1</v>
      </c>
    </row>
    <row r="305" customFormat="false" ht="12.75" hidden="false" customHeight="false" outlineLevel="0" collapsed="false">
      <c r="B305" s="0" t="n">
        <v>0.98</v>
      </c>
      <c r="C305" s="0" t="n">
        <v>0</v>
      </c>
      <c r="E305" s="0" t="n">
        <v>0</v>
      </c>
      <c r="F305" s="0" t="n">
        <v>0</v>
      </c>
      <c r="G305" s="0" t="n">
        <v>0</v>
      </c>
      <c r="H305" s="0" t="n">
        <v>0</v>
      </c>
      <c r="I305" s="0" t="n">
        <v>0</v>
      </c>
      <c r="J305" s="0" t="n">
        <v>0.9805</v>
      </c>
      <c r="K305" s="0" t="n">
        <v>0</v>
      </c>
      <c r="L305" s="176" t="n">
        <v>0</v>
      </c>
      <c r="M305" s="176" t="n">
        <v>0</v>
      </c>
      <c r="N305" s="0" t="n">
        <v>0</v>
      </c>
      <c r="O305" s="0" t="n">
        <v>0</v>
      </c>
      <c r="P305" s="0" t="n">
        <v>0</v>
      </c>
      <c r="Q305" s="177" t="n">
        <v>0</v>
      </c>
      <c r="AG305" s="0" t="n">
        <v>0.98</v>
      </c>
      <c r="AH305" s="0" t="n">
        <v>0</v>
      </c>
      <c r="AI305" s="0" t="n">
        <v>0</v>
      </c>
      <c r="AJ305" s="0" t="n">
        <v>0</v>
      </c>
      <c r="AK305" s="0" t="n">
        <v>1</v>
      </c>
      <c r="AL305" s="0" t="n">
        <v>0</v>
      </c>
      <c r="AM305" s="0" t="n">
        <v>0</v>
      </c>
      <c r="BB305" s="187" t="n">
        <v>1</v>
      </c>
      <c r="BC305" s="0" t="n">
        <v>1</v>
      </c>
      <c r="BD305" s="0" t="n">
        <v>1</v>
      </c>
      <c r="BE305" s="0" t="n">
        <v>1</v>
      </c>
      <c r="BF305" s="0" t="n">
        <v>0.9999</v>
      </c>
      <c r="BG305" s="0" t="n">
        <v>1</v>
      </c>
      <c r="BH305" s="0" t="n">
        <v>1</v>
      </c>
      <c r="BI305" s="0" t="n">
        <v>0.99</v>
      </c>
      <c r="BJ305" s="0" t="n">
        <v>0.999</v>
      </c>
      <c r="BK305" s="0" t="n">
        <v>0.998</v>
      </c>
      <c r="BL305" s="0" t="n">
        <v>0.9985</v>
      </c>
      <c r="BM305" s="0" t="n">
        <v>0.9985</v>
      </c>
      <c r="BN305" s="0" t="n">
        <v>0.972</v>
      </c>
      <c r="BO305" s="0" t="n">
        <v>0.9999</v>
      </c>
      <c r="BP305" s="0" t="n">
        <v>0.9999</v>
      </c>
      <c r="BQ305" s="0" t="n">
        <v>1</v>
      </c>
      <c r="CP305" s="0" t="n">
        <v>0.895</v>
      </c>
      <c r="CV305" s="0" t="n">
        <v>0.45</v>
      </c>
      <c r="DB305" s="0" t="n">
        <v>0.69</v>
      </c>
      <c r="DC305" s="0" t="n">
        <v>0.88</v>
      </c>
      <c r="DD305" s="0" t="n">
        <v>0.64</v>
      </c>
      <c r="DE305" s="0" t="n">
        <v>0.89</v>
      </c>
      <c r="DN305" s="188" t="n">
        <v>0.000285</v>
      </c>
      <c r="DO305" s="188" t="n">
        <v>0.0002</v>
      </c>
      <c r="DP305" s="188" t="n">
        <v>0</v>
      </c>
      <c r="DQ305" s="188" t="n">
        <v>0.0001</v>
      </c>
      <c r="DR305" s="188" t="n">
        <v>0</v>
      </c>
      <c r="DS305" s="188" t="n">
        <v>0.0036</v>
      </c>
      <c r="DT305" s="188" t="n">
        <v>0.00047</v>
      </c>
      <c r="DU305" s="188" t="n">
        <v>0.0007</v>
      </c>
      <c r="DV305" s="188" t="n">
        <v>0</v>
      </c>
      <c r="DW305" s="188" t="n">
        <v>0</v>
      </c>
      <c r="DX305" s="188" t="n">
        <v>0.0005</v>
      </c>
      <c r="DY305" s="188" t="n">
        <v>0.0005</v>
      </c>
      <c r="DZ305" s="188" t="n">
        <v>0.0003</v>
      </c>
      <c r="EA305" s="188" t="n">
        <v>0.000275</v>
      </c>
      <c r="EB305" s="188" t="n">
        <v>0.0004</v>
      </c>
      <c r="ED305" s="188" t="n">
        <v>6.5E-005</v>
      </c>
      <c r="EF305" s="0" t="n">
        <v>1</v>
      </c>
    </row>
    <row r="306" customFormat="false" ht="12.75" hidden="false" customHeight="false" outlineLevel="0" collapsed="false">
      <c r="B306" s="0" t="n">
        <v>0.98</v>
      </c>
      <c r="C306" s="0" t="n">
        <v>0</v>
      </c>
      <c r="E306" s="0" t="n">
        <v>0</v>
      </c>
      <c r="F306" s="0" t="n">
        <v>0</v>
      </c>
      <c r="G306" s="0" t="n">
        <v>0</v>
      </c>
      <c r="H306" s="0" t="n">
        <v>0</v>
      </c>
      <c r="I306" s="0" t="n">
        <v>0</v>
      </c>
      <c r="J306" s="0" t="n">
        <v>0.9805</v>
      </c>
      <c r="K306" s="0" t="n">
        <v>0</v>
      </c>
      <c r="L306" s="176" t="n">
        <v>0</v>
      </c>
      <c r="M306" s="176" t="n">
        <v>0</v>
      </c>
      <c r="N306" s="0" t="n">
        <v>0</v>
      </c>
      <c r="O306" s="0" t="n">
        <v>0</v>
      </c>
      <c r="P306" s="0" t="n">
        <v>0</v>
      </c>
      <c r="Q306" s="177" t="n">
        <v>0</v>
      </c>
      <c r="AG306" s="0" t="n">
        <v>0.98</v>
      </c>
      <c r="AH306" s="0" t="n">
        <v>0</v>
      </c>
      <c r="AI306" s="0" t="n">
        <v>0</v>
      </c>
      <c r="AJ306" s="0" t="n">
        <v>0</v>
      </c>
      <c r="AK306" s="0" t="n">
        <v>1</v>
      </c>
      <c r="AL306" s="0" t="n">
        <v>0</v>
      </c>
      <c r="AM306" s="0" t="n">
        <v>0</v>
      </c>
      <c r="BB306" s="187" t="n">
        <v>1</v>
      </c>
      <c r="BC306" s="0" t="n">
        <v>1</v>
      </c>
      <c r="BD306" s="0" t="n">
        <v>1</v>
      </c>
      <c r="BE306" s="0" t="n">
        <v>1</v>
      </c>
      <c r="BF306" s="0" t="n">
        <v>0.9999</v>
      </c>
      <c r="BG306" s="0" t="n">
        <v>1</v>
      </c>
      <c r="BH306" s="0" t="n">
        <v>1</v>
      </c>
      <c r="BI306" s="0" t="n">
        <v>0.99</v>
      </c>
      <c r="BJ306" s="0" t="n">
        <v>0.999</v>
      </c>
      <c r="BK306" s="0" t="n">
        <v>0.998</v>
      </c>
      <c r="BL306" s="0" t="n">
        <v>0.9985</v>
      </c>
      <c r="BM306" s="0" t="n">
        <v>0.9985</v>
      </c>
      <c r="BN306" s="0" t="n">
        <v>0.972</v>
      </c>
      <c r="BO306" s="0" t="n">
        <v>0.9999</v>
      </c>
      <c r="BP306" s="0" t="n">
        <v>0.9999</v>
      </c>
      <c r="BQ306" s="0" t="n">
        <v>1</v>
      </c>
      <c r="CP306" s="0" t="n">
        <v>0.865</v>
      </c>
      <c r="CV306" s="0" t="n">
        <v>0.45</v>
      </c>
      <c r="DB306" s="0" t="n">
        <v>0.71</v>
      </c>
      <c r="DC306" s="0" t="n">
        <v>0.8775</v>
      </c>
      <c r="DD306" s="0" t="n">
        <v>0.67</v>
      </c>
      <c r="DE306" s="0" t="n">
        <v>0.89</v>
      </c>
      <c r="DN306" s="188" t="n">
        <v>0.000285</v>
      </c>
      <c r="DO306" s="188" t="n">
        <v>0.0002</v>
      </c>
      <c r="DP306" s="188" t="n">
        <v>0</v>
      </c>
      <c r="DQ306" s="188" t="n">
        <v>0.0001</v>
      </c>
      <c r="DR306" s="188" t="n">
        <v>0</v>
      </c>
      <c r="DS306" s="188" t="n">
        <v>0.0036</v>
      </c>
      <c r="DT306" s="188" t="n">
        <v>0.00047</v>
      </c>
      <c r="DU306" s="188" t="n">
        <v>0.0007</v>
      </c>
      <c r="DV306" s="188" t="n">
        <v>0</v>
      </c>
      <c r="DW306" s="188" t="n">
        <v>0</v>
      </c>
      <c r="DX306" s="188" t="n">
        <v>0.0005</v>
      </c>
      <c r="DY306" s="188" t="n">
        <v>0.0005</v>
      </c>
      <c r="DZ306" s="188" t="n">
        <v>0.0003</v>
      </c>
      <c r="EA306" s="188" t="n">
        <v>0.000275</v>
      </c>
      <c r="EB306" s="188" t="n">
        <v>0.0004</v>
      </c>
      <c r="ED306" s="188" t="n">
        <v>6.5E-005</v>
      </c>
      <c r="EF306" s="0" t="n">
        <v>1</v>
      </c>
    </row>
    <row r="307" customFormat="false" ht="12.75" hidden="false" customHeight="false" outlineLevel="0" collapsed="false">
      <c r="B307" s="0" t="n">
        <v>0.98</v>
      </c>
      <c r="C307" s="0" t="n">
        <v>0</v>
      </c>
      <c r="E307" s="0" t="n">
        <v>0</v>
      </c>
      <c r="F307" s="0" t="n">
        <v>0</v>
      </c>
      <c r="G307" s="0" t="n">
        <v>0</v>
      </c>
      <c r="H307" s="0" t="n">
        <v>0</v>
      </c>
      <c r="I307" s="0" t="n">
        <v>0</v>
      </c>
      <c r="J307" s="0" t="n">
        <v>0.9805</v>
      </c>
      <c r="K307" s="0" t="n">
        <v>0</v>
      </c>
      <c r="L307" s="176" t="n">
        <v>0</v>
      </c>
      <c r="M307" s="176" t="n">
        <v>0</v>
      </c>
      <c r="N307" s="0" t="n">
        <v>0</v>
      </c>
      <c r="O307" s="0" t="n">
        <v>0</v>
      </c>
      <c r="P307" s="0" t="n">
        <v>0</v>
      </c>
      <c r="Q307" s="177" t="n">
        <v>0</v>
      </c>
      <c r="AG307" s="0" t="n">
        <v>0.99</v>
      </c>
      <c r="AH307" s="0" t="n">
        <v>0</v>
      </c>
      <c r="AI307" s="0" t="n">
        <v>0</v>
      </c>
      <c r="AJ307" s="0" t="n">
        <v>0</v>
      </c>
      <c r="AK307" s="0" t="n">
        <v>1</v>
      </c>
      <c r="AL307" s="0" t="n">
        <v>0</v>
      </c>
      <c r="AM307" s="0" t="n">
        <v>0</v>
      </c>
      <c r="BB307" s="187" t="n">
        <v>1</v>
      </c>
      <c r="BC307" s="0" t="n">
        <v>1</v>
      </c>
      <c r="BD307" s="0" t="n">
        <v>1</v>
      </c>
      <c r="BE307" s="0" t="n">
        <v>1</v>
      </c>
      <c r="BF307" s="0" t="n">
        <v>0.9999</v>
      </c>
      <c r="BG307" s="0" t="n">
        <v>1</v>
      </c>
      <c r="BH307" s="0" t="n">
        <v>1</v>
      </c>
      <c r="BI307" s="0" t="n">
        <v>0.99</v>
      </c>
      <c r="BJ307" s="0" t="n">
        <v>0.999</v>
      </c>
      <c r="BK307" s="0" t="n">
        <v>0.998</v>
      </c>
      <c r="BL307" s="0" t="n">
        <v>0.9985</v>
      </c>
      <c r="BM307" s="0" t="n">
        <v>0.9985</v>
      </c>
      <c r="BN307" s="0" t="n">
        <v>0.972</v>
      </c>
      <c r="BO307" s="0" t="n">
        <v>0.9999</v>
      </c>
      <c r="BP307" s="0" t="n">
        <v>0.9999</v>
      </c>
      <c r="BQ307" s="0" t="n">
        <v>1</v>
      </c>
      <c r="CP307" s="0" t="n">
        <v>0.865</v>
      </c>
      <c r="CV307" s="0" t="n">
        <v>0.45</v>
      </c>
      <c r="DB307" s="0" t="n">
        <v>0.8</v>
      </c>
      <c r="DC307" s="0" t="n">
        <v>0.9</v>
      </c>
      <c r="DD307" s="0" t="n">
        <v>0.83</v>
      </c>
      <c r="DE307" s="0" t="n">
        <v>0.89</v>
      </c>
      <c r="DN307" s="188" t="n">
        <v>0.000285</v>
      </c>
      <c r="DO307" s="188" t="n">
        <v>0.0002</v>
      </c>
      <c r="DP307" s="188" t="n">
        <v>0</v>
      </c>
      <c r="DQ307" s="188" t="n">
        <v>0.0001</v>
      </c>
      <c r="DR307" s="188" t="n">
        <v>0</v>
      </c>
      <c r="DS307" s="188" t="n">
        <v>0.0036</v>
      </c>
      <c r="DT307" s="188" t="n">
        <v>0.00047</v>
      </c>
      <c r="DU307" s="0" t="n">
        <v>0.0007</v>
      </c>
      <c r="DV307" s="0" t="n">
        <v>0</v>
      </c>
      <c r="DW307" s="188" t="n">
        <v>0</v>
      </c>
      <c r="DX307" s="188" t="n">
        <v>0.0005</v>
      </c>
      <c r="DY307" s="188" t="n">
        <v>0.0005</v>
      </c>
      <c r="DZ307" s="188" t="n">
        <v>0.0003</v>
      </c>
      <c r="EA307" s="188" t="n">
        <v>0.000275</v>
      </c>
      <c r="EB307" s="188" t="n">
        <v>0.0004</v>
      </c>
      <c r="ED307" s="188" t="n">
        <v>6.5E-005</v>
      </c>
      <c r="EF307" s="0" t="n">
        <v>1</v>
      </c>
    </row>
    <row r="308" customFormat="false" ht="12.75" hidden="false" customHeight="false" outlineLevel="0" collapsed="false">
      <c r="B308" s="0" t="n">
        <v>0.98</v>
      </c>
      <c r="C308" s="0" t="n">
        <v>0</v>
      </c>
      <c r="E308" s="0" t="n">
        <v>0</v>
      </c>
      <c r="F308" s="0" t="n">
        <v>0</v>
      </c>
      <c r="G308" s="0" t="n">
        <v>0</v>
      </c>
      <c r="H308" s="0" t="n">
        <v>0</v>
      </c>
      <c r="I308" s="0" t="n">
        <v>0</v>
      </c>
      <c r="J308" s="0" t="n">
        <v>0.9805</v>
      </c>
      <c r="K308" s="0" t="n">
        <v>0</v>
      </c>
      <c r="L308" s="176" t="n">
        <v>0</v>
      </c>
      <c r="M308" s="176" t="n">
        <v>0</v>
      </c>
      <c r="N308" s="0" t="n">
        <v>0</v>
      </c>
      <c r="O308" s="0" t="n">
        <v>0</v>
      </c>
      <c r="P308" s="0" t="n">
        <v>0</v>
      </c>
      <c r="Q308" s="177" t="n">
        <v>0</v>
      </c>
      <c r="AG308" s="0" t="n">
        <v>0.99</v>
      </c>
      <c r="AH308" s="0" t="n">
        <v>0</v>
      </c>
      <c r="AI308" s="0" t="n">
        <v>0</v>
      </c>
      <c r="AJ308" s="0" t="n">
        <v>0</v>
      </c>
      <c r="AK308" s="0" t="n">
        <v>1</v>
      </c>
      <c r="AL308" s="0" t="n">
        <v>0</v>
      </c>
      <c r="AM308" s="0" t="n">
        <v>0</v>
      </c>
      <c r="BB308" s="187" t="n">
        <v>1</v>
      </c>
      <c r="BC308" s="0" t="n">
        <v>1</v>
      </c>
      <c r="BD308" s="0" t="n">
        <v>1</v>
      </c>
      <c r="BE308" s="0" t="n">
        <v>1</v>
      </c>
      <c r="BF308" s="0" t="n">
        <v>0.9999</v>
      </c>
      <c r="BG308" s="0" t="n">
        <v>1</v>
      </c>
      <c r="BH308" s="0" t="n">
        <v>1</v>
      </c>
      <c r="BI308" s="0" t="n">
        <v>0.99</v>
      </c>
      <c r="BJ308" s="0" t="n">
        <v>0.999</v>
      </c>
      <c r="BK308" s="0" t="n">
        <v>0.998</v>
      </c>
      <c r="BL308" s="0" t="n">
        <v>0.9985</v>
      </c>
      <c r="BM308" s="0" t="n">
        <v>0.9985</v>
      </c>
      <c r="BN308" s="0" t="n">
        <v>0.972</v>
      </c>
      <c r="BO308" s="0" t="n">
        <v>0.9999</v>
      </c>
      <c r="BP308" s="0" t="n">
        <v>0.9999</v>
      </c>
      <c r="BQ308" s="0" t="n">
        <v>1</v>
      </c>
      <c r="CP308" s="0" t="n">
        <v>0.895</v>
      </c>
      <c r="CV308" s="0" t="n">
        <v>0.42</v>
      </c>
      <c r="DB308" s="0" t="n">
        <v>0.85</v>
      </c>
      <c r="DC308" s="0" t="n">
        <v>0.903</v>
      </c>
      <c r="DD308" s="0" t="n">
        <v>0.92</v>
      </c>
      <c r="DE308" s="0" t="n">
        <v>0.89</v>
      </c>
      <c r="DN308" s="188" t="n">
        <v>0.000285</v>
      </c>
      <c r="DO308" s="188" t="n">
        <v>0.0002</v>
      </c>
      <c r="DP308" s="188" t="n">
        <v>0</v>
      </c>
      <c r="DQ308" s="188" t="n">
        <v>0.0001</v>
      </c>
      <c r="DR308" s="188" t="n">
        <v>0</v>
      </c>
      <c r="DS308" s="188" t="n">
        <v>0.0036</v>
      </c>
      <c r="DT308" s="188" t="n">
        <v>0.00047</v>
      </c>
      <c r="DW308" s="188" t="n">
        <v>0</v>
      </c>
      <c r="DX308" s="188" t="n">
        <v>0.0005</v>
      </c>
      <c r="DY308" s="188" t="n">
        <v>0.0005</v>
      </c>
      <c r="DZ308" s="188" t="n">
        <v>0.0003</v>
      </c>
      <c r="EA308" s="188" t="n">
        <v>0.000275</v>
      </c>
      <c r="EB308" s="188" t="n">
        <v>0.0004</v>
      </c>
      <c r="ED308" s="188" t="n">
        <v>6.5E-005</v>
      </c>
      <c r="EF308" s="0" t="n">
        <v>1</v>
      </c>
    </row>
    <row r="309" customFormat="false" ht="12.75" hidden="false" customHeight="false" outlineLevel="0" collapsed="false">
      <c r="B309" s="0" t="n">
        <v>0.98</v>
      </c>
      <c r="C309" s="0" t="n">
        <v>0</v>
      </c>
      <c r="E309" s="0" t="n">
        <v>0</v>
      </c>
      <c r="F309" s="0" t="n">
        <v>0</v>
      </c>
      <c r="G309" s="0" t="n">
        <v>0</v>
      </c>
      <c r="H309" s="0" t="n">
        <v>0</v>
      </c>
      <c r="I309" s="0" t="n">
        <v>0</v>
      </c>
      <c r="J309" s="0" t="n">
        <v>0.9805</v>
      </c>
      <c r="K309" s="0" t="n">
        <v>0</v>
      </c>
      <c r="L309" s="176" t="n">
        <v>0</v>
      </c>
      <c r="M309" s="176" t="n">
        <v>0</v>
      </c>
      <c r="N309" s="0" t="n">
        <v>0</v>
      </c>
      <c r="O309" s="0" t="n">
        <v>0</v>
      </c>
      <c r="P309" s="0" t="n">
        <v>0</v>
      </c>
      <c r="Q309" s="177" t="n">
        <v>0</v>
      </c>
      <c r="AG309" s="0" t="n">
        <v>0.99</v>
      </c>
      <c r="AH309" s="0" t="n">
        <v>0</v>
      </c>
      <c r="AI309" s="0" t="n">
        <v>0</v>
      </c>
      <c r="AJ309" s="0" t="n">
        <v>0</v>
      </c>
      <c r="AK309" s="0" t="n">
        <v>1</v>
      </c>
      <c r="AL309" s="0" t="n">
        <v>0</v>
      </c>
      <c r="AM309" s="0" t="n">
        <v>0</v>
      </c>
      <c r="BB309" s="187" t="n">
        <v>1</v>
      </c>
      <c r="BC309" s="0" t="n">
        <v>1</v>
      </c>
      <c r="BD309" s="0" t="n">
        <v>1</v>
      </c>
      <c r="BE309" s="0" t="n">
        <v>1</v>
      </c>
      <c r="BF309" s="0" t="n">
        <v>0.9999</v>
      </c>
      <c r="BG309" s="0" t="n">
        <v>1</v>
      </c>
      <c r="BH309" s="0" t="n">
        <v>1</v>
      </c>
      <c r="BI309" s="0" t="n">
        <v>0.99</v>
      </c>
      <c r="BJ309" s="0" t="n">
        <v>0.999</v>
      </c>
      <c r="BK309" s="0" t="n">
        <v>0.998</v>
      </c>
      <c r="BL309" s="0" t="n">
        <v>0.9985</v>
      </c>
      <c r="BM309" s="0" t="n">
        <v>0.9985</v>
      </c>
      <c r="BN309" s="0" t="n">
        <v>0.972</v>
      </c>
      <c r="BO309" s="0" t="n">
        <v>0.9999</v>
      </c>
      <c r="BP309" s="0" t="n">
        <v>0.9999</v>
      </c>
      <c r="BQ309" s="0" t="n">
        <v>1</v>
      </c>
      <c r="CP309" s="0" t="n">
        <v>0.965</v>
      </c>
      <c r="CV309" s="0" t="n">
        <v>0.42</v>
      </c>
      <c r="DB309" s="0" t="n">
        <v>0.88</v>
      </c>
      <c r="DC309" s="0" t="n">
        <v>0.9</v>
      </c>
      <c r="DD309" s="0" t="n">
        <v>0.935</v>
      </c>
      <c r="DE309" s="0" t="n">
        <v>0.89</v>
      </c>
      <c r="DN309" s="188" t="n">
        <v>0.000285</v>
      </c>
      <c r="DO309" s="188" t="n">
        <v>0.0002</v>
      </c>
      <c r="DP309" s="188" t="n">
        <v>0</v>
      </c>
      <c r="DQ309" s="188" t="n">
        <v>0.0001</v>
      </c>
      <c r="DR309" s="188" t="n">
        <v>0</v>
      </c>
      <c r="DS309" s="188" t="n">
        <v>0.0036</v>
      </c>
      <c r="DT309" s="188" t="n">
        <v>0.00047</v>
      </c>
      <c r="DW309" s="188" t="n">
        <v>0</v>
      </c>
      <c r="DX309" s="188" t="n">
        <v>0.0005</v>
      </c>
      <c r="DY309" s="188" t="n">
        <v>0.0005</v>
      </c>
      <c r="DZ309" s="188" t="n">
        <v>0.0003</v>
      </c>
      <c r="EA309" s="188" t="n">
        <v>0.000275</v>
      </c>
      <c r="EB309" s="188" t="n">
        <v>0.0004</v>
      </c>
      <c r="ED309" s="188" t="n">
        <v>6.5E-005</v>
      </c>
      <c r="EF309" s="0" t="n">
        <v>1</v>
      </c>
    </row>
    <row r="310" customFormat="false" ht="12.75" hidden="false" customHeight="false" outlineLevel="0" collapsed="false">
      <c r="B310" s="0" t="n">
        <v>0.98</v>
      </c>
      <c r="C310" s="0" t="n">
        <v>0</v>
      </c>
      <c r="E310" s="0" t="n">
        <v>0</v>
      </c>
      <c r="F310" s="0" t="n">
        <v>0</v>
      </c>
      <c r="G310" s="0" t="n">
        <v>0</v>
      </c>
      <c r="H310" s="0" t="n">
        <v>0</v>
      </c>
      <c r="I310" s="0" t="n">
        <v>0</v>
      </c>
      <c r="J310" s="0" t="n">
        <v>0.9805</v>
      </c>
      <c r="K310" s="0" t="n">
        <v>0</v>
      </c>
      <c r="L310" s="176" t="n">
        <v>0</v>
      </c>
      <c r="M310" s="176" t="n">
        <v>0</v>
      </c>
      <c r="N310" s="0" t="n">
        <v>0</v>
      </c>
      <c r="O310" s="0" t="n">
        <v>0</v>
      </c>
      <c r="P310" s="0" t="n">
        <v>0</v>
      </c>
      <c r="Q310" s="177" t="n">
        <v>0</v>
      </c>
      <c r="AG310" s="0" t="n">
        <v>0.99</v>
      </c>
      <c r="AH310" s="0" t="n">
        <v>0</v>
      </c>
      <c r="AI310" s="0" t="n">
        <v>0</v>
      </c>
      <c r="AJ310" s="0" t="n">
        <v>0</v>
      </c>
      <c r="AK310" s="0" t="n">
        <v>1</v>
      </c>
      <c r="AL310" s="0" t="n">
        <v>0</v>
      </c>
      <c r="AM310" s="0" t="n">
        <v>0</v>
      </c>
      <c r="BB310" s="187" t="n">
        <v>1</v>
      </c>
      <c r="BC310" s="0" t="n">
        <v>1</v>
      </c>
      <c r="BD310" s="0" t="n">
        <v>1</v>
      </c>
      <c r="BE310" s="0" t="n">
        <v>1</v>
      </c>
      <c r="BF310" s="0" t="n">
        <v>0.9999</v>
      </c>
      <c r="BG310" s="0" t="n">
        <v>1</v>
      </c>
      <c r="BH310" s="0" t="n">
        <v>1</v>
      </c>
      <c r="BI310" s="0" t="n">
        <v>0.99</v>
      </c>
      <c r="BJ310" s="0" t="n">
        <v>0.999</v>
      </c>
      <c r="BK310" s="0" t="n">
        <v>0.998</v>
      </c>
      <c r="BL310" s="0" t="n">
        <v>0.9985</v>
      </c>
      <c r="BM310" s="0" t="n">
        <v>0.9985</v>
      </c>
      <c r="BN310" s="0" t="n">
        <v>0.972</v>
      </c>
      <c r="BO310" s="0" t="n">
        <v>0.9999</v>
      </c>
      <c r="BP310" s="0" t="n">
        <v>0.9999</v>
      </c>
      <c r="BQ310" s="0" t="n">
        <v>1</v>
      </c>
      <c r="CP310" s="0" t="n">
        <v>0.965</v>
      </c>
      <c r="CV310" s="0" t="n">
        <v>0.47</v>
      </c>
      <c r="DB310" s="0" t="n">
        <v>0.88</v>
      </c>
      <c r="DC310" s="0" t="n">
        <v>0.9025</v>
      </c>
      <c r="DD310" s="0" t="n">
        <v>0.915</v>
      </c>
      <c r="DE310" s="0" t="n">
        <v>0.89</v>
      </c>
      <c r="DN310" s="188" t="n">
        <v>0.000285</v>
      </c>
      <c r="DO310" s="188" t="n">
        <v>0.0002</v>
      </c>
      <c r="DP310" s="188" t="n">
        <v>0</v>
      </c>
      <c r="DQ310" s="188" t="n">
        <v>0.0001</v>
      </c>
      <c r="DR310" s="188" t="n">
        <v>0</v>
      </c>
      <c r="DS310" s="188" t="n">
        <v>0.0036</v>
      </c>
      <c r="DT310" s="188" t="n">
        <v>0.00047</v>
      </c>
      <c r="DW310" s="188" t="n">
        <v>0</v>
      </c>
      <c r="DX310" s="188" t="n">
        <v>0.0005</v>
      </c>
      <c r="DY310" s="188" t="n">
        <v>0.0005</v>
      </c>
      <c r="DZ310" s="188" t="n">
        <v>0.0003</v>
      </c>
      <c r="EA310" s="188" t="n">
        <v>0.000275</v>
      </c>
      <c r="EB310" s="188" t="n">
        <v>0.0004</v>
      </c>
      <c r="ED310" s="188" t="n">
        <v>6.5E-005</v>
      </c>
      <c r="EF310" s="0" t="n">
        <v>1</v>
      </c>
    </row>
    <row r="311" customFormat="false" ht="12.75" hidden="false" customHeight="false" outlineLevel="0" collapsed="false">
      <c r="B311" s="0" t="n">
        <v>0.98</v>
      </c>
      <c r="C311" s="0" t="n">
        <v>0</v>
      </c>
      <c r="E311" s="0" t="n">
        <v>0</v>
      </c>
      <c r="F311" s="0" t="n">
        <v>0</v>
      </c>
      <c r="G311" s="0" t="n">
        <v>0</v>
      </c>
      <c r="H311" s="0" t="n">
        <v>0</v>
      </c>
      <c r="I311" s="0" t="n">
        <v>0</v>
      </c>
      <c r="J311" s="0" t="n">
        <v>0.9805</v>
      </c>
      <c r="K311" s="0" t="n">
        <v>0</v>
      </c>
      <c r="L311" s="176" t="n">
        <v>0</v>
      </c>
      <c r="M311" s="176" t="n">
        <v>0</v>
      </c>
      <c r="N311" s="0" t="n">
        <v>0</v>
      </c>
      <c r="O311" s="0" t="n">
        <v>0</v>
      </c>
      <c r="P311" s="0" t="n">
        <v>0</v>
      </c>
      <c r="Q311" s="177" t="n">
        <v>0</v>
      </c>
      <c r="AG311" s="0" t="n">
        <v>0.99</v>
      </c>
      <c r="AH311" s="0" t="n">
        <v>0</v>
      </c>
      <c r="AI311" s="0" t="n">
        <v>0</v>
      </c>
      <c r="AJ311" s="0" t="n">
        <v>0</v>
      </c>
      <c r="AK311" s="0" t="n">
        <v>1</v>
      </c>
      <c r="AL311" s="0" t="n">
        <v>0</v>
      </c>
      <c r="AM311" s="0" t="n">
        <v>0</v>
      </c>
      <c r="BB311" s="187" t="n">
        <v>1</v>
      </c>
      <c r="BC311" s="0" t="n">
        <v>1</v>
      </c>
      <c r="BD311" s="0" t="n">
        <v>1</v>
      </c>
      <c r="BE311" s="0" t="n">
        <v>1</v>
      </c>
      <c r="BF311" s="0" t="n">
        <v>0.9999</v>
      </c>
      <c r="BG311" s="0" t="n">
        <v>1</v>
      </c>
      <c r="BH311" s="0" t="n">
        <v>1</v>
      </c>
      <c r="BI311" s="0" t="n">
        <v>0.99</v>
      </c>
      <c r="BJ311" s="0" t="n">
        <v>0.999</v>
      </c>
      <c r="BK311" s="0" t="n">
        <v>0.998</v>
      </c>
      <c r="BL311" s="0" t="n">
        <v>0.9985</v>
      </c>
      <c r="BM311" s="0" t="n">
        <v>0.9985</v>
      </c>
      <c r="BN311" s="0" t="n">
        <v>0.972</v>
      </c>
      <c r="BO311" s="0" t="n">
        <v>0.9999</v>
      </c>
      <c r="BP311" s="0" t="n">
        <v>0.9999</v>
      </c>
      <c r="BQ311" s="0" t="n">
        <v>1</v>
      </c>
      <c r="CP311" s="0" t="n">
        <v>0.975</v>
      </c>
      <c r="CV311" s="0" t="n">
        <v>0.47</v>
      </c>
      <c r="DB311" s="0" t="n">
        <v>0.89</v>
      </c>
      <c r="DC311" s="0" t="n">
        <v>0.9075</v>
      </c>
      <c r="DD311" s="0" t="n">
        <v>0.915</v>
      </c>
      <c r="DE311" s="0" t="n">
        <v>0.89</v>
      </c>
      <c r="DN311" s="188" t="n">
        <v>0.000285</v>
      </c>
      <c r="DO311" s="188" t="n">
        <v>0.0002</v>
      </c>
      <c r="DP311" s="188" t="n">
        <v>0</v>
      </c>
      <c r="DQ311" s="188" t="n">
        <v>0.0001</v>
      </c>
      <c r="DR311" s="188" t="n">
        <v>0</v>
      </c>
      <c r="DS311" s="188" t="n">
        <v>0.0036</v>
      </c>
      <c r="DT311" s="188" t="n">
        <v>0.00047</v>
      </c>
      <c r="DW311" s="188" t="n">
        <v>0</v>
      </c>
      <c r="DX311" s="188" t="n">
        <v>0.0005</v>
      </c>
      <c r="DY311" s="188" t="n">
        <v>0.0005</v>
      </c>
      <c r="DZ311" s="188" t="n">
        <v>0.0003</v>
      </c>
      <c r="EA311" s="188" t="n">
        <v>0.000275</v>
      </c>
      <c r="EB311" s="188" t="n">
        <v>0.0004</v>
      </c>
      <c r="ED311" s="188" t="n">
        <v>6.5E-005</v>
      </c>
      <c r="EF311" s="0" t="n">
        <v>1</v>
      </c>
    </row>
    <row r="312" customFormat="false" ht="12.75" hidden="false" customHeight="false" outlineLevel="0" collapsed="false">
      <c r="B312" s="0" t="n">
        <v>0.98</v>
      </c>
      <c r="C312" s="0" t="n">
        <v>0</v>
      </c>
      <c r="E312" s="0" t="n">
        <v>0</v>
      </c>
      <c r="F312" s="0" t="n">
        <v>0</v>
      </c>
      <c r="G312" s="0" t="n">
        <v>0</v>
      </c>
      <c r="H312" s="0" t="n">
        <v>0</v>
      </c>
      <c r="I312" s="0" t="n">
        <v>0</v>
      </c>
      <c r="J312" s="0" t="n">
        <v>0.9805</v>
      </c>
      <c r="K312" s="0" t="n">
        <v>0</v>
      </c>
      <c r="L312" s="176" t="n">
        <v>0</v>
      </c>
      <c r="M312" s="176" t="n">
        <v>0</v>
      </c>
      <c r="N312" s="0" t="n">
        <v>0</v>
      </c>
      <c r="O312" s="0" t="n">
        <v>0</v>
      </c>
      <c r="P312" s="0" t="n">
        <v>0</v>
      </c>
      <c r="Q312" s="177" t="n">
        <v>0</v>
      </c>
      <c r="AG312" s="0" t="n">
        <v>0.99</v>
      </c>
      <c r="AH312" s="0" t="n">
        <v>0</v>
      </c>
      <c r="AI312" s="0" t="n">
        <v>0</v>
      </c>
      <c r="AJ312" s="0" t="n">
        <v>0</v>
      </c>
      <c r="AK312" s="0" t="n">
        <v>1</v>
      </c>
      <c r="AL312" s="0" t="n">
        <v>0</v>
      </c>
      <c r="AM312" s="0" t="n">
        <v>0</v>
      </c>
      <c r="BB312" s="187" t="n">
        <v>1</v>
      </c>
      <c r="BC312" s="0" t="n">
        <v>1</v>
      </c>
      <c r="BD312" s="0" t="n">
        <v>1</v>
      </c>
      <c r="BE312" s="0" t="n">
        <v>1</v>
      </c>
      <c r="BF312" s="0" t="n">
        <v>0.9999</v>
      </c>
      <c r="BG312" s="0" t="n">
        <v>1</v>
      </c>
      <c r="BH312" s="0" t="n">
        <v>1</v>
      </c>
      <c r="BI312" s="0" t="n">
        <v>0.99</v>
      </c>
      <c r="BJ312" s="0" t="n">
        <v>0.999</v>
      </c>
      <c r="BK312" s="0" t="n">
        <v>0.998</v>
      </c>
      <c r="BL312" s="0" t="n">
        <v>0.9985</v>
      </c>
      <c r="BM312" s="0" t="n">
        <v>0.9985</v>
      </c>
      <c r="BN312" s="0" t="n">
        <v>0.972</v>
      </c>
      <c r="BO312" s="0" t="n">
        <v>0.9999</v>
      </c>
      <c r="BP312" s="0" t="n">
        <v>0.9999</v>
      </c>
      <c r="BQ312" s="0" t="n">
        <v>1</v>
      </c>
      <c r="CP312" s="0" t="n">
        <v>0.975</v>
      </c>
      <c r="CV312" s="0" t="n">
        <v>0.52</v>
      </c>
      <c r="DB312" s="0" t="n">
        <v>0.915</v>
      </c>
      <c r="DC312" s="0" t="n">
        <v>0.9275</v>
      </c>
      <c r="DD312" s="0" t="n">
        <v>0.915</v>
      </c>
      <c r="DE312" s="0" t="n">
        <v>0.89</v>
      </c>
      <c r="DN312" s="188" t="n">
        <v>0.000285</v>
      </c>
      <c r="DO312" s="188" t="n">
        <v>0.0002</v>
      </c>
      <c r="DP312" s="188" t="n">
        <v>0</v>
      </c>
      <c r="DQ312" s="188" t="n">
        <v>0.0001</v>
      </c>
      <c r="DR312" s="188" t="n">
        <v>0</v>
      </c>
      <c r="DS312" s="188" t="n">
        <v>0.0036</v>
      </c>
      <c r="DT312" s="188" t="n">
        <v>0.00047</v>
      </c>
      <c r="DW312" s="188" t="n">
        <v>0</v>
      </c>
      <c r="DX312" s="188" t="n">
        <v>0.0005</v>
      </c>
      <c r="DY312" s="188" t="n">
        <v>0.0005</v>
      </c>
      <c r="DZ312" s="188" t="n">
        <v>0.0003</v>
      </c>
      <c r="EA312" s="188" t="n">
        <v>0.000275</v>
      </c>
      <c r="EB312" s="188" t="n">
        <v>0.0004</v>
      </c>
      <c r="ED312" s="188" t="n">
        <v>6.5E-005</v>
      </c>
      <c r="EF312" s="0" t="n">
        <v>1</v>
      </c>
    </row>
    <row r="313" customFormat="false" ht="12.75" hidden="false" customHeight="false" outlineLevel="0" collapsed="false">
      <c r="B313" s="0" t="n">
        <v>0.98</v>
      </c>
      <c r="C313" s="0" t="n">
        <v>0</v>
      </c>
      <c r="E313" s="0" t="n">
        <v>0</v>
      </c>
      <c r="F313" s="0" t="n">
        <v>0</v>
      </c>
      <c r="G313" s="0" t="n">
        <v>0</v>
      </c>
      <c r="H313" s="0" t="n">
        <v>0</v>
      </c>
      <c r="I313" s="0" t="n">
        <v>0</v>
      </c>
      <c r="J313" s="0" t="n">
        <v>0.9805</v>
      </c>
      <c r="K313" s="0" t="n">
        <v>0</v>
      </c>
      <c r="L313" s="176" t="n">
        <v>0</v>
      </c>
      <c r="M313" s="176" t="n">
        <v>0</v>
      </c>
      <c r="N313" s="0" t="n">
        <v>0</v>
      </c>
      <c r="O313" s="0" t="n">
        <v>0</v>
      </c>
      <c r="P313" s="0" t="n">
        <v>0</v>
      </c>
      <c r="Q313" s="177" t="n">
        <v>0</v>
      </c>
      <c r="AG313" s="0" t="n">
        <v>0.99</v>
      </c>
      <c r="AH313" s="0" t="n">
        <v>0</v>
      </c>
      <c r="AI313" s="0" t="n">
        <v>0</v>
      </c>
      <c r="AJ313" s="0" t="n">
        <v>0</v>
      </c>
      <c r="AK313" s="0" t="n">
        <v>1</v>
      </c>
      <c r="AL313" s="0" t="n">
        <v>0</v>
      </c>
      <c r="AM313" s="0" t="n">
        <v>0</v>
      </c>
      <c r="BB313" s="187" t="n">
        <v>1</v>
      </c>
      <c r="BC313" s="0" t="n">
        <v>1</v>
      </c>
      <c r="BD313" s="0" t="n">
        <v>1</v>
      </c>
      <c r="BE313" s="0" t="n">
        <v>1</v>
      </c>
      <c r="BF313" s="0" t="n">
        <v>0.9999</v>
      </c>
      <c r="BG313" s="0" t="n">
        <v>1</v>
      </c>
      <c r="BH313" s="0" t="n">
        <v>1</v>
      </c>
      <c r="BI313" s="0" t="n">
        <v>0.99</v>
      </c>
      <c r="BJ313" s="0" t="n">
        <v>0.999</v>
      </c>
      <c r="BK313" s="0" t="n">
        <v>0.998</v>
      </c>
      <c r="BL313" s="0" t="n">
        <v>0.9985</v>
      </c>
      <c r="BM313" s="0" t="n">
        <v>0.9985</v>
      </c>
      <c r="BN313" s="0" t="n">
        <v>0.972</v>
      </c>
      <c r="BO313" s="0" t="n">
        <v>0.9999</v>
      </c>
      <c r="BP313" s="0" t="n">
        <v>0.9999</v>
      </c>
      <c r="BQ313" s="0" t="n">
        <v>1</v>
      </c>
      <c r="CP313" s="0" t="n">
        <v>0.975</v>
      </c>
      <c r="CV313" s="0" t="n">
        <v>0.55</v>
      </c>
      <c r="DB313" s="0" t="n">
        <v>0.945</v>
      </c>
      <c r="DC313" s="0" t="n">
        <v>0.92</v>
      </c>
      <c r="DD313" s="0" t="n">
        <v>0.915</v>
      </c>
      <c r="DE313" s="0" t="n">
        <v>0.89</v>
      </c>
      <c r="DN313" s="188" t="n">
        <v>0.000285</v>
      </c>
      <c r="DO313" s="188" t="n">
        <v>0.0002</v>
      </c>
      <c r="DP313" s="188" t="n">
        <v>0</v>
      </c>
      <c r="DQ313" s="188" t="n">
        <v>0.0001</v>
      </c>
      <c r="DR313" s="188" t="n">
        <v>0</v>
      </c>
      <c r="DS313" s="188" t="n">
        <v>0.0036</v>
      </c>
      <c r="DT313" s="188" t="n">
        <v>0.00047</v>
      </c>
      <c r="DW313" s="188" t="n">
        <v>0</v>
      </c>
      <c r="DX313" s="188" t="n">
        <v>0.0005</v>
      </c>
      <c r="DY313" s="188" t="n">
        <v>0.0005</v>
      </c>
      <c r="DZ313" s="188" t="n">
        <v>0.0003</v>
      </c>
      <c r="EA313" s="188" t="n">
        <v>0.000275</v>
      </c>
      <c r="EB313" s="188" t="n">
        <v>0.0004</v>
      </c>
      <c r="ED313" s="188" t="n">
        <v>6.5E-005</v>
      </c>
      <c r="EF313" s="0" t="n">
        <v>1</v>
      </c>
    </row>
    <row r="314" customFormat="false" ht="12.75" hidden="false" customHeight="false" outlineLevel="0" collapsed="false">
      <c r="B314" s="0" t="n">
        <v>0.98</v>
      </c>
      <c r="C314" s="0" t="n">
        <v>0</v>
      </c>
      <c r="E314" s="0" t="n">
        <v>0</v>
      </c>
      <c r="F314" s="0" t="n">
        <v>0</v>
      </c>
      <c r="G314" s="0" t="n">
        <v>0</v>
      </c>
      <c r="H314" s="0" t="n">
        <v>0</v>
      </c>
      <c r="I314" s="0" t="n">
        <v>0</v>
      </c>
      <c r="J314" s="0" t="n">
        <v>0.9805</v>
      </c>
      <c r="K314" s="0" t="n">
        <v>0</v>
      </c>
      <c r="L314" s="176" t="n">
        <v>0</v>
      </c>
      <c r="M314" s="176" t="n">
        <v>0</v>
      </c>
      <c r="N314" s="0" t="n">
        <v>0</v>
      </c>
      <c r="O314" s="0" t="n">
        <v>0</v>
      </c>
      <c r="P314" s="0" t="n">
        <v>0</v>
      </c>
      <c r="Q314" s="177" t="n">
        <v>0</v>
      </c>
      <c r="AG314" s="0" t="n">
        <v>0.99</v>
      </c>
      <c r="AH314" s="0" t="n">
        <v>0</v>
      </c>
      <c r="AI314" s="0" t="n">
        <v>0</v>
      </c>
      <c r="AJ314" s="0" t="n">
        <v>0</v>
      </c>
      <c r="AK314" s="0" t="n">
        <v>1</v>
      </c>
      <c r="AL314" s="0" t="n">
        <v>0</v>
      </c>
      <c r="AM314" s="0" t="n">
        <v>0</v>
      </c>
      <c r="BB314" s="187" t="n">
        <v>1</v>
      </c>
      <c r="BC314" s="0" t="n">
        <v>1</v>
      </c>
      <c r="BD314" s="0" t="n">
        <v>1</v>
      </c>
      <c r="BE314" s="0" t="n">
        <v>1</v>
      </c>
      <c r="BF314" s="0" t="n">
        <v>0.9999</v>
      </c>
      <c r="BG314" s="0" t="n">
        <v>1</v>
      </c>
      <c r="BH314" s="0" t="n">
        <v>1</v>
      </c>
      <c r="BI314" s="0" t="n">
        <v>0.99</v>
      </c>
      <c r="BJ314" s="0" t="n">
        <v>0.999</v>
      </c>
      <c r="BK314" s="0" t="n">
        <v>0.998</v>
      </c>
      <c r="BL314" s="0" t="n">
        <v>0.9985</v>
      </c>
      <c r="BM314" s="0" t="n">
        <v>0.9985</v>
      </c>
      <c r="BN314" s="0" t="n">
        <v>0.972</v>
      </c>
      <c r="BO314" s="0" t="n">
        <v>0.9999</v>
      </c>
      <c r="BP314" s="0" t="n">
        <v>0.9999</v>
      </c>
      <c r="BQ314" s="0" t="n">
        <v>1</v>
      </c>
      <c r="CP314" s="0" t="n">
        <v>0.955</v>
      </c>
      <c r="CV314" s="0" t="n">
        <v>0.45</v>
      </c>
      <c r="DB314" s="0" t="n">
        <v>0.875</v>
      </c>
      <c r="DC314" s="0" t="n">
        <v>0.9025</v>
      </c>
      <c r="DD314" s="0" t="n">
        <v>0.82</v>
      </c>
      <c r="DE314" s="0" t="n">
        <v>0.89</v>
      </c>
      <c r="DN314" s="188" t="n">
        <v>0.000285</v>
      </c>
      <c r="DO314" s="188" t="n">
        <v>0.0002</v>
      </c>
      <c r="DP314" s="188" t="n">
        <v>0</v>
      </c>
      <c r="DQ314" s="188" t="n">
        <v>0.0001</v>
      </c>
      <c r="DR314" s="188" t="n">
        <v>0</v>
      </c>
      <c r="DS314" s="188" t="n">
        <v>0.0036</v>
      </c>
      <c r="DT314" s="188" t="n">
        <v>0.00047</v>
      </c>
      <c r="DW314" s="188" t="n">
        <v>0</v>
      </c>
      <c r="DX314" s="188" t="n">
        <v>0.0005</v>
      </c>
      <c r="DY314" s="188" t="n">
        <v>0.0005</v>
      </c>
      <c r="DZ314" s="188" t="n">
        <v>0.0003</v>
      </c>
      <c r="EA314" s="188" t="n">
        <v>0.000275</v>
      </c>
      <c r="EB314" s="188" t="n">
        <v>0.0004</v>
      </c>
      <c r="ED314" s="188" t="n">
        <v>6.5E-005</v>
      </c>
      <c r="EF314" s="0" t="n">
        <v>1</v>
      </c>
    </row>
    <row r="315" customFormat="false" ht="12.75" hidden="false" customHeight="false" outlineLevel="0" collapsed="false">
      <c r="B315" s="0" t="n">
        <v>0.98</v>
      </c>
      <c r="C315" s="0" t="n">
        <v>0</v>
      </c>
      <c r="E315" s="0" t="n">
        <v>0</v>
      </c>
      <c r="F315" s="0" t="n">
        <v>0</v>
      </c>
      <c r="G315" s="0" t="n">
        <v>0</v>
      </c>
      <c r="H315" s="0" t="n">
        <v>0</v>
      </c>
      <c r="I315" s="0" t="n">
        <v>0</v>
      </c>
      <c r="J315" s="0" t="n">
        <v>0.9805</v>
      </c>
      <c r="K315" s="0" t="n">
        <v>0</v>
      </c>
      <c r="L315" s="176" t="n">
        <v>0</v>
      </c>
      <c r="M315" s="176" t="n">
        <v>0</v>
      </c>
      <c r="N315" s="0" t="n">
        <v>0</v>
      </c>
      <c r="O315" s="0" t="n">
        <v>0</v>
      </c>
      <c r="P315" s="0" t="n">
        <v>0</v>
      </c>
      <c r="Q315" s="177" t="n">
        <v>0</v>
      </c>
      <c r="AG315" s="0" t="n">
        <v>0.99</v>
      </c>
      <c r="AH315" s="0" t="n">
        <v>0</v>
      </c>
      <c r="AI315" s="0" t="n">
        <v>0</v>
      </c>
      <c r="AJ315" s="0" t="n">
        <v>0</v>
      </c>
      <c r="AK315" s="0" t="n">
        <v>1</v>
      </c>
      <c r="AL315" s="0" t="n">
        <v>0</v>
      </c>
      <c r="AM315" s="0" t="n">
        <v>0</v>
      </c>
      <c r="BB315" s="187" t="n">
        <v>1</v>
      </c>
      <c r="BC315" s="0" t="n">
        <v>1</v>
      </c>
      <c r="BD315" s="0" t="n">
        <v>1</v>
      </c>
      <c r="BE315" s="0" t="n">
        <v>1</v>
      </c>
      <c r="BF315" s="0" t="n">
        <v>0.9999</v>
      </c>
      <c r="BG315" s="0" t="n">
        <v>1</v>
      </c>
      <c r="BH315" s="0" t="n">
        <v>1</v>
      </c>
      <c r="BI315" s="0" t="n">
        <v>0.99</v>
      </c>
      <c r="BJ315" s="0" t="n">
        <v>0.999</v>
      </c>
      <c r="BK315" s="0" t="n">
        <v>0.998</v>
      </c>
      <c r="BL315" s="0" t="n">
        <v>0.9985</v>
      </c>
      <c r="BM315" s="0" t="n">
        <v>0.9985</v>
      </c>
      <c r="BN315" s="0" t="n">
        <v>0.972</v>
      </c>
      <c r="BO315" s="0" t="n">
        <v>0.9999</v>
      </c>
      <c r="BP315" s="0" t="n">
        <v>0.9999</v>
      </c>
      <c r="BQ315" s="0" t="n">
        <v>1</v>
      </c>
      <c r="CP315" s="0" t="n">
        <v>0.955</v>
      </c>
      <c r="CV315" s="0" t="n">
        <v>0.46</v>
      </c>
      <c r="DB315" s="0" t="n">
        <v>0.85</v>
      </c>
      <c r="DC315" s="0" t="n">
        <v>0.9025</v>
      </c>
      <c r="DD315" s="0" t="n">
        <v>0.82</v>
      </c>
      <c r="DE315" s="0" t="n">
        <v>0.89</v>
      </c>
      <c r="DN315" s="188" t="n">
        <v>0.000285</v>
      </c>
      <c r="DO315" s="188" t="n">
        <v>0.0002</v>
      </c>
      <c r="DP315" s="188" t="n">
        <v>0</v>
      </c>
      <c r="DQ315" s="188" t="n">
        <v>0.0001</v>
      </c>
      <c r="DR315" s="188" t="n">
        <v>0</v>
      </c>
      <c r="DS315" s="188" t="n">
        <v>0.0036</v>
      </c>
      <c r="DT315" s="188" t="n">
        <v>0.00047</v>
      </c>
      <c r="DW315" s="188" t="n">
        <v>0</v>
      </c>
      <c r="DX315" s="188" t="n">
        <v>0.0005</v>
      </c>
      <c r="DY315" s="188" t="n">
        <v>0.0005</v>
      </c>
      <c r="DZ315" s="188" t="n">
        <v>0.0003</v>
      </c>
      <c r="EA315" s="188" t="n">
        <v>0.000275</v>
      </c>
      <c r="EB315" s="188" t="n">
        <v>0.0004</v>
      </c>
      <c r="ED315" s="188" t="n">
        <v>6.5E-005</v>
      </c>
      <c r="EF315" s="0" t="n">
        <v>1</v>
      </c>
    </row>
    <row r="316" customFormat="false" ht="12.75" hidden="false" customHeight="false" outlineLevel="0" collapsed="false">
      <c r="B316" s="0" t="n">
        <v>0.98</v>
      </c>
      <c r="C316" s="0" t="n">
        <v>0</v>
      </c>
      <c r="E316" s="0" t="n">
        <v>0</v>
      </c>
      <c r="F316" s="0" t="n">
        <v>0</v>
      </c>
      <c r="G316" s="0" t="n">
        <v>0</v>
      </c>
      <c r="H316" s="0" t="n">
        <v>0</v>
      </c>
      <c r="I316" s="0" t="n">
        <v>0</v>
      </c>
      <c r="J316" s="0" t="n">
        <v>0.9805</v>
      </c>
      <c r="K316" s="0" t="n">
        <v>0</v>
      </c>
      <c r="L316" s="176" t="n">
        <v>0</v>
      </c>
      <c r="M316" s="176" t="n">
        <v>0</v>
      </c>
      <c r="N316" s="0" t="n">
        <v>0</v>
      </c>
      <c r="O316" s="0" t="n">
        <v>0</v>
      </c>
      <c r="P316" s="0" t="n">
        <v>0</v>
      </c>
      <c r="Q316" s="177" t="n">
        <v>0</v>
      </c>
      <c r="AG316" s="0" t="n">
        <v>0.98</v>
      </c>
      <c r="AH316" s="0" t="n">
        <v>0</v>
      </c>
      <c r="AI316" s="0" t="n">
        <v>0</v>
      </c>
      <c r="AJ316" s="0" t="n">
        <v>0</v>
      </c>
      <c r="AK316" s="0" t="n">
        <v>1</v>
      </c>
      <c r="AL316" s="0" t="n">
        <v>0</v>
      </c>
      <c r="AM316" s="0" t="n">
        <v>0</v>
      </c>
      <c r="BB316" s="187" t="n">
        <v>1</v>
      </c>
      <c r="BC316" s="0" t="n">
        <v>1</v>
      </c>
      <c r="BD316" s="0" t="n">
        <v>1</v>
      </c>
      <c r="BE316" s="0" t="n">
        <v>1</v>
      </c>
      <c r="BF316" s="0" t="n">
        <v>0.9999</v>
      </c>
      <c r="BG316" s="0" t="n">
        <v>1</v>
      </c>
      <c r="BH316" s="0" t="n">
        <v>1</v>
      </c>
      <c r="BI316" s="0" t="n">
        <v>0.99</v>
      </c>
      <c r="BJ316" s="0" t="n">
        <v>0.999</v>
      </c>
      <c r="BK316" s="0" t="n">
        <v>0.998</v>
      </c>
      <c r="BL316" s="0" t="n">
        <v>0.9985</v>
      </c>
      <c r="BM316" s="0" t="n">
        <v>0.9985</v>
      </c>
      <c r="BN316" s="0" t="n">
        <v>0.972</v>
      </c>
      <c r="BO316" s="0" t="n">
        <v>0.9999</v>
      </c>
      <c r="BP316" s="0" t="n">
        <v>0.9999</v>
      </c>
      <c r="BQ316" s="0" t="n">
        <v>1</v>
      </c>
      <c r="CP316" s="0" t="n">
        <v>0.935</v>
      </c>
      <c r="CV316" s="0" t="n">
        <v>0.48</v>
      </c>
      <c r="DB316" s="0" t="n">
        <v>0.69</v>
      </c>
      <c r="DC316" s="0" t="n">
        <v>0.8925</v>
      </c>
      <c r="DD316" s="0" t="n">
        <v>0.715</v>
      </c>
      <c r="DE316" s="0" t="n">
        <v>0.89</v>
      </c>
      <c r="DN316" s="188" t="n">
        <v>0.000285</v>
      </c>
      <c r="DO316" s="188" t="n">
        <v>0.0002</v>
      </c>
      <c r="DP316" s="188" t="n">
        <v>0</v>
      </c>
      <c r="DQ316" s="188" t="n">
        <v>0.0001</v>
      </c>
      <c r="DR316" s="188" t="n">
        <v>0</v>
      </c>
      <c r="DS316" s="188" t="n">
        <v>0.0036</v>
      </c>
      <c r="DT316" s="188" t="n">
        <v>0.00047</v>
      </c>
      <c r="DW316" s="188" t="n">
        <v>0</v>
      </c>
      <c r="DX316" s="188" t="n">
        <v>0.0005</v>
      </c>
      <c r="DY316" s="188" t="n">
        <v>0.0005</v>
      </c>
      <c r="DZ316" s="188" t="n">
        <v>0.0003</v>
      </c>
      <c r="EA316" s="188" t="n">
        <v>0.000275</v>
      </c>
      <c r="EB316" s="188" t="n">
        <v>0.0004</v>
      </c>
      <c r="ED316" s="188" t="n">
        <v>6.5E-005</v>
      </c>
      <c r="EF316" s="0" t="n">
        <v>1</v>
      </c>
    </row>
    <row r="317" customFormat="false" ht="12.75" hidden="false" customHeight="false" outlineLevel="0" collapsed="false">
      <c r="B317" s="0" t="n">
        <v>0.98</v>
      </c>
      <c r="C317" s="0" t="n">
        <v>0</v>
      </c>
      <c r="E317" s="0" t="n">
        <v>0</v>
      </c>
      <c r="F317" s="0" t="n">
        <v>0</v>
      </c>
      <c r="G317" s="0" t="n">
        <v>0</v>
      </c>
      <c r="H317" s="0" t="n">
        <v>0</v>
      </c>
      <c r="I317" s="0" t="n">
        <v>0</v>
      </c>
      <c r="J317" s="0" t="n">
        <v>0.9805</v>
      </c>
      <c r="K317" s="0" t="n">
        <v>0</v>
      </c>
      <c r="L317" s="176" t="n">
        <v>0</v>
      </c>
      <c r="M317" s="176" t="n">
        <v>0</v>
      </c>
      <c r="N317" s="0" t="n">
        <v>0</v>
      </c>
      <c r="O317" s="0" t="n">
        <v>0</v>
      </c>
      <c r="P317" s="0" t="n">
        <v>0</v>
      </c>
      <c r="Q317" s="177" t="n">
        <v>0</v>
      </c>
      <c r="AG317" s="0" t="n">
        <v>0.98</v>
      </c>
      <c r="AH317" s="0" t="n">
        <v>0</v>
      </c>
      <c r="AI317" s="0" t="n">
        <v>0</v>
      </c>
      <c r="AJ317" s="0" t="n">
        <v>0</v>
      </c>
      <c r="AK317" s="0" t="n">
        <v>1</v>
      </c>
      <c r="AL317" s="0" t="n">
        <v>0</v>
      </c>
      <c r="AM317" s="0" t="n">
        <v>0</v>
      </c>
      <c r="BB317" s="187" t="n">
        <v>1</v>
      </c>
      <c r="BC317" s="0" t="n">
        <v>1</v>
      </c>
      <c r="BD317" s="0" t="n">
        <v>1</v>
      </c>
      <c r="BE317" s="0" t="n">
        <v>1</v>
      </c>
      <c r="BF317" s="0" t="n">
        <v>0.9999</v>
      </c>
      <c r="BG317" s="0" t="n">
        <v>1</v>
      </c>
      <c r="BH317" s="0" t="n">
        <v>1</v>
      </c>
      <c r="BI317" s="0" t="n">
        <v>0.99</v>
      </c>
      <c r="BJ317" s="0" t="n">
        <v>0.999</v>
      </c>
      <c r="BK317" s="0" t="n">
        <v>0.998</v>
      </c>
      <c r="BL317" s="0" t="n">
        <v>0.9985</v>
      </c>
      <c r="BM317" s="0" t="n">
        <v>0.9985</v>
      </c>
      <c r="BN317" s="0" t="n">
        <v>0.972</v>
      </c>
      <c r="BO317" s="0" t="n">
        <v>0.9999</v>
      </c>
      <c r="BP317" s="0" t="n">
        <v>0.9999</v>
      </c>
      <c r="BQ317" s="0" t="n">
        <v>1</v>
      </c>
      <c r="CP317" s="0" t="n">
        <v>0.895</v>
      </c>
      <c r="CV317" s="0" t="n">
        <v>0.45</v>
      </c>
      <c r="DB317" s="0" t="n">
        <v>0.69</v>
      </c>
      <c r="DC317" s="0" t="n">
        <v>0.88</v>
      </c>
      <c r="DD317" s="0" t="n">
        <v>0.64</v>
      </c>
      <c r="DE317" s="0" t="n">
        <v>0.89</v>
      </c>
      <c r="DN317" s="188" t="n">
        <v>0.000285</v>
      </c>
      <c r="DO317" s="188" t="n">
        <v>0.0002</v>
      </c>
      <c r="DP317" s="188" t="n">
        <v>0</v>
      </c>
      <c r="DQ317" s="188" t="n">
        <v>0.0001</v>
      </c>
      <c r="DR317" s="188" t="n">
        <v>0</v>
      </c>
      <c r="DS317" s="188" t="n">
        <v>0.0036</v>
      </c>
      <c r="DT317" s="188" t="n">
        <v>0.00047</v>
      </c>
      <c r="DW317" s="188" t="n">
        <v>0</v>
      </c>
      <c r="DX317" s="188" t="n">
        <v>0.0005</v>
      </c>
      <c r="DY317" s="188" t="n">
        <v>0.0005</v>
      </c>
      <c r="DZ317" s="188" t="n">
        <v>0.0003</v>
      </c>
      <c r="EA317" s="188" t="n">
        <v>0.000275</v>
      </c>
      <c r="EB317" s="188" t="n">
        <v>0.0004</v>
      </c>
      <c r="ED317" s="188" t="n">
        <v>6.5E-005</v>
      </c>
      <c r="EF317" s="0" t="n">
        <v>1</v>
      </c>
    </row>
    <row r="318" customFormat="false" ht="12.75" hidden="false" customHeight="false" outlineLevel="0" collapsed="false">
      <c r="B318" s="0" t="n">
        <v>0.98</v>
      </c>
      <c r="C318" s="0" t="n">
        <v>0</v>
      </c>
      <c r="E318" s="0" t="n">
        <v>0</v>
      </c>
      <c r="F318" s="0" t="n">
        <v>0</v>
      </c>
      <c r="G318" s="0" t="n">
        <v>0</v>
      </c>
      <c r="H318" s="0" t="n">
        <v>0</v>
      </c>
      <c r="I318" s="0" t="n">
        <v>0</v>
      </c>
      <c r="J318" s="0" t="n">
        <v>0.9805</v>
      </c>
      <c r="K318" s="0" t="n">
        <v>0</v>
      </c>
      <c r="L318" s="176" t="n">
        <v>0</v>
      </c>
      <c r="M318" s="176" t="n">
        <v>0</v>
      </c>
      <c r="N318" s="0" t="n">
        <v>0</v>
      </c>
      <c r="O318" s="0" t="n">
        <v>0</v>
      </c>
      <c r="P318" s="0" t="n">
        <v>0</v>
      </c>
      <c r="Q318" s="177" t="n">
        <v>0</v>
      </c>
      <c r="AG318" s="0" t="n">
        <v>0.98</v>
      </c>
      <c r="AH318" s="0" t="n">
        <v>0</v>
      </c>
      <c r="AI318" s="0" t="n">
        <v>0</v>
      </c>
      <c r="AJ318" s="0" t="n">
        <v>0</v>
      </c>
      <c r="AK318" s="0" t="n">
        <v>1</v>
      </c>
      <c r="AL318" s="0" t="n">
        <v>0</v>
      </c>
      <c r="AM318" s="0" t="n">
        <v>0</v>
      </c>
      <c r="BB318" s="187" t="n">
        <v>1</v>
      </c>
      <c r="BC318" s="0" t="n">
        <v>1</v>
      </c>
      <c r="BD318" s="0" t="n">
        <v>1</v>
      </c>
      <c r="BE318" s="0" t="n">
        <v>1</v>
      </c>
      <c r="BF318" s="0" t="n">
        <v>0.9999</v>
      </c>
      <c r="BG318" s="0" t="n">
        <v>1</v>
      </c>
      <c r="BH318" s="0" t="n">
        <v>1</v>
      </c>
      <c r="BI318" s="0" t="n">
        <v>0.99</v>
      </c>
      <c r="BJ318" s="0" t="n">
        <v>0.999</v>
      </c>
      <c r="BK318" s="0" t="n">
        <v>0.998</v>
      </c>
      <c r="BL318" s="0" t="n">
        <v>0.9985</v>
      </c>
      <c r="BM318" s="0" t="n">
        <v>0.9985</v>
      </c>
      <c r="BN318" s="0" t="n">
        <v>0.972</v>
      </c>
      <c r="BO318" s="0" t="n">
        <v>0.9999</v>
      </c>
      <c r="BP318" s="0" t="n">
        <v>0.9999</v>
      </c>
      <c r="BQ318" s="0" t="n">
        <v>1</v>
      </c>
      <c r="CP318" s="0" t="n">
        <v>0.865</v>
      </c>
      <c r="CV318" s="0" t="n">
        <v>0.45</v>
      </c>
      <c r="DB318" s="0" t="n">
        <v>0.71</v>
      </c>
      <c r="DC318" s="0" t="n">
        <v>0.8775</v>
      </c>
      <c r="DD318" s="0" t="n">
        <v>0.67</v>
      </c>
      <c r="DE318" s="0" t="n">
        <v>0.89</v>
      </c>
      <c r="DN318" s="188" t="n">
        <v>0.000285</v>
      </c>
      <c r="DO318" s="188" t="n">
        <v>0.0002</v>
      </c>
      <c r="DP318" s="188" t="n">
        <v>0</v>
      </c>
      <c r="DQ318" s="188" t="n">
        <v>0.0001</v>
      </c>
      <c r="DR318" s="188" t="n">
        <v>0</v>
      </c>
      <c r="DS318" s="188" t="n">
        <v>0.0036</v>
      </c>
      <c r="DT318" s="188" t="n">
        <v>0.00047</v>
      </c>
      <c r="DW318" s="188" t="n">
        <v>0</v>
      </c>
      <c r="DX318" s="188" t="n">
        <v>0.0005</v>
      </c>
      <c r="DY318" s="188" t="n">
        <v>0.0005</v>
      </c>
      <c r="DZ318" s="188" t="n">
        <v>0.0003</v>
      </c>
      <c r="EA318" s="188" t="n">
        <v>0.000275</v>
      </c>
      <c r="EB318" s="188" t="n">
        <v>0.0004</v>
      </c>
      <c r="ED318" s="188" t="n">
        <v>6.5E-005</v>
      </c>
      <c r="EF318" s="0" t="n">
        <v>1</v>
      </c>
    </row>
    <row r="319" customFormat="false" ht="12.75" hidden="false" customHeight="false" outlineLevel="0" collapsed="false">
      <c r="B319" s="0" t="n">
        <v>0.98</v>
      </c>
      <c r="C319" s="0" t="n">
        <v>0</v>
      </c>
      <c r="E319" s="0" t="n">
        <v>0</v>
      </c>
      <c r="F319" s="0" t="n">
        <v>0</v>
      </c>
      <c r="G319" s="0" t="n">
        <v>0</v>
      </c>
      <c r="H319" s="0" t="n">
        <v>0</v>
      </c>
      <c r="I319" s="0" t="n">
        <v>0</v>
      </c>
      <c r="J319" s="0" t="n">
        <v>0.9805</v>
      </c>
      <c r="K319" s="0" t="n">
        <v>0</v>
      </c>
      <c r="L319" s="176" t="n">
        <v>0</v>
      </c>
      <c r="M319" s="176" t="n">
        <v>0</v>
      </c>
      <c r="N319" s="0" t="n">
        <v>0</v>
      </c>
      <c r="O319" s="0" t="n">
        <v>0</v>
      </c>
      <c r="P319" s="0" t="n">
        <v>0</v>
      </c>
      <c r="Q319" s="177" t="n">
        <v>0</v>
      </c>
      <c r="AG319" s="0" t="n">
        <v>0.99</v>
      </c>
      <c r="AH319" s="0" t="n">
        <v>0</v>
      </c>
      <c r="AI319" s="0" t="n">
        <v>0</v>
      </c>
      <c r="AJ319" s="0" t="n">
        <v>0</v>
      </c>
      <c r="AK319" s="0" t="n">
        <v>1</v>
      </c>
      <c r="AL319" s="0" t="n">
        <v>0</v>
      </c>
      <c r="AM319" s="0" t="n">
        <v>0</v>
      </c>
      <c r="BB319" s="187" t="n">
        <v>1</v>
      </c>
      <c r="BC319" s="0" t="n">
        <v>1</v>
      </c>
      <c r="BD319" s="0" t="n">
        <v>1</v>
      </c>
      <c r="BE319" s="0" t="n">
        <v>1</v>
      </c>
      <c r="BF319" s="0" t="n">
        <v>0.9999</v>
      </c>
      <c r="BG319" s="0" t="n">
        <v>1</v>
      </c>
      <c r="BH319" s="0" t="n">
        <v>1</v>
      </c>
      <c r="BI319" s="0" t="n">
        <v>0.99</v>
      </c>
      <c r="BJ319" s="0" t="n">
        <v>0.999</v>
      </c>
      <c r="BK319" s="0" t="n">
        <v>0.998</v>
      </c>
      <c r="BL319" s="0" t="n">
        <v>0.9985</v>
      </c>
      <c r="BM319" s="0" t="n">
        <v>0.9985</v>
      </c>
      <c r="BN319" s="0" t="n">
        <v>0.972</v>
      </c>
      <c r="BO319" s="0" t="n">
        <v>0.9999</v>
      </c>
      <c r="BP319" s="0" t="n">
        <v>0.9999</v>
      </c>
      <c r="BQ319" s="0" t="n">
        <v>1</v>
      </c>
      <c r="CP319" s="0" t="n">
        <v>0.865</v>
      </c>
      <c r="CV319" s="0" t="n">
        <v>0.45</v>
      </c>
      <c r="DB319" s="0" t="n">
        <v>0.8</v>
      </c>
      <c r="DC319" s="0" t="n">
        <v>0.9</v>
      </c>
      <c r="DD319" s="0" t="n">
        <v>0.83</v>
      </c>
      <c r="DE319" s="0" t="n">
        <v>0.89</v>
      </c>
      <c r="DN319" s="188" t="n">
        <v>0.000285</v>
      </c>
      <c r="DO319" s="188" t="n">
        <v>0.0002</v>
      </c>
      <c r="DP319" s="188" t="n">
        <v>0</v>
      </c>
      <c r="DQ319" s="188" t="n">
        <v>0.0001</v>
      </c>
      <c r="DR319" s="188" t="n">
        <v>0</v>
      </c>
      <c r="DS319" s="188" t="n">
        <v>0.0036</v>
      </c>
      <c r="DT319" s="188" t="n">
        <v>0.00047</v>
      </c>
      <c r="DW319" s="188" t="n">
        <v>0</v>
      </c>
      <c r="DX319" s="188" t="n">
        <v>0.0005</v>
      </c>
      <c r="DY319" s="188" t="n">
        <v>0.0005</v>
      </c>
      <c r="DZ319" s="188" t="n">
        <v>0.0003</v>
      </c>
      <c r="EA319" s="188" t="n">
        <v>0.000275</v>
      </c>
      <c r="EB319" s="188" t="n">
        <v>0.0004</v>
      </c>
      <c r="ED319" s="188" t="n">
        <v>6.5E-005</v>
      </c>
      <c r="EF319" s="0" t="n">
        <v>1</v>
      </c>
    </row>
    <row r="320" customFormat="false" ht="12.75" hidden="false" customHeight="false" outlineLevel="0" collapsed="false">
      <c r="B320" s="0" t="n">
        <v>0.98</v>
      </c>
      <c r="C320" s="0" t="n">
        <v>0</v>
      </c>
      <c r="E320" s="0" t="n">
        <v>0</v>
      </c>
      <c r="F320" s="0" t="n">
        <v>0</v>
      </c>
      <c r="G320" s="0" t="n">
        <v>0</v>
      </c>
      <c r="H320" s="0" t="n">
        <v>0</v>
      </c>
      <c r="I320" s="0" t="n">
        <v>0</v>
      </c>
      <c r="J320" s="0" t="n">
        <v>0.9805</v>
      </c>
      <c r="K320" s="0" t="n">
        <v>0</v>
      </c>
      <c r="L320" s="176" t="n">
        <v>0</v>
      </c>
      <c r="M320" s="176" t="n">
        <v>0</v>
      </c>
      <c r="N320" s="0" t="n">
        <v>0</v>
      </c>
      <c r="O320" s="0" t="n">
        <v>0</v>
      </c>
      <c r="P320" s="0" t="n">
        <v>0</v>
      </c>
      <c r="Q320" s="177" t="n">
        <v>0</v>
      </c>
      <c r="AG320" s="0" t="n">
        <v>0.99</v>
      </c>
      <c r="AH320" s="0" t="n">
        <v>0</v>
      </c>
      <c r="AI320" s="0" t="n">
        <v>0</v>
      </c>
      <c r="AJ320" s="0" t="n">
        <v>0</v>
      </c>
      <c r="AK320" s="0" t="n">
        <v>1</v>
      </c>
      <c r="AL320" s="0" t="n">
        <v>0</v>
      </c>
      <c r="AM320" s="0" t="n">
        <v>0</v>
      </c>
      <c r="BB320" s="187" t="n">
        <v>1</v>
      </c>
      <c r="BC320" s="0" t="n">
        <v>1</v>
      </c>
      <c r="BD320" s="0" t="n">
        <v>1</v>
      </c>
      <c r="BE320" s="0" t="n">
        <v>1</v>
      </c>
      <c r="BF320" s="0" t="n">
        <v>0.9999</v>
      </c>
      <c r="BG320" s="0" t="n">
        <v>1</v>
      </c>
      <c r="BH320" s="0" t="n">
        <v>1</v>
      </c>
      <c r="BI320" s="0" t="n">
        <v>0.99</v>
      </c>
      <c r="BJ320" s="0" t="n">
        <v>0.999</v>
      </c>
      <c r="BK320" s="0" t="n">
        <v>0.998</v>
      </c>
      <c r="BL320" s="0" t="n">
        <v>0.9985</v>
      </c>
      <c r="BM320" s="0" t="n">
        <v>0.9985</v>
      </c>
      <c r="BN320" s="0" t="n">
        <v>0.972</v>
      </c>
      <c r="BO320" s="0" t="n">
        <v>0.9999</v>
      </c>
      <c r="BP320" s="0" t="n">
        <v>0.9999</v>
      </c>
      <c r="BQ320" s="0" t="n">
        <v>1</v>
      </c>
      <c r="CP320" s="0" t="n">
        <v>0.895</v>
      </c>
      <c r="CV320" s="0" t="n">
        <v>0.42</v>
      </c>
      <c r="DB320" s="0" t="n">
        <v>0.85</v>
      </c>
      <c r="DC320" s="0" t="n">
        <v>0.903</v>
      </c>
      <c r="DD320" s="0" t="n">
        <v>0.92</v>
      </c>
      <c r="DE320" s="0" t="n">
        <v>0.89</v>
      </c>
      <c r="DN320" s="188" t="n">
        <v>0.000285</v>
      </c>
      <c r="DO320" s="188" t="n">
        <v>0.0002</v>
      </c>
      <c r="DP320" s="188" t="n">
        <v>0</v>
      </c>
      <c r="DQ320" s="188" t="n">
        <v>0.0001</v>
      </c>
      <c r="DR320" s="188" t="n">
        <v>0</v>
      </c>
      <c r="DS320" s="188" t="n">
        <v>0.0036</v>
      </c>
      <c r="DT320" s="188" t="n">
        <v>0.00047</v>
      </c>
      <c r="DW320" s="188" t="n">
        <v>0</v>
      </c>
      <c r="DX320" s="188" t="n">
        <v>0.0005</v>
      </c>
      <c r="DY320" s="188" t="n">
        <v>0.0005</v>
      </c>
      <c r="DZ320" s="188" t="n">
        <v>0.0003</v>
      </c>
      <c r="EA320" s="188" t="n">
        <v>0.000275</v>
      </c>
      <c r="EB320" s="188" t="n">
        <v>0.0004</v>
      </c>
      <c r="ED320" s="188" t="n">
        <v>6.5E-005</v>
      </c>
      <c r="EF320" s="0" t="n">
        <v>1</v>
      </c>
    </row>
    <row r="321" customFormat="false" ht="12.75" hidden="false" customHeight="false" outlineLevel="0" collapsed="false">
      <c r="B321" s="0" t="n">
        <v>0.98</v>
      </c>
      <c r="C321" s="0" t="n">
        <v>0</v>
      </c>
      <c r="E321" s="0" t="n">
        <v>0</v>
      </c>
      <c r="F321" s="0" t="n">
        <v>0</v>
      </c>
      <c r="G321" s="0" t="n">
        <v>0</v>
      </c>
      <c r="H321" s="0" t="n">
        <v>0</v>
      </c>
      <c r="I321" s="0" t="n">
        <v>0</v>
      </c>
      <c r="J321" s="0" t="n">
        <v>0.9805</v>
      </c>
      <c r="K321" s="0" t="n">
        <v>0</v>
      </c>
      <c r="L321" s="176" t="n">
        <v>0</v>
      </c>
      <c r="M321" s="176" t="n">
        <v>0</v>
      </c>
      <c r="N321" s="0" t="n">
        <v>0</v>
      </c>
      <c r="O321" s="0" t="n">
        <v>0</v>
      </c>
      <c r="P321" s="0" t="n">
        <v>0</v>
      </c>
      <c r="Q321" s="177" t="n">
        <v>0</v>
      </c>
      <c r="AG321" s="0" t="n">
        <v>0.99</v>
      </c>
      <c r="AH321" s="0" t="n">
        <v>0</v>
      </c>
      <c r="AI321" s="0" t="n">
        <v>0</v>
      </c>
      <c r="AJ321" s="0" t="n">
        <v>0</v>
      </c>
      <c r="AK321" s="0" t="n">
        <v>1</v>
      </c>
      <c r="AL321" s="0" t="n">
        <v>0</v>
      </c>
      <c r="AM321" s="0" t="n">
        <v>0</v>
      </c>
      <c r="BB321" s="187" t="n">
        <v>1</v>
      </c>
      <c r="BC321" s="0" t="n">
        <v>1</v>
      </c>
      <c r="BD321" s="0" t="n">
        <v>1</v>
      </c>
      <c r="BE321" s="0" t="n">
        <v>1</v>
      </c>
      <c r="BF321" s="0" t="n">
        <v>0.9999</v>
      </c>
      <c r="BG321" s="0" t="n">
        <v>1</v>
      </c>
      <c r="BH321" s="0" t="n">
        <v>1</v>
      </c>
      <c r="BI321" s="0" t="n">
        <v>0.99</v>
      </c>
      <c r="BJ321" s="0" t="n">
        <v>0.999</v>
      </c>
      <c r="BK321" s="0" t="n">
        <v>0.998</v>
      </c>
      <c r="BL321" s="0" t="n">
        <v>0.9985</v>
      </c>
      <c r="BM321" s="0" t="n">
        <v>0.9985</v>
      </c>
      <c r="BN321" s="0" t="n">
        <v>0.972</v>
      </c>
      <c r="BO321" s="0" t="n">
        <v>0.9999</v>
      </c>
      <c r="BP321" s="0" t="n">
        <v>0.9999</v>
      </c>
      <c r="BQ321" s="0" t="n">
        <v>1</v>
      </c>
      <c r="CP321" s="0" t="n">
        <v>0.965</v>
      </c>
      <c r="CV321" s="0" t="n">
        <v>0.42</v>
      </c>
      <c r="DB321" s="0" t="n">
        <v>0.88</v>
      </c>
      <c r="DC321" s="0" t="n">
        <v>0.9</v>
      </c>
      <c r="DD321" s="0" t="n">
        <v>0.935</v>
      </c>
      <c r="DE321" s="0" t="n">
        <v>0.89</v>
      </c>
      <c r="DN321" s="188" t="n">
        <v>0.000285</v>
      </c>
      <c r="DO321" s="188" t="n">
        <v>0.0002</v>
      </c>
      <c r="DP321" s="188" t="n">
        <v>0</v>
      </c>
      <c r="DQ321" s="188" t="n">
        <v>0.0001</v>
      </c>
      <c r="DR321" s="188" t="n">
        <v>0</v>
      </c>
      <c r="DS321" s="188" t="n">
        <v>0.0036</v>
      </c>
      <c r="DT321" s="188" t="n">
        <v>0.00047</v>
      </c>
      <c r="DW321" s="188" t="n">
        <v>0</v>
      </c>
      <c r="DX321" s="188" t="n">
        <v>0.0005</v>
      </c>
      <c r="DY321" s="188" t="n">
        <v>0.0005</v>
      </c>
      <c r="DZ321" s="188" t="n">
        <v>0.0003</v>
      </c>
      <c r="EA321" s="188" t="n">
        <v>0.000275</v>
      </c>
      <c r="EB321" s="188" t="n">
        <v>0.0004</v>
      </c>
      <c r="ED321" s="188" t="n">
        <v>6.5E-005</v>
      </c>
      <c r="EF321" s="0" t="n">
        <v>1</v>
      </c>
    </row>
    <row r="322" customFormat="false" ht="12.75" hidden="false" customHeight="false" outlineLevel="0" collapsed="false">
      <c r="B322" s="0" t="n">
        <v>0.98</v>
      </c>
      <c r="C322" s="0" t="n">
        <v>0</v>
      </c>
      <c r="E322" s="0" t="n">
        <v>0</v>
      </c>
      <c r="F322" s="0" t="n">
        <v>0</v>
      </c>
      <c r="G322" s="0" t="n">
        <v>0</v>
      </c>
      <c r="H322" s="0" t="n">
        <v>0</v>
      </c>
      <c r="I322" s="0" t="n">
        <v>0</v>
      </c>
      <c r="J322" s="0" t="n">
        <v>0.9805</v>
      </c>
      <c r="K322" s="0" t="n">
        <v>0</v>
      </c>
      <c r="L322" s="176" t="n">
        <v>0</v>
      </c>
      <c r="M322" s="176" t="n">
        <v>0</v>
      </c>
      <c r="N322" s="0" t="n">
        <v>0</v>
      </c>
      <c r="O322" s="0" t="n">
        <v>0</v>
      </c>
      <c r="P322" s="0" t="n">
        <v>0</v>
      </c>
      <c r="Q322" s="177" t="n">
        <v>0</v>
      </c>
      <c r="AG322" s="0" t="n">
        <v>0.99</v>
      </c>
      <c r="AH322" s="0" t="n">
        <v>0</v>
      </c>
      <c r="AI322" s="0" t="n">
        <v>0</v>
      </c>
      <c r="AJ322" s="0" t="n">
        <v>0</v>
      </c>
      <c r="AK322" s="0" t="n">
        <v>1</v>
      </c>
      <c r="AL322" s="0" t="n">
        <v>0</v>
      </c>
      <c r="AM322" s="0" t="n">
        <v>0</v>
      </c>
      <c r="BB322" s="187" t="n">
        <v>1</v>
      </c>
      <c r="BC322" s="0" t="n">
        <v>1</v>
      </c>
      <c r="BD322" s="0" t="n">
        <v>1</v>
      </c>
      <c r="BE322" s="0" t="n">
        <v>1</v>
      </c>
      <c r="BF322" s="0" t="n">
        <v>0.9999</v>
      </c>
      <c r="BG322" s="0" t="n">
        <v>1</v>
      </c>
      <c r="BH322" s="0" t="n">
        <v>1</v>
      </c>
      <c r="BI322" s="0" t="n">
        <v>0.99</v>
      </c>
      <c r="BJ322" s="0" t="n">
        <v>0.999</v>
      </c>
      <c r="BK322" s="0" t="n">
        <v>0.998</v>
      </c>
      <c r="BL322" s="0" t="n">
        <v>0.9985</v>
      </c>
      <c r="BM322" s="0" t="n">
        <v>0.9985</v>
      </c>
      <c r="BN322" s="0" t="n">
        <v>0.972</v>
      </c>
      <c r="BO322" s="0" t="n">
        <v>0.9999</v>
      </c>
      <c r="BP322" s="0" t="n">
        <v>0.9999</v>
      </c>
      <c r="BQ322" s="0" t="n">
        <v>1</v>
      </c>
      <c r="CP322" s="0" t="n">
        <v>0.965</v>
      </c>
      <c r="CV322" s="0" t="n">
        <v>0.47</v>
      </c>
      <c r="DB322" s="0" t="n">
        <v>0.88</v>
      </c>
      <c r="DC322" s="0" t="n">
        <v>0.9025</v>
      </c>
      <c r="DD322" s="0" t="n">
        <v>0.915</v>
      </c>
      <c r="DE322" s="0" t="n">
        <v>0.89</v>
      </c>
      <c r="DN322" s="188" t="n">
        <v>0.000285</v>
      </c>
      <c r="DO322" s="188" t="n">
        <v>0.0002</v>
      </c>
      <c r="DP322" s="188" t="n">
        <v>0</v>
      </c>
      <c r="DQ322" s="188" t="n">
        <v>0.0001</v>
      </c>
      <c r="DR322" s="188" t="n">
        <v>0</v>
      </c>
      <c r="DS322" s="188" t="n">
        <v>0.0036</v>
      </c>
      <c r="DT322" s="188" t="n">
        <v>0.00047</v>
      </c>
      <c r="DW322" s="188" t="n">
        <v>0</v>
      </c>
      <c r="DX322" s="188" t="n">
        <v>0.0005</v>
      </c>
      <c r="DY322" s="188" t="n">
        <v>0.0005</v>
      </c>
      <c r="DZ322" s="188" t="n">
        <v>0.0003</v>
      </c>
      <c r="EA322" s="188" t="n">
        <v>0.000275</v>
      </c>
      <c r="EB322" s="188" t="n">
        <v>0.0004</v>
      </c>
      <c r="ED322" s="188" t="n">
        <v>6.5E-005</v>
      </c>
      <c r="EF322" s="0" t="n">
        <v>1</v>
      </c>
    </row>
    <row r="323" customFormat="false" ht="12.75" hidden="false" customHeight="false" outlineLevel="0" collapsed="false">
      <c r="B323" s="0" t="n">
        <v>0.98</v>
      </c>
      <c r="C323" s="0" t="n">
        <v>0</v>
      </c>
      <c r="E323" s="0" t="n">
        <v>0</v>
      </c>
      <c r="F323" s="0" t="n">
        <v>0</v>
      </c>
      <c r="G323" s="0" t="n">
        <v>0</v>
      </c>
      <c r="H323" s="0" t="n">
        <v>0</v>
      </c>
      <c r="I323" s="0" t="n">
        <v>0</v>
      </c>
      <c r="J323" s="0" t="n">
        <v>0.9805</v>
      </c>
      <c r="K323" s="0" t="n">
        <v>0</v>
      </c>
      <c r="L323" s="176" t="n">
        <v>0</v>
      </c>
      <c r="M323" s="176" t="n">
        <v>0</v>
      </c>
      <c r="N323" s="0" t="n">
        <v>0</v>
      </c>
      <c r="O323" s="0" t="n">
        <v>0</v>
      </c>
      <c r="P323" s="0" t="n">
        <v>0</v>
      </c>
      <c r="Q323" s="177" t="n">
        <v>0</v>
      </c>
      <c r="AG323" s="0" t="n">
        <v>0.99</v>
      </c>
      <c r="AH323" s="0" t="n">
        <v>0</v>
      </c>
      <c r="AI323" s="0" t="n">
        <v>0</v>
      </c>
      <c r="AJ323" s="0" t="n">
        <v>0</v>
      </c>
      <c r="AK323" s="0" t="n">
        <v>1</v>
      </c>
      <c r="AL323" s="0" t="n">
        <v>0</v>
      </c>
      <c r="AM323" s="0" t="n">
        <v>0</v>
      </c>
      <c r="BB323" s="187" t="n">
        <v>1</v>
      </c>
      <c r="BC323" s="0" t="n">
        <v>1</v>
      </c>
      <c r="BD323" s="0" t="n">
        <v>1</v>
      </c>
      <c r="BE323" s="0" t="n">
        <v>1</v>
      </c>
      <c r="BF323" s="0" t="n">
        <v>0.9999</v>
      </c>
      <c r="BG323" s="0" t="n">
        <v>1</v>
      </c>
      <c r="BH323" s="0" t="n">
        <v>1</v>
      </c>
      <c r="BI323" s="0" t="n">
        <v>0.99</v>
      </c>
      <c r="BJ323" s="0" t="n">
        <v>0.999</v>
      </c>
      <c r="BK323" s="0" t="n">
        <v>0.998</v>
      </c>
      <c r="BL323" s="0" t="n">
        <v>0.9985</v>
      </c>
      <c r="BM323" s="0" t="n">
        <v>0.9985</v>
      </c>
      <c r="BN323" s="0" t="n">
        <v>0.972</v>
      </c>
      <c r="BO323" s="0" t="n">
        <v>0.9999</v>
      </c>
      <c r="BP323" s="0" t="n">
        <v>0.9999</v>
      </c>
      <c r="BQ323" s="0" t="n">
        <v>1</v>
      </c>
      <c r="CP323" s="0" t="n">
        <v>0.975</v>
      </c>
      <c r="CV323" s="0" t="n">
        <v>0.47</v>
      </c>
      <c r="DB323" s="0" t="n">
        <v>0.89</v>
      </c>
      <c r="DC323" s="0" t="n">
        <v>0.9075</v>
      </c>
      <c r="DD323" s="0" t="n">
        <v>0.915</v>
      </c>
      <c r="DE323" s="0" t="n">
        <v>0.89</v>
      </c>
      <c r="DN323" s="188" t="n">
        <v>0.000285</v>
      </c>
      <c r="DO323" s="188" t="n">
        <v>0.0002</v>
      </c>
      <c r="DP323" s="188" t="n">
        <v>0</v>
      </c>
      <c r="DQ323" s="188" t="n">
        <v>0.0001</v>
      </c>
      <c r="DR323" s="188" t="n">
        <v>0</v>
      </c>
      <c r="DS323" s="188" t="n">
        <v>0.0036</v>
      </c>
      <c r="DT323" s="188" t="n">
        <v>0.00047</v>
      </c>
      <c r="DW323" s="188" t="n">
        <v>0</v>
      </c>
      <c r="DX323" s="188" t="n">
        <v>0.0005</v>
      </c>
      <c r="DY323" s="188" t="n">
        <v>0.0005</v>
      </c>
      <c r="DZ323" s="188" t="n">
        <v>0.0003</v>
      </c>
      <c r="EA323" s="188" t="n">
        <v>0.000275</v>
      </c>
      <c r="EB323" s="188" t="n">
        <v>0.0004</v>
      </c>
      <c r="ED323" s="188" t="n">
        <v>6.5E-005</v>
      </c>
      <c r="EF323" s="0" t="n">
        <v>1</v>
      </c>
    </row>
    <row r="324" customFormat="false" ht="12.75" hidden="false" customHeight="false" outlineLevel="0" collapsed="false">
      <c r="B324" s="0" t="n">
        <v>0.98</v>
      </c>
      <c r="C324" s="0" t="n">
        <v>0</v>
      </c>
      <c r="E324" s="0" t="n">
        <v>0</v>
      </c>
      <c r="F324" s="0" t="n">
        <v>0</v>
      </c>
      <c r="G324" s="0" t="n">
        <v>0</v>
      </c>
      <c r="H324" s="0" t="n">
        <v>0</v>
      </c>
      <c r="I324" s="0" t="n">
        <v>0</v>
      </c>
      <c r="J324" s="0" t="n">
        <v>0.9805</v>
      </c>
      <c r="K324" s="0" t="n">
        <v>0</v>
      </c>
      <c r="L324" s="176" t="n">
        <v>0</v>
      </c>
      <c r="M324" s="176" t="n">
        <v>0</v>
      </c>
      <c r="N324" s="0" t="n">
        <v>0</v>
      </c>
      <c r="O324" s="0" t="n">
        <v>0</v>
      </c>
      <c r="P324" s="0" t="n">
        <v>0</v>
      </c>
      <c r="Q324" s="177" t="n">
        <v>0</v>
      </c>
      <c r="AG324" s="0" t="n">
        <v>0.99</v>
      </c>
      <c r="AH324" s="0" t="n">
        <v>0</v>
      </c>
      <c r="AI324" s="0" t="n">
        <v>0</v>
      </c>
      <c r="AJ324" s="0" t="n">
        <v>0</v>
      </c>
      <c r="AK324" s="0" t="n">
        <v>1</v>
      </c>
      <c r="AL324" s="0" t="n">
        <v>0</v>
      </c>
      <c r="AM324" s="0" t="n">
        <v>0</v>
      </c>
      <c r="BB324" s="187" t="n">
        <v>1</v>
      </c>
      <c r="BC324" s="0" t="n">
        <v>1</v>
      </c>
      <c r="BD324" s="0" t="n">
        <v>1</v>
      </c>
      <c r="BE324" s="0" t="n">
        <v>1</v>
      </c>
      <c r="BF324" s="0" t="n">
        <v>0.9999</v>
      </c>
      <c r="BG324" s="0" t="n">
        <v>1</v>
      </c>
      <c r="BH324" s="0" t="n">
        <v>1</v>
      </c>
      <c r="BI324" s="0" t="n">
        <v>0.99</v>
      </c>
      <c r="BJ324" s="0" t="n">
        <v>0.999</v>
      </c>
      <c r="BK324" s="0" t="n">
        <v>0.998</v>
      </c>
      <c r="BL324" s="0" t="n">
        <v>0.9985</v>
      </c>
      <c r="BM324" s="0" t="n">
        <v>0.9985</v>
      </c>
      <c r="BN324" s="0" t="n">
        <v>0.972</v>
      </c>
      <c r="BO324" s="0" t="n">
        <v>0.9999</v>
      </c>
      <c r="BP324" s="0" t="n">
        <v>0.9999</v>
      </c>
      <c r="BQ324" s="0" t="n">
        <v>1</v>
      </c>
      <c r="CP324" s="0" t="n">
        <v>0.975</v>
      </c>
      <c r="CV324" s="0" t="n">
        <v>0.52</v>
      </c>
      <c r="DB324" s="0" t="n">
        <v>0.915</v>
      </c>
      <c r="DC324" s="0" t="n">
        <v>0.9275</v>
      </c>
      <c r="DD324" s="0" t="n">
        <v>0.915</v>
      </c>
      <c r="DE324" s="0" t="n">
        <v>0.89</v>
      </c>
      <c r="DN324" s="188" t="n">
        <v>0.000285</v>
      </c>
      <c r="DO324" s="188" t="n">
        <v>0.0002</v>
      </c>
      <c r="DP324" s="188" t="n">
        <v>0</v>
      </c>
      <c r="DQ324" s="188" t="n">
        <v>0.0001</v>
      </c>
      <c r="DR324" s="188" t="n">
        <v>0</v>
      </c>
      <c r="DS324" s="188" t="n">
        <v>0.0036</v>
      </c>
      <c r="DT324" s="188" t="n">
        <v>0.00047</v>
      </c>
      <c r="DW324" s="188" t="n">
        <v>0</v>
      </c>
      <c r="DX324" s="188" t="n">
        <v>0.0005</v>
      </c>
      <c r="DY324" s="188" t="n">
        <v>0.0005</v>
      </c>
      <c r="DZ324" s="188" t="n">
        <v>0.0003</v>
      </c>
      <c r="EA324" s="188" t="n">
        <v>0.000275</v>
      </c>
      <c r="EB324" s="188" t="n">
        <v>0.0004</v>
      </c>
      <c r="ED324" s="188" t="n">
        <v>6.5E-005</v>
      </c>
      <c r="EF324" s="0" t="n">
        <v>1</v>
      </c>
    </row>
    <row r="325" customFormat="false" ht="12.75" hidden="false" customHeight="false" outlineLevel="0" collapsed="false">
      <c r="B325" s="0" t="n">
        <v>0.98</v>
      </c>
      <c r="C325" s="0" t="n">
        <v>0</v>
      </c>
      <c r="E325" s="0" t="n">
        <v>0</v>
      </c>
      <c r="F325" s="0" t="n">
        <v>0</v>
      </c>
      <c r="G325" s="0" t="n">
        <v>0</v>
      </c>
      <c r="H325" s="0" t="n">
        <v>0</v>
      </c>
      <c r="I325" s="0" t="n">
        <v>0</v>
      </c>
      <c r="J325" s="0" t="n">
        <v>0.9805</v>
      </c>
      <c r="K325" s="0" t="n">
        <v>0</v>
      </c>
      <c r="L325" s="176" t="n">
        <v>0</v>
      </c>
      <c r="M325" s="176" t="n">
        <v>0</v>
      </c>
      <c r="N325" s="0" t="n">
        <v>0</v>
      </c>
      <c r="O325" s="0" t="n">
        <v>0</v>
      </c>
      <c r="P325" s="0" t="n">
        <v>0</v>
      </c>
      <c r="Q325" s="177" t="n">
        <v>0</v>
      </c>
      <c r="AG325" s="0" t="n">
        <v>0.99</v>
      </c>
      <c r="AH325" s="0" t="n">
        <v>0</v>
      </c>
      <c r="AI325" s="0" t="n">
        <v>0</v>
      </c>
      <c r="AJ325" s="0" t="n">
        <v>0</v>
      </c>
      <c r="AK325" s="0" t="n">
        <v>1</v>
      </c>
      <c r="AL325" s="0" t="n">
        <v>0</v>
      </c>
      <c r="AM325" s="0" t="n">
        <v>0</v>
      </c>
      <c r="BB325" s="187" t="n">
        <v>1</v>
      </c>
      <c r="BC325" s="0" t="n">
        <v>1</v>
      </c>
      <c r="BD325" s="0" t="n">
        <v>1</v>
      </c>
      <c r="BE325" s="0" t="n">
        <v>1</v>
      </c>
      <c r="BF325" s="0" t="n">
        <v>0.9999</v>
      </c>
      <c r="BG325" s="0" t="n">
        <v>1</v>
      </c>
      <c r="BH325" s="0" t="n">
        <v>1</v>
      </c>
      <c r="BI325" s="0" t="n">
        <v>0.99</v>
      </c>
      <c r="BJ325" s="0" t="n">
        <v>0.999</v>
      </c>
      <c r="BK325" s="0" t="n">
        <v>0.998</v>
      </c>
      <c r="BL325" s="0" t="n">
        <v>0.9985</v>
      </c>
      <c r="BM325" s="0" t="n">
        <v>0.9985</v>
      </c>
      <c r="BN325" s="0" t="n">
        <v>0.972</v>
      </c>
      <c r="BO325" s="0" t="n">
        <v>0.9999</v>
      </c>
      <c r="BP325" s="0" t="n">
        <v>0.9999</v>
      </c>
      <c r="BQ325" s="0" t="n">
        <v>1</v>
      </c>
      <c r="CP325" s="0" t="n">
        <v>0.975</v>
      </c>
      <c r="CV325" s="0" t="n">
        <v>0.55</v>
      </c>
      <c r="DB325" s="0" t="n">
        <v>0.945</v>
      </c>
      <c r="DC325" s="0" t="n">
        <v>0.92</v>
      </c>
      <c r="DD325" s="0" t="n">
        <v>0.915</v>
      </c>
      <c r="DE325" s="0" t="n">
        <v>0.89</v>
      </c>
      <c r="DN325" s="188" t="n">
        <v>0.000285</v>
      </c>
      <c r="DO325" s="188" t="n">
        <v>0.0002</v>
      </c>
      <c r="DP325" s="188" t="n">
        <v>0</v>
      </c>
      <c r="DQ325" s="188" t="n">
        <v>0.0001</v>
      </c>
      <c r="DR325" s="188" t="n">
        <v>0</v>
      </c>
      <c r="DS325" s="188" t="n">
        <v>0.0036</v>
      </c>
      <c r="DT325" s="188" t="n">
        <v>0.00047</v>
      </c>
      <c r="DW325" s="188" t="n">
        <v>0</v>
      </c>
      <c r="DX325" s="188" t="n">
        <v>0.0005</v>
      </c>
      <c r="DY325" s="188" t="n">
        <v>0.0005</v>
      </c>
      <c r="DZ325" s="188" t="n">
        <v>0.0003</v>
      </c>
      <c r="EA325" s="188" t="n">
        <v>0.000275</v>
      </c>
      <c r="EB325" s="188" t="n">
        <v>0.0004</v>
      </c>
      <c r="ED325" s="188" t="n">
        <v>6.5E-005</v>
      </c>
      <c r="EF325" s="0" t="n">
        <v>1</v>
      </c>
    </row>
    <row r="326" customFormat="false" ht="12.75" hidden="false" customHeight="false" outlineLevel="0" collapsed="false">
      <c r="B326" s="0" t="n">
        <v>0.98</v>
      </c>
      <c r="C326" s="0" t="n">
        <v>0</v>
      </c>
      <c r="E326" s="0" t="n">
        <v>0</v>
      </c>
      <c r="F326" s="0" t="n">
        <v>0</v>
      </c>
      <c r="G326" s="0" t="n">
        <v>0</v>
      </c>
      <c r="H326" s="0" t="n">
        <v>0</v>
      </c>
      <c r="I326" s="0" t="n">
        <v>0</v>
      </c>
      <c r="J326" s="0" t="n">
        <v>0.9805</v>
      </c>
      <c r="K326" s="0" t="n">
        <v>0</v>
      </c>
      <c r="L326" s="176" t="n">
        <v>0</v>
      </c>
      <c r="M326" s="176" t="n">
        <v>0</v>
      </c>
      <c r="N326" s="0" t="n">
        <v>0</v>
      </c>
      <c r="O326" s="0" t="n">
        <v>0</v>
      </c>
      <c r="P326" s="0" t="n">
        <v>0</v>
      </c>
      <c r="Q326" s="177" t="n">
        <v>0</v>
      </c>
      <c r="AG326" s="0" t="n">
        <v>0.99</v>
      </c>
      <c r="AH326" s="0" t="n">
        <v>0</v>
      </c>
      <c r="AI326" s="0" t="n">
        <v>0</v>
      </c>
      <c r="AJ326" s="0" t="n">
        <v>0</v>
      </c>
      <c r="AK326" s="0" t="n">
        <v>1</v>
      </c>
      <c r="AL326" s="0" t="n">
        <v>0</v>
      </c>
      <c r="AM326" s="0" t="n">
        <v>0</v>
      </c>
      <c r="BB326" s="187" t="n">
        <v>1</v>
      </c>
      <c r="BC326" s="0" t="n">
        <v>1</v>
      </c>
      <c r="BD326" s="0" t="n">
        <v>1</v>
      </c>
      <c r="BE326" s="0" t="n">
        <v>1</v>
      </c>
      <c r="BF326" s="0" t="n">
        <v>0.9999</v>
      </c>
      <c r="BG326" s="0" t="n">
        <v>1</v>
      </c>
      <c r="BH326" s="0" t="n">
        <v>1</v>
      </c>
      <c r="BI326" s="0" t="n">
        <v>0.99</v>
      </c>
      <c r="BJ326" s="0" t="n">
        <v>0.999</v>
      </c>
      <c r="BK326" s="0" t="n">
        <v>0.998</v>
      </c>
      <c r="BL326" s="0" t="n">
        <v>0.9985</v>
      </c>
      <c r="BM326" s="0" t="n">
        <v>0.9985</v>
      </c>
      <c r="BN326" s="0" t="n">
        <v>0.972</v>
      </c>
      <c r="BO326" s="0" t="n">
        <v>0.9999</v>
      </c>
      <c r="BP326" s="0" t="n">
        <v>0.9999</v>
      </c>
      <c r="BQ326" s="0" t="n">
        <v>1</v>
      </c>
      <c r="CP326" s="0" t="n">
        <v>0.955</v>
      </c>
      <c r="CV326" s="0" t="n">
        <v>0.45</v>
      </c>
      <c r="DB326" s="0" t="n">
        <v>0.875</v>
      </c>
      <c r="DC326" s="0" t="n">
        <v>0.9025</v>
      </c>
      <c r="DD326" s="0" t="n">
        <v>0.82</v>
      </c>
      <c r="DE326" s="0" t="n">
        <v>0.89</v>
      </c>
      <c r="DN326" s="188" t="n">
        <v>0.000285</v>
      </c>
      <c r="DO326" s="188" t="n">
        <v>0.0002</v>
      </c>
      <c r="DP326" s="188" t="n">
        <v>0</v>
      </c>
      <c r="DQ326" s="188" t="n">
        <v>0.0001</v>
      </c>
      <c r="DR326" s="188" t="n">
        <v>0</v>
      </c>
      <c r="DS326" s="188" t="n">
        <v>0.0036</v>
      </c>
      <c r="DT326" s="188" t="n">
        <v>0.00047</v>
      </c>
      <c r="DW326" s="188" t="n">
        <v>0</v>
      </c>
      <c r="DX326" s="188" t="n">
        <v>0.0005</v>
      </c>
      <c r="DY326" s="188" t="n">
        <v>0.0005</v>
      </c>
      <c r="DZ326" s="188" t="n">
        <v>0.0003</v>
      </c>
      <c r="EA326" s="188" t="n">
        <v>0.000275</v>
      </c>
      <c r="EB326" s="188" t="n">
        <v>0.0004</v>
      </c>
      <c r="ED326" s="188" t="n">
        <v>6.5E-005</v>
      </c>
      <c r="EF326" s="0" t="n">
        <v>1</v>
      </c>
    </row>
    <row r="327" customFormat="false" ht="12.75" hidden="false" customHeight="false" outlineLevel="0" collapsed="false">
      <c r="B327" s="0" t="n">
        <v>0.98</v>
      </c>
      <c r="C327" s="0" t="n">
        <v>0</v>
      </c>
      <c r="E327" s="0" t="n">
        <v>0</v>
      </c>
      <c r="F327" s="0" t="n">
        <v>0</v>
      </c>
      <c r="G327" s="0" t="n">
        <v>0</v>
      </c>
      <c r="H327" s="0" t="n">
        <v>0</v>
      </c>
      <c r="I327" s="0" t="n">
        <v>0</v>
      </c>
      <c r="J327" s="0" t="n">
        <v>0.9805</v>
      </c>
      <c r="K327" s="0" t="n">
        <v>0</v>
      </c>
      <c r="L327" s="176" t="n">
        <v>0</v>
      </c>
      <c r="M327" s="176" t="n">
        <v>0</v>
      </c>
      <c r="N327" s="0" t="n">
        <v>0</v>
      </c>
      <c r="O327" s="0" t="n">
        <v>0</v>
      </c>
      <c r="P327" s="0" t="n">
        <v>0</v>
      </c>
      <c r="Q327" s="177" t="n">
        <v>0</v>
      </c>
      <c r="AG327" s="0" t="n">
        <v>0.99</v>
      </c>
      <c r="AH327" s="0" t="n">
        <v>0</v>
      </c>
      <c r="AI327" s="0" t="n">
        <v>0</v>
      </c>
      <c r="AJ327" s="0" t="n">
        <v>0</v>
      </c>
      <c r="AK327" s="0" t="n">
        <v>1</v>
      </c>
      <c r="AL327" s="0" t="n">
        <v>0</v>
      </c>
      <c r="AM327" s="0" t="n">
        <v>0</v>
      </c>
      <c r="BB327" s="187" t="n">
        <v>1</v>
      </c>
      <c r="BC327" s="0" t="n">
        <v>1</v>
      </c>
      <c r="BD327" s="0" t="n">
        <v>1</v>
      </c>
      <c r="BE327" s="0" t="n">
        <v>1</v>
      </c>
      <c r="BF327" s="0" t="n">
        <v>0.9999</v>
      </c>
      <c r="BG327" s="0" t="n">
        <v>1</v>
      </c>
      <c r="BH327" s="0" t="n">
        <v>1</v>
      </c>
      <c r="BI327" s="0" t="n">
        <v>0.99</v>
      </c>
      <c r="BJ327" s="0" t="n">
        <v>0.999</v>
      </c>
      <c r="BK327" s="0" t="n">
        <v>0.998</v>
      </c>
      <c r="BL327" s="0" t="n">
        <v>0.9985</v>
      </c>
      <c r="BM327" s="0" t="n">
        <v>0.9985</v>
      </c>
      <c r="BN327" s="0" t="n">
        <v>0.972</v>
      </c>
      <c r="BO327" s="0" t="n">
        <v>0.9999</v>
      </c>
      <c r="BP327" s="0" t="n">
        <v>0.9999</v>
      </c>
      <c r="BQ327" s="0" t="n">
        <v>1</v>
      </c>
      <c r="CP327" s="0" t="n">
        <v>0.955</v>
      </c>
      <c r="CV327" s="0" t="n">
        <v>0.46</v>
      </c>
      <c r="DB327" s="0" t="n">
        <v>0.85</v>
      </c>
      <c r="DC327" s="0" t="n">
        <v>0.9025</v>
      </c>
      <c r="DD327" s="0" t="n">
        <v>0.82</v>
      </c>
      <c r="DE327" s="0" t="n">
        <v>0.89</v>
      </c>
      <c r="DN327" s="188" t="n">
        <v>0.000285</v>
      </c>
      <c r="DO327" s="188" t="n">
        <v>0.0002</v>
      </c>
      <c r="DP327" s="188" t="n">
        <v>0</v>
      </c>
      <c r="DQ327" s="188" t="n">
        <v>0.0001</v>
      </c>
      <c r="DR327" s="188" t="n">
        <v>0</v>
      </c>
      <c r="DS327" s="188" t="n">
        <v>0.0036</v>
      </c>
      <c r="DT327" s="188" t="n">
        <v>0.00047</v>
      </c>
      <c r="DW327" s="188" t="n">
        <v>0</v>
      </c>
      <c r="DX327" s="188" t="n">
        <v>0.0005</v>
      </c>
      <c r="DY327" s="188" t="n">
        <v>0.0005</v>
      </c>
      <c r="DZ327" s="188" t="n">
        <v>0.0003</v>
      </c>
      <c r="EA327" s="188" t="n">
        <v>0.000275</v>
      </c>
      <c r="EB327" s="188" t="n">
        <v>0.0004</v>
      </c>
      <c r="ED327" s="188" t="n">
        <v>6.5E-005</v>
      </c>
      <c r="EF327" s="0" t="n">
        <v>1</v>
      </c>
    </row>
    <row r="328" customFormat="false" ht="12.75" hidden="false" customHeight="false" outlineLevel="0" collapsed="false">
      <c r="B328" s="0" t="n">
        <v>0.98</v>
      </c>
      <c r="C328" s="0" t="n">
        <v>0</v>
      </c>
      <c r="E328" s="0" t="n">
        <v>0</v>
      </c>
      <c r="F328" s="0" t="n">
        <v>0</v>
      </c>
      <c r="G328" s="0" t="n">
        <v>0</v>
      </c>
      <c r="H328" s="0" t="n">
        <v>0</v>
      </c>
      <c r="I328" s="0" t="n">
        <v>0</v>
      </c>
      <c r="J328" s="0" t="n">
        <v>0.9805</v>
      </c>
      <c r="K328" s="0" t="n">
        <v>0</v>
      </c>
      <c r="L328" s="176" t="n">
        <v>0</v>
      </c>
      <c r="M328" s="176" t="n">
        <v>0</v>
      </c>
      <c r="N328" s="0" t="n">
        <v>0</v>
      </c>
      <c r="O328" s="0" t="n">
        <v>0</v>
      </c>
      <c r="P328" s="0" t="n">
        <v>0</v>
      </c>
      <c r="Q328" s="177" t="n">
        <v>0</v>
      </c>
      <c r="BB328" s="187" t="n">
        <v>1</v>
      </c>
      <c r="BC328" s="0" t="n">
        <v>1</v>
      </c>
      <c r="BD328" s="0" t="n">
        <v>1</v>
      </c>
      <c r="BE328" s="0" t="n">
        <v>1</v>
      </c>
      <c r="BF328" s="0" t="n">
        <v>0.9999</v>
      </c>
      <c r="BG328" s="0" t="n">
        <v>1</v>
      </c>
      <c r="BH328" s="0" t="n">
        <v>1</v>
      </c>
      <c r="BI328" s="0" t="n">
        <v>0.99</v>
      </c>
      <c r="BJ328" s="0" t="n">
        <v>0.999</v>
      </c>
      <c r="BK328" s="0" t="n">
        <v>0.998</v>
      </c>
      <c r="BL328" s="0" t="n">
        <v>0.9985</v>
      </c>
      <c r="BM328" s="0" t="n">
        <v>0.9985</v>
      </c>
      <c r="BN328" s="0" t="n">
        <v>0.972</v>
      </c>
      <c r="BO328" s="0" t="n">
        <v>0.9999</v>
      </c>
      <c r="BP328" s="0" t="n">
        <v>0.9999</v>
      </c>
      <c r="BQ328" s="0" t="n">
        <v>1</v>
      </c>
      <c r="CP328" s="0" t="n">
        <v>0.935</v>
      </c>
      <c r="CV328" s="0" t="n">
        <v>0.48</v>
      </c>
      <c r="DB328" s="0" t="n">
        <v>0.69</v>
      </c>
      <c r="DC328" s="0" t="n">
        <v>0.8925</v>
      </c>
      <c r="DD328" s="0" t="n">
        <v>0.715</v>
      </c>
      <c r="DE328" s="0" t="n">
        <v>0.89</v>
      </c>
      <c r="DN328" s="188" t="n">
        <v>0.000285</v>
      </c>
      <c r="DO328" s="188" t="n">
        <v>0.0002</v>
      </c>
      <c r="DP328" s="188" t="n">
        <v>0</v>
      </c>
      <c r="DQ328" s="188" t="n">
        <v>0.0001</v>
      </c>
      <c r="DR328" s="188" t="n">
        <v>0</v>
      </c>
      <c r="DS328" s="188" t="n">
        <v>0.0036</v>
      </c>
      <c r="DT328" s="188" t="n">
        <v>0.00047</v>
      </c>
      <c r="DW328" s="188" t="n">
        <v>0</v>
      </c>
      <c r="DX328" s="188" t="n">
        <v>0.0005</v>
      </c>
      <c r="DY328" s="188" t="n">
        <v>0.0005</v>
      </c>
      <c r="DZ328" s="188" t="n">
        <v>0.0003</v>
      </c>
      <c r="EA328" s="188" t="n">
        <v>0.000275</v>
      </c>
      <c r="EB328" s="188" t="n">
        <v>0.0004</v>
      </c>
      <c r="ED328" s="188" t="n">
        <v>6.5E-005</v>
      </c>
      <c r="EF328" s="0" t="n">
        <v>1</v>
      </c>
    </row>
    <row r="329" customFormat="false" ht="12.75" hidden="false" customHeight="false" outlineLevel="0" collapsed="false">
      <c r="B329" s="0" t="n">
        <v>0.98</v>
      </c>
      <c r="C329" s="0" t="n">
        <v>0</v>
      </c>
      <c r="E329" s="0" t="n">
        <v>0</v>
      </c>
      <c r="F329" s="0" t="n">
        <v>0</v>
      </c>
      <c r="G329" s="0" t="n">
        <v>0</v>
      </c>
      <c r="H329" s="0" t="n">
        <v>0</v>
      </c>
      <c r="I329" s="0" t="n">
        <v>0</v>
      </c>
      <c r="J329" s="0" t="n">
        <v>0.9805</v>
      </c>
      <c r="K329" s="0" t="n">
        <v>0</v>
      </c>
      <c r="L329" s="176" t="n">
        <v>0</v>
      </c>
      <c r="M329" s="176" t="n">
        <v>0</v>
      </c>
      <c r="N329" s="0" t="n">
        <v>0</v>
      </c>
      <c r="O329" s="0" t="n">
        <v>0</v>
      </c>
      <c r="P329" s="0" t="n">
        <v>0</v>
      </c>
      <c r="Q329" s="177" t="n">
        <v>0</v>
      </c>
      <c r="BB329" s="187" t="n">
        <v>1</v>
      </c>
      <c r="BC329" s="0" t="n">
        <v>1</v>
      </c>
      <c r="BD329" s="0" t="n">
        <v>1</v>
      </c>
      <c r="BE329" s="0" t="n">
        <v>1</v>
      </c>
      <c r="BF329" s="0" t="n">
        <v>0.9999</v>
      </c>
      <c r="BG329" s="0" t="n">
        <v>1</v>
      </c>
      <c r="BH329" s="0" t="n">
        <v>1</v>
      </c>
      <c r="BI329" s="0" t="n">
        <v>0.99</v>
      </c>
      <c r="BJ329" s="0" t="n">
        <v>0.999</v>
      </c>
      <c r="BK329" s="0" t="n">
        <v>0.998</v>
      </c>
      <c r="BL329" s="0" t="n">
        <v>0.9985</v>
      </c>
      <c r="BM329" s="0" t="n">
        <v>0.9985</v>
      </c>
      <c r="BN329" s="0" t="n">
        <v>0.972</v>
      </c>
      <c r="BO329" s="0" t="n">
        <v>0.9999</v>
      </c>
      <c r="BP329" s="0" t="n">
        <v>0.9999</v>
      </c>
      <c r="BQ329" s="0" t="n">
        <v>1</v>
      </c>
      <c r="CP329" s="0" t="n">
        <v>0.895</v>
      </c>
      <c r="DB329" s="0" t="n">
        <v>0.69</v>
      </c>
      <c r="DC329" s="0" t="n">
        <v>0.88</v>
      </c>
      <c r="DD329" s="0" t="n">
        <v>0.64</v>
      </c>
      <c r="DE329" s="0" t="n">
        <v>0.89</v>
      </c>
      <c r="DN329" s="188" t="n">
        <v>0.000285</v>
      </c>
      <c r="DO329" s="188" t="n">
        <v>0.0002</v>
      </c>
      <c r="DP329" s="188" t="n">
        <v>0</v>
      </c>
      <c r="DQ329" s="188" t="n">
        <v>0.0001</v>
      </c>
      <c r="DR329" s="188" t="n">
        <v>0</v>
      </c>
      <c r="DS329" s="188" t="n">
        <v>0.0036</v>
      </c>
      <c r="DT329" s="188" t="n">
        <v>0.00047</v>
      </c>
      <c r="DW329" s="188" t="n">
        <v>0</v>
      </c>
      <c r="DX329" s="188" t="n">
        <v>0.0005</v>
      </c>
      <c r="DY329" s="188" t="n">
        <v>0.0005</v>
      </c>
      <c r="DZ329" s="188" t="n">
        <v>0.0003</v>
      </c>
      <c r="EA329" s="188" t="n">
        <v>0.000275</v>
      </c>
      <c r="EB329" s="188" t="n">
        <v>0.0004</v>
      </c>
      <c r="ED329" s="188" t="n">
        <v>6.5E-005</v>
      </c>
      <c r="EF329" s="0" t="n">
        <v>1</v>
      </c>
    </row>
    <row r="330" customFormat="false" ht="12.75" hidden="false" customHeight="false" outlineLevel="0" collapsed="false">
      <c r="B330" s="0" t="n">
        <v>0.98</v>
      </c>
      <c r="C330" s="0" t="n">
        <v>0</v>
      </c>
      <c r="E330" s="0" t="n">
        <v>0</v>
      </c>
      <c r="F330" s="0" t="n">
        <v>0</v>
      </c>
      <c r="G330" s="0" t="n">
        <v>0</v>
      </c>
      <c r="H330" s="0" t="n">
        <v>0</v>
      </c>
      <c r="I330" s="0" t="n">
        <v>0</v>
      </c>
      <c r="J330" s="0" t="n">
        <v>0.9805</v>
      </c>
      <c r="K330" s="0" t="n">
        <v>0</v>
      </c>
      <c r="L330" s="176" t="n">
        <v>0</v>
      </c>
      <c r="M330" s="176" t="n">
        <v>0</v>
      </c>
      <c r="N330" s="0" t="n">
        <v>0</v>
      </c>
      <c r="O330" s="0" t="n">
        <v>0</v>
      </c>
      <c r="P330" s="0" t="n">
        <v>0</v>
      </c>
      <c r="Q330" s="177" t="n">
        <v>0</v>
      </c>
      <c r="BB330" s="187" t="n">
        <v>1</v>
      </c>
      <c r="BC330" s="0" t="n">
        <v>1</v>
      </c>
      <c r="BD330" s="0" t="n">
        <v>1</v>
      </c>
      <c r="BE330" s="0" t="n">
        <v>1</v>
      </c>
      <c r="BF330" s="0" t="n">
        <v>0.9999</v>
      </c>
      <c r="BG330" s="0" t="n">
        <v>1</v>
      </c>
      <c r="BH330" s="0" t="n">
        <v>1</v>
      </c>
      <c r="BI330" s="0" t="n">
        <v>0.99</v>
      </c>
      <c r="BJ330" s="0" t="n">
        <v>0.999</v>
      </c>
      <c r="BK330" s="0" t="n">
        <v>0.998</v>
      </c>
      <c r="BL330" s="0" t="n">
        <v>0.9985</v>
      </c>
      <c r="BM330" s="0" t="n">
        <v>0.9985</v>
      </c>
      <c r="BN330" s="0" t="n">
        <v>0.972</v>
      </c>
      <c r="BO330" s="0" t="n">
        <v>0.9999</v>
      </c>
      <c r="BP330" s="0" t="n">
        <v>0.9999</v>
      </c>
      <c r="BQ330" s="0" t="n">
        <v>1</v>
      </c>
      <c r="CP330" s="0" t="n">
        <v>0.865</v>
      </c>
      <c r="DB330" s="0" t="n">
        <v>0.71</v>
      </c>
      <c r="DC330" s="0" t="n">
        <v>0.8775</v>
      </c>
      <c r="DD330" s="0" t="n">
        <v>0.67</v>
      </c>
      <c r="DE330" s="0" t="n">
        <v>0.89</v>
      </c>
      <c r="DN330" s="188" t="n">
        <v>0.000285</v>
      </c>
      <c r="DO330" s="188" t="n">
        <v>0.0002</v>
      </c>
      <c r="DP330" s="188" t="n">
        <v>0</v>
      </c>
      <c r="DQ330" s="188" t="n">
        <v>0.0001</v>
      </c>
      <c r="DR330" s="188" t="n">
        <v>0</v>
      </c>
      <c r="DS330" s="188" t="n">
        <v>0.0036</v>
      </c>
      <c r="DT330" s="188" t="n">
        <v>0.00047</v>
      </c>
      <c r="DW330" s="188" t="n">
        <v>0</v>
      </c>
      <c r="DX330" s="188" t="n">
        <v>0.0005</v>
      </c>
      <c r="DY330" s="188" t="n">
        <v>0.0005</v>
      </c>
      <c r="DZ330" s="188" t="n">
        <v>0.0003</v>
      </c>
      <c r="EA330" s="188" t="n">
        <v>0.000275</v>
      </c>
      <c r="EB330" s="188" t="n">
        <v>0.0004</v>
      </c>
      <c r="ED330" s="188" t="n">
        <v>6.5E-005</v>
      </c>
      <c r="EF330" s="0" t="n">
        <v>1</v>
      </c>
    </row>
    <row r="331" customFormat="false" ht="12.75" hidden="false" customHeight="false" outlineLevel="0" collapsed="false">
      <c r="B331" s="0" t="n">
        <v>0.98</v>
      </c>
      <c r="C331" s="0" t="n">
        <v>0</v>
      </c>
      <c r="E331" s="0" t="n">
        <v>0</v>
      </c>
      <c r="F331" s="0" t="n">
        <v>0</v>
      </c>
      <c r="G331" s="0" t="n">
        <v>0</v>
      </c>
      <c r="H331" s="0" t="n">
        <v>0</v>
      </c>
      <c r="I331" s="0" t="n">
        <v>0</v>
      </c>
      <c r="J331" s="0" t="n">
        <v>0.9805</v>
      </c>
      <c r="K331" s="0" t="n">
        <v>0</v>
      </c>
      <c r="L331" s="176" t="n">
        <v>0</v>
      </c>
      <c r="M331" s="176" t="n">
        <v>0</v>
      </c>
      <c r="N331" s="0" t="n">
        <v>0</v>
      </c>
      <c r="O331" s="0" t="n">
        <v>0</v>
      </c>
      <c r="P331" s="0" t="n">
        <v>0</v>
      </c>
      <c r="Q331" s="177" t="n">
        <v>0</v>
      </c>
      <c r="BB331" s="187" t="n">
        <v>1</v>
      </c>
      <c r="BC331" s="0" t="n">
        <v>1</v>
      </c>
      <c r="BD331" s="0" t="n">
        <v>1</v>
      </c>
      <c r="BE331" s="0" t="n">
        <v>1</v>
      </c>
      <c r="BF331" s="0" t="n">
        <v>0.9999</v>
      </c>
      <c r="BG331" s="0" t="n">
        <v>1</v>
      </c>
      <c r="BH331" s="0" t="n">
        <v>1</v>
      </c>
      <c r="BI331" s="0" t="n">
        <v>0.99</v>
      </c>
      <c r="BJ331" s="0" t="n">
        <v>0.999</v>
      </c>
      <c r="BK331" s="0" t="n">
        <v>0.998</v>
      </c>
      <c r="BL331" s="0" t="n">
        <v>0.9985</v>
      </c>
      <c r="BM331" s="0" t="n">
        <v>0.9985</v>
      </c>
      <c r="BN331" s="0" t="n">
        <v>0.972</v>
      </c>
      <c r="BO331" s="0" t="n">
        <v>0.9999</v>
      </c>
      <c r="BP331" s="0" t="n">
        <v>0.9999</v>
      </c>
      <c r="BQ331" s="0" t="n">
        <v>1</v>
      </c>
      <c r="CP331" s="0" t="n">
        <v>0.865</v>
      </c>
      <c r="DB331" s="0" t="n">
        <v>0.8</v>
      </c>
      <c r="DC331" s="0" t="n">
        <v>0.9</v>
      </c>
      <c r="DD331" s="0" t="n">
        <v>0.83</v>
      </c>
      <c r="DE331" s="0" t="n">
        <v>0.89</v>
      </c>
      <c r="DN331" s="188" t="n">
        <v>0.000285</v>
      </c>
      <c r="DO331" s="188" t="n">
        <v>0.0002</v>
      </c>
      <c r="DP331" s="188" t="n">
        <v>0</v>
      </c>
      <c r="DQ331" s="188" t="n">
        <v>0.0001</v>
      </c>
      <c r="DR331" s="188" t="n">
        <v>0</v>
      </c>
      <c r="DS331" s="188" t="n">
        <v>0.0036</v>
      </c>
      <c r="DT331" s="188" t="n">
        <v>0.00047</v>
      </c>
      <c r="DW331" s="188" t="n">
        <v>0</v>
      </c>
      <c r="DX331" s="188" t="n">
        <v>0.0005</v>
      </c>
      <c r="DY331" s="188" t="n">
        <v>0.0005</v>
      </c>
      <c r="DZ331" s="188" t="n">
        <v>0.0003</v>
      </c>
      <c r="EA331" s="188" t="n">
        <v>0.000275</v>
      </c>
      <c r="EB331" s="188" t="n">
        <v>0.0004</v>
      </c>
      <c r="ED331" s="0" t="n">
        <v>6.5E-005</v>
      </c>
      <c r="EF331" s="0" t="n">
        <v>1</v>
      </c>
    </row>
    <row r="332" customFormat="false" ht="12.75" hidden="false" customHeight="false" outlineLevel="0" collapsed="false">
      <c r="B332" s="0" t="n">
        <v>0.98</v>
      </c>
      <c r="C332" s="0" t="n">
        <v>0</v>
      </c>
      <c r="E332" s="0" t="n">
        <v>0</v>
      </c>
      <c r="F332" s="0" t="n">
        <v>0</v>
      </c>
      <c r="G332" s="0" t="n">
        <v>0</v>
      </c>
      <c r="H332" s="0" t="n">
        <v>0</v>
      </c>
      <c r="I332" s="0" t="n">
        <v>0</v>
      </c>
      <c r="J332" s="0" t="n">
        <v>0.9805</v>
      </c>
      <c r="K332" s="0" t="n">
        <v>0</v>
      </c>
      <c r="L332" s="176" t="n">
        <v>0</v>
      </c>
      <c r="M332" s="176" t="n">
        <v>0</v>
      </c>
      <c r="N332" s="0" t="n">
        <v>0</v>
      </c>
      <c r="O332" s="0" t="n">
        <v>0</v>
      </c>
      <c r="P332" s="0" t="n">
        <v>0</v>
      </c>
      <c r="Q332" s="177" t="n">
        <v>0</v>
      </c>
      <c r="BB332" s="187" t="n">
        <v>1</v>
      </c>
      <c r="BC332" s="0" t="n">
        <v>1</v>
      </c>
      <c r="BD332" s="0" t="n">
        <v>1</v>
      </c>
      <c r="BE332" s="0" t="n">
        <v>1</v>
      </c>
      <c r="BF332" s="0" t="n">
        <v>0.9999</v>
      </c>
      <c r="BG332" s="0" t="n">
        <v>1</v>
      </c>
      <c r="BH332" s="0" t="n">
        <v>1</v>
      </c>
      <c r="BI332" s="0" t="n">
        <v>0.99</v>
      </c>
      <c r="BJ332" s="0" t="n">
        <v>0.999</v>
      </c>
      <c r="BK332" s="0" t="n">
        <v>0.998</v>
      </c>
      <c r="BL332" s="0" t="n">
        <v>0.9985</v>
      </c>
      <c r="BM332" s="0" t="n">
        <v>0.9985</v>
      </c>
      <c r="BN332" s="0" t="n">
        <v>0.972</v>
      </c>
      <c r="BO332" s="0" t="n">
        <v>0.9999</v>
      </c>
      <c r="BP332" s="0" t="n">
        <v>0.9999</v>
      </c>
      <c r="CP332" s="0" t="n">
        <v>0.895</v>
      </c>
      <c r="DB332" s="0" t="n">
        <v>0.85</v>
      </c>
      <c r="DC332" s="0" t="n">
        <v>0.903</v>
      </c>
      <c r="DD332" s="0" t="n">
        <v>0.92</v>
      </c>
      <c r="DE332" s="0" t="n">
        <v>0.89</v>
      </c>
      <c r="DN332" s="0" t="n">
        <v>0.000285</v>
      </c>
      <c r="DO332" s="0" t="n">
        <v>0.0002</v>
      </c>
      <c r="DP332" s="188" t="n">
        <v>0</v>
      </c>
      <c r="DQ332" s="0" t="n">
        <v>0.0001</v>
      </c>
      <c r="DR332" s="0" t="n">
        <v>0</v>
      </c>
      <c r="DS332" s="0" t="n">
        <v>0.0036</v>
      </c>
      <c r="DT332" s="0" t="n">
        <v>0.00047</v>
      </c>
      <c r="DW332" s="0" t="n">
        <v>0</v>
      </c>
      <c r="DX332" s="0" t="n">
        <v>0.0005</v>
      </c>
      <c r="DY332" s="0" t="n">
        <v>0.0005</v>
      </c>
      <c r="DZ332" s="0" t="n">
        <v>0.0003</v>
      </c>
      <c r="EA332" s="0" t="n">
        <v>0.000275</v>
      </c>
      <c r="EB332" s="0" t="n">
        <v>0.0004</v>
      </c>
    </row>
    <row r="333" customFormat="false" ht="12.75" hidden="false" customHeight="false" outlineLevel="0" collapsed="false">
      <c r="B333" s="0" t="n">
        <v>0.98</v>
      </c>
      <c r="C333" s="0" t="n">
        <v>0</v>
      </c>
      <c r="E333" s="0" t="n">
        <v>0</v>
      </c>
      <c r="F333" s="0" t="n">
        <v>0</v>
      </c>
      <c r="G333" s="0" t="n">
        <v>0</v>
      </c>
      <c r="H333" s="0" t="n">
        <v>0</v>
      </c>
      <c r="I333" s="0" t="n">
        <v>0</v>
      </c>
      <c r="J333" s="0" t="n">
        <v>0.9805</v>
      </c>
      <c r="K333" s="0" t="n">
        <v>0</v>
      </c>
      <c r="L333" s="176" t="n">
        <v>0</v>
      </c>
      <c r="M333" s="176" t="n">
        <v>0</v>
      </c>
      <c r="N333" s="0" t="n">
        <v>0</v>
      </c>
      <c r="O333" s="0" t="n">
        <v>0</v>
      </c>
      <c r="P333" s="0" t="n">
        <v>0</v>
      </c>
      <c r="Q333" s="177" t="n">
        <v>0</v>
      </c>
      <c r="BB333" s="187" t="n">
        <v>1</v>
      </c>
      <c r="BC333" s="0" t="n">
        <v>1</v>
      </c>
      <c r="BD333" s="0" t="n">
        <v>1</v>
      </c>
      <c r="BE333" s="0" t="n">
        <v>1</v>
      </c>
      <c r="BF333" s="0" t="n">
        <v>0.9999</v>
      </c>
      <c r="BG333" s="0" t="n">
        <v>1</v>
      </c>
      <c r="BH333" s="0" t="n">
        <v>1</v>
      </c>
      <c r="BI333" s="0" t="n">
        <v>0.99</v>
      </c>
      <c r="BJ333" s="0" t="n">
        <v>0.999</v>
      </c>
      <c r="BK333" s="0" t="n">
        <v>0.998</v>
      </c>
      <c r="BL333" s="0" t="n">
        <v>0.9985</v>
      </c>
      <c r="BM333" s="0" t="n">
        <v>0.9985</v>
      </c>
      <c r="BN333" s="0" t="n">
        <v>0.972</v>
      </c>
      <c r="BO333" s="0" t="n">
        <v>0.9999</v>
      </c>
      <c r="BP333" s="0" t="n">
        <v>0.9999</v>
      </c>
      <c r="CP333" s="0" t="n">
        <v>0.965</v>
      </c>
      <c r="DB333" s="0" t="n">
        <v>0.88</v>
      </c>
      <c r="DC333" s="0" t="n">
        <v>0.9</v>
      </c>
      <c r="DD333" s="0" t="n">
        <v>0.935</v>
      </c>
      <c r="DE333" s="0" t="n">
        <v>0.89</v>
      </c>
    </row>
    <row r="334" customFormat="false" ht="12.75" hidden="false" customHeight="false" outlineLevel="0" collapsed="false">
      <c r="B334" s="0" t="n">
        <v>0.98</v>
      </c>
      <c r="C334" s="0" t="n">
        <v>0</v>
      </c>
      <c r="E334" s="0" t="n">
        <v>0</v>
      </c>
      <c r="F334" s="0" t="n">
        <v>0</v>
      </c>
      <c r="G334" s="0" t="n">
        <v>0</v>
      </c>
      <c r="H334" s="0" t="n">
        <v>0</v>
      </c>
      <c r="I334" s="0" t="n">
        <v>0</v>
      </c>
      <c r="J334" s="0" t="n">
        <v>0.9805</v>
      </c>
      <c r="K334" s="0" t="n">
        <v>0</v>
      </c>
      <c r="L334" s="176" t="n">
        <v>0</v>
      </c>
      <c r="M334" s="176" t="n">
        <v>0</v>
      </c>
      <c r="N334" s="0" t="n">
        <v>0</v>
      </c>
      <c r="O334" s="0" t="n">
        <v>0</v>
      </c>
      <c r="P334" s="0" t="n">
        <v>0</v>
      </c>
      <c r="Q334" s="177" t="n">
        <v>0</v>
      </c>
      <c r="BB334" s="187" t="n">
        <v>1</v>
      </c>
      <c r="BC334" s="0" t="n">
        <v>1</v>
      </c>
      <c r="BD334" s="0" t="n">
        <v>1</v>
      </c>
      <c r="BE334" s="0" t="n">
        <v>1</v>
      </c>
      <c r="BF334" s="0" t="n">
        <v>0.9999</v>
      </c>
      <c r="BG334" s="0" t="n">
        <v>1</v>
      </c>
      <c r="BH334" s="0" t="n">
        <v>1</v>
      </c>
      <c r="BI334" s="0" t="n">
        <v>0.99</v>
      </c>
      <c r="BJ334" s="0" t="n">
        <v>0.999</v>
      </c>
      <c r="BK334" s="0" t="n">
        <v>0.998</v>
      </c>
      <c r="BL334" s="0" t="n">
        <v>0.9985</v>
      </c>
      <c r="BM334" s="0" t="n">
        <v>0.9985</v>
      </c>
      <c r="BN334" s="0" t="n">
        <v>0.972</v>
      </c>
      <c r="BO334" s="0" t="n">
        <v>0.9999</v>
      </c>
      <c r="BP334" s="0" t="n">
        <v>0.9999</v>
      </c>
      <c r="CP334" s="0" t="n">
        <v>0.965</v>
      </c>
      <c r="DB334" s="0" t="n">
        <v>0.88</v>
      </c>
      <c r="DC334" s="0" t="n">
        <v>0.9025</v>
      </c>
      <c r="DD334" s="0" t="n">
        <v>0.915</v>
      </c>
      <c r="DE334" s="0" t="n">
        <v>0.89</v>
      </c>
    </row>
    <row r="335" customFormat="false" ht="12.75" hidden="false" customHeight="false" outlineLevel="0" collapsed="false">
      <c r="B335" s="0" t="n">
        <v>0.98</v>
      </c>
      <c r="C335" s="0" t="n">
        <v>0</v>
      </c>
      <c r="E335" s="0" t="n">
        <v>0</v>
      </c>
      <c r="F335" s="0" t="n">
        <v>0</v>
      </c>
      <c r="G335" s="0" t="n">
        <v>0</v>
      </c>
      <c r="H335" s="0" t="n">
        <v>0</v>
      </c>
      <c r="I335" s="0" t="n">
        <v>0</v>
      </c>
      <c r="J335" s="0" t="n">
        <v>0.9805</v>
      </c>
      <c r="K335" s="0" t="n">
        <v>0</v>
      </c>
      <c r="L335" s="176" t="n">
        <v>0</v>
      </c>
      <c r="M335" s="176" t="n">
        <v>0</v>
      </c>
      <c r="N335" s="0" t="n">
        <v>0</v>
      </c>
      <c r="O335" s="0" t="n">
        <v>0</v>
      </c>
      <c r="P335" s="0" t="n">
        <v>0</v>
      </c>
      <c r="Q335" s="177" t="n">
        <v>0</v>
      </c>
      <c r="BB335" s="187" t="n">
        <v>1</v>
      </c>
      <c r="BC335" s="0" t="n">
        <v>1</v>
      </c>
      <c r="BD335" s="0" t="n">
        <v>1</v>
      </c>
      <c r="BE335" s="0" t="n">
        <v>1</v>
      </c>
      <c r="BF335" s="0" t="n">
        <v>0.9999</v>
      </c>
      <c r="BG335" s="0" t="n">
        <v>1</v>
      </c>
      <c r="BH335" s="0" t="n">
        <v>1</v>
      </c>
      <c r="BI335" s="0" t="n">
        <v>0.99</v>
      </c>
      <c r="BJ335" s="0" t="n">
        <v>0.999</v>
      </c>
      <c r="BK335" s="0" t="n">
        <v>0.998</v>
      </c>
      <c r="BL335" s="0" t="n">
        <v>0.9985</v>
      </c>
      <c r="BM335" s="0" t="n">
        <v>0.9985</v>
      </c>
      <c r="BN335" s="0" t="n">
        <v>0.972</v>
      </c>
      <c r="BO335" s="0" t="n">
        <v>0.9999</v>
      </c>
      <c r="BP335" s="0" t="n">
        <v>0.9999</v>
      </c>
      <c r="CP335" s="0" t="n">
        <v>0.975</v>
      </c>
      <c r="DB335" s="0" t="n">
        <v>0.89</v>
      </c>
      <c r="DC335" s="0" t="n">
        <v>0.9075</v>
      </c>
      <c r="DD335" s="0" t="n">
        <v>0.915</v>
      </c>
      <c r="DE335" s="0" t="n">
        <v>0.89</v>
      </c>
    </row>
    <row r="336" customFormat="false" ht="12.75" hidden="false" customHeight="false" outlineLevel="0" collapsed="false">
      <c r="B336" s="0" t="n">
        <v>0.98</v>
      </c>
      <c r="C336" s="0" t="n">
        <v>0</v>
      </c>
      <c r="E336" s="0" t="n">
        <v>0</v>
      </c>
      <c r="F336" s="0" t="n">
        <v>0</v>
      </c>
      <c r="G336" s="0" t="n">
        <v>0</v>
      </c>
      <c r="H336" s="0" t="n">
        <v>0</v>
      </c>
      <c r="I336" s="0" t="n">
        <v>0</v>
      </c>
      <c r="J336" s="0" t="n">
        <v>0.9805</v>
      </c>
      <c r="K336" s="0" t="n">
        <v>0</v>
      </c>
      <c r="L336" s="176" t="n">
        <v>0</v>
      </c>
      <c r="M336" s="176" t="n">
        <v>0</v>
      </c>
      <c r="N336" s="0" t="n">
        <v>0</v>
      </c>
      <c r="O336" s="0" t="n">
        <v>0</v>
      </c>
      <c r="P336" s="0" t="n">
        <v>0</v>
      </c>
      <c r="Q336" s="177" t="n">
        <v>0</v>
      </c>
      <c r="BB336" s="187" t="n">
        <v>1</v>
      </c>
      <c r="BC336" s="0" t="n">
        <v>1</v>
      </c>
      <c r="BD336" s="0" t="n">
        <v>1</v>
      </c>
      <c r="BE336" s="0" t="n">
        <v>1</v>
      </c>
      <c r="BF336" s="0" t="n">
        <v>0.9999</v>
      </c>
      <c r="BG336" s="0" t="n">
        <v>1</v>
      </c>
      <c r="BH336" s="0" t="n">
        <v>1</v>
      </c>
      <c r="BI336" s="0" t="n">
        <v>0.99</v>
      </c>
      <c r="BJ336" s="0" t="n">
        <v>0.999</v>
      </c>
      <c r="BK336" s="0" t="n">
        <v>0.998</v>
      </c>
      <c r="BL336" s="0" t="n">
        <v>0.9985</v>
      </c>
      <c r="BM336" s="0" t="n">
        <v>0.9985</v>
      </c>
      <c r="BN336" s="0" t="n">
        <v>0.972</v>
      </c>
      <c r="BO336" s="0" t="n">
        <v>0.9999</v>
      </c>
      <c r="BP336" s="0" t="n">
        <v>0.9999</v>
      </c>
      <c r="CP336" s="0" t="n">
        <v>0.975</v>
      </c>
      <c r="DB336" s="0" t="n">
        <v>0.915</v>
      </c>
      <c r="DC336" s="0" t="n">
        <v>0.9275</v>
      </c>
      <c r="DD336" s="0" t="n">
        <v>0.915</v>
      </c>
      <c r="DE336" s="0" t="n">
        <v>0.89</v>
      </c>
    </row>
    <row r="337" customFormat="false" ht="12.75" hidden="false" customHeight="false" outlineLevel="0" collapsed="false">
      <c r="B337" s="0" t="n">
        <v>0.98</v>
      </c>
      <c r="C337" s="0" t="n">
        <v>0</v>
      </c>
      <c r="E337" s="0" t="n">
        <v>0</v>
      </c>
      <c r="F337" s="0" t="n">
        <v>0</v>
      </c>
      <c r="G337" s="0" t="n">
        <v>0</v>
      </c>
      <c r="H337" s="0" t="n">
        <v>0</v>
      </c>
      <c r="I337" s="0" t="n">
        <v>0</v>
      </c>
      <c r="J337" s="0" t="n">
        <v>0.9805</v>
      </c>
      <c r="K337" s="0" t="n">
        <v>0</v>
      </c>
      <c r="L337" s="176" t="n">
        <v>0</v>
      </c>
      <c r="M337" s="176" t="n">
        <v>0</v>
      </c>
      <c r="N337" s="0" t="n">
        <v>0</v>
      </c>
      <c r="O337" s="0" t="n">
        <v>0</v>
      </c>
      <c r="P337" s="0" t="n">
        <v>0</v>
      </c>
      <c r="Q337" s="177" t="n">
        <v>0</v>
      </c>
      <c r="BB337" s="187" t="n">
        <v>1</v>
      </c>
      <c r="BC337" s="0" t="n">
        <v>1</v>
      </c>
      <c r="BD337" s="0" t="n">
        <v>1</v>
      </c>
      <c r="BE337" s="0" t="n">
        <v>1</v>
      </c>
      <c r="BF337" s="0" t="n">
        <v>0.9999</v>
      </c>
      <c r="BG337" s="0" t="n">
        <v>1</v>
      </c>
      <c r="BH337" s="0" t="n">
        <v>1</v>
      </c>
      <c r="BI337" s="0" t="n">
        <v>0.99</v>
      </c>
      <c r="BJ337" s="0" t="n">
        <v>0.999</v>
      </c>
      <c r="BK337" s="0" t="n">
        <v>0.998</v>
      </c>
      <c r="BL337" s="0" t="n">
        <v>0.9985</v>
      </c>
      <c r="BM337" s="0" t="n">
        <v>0.9985</v>
      </c>
      <c r="BN337" s="0" t="n">
        <v>0.972</v>
      </c>
      <c r="BO337" s="0" t="n">
        <v>0.9999</v>
      </c>
      <c r="BP337" s="0" t="n">
        <v>0.9999</v>
      </c>
      <c r="CP337" s="0" t="n">
        <v>0.975</v>
      </c>
      <c r="DB337" s="0" t="n">
        <v>0.945</v>
      </c>
      <c r="DC337" s="0" t="n">
        <v>0.92</v>
      </c>
      <c r="DD337" s="0" t="n">
        <v>0.915</v>
      </c>
      <c r="DE337" s="0" t="n">
        <v>0.89</v>
      </c>
    </row>
    <row r="338" customFormat="false" ht="12.75" hidden="false" customHeight="false" outlineLevel="0" collapsed="false">
      <c r="B338" s="0" t="n">
        <v>0.98</v>
      </c>
      <c r="C338" s="0" t="n">
        <v>0</v>
      </c>
      <c r="E338" s="0" t="n">
        <v>0</v>
      </c>
      <c r="F338" s="0" t="n">
        <v>0</v>
      </c>
      <c r="G338" s="0" t="n">
        <v>0</v>
      </c>
      <c r="H338" s="0" t="n">
        <v>0</v>
      </c>
      <c r="I338" s="0" t="n">
        <v>0</v>
      </c>
      <c r="J338" s="0" t="n">
        <v>0.9805</v>
      </c>
      <c r="K338" s="0" t="n">
        <v>0</v>
      </c>
      <c r="L338" s="176" t="n">
        <v>0</v>
      </c>
      <c r="M338" s="176" t="n">
        <v>0</v>
      </c>
      <c r="N338" s="0" t="n">
        <v>0</v>
      </c>
      <c r="O338" s="0" t="n">
        <v>0</v>
      </c>
      <c r="P338" s="0" t="n">
        <v>0</v>
      </c>
      <c r="Q338" s="177" t="n">
        <v>0</v>
      </c>
      <c r="BB338" s="187" t="n">
        <v>1</v>
      </c>
      <c r="BC338" s="0" t="n">
        <v>1</v>
      </c>
      <c r="BD338" s="0" t="n">
        <v>1</v>
      </c>
      <c r="BE338" s="0" t="n">
        <v>1</v>
      </c>
      <c r="BF338" s="0" t="n">
        <v>0.9999</v>
      </c>
      <c r="BG338" s="0" t="n">
        <v>1</v>
      </c>
      <c r="BH338" s="0" t="n">
        <v>1</v>
      </c>
      <c r="BI338" s="0" t="n">
        <v>0.99</v>
      </c>
      <c r="BJ338" s="0" t="n">
        <v>0.999</v>
      </c>
      <c r="BK338" s="0" t="n">
        <v>0.998</v>
      </c>
      <c r="BL338" s="0" t="n">
        <v>0.9985</v>
      </c>
      <c r="BM338" s="0" t="n">
        <v>0.9985</v>
      </c>
      <c r="BN338" s="0" t="n">
        <v>0.972</v>
      </c>
      <c r="BO338" s="0" t="n">
        <v>0.9999</v>
      </c>
      <c r="BP338" s="0" t="n">
        <v>0.9999</v>
      </c>
      <c r="CP338" s="0" t="n">
        <v>0.955</v>
      </c>
      <c r="DB338" s="0" t="n">
        <v>0.875</v>
      </c>
      <c r="DC338" s="0" t="n">
        <v>0.9025</v>
      </c>
      <c r="DD338" s="0" t="n">
        <v>0.82</v>
      </c>
      <c r="DE338" s="0" t="n">
        <v>0.89</v>
      </c>
    </row>
    <row r="339" customFormat="false" ht="12.75" hidden="false" customHeight="false" outlineLevel="0" collapsed="false">
      <c r="B339" s="0" t="n">
        <v>0.98</v>
      </c>
      <c r="C339" s="0" t="n">
        <v>0</v>
      </c>
      <c r="E339" s="0" t="n">
        <v>0</v>
      </c>
      <c r="F339" s="0" t="n">
        <v>0</v>
      </c>
      <c r="G339" s="0" t="n">
        <v>0</v>
      </c>
      <c r="H339" s="0" t="n">
        <v>0</v>
      </c>
      <c r="I339" s="0" t="n">
        <v>0</v>
      </c>
      <c r="J339" s="0" t="n">
        <v>0.9805</v>
      </c>
      <c r="K339" s="0" t="n">
        <v>0</v>
      </c>
      <c r="L339" s="176" t="n">
        <v>0</v>
      </c>
      <c r="M339" s="176" t="n">
        <v>0</v>
      </c>
      <c r="N339" s="0" t="n">
        <v>0</v>
      </c>
      <c r="O339" s="0" t="n">
        <v>0</v>
      </c>
      <c r="P339" s="0" t="n">
        <v>0</v>
      </c>
      <c r="Q339" s="177" t="n">
        <v>0</v>
      </c>
      <c r="BB339" s="187" t="n">
        <v>1</v>
      </c>
      <c r="BC339" s="0" t="n">
        <v>1</v>
      </c>
      <c r="BD339" s="0" t="n">
        <v>1</v>
      </c>
      <c r="BE339" s="0" t="n">
        <v>1</v>
      </c>
      <c r="BF339" s="0" t="n">
        <v>0.9999</v>
      </c>
      <c r="BG339" s="0" t="n">
        <v>1</v>
      </c>
      <c r="BH339" s="0" t="n">
        <v>1</v>
      </c>
      <c r="BI339" s="0" t="n">
        <v>0.99</v>
      </c>
      <c r="BJ339" s="0" t="n">
        <v>0.999</v>
      </c>
      <c r="BK339" s="0" t="n">
        <v>0.998</v>
      </c>
      <c r="BL339" s="0" t="n">
        <v>0.9985</v>
      </c>
      <c r="BM339" s="0" t="n">
        <v>0.9985</v>
      </c>
      <c r="BN339" s="0" t="n">
        <v>0.972</v>
      </c>
      <c r="BO339" s="0" t="n">
        <v>0.9999</v>
      </c>
      <c r="BP339" s="0" t="n">
        <v>0.9999</v>
      </c>
      <c r="CP339" s="0" t="n">
        <v>0.955</v>
      </c>
      <c r="DB339" s="0" t="n">
        <v>0.85</v>
      </c>
      <c r="DC339" s="0" t="n">
        <v>0.9025</v>
      </c>
      <c r="DD339" s="0" t="n">
        <v>0.82</v>
      </c>
      <c r="DE339" s="0" t="n">
        <v>0.89</v>
      </c>
    </row>
    <row r="340" customFormat="false" ht="12.75" hidden="false" customHeight="false" outlineLevel="0" collapsed="false">
      <c r="B340" s="0" t="n">
        <v>0.98</v>
      </c>
      <c r="C340" s="0" t="n">
        <v>0</v>
      </c>
      <c r="E340" s="0" t="n">
        <v>0</v>
      </c>
      <c r="F340" s="0" t="n">
        <v>0</v>
      </c>
      <c r="G340" s="0" t="n">
        <v>0</v>
      </c>
      <c r="H340" s="0" t="n">
        <v>0</v>
      </c>
      <c r="I340" s="0" t="n">
        <v>0</v>
      </c>
      <c r="J340" s="0" t="n">
        <v>0.9805</v>
      </c>
      <c r="K340" s="0" t="n">
        <v>0</v>
      </c>
      <c r="L340" s="176" t="n">
        <v>0</v>
      </c>
      <c r="M340" s="176" t="n">
        <v>0</v>
      </c>
      <c r="N340" s="0" t="n">
        <v>0</v>
      </c>
      <c r="O340" s="0" t="n">
        <v>0</v>
      </c>
      <c r="P340" s="0" t="n">
        <v>0</v>
      </c>
      <c r="Q340" s="177" t="n">
        <v>0</v>
      </c>
      <c r="BB340" s="187" t="n">
        <v>1</v>
      </c>
      <c r="BC340" s="0" t="n">
        <v>1</v>
      </c>
      <c r="BD340" s="0" t="n">
        <v>1</v>
      </c>
      <c r="BE340" s="0" t="n">
        <v>1</v>
      </c>
      <c r="BF340" s="0" t="n">
        <v>0.9999</v>
      </c>
      <c r="BG340" s="0" t="n">
        <v>1</v>
      </c>
      <c r="BH340" s="0" t="n">
        <v>1</v>
      </c>
      <c r="BI340" s="0" t="n">
        <v>0.99</v>
      </c>
      <c r="BJ340" s="0" t="n">
        <v>0.999</v>
      </c>
      <c r="BK340" s="0" t="n">
        <v>0.998</v>
      </c>
      <c r="BL340" s="0" t="n">
        <v>0.9985</v>
      </c>
      <c r="BM340" s="0" t="n">
        <v>0.9985</v>
      </c>
      <c r="BN340" s="0" t="n">
        <v>0.972</v>
      </c>
      <c r="BO340" s="0" t="n">
        <v>0.9999</v>
      </c>
      <c r="BP340" s="0" t="n">
        <v>0.9999</v>
      </c>
      <c r="CP340" s="0" t="n">
        <v>0.935</v>
      </c>
      <c r="DB340" s="0" t="n">
        <v>0.69</v>
      </c>
      <c r="DC340" s="0" t="n">
        <v>0.8925</v>
      </c>
      <c r="DD340" s="0" t="n">
        <v>0.715</v>
      </c>
      <c r="DE340" s="0" t="n">
        <v>0.89</v>
      </c>
    </row>
    <row r="341" customFormat="false" ht="12.75" hidden="false" customHeight="false" outlineLevel="0" collapsed="false">
      <c r="B341" s="0" t="n">
        <v>0.98</v>
      </c>
      <c r="C341" s="0" t="n">
        <v>0</v>
      </c>
      <c r="E341" s="0" t="n">
        <v>0</v>
      </c>
      <c r="F341" s="0" t="n">
        <v>0</v>
      </c>
      <c r="G341" s="0" t="n">
        <v>0</v>
      </c>
      <c r="H341" s="0" t="n">
        <v>0</v>
      </c>
      <c r="I341" s="0" t="n">
        <v>0</v>
      </c>
      <c r="J341" s="0" t="n">
        <v>0.9805</v>
      </c>
      <c r="K341" s="0" t="n">
        <v>0</v>
      </c>
      <c r="L341" s="176" t="n">
        <v>0</v>
      </c>
      <c r="M341" s="176" t="n">
        <v>0</v>
      </c>
      <c r="N341" s="0" t="n">
        <v>0</v>
      </c>
      <c r="O341" s="0" t="n">
        <v>0</v>
      </c>
      <c r="P341" s="0" t="n">
        <v>0</v>
      </c>
      <c r="Q341" s="177" t="n">
        <v>0</v>
      </c>
      <c r="BB341" s="187" t="n">
        <v>1</v>
      </c>
      <c r="BC341" s="0" t="n">
        <v>1</v>
      </c>
      <c r="BD341" s="0" t="n">
        <v>1</v>
      </c>
      <c r="BE341" s="0" t="n">
        <v>1</v>
      </c>
      <c r="BF341" s="0" t="n">
        <v>0.9999</v>
      </c>
      <c r="BG341" s="0" t="n">
        <v>1</v>
      </c>
      <c r="BH341" s="0" t="n">
        <v>1</v>
      </c>
      <c r="BI341" s="0" t="n">
        <v>0.99</v>
      </c>
      <c r="BJ341" s="0" t="n">
        <v>0.999</v>
      </c>
      <c r="BK341" s="0" t="n">
        <v>0.998</v>
      </c>
      <c r="BL341" s="0" t="n">
        <v>0.9985</v>
      </c>
      <c r="BM341" s="0" t="n">
        <v>0.9985</v>
      </c>
      <c r="BN341" s="0" t="n">
        <v>0.972</v>
      </c>
      <c r="BO341" s="0" t="n">
        <v>0.9999</v>
      </c>
      <c r="BP341" s="0" t="n">
        <v>0.9999</v>
      </c>
      <c r="DB341" s="0" t="n">
        <v>0.69</v>
      </c>
      <c r="DC341" s="0" t="n">
        <v>0.88</v>
      </c>
      <c r="DD341" s="0" t="n">
        <v>0.64</v>
      </c>
      <c r="DE341" s="0" t="n">
        <v>0.89</v>
      </c>
    </row>
    <row r="342" customFormat="false" ht="12.75" hidden="false" customHeight="false" outlineLevel="0" collapsed="false">
      <c r="B342" s="0" t="n">
        <v>0.98</v>
      </c>
      <c r="C342" s="0" t="n">
        <v>0</v>
      </c>
      <c r="E342" s="0" t="n">
        <v>0</v>
      </c>
      <c r="F342" s="0" t="n">
        <v>0</v>
      </c>
      <c r="G342" s="0" t="n">
        <v>0</v>
      </c>
      <c r="H342" s="0" t="n">
        <v>0</v>
      </c>
      <c r="I342" s="0" t="n">
        <v>0</v>
      </c>
      <c r="J342" s="0" t="n">
        <v>0.9805</v>
      </c>
      <c r="K342" s="0" t="n">
        <v>0</v>
      </c>
      <c r="L342" s="176" t="n">
        <v>0</v>
      </c>
      <c r="M342" s="176" t="n">
        <v>0</v>
      </c>
      <c r="N342" s="0" t="n">
        <v>0</v>
      </c>
      <c r="O342" s="0" t="n">
        <v>0</v>
      </c>
      <c r="P342" s="0" t="n">
        <v>0</v>
      </c>
      <c r="Q342" s="177" t="n">
        <v>0</v>
      </c>
      <c r="BB342" s="187" t="n">
        <v>1</v>
      </c>
      <c r="BC342" s="0" t="n">
        <v>1</v>
      </c>
      <c r="BD342" s="0" t="n">
        <v>1</v>
      </c>
      <c r="BE342" s="0" t="n">
        <v>1</v>
      </c>
      <c r="BF342" s="0" t="n">
        <v>0.9999</v>
      </c>
      <c r="BG342" s="0" t="n">
        <v>1</v>
      </c>
      <c r="BH342" s="0" t="n">
        <v>1</v>
      </c>
      <c r="BI342" s="0" t="n">
        <v>0.99</v>
      </c>
      <c r="BJ342" s="0" t="n">
        <v>0.999</v>
      </c>
      <c r="BK342" s="0" t="n">
        <v>0.998</v>
      </c>
      <c r="BL342" s="0" t="n">
        <v>0.9985</v>
      </c>
      <c r="BM342" s="0" t="n">
        <v>0.9985</v>
      </c>
      <c r="BN342" s="0" t="n">
        <v>0.972</v>
      </c>
      <c r="BO342" s="0" t="n">
        <v>0.9999</v>
      </c>
      <c r="BP342" s="0" t="n">
        <v>0.9999</v>
      </c>
      <c r="DB342" s="0" t="n">
        <v>0.71</v>
      </c>
      <c r="DC342" s="0" t="n">
        <v>0.8775</v>
      </c>
      <c r="DD342" s="0" t="n">
        <v>0.67</v>
      </c>
      <c r="DE342" s="0" t="n">
        <v>0.89</v>
      </c>
    </row>
    <row r="343" customFormat="false" ht="12.75" hidden="false" customHeight="false" outlineLevel="0" collapsed="false">
      <c r="B343" s="0" t="n">
        <v>0.98</v>
      </c>
      <c r="C343" s="0" t="n">
        <v>0</v>
      </c>
      <c r="E343" s="0" t="n">
        <v>0</v>
      </c>
      <c r="F343" s="0" t="n">
        <v>0</v>
      </c>
      <c r="G343" s="0" t="n">
        <v>0</v>
      </c>
      <c r="H343" s="0" t="n">
        <v>0</v>
      </c>
      <c r="I343" s="0" t="n">
        <v>0</v>
      </c>
      <c r="J343" s="0" t="n">
        <v>0.9805</v>
      </c>
      <c r="K343" s="0" t="n">
        <v>0</v>
      </c>
      <c r="L343" s="176" t="n">
        <v>0</v>
      </c>
      <c r="M343" s="176" t="n">
        <v>0</v>
      </c>
      <c r="N343" s="0" t="n">
        <v>0</v>
      </c>
      <c r="O343" s="0" t="n">
        <v>0</v>
      </c>
      <c r="P343" s="0" t="n">
        <v>0</v>
      </c>
      <c r="Q343" s="177" t="n">
        <v>0</v>
      </c>
      <c r="BB343" s="187" t="n">
        <v>1</v>
      </c>
      <c r="BC343" s="0" t="n">
        <v>1</v>
      </c>
      <c r="BD343" s="0" t="n">
        <v>1</v>
      </c>
      <c r="BE343" s="0" t="n">
        <v>1</v>
      </c>
      <c r="BF343" s="0" t="n">
        <v>0.9999</v>
      </c>
      <c r="BG343" s="0" t="n">
        <v>1</v>
      </c>
      <c r="BH343" s="0" t="n">
        <v>1</v>
      </c>
      <c r="BI343" s="0" t="n">
        <v>0.99</v>
      </c>
      <c r="BJ343" s="0" t="n">
        <v>0.999</v>
      </c>
      <c r="BK343" s="0" t="n">
        <v>0.998</v>
      </c>
      <c r="BL343" s="0" t="n">
        <v>0.9985</v>
      </c>
      <c r="BM343" s="0" t="n">
        <v>0.9985</v>
      </c>
      <c r="BN343" s="0" t="n">
        <v>0.972</v>
      </c>
      <c r="BO343" s="0" t="n">
        <v>0.9999</v>
      </c>
      <c r="BP343" s="0" t="n">
        <v>0.9999</v>
      </c>
      <c r="DB343" s="0" t="n">
        <v>0.8</v>
      </c>
      <c r="DC343" s="0" t="n">
        <v>0.9</v>
      </c>
      <c r="DD343" s="0" t="n">
        <v>0.83</v>
      </c>
      <c r="DE343" s="0" t="n">
        <v>0.89</v>
      </c>
    </row>
    <row r="344" customFormat="false" ht="12.75" hidden="false" customHeight="false" outlineLevel="0" collapsed="false">
      <c r="B344" s="0" t="n">
        <v>0.98</v>
      </c>
      <c r="C344" s="0" t="n">
        <v>0</v>
      </c>
      <c r="E344" s="0" t="n">
        <v>0</v>
      </c>
      <c r="F344" s="0" t="n">
        <v>0</v>
      </c>
      <c r="G344" s="0" t="n">
        <v>0</v>
      </c>
      <c r="H344" s="0" t="n">
        <v>0</v>
      </c>
      <c r="I344" s="0" t="n">
        <v>0</v>
      </c>
      <c r="J344" s="0" t="n">
        <v>0.9805</v>
      </c>
      <c r="K344" s="0" t="n">
        <v>0</v>
      </c>
      <c r="L344" s="176" t="n">
        <v>0</v>
      </c>
      <c r="M344" s="176" t="n">
        <v>0</v>
      </c>
      <c r="N344" s="0" t="n">
        <v>0</v>
      </c>
      <c r="O344" s="0" t="n">
        <v>0</v>
      </c>
      <c r="P344" s="0" t="n">
        <v>0</v>
      </c>
      <c r="Q344" s="177" t="n">
        <v>0</v>
      </c>
      <c r="BB344" s="187" t="n">
        <v>1</v>
      </c>
      <c r="BC344" s="0" t="n">
        <v>1</v>
      </c>
      <c r="BD344" s="0" t="n">
        <v>1</v>
      </c>
      <c r="BE344" s="0" t="n">
        <v>1</v>
      </c>
      <c r="BF344" s="0" t="n">
        <v>0.9999</v>
      </c>
      <c r="BG344" s="0" t="n">
        <v>1</v>
      </c>
      <c r="BH344" s="0" t="n">
        <v>1</v>
      </c>
      <c r="BI344" s="0" t="n">
        <v>0.99</v>
      </c>
      <c r="BJ344" s="0" t="n">
        <v>0.999</v>
      </c>
      <c r="BK344" s="0" t="n">
        <v>0.998</v>
      </c>
      <c r="BL344" s="0" t="n">
        <v>0.9985</v>
      </c>
      <c r="BM344" s="0" t="n">
        <v>0.9985</v>
      </c>
      <c r="BN344" s="0" t="n">
        <v>0.972</v>
      </c>
      <c r="BO344" s="0" t="n">
        <v>0.9999</v>
      </c>
      <c r="BP344" s="0" t="n">
        <v>0.9999</v>
      </c>
      <c r="DB344" s="0" t="n">
        <v>0.85</v>
      </c>
      <c r="DC344" s="0" t="n">
        <v>0.903</v>
      </c>
      <c r="DD344" s="0" t="n">
        <v>0.92</v>
      </c>
      <c r="DE344" s="0" t="n">
        <v>0.89</v>
      </c>
    </row>
    <row r="345" customFormat="false" ht="12.75" hidden="false" customHeight="false" outlineLevel="0" collapsed="false">
      <c r="B345" s="0" t="n">
        <v>0.98</v>
      </c>
      <c r="C345" s="0" t="n">
        <v>0</v>
      </c>
      <c r="E345" s="0" t="n">
        <v>0</v>
      </c>
      <c r="F345" s="0" t="n">
        <v>0</v>
      </c>
      <c r="G345" s="0" t="n">
        <v>0</v>
      </c>
      <c r="H345" s="0" t="n">
        <v>0</v>
      </c>
      <c r="I345" s="0" t="n">
        <v>0</v>
      </c>
      <c r="J345" s="0" t="n">
        <v>0.9805</v>
      </c>
      <c r="K345" s="0" t="n">
        <v>0</v>
      </c>
      <c r="L345" s="176" t="n">
        <v>0</v>
      </c>
      <c r="M345" s="176" t="n">
        <v>0</v>
      </c>
      <c r="N345" s="0" t="n">
        <v>0</v>
      </c>
      <c r="O345" s="0" t="n">
        <v>0</v>
      </c>
      <c r="P345" s="0" t="n">
        <v>0</v>
      </c>
      <c r="Q345" s="177" t="n">
        <v>0</v>
      </c>
      <c r="BB345" s="187" t="n">
        <v>1</v>
      </c>
      <c r="BC345" s="0" t="n">
        <v>1</v>
      </c>
      <c r="BD345" s="0" t="n">
        <v>1</v>
      </c>
      <c r="BE345" s="0" t="n">
        <v>1</v>
      </c>
      <c r="BF345" s="0" t="n">
        <v>0.9999</v>
      </c>
      <c r="BG345" s="0" t="n">
        <v>1</v>
      </c>
      <c r="BH345" s="0" t="n">
        <v>1</v>
      </c>
      <c r="BI345" s="0" t="n">
        <v>0.99</v>
      </c>
      <c r="BJ345" s="0" t="n">
        <v>0.999</v>
      </c>
      <c r="BK345" s="0" t="n">
        <v>0.998</v>
      </c>
      <c r="BL345" s="0" t="n">
        <v>0.9985</v>
      </c>
      <c r="BM345" s="0" t="n">
        <v>0.9985</v>
      </c>
      <c r="BN345" s="0" t="n">
        <v>0.972</v>
      </c>
      <c r="BO345" s="0" t="n">
        <v>0.9999</v>
      </c>
      <c r="BP345" s="0" t="n">
        <v>0.9999</v>
      </c>
      <c r="DB345" s="0" t="n">
        <v>0.88</v>
      </c>
      <c r="DC345" s="0" t="n">
        <v>0.9</v>
      </c>
      <c r="DD345" s="0" t="n">
        <v>0.935</v>
      </c>
      <c r="DE345" s="0" t="n">
        <v>0.89</v>
      </c>
    </row>
    <row r="346" customFormat="false" ht="12.75" hidden="false" customHeight="false" outlineLevel="0" collapsed="false">
      <c r="B346" s="0" t="n">
        <v>0.98</v>
      </c>
      <c r="C346" s="0" t="n">
        <v>0</v>
      </c>
      <c r="E346" s="0" t="n">
        <v>0</v>
      </c>
      <c r="F346" s="0" t="n">
        <v>0</v>
      </c>
      <c r="G346" s="0" t="n">
        <v>0</v>
      </c>
      <c r="H346" s="0" t="n">
        <v>0</v>
      </c>
      <c r="I346" s="0" t="n">
        <v>0</v>
      </c>
      <c r="J346" s="0" t="n">
        <v>0.9805</v>
      </c>
      <c r="K346" s="0" t="n">
        <v>0</v>
      </c>
      <c r="L346" s="176" t="n">
        <v>0</v>
      </c>
      <c r="M346" s="176" t="n">
        <v>0</v>
      </c>
      <c r="N346" s="0" t="n">
        <v>0</v>
      </c>
      <c r="O346" s="0" t="n">
        <v>0</v>
      </c>
      <c r="P346" s="0" t="n">
        <v>0</v>
      </c>
      <c r="Q346" s="177" t="n">
        <v>0</v>
      </c>
      <c r="BB346" s="187" t="n">
        <v>1</v>
      </c>
      <c r="BC346" s="0" t="n">
        <v>1</v>
      </c>
      <c r="BD346" s="0" t="n">
        <v>1</v>
      </c>
      <c r="BE346" s="0" t="n">
        <v>1</v>
      </c>
      <c r="BF346" s="0" t="n">
        <v>0.9999</v>
      </c>
      <c r="BG346" s="0" t="n">
        <v>1</v>
      </c>
      <c r="BH346" s="0" t="n">
        <v>1</v>
      </c>
      <c r="BI346" s="0" t="n">
        <v>0.99</v>
      </c>
      <c r="BJ346" s="0" t="n">
        <v>0.999</v>
      </c>
      <c r="BK346" s="0" t="n">
        <v>0.998</v>
      </c>
      <c r="BL346" s="0" t="n">
        <v>0.9985</v>
      </c>
      <c r="BM346" s="0" t="n">
        <v>0.9985</v>
      </c>
      <c r="BN346" s="0" t="n">
        <v>0.972</v>
      </c>
      <c r="BO346" s="0" t="n">
        <v>0.9999</v>
      </c>
      <c r="BP346" s="0" t="n">
        <v>0.9999</v>
      </c>
      <c r="DB346" s="0" t="n">
        <v>0.88</v>
      </c>
      <c r="DC346" s="0" t="n">
        <v>0.9025</v>
      </c>
      <c r="DD346" s="0" t="n">
        <v>0.915</v>
      </c>
      <c r="DE346" s="0" t="n">
        <v>0.89</v>
      </c>
    </row>
    <row r="347" customFormat="false" ht="12.75" hidden="false" customHeight="false" outlineLevel="0" collapsed="false">
      <c r="B347" s="0" t="n">
        <v>0.98</v>
      </c>
      <c r="C347" s="0" t="n">
        <v>0</v>
      </c>
      <c r="E347" s="0" t="n">
        <v>0</v>
      </c>
      <c r="F347" s="0" t="n">
        <v>0</v>
      </c>
      <c r="G347" s="0" t="n">
        <v>0</v>
      </c>
      <c r="H347" s="0" t="n">
        <v>0</v>
      </c>
      <c r="I347" s="0" t="n">
        <v>0</v>
      </c>
      <c r="J347" s="0" t="n">
        <v>0.9805</v>
      </c>
      <c r="K347" s="0" t="n">
        <v>0</v>
      </c>
      <c r="L347" s="176" t="n">
        <v>0</v>
      </c>
      <c r="M347" s="176" t="n">
        <v>0</v>
      </c>
      <c r="N347" s="0" t="n">
        <v>0</v>
      </c>
      <c r="O347" s="0" t="n">
        <v>0</v>
      </c>
      <c r="P347" s="0" t="n">
        <v>0</v>
      </c>
      <c r="Q347" s="177" t="n">
        <v>0</v>
      </c>
      <c r="BB347" s="187" t="n">
        <v>1</v>
      </c>
      <c r="BC347" s="0" t="n">
        <v>1</v>
      </c>
      <c r="BD347" s="0" t="n">
        <v>1</v>
      </c>
      <c r="BE347" s="0" t="n">
        <v>1</v>
      </c>
      <c r="BF347" s="0" t="n">
        <v>0.9999</v>
      </c>
      <c r="BG347" s="0" t="n">
        <v>1</v>
      </c>
      <c r="BH347" s="0" t="n">
        <v>1</v>
      </c>
      <c r="BI347" s="0" t="n">
        <v>0.99</v>
      </c>
      <c r="BJ347" s="0" t="n">
        <v>0.999</v>
      </c>
      <c r="BK347" s="0" t="n">
        <v>0.998</v>
      </c>
      <c r="BL347" s="0" t="n">
        <v>0.9985</v>
      </c>
      <c r="BM347" s="0" t="n">
        <v>0.9985</v>
      </c>
      <c r="BN347" s="0" t="n">
        <v>0.972</v>
      </c>
      <c r="BO347" s="0" t="n">
        <v>0.9999</v>
      </c>
      <c r="BP347" s="0" t="n">
        <v>0.9999</v>
      </c>
      <c r="DB347" s="0" t="n">
        <v>0.89</v>
      </c>
      <c r="DC347" s="0" t="n">
        <v>0.9075</v>
      </c>
      <c r="DD347" s="0" t="n">
        <v>0.915</v>
      </c>
      <c r="DE347" s="0" t="n">
        <v>0.89</v>
      </c>
    </row>
    <row r="348" customFormat="false" ht="12.75" hidden="false" customHeight="false" outlineLevel="0" collapsed="false">
      <c r="B348" s="0" t="n">
        <v>0.98</v>
      </c>
      <c r="C348" s="0" t="n">
        <v>0</v>
      </c>
      <c r="E348" s="0" t="n">
        <v>0</v>
      </c>
      <c r="F348" s="0" t="n">
        <v>0</v>
      </c>
      <c r="G348" s="0" t="n">
        <v>0</v>
      </c>
      <c r="H348" s="0" t="n">
        <v>0</v>
      </c>
      <c r="I348" s="0" t="n">
        <v>0</v>
      </c>
      <c r="J348" s="0" t="n">
        <v>0.9805</v>
      </c>
      <c r="K348" s="0" t="n">
        <v>0</v>
      </c>
      <c r="L348" s="176" t="n">
        <v>0</v>
      </c>
      <c r="M348" s="176" t="n">
        <v>0</v>
      </c>
      <c r="N348" s="0" t="n">
        <v>0</v>
      </c>
      <c r="O348" s="0" t="n">
        <v>0</v>
      </c>
      <c r="P348" s="0" t="n">
        <v>0</v>
      </c>
      <c r="Q348" s="177" t="n">
        <v>0</v>
      </c>
      <c r="BB348" s="187" t="n">
        <v>1</v>
      </c>
      <c r="BC348" s="0" t="n">
        <v>1</v>
      </c>
      <c r="BD348" s="0" t="n">
        <v>1</v>
      </c>
      <c r="BE348" s="0" t="n">
        <v>1</v>
      </c>
      <c r="BF348" s="0" t="n">
        <v>0.9999</v>
      </c>
      <c r="BG348" s="0" t="n">
        <v>1</v>
      </c>
      <c r="BH348" s="0" t="n">
        <v>1</v>
      </c>
      <c r="BI348" s="0" t="n">
        <v>0.99</v>
      </c>
      <c r="BJ348" s="0" t="n">
        <v>0.999</v>
      </c>
      <c r="BK348" s="0" t="n">
        <v>0.998</v>
      </c>
      <c r="BL348" s="0" t="n">
        <v>0.9985</v>
      </c>
      <c r="BM348" s="0" t="n">
        <v>0.9985</v>
      </c>
      <c r="BN348" s="0" t="n">
        <v>0.972</v>
      </c>
      <c r="BO348" s="0" t="n">
        <v>0.9999</v>
      </c>
      <c r="BP348" s="0" t="n">
        <v>0.9999</v>
      </c>
      <c r="DB348" s="0" t="n">
        <v>0.915</v>
      </c>
      <c r="DC348" s="0" t="n">
        <v>0.9275</v>
      </c>
      <c r="DD348" s="0" t="n">
        <v>0.915</v>
      </c>
      <c r="DE348" s="0" t="n">
        <v>0.89</v>
      </c>
    </row>
    <row r="349" customFormat="false" ht="12.75" hidden="false" customHeight="false" outlineLevel="0" collapsed="false">
      <c r="B349" s="0" t="n">
        <v>0.98</v>
      </c>
      <c r="C349" s="0" t="n">
        <v>0</v>
      </c>
      <c r="E349" s="0" t="n">
        <v>0</v>
      </c>
      <c r="F349" s="0" t="n">
        <v>0</v>
      </c>
      <c r="G349" s="0" t="n">
        <v>0</v>
      </c>
      <c r="H349" s="0" t="n">
        <v>0</v>
      </c>
      <c r="I349" s="0" t="n">
        <v>0</v>
      </c>
      <c r="J349" s="0" t="n">
        <v>0.9805</v>
      </c>
      <c r="K349" s="0" t="n">
        <v>0</v>
      </c>
      <c r="L349" s="176" t="n">
        <v>0</v>
      </c>
      <c r="M349" s="176" t="n">
        <v>0</v>
      </c>
      <c r="N349" s="0" t="n">
        <v>0</v>
      </c>
      <c r="O349" s="0" t="n">
        <v>0</v>
      </c>
      <c r="P349" s="0" t="n">
        <v>0</v>
      </c>
      <c r="Q349" s="177" t="n">
        <v>0</v>
      </c>
      <c r="BB349" s="187" t="n">
        <v>1</v>
      </c>
      <c r="BC349" s="0" t="n">
        <v>1</v>
      </c>
      <c r="BD349" s="0" t="n">
        <v>1</v>
      </c>
      <c r="BE349" s="0" t="n">
        <v>1</v>
      </c>
      <c r="BF349" s="0" t="n">
        <v>0.9999</v>
      </c>
      <c r="BG349" s="0" t="n">
        <v>1</v>
      </c>
      <c r="BH349" s="0" t="n">
        <v>1</v>
      </c>
      <c r="BI349" s="0" t="n">
        <v>0.99</v>
      </c>
      <c r="BJ349" s="0" t="n">
        <v>0.999</v>
      </c>
      <c r="BK349" s="0" t="n">
        <v>0.998</v>
      </c>
      <c r="BL349" s="0" t="n">
        <v>0.9985</v>
      </c>
      <c r="BM349" s="0" t="n">
        <v>0.9985</v>
      </c>
      <c r="BN349" s="0" t="n">
        <v>0.972</v>
      </c>
      <c r="BO349" s="0" t="n">
        <v>0.9999</v>
      </c>
      <c r="BP349" s="0" t="n">
        <v>0.9999</v>
      </c>
      <c r="DB349" s="0" t="n">
        <v>0.945</v>
      </c>
      <c r="DC349" s="0" t="n">
        <v>0.92</v>
      </c>
      <c r="DD349" s="0" t="n">
        <v>0.915</v>
      </c>
      <c r="DE349" s="0" t="n">
        <v>0.89</v>
      </c>
    </row>
    <row r="350" customFormat="false" ht="12.75" hidden="false" customHeight="false" outlineLevel="0" collapsed="false">
      <c r="B350" s="0" t="n">
        <v>0.98</v>
      </c>
      <c r="C350" s="0" t="n">
        <v>0</v>
      </c>
      <c r="E350" s="0" t="n">
        <v>0</v>
      </c>
      <c r="F350" s="0" t="n">
        <v>0</v>
      </c>
      <c r="G350" s="0" t="n">
        <v>0</v>
      </c>
      <c r="H350" s="0" t="n">
        <v>0</v>
      </c>
      <c r="I350" s="0" t="n">
        <v>0</v>
      </c>
      <c r="J350" s="0" t="n">
        <v>0.9805</v>
      </c>
      <c r="K350" s="0" t="n">
        <v>0</v>
      </c>
      <c r="L350" s="176" t="n">
        <v>0</v>
      </c>
      <c r="M350" s="176" t="n">
        <v>0</v>
      </c>
      <c r="N350" s="0" t="n">
        <v>0</v>
      </c>
      <c r="O350" s="0" t="n">
        <v>0</v>
      </c>
      <c r="P350" s="0" t="n">
        <v>0</v>
      </c>
      <c r="Q350" s="177" t="n">
        <v>0</v>
      </c>
      <c r="BB350" s="187" t="n">
        <v>1</v>
      </c>
      <c r="BC350" s="0" t="n">
        <v>1</v>
      </c>
      <c r="BD350" s="0" t="n">
        <v>1</v>
      </c>
      <c r="BE350" s="0" t="n">
        <v>1</v>
      </c>
      <c r="BF350" s="0" t="n">
        <v>0.9999</v>
      </c>
      <c r="BG350" s="0" t="n">
        <v>1</v>
      </c>
      <c r="BH350" s="0" t="n">
        <v>1</v>
      </c>
      <c r="BI350" s="0" t="n">
        <v>0.99</v>
      </c>
      <c r="BJ350" s="0" t="n">
        <v>0.999</v>
      </c>
      <c r="BK350" s="0" t="n">
        <v>0.998</v>
      </c>
      <c r="BL350" s="0" t="n">
        <v>0.9985</v>
      </c>
      <c r="BM350" s="0" t="n">
        <v>0.9985</v>
      </c>
      <c r="BN350" s="0" t="n">
        <v>0.972</v>
      </c>
      <c r="BO350" s="0" t="n">
        <v>0.9999</v>
      </c>
      <c r="BP350" s="0" t="n">
        <v>0.9999</v>
      </c>
      <c r="DB350" s="0" t="n">
        <v>0.875</v>
      </c>
      <c r="DC350" s="0" t="n">
        <v>0.9025</v>
      </c>
      <c r="DD350" s="0" t="n">
        <v>0.82</v>
      </c>
      <c r="DE350" s="0" t="n">
        <v>0.89</v>
      </c>
    </row>
    <row r="351" customFormat="false" ht="12.75" hidden="false" customHeight="false" outlineLevel="0" collapsed="false">
      <c r="B351" s="0" t="n">
        <v>0.98</v>
      </c>
      <c r="C351" s="0" t="n">
        <v>0</v>
      </c>
      <c r="E351" s="0" t="n">
        <v>0</v>
      </c>
      <c r="F351" s="0" t="n">
        <v>0</v>
      </c>
      <c r="G351" s="0" t="n">
        <v>0</v>
      </c>
      <c r="H351" s="0" t="n">
        <v>0</v>
      </c>
      <c r="I351" s="0" t="n">
        <v>0</v>
      </c>
      <c r="J351" s="0" t="n">
        <v>0.9805</v>
      </c>
      <c r="K351" s="0" t="n">
        <v>0</v>
      </c>
      <c r="L351" s="176" t="n">
        <v>0</v>
      </c>
      <c r="M351" s="176" t="n">
        <v>0</v>
      </c>
      <c r="N351" s="0" t="n">
        <v>0</v>
      </c>
      <c r="O351" s="0" t="n">
        <v>0</v>
      </c>
      <c r="P351" s="0" t="n">
        <v>0</v>
      </c>
      <c r="Q351" s="177" t="n">
        <v>0</v>
      </c>
      <c r="BB351" s="187" t="n">
        <v>1</v>
      </c>
      <c r="BC351" s="0" t="n">
        <v>1</v>
      </c>
      <c r="BD351" s="0" t="n">
        <v>1</v>
      </c>
      <c r="BE351" s="0" t="n">
        <v>1</v>
      </c>
      <c r="BF351" s="0" t="n">
        <v>0.9999</v>
      </c>
      <c r="BG351" s="0" t="n">
        <v>1</v>
      </c>
      <c r="BH351" s="0" t="n">
        <v>1</v>
      </c>
      <c r="BI351" s="0" t="n">
        <v>0.99</v>
      </c>
      <c r="BJ351" s="0" t="n">
        <v>0.999</v>
      </c>
      <c r="BK351" s="0" t="n">
        <v>0.998</v>
      </c>
      <c r="BL351" s="0" t="n">
        <v>0.9985</v>
      </c>
      <c r="BM351" s="0" t="n">
        <v>0.9985</v>
      </c>
      <c r="BN351" s="0" t="n">
        <v>0.972</v>
      </c>
      <c r="BO351" s="0" t="n">
        <v>0.9999</v>
      </c>
      <c r="BP351" s="0" t="n">
        <v>0.9999</v>
      </c>
      <c r="DB351" s="0" t="n">
        <v>0.85</v>
      </c>
      <c r="DC351" s="0" t="n">
        <v>0.9025</v>
      </c>
      <c r="DD351" s="0" t="n">
        <v>0.82</v>
      </c>
      <c r="DE351" s="0" t="n">
        <v>0.89</v>
      </c>
    </row>
    <row r="352" customFormat="false" ht="12.75" hidden="false" customHeight="false" outlineLevel="0" collapsed="false">
      <c r="B352" s="0" t="n">
        <v>0.98</v>
      </c>
      <c r="C352" s="0" t="n">
        <v>0</v>
      </c>
      <c r="E352" s="0" t="n">
        <v>0</v>
      </c>
      <c r="F352" s="0" t="n">
        <v>0</v>
      </c>
      <c r="G352" s="0" t="n">
        <v>0</v>
      </c>
      <c r="H352" s="0" t="n">
        <v>0</v>
      </c>
      <c r="I352" s="0" t="n">
        <v>0</v>
      </c>
      <c r="J352" s="0" t="n">
        <v>0.9805</v>
      </c>
      <c r="K352" s="0" t="n">
        <v>0</v>
      </c>
      <c r="L352" s="176" t="n">
        <v>0</v>
      </c>
      <c r="M352" s="176" t="n">
        <v>0</v>
      </c>
      <c r="N352" s="0" t="n">
        <v>0</v>
      </c>
      <c r="O352" s="0" t="n">
        <v>0</v>
      </c>
      <c r="P352" s="0" t="n">
        <v>0</v>
      </c>
      <c r="Q352" s="177" t="n">
        <v>0</v>
      </c>
      <c r="BB352" s="187" t="n">
        <v>1</v>
      </c>
      <c r="BC352" s="0" t="n">
        <v>1</v>
      </c>
      <c r="BD352" s="0" t="n">
        <v>1</v>
      </c>
      <c r="BE352" s="0" t="n">
        <v>1</v>
      </c>
      <c r="BF352" s="0" t="n">
        <v>0.9999</v>
      </c>
      <c r="BG352" s="0" t="n">
        <v>1</v>
      </c>
      <c r="BH352" s="0" t="n">
        <v>1</v>
      </c>
      <c r="BI352" s="0" t="n">
        <v>0.99</v>
      </c>
      <c r="BJ352" s="0" t="n">
        <v>0.999</v>
      </c>
      <c r="BK352" s="0" t="n">
        <v>0.998</v>
      </c>
      <c r="BL352" s="0" t="n">
        <v>0.9985</v>
      </c>
      <c r="BM352" s="0" t="n">
        <v>0.9985</v>
      </c>
      <c r="BN352" s="0" t="n">
        <v>0.972</v>
      </c>
      <c r="BO352" s="0" t="n">
        <v>0.9999</v>
      </c>
      <c r="BP352" s="0" t="n">
        <v>0.9999</v>
      </c>
      <c r="DB352" s="0" t="n">
        <v>0.69</v>
      </c>
      <c r="DC352" s="0" t="n">
        <v>0.8925</v>
      </c>
      <c r="DD352" s="0" t="n">
        <v>0.715</v>
      </c>
      <c r="DE352" s="0" t="n">
        <v>0.89</v>
      </c>
    </row>
    <row r="353" customFormat="false" ht="12.75" hidden="false" customHeight="false" outlineLevel="0" collapsed="false">
      <c r="B353" s="0" t="n">
        <v>0.98</v>
      </c>
      <c r="C353" s="0" t="n">
        <v>0</v>
      </c>
      <c r="E353" s="0" t="n">
        <v>0</v>
      </c>
      <c r="F353" s="0" t="n">
        <v>0</v>
      </c>
      <c r="G353" s="0" t="n">
        <v>0</v>
      </c>
      <c r="H353" s="0" t="n">
        <v>0</v>
      </c>
      <c r="I353" s="0" t="n">
        <v>0</v>
      </c>
      <c r="J353" s="0" t="n">
        <v>0.9805</v>
      </c>
      <c r="K353" s="0" t="n">
        <v>0</v>
      </c>
      <c r="L353" s="176" t="n">
        <v>0</v>
      </c>
      <c r="M353" s="176" t="n">
        <v>0</v>
      </c>
      <c r="N353" s="0" t="n">
        <v>0</v>
      </c>
      <c r="O353" s="0" t="n">
        <v>0</v>
      </c>
      <c r="P353" s="0" t="n">
        <v>0</v>
      </c>
      <c r="Q353" s="177" t="n">
        <v>0</v>
      </c>
      <c r="BB353" s="187" t="n">
        <v>1</v>
      </c>
      <c r="BC353" s="0" t="n">
        <v>1</v>
      </c>
      <c r="BD353" s="0" t="n">
        <v>1</v>
      </c>
      <c r="BE353" s="0" t="n">
        <v>1</v>
      </c>
      <c r="BF353" s="0" t="n">
        <v>0.9999</v>
      </c>
      <c r="BG353" s="0" t="n">
        <v>1</v>
      </c>
      <c r="BH353" s="0" t="n">
        <v>1</v>
      </c>
      <c r="BI353" s="0" t="n">
        <v>0.99</v>
      </c>
      <c r="BJ353" s="0" t="n">
        <v>0.999</v>
      </c>
      <c r="BK353" s="0" t="n">
        <v>0.998</v>
      </c>
      <c r="BL353" s="0" t="n">
        <v>0.9985</v>
      </c>
      <c r="BM353" s="0" t="n">
        <v>0.9985</v>
      </c>
      <c r="BN353" s="0" t="n">
        <v>0.972</v>
      </c>
      <c r="BO353" s="0" t="n">
        <v>0.9999</v>
      </c>
      <c r="BP353" s="0" t="n">
        <v>0.9999</v>
      </c>
      <c r="DB353" s="0" t="n">
        <v>0.69</v>
      </c>
      <c r="DC353" s="0" t="n">
        <v>0.88</v>
      </c>
      <c r="DD353" s="0" t="n">
        <v>0.64</v>
      </c>
      <c r="DE353" s="0" t="n">
        <v>0.89</v>
      </c>
    </row>
    <row r="354" customFormat="false" ht="12.75" hidden="false" customHeight="false" outlineLevel="0" collapsed="false">
      <c r="B354" s="0" t="n">
        <v>0.98</v>
      </c>
      <c r="C354" s="0" t="n">
        <v>0</v>
      </c>
      <c r="E354" s="0" t="n">
        <v>0</v>
      </c>
      <c r="F354" s="0" t="n">
        <v>0</v>
      </c>
      <c r="G354" s="0" t="n">
        <v>0</v>
      </c>
      <c r="H354" s="0" t="n">
        <v>0</v>
      </c>
      <c r="I354" s="0" t="n">
        <v>0</v>
      </c>
      <c r="J354" s="0" t="n">
        <v>0.9805</v>
      </c>
      <c r="K354" s="0" t="n">
        <v>0</v>
      </c>
      <c r="L354" s="176" t="n">
        <v>0</v>
      </c>
      <c r="M354" s="176" t="n">
        <v>0</v>
      </c>
      <c r="N354" s="0" t="n">
        <v>0</v>
      </c>
      <c r="O354" s="0" t="n">
        <v>0</v>
      </c>
      <c r="P354" s="0" t="n">
        <v>0</v>
      </c>
      <c r="Q354" s="177" t="n">
        <v>0</v>
      </c>
      <c r="BB354" s="187" t="n">
        <v>1</v>
      </c>
      <c r="BC354" s="0" t="n">
        <v>1</v>
      </c>
      <c r="BD354" s="0" t="n">
        <v>1</v>
      </c>
      <c r="BE354" s="0" t="n">
        <v>1</v>
      </c>
      <c r="BF354" s="0" t="n">
        <v>0.9999</v>
      </c>
      <c r="BG354" s="0" t="n">
        <v>1</v>
      </c>
      <c r="BH354" s="0" t="n">
        <v>1</v>
      </c>
      <c r="BI354" s="0" t="n">
        <v>0.99</v>
      </c>
      <c r="BJ354" s="0" t="n">
        <v>0.999</v>
      </c>
      <c r="BK354" s="0" t="n">
        <v>0.998</v>
      </c>
      <c r="BL354" s="0" t="n">
        <v>0.9985</v>
      </c>
      <c r="BM354" s="0" t="n">
        <v>0.9985</v>
      </c>
      <c r="BN354" s="0" t="n">
        <v>0.972</v>
      </c>
      <c r="BO354" s="0" t="n">
        <v>0.9999</v>
      </c>
      <c r="BP354" s="0" t="n">
        <v>0.9999</v>
      </c>
      <c r="DB354" s="0" t="n">
        <v>0.71</v>
      </c>
      <c r="DC354" s="0" t="n">
        <v>0.8775</v>
      </c>
      <c r="DD354" s="0" t="n">
        <v>0.67</v>
      </c>
      <c r="DE354" s="0" t="n">
        <v>0.89</v>
      </c>
    </row>
    <row r="355" customFormat="false" ht="12.75" hidden="false" customHeight="false" outlineLevel="0" collapsed="false">
      <c r="B355" s="0" t="n">
        <v>0.98</v>
      </c>
      <c r="C355" s="0" t="n">
        <v>0</v>
      </c>
      <c r="E355" s="0" t="n">
        <v>0</v>
      </c>
      <c r="F355" s="0" t="n">
        <v>0</v>
      </c>
      <c r="G355" s="0" t="n">
        <v>0</v>
      </c>
      <c r="H355" s="0" t="n">
        <v>0</v>
      </c>
      <c r="I355" s="0" t="n">
        <v>0</v>
      </c>
      <c r="J355" s="0" t="n">
        <v>0.9805</v>
      </c>
      <c r="K355" s="0" t="n">
        <v>0</v>
      </c>
      <c r="L355" s="176" t="n">
        <v>0</v>
      </c>
      <c r="M355" s="176" t="n">
        <v>0</v>
      </c>
      <c r="N355" s="0" t="n">
        <v>0</v>
      </c>
      <c r="O355" s="0" t="n">
        <v>0</v>
      </c>
      <c r="P355" s="0" t="n">
        <v>0</v>
      </c>
      <c r="Q355" s="177" t="n">
        <v>0</v>
      </c>
      <c r="BB355" s="187" t="n">
        <v>1</v>
      </c>
      <c r="BC355" s="0" t="n">
        <v>1</v>
      </c>
      <c r="BD355" s="0" t="n">
        <v>1</v>
      </c>
      <c r="BE355" s="0" t="n">
        <v>1</v>
      </c>
      <c r="BF355" s="0" t="n">
        <v>0.9999</v>
      </c>
      <c r="BG355" s="0" t="n">
        <v>1</v>
      </c>
      <c r="BH355" s="0" t="n">
        <v>1</v>
      </c>
      <c r="BI355" s="0" t="n">
        <v>0.99</v>
      </c>
      <c r="BJ355" s="0" t="n">
        <v>0.999</v>
      </c>
      <c r="BK355" s="0" t="n">
        <v>0.998</v>
      </c>
      <c r="BL355" s="0" t="n">
        <v>0.9985</v>
      </c>
      <c r="BM355" s="0" t="n">
        <v>0.9985</v>
      </c>
      <c r="BN355" s="0" t="n">
        <v>0.972</v>
      </c>
      <c r="BO355" s="0" t="n">
        <v>0.9999</v>
      </c>
      <c r="BP355" s="0" t="n">
        <v>0.9999</v>
      </c>
      <c r="DB355" s="0" t="n">
        <v>0.8</v>
      </c>
      <c r="DC355" s="0" t="n">
        <v>0.9</v>
      </c>
      <c r="DD355" s="0" t="n">
        <v>0.83</v>
      </c>
      <c r="DE355" s="0" t="n">
        <v>0.89</v>
      </c>
    </row>
    <row r="356" customFormat="false" ht="12.75" hidden="false" customHeight="false" outlineLevel="0" collapsed="false">
      <c r="B356" s="0" t="n">
        <v>0.98</v>
      </c>
      <c r="C356" s="0" t="n">
        <v>0</v>
      </c>
      <c r="E356" s="0" t="n">
        <v>0</v>
      </c>
      <c r="F356" s="0" t="n">
        <v>0</v>
      </c>
      <c r="G356" s="0" t="n">
        <v>0</v>
      </c>
      <c r="H356" s="0" t="n">
        <v>0</v>
      </c>
      <c r="I356" s="0" t="n">
        <v>0</v>
      </c>
      <c r="J356" s="0" t="n">
        <v>0.9805</v>
      </c>
      <c r="K356" s="0" t="n">
        <v>0</v>
      </c>
      <c r="L356" s="176" t="n">
        <v>0</v>
      </c>
      <c r="M356" s="176" t="n">
        <v>0</v>
      </c>
      <c r="N356" s="0" t="n">
        <v>0</v>
      </c>
      <c r="O356" s="0" t="n">
        <v>0</v>
      </c>
      <c r="P356" s="0" t="n">
        <v>0</v>
      </c>
      <c r="Q356" s="177" t="n">
        <v>0</v>
      </c>
      <c r="BB356" s="187" t="n">
        <v>1</v>
      </c>
      <c r="BC356" s="0" t="n">
        <v>1</v>
      </c>
      <c r="BD356" s="0" t="n">
        <v>1</v>
      </c>
      <c r="BE356" s="0" t="n">
        <v>1</v>
      </c>
      <c r="BF356" s="0" t="n">
        <v>0.9999</v>
      </c>
      <c r="BG356" s="0" t="n">
        <v>1</v>
      </c>
      <c r="BH356" s="0" t="n">
        <v>1</v>
      </c>
      <c r="BI356" s="0" t="n">
        <v>0.99</v>
      </c>
      <c r="BJ356" s="0" t="n">
        <v>0.999</v>
      </c>
      <c r="BK356" s="0" t="n">
        <v>0.998</v>
      </c>
      <c r="BL356" s="0" t="n">
        <v>0.9985</v>
      </c>
      <c r="BM356" s="0" t="n">
        <v>0.9985</v>
      </c>
      <c r="BN356" s="0" t="n">
        <v>0.972</v>
      </c>
      <c r="BO356" s="0" t="n">
        <v>0.9999</v>
      </c>
      <c r="BP356" s="0" t="n">
        <v>0.9999</v>
      </c>
      <c r="DB356" s="0" t="n">
        <v>0.85</v>
      </c>
      <c r="DC356" s="0" t="n">
        <v>0.903</v>
      </c>
      <c r="DD356" s="0" t="n">
        <v>0.92</v>
      </c>
      <c r="DE356" s="0" t="n">
        <v>0.89</v>
      </c>
    </row>
    <row r="357" customFormat="false" ht="12.75" hidden="false" customHeight="false" outlineLevel="0" collapsed="false">
      <c r="B357" s="0" t="n">
        <v>0.98</v>
      </c>
      <c r="C357" s="0" t="n">
        <v>0</v>
      </c>
      <c r="E357" s="0" t="n">
        <v>0</v>
      </c>
      <c r="F357" s="0" t="n">
        <v>0</v>
      </c>
      <c r="G357" s="0" t="n">
        <v>0</v>
      </c>
      <c r="H357" s="0" t="n">
        <v>0</v>
      </c>
      <c r="I357" s="0" t="n">
        <v>0</v>
      </c>
      <c r="J357" s="0" t="n">
        <v>0.9805</v>
      </c>
      <c r="K357" s="0" t="n">
        <v>0</v>
      </c>
      <c r="L357" s="176" t="n">
        <v>0</v>
      </c>
      <c r="M357" s="176" t="n">
        <v>0</v>
      </c>
      <c r="N357" s="0" t="n">
        <v>0</v>
      </c>
      <c r="O357" s="0" t="n">
        <v>0</v>
      </c>
      <c r="P357" s="0" t="n">
        <v>0</v>
      </c>
      <c r="Q357" s="177" t="n">
        <v>0</v>
      </c>
      <c r="BB357" s="187" t="n">
        <v>1</v>
      </c>
      <c r="BC357" s="0" t="n">
        <v>1</v>
      </c>
      <c r="BD357" s="0" t="n">
        <v>1</v>
      </c>
      <c r="BE357" s="0" t="n">
        <v>1</v>
      </c>
      <c r="BF357" s="0" t="n">
        <v>0.9999</v>
      </c>
      <c r="BG357" s="0" t="n">
        <v>1</v>
      </c>
      <c r="BH357" s="0" t="n">
        <v>1</v>
      </c>
      <c r="BI357" s="0" t="n">
        <v>0.99</v>
      </c>
      <c r="BJ357" s="0" t="n">
        <v>0.999</v>
      </c>
      <c r="BK357" s="0" t="n">
        <v>0.998</v>
      </c>
      <c r="BL357" s="0" t="n">
        <v>0.9985</v>
      </c>
      <c r="BM357" s="0" t="n">
        <v>0.9985</v>
      </c>
      <c r="BN357" s="0" t="n">
        <v>0.972</v>
      </c>
      <c r="BO357" s="0" t="n">
        <v>0.9999</v>
      </c>
      <c r="BP357" s="0" t="n">
        <v>0.9999</v>
      </c>
      <c r="DB357" s="0" t="n">
        <v>0.88</v>
      </c>
      <c r="DC357" s="0" t="n">
        <v>0.9</v>
      </c>
      <c r="DD357" s="0" t="n">
        <v>0.935</v>
      </c>
      <c r="DE357" s="0" t="n">
        <v>0.89</v>
      </c>
    </row>
    <row r="358" customFormat="false" ht="12.75" hidden="false" customHeight="false" outlineLevel="0" collapsed="false">
      <c r="B358" s="0" t="n">
        <v>0.98</v>
      </c>
      <c r="C358" s="0" t="n">
        <v>0</v>
      </c>
      <c r="E358" s="0" t="n">
        <v>0</v>
      </c>
      <c r="F358" s="0" t="n">
        <v>0</v>
      </c>
      <c r="G358" s="0" t="n">
        <v>0</v>
      </c>
      <c r="H358" s="0" t="n">
        <v>0</v>
      </c>
      <c r="I358" s="0" t="n">
        <v>0</v>
      </c>
      <c r="J358" s="0" t="n">
        <v>0.9805</v>
      </c>
      <c r="K358" s="0" t="n">
        <v>0</v>
      </c>
      <c r="L358" s="176" t="n">
        <v>0</v>
      </c>
      <c r="M358" s="176" t="n">
        <v>0</v>
      </c>
      <c r="N358" s="0" t="n">
        <v>0</v>
      </c>
      <c r="O358" s="0" t="n">
        <v>0</v>
      </c>
      <c r="P358" s="0" t="n">
        <v>0</v>
      </c>
      <c r="Q358" s="177" t="n">
        <v>0</v>
      </c>
      <c r="BB358" s="187" t="n">
        <v>1</v>
      </c>
      <c r="BC358" s="0" t="n">
        <v>1</v>
      </c>
      <c r="BD358" s="0" t="n">
        <v>1</v>
      </c>
      <c r="BE358" s="0" t="n">
        <v>1</v>
      </c>
      <c r="BF358" s="0" t="n">
        <v>0.9999</v>
      </c>
      <c r="BG358" s="0" t="n">
        <v>1</v>
      </c>
      <c r="BH358" s="0" t="n">
        <v>1</v>
      </c>
      <c r="BI358" s="0" t="n">
        <v>0.99</v>
      </c>
      <c r="BJ358" s="0" t="n">
        <v>0.999</v>
      </c>
      <c r="BK358" s="0" t="n">
        <v>0.998</v>
      </c>
      <c r="BL358" s="0" t="n">
        <v>0.9985</v>
      </c>
      <c r="BM358" s="0" t="n">
        <v>0.9985</v>
      </c>
      <c r="BN358" s="0" t="n">
        <v>0.972</v>
      </c>
      <c r="BO358" s="0" t="n">
        <v>0.9999</v>
      </c>
      <c r="BP358" s="0" t="n">
        <v>0.9999</v>
      </c>
      <c r="DB358" s="0" t="n">
        <v>0.88</v>
      </c>
      <c r="DC358" s="0" t="n">
        <v>0.9025</v>
      </c>
      <c r="DD358" s="0" t="n">
        <v>0.915</v>
      </c>
      <c r="DE358" s="0" t="n">
        <v>0.89</v>
      </c>
    </row>
    <row r="359" customFormat="false" ht="12.75" hidden="false" customHeight="false" outlineLevel="0" collapsed="false">
      <c r="B359" s="0" t="n">
        <v>0.98</v>
      </c>
      <c r="C359" s="0" t="n">
        <v>0</v>
      </c>
      <c r="E359" s="0" t="n">
        <v>0</v>
      </c>
      <c r="F359" s="0" t="n">
        <v>0</v>
      </c>
      <c r="G359" s="0" t="n">
        <v>0</v>
      </c>
      <c r="H359" s="0" t="n">
        <v>0</v>
      </c>
      <c r="I359" s="0" t="n">
        <v>0</v>
      </c>
      <c r="J359" s="0" t="n">
        <v>0.9805</v>
      </c>
      <c r="K359" s="0" t="n">
        <v>0</v>
      </c>
      <c r="L359" s="176" t="n">
        <v>0</v>
      </c>
      <c r="M359" s="176" t="n">
        <v>0</v>
      </c>
      <c r="N359" s="0" t="n">
        <v>0</v>
      </c>
      <c r="O359" s="0" t="n">
        <v>0</v>
      </c>
      <c r="P359" s="0" t="n">
        <v>0</v>
      </c>
      <c r="Q359" s="177" t="n">
        <v>0</v>
      </c>
      <c r="BB359" s="187" t="n">
        <v>1</v>
      </c>
      <c r="BC359" s="0" t="n">
        <v>1</v>
      </c>
      <c r="BD359" s="0" t="n">
        <v>1</v>
      </c>
      <c r="BE359" s="0" t="n">
        <v>1</v>
      </c>
      <c r="BF359" s="0" t="n">
        <v>0.9999</v>
      </c>
      <c r="BG359" s="0" t="n">
        <v>1</v>
      </c>
      <c r="BH359" s="0" t="n">
        <v>1</v>
      </c>
      <c r="BI359" s="0" t="n">
        <v>0.99</v>
      </c>
      <c r="BJ359" s="0" t="n">
        <v>0.999</v>
      </c>
      <c r="BK359" s="0" t="n">
        <v>0.998</v>
      </c>
      <c r="BL359" s="0" t="n">
        <v>0.9985</v>
      </c>
      <c r="BM359" s="0" t="n">
        <v>0.9985</v>
      </c>
      <c r="BN359" s="0" t="n">
        <v>0.972</v>
      </c>
      <c r="BO359" s="0" t="n">
        <v>0.9999</v>
      </c>
      <c r="BP359" s="0" t="n">
        <v>0.9999</v>
      </c>
      <c r="DB359" s="0" t="n">
        <v>0.89</v>
      </c>
      <c r="DC359" s="0" t="n">
        <v>0.9075</v>
      </c>
      <c r="DD359" s="0" t="n">
        <v>0.915</v>
      </c>
      <c r="DE359" s="0" t="n">
        <v>0.89</v>
      </c>
    </row>
    <row r="360" customFormat="false" ht="12.75" hidden="false" customHeight="false" outlineLevel="0" collapsed="false">
      <c r="B360" s="0" t="n">
        <v>0.98</v>
      </c>
      <c r="C360" s="0" t="n">
        <v>0</v>
      </c>
      <c r="E360" s="0" t="n">
        <v>0</v>
      </c>
      <c r="F360" s="0" t="n">
        <v>0</v>
      </c>
      <c r="G360" s="0" t="n">
        <v>0</v>
      </c>
      <c r="H360" s="0" t="n">
        <v>0</v>
      </c>
      <c r="I360" s="0" t="n">
        <v>0</v>
      </c>
      <c r="J360" s="0" t="n">
        <v>0.9805</v>
      </c>
      <c r="K360" s="0" t="n">
        <v>0</v>
      </c>
      <c r="L360" s="176" t="n">
        <v>0</v>
      </c>
      <c r="M360" s="176" t="n">
        <v>0</v>
      </c>
      <c r="N360" s="0" t="n">
        <v>0</v>
      </c>
      <c r="O360" s="0" t="n">
        <v>0</v>
      </c>
      <c r="P360" s="0" t="n">
        <v>0</v>
      </c>
      <c r="Q360" s="177" t="n">
        <v>0</v>
      </c>
      <c r="BB360" s="187" t="n">
        <v>1</v>
      </c>
      <c r="BC360" s="0" t="n">
        <v>1</v>
      </c>
      <c r="BD360" s="0" t="n">
        <v>1</v>
      </c>
      <c r="BE360" s="0" t="n">
        <v>1</v>
      </c>
      <c r="BF360" s="0" t="n">
        <v>0.9999</v>
      </c>
      <c r="BG360" s="0" t="n">
        <v>1</v>
      </c>
      <c r="BH360" s="0" t="n">
        <v>1</v>
      </c>
      <c r="BI360" s="0" t="n">
        <v>0.99</v>
      </c>
      <c r="BJ360" s="0" t="n">
        <v>0.999</v>
      </c>
      <c r="BK360" s="0" t="n">
        <v>0.998</v>
      </c>
      <c r="BL360" s="0" t="n">
        <v>0.9985</v>
      </c>
      <c r="BM360" s="0" t="n">
        <v>0.9985</v>
      </c>
      <c r="BN360" s="0" t="n">
        <v>0.972</v>
      </c>
      <c r="BO360" s="0" t="n">
        <v>0.9999</v>
      </c>
      <c r="BP360" s="0" t="n">
        <v>0.9999</v>
      </c>
      <c r="DB360" s="0" t="n">
        <v>0.915</v>
      </c>
      <c r="DC360" s="0" t="n">
        <v>0.9275</v>
      </c>
      <c r="DD360" s="0" t="n">
        <v>0.915</v>
      </c>
      <c r="DE360" s="0" t="n">
        <v>0.89</v>
      </c>
    </row>
    <row r="361" customFormat="false" ht="12.75" hidden="false" customHeight="false" outlineLevel="0" collapsed="false">
      <c r="B361" s="0" t="n">
        <v>0.98</v>
      </c>
      <c r="C361" s="0" t="n">
        <v>0</v>
      </c>
      <c r="E361" s="0" t="n">
        <v>0</v>
      </c>
      <c r="F361" s="0" t="n">
        <v>0</v>
      </c>
      <c r="G361" s="0" t="n">
        <v>0</v>
      </c>
      <c r="H361" s="0" t="n">
        <v>0</v>
      </c>
      <c r="I361" s="0" t="n">
        <v>0</v>
      </c>
      <c r="J361" s="0" t="n">
        <v>0.9805</v>
      </c>
      <c r="K361" s="0" t="n">
        <v>0</v>
      </c>
      <c r="L361" s="176" t="n">
        <v>0</v>
      </c>
      <c r="M361" s="176" t="n">
        <v>0</v>
      </c>
      <c r="N361" s="0" t="n">
        <v>0</v>
      </c>
      <c r="O361" s="0" t="n">
        <v>0</v>
      </c>
      <c r="P361" s="0" t="n">
        <v>0</v>
      </c>
      <c r="Q361" s="177" t="n">
        <v>0</v>
      </c>
      <c r="BB361" s="187" t="n">
        <v>1</v>
      </c>
      <c r="BC361" s="0" t="n">
        <v>1</v>
      </c>
      <c r="BD361" s="0" t="n">
        <v>1</v>
      </c>
      <c r="BE361" s="0" t="n">
        <v>1</v>
      </c>
      <c r="BF361" s="0" t="n">
        <v>0.9999</v>
      </c>
      <c r="BG361" s="0" t="n">
        <v>1</v>
      </c>
      <c r="BH361" s="0" t="n">
        <v>1</v>
      </c>
      <c r="BI361" s="0" t="n">
        <v>0.99</v>
      </c>
      <c r="BJ361" s="0" t="n">
        <v>0.999</v>
      </c>
      <c r="BK361" s="0" t="n">
        <v>0.998</v>
      </c>
      <c r="BL361" s="0" t="n">
        <v>0.9985</v>
      </c>
      <c r="BM361" s="0" t="n">
        <v>0.9985</v>
      </c>
      <c r="BN361" s="0" t="n">
        <v>0.972</v>
      </c>
      <c r="BO361" s="0" t="n">
        <v>0.9999</v>
      </c>
      <c r="BP361" s="0" t="n">
        <v>0.9999</v>
      </c>
      <c r="DB361" s="0" t="n">
        <v>0.945</v>
      </c>
      <c r="DC361" s="0" t="n">
        <v>0.92</v>
      </c>
      <c r="DD361" s="0" t="n">
        <v>0.915</v>
      </c>
      <c r="DE361" s="0" t="n">
        <v>0.89</v>
      </c>
    </row>
    <row r="362" customFormat="false" ht="12.75" hidden="false" customHeight="false" outlineLevel="0" collapsed="false">
      <c r="B362" s="0" t="n">
        <v>0.98</v>
      </c>
      <c r="C362" s="0" t="n">
        <v>0</v>
      </c>
      <c r="E362" s="0" t="n">
        <v>0</v>
      </c>
      <c r="F362" s="0" t="n">
        <v>0</v>
      </c>
      <c r="G362" s="0" t="n">
        <v>0</v>
      </c>
      <c r="H362" s="0" t="n">
        <v>0</v>
      </c>
      <c r="I362" s="0" t="n">
        <v>0</v>
      </c>
      <c r="J362" s="0" t="n">
        <v>0.9805</v>
      </c>
      <c r="K362" s="0" t="n">
        <v>0</v>
      </c>
      <c r="L362" s="176" t="n">
        <v>0</v>
      </c>
      <c r="M362" s="176" t="n">
        <v>0</v>
      </c>
      <c r="N362" s="0" t="n">
        <v>0</v>
      </c>
      <c r="O362" s="0" t="n">
        <v>0</v>
      </c>
      <c r="P362" s="0" t="n">
        <v>0</v>
      </c>
      <c r="Q362" s="177" t="n">
        <v>0</v>
      </c>
      <c r="BB362" s="187" t="n">
        <v>1</v>
      </c>
      <c r="BC362" s="0" t="n">
        <v>1</v>
      </c>
      <c r="BD362" s="0" t="n">
        <v>1</v>
      </c>
      <c r="BE362" s="0" t="n">
        <v>1</v>
      </c>
      <c r="BF362" s="0" t="n">
        <v>0.9999</v>
      </c>
      <c r="BG362" s="0" t="n">
        <v>1</v>
      </c>
      <c r="BH362" s="0" t="n">
        <v>1</v>
      </c>
      <c r="BI362" s="0" t="n">
        <v>0.99</v>
      </c>
      <c r="BJ362" s="0" t="n">
        <v>0.999</v>
      </c>
      <c r="BK362" s="0" t="n">
        <v>0.998</v>
      </c>
      <c r="BL362" s="0" t="n">
        <v>0.9985</v>
      </c>
      <c r="BM362" s="0" t="n">
        <v>0.9985</v>
      </c>
      <c r="BN362" s="0" t="n">
        <v>0.972</v>
      </c>
      <c r="BO362" s="0" t="n">
        <v>0.9999</v>
      </c>
      <c r="BP362" s="0" t="n">
        <v>0.9999</v>
      </c>
      <c r="DB362" s="0" t="n">
        <v>0.875</v>
      </c>
      <c r="DC362" s="0" t="n">
        <v>0.9025</v>
      </c>
      <c r="DD362" s="0" t="n">
        <v>0.82</v>
      </c>
      <c r="DE362" s="0" t="n">
        <v>0.89</v>
      </c>
    </row>
    <row r="363" customFormat="false" ht="12.75" hidden="false" customHeight="false" outlineLevel="0" collapsed="false">
      <c r="B363" s="0" t="n">
        <v>0.98</v>
      </c>
      <c r="C363" s="0" t="n">
        <v>0</v>
      </c>
      <c r="E363" s="0" t="n">
        <v>0</v>
      </c>
      <c r="F363" s="0" t="n">
        <v>0</v>
      </c>
      <c r="G363" s="0" t="n">
        <v>0</v>
      </c>
      <c r="H363" s="0" t="n">
        <v>0</v>
      </c>
      <c r="I363" s="0" t="n">
        <v>0</v>
      </c>
      <c r="J363" s="0" t="n">
        <v>0.9805</v>
      </c>
      <c r="K363" s="0" t="n">
        <v>0</v>
      </c>
      <c r="L363" s="176" t="n">
        <v>0</v>
      </c>
      <c r="M363" s="176" t="n">
        <v>0</v>
      </c>
      <c r="N363" s="0" t="n">
        <v>0</v>
      </c>
      <c r="O363" s="0" t="n">
        <v>0</v>
      </c>
      <c r="P363" s="0" t="n">
        <v>0</v>
      </c>
      <c r="Q363" s="177" t="n">
        <v>0</v>
      </c>
      <c r="BB363" s="187" t="n">
        <v>1</v>
      </c>
      <c r="BC363" s="0" t="n">
        <v>1</v>
      </c>
      <c r="BD363" s="0" t="n">
        <v>1</v>
      </c>
      <c r="BE363" s="0" t="n">
        <v>1</v>
      </c>
      <c r="BF363" s="0" t="n">
        <v>0.9999</v>
      </c>
      <c r="BG363" s="0" t="n">
        <v>1</v>
      </c>
      <c r="BH363" s="0" t="n">
        <v>1</v>
      </c>
      <c r="BI363" s="0" t="n">
        <v>0.99</v>
      </c>
      <c r="BJ363" s="0" t="n">
        <v>0.999</v>
      </c>
      <c r="BK363" s="0" t="n">
        <v>0.998</v>
      </c>
      <c r="BL363" s="0" t="n">
        <v>0.9985</v>
      </c>
      <c r="BM363" s="0" t="n">
        <v>0.9985</v>
      </c>
      <c r="BN363" s="0" t="n">
        <v>0.972</v>
      </c>
      <c r="BO363" s="0" t="n">
        <v>0.9999</v>
      </c>
      <c r="BP363" s="0" t="n">
        <v>0.9999</v>
      </c>
      <c r="DB363" s="0" t="n">
        <v>0.85</v>
      </c>
      <c r="DC363" s="0" t="n">
        <v>0.9025</v>
      </c>
      <c r="DD363" s="0" t="n">
        <v>0.82</v>
      </c>
      <c r="DE363" s="0" t="n">
        <v>0.89</v>
      </c>
    </row>
    <row r="364" customFormat="false" ht="12.75" hidden="false" customHeight="false" outlineLevel="0" collapsed="false">
      <c r="B364" s="0" t="n">
        <v>0.98</v>
      </c>
      <c r="C364" s="0" t="n">
        <v>0</v>
      </c>
      <c r="E364" s="0" t="n">
        <v>0</v>
      </c>
      <c r="F364" s="0" t="n">
        <v>0</v>
      </c>
      <c r="G364" s="0" t="n">
        <v>0</v>
      </c>
      <c r="H364" s="0" t="n">
        <v>0</v>
      </c>
      <c r="I364" s="0" t="n">
        <v>0</v>
      </c>
      <c r="J364" s="0" t="n">
        <v>0.9805</v>
      </c>
      <c r="K364" s="0" t="n">
        <v>0</v>
      </c>
      <c r="L364" s="176" t="n">
        <v>0</v>
      </c>
      <c r="M364" s="176" t="n">
        <v>0</v>
      </c>
      <c r="N364" s="0" t="n">
        <v>0</v>
      </c>
      <c r="O364" s="0" t="n">
        <v>0</v>
      </c>
      <c r="P364" s="0" t="n">
        <v>0</v>
      </c>
      <c r="Q364" s="177" t="n">
        <v>0</v>
      </c>
      <c r="BB364" s="187" t="n">
        <v>1</v>
      </c>
      <c r="BC364" s="0" t="n">
        <v>1</v>
      </c>
      <c r="BD364" s="0" t="n">
        <v>1</v>
      </c>
      <c r="BE364" s="0" t="n">
        <v>1</v>
      </c>
      <c r="BF364" s="0" t="n">
        <v>0.9999</v>
      </c>
      <c r="BG364" s="0" t="n">
        <v>1</v>
      </c>
      <c r="BH364" s="0" t="n">
        <v>1</v>
      </c>
      <c r="BI364" s="0" t="n">
        <v>0.99</v>
      </c>
      <c r="BJ364" s="0" t="n">
        <v>0.999</v>
      </c>
      <c r="BK364" s="0" t="n">
        <v>0.998</v>
      </c>
      <c r="BL364" s="0" t="n">
        <v>0.9985</v>
      </c>
      <c r="BM364" s="0" t="n">
        <v>0.9985</v>
      </c>
      <c r="BN364" s="0" t="n">
        <v>0.972</v>
      </c>
      <c r="BO364" s="0" t="n">
        <v>0.9999</v>
      </c>
      <c r="BP364" s="0" t="n">
        <v>0.9999</v>
      </c>
      <c r="DB364" s="0" t="n">
        <v>0.69</v>
      </c>
      <c r="DC364" s="0" t="n">
        <v>0.8925</v>
      </c>
      <c r="DD364" s="0" t="n">
        <v>0.715</v>
      </c>
      <c r="DE364" s="0" t="n">
        <v>0.89</v>
      </c>
    </row>
    <row r="365" customFormat="false" ht="12.75" hidden="false" customHeight="false" outlineLevel="0" collapsed="false">
      <c r="B365" s="0" t="n">
        <v>0.98</v>
      </c>
      <c r="C365" s="0" t="n">
        <v>0</v>
      </c>
      <c r="E365" s="0" t="n">
        <v>0</v>
      </c>
      <c r="F365" s="0" t="n">
        <v>0</v>
      </c>
      <c r="G365" s="0" t="n">
        <v>0</v>
      </c>
      <c r="H365" s="0" t="n">
        <v>0</v>
      </c>
      <c r="I365" s="0" t="n">
        <v>0</v>
      </c>
      <c r="J365" s="0" t="n">
        <v>0.9805</v>
      </c>
      <c r="K365" s="0" t="n">
        <v>0</v>
      </c>
      <c r="L365" s="176" t="n">
        <v>0</v>
      </c>
      <c r="M365" s="176" t="n">
        <v>0</v>
      </c>
      <c r="N365" s="0" t="n">
        <v>0</v>
      </c>
      <c r="O365" s="0" t="n">
        <v>0</v>
      </c>
      <c r="P365" s="0" t="n">
        <v>0</v>
      </c>
      <c r="Q365" s="177" t="n">
        <v>0</v>
      </c>
      <c r="BB365" s="187" t="n">
        <v>1</v>
      </c>
      <c r="BC365" s="0" t="n">
        <v>1</v>
      </c>
      <c r="BD365" s="0" t="n">
        <v>1</v>
      </c>
      <c r="BE365" s="0" t="n">
        <v>1</v>
      </c>
      <c r="BF365" s="0" t="n">
        <v>0.9999</v>
      </c>
      <c r="BG365" s="0" t="n">
        <v>1</v>
      </c>
      <c r="BH365" s="0" t="n">
        <v>1</v>
      </c>
      <c r="BI365" s="0" t="n">
        <v>0.99</v>
      </c>
      <c r="BJ365" s="0" t="n">
        <v>0.999</v>
      </c>
      <c r="BK365" s="0" t="n">
        <v>0.998</v>
      </c>
      <c r="BL365" s="0" t="n">
        <v>0.9985</v>
      </c>
      <c r="BM365" s="0" t="n">
        <v>0.9985</v>
      </c>
      <c r="BN365" s="0" t="n">
        <v>0.972</v>
      </c>
      <c r="BO365" s="0" t="n">
        <v>0.9999</v>
      </c>
      <c r="BP365" s="0" t="n">
        <v>0.9999</v>
      </c>
      <c r="DB365" s="0" t="n">
        <v>0.69</v>
      </c>
      <c r="DC365" s="0" t="n">
        <v>0.88</v>
      </c>
      <c r="DD365" s="0" t="n">
        <v>0.64</v>
      </c>
      <c r="DE365" s="0" t="n">
        <v>0.89</v>
      </c>
    </row>
    <row r="366" customFormat="false" ht="12.75" hidden="false" customHeight="false" outlineLevel="0" collapsed="false">
      <c r="B366" s="0" t="n">
        <v>0.98</v>
      </c>
      <c r="C366" s="0" t="n">
        <v>0</v>
      </c>
      <c r="E366" s="0" t="n">
        <v>0</v>
      </c>
      <c r="F366" s="0" t="n">
        <v>0</v>
      </c>
      <c r="G366" s="0" t="n">
        <v>0</v>
      </c>
      <c r="H366" s="0" t="n">
        <v>0</v>
      </c>
      <c r="I366" s="0" t="n">
        <v>0</v>
      </c>
      <c r="J366" s="0" t="n">
        <v>0.9805</v>
      </c>
      <c r="K366" s="0" t="n">
        <v>0</v>
      </c>
      <c r="L366" s="176" t="n">
        <v>0</v>
      </c>
      <c r="M366" s="176" t="n">
        <v>0</v>
      </c>
      <c r="N366" s="0" t="n">
        <v>0</v>
      </c>
      <c r="O366" s="0" t="n">
        <v>0</v>
      </c>
      <c r="P366" s="0" t="n">
        <v>0</v>
      </c>
      <c r="Q366" s="177" t="n">
        <v>0</v>
      </c>
      <c r="BB366" s="187" t="n">
        <v>1</v>
      </c>
      <c r="BC366" s="0" t="n">
        <v>1</v>
      </c>
      <c r="BD366" s="0" t="n">
        <v>1</v>
      </c>
      <c r="BE366" s="0" t="n">
        <v>1</v>
      </c>
      <c r="BF366" s="0" t="n">
        <v>0.9999</v>
      </c>
      <c r="BG366" s="0" t="n">
        <v>1</v>
      </c>
      <c r="BH366" s="0" t="n">
        <v>1</v>
      </c>
      <c r="BI366" s="0" t="n">
        <v>0.99</v>
      </c>
      <c r="BJ366" s="0" t="n">
        <v>0.999</v>
      </c>
      <c r="BK366" s="0" t="n">
        <v>0.998</v>
      </c>
      <c r="BL366" s="0" t="n">
        <v>0.9985</v>
      </c>
      <c r="BM366" s="0" t="n">
        <v>0.9985</v>
      </c>
      <c r="BN366" s="0" t="n">
        <v>0.972</v>
      </c>
      <c r="BO366" s="0" t="n">
        <v>0.9999</v>
      </c>
      <c r="BP366" s="0" t="n">
        <v>0.9999</v>
      </c>
      <c r="DB366" s="0" t="n">
        <v>0.71</v>
      </c>
      <c r="DC366" s="0" t="n">
        <v>0.8775</v>
      </c>
      <c r="DD366" s="0" t="n">
        <v>0.67</v>
      </c>
      <c r="DE366" s="0" t="n">
        <v>0.89</v>
      </c>
    </row>
    <row r="367" customFormat="false" ht="12.75" hidden="false" customHeight="false" outlineLevel="0" collapsed="false">
      <c r="B367" s="0" t="n">
        <v>0.98</v>
      </c>
      <c r="C367" s="0" t="n">
        <v>0</v>
      </c>
      <c r="E367" s="0" t="n">
        <v>0</v>
      </c>
      <c r="F367" s="0" t="n">
        <v>0</v>
      </c>
      <c r="G367" s="0" t="n">
        <v>0</v>
      </c>
      <c r="H367" s="0" t="n">
        <v>0</v>
      </c>
      <c r="I367" s="0" t="n">
        <v>0</v>
      </c>
      <c r="J367" s="0" t="n">
        <v>0.9805</v>
      </c>
      <c r="K367" s="0" t="n">
        <v>0</v>
      </c>
      <c r="L367" s="176" t="n">
        <v>0</v>
      </c>
      <c r="M367" s="176" t="n">
        <v>0</v>
      </c>
      <c r="N367" s="0" t="n">
        <v>0</v>
      </c>
      <c r="O367" s="0" t="n">
        <v>0</v>
      </c>
      <c r="P367" s="0" t="n">
        <v>0</v>
      </c>
      <c r="Q367" s="177" t="n">
        <v>0</v>
      </c>
      <c r="BB367" s="187" t="n">
        <v>1</v>
      </c>
      <c r="BC367" s="0" t="n">
        <v>1</v>
      </c>
      <c r="BD367" s="0" t="n">
        <v>1</v>
      </c>
      <c r="BE367" s="0" t="n">
        <v>1</v>
      </c>
      <c r="BF367" s="0" t="n">
        <v>0.9999</v>
      </c>
      <c r="BG367" s="0" t="n">
        <v>1</v>
      </c>
      <c r="BH367" s="0" t="n">
        <v>1</v>
      </c>
      <c r="BI367" s="0" t="n">
        <v>0.99</v>
      </c>
      <c r="BJ367" s="0" t="n">
        <v>0.999</v>
      </c>
      <c r="BK367" s="0" t="n">
        <v>0.998</v>
      </c>
      <c r="BL367" s="0" t="n">
        <v>0.9985</v>
      </c>
      <c r="BM367" s="0" t="n">
        <v>0.9985</v>
      </c>
      <c r="BN367" s="0" t="n">
        <v>0.972</v>
      </c>
      <c r="BO367" s="0" t="n">
        <v>0.9999</v>
      </c>
      <c r="BP367" s="0" t="n">
        <v>0.9999</v>
      </c>
      <c r="DB367" s="0" t="n">
        <v>0.8</v>
      </c>
      <c r="DC367" s="0" t="n">
        <v>0.9</v>
      </c>
      <c r="DD367" s="0" t="n">
        <v>0.83</v>
      </c>
      <c r="DE367" s="0" t="n">
        <v>0.89</v>
      </c>
    </row>
    <row r="368" customFormat="false" ht="12.75" hidden="false" customHeight="false" outlineLevel="0" collapsed="false">
      <c r="B368" s="0" t="n">
        <v>0.98</v>
      </c>
      <c r="C368" s="0" t="n">
        <v>0</v>
      </c>
      <c r="E368" s="0" t="n">
        <v>0</v>
      </c>
      <c r="F368" s="0" t="n">
        <v>0</v>
      </c>
      <c r="G368" s="0" t="n">
        <v>0</v>
      </c>
      <c r="H368" s="0" t="n">
        <v>0</v>
      </c>
      <c r="I368" s="0" t="n">
        <v>0</v>
      </c>
      <c r="J368" s="0" t="n">
        <v>0.9805</v>
      </c>
      <c r="K368" s="0" t="n">
        <v>0</v>
      </c>
      <c r="L368" s="176" t="n">
        <v>0</v>
      </c>
      <c r="M368" s="176" t="n">
        <v>0</v>
      </c>
      <c r="N368" s="0" t="n">
        <v>0</v>
      </c>
      <c r="O368" s="0" t="n">
        <v>0</v>
      </c>
      <c r="P368" s="0" t="n">
        <v>0</v>
      </c>
      <c r="Q368" s="177" t="n">
        <v>0</v>
      </c>
      <c r="BB368" s="187" t="n">
        <v>1</v>
      </c>
      <c r="BC368" s="0" t="n">
        <v>1</v>
      </c>
      <c r="BD368" s="0" t="n">
        <v>1</v>
      </c>
      <c r="BE368" s="0" t="n">
        <v>1</v>
      </c>
      <c r="BF368" s="0" t="n">
        <v>0.9999</v>
      </c>
      <c r="BG368" s="0" t="n">
        <v>1</v>
      </c>
      <c r="BH368" s="0" t="n">
        <v>1</v>
      </c>
      <c r="BI368" s="0" t="n">
        <v>0.99</v>
      </c>
      <c r="BJ368" s="0" t="n">
        <v>0.999</v>
      </c>
      <c r="BK368" s="0" t="n">
        <v>0.998</v>
      </c>
      <c r="BL368" s="0" t="n">
        <v>0.9985</v>
      </c>
      <c r="BM368" s="0" t="n">
        <v>0.9985</v>
      </c>
      <c r="BN368" s="0" t="n">
        <v>0.972</v>
      </c>
      <c r="BO368" s="0" t="n">
        <v>0.9999</v>
      </c>
      <c r="BP368" s="0" t="n">
        <v>0.9999</v>
      </c>
      <c r="DB368" s="0" t="n">
        <v>0.85</v>
      </c>
      <c r="DC368" s="0" t="n">
        <v>0.903</v>
      </c>
      <c r="DD368" s="0" t="n">
        <v>0.92</v>
      </c>
      <c r="DE368" s="0" t="n">
        <v>0.89</v>
      </c>
    </row>
    <row r="369" customFormat="false" ht="12.75" hidden="false" customHeight="false" outlineLevel="0" collapsed="false">
      <c r="B369" s="0" t="n">
        <v>0.98</v>
      </c>
      <c r="C369" s="0" t="n">
        <v>0</v>
      </c>
      <c r="E369" s="0" t="n">
        <v>0</v>
      </c>
      <c r="F369" s="0" t="n">
        <v>0</v>
      </c>
      <c r="G369" s="0" t="n">
        <v>0</v>
      </c>
      <c r="H369" s="0" t="n">
        <v>0</v>
      </c>
      <c r="I369" s="0" t="n">
        <v>0</v>
      </c>
      <c r="J369" s="0" t="n">
        <v>0.9805</v>
      </c>
      <c r="K369" s="0" t="n">
        <v>0</v>
      </c>
      <c r="L369" s="176" t="n">
        <v>0</v>
      </c>
      <c r="M369" s="176" t="n">
        <v>0</v>
      </c>
      <c r="N369" s="0" t="n">
        <v>0</v>
      </c>
      <c r="O369" s="0" t="n">
        <v>0</v>
      </c>
      <c r="P369" s="0" t="n">
        <v>0</v>
      </c>
      <c r="Q369" s="177" t="n">
        <v>0</v>
      </c>
      <c r="BB369" s="187" t="n">
        <v>1</v>
      </c>
      <c r="BC369" s="0" t="n">
        <v>1</v>
      </c>
      <c r="BD369" s="0" t="n">
        <v>1</v>
      </c>
      <c r="BE369" s="0" t="n">
        <v>1</v>
      </c>
      <c r="BF369" s="0" t="n">
        <v>0.9999</v>
      </c>
      <c r="BG369" s="0" t="n">
        <v>1</v>
      </c>
      <c r="BH369" s="0" t="n">
        <v>1</v>
      </c>
      <c r="BI369" s="0" t="n">
        <v>0.99</v>
      </c>
      <c r="BJ369" s="0" t="n">
        <v>0.999</v>
      </c>
      <c r="BK369" s="0" t="n">
        <v>0.998</v>
      </c>
      <c r="BL369" s="0" t="n">
        <v>0.9985</v>
      </c>
      <c r="BM369" s="0" t="n">
        <v>0.9985</v>
      </c>
      <c r="BN369" s="0" t="n">
        <v>0.972</v>
      </c>
      <c r="BO369" s="0" t="n">
        <v>0.9999</v>
      </c>
      <c r="BP369" s="0" t="n">
        <v>0.9999</v>
      </c>
      <c r="DB369" s="0" t="n">
        <v>0.88</v>
      </c>
      <c r="DC369" s="0" t="n">
        <v>0.9</v>
      </c>
      <c r="DD369" s="0" t="n">
        <v>0.935</v>
      </c>
      <c r="DE369" s="0" t="n">
        <v>0.89</v>
      </c>
    </row>
    <row r="370" customFormat="false" ht="12.75" hidden="false" customHeight="false" outlineLevel="0" collapsed="false">
      <c r="B370" s="0" t="n">
        <v>0.98</v>
      </c>
      <c r="C370" s="0" t="n">
        <v>0</v>
      </c>
      <c r="E370" s="0" t="n">
        <v>0</v>
      </c>
      <c r="F370" s="0" t="n">
        <v>0</v>
      </c>
      <c r="G370" s="0" t="n">
        <v>0</v>
      </c>
      <c r="H370" s="0" t="n">
        <v>0</v>
      </c>
      <c r="I370" s="0" t="n">
        <v>0</v>
      </c>
      <c r="J370" s="0" t="n">
        <v>0.9805</v>
      </c>
      <c r="K370" s="0" t="n">
        <v>0</v>
      </c>
      <c r="L370" s="176" t="n">
        <v>0</v>
      </c>
      <c r="M370" s="176" t="n">
        <v>0</v>
      </c>
      <c r="N370" s="0" t="n">
        <v>0</v>
      </c>
      <c r="O370" s="0" t="n">
        <v>0</v>
      </c>
      <c r="P370" s="0" t="n">
        <v>0</v>
      </c>
      <c r="Q370" s="177" t="n">
        <v>0</v>
      </c>
      <c r="BB370" s="187" t="n">
        <v>1</v>
      </c>
      <c r="BC370" s="0" t="n">
        <v>1</v>
      </c>
      <c r="BD370" s="0" t="n">
        <v>1</v>
      </c>
      <c r="BE370" s="0" t="n">
        <v>1</v>
      </c>
      <c r="BF370" s="0" t="n">
        <v>0.9999</v>
      </c>
      <c r="BG370" s="0" t="n">
        <v>1</v>
      </c>
      <c r="BH370" s="0" t="n">
        <v>1</v>
      </c>
      <c r="BI370" s="0" t="n">
        <v>0.99</v>
      </c>
      <c r="BJ370" s="0" t="n">
        <v>0.999</v>
      </c>
      <c r="BK370" s="0" t="n">
        <v>0.998</v>
      </c>
      <c r="BL370" s="0" t="n">
        <v>0.9985</v>
      </c>
      <c r="BM370" s="0" t="n">
        <v>0.9985</v>
      </c>
      <c r="BN370" s="0" t="n">
        <v>0.972</v>
      </c>
      <c r="BO370" s="0" t="n">
        <v>0.9999</v>
      </c>
      <c r="BP370" s="0" t="n">
        <v>0.9999</v>
      </c>
      <c r="DB370" s="0" t="n">
        <v>0.88</v>
      </c>
      <c r="DC370" s="0" t="n">
        <v>0.9025</v>
      </c>
      <c r="DD370" s="0" t="n">
        <v>0.915</v>
      </c>
      <c r="DE370" s="0" t="n">
        <v>0.89</v>
      </c>
    </row>
    <row r="371" customFormat="false" ht="12.75" hidden="false" customHeight="false" outlineLevel="0" collapsed="false">
      <c r="B371" s="0" t="n">
        <v>0.98</v>
      </c>
      <c r="C371" s="0" t="n">
        <v>0</v>
      </c>
      <c r="E371" s="0" t="n">
        <v>0</v>
      </c>
      <c r="F371" s="0" t="n">
        <v>0</v>
      </c>
      <c r="G371" s="0" t="n">
        <v>0</v>
      </c>
      <c r="H371" s="0" t="n">
        <v>0</v>
      </c>
      <c r="I371" s="0" t="n">
        <v>0</v>
      </c>
      <c r="J371" s="0" t="n">
        <v>0.9805</v>
      </c>
      <c r="K371" s="0" t="n">
        <v>0</v>
      </c>
      <c r="L371" s="176" t="n">
        <v>0</v>
      </c>
      <c r="M371" s="176" t="n">
        <v>0</v>
      </c>
      <c r="N371" s="0" t="n">
        <v>0</v>
      </c>
      <c r="O371" s="0" t="n">
        <v>0</v>
      </c>
      <c r="P371" s="0" t="n">
        <v>0</v>
      </c>
      <c r="Q371" s="177" t="n">
        <v>0</v>
      </c>
      <c r="BB371" s="187" t="n">
        <v>1</v>
      </c>
      <c r="BC371" s="0" t="n">
        <v>1</v>
      </c>
      <c r="BD371" s="0" t="n">
        <v>1</v>
      </c>
      <c r="BE371" s="0" t="n">
        <v>1</v>
      </c>
      <c r="BF371" s="0" t="n">
        <v>0.9999</v>
      </c>
      <c r="BG371" s="0" t="n">
        <v>1</v>
      </c>
      <c r="BH371" s="0" t="n">
        <v>1</v>
      </c>
      <c r="BI371" s="0" t="n">
        <v>0.99</v>
      </c>
      <c r="BJ371" s="0" t="n">
        <v>0.999</v>
      </c>
      <c r="BK371" s="0" t="n">
        <v>0.998</v>
      </c>
      <c r="BL371" s="0" t="n">
        <v>0.9985</v>
      </c>
      <c r="BM371" s="0" t="n">
        <v>0.9985</v>
      </c>
      <c r="BN371" s="0" t="n">
        <v>0.972</v>
      </c>
      <c r="BO371" s="0" t="n">
        <v>0.9999</v>
      </c>
      <c r="BP371" s="0" t="n">
        <v>0.9999</v>
      </c>
      <c r="DB371" s="0" t="n">
        <v>0.89</v>
      </c>
      <c r="DC371" s="0" t="n">
        <v>0.9075</v>
      </c>
      <c r="DD371" s="0" t="n">
        <v>0.915</v>
      </c>
      <c r="DE371" s="0" t="n">
        <v>0.89</v>
      </c>
    </row>
    <row r="372" customFormat="false" ht="12.75" hidden="false" customHeight="false" outlineLevel="0" collapsed="false">
      <c r="B372" s="0" t="n">
        <v>0.98</v>
      </c>
      <c r="C372" s="0" t="n">
        <v>0</v>
      </c>
      <c r="E372" s="0" t="n">
        <v>0</v>
      </c>
      <c r="F372" s="0" t="n">
        <v>0</v>
      </c>
      <c r="G372" s="0" t="n">
        <v>0</v>
      </c>
      <c r="H372" s="0" t="n">
        <v>0</v>
      </c>
      <c r="I372" s="0" t="n">
        <v>0</v>
      </c>
      <c r="J372" s="0" t="n">
        <v>0.9805</v>
      </c>
      <c r="K372" s="0" t="n">
        <v>0</v>
      </c>
      <c r="L372" s="176" t="n">
        <v>0</v>
      </c>
      <c r="M372" s="176" t="n">
        <v>0</v>
      </c>
      <c r="N372" s="0" t="n">
        <v>0</v>
      </c>
      <c r="O372" s="0" t="n">
        <v>0</v>
      </c>
      <c r="P372" s="0" t="n">
        <v>0</v>
      </c>
      <c r="Q372" s="177" t="n">
        <v>0</v>
      </c>
      <c r="BB372" s="187" t="n">
        <v>1</v>
      </c>
      <c r="BC372" s="0" t="n">
        <v>1</v>
      </c>
      <c r="BD372" s="0" t="n">
        <v>1</v>
      </c>
      <c r="BE372" s="0" t="n">
        <v>1</v>
      </c>
      <c r="BF372" s="0" t="n">
        <v>0.9999</v>
      </c>
      <c r="BG372" s="0" t="n">
        <v>1</v>
      </c>
      <c r="BH372" s="0" t="n">
        <v>1</v>
      </c>
      <c r="BI372" s="0" t="n">
        <v>0.99</v>
      </c>
      <c r="BJ372" s="0" t="n">
        <v>0.999</v>
      </c>
      <c r="BK372" s="0" t="n">
        <v>0.998</v>
      </c>
      <c r="BL372" s="0" t="n">
        <v>0.9985</v>
      </c>
      <c r="BM372" s="0" t="n">
        <v>0.9985</v>
      </c>
      <c r="BN372" s="0" t="n">
        <v>0.972</v>
      </c>
      <c r="BO372" s="0" t="n">
        <v>0.9999</v>
      </c>
      <c r="BP372" s="0" t="n">
        <v>0.9999</v>
      </c>
      <c r="DB372" s="0" t="n">
        <v>0.915</v>
      </c>
      <c r="DC372" s="0" t="n">
        <v>0.9275</v>
      </c>
      <c r="DD372" s="0" t="n">
        <v>0.915</v>
      </c>
      <c r="DE372" s="0" t="n">
        <v>0.89</v>
      </c>
    </row>
    <row r="373" customFormat="false" ht="12.75" hidden="false" customHeight="false" outlineLevel="0" collapsed="false">
      <c r="B373" s="0" t="n">
        <v>0.98</v>
      </c>
      <c r="C373" s="0" t="n">
        <v>0</v>
      </c>
      <c r="E373" s="0" t="n">
        <v>0</v>
      </c>
      <c r="F373" s="0" t="n">
        <v>0</v>
      </c>
      <c r="G373" s="0" t="n">
        <v>0</v>
      </c>
      <c r="H373" s="0" t="n">
        <v>0</v>
      </c>
      <c r="I373" s="0" t="n">
        <v>0</v>
      </c>
      <c r="J373" s="0" t="n">
        <v>0.9805</v>
      </c>
      <c r="K373" s="0" t="n">
        <v>0</v>
      </c>
      <c r="L373" s="176" t="n">
        <v>0</v>
      </c>
      <c r="M373" s="176" t="n">
        <v>0</v>
      </c>
      <c r="N373" s="0" t="n">
        <v>0</v>
      </c>
      <c r="O373" s="0" t="n">
        <v>0</v>
      </c>
      <c r="P373" s="0" t="n">
        <v>0</v>
      </c>
      <c r="Q373" s="177" t="n">
        <v>0</v>
      </c>
      <c r="BB373" s="187" t="n">
        <v>1</v>
      </c>
      <c r="BC373" s="0" t="n">
        <v>1</v>
      </c>
      <c r="BD373" s="0" t="n">
        <v>1</v>
      </c>
      <c r="BE373" s="0" t="n">
        <v>1</v>
      </c>
      <c r="BF373" s="0" t="n">
        <v>0.9999</v>
      </c>
      <c r="BG373" s="0" t="n">
        <v>1</v>
      </c>
      <c r="BH373" s="0" t="n">
        <v>1</v>
      </c>
      <c r="BI373" s="0" t="n">
        <v>0.99</v>
      </c>
      <c r="BJ373" s="0" t="n">
        <v>0.999</v>
      </c>
      <c r="BK373" s="0" t="n">
        <v>0.998</v>
      </c>
      <c r="BL373" s="0" t="n">
        <v>0.9985</v>
      </c>
      <c r="BM373" s="0" t="n">
        <v>0.9985</v>
      </c>
      <c r="BN373" s="0" t="n">
        <v>0.972</v>
      </c>
      <c r="BO373" s="0" t="n">
        <v>0.9999</v>
      </c>
      <c r="BP373" s="0" t="n">
        <v>0.9999</v>
      </c>
      <c r="DB373" s="0" t="n">
        <v>0.945</v>
      </c>
      <c r="DC373" s="0" t="n">
        <v>0.92</v>
      </c>
      <c r="DD373" s="0" t="n">
        <v>0.915</v>
      </c>
      <c r="DE373" s="0" t="n">
        <v>0.89</v>
      </c>
    </row>
    <row r="374" customFormat="false" ht="12.75" hidden="false" customHeight="false" outlineLevel="0" collapsed="false">
      <c r="B374" s="0" t="n">
        <v>0.98</v>
      </c>
      <c r="C374" s="0" t="n">
        <v>0</v>
      </c>
      <c r="E374" s="0" t="n">
        <v>0</v>
      </c>
      <c r="F374" s="0" t="n">
        <v>0</v>
      </c>
      <c r="G374" s="0" t="n">
        <v>0</v>
      </c>
      <c r="H374" s="0" t="n">
        <v>0</v>
      </c>
      <c r="I374" s="0" t="n">
        <v>0</v>
      </c>
      <c r="J374" s="0" t="n">
        <v>0.9805</v>
      </c>
      <c r="K374" s="0" t="n">
        <v>0</v>
      </c>
      <c r="L374" s="176" t="n">
        <v>0</v>
      </c>
      <c r="M374" s="176" t="n">
        <v>0</v>
      </c>
      <c r="N374" s="0" t="n">
        <v>0</v>
      </c>
      <c r="O374" s="0" t="n">
        <v>0</v>
      </c>
      <c r="P374" s="0" t="n">
        <v>0</v>
      </c>
      <c r="Q374" s="177" t="n">
        <v>0</v>
      </c>
      <c r="BB374" s="187" t="n">
        <v>1</v>
      </c>
      <c r="BC374" s="0" t="n">
        <v>1</v>
      </c>
      <c r="BD374" s="0" t="n">
        <v>1</v>
      </c>
      <c r="BE374" s="0" t="n">
        <v>1</v>
      </c>
      <c r="BF374" s="0" t="n">
        <v>0.9999</v>
      </c>
      <c r="BG374" s="0" t="n">
        <v>1</v>
      </c>
      <c r="BH374" s="0" t="n">
        <v>1</v>
      </c>
      <c r="BI374" s="0" t="n">
        <v>0.99</v>
      </c>
      <c r="BJ374" s="0" t="n">
        <v>0.999</v>
      </c>
      <c r="BK374" s="0" t="n">
        <v>0.998</v>
      </c>
      <c r="BL374" s="0" t="n">
        <v>0.9985</v>
      </c>
      <c r="BM374" s="0" t="n">
        <v>0.9985</v>
      </c>
      <c r="BN374" s="0" t="n">
        <v>0.972</v>
      </c>
      <c r="BO374" s="0" t="n">
        <v>0.9999</v>
      </c>
      <c r="BP374" s="0" t="n">
        <v>0.9999</v>
      </c>
      <c r="DB374" s="0" t="n">
        <v>0.875</v>
      </c>
      <c r="DC374" s="0" t="n">
        <v>0.9025</v>
      </c>
      <c r="DD374" s="0" t="n">
        <v>0.82</v>
      </c>
      <c r="DE374" s="0" t="n">
        <v>0.89</v>
      </c>
    </row>
    <row r="375" customFormat="false" ht="12.75" hidden="false" customHeight="false" outlineLevel="0" collapsed="false">
      <c r="B375" s="0" t="n">
        <v>0.98</v>
      </c>
      <c r="C375" s="0" t="n">
        <v>0</v>
      </c>
      <c r="E375" s="0" t="n">
        <v>0</v>
      </c>
      <c r="F375" s="0" t="n">
        <v>0</v>
      </c>
      <c r="G375" s="0" t="n">
        <v>0</v>
      </c>
      <c r="H375" s="0" t="n">
        <v>0</v>
      </c>
      <c r="I375" s="0" t="n">
        <v>0</v>
      </c>
      <c r="J375" s="0" t="n">
        <v>0.9805</v>
      </c>
      <c r="K375" s="0" t="n">
        <v>0</v>
      </c>
      <c r="L375" s="176" t="n">
        <v>0</v>
      </c>
      <c r="M375" s="176" t="n">
        <v>0</v>
      </c>
      <c r="N375" s="0" t="n">
        <v>0</v>
      </c>
      <c r="O375" s="0" t="n">
        <v>0</v>
      </c>
      <c r="P375" s="0" t="n">
        <v>0</v>
      </c>
      <c r="Q375" s="177" t="n">
        <v>0</v>
      </c>
      <c r="BB375" s="187" t="n">
        <v>1</v>
      </c>
      <c r="BC375" s="0" t="n">
        <v>1</v>
      </c>
      <c r="BD375" s="0" t="n">
        <v>1</v>
      </c>
      <c r="BE375" s="0" t="n">
        <v>1</v>
      </c>
      <c r="BF375" s="0" t="n">
        <v>0.9999</v>
      </c>
      <c r="BG375" s="0" t="n">
        <v>1</v>
      </c>
      <c r="BH375" s="0" t="n">
        <v>1</v>
      </c>
      <c r="BI375" s="0" t="n">
        <v>0.99</v>
      </c>
      <c r="BJ375" s="0" t="n">
        <v>0.999</v>
      </c>
      <c r="BK375" s="0" t="n">
        <v>0.998</v>
      </c>
      <c r="BL375" s="0" t="n">
        <v>0.9985</v>
      </c>
      <c r="BM375" s="0" t="n">
        <v>0.9985</v>
      </c>
      <c r="BN375" s="0" t="n">
        <v>0.972</v>
      </c>
      <c r="BO375" s="0" t="n">
        <v>0.9999</v>
      </c>
      <c r="BP375" s="0" t="n">
        <v>0.9999</v>
      </c>
      <c r="DB375" s="0" t="n">
        <v>0.85</v>
      </c>
      <c r="DC375" s="0" t="n">
        <v>0.9025</v>
      </c>
      <c r="DD375" s="0" t="n">
        <v>0.82</v>
      </c>
      <c r="DE375" s="0" t="n">
        <v>0.89</v>
      </c>
    </row>
    <row r="376" customFormat="false" ht="12.75" hidden="false" customHeight="false" outlineLevel="0" collapsed="false">
      <c r="B376" s="0" t="n">
        <v>0.98</v>
      </c>
      <c r="C376" s="0" t="n">
        <v>0</v>
      </c>
      <c r="E376" s="0" t="n">
        <v>0</v>
      </c>
      <c r="F376" s="0" t="n">
        <v>0</v>
      </c>
      <c r="G376" s="0" t="n">
        <v>0</v>
      </c>
      <c r="H376" s="0" t="n">
        <v>0</v>
      </c>
      <c r="I376" s="0" t="n">
        <v>0</v>
      </c>
      <c r="J376" s="0" t="n">
        <v>0.9805</v>
      </c>
      <c r="K376" s="0" t="n">
        <v>0</v>
      </c>
      <c r="L376" s="176" t="n">
        <v>0</v>
      </c>
      <c r="M376" s="176" t="n">
        <v>0</v>
      </c>
      <c r="N376" s="0" t="n">
        <v>0</v>
      </c>
      <c r="O376" s="0" t="n">
        <v>0</v>
      </c>
      <c r="P376" s="0" t="n">
        <v>0</v>
      </c>
      <c r="Q376" s="177" t="n">
        <v>0</v>
      </c>
      <c r="BB376" s="187" t="n">
        <v>1</v>
      </c>
      <c r="BC376" s="0" t="n">
        <v>1</v>
      </c>
      <c r="BD376" s="0" t="n">
        <v>1</v>
      </c>
      <c r="BE376" s="0" t="n">
        <v>1</v>
      </c>
      <c r="BF376" s="0" t="n">
        <v>0.9999</v>
      </c>
      <c r="BG376" s="0" t="n">
        <v>1</v>
      </c>
      <c r="BH376" s="0" t="n">
        <v>1</v>
      </c>
      <c r="BI376" s="0" t="n">
        <v>0.99</v>
      </c>
      <c r="BJ376" s="0" t="n">
        <v>0.999</v>
      </c>
      <c r="BK376" s="0" t="n">
        <v>0.998</v>
      </c>
      <c r="BL376" s="0" t="n">
        <v>0.9985</v>
      </c>
      <c r="BM376" s="0" t="n">
        <v>0.9985</v>
      </c>
      <c r="BN376" s="0" t="n">
        <v>0.972</v>
      </c>
      <c r="BO376" s="0" t="n">
        <v>0.9999</v>
      </c>
      <c r="BP376" s="0" t="n">
        <v>0.9999</v>
      </c>
      <c r="DB376" s="0" t="n">
        <v>0.69</v>
      </c>
      <c r="DC376" s="0" t="n">
        <v>0.8925</v>
      </c>
      <c r="DD376" s="0" t="n">
        <v>0.715</v>
      </c>
      <c r="DE376" s="0" t="n">
        <v>0.89</v>
      </c>
    </row>
    <row r="377" customFormat="false" ht="12.75" hidden="false" customHeight="false" outlineLevel="0" collapsed="false">
      <c r="BB377" s="187" t="n">
        <v>1</v>
      </c>
      <c r="BC377" s="0" t="n">
        <v>1</v>
      </c>
      <c r="BD377" s="0" t="n">
        <v>1</v>
      </c>
      <c r="BE377" s="0" t="n">
        <v>1</v>
      </c>
      <c r="BF377" s="0" t="n">
        <v>0.9999</v>
      </c>
      <c r="BG377" s="0" t="n">
        <v>1</v>
      </c>
      <c r="BH377" s="0" t="n">
        <v>1</v>
      </c>
      <c r="BI377" s="0" t="n">
        <v>0.99</v>
      </c>
      <c r="BJ377" s="0" t="n">
        <v>0.999</v>
      </c>
      <c r="BK377" s="0" t="n">
        <v>0.998</v>
      </c>
      <c r="BL377" s="0" t="n">
        <v>0.9985</v>
      </c>
      <c r="BM377" s="0" t="n">
        <v>0.9985</v>
      </c>
      <c r="BN377" s="0" t="n">
        <v>0.972</v>
      </c>
      <c r="BO377" s="0" t="n">
        <v>0.9999</v>
      </c>
      <c r="BP377" s="0" t="n">
        <v>0.9999</v>
      </c>
      <c r="DB377" s="0" t="n">
        <v>0.69</v>
      </c>
      <c r="DC377" s="0" t="n">
        <v>0.88</v>
      </c>
      <c r="DD377" s="0" t="n">
        <v>0.64</v>
      </c>
      <c r="DE377" s="0" t="n">
        <v>0.89</v>
      </c>
    </row>
    <row r="378" customFormat="false" ht="12.75" hidden="false" customHeight="false" outlineLevel="0" collapsed="false">
      <c r="BB378" s="187" t="n">
        <v>1</v>
      </c>
      <c r="BC378" s="0" t="n">
        <v>1</v>
      </c>
      <c r="BD378" s="0" t="n">
        <v>1</v>
      </c>
      <c r="BE378" s="0" t="n">
        <v>1</v>
      </c>
      <c r="BF378" s="0" t="n">
        <v>0.9999</v>
      </c>
      <c r="BG378" s="0" t="n">
        <v>1</v>
      </c>
      <c r="BH378" s="0" t="n">
        <v>1</v>
      </c>
      <c r="BI378" s="0" t="n">
        <v>0.99</v>
      </c>
      <c r="BJ378" s="0" t="n">
        <v>0.999</v>
      </c>
      <c r="BK378" s="0" t="n">
        <v>0.998</v>
      </c>
      <c r="BL378" s="0" t="n">
        <v>0.9985</v>
      </c>
      <c r="BM378" s="0" t="n">
        <v>0.9985</v>
      </c>
      <c r="BN378" s="0" t="n">
        <v>0.972</v>
      </c>
      <c r="BO378" s="0" t="n">
        <v>0.9999</v>
      </c>
      <c r="BP378" s="0" t="n">
        <v>0.9999</v>
      </c>
      <c r="DB378" s="0" t="n">
        <v>0.71</v>
      </c>
      <c r="DC378" s="0" t="n">
        <v>0.8775</v>
      </c>
      <c r="DD378" s="0" t="n">
        <v>0.67</v>
      </c>
      <c r="DE378" s="0" t="n">
        <v>0.89</v>
      </c>
    </row>
    <row r="379" customFormat="false" ht="12.75" hidden="false" customHeight="false" outlineLevel="0" collapsed="false">
      <c r="BB379" s="187" t="n">
        <v>1</v>
      </c>
      <c r="BC379" s="0" t="n">
        <v>1</v>
      </c>
      <c r="BD379" s="0" t="n">
        <v>1</v>
      </c>
      <c r="BE379" s="0" t="n">
        <v>1</v>
      </c>
      <c r="BF379" s="0" t="n">
        <v>0.9999</v>
      </c>
      <c r="BG379" s="0" t="n">
        <v>1</v>
      </c>
      <c r="BH379" s="0" t="n">
        <v>1</v>
      </c>
      <c r="BI379" s="0" t="n">
        <v>0.99</v>
      </c>
      <c r="BJ379" s="0" t="n">
        <v>0.999</v>
      </c>
      <c r="BK379" s="0" t="n">
        <v>0.998</v>
      </c>
      <c r="BL379" s="0" t="n">
        <v>0.9985</v>
      </c>
      <c r="BM379" s="0" t="n">
        <v>0.9985</v>
      </c>
      <c r="BN379" s="0" t="n">
        <v>0.972</v>
      </c>
      <c r="BO379" s="0" t="n">
        <v>0.9999</v>
      </c>
      <c r="BP379" s="0" t="n">
        <v>0.9999</v>
      </c>
      <c r="DB379" s="0" t="n">
        <v>0.8</v>
      </c>
      <c r="DC379" s="0" t="n">
        <v>0.9</v>
      </c>
      <c r="DD379" s="0" t="n">
        <v>0.83</v>
      </c>
      <c r="DE379" s="0" t="n">
        <v>0.89</v>
      </c>
    </row>
    <row r="380" customFormat="false" ht="12.75" hidden="false" customHeight="false" outlineLevel="0" collapsed="false">
      <c r="BB380" s="187" t="n">
        <v>1</v>
      </c>
      <c r="BC380" s="0" t="n">
        <v>1</v>
      </c>
      <c r="BD380" s="0" t="n">
        <v>1</v>
      </c>
      <c r="BE380" s="0" t="n">
        <v>1</v>
      </c>
      <c r="BF380" s="0" t="n">
        <v>0.9999</v>
      </c>
      <c r="BG380" s="0" t="n">
        <v>1</v>
      </c>
      <c r="BH380" s="0" t="n">
        <v>1</v>
      </c>
      <c r="BI380" s="0" t="n">
        <v>0.99</v>
      </c>
      <c r="BJ380" s="0" t="n">
        <v>0.999</v>
      </c>
      <c r="BK380" s="0" t="n">
        <v>0.998</v>
      </c>
      <c r="BL380" s="0" t="n">
        <v>0.9985</v>
      </c>
      <c r="BM380" s="0" t="n">
        <v>0.9985</v>
      </c>
      <c r="BN380" s="0" t="n">
        <v>0.972</v>
      </c>
      <c r="BO380" s="0" t="n">
        <v>0.9999</v>
      </c>
      <c r="BP380" s="0" t="n">
        <v>0.9999</v>
      </c>
      <c r="DB380" s="0" t="n">
        <v>0.85</v>
      </c>
      <c r="DC380" s="0" t="n">
        <v>0.903</v>
      </c>
      <c r="DD380" s="0" t="n">
        <v>0.92</v>
      </c>
      <c r="DE380" s="0" t="n">
        <v>0.89</v>
      </c>
    </row>
    <row r="381" customFormat="false" ht="12.75" hidden="false" customHeight="false" outlineLevel="0" collapsed="false">
      <c r="BB381" s="187" t="n">
        <v>1</v>
      </c>
      <c r="BC381" s="0" t="n">
        <v>1</v>
      </c>
      <c r="BD381" s="0" t="n">
        <v>1</v>
      </c>
      <c r="BE381" s="0" t="n">
        <v>1</v>
      </c>
      <c r="BF381" s="0" t="n">
        <v>0.9999</v>
      </c>
      <c r="BG381" s="0" t="n">
        <v>1</v>
      </c>
      <c r="BH381" s="0" t="n">
        <v>1</v>
      </c>
      <c r="BI381" s="0" t="n">
        <v>0.99</v>
      </c>
      <c r="BJ381" s="0" t="n">
        <v>0.999</v>
      </c>
      <c r="BK381" s="0" t="n">
        <v>0.998</v>
      </c>
      <c r="BL381" s="0" t="n">
        <v>0.9985</v>
      </c>
      <c r="BM381" s="0" t="n">
        <v>0.9985</v>
      </c>
      <c r="BN381" s="0" t="n">
        <v>0.972</v>
      </c>
      <c r="BO381" s="0" t="n">
        <v>0.9999</v>
      </c>
      <c r="BP381" s="0" t="n">
        <v>0.9999</v>
      </c>
      <c r="DB381" s="0" t="n">
        <v>0.88</v>
      </c>
      <c r="DC381" s="0" t="n">
        <v>0.9</v>
      </c>
      <c r="DD381" s="0" t="n">
        <v>0.935</v>
      </c>
      <c r="DE381" s="0" t="n">
        <v>0.89</v>
      </c>
    </row>
    <row r="382" customFormat="false" ht="12.75" hidden="false" customHeight="false" outlineLevel="0" collapsed="false">
      <c r="BB382" s="187" t="n">
        <v>1</v>
      </c>
      <c r="BC382" s="0" t="n">
        <v>1</v>
      </c>
      <c r="BD382" s="0" t="n">
        <v>1</v>
      </c>
      <c r="BE382" s="0" t="n">
        <v>1</v>
      </c>
      <c r="BF382" s="0" t="n">
        <v>0.9999</v>
      </c>
      <c r="BG382" s="0" t="n">
        <v>1</v>
      </c>
      <c r="BH382" s="0" t="n">
        <v>1</v>
      </c>
      <c r="BI382" s="0" t="n">
        <v>0.99</v>
      </c>
      <c r="BJ382" s="0" t="n">
        <v>0.999</v>
      </c>
      <c r="BK382" s="0" t="n">
        <v>0.998</v>
      </c>
      <c r="BL382" s="0" t="n">
        <v>0.9985</v>
      </c>
      <c r="BM382" s="0" t="n">
        <v>0.9985</v>
      </c>
      <c r="BN382" s="0" t="n">
        <v>0.972</v>
      </c>
      <c r="BO382" s="0" t="n">
        <v>0.9999</v>
      </c>
      <c r="BP382" s="0" t="n">
        <v>0.9999</v>
      </c>
      <c r="DB382" s="0" t="n">
        <v>0.88</v>
      </c>
      <c r="DC382" s="0" t="n">
        <v>0.9025</v>
      </c>
      <c r="DD382" s="0" t="n">
        <v>0.915</v>
      </c>
      <c r="DE382" s="0" t="n">
        <v>0.89</v>
      </c>
    </row>
    <row r="383" customFormat="false" ht="12.75" hidden="false" customHeight="false" outlineLevel="0" collapsed="false">
      <c r="BB383" s="187" t="n">
        <v>1</v>
      </c>
      <c r="BC383" s="0" t="n">
        <v>1</v>
      </c>
      <c r="BD383" s="0" t="n">
        <v>1</v>
      </c>
      <c r="BE383" s="0" t="n">
        <v>1</v>
      </c>
      <c r="BF383" s="0" t="n">
        <v>0.9999</v>
      </c>
      <c r="BG383" s="0" t="n">
        <v>1</v>
      </c>
      <c r="BH383" s="0" t="n">
        <v>1</v>
      </c>
      <c r="BI383" s="0" t="n">
        <v>0.99</v>
      </c>
      <c r="BJ383" s="0" t="n">
        <v>0.999</v>
      </c>
      <c r="BK383" s="0" t="n">
        <v>0.998</v>
      </c>
      <c r="BL383" s="0" t="n">
        <v>0.9985</v>
      </c>
      <c r="BM383" s="0" t="n">
        <v>0.9985</v>
      </c>
      <c r="BN383" s="0" t="n">
        <v>0.972</v>
      </c>
      <c r="BO383" s="0" t="n">
        <v>0.9999</v>
      </c>
      <c r="BP383" s="0" t="n">
        <v>0.9999</v>
      </c>
      <c r="DB383" s="0" t="n">
        <v>0.89</v>
      </c>
      <c r="DC383" s="0" t="n">
        <v>0.9075</v>
      </c>
      <c r="DD383" s="0" t="n">
        <v>0.915</v>
      </c>
      <c r="DE383" s="0" t="n">
        <v>0.89</v>
      </c>
    </row>
    <row r="384" customFormat="false" ht="12.75" hidden="false" customHeight="false" outlineLevel="0" collapsed="false">
      <c r="BB384" s="187" t="n">
        <v>1</v>
      </c>
      <c r="BC384" s="0" t="n">
        <v>1</v>
      </c>
      <c r="BD384" s="0" t="n">
        <v>1</v>
      </c>
      <c r="BE384" s="0" t="n">
        <v>1</v>
      </c>
      <c r="BF384" s="0" t="n">
        <v>0.9999</v>
      </c>
      <c r="BG384" s="0" t="n">
        <v>1</v>
      </c>
      <c r="BH384" s="0" t="n">
        <v>1</v>
      </c>
      <c r="BI384" s="0" t="n">
        <v>0.99</v>
      </c>
      <c r="BJ384" s="0" t="n">
        <v>0.999</v>
      </c>
      <c r="BK384" s="0" t="n">
        <v>0.998</v>
      </c>
      <c r="BL384" s="0" t="n">
        <v>0.9985</v>
      </c>
      <c r="BM384" s="0" t="n">
        <v>0.9985</v>
      </c>
      <c r="BN384" s="0" t="n">
        <v>0.972</v>
      </c>
      <c r="BO384" s="0" t="n">
        <v>0.9999</v>
      </c>
      <c r="BP384" s="0" t="n">
        <v>0.9999</v>
      </c>
      <c r="DB384" s="0" t="n">
        <v>0.915</v>
      </c>
      <c r="DC384" s="0" t="n">
        <v>0.9275</v>
      </c>
      <c r="DD384" s="0" t="n">
        <v>0.915</v>
      </c>
      <c r="DE384" s="0" t="n">
        <v>0.89</v>
      </c>
    </row>
    <row r="385" customFormat="false" ht="12.75" hidden="false" customHeight="false" outlineLevel="0" collapsed="false">
      <c r="BB385" s="187" t="n">
        <v>1</v>
      </c>
      <c r="BC385" s="0" t="n">
        <v>1</v>
      </c>
      <c r="BD385" s="0" t="n">
        <v>1</v>
      </c>
      <c r="BE385" s="0" t="n">
        <v>1</v>
      </c>
      <c r="BF385" s="0" t="n">
        <v>0.9999</v>
      </c>
      <c r="BG385" s="0" t="n">
        <v>1</v>
      </c>
      <c r="BH385" s="0" t="n">
        <v>1</v>
      </c>
      <c r="BI385" s="0" t="n">
        <v>0.99</v>
      </c>
      <c r="BJ385" s="0" t="n">
        <v>0.999</v>
      </c>
      <c r="BK385" s="0" t="n">
        <v>0.998</v>
      </c>
      <c r="BL385" s="0" t="n">
        <v>0.9985</v>
      </c>
      <c r="BM385" s="0" t="n">
        <v>0.9985</v>
      </c>
      <c r="BN385" s="0" t="n">
        <v>0.972</v>
      </c>
      <c r="BO385" s="0" t="n">
        <v>0.9999</v>
      </c>
      <c r="BP385" s="0" t="n">
        <v>0.9999</v>
      </c>
      <c r="DB385" s="0" t="n">
        <v>0.945</v>
      </c>
      <c r="DC385" s="0" t="n">
        <v>0.92</v>
      </c>
      <c r="DD385" s="0" t="n">
        <v>0.915</v>
      </c>
      <c r="DE385" s="0" t="n">
        <v>0.89</v>
      </c>
    </row>
    <row r="386" customFormat="false" ht="12.75" hidden="false" customHeight="false" outlineLevel="0" collapsed="false">
      <c r="BB386" s="187" t="n">
        <v>1</v>
      </c>
      <c r="BC386" s="0" t="n">
        <v>1</v>
      </c>
      <c r="BD386" s="0" t="n">
        <v>1</v>
      </c>
      <c r="BE386" s="0" t="n">
        <v>1</v>
      </c>
      <c r="BF386" s="0" t="n">
        <v>0.9999</v>
      </c>
      <c r="BG386" s="0" t="n">
        <v>1</v>
      </c>
      <c r="BH386" s="0" t="n">
        <v>1</v>
      </c>
      <c r="BI386" s="0" t="n">
        <v>0.99</v>
      </c>
      <c r="BJ386" s="0" t="n">
        <v>0.999</v>
      </c>
      <c r="BK386" s="0" t="n">
        <v>0.998</v>
      </c>
      <c r="BL386" s="0" t="n">
        <v>0.9985</v>
      </c>
      <c r="BM386" s="0" t="n">
        <v>0.9985</v>
      </c>
      <c r="BN386" s="0" t="n">
        <v>0.972</v>
      </c>
      <c r="BO386" s="0" t="n">
        <v>0.9999</v>
      </c>
      <c r="BP386" s="0" t="n">
        <v>0.9999</v>
      </c>
      <c r="DB386" s="0" t="n">
        <v>0.875</v>
      </c>
      <c r="DC386" s="0" t="n">
        <v>0.9025</v>
      </c>
      <c r="DD386" s="0" t="n">
        <v>0.82</v>
      </c>
      <c r="DE386" s="0" t="n">
        <v>0.89</v>
      </c>
    </row>
    <row r="387" customFormat="false" ht="12.75" hidden="false" customHeight="false" outlineLevel="0" collapsed="false">
      <c r="BB387" s="187" t="n">
        <v>1</v>
      </c>
      <c r="BC387" s="0" t="n">
        <v>1</v>
      </c>
      <c r="BD387" s="0" t="n">
        <v>1</v>
      </c>
      <c r="BE387" s="0" t="n">
        <v>1</v>
      </c>
      <c r="BF387" s="0" t="n">
        <v>0.9999</v>
      </c>
      <c r="BG387" s="0" t="n">
        <v>1</v>
      </c>
      <c r="BH387" s="0" t="n">
        <v>1</v>
      </c>
      <c r="BI387" s="0" t="n">
        <v>0.99</v>
      </c>
      <c r="BJ387" s="0" t="n">
        <v>0.999</v>
      </c>
      <c r="BK387" s="0" t="n">
        <v>0.998</v>
      </c>
      <c r="BL387" s="0" t="n">
        <v>0.9985</v>
      </c>
      <c r="BM387" s="0" t="n">
        <v>0.9985</v>
      </c>
      <c r="BN387" s="0" t="n">
        <v>0.972</v>
      </c>
      <c r="BO387" s="0" t="n">
        <v>0.9999</v>
      </c>
      <c r="BP387" s="0" t="n">
        <v>0.9999</v>
      </c>
      <c r="DB387" s="0" t="n">
        <v>0.85</v>
      </c>
      <c r="DC387" s="0" t="n">
        <v>0.9025</v>
      </c>
      <c r="DD387" s="0" t="n">
        <v>0.82</v>
      </c>
      <c r="DE387" s="0" t="n">
        <v>0.89</v>
      </c>
    </row>
    <row r="388" customFormat="false" ht="12.75" hidden="false" customHeight="false" outlineLevel="0" collapsed="false">
      <c r="BB388" s="187" t="n">
        <v>1</v>
      </c>
      <c r="BC388" s="0" t="n">
        <v>1</v>
      </c>
      <c r="BD388" s="0" t="n">
        <v>1</v>
      </c>
      <c r="BE388" s="0" t="n">
        <v>1</v>
      </c>
      <c r="BF388" s="0" t="n">
        <v>0.9999</v>
      </c>
      <c r="BG388" s="0" t="n">
        <v>1</v>
      </c>
      <c r="BH388" s="0" t="n">
        <v>1</v>
      </c>
      <c r="BI388" s="0" t="n">
        <v>0.99</v>
      </c>
      <c r="BJ388" s="0" t="n">
        <v>0.999</v>
      </c>
      <c r="BK388" s="0" t="n">
        <v>0.998</v>
      </c>
      <c r="BL388" s="0" t="n">
        <v>0.9985</v>
      </c>
      <c r="BM388" s="0" t="n">
        <v>0.9985</v>
      </c>
      <c r="BN388" s="0" t="n">
        <v>0.972</v>
      </c>
      <c r="BO388" s="0" t="n">
        <v>0.9999</v>
      </c>
      <c r="BP388" s="0" t="n">
        <v>0.9999</v>
      </c>
      <c r="DB388" s="0" t="n">
        <v>0.69</v>
      </c>
      <c r="DC388" s="0" t="n">
        <v>0.8925</v>
      </c>
      <c r="DD388" s="0" t="n">
        <v>0.715</v>
      </c>
      <c r="DE388" s="0" t="n">
        <v>0.89</v>
      </c>
    </row>
    <row r="389" customFormat="false" ht="12.75" hidden="false" customHeight="false" outlineLevel="0" collapsed="false">
      <c r="BB389" s="187" t="n">
        <v>1</v>
      </c>
      <c r="BC389" s="0" t="n">
        <v>1</v>
      </c>
      <c r="BD389" s="0" t="n">
        <v>1</v>
      </c>
      <c r="BE389" s="0" t="n">
        <v>1</v>
      </c>
      <c r="BF389" s="0" t="n">
        <v>0.9999</v>
      </c>
      <c r="BG389" s="0" t="n">
        <v>1</v>
      </c>
      <c r="BH389" s="0" t="n">
        <v>1</v>
      </c>
      <c r="BI389" s="0" t="n">
        <v>0.99</v>
      </c>
      <c r="BJ389" s="0" t="n">
        <v>0.999</v>
      </c>
      <c r="BK389" s="0" t="n">
        <v>0.998</v>
      </c>
      <c r="BL389" s="0" t="n">
        <v>0.9985</v>
      </c>
      <c r="BM389" s="0" t="n">
        <v>0.9985</v>
      </c>
      <c r="BN389" s="0" t="n">
        <v>0.972</v>
      </c>
      <c r="BO389" s="0" t="n">
        <v>0.9999</v>
      </c>
      <c r="BP389" s="0" t="n">
        <v>0.9999</v>
      </c>
      <c r="DC389" s="0" t="n">
        <v>0.88</v>
      </c>
      <c r="DD389" s="0" t="n">
        <v>0.64</v>
      </c>
      <c r="DE389" s="0" t="n">
        <v>0.89</v>
      </c>
    </row>
    <row r="390" customFormat="false" ht="12.75" hidden="false" customHeight="false" outlineLevel="0" collapsed="false">
      <c r="BB390" s="187" t="n">
        <v>1</v>
      </c>
      <c r="BC390" s="0" t="n">
        <v>1</v>
      </c>
      <c r="BD390" s="0" t="n">
        <v>1</v>
      </c>
      <c r="BE390" s="0" t="n">
        <v>1</v>
      </c>
      <c r="BF390" s="0" t="n">
        <v>0.9999</v>
      </c>
      <c r="BG390" s="0" t="n">
        <v>1</v>
      </c>
      <c r="BH390" s="0" t="n">
        <v>1</v>
      </c>
      <c r="BI390" s="0" t="n">
        <v>0.99</v>
      </c>
      <c r="BJ390" s="0" t="n">
        <v>0.999</v>
      </c>
      <c r="BK390" s="0" t="n">
        <v>0.998</v>
      </c>
      <c r="BL390" s="0" t="n">
        <v>0.9985</v>
      </c>
      <c r="BM390" s="0" t="n">
        <v>0.9985</v>
      </c>
      <c r="BN390" s="0" t="n">
        <v>0.972</v>
      </c>
      <c r="BO390" s="0" t="n">
        <v>0.9999</v>
      </c>
      <c r="BP390" s="0" t="n">
        <v>0.9999</v>
      </c>
      <c r="DC390" s="0" t="n">
        <v>0.8775</v>
      </c>
      <c r="DD390" s="0" t="n">
        <v>0.67</v>
      </c>
      <c r="DE390" s="0" t="n">
        <v>0.89</v>
      </c>
    </row>
    <row r="391" customFormat="false" ht="12.75" hidden="false" customHeight="false" outlineLevel="0" collapsed="false">
      <c r="BB391" s="187" t="n">
        <v>1</v>
      </c>
      <c r="BC391" s="0" t="n">
        <v>1</v>
      </c>
      <c r="BD391" s="0" t="n">
        <v>1</v>
      </c>
      <c r="BE391" s="0" t="n">
        <v>1</v>
      </c>
      <c r="BF391" s="0" t="n">
        <v>0.9999</v>
      </c>
      <c r="BG391" s="0" t="n">
        <v>1</v>
      </c>
      <c r="BH391" s="0" t="n">
        <v>1</v>
      </c>
      <c r="BI391" s="0" t="n">
        <v>0.99</v>
      </c>
      <c r="BJ391" s="0" t="n">
        <v>0.999</v>
      </c>
      <c r="BK391" s="0" t="n">
        <v>0.998</v>
      </c>
      <c r="BL391" s="0" t="n">
        <v>0.9985</v>
      </c>
      <c r="BM391" s="0" t="n">
        <v>0.9985</v>
      </c>
      <c r="BN391" s="0" t="n">
        <v>0.972</v>
      </c>
      <c r="BO391" s="0" t="n">
        <v>0.9999</v>
      </c>
      <c r="BP391" s="0" t="n">
        <v>0.9999</v>
      </c>
      <c r="DC391" s="0" t="n">
        <v>0.9</v>
      </c>
      <c r="DD391" s="0" t="n">
        <v>0.83</v>
      </c>
      <c r="DE391" s="0" t="n">
        <v>0.89</v>
      </c>
    </row>
    <row r="392" customFormat="false" ht="12.75" hidden="false" customHeight="false" outlineLevel="0" collapsed="false">
      <c r="BB392" s="187" t="n">
        <v>1</v>
      </c>
      <c r="BC392" s="0" t="n">
        <v>1</v>
      </c>
      <c r="BD392" s="0" t="n">
        <v>1</v>
      </c>
      <c r="BE392" s="0" t="n">
        <v>1</v>
      </c>
      <c r="BF392" s="0" t="n">
        <v>0.9999</v>
      </c>
      <c r="BG392" s="0" t="n">
        <v>1</v>
      </c>
      <c r="BH392" s="0" t="n">
        <v>1</v>
      </c>
      <c r="BI392" s="0" t="n">
        <v>0.99</v>
      </c>
      <c r="BJ392" s="0" t="n">
        <v>0.999</v>
      </c>
      <c r="BK392" s="0" t="n">
        <v>0.998</v>
      </c>
      <c r="BL392" s="0" t="n">
        <v>0.9985</v>
      </c>
      <c r="BM392" s="0" t="n">
        <v>0.9985</v>
      </c>
      <c r="BN392" s="0" t="n">
        <v>0.972</v>
      </c>
      <c r="BO392" s="0" t="n">
        <v>0.9999</v>
      </c>
      <c r="BP392" s="0" t="n">
        <v>0.9999</v>
      </c>
      <c r="DC392" s="0" t="n">
        <v>0.903</v>
      </c>
      <c r="DD392" s="0" t="n">
        <v>0.92</v>
      </c>
      <c r="DE392" s="0" t="n">
        <v>0.89</v>
      </c>
    </row>
    <row r="393" customFormat="false" ht="12.75" hidden="false" customHeight="false" outlineLevel="0" collapsed="false">
      <c r="BB393" s="187" t="n">
        <v>1</v>
      </c>
      <c r="BC393" s="0" t="n">
        <v>1</v>
      </c>
      <c r="BD393" s="0" t="n">
        <v>1</v>
      </c>
      <c r="BE393" s="0" t="n">
        <v>1</v>
      </c>
      <c r="BF393" s="0" t="n">
        <v>0.9999</v>
      </c>
      <c r="BG393" s="0" t="n">
        <v>1</v>
      </c>
      <c r="BH393" s="0" t="n">
        <v>1</v>
      </c>
      <c r="BI393" s="0" t="n">
        <v>0.99</v>
      </c>
      <c r="BJ393" s="0" t="n">
        <v>0.999</v>
      </c>
      <c r="BK393" s="0" t="n">
        <v>0.998</v>
      </c>
      <c r="BL393" s="0" t="n">
        <v>0.9985</v>
      </c>
      <c r="BM393" s="0" t="n">
        <v>0.9985</v>
      </c>
      <c r="BN393" s="0" t="n">
        <v>0.972</v>
      </c>
      <c r="BO393" s="0" t="n">
        <v>0.9999</v>
      </c>
      <c r="BP393" s="0" t="n">
        <v>0.9999</v>
      </c>
      <c r="DC393" s="0" t="n">
        <v>0.9</v>
      </c>
      <c r="DD393" s="0" t="n">
        <v>0.935</v>
      </c>
      <c r="DE393" s="0" t="n">
        <v>0.89</v>
      </c>
    </row>
    <row r="394" customFormat="false" ht="12.75" hidden="false" customHeight="false" outlineLevel="0" collapsed="false">
      <c r="BB394" s="187" t="n">
        <v>1</v>
      </c>
      <c r="BC394" s="0" t="n">
        <v>1</v>
      </c>
      <c r="BD394" s="0" t="n">
        <v>1</v>
      </c>
      <c r="BE394" s="0" t="n">
        <v>1</v>
      </c>
      <c r="BF394" s="0" t="n">
        <v>0.9999</v>
      </c>
      <c r="BG394" s="0" t="n">
        <v>1</v>
      </c>
      <c r="BH394" s="0" t="n">
        <v>1</v>
      </c>
      <c r="BI394" s="0" t="n">
        <v>0.99</v>
      </c>
      <c r="BJ394" s="0" t="n">
        <v>0.999</v>
      </c>
      <c r="BK394" s="0" t="n">
        <v>0.998</v>
      </c>
      <c r="BL394" s="0" t="n">
        <v>0.9985</v>
      </c>
      <c r="BM394" s="0" t="n">
        <v>0.9985</v>
      </c>
      <c r="BN394" s="0" t="n">
        <v>0.972</v>
      </c>
      <c r="BO394" s="0" t="n">
        <v>0.9999</v>
      </c>
      <c r="BP394" s="0" t="n">
        <v>0.9999</v>
      </c>
      <c r="DC394" s="0" t="n">
        <v>0.9025</v>
      </c>
      <c r="DD394" s="0" t="n">
        <v>0.915</v>
      </c>
      <c r="DE394" s="0" t="n">
        <v>0.89</v>
      </c>
    </row>
    <row r="395" customFormat="false" ht="12.75" hidden="false" customHeight="false" outlineLevel="0" collapsed="false">
      <c r="BB395" s="187" t="n">
        <v>1</v>
      </c>
      <c r="BC395" s="0" t="n">
        <v>1</v>
      </c>
      <c r="BD395" s="0" t="n">
        <v>1</v>
      </c>
      <c r="BE395" s="0" t="n">
        <v>1</v>
      </c>
      <c r="BF395" s="0" t="n">
        <v>0.9999</v>
      </c>
      <c r="BG395" s="0" t="n">
        <v>1</v>
      </c>
      <c r="BH395" s="0" t="n">
        <v>1</v>
      </c>
      <c r="BI395" s="0" t="n">
        <v>0.99</v>
      </c>
      <c r="BJ395" s="0" t="n">
        <v>0.999</v>
      </c>
      <c r="BK395" s="0" t="n">
        <v>0.998</v>
      </c>
      <c r="BL395" s="0" t="n">
        <v>0.9985</v>
      </c>
      <c r="BM395" s="0" t="n">
        <v>0.9985</v>
      </c>
      <c r="BN395" s="0" t="n">
        <v>0.972</v>
      </c>
      <c r="BO395" s="0" t="n">
        <v>0.9999</v>
      </c>
      <c r="BP395" s="0" t="n">
        <v>0.9999</v>
      </c>
      <c r="DC395" s="0" t="n">
        <v>0.9075</v>
      </c>
      <c r="DD395" s="0" t="n">
        <v>0.915</v>
      </c>
      <c r="DE395" s="0" t="n">
        <v>0.89</v>
      </c>
    </row>
    <row r="396" customFormat="false" ht="12.75" hidden="false" customHeight="false" outlineLevel="0" collapsed="false">
      <c r="BB396" s="187" t="n">
        <v>1</v>
      </c>
      <c r="BC396" s="0" t="n">
        <v>1</v>
      </c>
      <c r="BD396" s="0" t="n">
        <v>1</v>
      </c>
      <c r="BE396" s="0" t="n">
        <v>1</v>
      </c>
      <c r="BF396" s="0" t="n">
        <v>0.9999</v>
      </c>
      <c r="BG396" s="0" t="n">
        <v>1</v>
      </c>
      <c r="BH396" s="0" t="n">
        <v>1</v>
      </c>
      <c r="BI396" s="0" t="n">
        <v>0.99</v>
      </c>
      <c r="BJ396" s="0" t="n">
        <v>0.999</v>
      </c>
      <c r="BK396" s="0" t="n">
        <v>0.998</v>
      </c>
      <c r="BL396" s="0" t="n">
        <v>0.9985</v>
      </c>
      <c r="BM396" s="0" t="n">
        <v>0.9985</v>
      </c>
      <c r="BN396" s="0" t="n">
        <v>0.972</v>
      </c>
      <c r="BO396" s="0" t="n">
        <v>0.9999</v>
      </c>
      <c r="BP396" s="0" t="n">
        <v>0.9999</v>
      </c>
      <c r="DC396" s="0" t="n">
        <v>0.9275</v>
      </c>
      <c r="DD396" s="0" t="n">
        <v>0.915</v>
      </c>
      <c r="DE396" s="0" t="n">
        <v>0.89</v>
      </c>
    </row>
    <row r="397" customFormat="false" ht="12.75" hidden="false" customHeight="false" outlineLevel="0" collapsed="false">
      <c r="BB397" s="187" t="n">
        <v>1</v>
      </c>
      <c r="BC397" s="0" t="n">
        <v>1</v>
      </c>
      <c r="BD397" s="0" t="n">
        <v>1</v>
      </c>
      <c r="BE397" s="0" t="n">
        <v>1</v>
      </c>
      <c r="BF397" s="0" t="n">
        <v>0.9999</v>
      </c>
      <c r="BG397" s="0" t="n">
        <v>1</v>
      </c>
      <c r="BH397" s="0" t="n">
        <v>1</v>
      </c>
      <c r="BI397" s="0" t="n">
        <v>0.99</v>
      </c>
      <c r="BJ397" s="0" t="n">
        <v>0.999</v>
      </c>
      <c r="BK397" s="0" t="n">
        <v>0.998</v>
      </c>
      <c r="BL397" s="0" t="n">
        <v>0.9985</v>
      </c>
      <c r="BM397" s="0" t="n">
        <v>0.9985</v>
      </c>
      <c r="BN397" s="0" t="n">
        <v>0.972</v>
      </c>
      <c r="BO397" s="0" t="n">
        <v>0.9999</v>
      </c>
      <c r="BP397" s="0" t="n">
        <v>0.9999</v>
      </c>
      <c r="DC397" s="0" t="n">
        <v>0.92</v>
      </c>
      <c r="DD397" s="0" t="n">
        <v>0.915</v>
      </c>
      <c r="DE397" s="0" t="n">
        <v>0.89</v>
      </c>
    </row>
    <row r="398" customFormat="false" ht="12.75" hidden="false" customHeight="false" outlineLevel="0" collapsed="false">
      <c r="BB398" s="187" t="n">
        <v>1</v>
      </c>
      <c r="BC398" s="0" t="n">
        <v>1</v>
      </c>
      <c r="BD398" s="0" t="n">
        <v>1</v>
      </c>
      <c r="BE398" s="0" t="n">
        <v>1</v>
      </c>
      <c r="BF398" s="0" t="n">
        <v>0.9999</v>
      </c>
      <c r="BG398" s="0" t="n">
        <v>1</v>
      </c>
      <c r="BH398" s="0" t="n">
        <v>1</v>
      </c>
      <c r="BI398" s="0" t="n">
        <v>0.99</v>
      </c>
      <c r="BJ398" s="0" t="n">
        <v>0.999</v>
      </c>
      <c r="BK398" s="0" t="n">
        <v>0.998</v>
      </c>
      <c r="BL398" s="0" t="n">
        <v>0.9985</v>
      </c>
      <c r="BM398" s="0" t="n">
        <v>0.9985</v>
      </c>
      <c r="BN398" s="0" t="n">
        <v>0.972</v>
      </c>
      <c r="BO398" s="0" t="n">
        <v>0.9999</v>
      </c>
      <c r="BP398" s="0" t="n">
        <v>0.9999</v>
      </c>
      <c r="DC398" s="0" t="n">
        <v>0.9025</v>
      </c>
      <c r="DD398" s="0" t="n">
        <v>0.82</v>
      </c>
      <c r="DE398" s="0" t="n">
        <v>0.89</v>
      </c>
    </row>
    <row r="399" customFormat="false" ht="12.75" hidden="false" customHeight="false" outlineLevel="0" collapsed="false">
      <c r="BB399" s="187" t="n">
        <v>1</v>
      </c>
      <c r="BC399" s="0" t="n">
        <v>1</v>
      </c>
      <c r="BD399" s="0" t="n">
        <v>1</v>
      </c>
      <c r="BE399" s="0" t="n">
        <v>1</v>
      </c>
      <c r="BF399" s="0" t="n">
        <v>0.9999</v>
      </c>
      <c r="BG399" s="0" t="n">
        <v>1</v>
      </c>
      <c r="BH399" s="0" t="n">
        <v>1</v>
      </c>
      <c r="BI399" s="0" t="n">
        <v>0.99</v>
      </c>
      <c r="BJ399" s="0" t="n">
        <v>0.999</v>
      </c>
      <c r="BK399" s="0" t="n">
        <v>0.998</v>
      </c>
      <c r="BL399" s="0" t="n">
        <v>0.9985</v>
      </c>
      <c r="BM399" s="0" t="n">
        <v>0.9985</v>
      </c>
      <c r="BN399" s="0" t="n">
        <v>0.972</v>
      </c>
      <c r="BO399" s="0" t="n">
        <v>0.9999</v>
      </c>
      <c r="BP399" s="0" t="n">
        <v>0.9999</v>
      </c>
      <c r="DC399" s="0" t="n">
        <v>0.9025</v>
      </c>
      <c r="DD399" s="0" t="n">
        <v>0.82</v>
      </c>
      <c r="DE399" s="0" t="n">
        <v>0.89</v>
      </c>
    </row>
    <row r="400" customFormat="false" ht="12.75" hidden="false" customHeight="false" outlineLevel="0" collapsed="false">
      <c r="BB400" s="187" t="n">
        <v>1</v>
      </c>
      <c r="BC400" s="0" t="n">
        <v>1</v>
      </c>
      <c r="BD400" s="0" t="n">
        <v>1</v>
      </c>
      <c r="BE400" s="0" t="n">
        <v>1</v>
      </c>
      <c r="BF400" s="0" t="n">
        <v>0.9999</v>
      </c>
      <c r="BG400" s="0" t="n">
        <v>1</v>
      </c>
      <c r="BH400" s="0" t="n">
        <v>1</v>
      </c>
      <c r="BI400" s="0" t="n">
        <v>0.99</v>
      </c>
      <c r="BJ400" s="0" t="n">
        <v>0.999</v>
      </c>
      <c r="BK400" s="0" t="n">
        <v>0.998</v>
      </c>
      <c r="BL400" s="0" t="n">
        <v>0.9985</v>
      </c>
      <c r="BM400" s="0" t="n">
        <v>0.9985</v>
      </c>
      <c r="BN400" s="0" t="n">
        <v>0.972</v>
      </c>
      <c r="BO400" s="0" t="n">
        <v>0.9999</v>
      </c>
      <c r="BP400" s="0" t="n">
        <v>0.9999</v>
      </c>
      <c r="DC400" s="0" t="n">
        <v>0.8925</v>
      </c>
      <c r="DD400" s="0" t="n">
        <v>0.715</v>
      </c>
      <c r="DE400" s="0" t="n">
        <v>0.89</v>
      </c>
    </row>
    <row r="401" customFormat="false" ht="12.75" hidden="false" customHeight="false" outlineLevel="0" collapsed="false">
      <c r="BB401" s="187" t="n">
        <v>1</v>
      </c>
      <c r="BC401" s="0" t="n">
        <v>1</v>
      </c>
      <c r="BD401" s="0" t="n">
        <v>1</v>
      </c>
      <c r="BE401" s="0" t="n">
        <v>1</v>
      </c>
      <c r="BF401" s="0" t="n">
        <v>0.9999</v>
      </c>
      <c r="BG401" s="0" t="n">
        <v>1</v>
      </c>
      <c r="BH401" s="0" t="n">
        <v>1</v>
      </c>
      <c r="BI401" s="0" t="n">
        <v>0.99</v>
      </c>
      <c r="BJ401" s="0" t="n">
        <v>0.999</v>
      </c>
      <c r="BK401" s="0" t="n">
        <v>0.998</v>
      </c>
      <c r="BL401" s="0" t="n">
        <v>0.9985</v>
      </c>
      <c r="BM401" s="0" t="n">
        <v>0.9985</v>
      </c>
      <c r="BN401" s="0" t="n">
        <v>0.972</v>
      </c>
      <c r="BO401" s="0" t="n">
        <v>0.9999</v>
      </c>
      <c r="BP401" s="0" t="n">
        <v>0.9999</v>
      </c>
      <c r="DC401" s="0" t="n">
        <v>0.88</v>
      </c>
      <c r="DD401" s="0" t="n">
        <v>0.64</v>
      </c>
      <c r="DE401" s="0" t="n">
        <v>0.89</v>
      </c>
    </row>
    <row r="402" customFormat="false" ht="12.75" hidden="false" customHeight="false" outlineLevel="0" collapsed="false">
      <c r="BB402" s="187" t="n">
        <v>1</v>
      </c>
      <c r="BC402" s="0" t="n">
        <v>1</v>
      </c>
      <c r="BD402" s="0" t="n">
        <v>1</v>
      </c>
      <c r="BE402" s="0" t="n">
        <v>1</v>
      </c>
      <c r="BF402" s="0" t="n">
        <v>0.9999</v>
      </c>
      <c r="BG402" s="0" t="n">
        <v>1</v>
      </c>
      <c r="BH402" s="0" t="n">
        <v>1</v>
      </c>
      <c r="BI402" s="0" t="n">
        <v>0.99</v>
      </c>
      <c r="BJ402" s="0" t="n">
        <v>0.999</v>
      </c>
      <c r="BK402" s="0" t="n">
        <v>0.998</v>
      </c>
      <c r="BL402" s="0" t="n">
        <v>0.9985</v>
      </c>
      <c r="BM402" s="0" t="n">
        <v>0.9985</v>
      </c>
      <c r="BN402" s="0" t="n">
        <v>0.972</v>
      </c>
      <c r="BO402" s="0" t="n">
        <v>0.9999</v>
      </c>
      <c r="BP402" s="0" t="n">
        <v>0.9999</v>
      </c>
      <c r="DC402" s="0" t="n">
        <v>0.8775</v>
      </c>
      <c r="DD402" s="0" t="n">
        <v>0.67</v>
      </c>
      <c r="DE402" s="0" t="n">
        <v>0.89</v>
      </c>
    </row>
    <row r="403" customFormat="false" ht="12.75" hidden="false" customHeight="false" outlineLevel="0" collapsed="false">
      <c r="BB403" s="187" t="n">
        <v>1</v>
      </c>
      <c r="BC403" s="0" t="n">
        <v>1</v>
      </c>
      <c r="BD403" s="0" t="n">
        <v>1</v>
      </c>
      <c r="BE403" s="0" t="n">
        <v>1</v>
      </c>
      <c r="BF403" s="0" t="n">
        <v>0.9999</v>
      </c>
      <c r="BG403" s="0" t="n">
        <v>1</v>
      </c>
      <c r="BH403" s="0" t="n">
        <v>1</v>
      </c>
      <c r="BI403" s="0" t="n">
        <v>0.99</v>
      </c>
      <c r="BJ403" s="0" t="n">
        <v>0.999</v>
      </c>
      <c r="BK403" s="0" t="n">
        <v>0.998</v>
      </c>
      <c r="BL403" s="0" t="n">
        <v>0.9985</v>
      </c>
      <c r="BM403" s="0" t="n">
        <v>0.9985</v>
      </c>
      <c r="BN403" s="0" t="n">
        <v>0.972</v>
      </c>
      <c r="BO403" s="0" t="n">
        <v>0.9999</v>
      </c>
      <c r="BP403" s="0" t="n">
        <v>0.9999</v>
      </c>
      <c r="DC403" s="0" t="n">
        <v>0.9</v>
      </c>
      <c r="DD403" s="0" t="n">
        <v>0.83</v>
      </c>
      <c r="DE403" s="0" t="n">
        <v>0.89</v>
      </c>
    </row>
    <row r="404" customFormat="false" ht="12.75" hidden="false" customHeight="false" outlineLevel="0" collapsed="false">
      <c r="BB404" s="187" t="n">
        <v>1</v>
      </c>
      <c r="BC404" s="0" t="n">
        <v>1</v>
      </c>
      <c r="BD404" s="0" t="n">
        <v>1</v>
      </c>
      <c r="BE404" s="0" t="n">
        <v>1</v>
      </c>
      <c r="BF404" s="0" t="n">
        <v>0.9999</v>
      </c>
      <c r="BG404" s="0" t="n">
        <v>1</v>
      </c>
      <c r="BH404" s="0" t="n">
        <v>1</v>
      </c>
      <c r="BI404" s="0" t="n">
        <v>0.99</v>
      </c>
      <c r="BJ404" s="0" t="n">
        <v>0.999</v>
      </c>
      <c r="BK404" s="0" t="n">
        <v>0.998</v>
      </c>
      <c r="BL404" s="0" t="n">
        <v>0.9985</v>
      </c>
      <c r="BM404" s="0" t="n">
        <v>0.9985</v>
      </c>
      <c r="BN404" s="0" t="n">
        <v>0.972</v>
      </c>
      <c r="BO404" s="0" t="n">
        <v>0.9999</v>
      </c>
      <c r="BP404" s="0" t="n">
        <v>0.9999</v>
      </c>
      <c r="DC404" s="0" t="n">
        <v>0.903</v>
      </c>
      <c r="DD404" s="0" t="n">
        <v>0.92</v>
      </c>
      <c r="DE404" s="0" t="n">
        <v>0.89</v>
      </c>
    </row>
    <row r="405" customFormat="false" ht="12.75" hidden="false" customHeight="false" outlineLevel="0" collapsed="false">
      <c r="BB405" s="187" t="n">
        <v>1</v>
      </c>
      <c r="BC405" s="0" t="n">
        <v>1</v>
      </c>
      <c r="BD405" s="0" t="n">
        <v>1</v>
      </c>
      <c r="BE405" s="0" t="n">
        <v>1</v>
      </c>
      <c r="BF405" s="0" t="n">
        <v>0.9999</v>
      </c>
      <c r="BG405" s="0" t="n">
        <v>1</v>
      </c>
      <c r="BH405" s="0" t="n">
        <v>1</v>
      </c>
      <c r="BI405" s="0" t="n">
        <v>0.99</v>
      </c>
      <c r="BJ405" s="0" t="n">
        <v>0.999</v>
      </c>
      <c r="BK405" s="0" t="n">
        <v>0.998</v>
      </c>
      <c r="BL405" s="0" t="n">
        <v>0.9985</v>
      </c>
      <c r="BM405" s="0" t="n">
        <v>0.9985</v>
      </c>
      <c r="BN405" s="0" t="n">
        <v>0.972</v>
      </c>
      <c r="BO405" s="0" t="n">
        <v>0.9999</v>
      </c>
      <c r="BP405" s="0" t="n">
        <v>0.9999</v>
      </c>
      <c r="DC405" s="0" t="n">
        <v>0.9</v>
      </c>
      <c r="DD405" s="0" t="n">
        <v>0.935</v>
      </c>
      <c r="DE405" s="0" t="n">
        <v>0.89</v>
      </c>
    </row>
    <row r="406" customFormat="false" ht="12.75" hidden="false" customHeight="false" outlineLevel="0" collapsed="false">
      <c r="BB406" s="187" t="n">
        <v>1</v>
      </c>
      <c r="BC406" s="0" t="n">
        <v>1</v>
      </c>
      <c r="BD406" s="0" t="n">
        <v>1</v>
      </c>
      <c r="BE406" s="0" t="n">
        <v>1</v>
      </c>
      <c r="BF406" s="0" t="n">
        <v>0.9999</v>
      </c>
      <c r="BG406" s="0" t="n">
        <v>1</v>
      </c>
      <c r="BH406" s="0" t="n">
        <v>1</v>
      </c>
      <c r="BI406" s="0" t="n">
        <v>0.99</v>
      </c>
      <c r="BJ406" s="0" t="n">
        <v>0.999</v>
      </c>
      <c r="BK406" s="0" t="n">
        <v>0.998</v>
      </c>
      <c r="BL406" s="0" t="n">
        <v>0.9985</v>
      </c>
      <c r="BM406" s="0" t="n">
        <v>0.9985</v>
      </c>
      <c r="BN406" s="0" t="n">
        <v>0.972</v>
      </c>
      <c r="BO406" s="0" t="n">
        <v>0.9999</v>
      </c>
      <c r="BP406" s="0" t="n">
        <v>0.9999</v>
      </c>
      <c r="DC406" s="0" t="n">
        <v>0.9025</v>
      </c>
      <c r="DD406" s="0" t="n">
        <v>0.915</v>
      </c>
      <c r="DE406" s="0" t="n">
        <v>0.89</v>
      </c>
    </row>
    <row r="407" customFormat="false" ht="12.75" hidden="false" customHeight="false" outlineLevel="0" collapsed="false">
      <c r="BB407" s="187" t="n">
        <v>1</v>
      </c>
      <c r="BC407" s="0" t="n">
        <v>1</v>
      </c>
      <c r="BD407" s="0" t="n">
        <v>1</v>
      </c>
      <c r="BE407" s="0" t="n">
        <v>1</v>
      </c>
      <c r="BF407" s="0" t="n">
        <v>0.9999</v>
      </c>
      <c r="BG407" s="0" t="n">
        <v>1</v>
      </c>
      <c r="BH407" s="0" t="n">
        <v>1</v>
      </c>
      <c r="BI407" s="0" t="n">
        <v>0.99</v>
      </c>
      <c r="BJ407" s="0" t="n">
        <v>0.999</v>
      </c>
      <c r="BK407" s="0" t="n">
        <v>0.998</v>
      </c>
      <c r="BL407" s="0" t="n">
        <v>0.9985</v>
      </c>
      <c r="BM407" s="0" t="n">
        <v>0.9985</v>
      </c>
      <c r="BN407" s="0" t="n">
        <v>0.972</v>
      </c>
      <c r="BO407" s="0" t="n">
        <v>0.9999</v>
      </c>
      <c r="BP407" s="0" t="n">
        <v>0.9999</v>
      </c>
      <c r="DC407" s="0" t="n">
        <v>0.9075</v>
      </c>
      <c r="DD407" s="0" t="n">
        <v>0.915</v>
      </c>
      <c r="DE407" s="0" t="n">
        <v>0.89</v>
      </c>
    </row>
    <row r="408" customFormat="false" ht="12.75" hidden="false" customHeight="false" outlineLevel="0" collapsed="false">
      <c r="BB408" s="187" t="n">
        <v>1</v>
      </c>
      <c r="BC408" s="0" t="n">
        <v>1</v>
      </c>
      <c r="BD408" s="0" t="n">
        <v>1</v>
      </c>
      <c r="BE408" s="0" t="n">
        <v>1</v>
      </c>
      <c r="BF408" s="0" t="n">
        <v>0.9999</v>
      </c>
      <c r="BG408" s="0" t="n">
        <v>1</v>
      </c>
      <c r="BH408" s="0" t="n">
        <v>1</v>
      </c>
      <c r="BI408" s="0" t="n">
        <v>0.99</v>
      </c>
      <c r="BJ408" s="0" t="n">
        <v>0.999</v>
      </c>
      <c r="BK408" s="0" t="n">
        <v>0.998</v>
      </c>
      <c r="BL408" s="0" t="n">
        <v>0.9985</v>
      </c>
      <c r="BM408" s="0" t="n">
        <v>0.9985</v>
      </c>
      <c r="BN408" s="0" t="n">
        <v>0.972</v>
      </c>
      <c r="BO408" s="0" t="n">
        <v>0.9999</v>
      </c>
      <c r="BP408" s="0" t="n">
        <v>0.9999</v>
      </c>
      <c r="DC408" s="0" t="n">
        <v>0.9275</v>
      </c>
      <c r="DD408" s="0" t="n">
        <v>0.915</v>
      </c>
      <c r="DE408" s="0" t="n">
        <v>0.89</v>
      </c>
    </row>
    <row r="409" customFormat="false" ht="12.75" hidden="false" customHeight="false" outlineLevel="0" collapsed="false">
      <c r="BB409" s="187" t="n">
        <v>1</v>
      </c>
      <c r="BC409" s="0" t="n">
        <v>1</v>
      </c>
      <c r="BD409" s="0" t="n">
        <v>1</v>
      </c>
      <c r="BE409" s="0" t="n">
        <v>1</v>
      </c>
      <c r="BF409" s="0" t="n">
        <v>0.9999</v>
      </c>
      <c r="BG409" s="0" t="n">
        <v>1</v>
      </c>
      <c r="BH409" s="0" t="n">
        <v>1</v>
      </c>
      <c r="BI409" s="0" t="n">
        <v>0.99</v>
      </c>
      <c r="BJ409" s="0" t="n">
        <v>0.999</v>
      </c>
      <c r="BK409" s="0" t="n">
        <v>0.998</v>
      </c>
      <c r="BL409" s="0" t="n">
        <v>0.9985</v>
      </c>
      <c r="BM409" s="0" t="n">
        <v>0.9985</v>
      </c>
      <c r="BN409" s="0" t="n">
        <v>0.972</v>
      </c>
      <c r="BO409" s="0" t="n">
        <v>0.9999</v>
      </c>
      <c r="BP409" s="0" t="n">
        <v>0.9999</v>
      </c>
      <c r="DC409" s="0" t="n">
        <v>0.92</v>
      </c>
      <c r="DD409" s="0" t="n">
        <v>0.915</v>
      </c>
      <c r="DE409" s="0" t="n">
        <v>0.89</v>
      </c>
    </row>
    <row r="410" customFormat="false" ht="12.75" hidden="false" customHeight="false" outlineLevel="0" collapsed="false">
      <c r="BB410" s="187" t="n">
        <v>1</v>
      </c>
      <c r="BC410" s="0" t="n">
        <v>1</v>
      </c>
      <c r="BD410" s="0" t="n">
        <v>1</v>
      </c>
      <c r="BE410" s="0" t="n">
        <v>1</v>
      </c>
      <c r="BF410" s="0" t="n">
        <v>0.9999</v>
      </c>
      <c r="BG410" s="0" t="n">
        <v>1</v>
      </c>
      <c r="BH410" s="0" t="n">
        <v>1</v>
      </c>
      <c r="BI410" s="0" t="n">
        <v>0.99</v>
      </c>
      <c r="BJ410" s="0" t="n">
        <v>0.999</v>
      </c>
      <c r="BK410" s="0" t="n">
        <v>0.998</v>
      </c>
      <c r="BL410" s="0" t="n">
        <v>0.9985</v>
      </c>
      <c r="BM410" s="0" t="n">
        <v>0.9985</v>
      </c>
      <c r="BN410" s="0" t="n">
        <v>0.972</v>
      </c>
      <c r="BO410" s="0" t="n">
        <v>0.9999</v>
      </c>
      <c r="BP410" s="0" t="n">
        <v>0.9999</v>
      </c>
      <c r="DC410" s="0" t="n">
        <v>0.9025</v>
      </c>
      <c r="DD410" s="0" t="n">
        <v>0.82</v>
      </c>
      <c r="DE410" s="0" t="n">
        <v>0.89</v>
      </c>
    </row>
    <row r="411" customFormat="false" ht="12.75" hidden="false" customHeight="false" outlineLevel="0" collapsed="false">
      <c r="BB411" s="187" t="n">
        <v>1</v>
      </c>
      <c r="BC411" s="0" t="n">
        <v>1</v>
      </c>
      <c r="BD411" s="0" t="n">
        <v>1</v>
      </c>
      <c r="BE411" s="0" t="n">
        <v>1</v>
      </c>
      <c r="BF411" s="0" t="n">
        <v>0.9999</v>
      </c>
      <c r="BG411" s="0" t="n">
        <v>1</v>
      </c>
      <c r="BH411" s="0" t="n">
        <v>1</v>
      </c>
      <c r="BI411" s="0" t="n">
        <v>0.99</v>
      </c>
      <c r="BJ411" s="0" t="n">
        <v>0.999</v>
      </c>
      <c r="BK411" s="0" t="n">
        <v>0.998</v>
      </c>
      <c r="BL411" s="0" t="n">
        <v>0.9985</v>
      </c>
      <c r="BM411" s="0" t="n">
        <v>0.9985</v>
      </c>
      <c r="BN411" s="0" t="n">
        <v>0.972</v>
      </c>
      <c r="BO411" s="0" t="n">
        <v>0.9999</v>
      </c>
      <c r="BP411" s="0" t="n">
        <v>0.9999</v>
      </c>
      <c r="DC411" s="0" t="n">
        <v>0.9025</v>
      </c>
      <c r="DD411" s="0" t="n">
        <v>0.82</v>
      </c>
      <c r="DE411" s="0" t="n">
        <v>0.89</v>
      </c>
    </row>
    <row r="412" customFormat="false" ht="12.75" hidden="false" customHeight="false" outlineLevel="0" collapsed="false">
      <c r="BB412" s="187" t="n">
        <v>1</v>
      </c>
      <c r="BC412" s="0" t="n">
        <v>1</v>
      </c>
      <c r="BD412" s="0" t="n">
        <v>1</v>
      </c>
      <c r="BE412" s="0" t="n">
        <v>1</v>
      </c>
      <c r="BF412" s="0" t="n">
        <v>0.9999</v>
      </c>
      <c r="BG412" s="0" t="n">
        <v>1</v>
      </c>
      <c r="BH412" s="0" t="n">
        <v>1</v>
      </c>
      <c r="BI412" s="0" t="n">
        <v>0.99</v>
      </c>
      <c r="BJ412" s="0" t="n">
        <v>0.999</v>
      </c>
      <c r="BK412" s="0" t="n">
        <v>0.998</v>
      </c>
      <c r="BL412" s="0" t="n">
        <v>0.9985</v>
      </c>
      <c r="BM412" s="0" t="n">
        <v>0.9985</v>
      </c>
      <c r="BN412" s="0" t="n">
        <v>0.972</v>
      </c>
      <c r="BO412" s="0" t="n">
        <v>0.9999</v>
      </c>
      <c r="BP412" s="0" t="n">
        <v>0.9999</v>
      </c>
      <c r="DC412" s="0" t="n">
        <v>0.8925</v>
      </c>
      <c r="DD412" s="0" t="n">
        <v>0.715</v>
      </c>
      <c r="DE412" s="0" t="n">
        <v>0.89</v>
      </c>
    </row>
    <row r="413" customFormat="false" ht="12.75" hidden="false" customHeight="false" outlineLevel="0" collapsed="false">
      <c r="BB413" s="187" t="n">
        <v>1</v>
      </c>
      <c r="BC413" s="0" t="n">
        <v>1</v>
      </c>
      <c r="BD413" s="0" t="n">
        <v>1</v>
      </c>
      <c r="BE413" s="0" t="n">
        <v>1</v>
      </c>
      <c r="BF413" s="0" t="n">
        <v>0.9999</v>
      </c>
      <c r="BG413" s="0" t="n">
        <v>1</v>
      </c>
      <c r="BH413" s="0" t="n">
        <v>1</v>
      </c>
      <c r="BI413" s="0" t="n">
        <v>0.99</v>
      </c>
      <c r="BJ413" s="0" t="n">
        <v>0.999</v>
      </c>
      <c r="BK413" s="0" t="n">
        <v>0.998</v>
      </c>
      <c r="BL413" s="0" t="n">
        <v>0.9985</v>
      </c>
      <c r="BM413" s="0" t="n">
        <v>0.9985</v>
      </c>
      <c r="BN413" s="0" t="n">
        <v>0.972</v>
      </c>
      <c r="BO413" s="0" t="n">
        <v>0.9999</v>
      </c>
      <c r="BP413" s="0" t="n">
        <v>0.9999</v>
      </c>
      <c r="DC413" s="0" t="n">
        <v>0.88</v>
      </c>
      <c r="DD413" s="0" t="n">
        <v>0.64</v>
      </c>
      <c r="DE413" s="0" t="n">
        <v>0.89</v>
      </c>
    </row>
    <row r="414" customFormat="false" ht="12.75" hidden="false" customHeight="false" outlineLevel="0" collapsed="false">
      <c r="BB414" s="187" t="n">
        <v>1</v>
      </c>
      <c r="BC414" s="0" t="n">
        <v>1</v>
      </c>
      <c r="BD414" s="0" t="n">
        <v>1</v>
      </c>
      <c r="BE414" s="0" t="n">
        <v>1</v>
      </c>
      <c r="BF414" s="0" t="n">
        <v>0.9999</v>
      </c>
      <c r="BG414" s="0" t="n">
        <v>1</v>
      </c>
      <c r="BH414" s="0" t="n">
        <v>1</v>
      </c>
      <c r="BI414" s="0" t="n">
        <v>0.99</v>
      </c>
      <c r="BJ414" s="0" t="n">
        <v>0.999</v>
      </c>
      <c r="BK414" s="0" t="n">
        <v>0.998</v>
      </c>
      <c r="BL414" s="0" t="n">
        <v>0.9985</v>
      </c>
      <c r="BM414" s="0" t="n">
        <v>0.9985</v>
      </c>
      <c r="BN414" s="0" t="n">
        <v>0.972</v>
      </c>
      <c r="BO414" s="0" t="n">
        <v>0.9999</v>
      </c>
      <c r="BP414" s="0" t="n">
        <v>0.9999</v>
      </c>
      <c r="DC414" s="0" t="n">
        <v>0.8775</v>
      </c>
      <c r="DD414" s="0" t="n">
        <v>0.67</v>
      </c>
      <c r="DE414" s="0" t="n">
        <v>0.89</v>
      </c>
    </row>
    <row r="415" customFormat="false" ht="12.75" hidden="false" customHeight="false" outlineLevel="0" collapsed="false">
      <c r="BB415" s="187" t="n">
        <v>1</v>
      </c>
      <c r="BC415" s="0" t="n">
        <v>1</v>
      </c>
      <c r="BD415" s="0" t="n">
        <v>1</v>
      </c>
      <c r="BE415" s="0" t="n">
        <v>1</v>
      </c>
      <c r="BF415" s="0" t="n">
        <v>0.9999</v>
      </c>
      <c r="BG415" s="0" t="n">
        <v>1</v>
      </c>
      <c r="BH415" s="0" t="n">
        <v>1</v>
      </c>
      <c r="BI415" s="0" t="n">
        <v>0.99</v>
      </c>
      <c r="BJ415" s="0" t="n">
        <v>0.999</v>
      </c>
      <c r="BK415" s="0" t="n">
        <v>0.998</v>
      </c>
      <c r="BL415" s="0" t="n">
        <v>0.9985</v>
      </c>
      <c r="BM415" s="0" t="n">
        <v>0.9985</v>
      </c>
      <c r="BN415" s="0" t="n">
        <v>0.972</v>
      </c>
      <c r="BO415" s="0" t="n">
        <v>0.9999</v>
      </c>
      <c r="BP415" s="0" t="n">
        <v>0.9999</v>
      </c>
      <c r="DC415" s="0" t="n">
        <v>0.9</v>
      </c>
      <c r="DD415" s="0" t="n">
        <v>0.83</v>
      </c>
      <c r="DE415" s="0" t="n">
        <v>0.89</v>
      </c>
    </row>
    <row r="416" customFormat="false" ht="12.75" hidden="false" customHeight="false" outlineLevel="0" collapsed="false">
      <c r="BB416" s="187" t="n">
        <v>1</v>
      </c>
      <c r="BC416" s="0" t="n">
        <v>1</v>
      </c>
      <c r="BD416" s="0" t="n">
        <v>1</v>
      </c>
      <c r="BE416" s="0" t="n">
        <v>1</v>
      </c>
      <c r="BF416" s="0" t="n">
        <v>0.9999</v>
      </c>
      <c r="BG416" s="0" t="n">
        <v>1</v>
      </c>
      <c r="BH416" s="0" t="n">
        <v>1</v>
      </c>
      <c r="BI416" s="0" t="n">
        <v>0.99</v>
      </c>
      <c r="BJ416" s="0" t="n">
        <v>0.999</v>
      </c>
      <c r="BK416" s="0" t="n">
        <v>0.998</v>
      </c>
      <c r="BL416" s="0" t="n">
        <v>0.9985</v>
      </c>
      <c r="BM416" s="0" t="n">
        <v>0.9985</v>
      </c>
      <c r="BN416" s="0" t="n">
        <v>0.972</v>
      </c>
      <c r="BO416" s="0" t="n">
        <v>0.9999</v>
      </c>
      <c r="BP416" s="0" t="n">
        <v>0.9999</v>
      </c>
      <c r="DC416" s="0" t="n">
        <v>0.903</v>
      </c>
      <c r="DD416" s="0" t="n">
        <v>0.92</v>
      </c>
      <c r="DE416" s="0" t="n">
        <v>0.89</v>
      </c>
    </row>
    <row r="417" customFormat="false" ht="12.75" hidden="false" customHeight="false" outlineLevel="0" collapsed="false">
      <c r="BB417" s="187" t="n">
        <v>1</v>
      </c>
      <c r="BC417" s="0" t="n">
        <v>1</v>
      </c>
      <c r="BD417" s="0" t="n">
        <v>1</v>
      </c>
      <c r="BE417" s="0" t="n">
        <v>1</v>
      </c>
      <c r="BF417" s="0" t="n">
        <v>0.9999</v>
      </c>
      <c r="BG417" s="0" t="n">
        <v>1</v>
      </c>
      <c r="BH417" s="0" t="n">
        <v>1</v>
      </c>
      <c r="BI417" s="0" t="n">
        <v>0.99</v>
      </c>
      <c r="BJ417" s="0" t="n">
        <v>0.999</v>
      </c>
      <c r="BK417" s="0" t="n">
        <v>0.998</v>
      </c>
      <c r="BL417" s="0" t="n">
        <v>0.9985</v>
      </c>
      <c r="BM417" s="0" t="n">
        <v>0.9985</v>
      </c>
      <c r="BN417" s="0" t="n">
        <v>0.972</v>
      </c>
      <c r="BO417" s="0" t="n">
        <v>0.9999</v>
      </c>
      <c r="BP417" s="0" t="n">
        <v>0.9999</v>
      </c>
      <c r="DC417" s="0" t="n">
        <v>0.9</v>
      </c>
      <c r="DD417" s="0" t="n">
        <v>0.935</v>
      </c>
      <c r="DE417" s="0" t="n">
        <v>0.89</v>
      </c>
    </row>
    <row r="418" customFormat="false" ht="12.75" hidden="false" customHeight="false" outlineLevel="0" collapsed="false">
      <c r="BB418" s="187" t="n">
        <v>1</v>
      </c>
      <c r="BC418" s="0" t="n">
        <v>1</v>
      </c>
      <c r="BD418" s="0" t="n">
        <v>1</v>
      </c>
      <c r="BE418" s="0" t="n">
        <v>1</v>
      </c>
      <c r="BF418" s="0" t="n">
        <v>0.9999</v>
      </c>
      <c r="BG418" s="0" t="n">
        <v>1</v>
      </c>
      <c r="BH418" s="0" t="n">
        <v>1</v>
      </c>
      <c r="BI418" s="0" t="n">
        <v>0.99</v>
      </c>
      <c r="BJ418" s="0" t="n">
        <v>0.999</v>
      </c>
      <c r="BK418" s="0" t="n">
        <v>0.998</v>
      </c>
      <c r="BL418" s="0" t="n">
        <v>0.9985</v>
      </c>
      <c r="BM418" s="0" t="n">
        <v>0.9985</v>
      </c>
      <c r="BN418" s="0" t="n">
        <v>0.972</v>
      </c>
      <c r="BO418" s="0" t="n">
        <v>0.9999</v>
      </c>
      <c r="BP418" s="0" t="n">
        <v>0.9999</v>
      </c>
      <c r="DC418" s="0" t="n">
        <v>0.9025</v>
      </c>
      <c r="DD418" s="0" t="n">
        <v>0.915</v>
      </c>
      <c r="DE418" s="0" t="n">
        <v>0.89</v>
      </c>
    </row>
    <row r="419" customFormat="false" ht="12.75" hidden="false" customHeight="false" outlineLevel="0" collapsed="false">
      <c r="BB419" s="187" t="n">
        <v>1</v>
      </c>
      <c r="BC419" s="0" t="n">
        <v>1</v>
      </c>
      <c r="BD419" s="0" t="n">
        <v>1</v>
      </c>
      <c r="BE419" s="0" t="n">
        <v>1</v>
      </c>
      <c r="BF419" s="0" t="n">
        <v>0.9999</v>
      </c>
      <c r="BG419" s="0" t="n">
        <v>1</v>
      </c>
      <c r="BH419" s="0" t="n">
        <v>1</v>
      </c>
      <c r="BI419" s="0" t="n">
        <v>0.99</v>
      </c>
      <c r="BJ419" s="0" t="n">
        <v>0.999</v>
      </c>
      <c r="BK419" s="0" t="n">
        <v>0.998</v>
      </c>
      <c r="BL419" s="0" t="n">
        <v>0.9985</v>
      </c>
      <c r="BM419" s="0" t="n">
        <v>0.9985</v>
      </c>
      <c r="BN419" s="0" t="n">
        <v>0.972</v>
      </c>
      <c r="BO419" s="0" t="n">
        <v>0.9999</v>
      </c>
      <c r="BP419" s="0" t="n">
        <v>0.9999</v>
      </c>
      <c r="DC419" s="0" t="n">
        <v>0.9075</v>
      </c>
      <c r="DD419" s="0" t="n">
        <v>0.915</v>
      </c>
      <c r="DE419" s="0" t="n">
        <v>0.89</v>
      </c>
    </row>
    <row r="420" customFormat="false" ht="12.75" hidden="false" customHeight="false" outlineLevel="0" collapsed="false">
      <c r="BB420" s="187" t="n">
        <v>1</v>
      </c>
      <c r="BC420" s="0" t="n">
        <v>1</v>
      </c>
      <c r="BD420" s="0" t="n">
        <v>1</v>
      </c>
      <c r="BE420" s="0" t="n">
        <v>1</v>
      </c>
      <c r="BF420" s="0" t="n">
        <v>0.9999</v>
      </c>
      <c r="BG420" s="0" t="n">
        <v>1</v>
      </c>
      <c r="BH420" s="0" t="n">
        <v>1</v>
      </c>
      <c r="BI420" s="0" t="n">
        <v>0.99</v>
      </c>
      <c r="BJ420" s="0" t="n">
        <v>0.999</v>
      </c>
      <c r="BK420" s="0" t="n">
        <v>0.998</v>
      </c>
      <c r="BL420" s="0" t="n">
        <v>0.9985</v>
      </c>
      <c r="BM420" s="0" t="n">
        <v>0.9985</v>
      </c>
      <c r="BN420" s="0" t="n">
        <v>0.972</v>
      </c>
      <c r="BO420" s="0" t="n">
        <v>0.9999</v>
      </c>
      <c r="BP420" s="0" t="n">
        <v>0.9999</v>
      </c>
      <c r="DC420" s="0" t="n">
        <v>0.9275</v>
      </c>
      <c r="DD420" s="0" t="n">
        <v>0.915</v>
      </c>
      <c r="DE420" s="0" t="n">
        <v>0.89</v>
      </c>
    </row>
    <row r="421" customFormat="false" ht="12.75" hidden="false" customHeight="false" outlineLevel="0" collapsed="false">
      <c r="BB421" s="187" t="n">
        <v>1</v>
      </c>
      <c r="BC421" s="0" t="n">
        <v>1</v>
      </c>
      <c r="BD421" s="0" t="n">
        <v>1</v>
      </c>
      <c r="BE421" s="0" t="n">
        <v>1</v>
      </c>
      <c r="BF421" s="0" t="n">
        <v>0.9999</v>
      </c>
      <c r="BG421" s="0" t="n">
        <v>1</v>
      </c>
      <c r="BH421" s="0" t="n">
        <v>1</v>
      </c>
      <c r="BI421" s="0" t="n">
        <v>0.99</v>
      </c>
      <c r="BJ421" s="0" t="n">
        <v>0.999</v>
      </c>
      <c r="BK421" s="0" t="n">
        <v>0.998</v>
      </c>
      <c r="BL421" s="0" t="n">
        <v>0.9985</v>
      </c>
      <c r="BM421" s="0" t="n">
        <v>0.9985</v>
      </c>
      <c r="BN421" s="0" t="n">
        <v>0.972</v>
      </c>
      <c r="BO421" s="0" t="n">
        <v>0.9999</v>
      </c>
      <c r="BP421" s="0" t="n">
        <v>0.9999</v>
      </c>
      <c r="DC421" s="0" t="n">
        <v>0.92</v>
      </c>
      <c r="DD421" s="0" t="n">
        <v>0.915</v>
      </c>
      <c r="DE421" s="0" t="n">
        <v>0.89</v>
      </c>
    </row>
    <row r="422" customFormat="false" ht="12.75" hidden="false" customHeight="false" outlineLevel="0" collapsed="false">
      <c r="BB422" s="187" t="n">
        <v>1</v>
      </c>
      <c r="BC422" s="0" t="n">
        <v>1</v>
      </c>
      <c r="BD422" s="0" t="n">
        <v>1</v>
      </c>
      <c r="BE422" s="0" t="n">
        <v>1</v>
      </c>
      <c r="BF422" s="0" t="n">
        <v>0.9999</v>
      </c>
      <c r="BG422" s="0" t="n">
        <v>1</v>
      </c>
      <c r="BH422" s="0" t="n">
        <v>1</v>
      </c>
      <c r="BI422" s="0" t="n">
        <v>0.99</v>
      </c>
      <c r="BJ422" s="0" t="n">
        <v>0.999</v>
      </c>
      <c r="BK422" s="0" t="n">
        <v>0.998</v>
      </c>
      <c r="BL422" s="0" t="n">
        <v>0.9985</v>
      </c>
      <c r="BM422" s="0" t="n">
        <v>0.9985</v>
      </c>
      <c r="BN422" s="0" t="n">
        <v>0.972</v>
      </c>
      <c r="BO422" s="0" t="n">
        <v>0.9999</v>
      </c>
      <c r="BP422" s="0" t="n">
        <v>0.9999</v>
      </c>
      <c r="DC422" s="0" t="n">
        <v>0.9025</v>
      </c>
      <c r="DD422" s="0" t="n">
        <v>0.82</v>
      </c>
      <c r="DE422" s="0" t="n">
        <v>0.89</v>
      </c>
    </row>
    <row r="423" customFormat="false" ht="12.75" hidden="false" customHeight="false" outlineLevel="0" collapsed="false">
      <c r="BB423" s="187" t="n">
        <v>1</v>
      </c>
      <c r="BC423" s="0" t="n">
        <v>1</v>
      </c>
      <c r="BD423" s="0" t="n">
        <v>1</v>
      </c>
      <c r="BE423" s="0" t="n">
        <v>1</v>
      </c>
      <c r="BF423" s="0" t="n">
        <v>0.9999</v>
      </c>
      <c r="BG423" s="0" t="n">
        <v>1</v>
      </c>
      <c r="BH423" s="0" t="n">
        <v>1</v>
      </c>
      <c r="BI423" s="0" t="n">
        <v>0.99</v>
      </c>
      <c r="BJ423" s="0" t="n">
        <v>0.999</v>
      </c>
      <c r="BK423" s="0" t="n">
        <v>0.998</v>
      </c>
      <c r="BL423" s="0" t="n">
        <v>0.9985</v>
      </c>
      <c r="BM423" s="0" t="n">
        <v>0.9985</v>
      </c>
      <c r="BN423" s="0" t="n">
        <v>0.972</v>
      </c>
      <c r="BO423" s="0" t="n">
        <v>0.9999</v>
      </c>
      <c r="BP423" s="0" t="n">
        <v>0.9999</v>
      </c>
      <c r="DC423" s="0" t="n">
        <v>0.9025</v>
      </c>
      <c r="DD423" s="0" t="n">
        <v>0.82</v>
      </c>
      <c r="DE423" s="0" t="n">
        <v>0.89</v>
      </c>
    </row>
    <row r="424" customFormat="false" ht="12.75" hidden="false" customHeight="false" outlineLevel="0" collapsed="false">
      <c r="BB424" s="187" t="n">
        <v>1</v>
      </c>
      <c r="BC424" s="0" t="n">
        <v>1</v>
      </c>
      <c r="BD424" s="0" t="n">
        <v>1</v>
      </c>
      <c r="BE424" s="0" t="n">
        <v>1</v>
      </c>
      <c r="BF424" s="0" t="n">
        <v>0.9999</v>
      </c>
      <c r="BG424" s="0" t="n">
        <v>1</v>
      </c>
      <c r="BH424" s="0" t="n">
        <v>1</v>
      </c>
      <c r="BI424" s="0" t="n">
        <v>0.99</v>
      </c>
      <c r="BJ424" s="0" t="n">
        <v>0.999</v>
      </c>
      <c r="BK424" s="0" t="n">
        <v>0.998</v>
      </c>
      <c r="BL424" s="0" t="n">
        <v>0.9985</v>
      </c>
      <c r="BM424" s="0" t="n">
        <v>0.9985</v>
      </c>
      <c r="BN424" s="0" t="n">
        <v>0.972</v>
      </c>
      <c r="BO424" s="0" t="n">
        <v>0.9999</v>
      </c>
      <c r="BP424" s="0" t="n">
        <v>0.9999</v>
      </c>
      <c r="DC424" s="0" t="n">
        <v>0.8925</v>
      </c>
      <c r="DD424" s="0" t="n">
        <v>0.715</v>
      </c>
      <c r="DE424" s="0" t="n">
        <v>0.89</v>
      </c>
    </row>
    <row r="425" customFormat="false" ht="12.75" hidden="false" customHeight="false" outlineLevel="0" collapsed="false">
      <c r="BB425" s="187" t="n">
        <v>1</v>
      </c>
      <c r="BC425" s="0" t="n">
        <v>1</v>
      </c>
      <c r="BD425" s="0" t="n">
        <v>1</v>
      </c>
      <c r="BE425" s="0" t="n">
        <v>1</v>
      </c>
      <c r="BF425" s="0" t="n">
        <v>0.9999</v>
      </c>
      <c r="BG425" s="0" t="n">
        <v>1</v>
      </c>
      <c r="BH425" s="0" t="n">
        <v>1</v>
      </c>
      <c r="BI425" s="0" t="n">
        <v>0.99</v>
      </c>
      <c r="BJ425" s="0" t="n">
        <v>0.999</v>
      </c>
      <c r="BK425" s="0" t="n">
        <v>0.998</v>
      </c>
      <c r="BL425" s="0" t="n">
        <v>0.9985</v>
      </c>
      <c r="BM425" s="0" t="n">
        <v>0.9985</v>
      </c>
      <c r="BN425" s="0" t="n">
        <v>0.972</v>
      </c>
      <c r="BO425" s="0" t="n">
        <v>0.9999</v>
      </c>
      <c r="BP425" s="0" t="n">
        <v>0.9999</v>
      </c>
      <c r="DD425" s="0" t="n">
        <v>0.64</v>
      </c>
      <c r="DE425" s="0" t="n">
        <v>0.89</v>
      </c>
    </row>
    <row r="426" customFormat="false" ht="12.75" hidden="false" customHeight="false" outlineLevel="0" collapsed="false">
      <c r="BB426" s="187" t="n">
        <v>1</v>
      </c>
      <c r="BC426" s="0" t="n">
        <v>1</v>
      </c>
      <c r="BD426" s="0" t="n">
        <v>1</v>
      </c>
      <c r="BE426" s="0" t="n">
        <v>1</v>
      </c>
      <c r="BF426" s="0" t="n">
        <v>0.9999</v>
      </c>
      <c r="BG426" s="0" t="n">
        <v>1</v>
      </c>
      <c r="BH426" s="0" t="n">
        <v>1</v>
      </c>
      <c r="BI426" s="0" t="n">
        <v>0.99</v>
      </c>
      <c r="BJ426" s="0" t="n">
        <v>0.999</v>
      </c>
      <c r="BK426" s="0" t="n">
        <v>0.998</v>
      </c>
      <c r="BL426" s="0" t="n">
        <v>0.9985</v>
      </c>
      <c r="BM426" s="0" t="n">
        <v>0.9985</v>
      </c>
      <c r="BN426" s="0" t="n">
        <v>0.972</v>
      </c>
      <c r="BO426" s="0" t="n">
        <v>0.9999</v>
      </c>
      <c r="BP426" s="0" t="n">
        <v>0.9999</v>
      </c>
      <c r="DD426" s="0" t="n">
        <v>0.67</v>
      </c>
      <c r="DE426" s="0" t="n">
        <v>0.89</v>
      </c>
    </row>
    <row r="427" customFormat="false" ht="12.75" hidden="false" customHeight="false" outlineLevel="0" collapsed="false">
      <c r="BB427" s="187" t="n">
        <v>1</v>
      </c>
      <c r="BC427" s="0" t="n">
        <v>1</v>
      </c>
      <c r="BD427" s="0" t="n">
        <v>1</v>
      </c>
      <c r="BE427" s="0" t="n">
        <v>1</v>
      </c>
      <c r="BF427" s="0" t="n">
        <v>0.9999</v>
      </c>
      <c r="BG427" s="0" t="n">
        <v>1</v>
      </c>
      <c r="BH427" s="0" t="n">
        <v>1</v>
      </c>
      <c r="BI427" s="0" t="n">
        <v>0.99</v>
      </c>
      <c r="BJ427" s="0" t="n">
        <v>0.999</v>
      </c>
      <c r="BK427" s="0" t="n">
        <v>0.998</v>
      </c>
      <c r="BL427" s="0" t="n">
        <v>0.9985</v>
      </c>
      <c r="BM427" s="0" t="n">
        <v>0.9985</v>
      </c>
      <c r="BN427" s="0" t="n">
        <v>0.972</v>
      </c>
      <c r="BO427" s="0" t="n">
        <v>0.9999</v>
      </c>
      <c r="BP427" s="0" t="n">
        <v>0.9999</v>
      </c>
      <c r="DD427" s="0" t="n">
        <v>0.83</v>
      </c>
      <c r="DE427" s="0" t="n">
        <v>0.89</v>
      </c>
    </row>
    <row r="428" customFormat="false" ht="12.75" hidden="false" customHeight="false" outlineLevel="0" collapsed="false">
      <c r="BB428" s="187" t="n">
        <v>1</v>
      </c>
      <c r="BC428" s="0" t="n">
        <v>1</v>
      </c>
      <c r="BD428" s="0" t="n">
        <v>1</v>
      </c>
      <c r="BE428" s="0" t="n">
        <v>1</v>
      </c>
      <c r="BF428" s="0" t="n">
        <v>0.9999</v>
      </c>
      <c r="BG428" s="0" t="n">
        <v>1</v>
      </c>
      <c r="BH428" s="0" t="n">
        <v>1</v>
      </c>
      <c r="BI428" s="0" t="n">
        <v>0.99</v>
      </c>
      <c r="BJ428" s="0" t="n">
        <v>0.999</v>
      </c>
      <c r="BK428" s="0" t="n">
        <v>0.998</v>
      </c>
      <c r="BL428" s="0" t="n">
        <v>0.9985</v>
      </c>
      <c r="BM428" s="0" t="n">
        <v>0.9985</v>
      </c>
      <c r="BN428" s="0" t="n">
        <v>0.972</v>
      </c>
      <c r="BO428" s="0" t="n">
        <v>0.9999</v>
      </c>
      <c r="BP428" s="0" t="n">
        <v>0.9999</v>
      </c>
      <c r="DD428" s="0" t="n">
        <v>0.92</v>
      </c>
      <c r="DE428" s="0" t="n">
        <v>0.89</v>
      </c>
    </row>
    <row r="429" customFormat="false" ht="12.75" hidden="false" customHeight="false" outlineLevel="0" collapsed="false">
      <c r="BB429" s="187" t="n">
        <v>1</v>
      </c>
      <c r="BC429" s="0" t="n">
        <v>1</v>
      </c>
      <c r="BD429" s="0" t="n">
        <v>1</v>
      </c>
      <c r="BE429" s="0" t="n">
        <v>1</v>
      </c>
      <c r="BF429" s="0" t="n">
        <v>0.9999</v>
      </c>
      <c r="BG429" s="0" t="n">
        <v>1</v>
      </c>
      <c r="BH429" s="0" t="n">
        <v>1</v>
      </c>
      <c r="BI429" s="0" t="n">
        <v>0.99</v>
      </c>
      <c r="BJ429" s="0" t="n">
        <v>0.999</v>
      </c>
      <c r="BK429" s="0" t="n">
        <v>0.998</v>
      </c>
      <c r="BL429" s="0" t="n">
        <v>0.9985</v>
      </c>
      <c r="BM429" s="0" t="n">
        <v>0.9985</v>
      </c>
      <c r="BN429" s="0" t="n">
        <v>0.972</v>
      </c>
      <c r="BO429" s="0" t="n">
        <v>0.9999</v>
      </c>
      <c r="BP429" s="0" t="n">
        <v>0.9999</v>
      </c>
      <c r="DD429" s="0" t="n">
        <v>0.935</v>
      </c>
      <c r="DE429" s="0" t="n">
        <v>0.89</v>
      </c>
    </row>
    <row r="430" customFormat="false" ht="12.75" hidden="false" customHeight="false" outlineLevel="0" collapsed="false">
      <c r="BB430" s="187" t="n">
        <v>1</v>
      </c>
      <c r="BC430" s="0" t="n">
        <v>1</v>
      </c>
      <c r="BD430" s="0" t="n">
        <v>1</v>
      </c>
      <c r="BE430" s="0" t="n">
        <v>1</v>
      </c>
      <c r="BF430" s="0" t="n">
        <v>0.9999</v>
      </c>
      <c r="BG430" s="0" t="n">
        <v>1</v>
      </c>
      <c r="BH430" s="0" t="n">
        <v>1</v>
      </c>
      <c r="BI430" s="0" t="n">
        <v>0.99</v>
      </c>
      <c r="BJ430" s="0" t="n">
        <v>0.999</v>
      </c>
      <c r="BK430" s="0" t="n">
        <v>0.998</v>
      </c>
      <c r="BL430" s="0" t="n">
        <v>0.9985</v>
      </c>
      <c r="BM430" s="0" t="n">
        <v>0.9985</v>
      </c>
      <c r="BN430" s="0" t="n">
        <v>0.972</v>
      </c>
      <c r="BO430" s="0" t="n">
        <v>0.9999</v>
      </c>
      <c r="BP430" s="0" t="n">
        <v>0.9999</v>
      </c>
      <c r="DD430" s="0" t="n">
        <v>0.915</v>
      </c>
      <c r="DE430" s="0" t="n">
        <v>0.89</v>
      </c>
    </row>
    <row r="431" customFormat="false" ht="12.75" hidden="false" customHeight="false" outlineLevel="0" collapsed="false">
      <c r="BB431" s="187" t="n">
        <v>1</v>
      </c>
      <c r="BC431" s="0" t="n">
        <v>1</v>
      </c>
      <c r="BD431" s="0" t="n">
        <v>1</v>
      </c>
      <c r="BE431" s="0" t="n">
        <v>1</v>
      </c>
      <c r="BF431" s="0" t="n">
        <v>0.9999</v>
      </c>
      <c r="BG431" s="0" t="n">
        <v>1</v>
      </c>
      <c r="BH431" s="0" t="n">
        <v>1</v>
      </c>
      <c r="BI431" s="0" t="n">
        <v>0.99</v>
      </c>
      <c r="BJ431" s="0" t="n">
        <v>0.999</v>
      </c>
      <c r="BK431" s="0" t="n">
        <v>0.998</v>
      </c>
      <c r="BL431" s="0" t="n">
        <v>0.9985</v>
      </c>
      <c r="BM431" s="0" t="n">
        <v>0.9985</v>
      </c>
      <c r="BN431" s="0" t="n">
        <v>0.972</v>
      </c>
      <c r="BO431" s="0" t="n">
        <v>0.9999</v>
      </c>
      <c r="BP431" s="0" t="n">
        <v>0.9999</v>
      </c>
      <c r="DD431" s="0" t="n">
        <v>0.915</v>
      </c>
      <c r="DE431" s="0" t="n">
        <v>0.89</v>
      </c>
    </row>
    <row r="432" customFormat="false" ht="12.75" hidden="false" customHeight="false" outlineLevel="0" collapsed="false">
      <c r="BB432" s="187" t="n">
        <v>1</v>
      </c>
      <c r="BC432" s="0" t="n">
        <v>1</v>
      </c>
      <c r="BD432" s="0" t="n">
        <v>1</v>
      </c>
      <c r="BE432" s="0" t="n">
        <v>1</v>
      </c>
      <c r="BF432" s="0" t="n">
        <v>0.9999</v>
      </c>
      <c r="BG432" s="0" t="n">
        <v>1</v>
      </c>
      <c r="BH432" s="0" t="n">
        <v>1</v>
      </c>
      <c r="BI432" s="0" t="n">
        <v>0.99</v>
      </c>
      <c r="BJ432" s="0" t="n">
        <v>0.999</v>
      </c>
      <c r="BK432" s="0" t="n">
        <v>0.998</v>
      </c>
      <c r="BL432" s="0" t="n">
        <v>0.9985</v>
      </c>
      <c r="BM432" s="0" t="n">
        <v>0.9985</v>
      </c>
      <c r="BN432" s="0" t="n">
        <v>0.972</v>
      </c>
      <c r="BO432" s="0" t="n">
        <v>0.9999</v>
      </c>
      <c r="BP432" s="0" t="n">
        <v>0.9999</v>
      </c>
      <c r="DD432" s="0" t="n">
        <v>0.915</v>
      </c>
      <c r="DE432" s="0" t="n">
        <v>0.89</v>
      </c>
    </row>
    <row r="433" customFormat="false" ht="12.75" hidden="false" customHeight="false" outlineLevel="0" collapsed="false">
      <c r="BB433" s="187" t="n">
        <v>1</v>
      </c>
      <c r="BC433" s="0" t="n">
        <v>1</v>
      </c>
      <c r="BD433" s="0" t="n">
        <v>1</v>
      </c>
      <c r="BE433" s="0" t="n">
        <v>1</v>
      </c>
      <c r="BF433" s="0" t="n">
        <v>0.9999</v>
      </c>
      <c r="BG433" s="0" t="n">
        <v>1</v>
      </c>
      <c r="BH433" s="0" t="n">
        <v>1</v>
      </c>
      <c r="BI433" s="0" t="n">
        <v>0.99</v>
      </c>
      <c r="BJ433" s="0" t="n">
        <v>0.999</v>
      </c>
      <c r="BK433" s="0" t="n">
        <v>0.998</v>
      </c>
      <c r="BL433" s="0" t="n">
        <v>0.9985</v>
      </c>
      <c r="BM433" s="0" t="n">
        <v>0.9985</v>
      </c>
      <c r="BN433" s="0" t="n">
        <v>0.972</v>
      </c>
      <c r="BO433" s="0" t="n">
        <v>0.9999</v>
      </c>
      <c r="BP433" s="0" t="n">
        <v>0.9999</v>
      </c>
      <c r="DD433" s="0" t="n">
        <v>0.915</v>
      </c>
      <c r="DE433" s="0" t="n">
        <v>0.89</v>
      </c>
    </row>
    <row r="434" customFormat="false" ht="12.75" hidden="false" customHeight="false" outlineLevel="0" collapsed="false">
      <c r="BB434" s="187" t="n">
        <v>1</v>
      </c>
      <c r="BC434" s="0" t="n">
        <v>1</v>
      </c>
      <c r="BD434" s="0" t="n">
        <v>1</v>
      </c>
      <c r="BE434" s="0" t="n">
        <v>1</v>
      </c>
      <c r="BF434" s="0" t="n">
        <v>0.9999</v>
      </c>
      <c r="BG434" s="0" t="n">
        <v>1</v>
      </c>
      <c r="BH434" s="0" t="n">
        <v>1</v>
      </c>
      <c r="BI434" s="0" t="n">
        <v>0.99</v>
      </c>
      <c r="BJ434" s="0" t="n">
        <v>0.999</v>
      </c>
      <c r="BK434" s="0" t="n">
        <v>0.998</v>
      </c>
      <c r="BL434" s="0" t="n">
        <v>0.9985</v>
      </c>
      <c r="BM434" s="0" t="n">
        <v>0.9985</v>
      </c>
      <c r="BN434" s="0" t="n">
        <v>0.972</v>
      </c>
      <c r="BO434" s="0" t="n">
        <v>0.9999</v>
      </c>
      <c r="BP434" s="0" t="n">
        <v>0.9999</v>
      </c>
      <c r="DD434" s="0" t="n">
        <v>0.82</v>
      </c>
      <c r="DE434" s="0" t="n">
        <v>0.89</v>
      </c>
    </row>
    <row r="435" customFormat="false" ht="12.75" hidden="false" customHeight="false" outlineLevel="0" collapsed="false">
      <c r="BB435" s="187" t="n">
        <v>1</v>
      </c>
      <c r="BC435" s="0" t="n">
        <v>1</v>
      </c>
      <c r="BD435" s="0" t="n">
        <v>1</v>
      </c>
      <c r="BE435" s="0" t="n">
        <v>1</v>
      </c>
      <c r="BF435" s="0" t="n">
        <v>0.9999</v>
      </c>
      <c r="BG435" s="0" t="n">
        <v>1</v>
      </c>
      <c r="BH435" s="0" t="n">
        <v>1</v>
      </c>
      <c r="BI435" s="0" t="n">
        <v>0.99</v>
      </c>
      <c r="BJ435" s="0" t="n">
        <v>0.999</v>
      </c>
      <c r="BK435" s="0" t="n">
        <v>0.998</v>
      </c>
      <c r="BL435" s="0" t="n">
        <v>0.9985</v>
      </c>
      <c r="BM435" s="0" t="n">
        <v>0.9985</v>
      </c>
      <c r="BN435" s="0" t="n">
        <v>0.972</v>
      </c>
      <c r="BO435" s="0" t="n">
        <v>0.9999</v>
      </c>
      <c r="BP435" s="0" t="n">
        <v>0.9999</v>
      </c>
      <c r="DD435" s="0" t="n">
        <v>0.82</v>
      </c>
      <c r="DE435" s="0" t="n">
        <v>0.89</v>
      </c>
    </row>
    <row r="436" customFormat="false" ht="12.75" hidden="false" customHeight="false" outlineLevel="0" collapsed="false">
      <c r="BB436" s="187" t="n">
        <v>1</v>
      </c>
      <c r="BC436" s="0" t="n">
        <v>1</v>
      </c>
      <c r="BD436" s="0" t="n">
        <v>1</v>
      </c>
      <c r="BE436" s="0" t="n">
        <v>1</v>
      </c>
      <c r="BF436" s="0" t="n">
        <v>0.9999</v>
      </c>
      <c r="BG436" s="0" t="n">
        <v>1</v>
      </c>
      <c r="BH436" s="0" t="n">
        <v>1</v>
      </c>
      <c r="BI436" s="0" t="n">
        <v>0.99</v>
      </c>
      <c r="BJ436" s="0" t="n">
        <v>0.999</v>
      </c>
      <c r="BK436" s="0" t="n">
        <v>0.998</v>
      </c>
      <c r="BL436" s="0" t="n">
        <v>0.9985</v>
      </c>
      <c r="BM436" s="0" t="n">
        <v>0.9985</v>
      </c>
      <c r="BN436" s="0" t="n">
        <v>0.972</v>
      </c>
      <c r="BO436" s="0" t="n">
        <v>0.9999</v>
      </c>
      <c r="BP436" s="0" t="n">
        <v>0.9999</v>
      </c>
      <c r="DD436" s="0" t="n">
        <v>0.715</v>
      </c>
      <c r="DE436" s="0" t="n">
        <v>0.89</v>
      </c>
    </row>
    <row r="437" customFormat="false" ht="12.75" hidden="false" customHeight="false" outlineLevel="0" collapsed="false">
      <c r="BB437" s="187" t="n">
        <v>1</v>
      </c>
      <c r="BC437" s="0" t="n">
        <v>1</v>
      </c>
      <c r="BD437" s="0" t="n">
        <v>1</v>
      </c>
      <c r="BE437" s="0" t="n">
        <v>1</v>
      </c>
      <c r="BF437" s="0" t="n">
        <v>0.9999</v>
      </c>
      <c r="BG437" s="0" t="n">
        <v>1</v>
      </c>
      <c r="BH437" s="0" t="n">
        <v>1</v>
      </c>
      <c r="BI437" s="0" t="n">
        <v>0.99</v>
      </c>
      <c r="BJ437" s="0" t="n">
        <v>0.999</v>
      </c>
      <c r="BK437" s="0" t="n">
        <v>0.998</v>
      </c>
      <c r="BL437" s="0" t="n">
        <v>0.9985</v>
      </c>
      <c r="BM437" s="0" t="n">
        <v>0.9985</v>
      </c>
      <c r="BN437" s="0" t="n">
        <v>0.972</v>
      </c>
      <c r="BO437" s="0" t="n">
        <v>0.9999</v>
      </c>
      <c r="BP437" s="0" t="n">
        <v>0.9999</v>
      </c>
    </row>
    <row r="438" customFormat="false" ht="12.75" hidden="false" customHeight="false" outlineLevel="0" collapsed="false">
      <c r="BB438" s="187" t="n">
        <v>1</v>
      </c>
      <c r="BC438" s="0" t="n">
        <v>1</v>
      </c>
      <c r="BD438" s="0" t="n">
        <v>1</v>
      </c>
      <c r="BE438" s="0" t="n">
        <v>1</v>
      </c>
      <c r="BF438" s="0" t="n">
        <v>0.9999</v>
      </c>
      <c r="BG438" s="0" t="n">
        <v>1</v>
      </c>
      <c r="BH438" s="0" t="n">
        <v>1</v>
      </c>
      <c r="BI438" s="0" t="n">
        <v>0.99</v>
      </c>
      <c r="BJ438" s="0" t="n">
        <v>0.999</v>
      </c>
      <c r="BK438" s="0" t="n">
        <v>0.998</v>
      </c>
      <c r="BL438" s="0" t="n">
        <v>0.9985</v>
      </c>
      <c r="BM438" s="0" t="n">
        <v>0.9985</v>
      </c>
      <c r="BN438" s="0" t="n">
        <v>0.972</v>
      </c>
      <c r="BO438" s="0" t="n">
        <v>0.9999</v>
      </c>
      <c r="BP438" s="0" t="n">
        <v>0.9999</v>
      </c>
    </row>
    <row r="439" customFormat="false" ht="12.75" hidden="false" customHeight="false" outlineLevel="0" collapsed="false">
      <c r="BB439" s="187" t="n">
        <v>1</v>
      </c>
      <c r="BC439" s="0" t="n">
        <v>1</v>
      </c>
      <c r="BD439" s="0" t="n">
        <v>1</v>
      </c>
      <c r="BE439" s="0" t="n">
        <v>1</v>
      </c>
      <c r="BF439" s="0" t="n">
        <v>0.9999</v>
      </c>
      <c r="BG439" s="0" t="n">
        <v>1</v>
      </c>
      <c r="BH439" s="0" t="n">
        <v>1</v>
      </c>
      <c r="BI439" s="0" t="n">
        <v>0.99</v>
      </c>
      <c r="BJ439" s="0" t="n">
        <v>0.999</v>
      </c>
      <c r="BK439" s="0" t="n">
        <v>0.998</v>
      </c>
      <c r="BL439" s="0" t="n">
        <v>0.9985</v>
      </c>
      <c r="BM439" s="0" t="n">
        <v>0.9985</v>
      </c>
      <c r="BN439" s="0" t="n">
        <v>0.972</v>
      </c>
      <c r="BO439" s="0" t="n">
        <v>0.9999</v>
      </c>
      <c r="BP439" s="0" t="n">
        <v>0.9999</v>
      </c>
    </row>
    <row r="440" customFormat="false" ht="12.75" hidden="false" customHeight="false" outlineLevel="0" collapsed="false">
      <c r="BB440" s="187" t="n">
        <v>1</v>
      </c>
      <c r="BC440" s="0" t="n">
        <v>1</v>
      </c>
      <c r="BD440" s="0" t="n">
        <v>1</v>
      </c>
      <c r="BE440" s="0" t="n">
        <v>1</v>
      </c>
      <c r="BF440" s="0" t="n">
        <v>0.9999</v>
      </c>
      <c r="BG440" s="0" t="n">
        <v>1</v>
      </c>
      <c r="BH440" s="0" t="n">
        <v>1</v>
      </c>
      <c r="BI440" s="0" t="n">
        <v>0.99</v>
      </c>
      <c r="BJ440" s="0" t="n">
        <v>0.999</v>
      </c>
      <c r="BK440" s="0" t="n">
        <v>0.998</v>
      </c>
      <c r="BL440" s="0" t="n">
        <v>0.9985</v>
      </c>
      <c r="BM440" s="0" t="n">
        <v>0.9985</v>
      </c>
      <c r="BN440" s="0" t="n">
        <v>0.972</v>
      </c>
      <c r="BO440" s="0" t="n">
        <v>0.9999</v>
      </c>
      <c r="BP440" s="0" t="n">
        <v>0.9999</v>
      </c>
    </row>
    <row r="441" customFormat="false" ht="12.75" hidden="false" customHeight="false" outlineLevel="0" collapsed="false">
      <c r="BB441" s="187" t="n">
        <v>1</v>
      </c>
      <c r="BC441" s="0" t="n">
        <v>1</v>
      </c>
      <c r="BD441" s="0" t="n">
        <v>1</v>
      </c>
      <c r="BE441" s="0" t="n">
        <v>1</v>
      </c>
      <c r="BF441" s="0" t="n">
        <v>0.9999</v>
      </c>
      <c r="BG441" s="0" t="n">
        <v>1</v>
      </c>
      <c r="BH441" s="0" t="n">
        <v>1</v>
      </c>
      <c r="BI441" s="0" t="n">
        <v>0.99</v>
      </c>
      <c r="BJ441" s="0" t="n">
        <v>0.999</v>
      </c>
      <c r="BK441" s="0" t="n">
        <v>0.998</v>
      </c>
      <c r="BL441" s="0" t="n">
        <v>0.9985</v>
      </c>
      <c r="BM441" s="0" t="n">
        <v>0.9985</v>
      </c>
      <c r="BN441" s="0" t="n">
        <v>0.972</v>
      </c>
      <c r="BO441" s="0" t="n">
        <v>0.9999</v>
      </c>
      <c r="BP441" s="0" t="n">
        <v>0.9999</v>
      </c>
    </row>
    <row r="442" customFormat="false" ht="12.75" hidden="false" customHeight="false" outlineLevel="0" collapsed="false">
      <c r="BB442" s="187" t="n">
        <v>1</v>
      </c>
      <c r="BC442" s="0" t="n">
        <v>1</v>
      </c>
      <c r="BD442" s="0" t="n">
        <v>1</v>
      </c>
      <c r="BE442" s="0" t="n">
        <v>1</v>
      </c>
      <c r="BF442" s="0" t="n">
        <v>0.9999</v>
      </c>
      <c r="BG442" s="0" t="n">
        <v>1</v>
      </c>
      <c r="BH442" s="0" t="n">
        <v>1</v>
      </c>
      <c r="BI442" s="0" t="n">
        <v>0.99</v>
      </c>
      <c r="BJ442" s="0" t="n">
        <v>0.999</v>
      </c>
      <c r="BK442" s="0" t="n">
        <v>0.998</v>
      </c>
      <c r="BL442" s="0" t="n">
        <v>0.9985</v>
      </c>
      <c r="BM442" s="0" t="n">
        <v>0.9985</v>
      </c>
      <c r="BN442" s="0" t="n">
        <v>0.972</v>
      </c>
      <c r="BO442" s="0" t="n">
        <v>0.9999</v>
      </c>
      <c r="BP442" s="0" t="n">
        <v>0.9999</v>
      </c>
    </row>
    <row r="443" customFormat="false" ht="12.75" hidden="false" customHeight="false" outlineLevel="0" collapsed="false">
      <c r="BB443" s="187" t="n">
        <v>1</v>
      </c>
      <c r="BC443" s="0" t="n">
        <v>1</v>
      </c>
      <c r="BD443" s="0" t="n">
        <v>1</v>
      </c>
      <c r="BE443" s="0" t="n">
        <v>1</v>
      </c>
      <c r="BF443" s="0" t="n">
        <v>0.9999</v>
      </c>
      <c r="BG443" s="0" t="n">
        <v>1</v>
      </c>
      <c r="BH443" s="0" t="n">
        <v>1</v>
      </c>
      <c r="BI443" s="0" t="n">
        <v>0.99</v>
      </c>
      <c r="BJ443" s="0" t="n">
        <v>0.999</v>
      </c>
      <c r="BK443" s="0" t="n">
        <v>0.998</v>
      </c>
      <c r="BL443" s="0" t="n">
        <v>0.9985</v>
      </c>
      <c r="BM443" s="0" t="n">
        <v>0.9985</v>
      </c>
      <c r="BN443" s="0" t="n">
        <v>0.972</v>
      </c>
      <c r="BO443" s="0" t="n">
        <v>0.9999</v>
      </c>
      <c r="BP443" s="0" t="n">
        <v>0.9999</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12"/>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G16" activeCellId="0" sqref="G16"/>
    </sheetView>
  </sheetViews>
  <sheetFormatPr defaultColWidth="9.13671875" defaultRowHeight="12.75" customHeight="true" zeroHeight="false" outlineLevelRow="0" outlineLevelCol="0"/>
  <cols>
    <col collapsed="false" customWidth="true" hidden="false" outlineLevel="0" max="2" min="1" style="95" width="3.7"/>
    <col collapsed="false" customWidth="false" hidden="false" outlineLevel="0" max="3" min="3" style="95" width="9.14"/>
    <col collapsed="false" customWidth="true" hidden="false" outlineLevel="0" max="4" min="4" style="95" width="3.7"/>
    <col collapsed="false" customWidth="true" hidden="false" outlineLevel="0" max="5" min="5" style="95" width="9.28"/>
    <col collapsed="false" customWidth="true" hidden="false" outlineLevel="0" max="6" min="6" style="96" width="23.99"/>
    <col collapsed="false" customWidth="true" hidden="false" outlineLevel="0" max="7" min="7" style="97" width="30.7"/>
    <col collapsed="false" customWidth="true" hidden="false" outlineLevel="0" max="12" min="8" style="98" width="13.7"/>
    <col collapsed="false" customWidth="true" hidden="false" outlineLevel="0" max="13" min="13" style="98" width="3.7"/>
    <col collapsed="false" customWidth="true" hidden="false" outlineLevel="0" max="15" min="14" style="98" width="13.7"/>
    <col collapsed="false" customWidth="true" hidden="false" outlineLevel="0" max="16" min="16" style="98" width="3.7"/>
    <col collapsed="false" customWidth="true" hidden="false" outlineLevel="0" max="19" min="17" style="98" width="13.7"/>
    <col collapsed="false" customWidth="true" hidden="false" outlineLevel="0" max="20" min="20" style="98" width="3.7"/>
    <col collapsed="false" customWidth="true" hidden="false" outlineLevel="0" max="22" min="21" style="98" width="13.7"/>
    <col collapsed="false" customWidth="true" hidden="false" outlineLevel="0" max="23" min="23" style="98" width="3.7"/>
    <col collapsed="false" customWidth="true" hidden="false" outlineLevel="0" max="30" min="24" style="98" width="13.7"/>
    <col collapsed="false" customWidth="true" hidden="false" outlineLevel="0" max="31" min="31" style="99" width="3.7"/>
    <col collapsed="false" customWidth="true" hidden="false" outlineLevel="0" max="32" min="32" style="95" width="13.7"/>
    <col collapsed="false" customWidth="false" hidden="false" outlineLevel="0" max="33" min="33" style="95" width="9.14"/>
    <col collapsed="false" customWidth="true" hidden="false" outlineLevel="0" max="34" min="34" style="95" width="14.28"/>
    <col collapsed="false" customWidth="false" hidden="false" outlineLevel="0" max="257" min="35" style="95" width="9.14"/>
  </cols>
  <sheetData>
    <row r="1" customFormat="false" ht="12.75" hidden="false" customHeight="false" outlineLevel="0" collapsed="false">
      <c r="A1" s="19" t="s">
        <v>391</v>
      </c>
    </row>
    <row r="2" customFormat="false" ht="12.75" hidden="false" customHeight="false" outlineLevel="0" collapsed="false">
      <c r="A2" s="19" t="str">
        <f aca="false">ADDRESS(ROW($F$3),COLUMN($F$3))</f>
        <v>$F$3</v>
      </c>
      <c r="F2" s="95"/>
    </row>
    <row r="3" customFormat="false" ht="12.75" hidden="false" customHeight="false" outlineLevel="0" collapsed="false">
      <c r="A3" s="19" t="str">
        <f aca="false">ADDRESS(ROW($E$7),COLUMN($E$7))</f>
        <v>$E$7</v>
      </c>
      <c r="E3" s="100" t="s">
        <v>209</v>
      </c>
      <c r="F3" s="101" t="s">
        <v>392</v>
      </c>
    </row>
    <row r="4" customFormat="false" ht="12.75" hidden="false" customHeight="false" outlineLevel="0" collapsed="false">
      <c r="A4" s="19" t="str">
        <f aca="false">ADDRESS(ROW($C$8),COLUMN($C$8))</f>
        <v>$C$8</v>
      </c>
      <c r="E4" s="100" t="s">
        <v>211</v>
      </c>
      <c r="F4" s="101"/>
    </row>
    <row r="5" customFormat="false" ht="12.75" hidden="false" customHeight="false" outlineLevel="0" collapsed="false">
      <c r="A5" s="19" t="str">
        <f aca="false">ADDRESS(ROW($C$10),COLUMN($C$10))</f>
        <v>$C$10</v>
      </c>
    </row>
    <row r="6" customFormat="false" ht="12.75" hidden="false" customHeight="false" outlineLevel="0" collapsed="false">
      <c r="A6" s="19" t="str">
        <f aca="false">ADDRESS(ROW($G$12),COLUMN($G$12))</f>
        <v>$G$12</v>
      </c>
    </row>
    <row r="7" customFormat="false" ht="18.75" hidden="false" customHeight="false" outlineLevel="0" collapsed="false">
      <c r="E7" s="102" t="s">
        <v>393</v>
      </c>
    </row>
    <row r="8" customFormat="false" ht="12.75" hidden="false" customHeight="true" outlineLevel="0" collapsed="false">
      <c r="A8" s="103"/>
      <c r="B8" s="103"/>
      <c r="C8" s="104" t="s">
        <v>213</v>
      </c>
      <c r="E8" s="105"/>
      <c r="F8" s="106"/>
      <c r="G8" s="107" t="s">
        <v>214</v>
      </c>
      <c r="H8" s="108" t="s">
        <v>215</v>
      </c>
      <c r="I8" s="109" t="s">
        <v>216</v>
      </c>
      <c r="J8" s="109" t="s">
        <v>217</v>
      </c>
      <c r="K8" s="109" t="s">
        <v>218</v>
      </c>
      <c r="L8" s="110" t="s">
        <v>219</v>
      </c>
      <c r="N8" s="108" t="s">
        <v>220</v>
      </c>
      <c r="O8" s="111" t="s">
        <v>221</v>
      </c>
      <c r="Q8" s="108" t="s">
        <v>222</v>
      </c>
      <c r="R8" s="109" t="s">
        <v>223</v>
      </c>
      <c r="S8" s="111" t="s">
        <v>224</v>
      </c>
      <c r="U8" s="108" t="s">
        <v>225</v>
      </c>
      <c r="V8" s="111" t="s">
        <v>226</v>
      </c>
      <c r="X8" s="108" t="s">
        <v>227</v>
      </c>
      <c r="Y8" s="109" t="s">
        <v>228</v>
      </c>
      <c r="Z8" s="109" t="s">
        <v>229</v>
      </c>
      <c r="AA8" s="109" t="s">
        <v>230</v>
      </c>
      <c r="AB8" s="109" t="s">
        <v>231</v>
      </c>
      <c r="AC8" s="110" t="s">
        <v>232</v>
      </c>
      <c r="AE8" s="98"/>
      <c r="AF8" s="98"/>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row>
    <row r="9" customFormat="false" ht="12.75" hidden="false" customHeight="true" outlineLevel="0" collapsed="false">
      <c r="A9" s="103"/>
      <c r="B9" s="103"/>
      <c r="C9" s="104"/>
      <c r="E9" s="112" t="s">
        <v>13</v>
      </c>
      <c r="F9" s="113" t="s">
        <v>233</v>
      </c>
      <c r="G9" s="114" t="s">
        <v>234</v>
      </c>
      <c r="H9" s="108"/>
      <c r="I9" s="109" t="s">
        <v>216</v>
      </c>
      <c r="J9" s="109"/>
      <c r="K9" s="109"/>
      <c r="L9" s="110"/>
      <c r="N9" s="108"/>
      <c r="O9" s="111"/>
      <c r="Q9" s="108"/>
      <c r="R9" s="109"/>
      <c r="S9" s="111"/>
      <c r="U9" s="108"/>
      <c r="V9" s="111"/>
      <c r="X9" s="108"/>
      <c r="Y9" s="109"/>
      <c r="Z9" s="109"/>
      <c r="AA9" s="109"/>
      <c r="AB9" s="109"/>
      <c r="AC9" s="110"/>
      <c r="AE9" s="98"/>
      <c r="AF9" s="98"/>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row>
    <row r="10" customFormat="false" ht="12.75" hidden="false" customHeight="false" outlineLevel="0" collapsed="false">
      <c r="C10" s="115" t="n">
        <v>1</v>
      </c>
      <c r="E10" s="116" t="e">
        <f aca="false">GetPipeName($AH10,$AL10)</f>
        <v>#VALUE!</v>
      </c>
      <c r="F10" s="117" t="e">
        <f aca="false">CONCATENATE(GetRcptPoint($AH10,$AL10)," to ",GetDelPoint($AH10,$AL10))</f>
        <v>#VALUE!</v>
      </c>
      <c r="G10" s="118" t="e">
        <f aca="false">GetRcptBasis($AH10,$AL10)</f>
        <v>#VALUE!</v>
      </c>
      <c r="H10" s="119" t="e">
        <f aca="false">GetTodayAsset($AI10)</f>
        <v>#VALUE!</v>
      </c>
      <c r="I10" s="120" t="e">
        <f aca="false">GetTodayDemand($AI10)</f>
        <v>#VALUE!</v>
      </c>
      <c r="J10" s="120" t="e">
        <f aca="false">H10-I10</f>
        <v>#VALUE!</v>
      </c>
      <c r="K10" s="120" t="e">
        <f aca="false">GetYesterdayPL($AI10)</f>
        <v>#VALUE!</v>
      </c>
      <c r="L10" s="121" t="e">
        <f aca="false">J10-K10</f>
        <v>#VALUE!</v>
      </c>
      <c r="N10" s="119" t="e">
        <f aca="false">GetTodayIntrinsic($AI10)</f>
        <v>#VALUE!</v>
      </c>
      <c r="O10" s="121" t="e">
        <f aca="false">GetTodayExtrinsic($AI10)</f>
        <v>#VALUE!</v>
      </c>
      <c r="Q10" s="119" t="e">
        <f aca="false">GetPriceChange($AI10)</f>
        <v>#VALUE!</v>
      </c>
      <c r="R10" s="120" t="e">
        <f aca="false">GetBasisChange($AI10)</f>
        <v>#VALUE!</v>
      </c>
      <c r="S10" s="121" t="e">
        <f aca="false">GetIndexChange($AI10)</f>
        <v>#VALUE!</v>
      </c>
      <c r="T10" s="122"/>
      <c r="U10" s="119" t="e">
        <f aca="false">GetFuelChange($AI10)</f>
        <v>#VALUE!</v>
      </c>
      <c r="V10" s="123" t="e">
        <f aca="false">GetVarChrgChange($AI10)</f>
        <v>#VALUE!</v>
      </c>
      <c r="X10" s="119" t="e">
        <f aca="false">GetDelta($AI10)</f>
        <v>#VALUE!</v>
      </c>
      <c r="Y10" s="120" t="e">
        <f aca="false">GetGamma($AI10)</f>
        <v>#VALUE!</v>
      </c>
      <c r="Z10" s="120" t="e">
        <f aca="false">GetTheta($AI10)</f>
        <v>#VALUE!</v>
      </c>
      <c r="AA10" s="120" t="e">
        <f aca="false">GetVega($AI10)</f>
        <v>#VALUE!</v>
      </c>
      <c r="AB10" s="120" t="e">
        <f aca="false">GetRho($AI10)</f>
        <v>#VALUE!</v>
      </c>
      <c r="AC10" s="121" t="e">
        <f aca="false">GetDrift($AI10)</f>
        <v>#VALUE!</v>
      </c>
      <c r="AE10" s="98"/>
      <c r="AF10" s="98"/>
      <c r="AH10" s="124" t="e">
        <f aca="false">GetDBPage($C10)</f>
        <v>#VALUE!</v>
      </c>
      <c r="AI10" s="125" t="e">
        <f aca="false">GetWorkSheet($C10)</f>
        <v>#VALUE!</v>
      </c>
      <c r="AJ10" s="125" t="e">
        <f aca="false">IF(NOT($AI10="#VALUE#"),CONCATENATE($AI10,"!",GetDateStart($AI10),":",GetDateEnd($AI10)),"")</f>
        <v>#VALUE!</v>
      </c>
      <c r="AK10" s="125" t="e">
        <f aca="false">IF(NOT($AI10="#VALUE#"),CONCATENATE($AI10,"!",GetReceiptStart($AI10),":",GetReceiptEnd($AI10)),"")</f>
        <v>#VALUE!</v>
      </c>
      <c r="AL10" s="125" t="e">
        <f aca="false">GetRecNdx($AH10,$C10)</f>
        <v>#VALUE!</v>
      </c>
    </row>
    <row r="11" customFormat="false" ht="12.75" hidden="false" customHeight="false" outlineLevel="0" collapsed="false">
      <c r="C11" s="115"/>
      <c r="E11" s="116"/>
      <c r="F11" s="117"/>
      <c r="G11" s="126" t="e">
        <f aca="false">GetDelBasis($AH10,$AL11)</f>
        <v>#VALUE!</v>
      </c>
      <c r="H11" s="119"/>
      <c r="I11" s="120"/>
      <c r="J11" s="120"/>
      <c r="K11" s="120"/>
      <c r="L11" s="121"/>
      <c r="M11" s="127"/>
      <c r="N11" s="119"/>
      <c r="O11" s="121"/>
      <c r="P11" s="127"/>
      <c r="Q11" s="119"/>
      <c r="R11" s="120"/>
      <c r="S11" s="121"/>
      <c r="T11" s="122"/>
      <c r="U11" s="119"/>
      <c r="V11" s="123"/>
      <c r="X11" s="119"/>
      <c r="Y11" s="120"/>
      <c r="Z11" s="120"/>
      <c r="AA11" s="120"/>
      <c r="AB11" s="120"/>
      <c r="AC11" s="121"/>
      <c r="AE11" s="98"/>
      <c r="AF11" s="98"/>
      <c r="AI11" s="125" t="e">
        <f aca="false">GetWorkSheet($C10)</f>
        <v>#VALUE!</v>
      </c>
      <c r="AJ11" s="125" t="e">
        <f aca="false">IF(NOT($AI11="#VALUE#"),CONCATENATE($AI11,"!",GetDateStart($AI11),":",GetDateEnd($AI11)),"")</f>
        <v>#VALUE!</v>
      </c>
      <c r="AK11" s="125" t="e">
        <f aca="false">IF(NOT($AI11="#VALUE#"),CONCATENATE($AI11,"!",GetDeliveryStart($AI11),":",GetDeliveryEnd($AI11)),"")</f>
        <v>#VALUE!</v>
      </c>
      <c r="AL11" s="125" t="e">
        <f aca="false">GetRecNdx($AH10,$C10)</f>
        <v>#VALUE!</v>
      </c>
    </row>
    <row r="12" customFormat="false" ht="12.75" hidden="false" customHeight="false" outlineLevel="0" collapsed="false">
      <c r="G12" s="128" t="s">
        <v>235</v>
      </c>
      <c r="H12" s="129" t="e">
        <f aca="true">SUM(INDIRECT(CONCATENATE(ADDRESS($AI12,COLUMN()),":",ADDRESS($AJ12,COLUMN()))))</f>
        <v>#VALUE!</v>
      </c>
      <c r="I12" s="129" t="e">
        <f aca="true">SUM(INDIRECT(CONCATENATE(ADDRESS($AI12,COLUMN()),":",ADDRESS($AJ12,COLUMN()))))</f>
        <v>#VALUE!</v>
      </c>
      <c r="J12" s="129" t="e">
        <f aca="true">SUM(INDIRECT(CONCATENATE(ADDRESS($AI12,COLUMN()),":",ADDRESS($AJ12,COLUMN()))))</f>
        <v>#VALUE!</v>
      </c>
      <c r="K12" s="129" t="e">
        <f aca="true">SUM(INDIRECT(CONCATENATE(ADDRESS($AI12,COLUMN()),":",ADDRESS($AJ12,COLUMN()))))</f>
        <v>#VALUE!</v>
      </c>
      <c r="L12" s="130" t="e">
        <f aca="true">SUM(INDIRECT(CONCATENATE(ADDRESS($AI12,COLUMN()),":",ADDRESS($AJ12,COLUMN()))))</f>
        <v>#VALUE!</v>
      </c>
      <c r="M12" s="131"/>
      <c r="N12" s="132" t="e">
        <f aca="true">SUM(INDIRECT(CONCATENATE(ADDRESS($AI12,COLUMN()),":",ADDRESS($AJ12,COLUMN()))))</f>
        <v>#VALUE!</v>
      </c>
      <c r="O12" s="133" t="e">
        <f aca="true">SUM(INDIRECT(CONCATENATE(ADDRESS($AI12,COLUMN()),":",ADDRESS($AJ12,COLUMN()))))</f>
        <v>#VALUE!</v>
      </c>
      <c r="P12" s="131"/>
      <c r="Q12" s="132" t="e">
        <f aca="true">SUM(INDIRECT(CONCATENATE(ADDRESS($AI12,COLUMN()),":",ADDRESS($AJ12,COLUMN()))))</f>
        <v>#VALUE!</v>
      </c>
      <c r="R12" s="129" t="e">
        <f aca="true">SUM(INDIRECT(CONCATENATE(ADDRESS($AI12,COLUMN()),":",ADDRESS($AJ12,COLUMN()))))</f>
        <v>#VALUE!</v>
      </c>
      <c r="S12" s="133" t="e">
        <f aca="true">SUM(INDIRECT(CONCATENATE(ADDRESS($AI12,COLUMN()),":",ADDRESS($AJ12,COLUMN()))))</f>
        <v>#VALUE!</v>
      </c>
      <c r="T12" s="131"/>
      <c r="U12" s="132" t="e">
        <f aca="true">SUM(INDIRECT(CONCATENATE(ADDRESS($AI12,COLUMN()),":",ADDRESS($AJ12,COLUMN()))))</f>
        <v>#VALUE!</v>
      </c>
      <c r="V12" s="133" t="e">
        <f aca="true">SUM(INDIRECT(CONCATENATE(ADDRESS($AI12,COLUMN()),":",ADDRESS($AJ12,COLUMN()))))</f>
        <v>#VALUE!</v>
      </c>
      <c r="X12" s="132" t="e">
        <f aca="true">SUM(INDIRECT(CONCATENATE(ADDRESS($AI12,COLUMN()),":",ADDRESS($AJ12,COLUMN()))))</f>
        <v>#VALUE!</v>
      </c>
      <c r="Y12" s="129" t="e">
        <f aca="true">SUM(INDIRECT(CONCATENATE(ADDRESS($AI12,COLUMN()),":",ADDRESS($AJ12,COLUMN()))))</f>
        <v>#VALUE!</v>
      </c>
      <c r="Z12" s="129" t="e">
        <f aca="true">SUM(INDIRECT(CONCATENATE(ADDRESS($AI12,COLUMN()),":",ADDRESS($AJ12,COLUMN()))))</f>
        <v>#VALUE!</v>
      </c>
      <c r="AA12" s="129" t="e">
        <f aca="true">SUM(INDIRECT(CONCATENATE(ADDRESS($AI12,COLUMN()),":",ADDRESS($AJ12,COLUMN()))))</f>
        <v>#VALUE!</v>
      </c>
      <c r="AB12" s="129" t="e">
        <f aca="true">SUM(INDIRECT(CONCATENATE(ADDRESS($AI12,COLUMN()),":",ADDRESS($AJ12,COLUMN()))))</f>
        <v>#VALUE!</v>
      </c>
      <c r="AC12" s="130" t="e">
        <f aca="true">SUM(INDIRECT(CONCATENATE(ADDRESS($AI12,COLUMN()),":",ADDRESS($AJ12,COLUMN()))))</f>
        <v>#VALUE!</v>
      </c>
      <c r="AI12" s="134" t="e">
        <f aca="false">GetStartRow($AI11)</f>
        <v>#VALUE!</v>
      </c>
      <c r="AJ12" s="134" t="n">
        <f aca="false">ROW($AI11)</f>
        <v>11</v>
      </c>
    </row>
  </sheetData>
  <mergeCells count="40">
    <mergeCell ref="C8:C9"/>
    <mergeCell ref="H8:H9"/>
    <mergeCell ref="I8:I9"/>
    <mergeCell ref="J8:J9"/>
    <mergeCell ref="K8:K9"/>
    <mergeCell ref="L8:L9"/>
    <mergeCell ref="N8:N9"/>
    <mergeCell ref="O8:O9"/>
    <mergeCell ref="Q8:Q9"/>
    <mergeCell ref="R8:R9"/>
    <mergeCell ref="S8:S9"/>
    <mergeCell ref="U8:U9"/>
    <mergeCell ref="V8:V9"/>
    <mergeCell ref="X8:X9"/>
    <mergeCell ref="Y8:Y9"/>
    <mergeCell ref="Z8:Z9"/>
    <mergeCell ref="AA8:AA9"/>
    <mergeCell ref="AB8:AB9"/>
    <mergeCell ref="AC8:AC9"/>
    <mergeCell ref="C10:C11"/>
    <mergeCell ref="E10:E11"/>
    <mergeCell ref="F10:F11"/>
    <mergeCell ref="H10:H11"/>
    <mergeCell ref="I10:I11"/>
    <mergeCell ref="J10:J11"/>
    <mergeCell ref="K10:K11"/>
    <mergeCell ref="L10:L11"/>
    <mergeCell ref="N10:N11"/>
    <mergeCell ref="O10:O11"/>
    <mergeCell ref="Q10:Q11"/>
    <mergeCell ref="R10:R11"/>
    <mergeCell ref="S10:S11"/>
    <mergeCell ref="U10:U11"/>
    <mergeCell ref="V10:V11"/>
    <mergeCell ref="X10:X11"/>
    <mergeCell ref="Y10:Y11"/>
    <mergeCell ref="Z10:Z11"/>
    <mergeCell ref="AA10:AA11"/>
    <mergeCell ref="AB10:AB11"/>
    <mergeCell ref="AC10:AC1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legacyDrawing r:id="rId2"/>
</worksheet>
</file>

<file path=docProps/app.xml><?xml version="1.0" encoding="utf-8"?>
<Properties xmlns="http://schemas.openxmlformats.org/officeDocument/2006/extended-properties" xmlns:vt="http://schemas.openxmlformats.org/officeDocument/2006/docPropsVTypes">
  <Template/>
  <TotalTime>0</TotalTime>
  <Application>LibreOffice/25.2.7.0.0$Linux_X86_64 LibreOffice_project/c3912edc4c615b55f2051310c417e592ac3ce905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2000-03-15T17:13:32Z</dcterms:created>
  <dc:creator>gcouch</dc:creator>
  <dc:description>- Oracle 8i ODBC QueryFix Applied</dc:description>
  <dc:language>en-US</dc:language>
  <cp:lastModifiedBy>ljohnso5</cp:lastModifiedBy>
  <cp:lastPrinted>2001-12-14T18:36:44Z</cp:lastPrinted>
  <dcterms:modified xsi:type="dcterms:W3CDTF">2001-12-17T14:14:44Z</dcterms:modified>
  <cp:revision>0</cp:revision>
  <dc:subject/>
  <dc:title/>
</cp:coreProperties>
</file>